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5" yWindow="105" windowWidth="10800" windowHeight="10035" activeTab="2"/>
  </bookViews>
  <sheets>
    <sheet name="New Table 142" sheetId="5" r:id="rId1"/>
    <sheet name="Old Table 142" sheetId="6" r:id="rId2"/>
    <sheet name="New Tables 143-161" sheetId="7" r:id="rId3"/>
    <sheet name="Old Tables 143-161" sheetId="8" r:id="rId4"/>
    <sheet name="New Table 162" sheetId="9" r:id="rId5"/>
    <sheet name="Old Table 162" sheetId="10" r:id="rId6"/>
    <sheet name="Averages Pivot Table" sheetId="11" r:id="rId7"/>
    <sheet name="New Counts Pivot Table" sheetId="12" r:id="rId8"/>
    <sheet name="Old Counts Pivot Table" sheetId="13" r:id="rId9"/>
    <sheet name="Faculty Salary Data" sheetId="4" r:id="rId10"/>
    <sheet name="Format for Avgs Pivot" sheetId="14" r:id="rId11"/>
    <sheet name="Format for New Counts" sheetId="15" r:id="rId12"/>
    <sheet name="Format for Old Counts" sheetId="16" r:id="rId13"/>
  </sheets>
  <definedNames>
    <definedName name="APPHEAD">#REF!</definedName>
    <definedName name="CHHEAD">#REF!</definedName>
    <definedName name="PAGE_17">#REF!</definedName>
    <definedName name="PAGE1">#REF!</definedName>
    <definedName name="PAGE10">#REF!</definedName>
    <definedName name="PAGE11">#REF!</definedName>
    <definedName name="PAGE12">#REF!</definedName>
    <definedName name="PAGE13">#REF!</definedName>
    <definedName name="PAGE14">#REF!</definedName>
    <definedName name="PAGE15">#REF!</definedName>
    <definedName name="PAGE16">#REF!</definedName>
    <definedName name="PAGE17">#REF!</definedName>
    <definedName name="PAGE18">#REF!</definedName>
    <definedName name="PAGE19">#REF!</definedName>
    <definedName name="PAGE2">#REF!</definedName>
    <definedName name="PAGE20">#REF!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RT1">#REF!</definedName>
    <definedName name="PART2">#REF!</definedName>
    <definedName name="PART3">#REF!</definedName>
    <definedName name="PART4A">#REF!</definedName>
    <definedName name="PART4B">#REF!</definedName>
    <definedName name="PART5">#REF!</definedName>
    <definedName name="PART6A">#REF!</definedName>
    <definedName name="PART6B">#REF!</definedName>
    <definedName name="PART6C">#REF!</definedName>
    <definedName name="PART7B">#REF!</definedName>
    <definedName name="PART7C">#REF!</definedName>
    <definedName name="PART8">#REF!</definedName>
    <definedName name="_xlnm.Print_Area" localSheetId="4">'New Table 162'!$A$1:$Q$128</definedName>
    <definedName name="_xlnm.Print_Area" localSheetId="2">'New Tables 143-161'!$A$1:$O$570</definedName>
    <definedName name="_xlnm.Print_Area" localSheetId="5">'Old Table 162'!$A$1:$Q$128</definedName>
    <definedName name="_xlnm.Print_Area" localSheetId="3">'Old Tables 143-161'!$A$1:$O$570</definedName>
    <definedName name="_xlnm.Print_Area">#REF!</definedName>
    <definedName name="_xlnm.Print_Titles" localSheetId="4">'New Table 162'!$1:$9</definedName>
    <definedName name="_xlnm.Print_Titles" localSheetId="5">'Old Table 162'!$1:$9</definedName>
    <definedName name="RATIONALE">#REF!</definedName>
    <definedName name="RATIONALE2">#REF!</definedName>
    <definedName name="SALHEAD">#REF!</definedName>
  </definedNames>
  <calcPr calcId="145621"/>
  <pivotCaches>
    <pivotCache cacheId="2" r:id="rId14"/>
  </pivotCaches>
</workbook>
</file>

<file path=xl/calcChain.xml><?xml version="1.0" encoding="utf-8"?>
<calcChain xmlns="http://schemas.openxmlformats.org/spreadsheetml/2006/main">
  <c r="C57" i="10" l="1"/>
  <c r="H56" i="10"/>
  <c r="J55" i="10"/>
  <c r="L50" i="10"/>
  <c r="H17" i="10"/>
  <c r="C14" i="10"/>
  <c r="D13" i="10"/>
  <c r="AH128" i="10"/>
  <c r="Q128" i="10" s="1"/>
  <c r="AG128" i="10"/>
  <c r="P128" i="10" s="1"/>
  <c r="AF128" i="10"/>
  <c r="O128" i="10" s="1"/>
  <c r="AE128" i="10"/>
  <c r="N128" i="10" s="1"/>
  <c r="AD128" i="10"/>
  <c r="AC128" i="10"/>
  <c r="M128" i="10" s="1"/>
  <c r="AB128" i="10"/>
  <c r="L128" i="10" s="1"/>
  <c r="AA128" i="10"/>
  <c r="K128" i="10" s="1"/>
  <c r="Z128" i="10"/>
  <c r="J128" i="10" s="1"/>
  <c r="Y128" i="10"/>
  <c r="I128" i="10" s="1"/>
  <c r="X128" i="10"/>
  <c r="H128" i="10" s="1"/>
  <c r="W128" i="10"/>
  <c r="G128" i="10" s="1"/>
  <c r="V128" i="10"/>
  <c r="F128" i="10" s="1"/>
  <c r="U128" i="10"/>
  <c r="E128" i="10" s="1"/>
  <c r="T128" i="10"/>
  <c r="D128" i="10" s="1"/>
  <c r="S128" i="10"/>
  <c r="C128" i="10" s="1"/>
  <c r="AH127" i="10"/>
  <c r="Q127" i="10" s="1"/>
  <c r="AG127" i="10"/>
  <c r="P127" i="10" s="1"/>
  <c r="AF127" i="10"/>
  <c r="O127" i="10" s="1"/>
  <c r="AE127" i="10"/>
  <c r="N127" i="10" s="1"/>
  <c r="AD127" i="10"/>
  <c r="AC127" i="10"/>
  <c r="M127" i="10" s="1"/>
  <c r="AB127" i="10"/>
  <c r="L127" i="10" s="1"/>
  <c r="AA127" i="10"/>
  <c r="K127" i="10" s="1"/>
  <c r="Z127" i="10"/>
  <c r="J127" i="10" s="1"/>
  <c r="Y127" i="10"/>
  <c r="I127" i="10" s="1"/>
  <c r="X127" i="10"/>
  <c r="H127" i="10" s="1"/>
  <c r="W127" i="10"/>
  <c r="G127" i="10" s="1"/>
  <c r="V127" i="10"/>
  <c r="F127" i="10" s="1"/>
  <c r="U127" i="10"/>
  <c r="E127" i="10" s="1"/>
  <c r="T127" i="10"/>
  <c r="D127" i="10" s="1"/>
  <c r="S127" i="10"/>
  <c r="C127" i="10" s="1"/>
  <c r="AH126" i="10"/>
  <c r="Q126" i="10" s="1"/>
  <c r="AG126" i="10"/>
  <c r="P126" i="10" s="1"/>
  <c r="AF126" i="10"/>
  <c r="O126" i="10" s="1"/>
  <c r="AE126" i="10"/>
  <c r="N126" i="10" s="1"/>
  <c r="AD126" i="10"/>
  <c r="AC126" i="10"/>
  <c r="M126" i="10" s="1"/>
  <c r="AB126" i="10"/>
  <c r="L126" i="10" s="1"/>
  <c r="AA126" i="10"/>
  <c r="K126" i="10" s="1"/>
  <c r="Z126" i="10"/>
  <c r="J126" i="10" s="1"/>
  <c r="Y126" i="10"/>
  <c r="I126" i="10" s="1"/>
  <c r="X126" i="10"/>
  <c r="H126" i="10" s="1"/>
  <c r="W126" i="10"/>
  <c r="G126" i="10" s="1"/>
  <c r="V126" i="10"/>
  <c r="F126" i="10" s="1"/>
  <c r="U126" i="10"/>
  <c r="E126" i="10" s="1"/>
  <c r="T126" i="10"/>
  <c r="D126" i="10" s="1"/>
  <c r="S126" i="10"/>
  <c r="C126" i="10" s="1"/>
  <c r="AH125" i="10"/>
  <c r="Q125" i="10" s="1"/>
  <c r="AG125" i="10"/>
  <c r="P125" i="10" s="1"/>
  <c r="AF125" i="10"/>
  <c r="O125" i="10" s="1"/>
  <c r="AE125" i="10"/>
  <c r="N125" i="10" s="1"/>
  <c r="AD125" i="10"/>
  <c r="AC125" i="10"/>
  <c r="M125" i="10" s="1"/>
  <c r="AB125" i="10"/>
  <c r="L125" i="10" s="1"/>
  <c r="AA125" i="10"/>
  <c r="K125" i="10" s="1"/>
  <c r="Z125" i="10"/>
  <c r="J125" i="10" s="1"/>
  <c r="Y125" i="10"/>
  <c r="I125" i="10" s="1"/>
  <c r="X125" i="10"/>
  <c r="H125" i="10" s="1"/>
  <c r="W125" i="10"/>
  <c r="G125" i="10" s="1"/>
  <c r="V125" i="10"/>
  <c r="F125" i="10" s="1"/>
  <c r="U125" i="10"/>
  <c r="E125" i="10" s="1"/>
  <c r="T125" i="10"/>
  <c r="D125" i="10" s="1"/>
  <c r="S125" i="10"/>
  <c r="C125" i="10" s="1"/>
  <c r="AH124" i="10"/>
  <c r="Q124" i="10" s="1"/>
  <c r="AG124" i="10"/>
  <c r="P124" i="10" s="1"/>
  <c r="AF124" i="10"/>
  <c r="O124" i="10" s="1"/>
  <c r="AE124" i="10"/>
  <c r="N124" i="10" s="1"/>
  <c r="AD124" i="10"/>
  <c r="AC124" i="10"/>
  <c r="M124" i="10" s="1"/>
  <c r="AB124" i="10"/>
  <c r="L124" i="10" s="1"/>
  <c r="AA124" i="10"/>
  <c r="K124" i="10" s="1"/>
  <c r="Z124" i="10"/>
  <c r="J124" i="10" s="1"/>
  <c r="Y124" i="10"/>
  <c r="I124" i="10" s="1"/>
  <c r="X124" i="10"/>
  <c r="H124" i="10" s="1"/>
  <c r="W124" i="10"/>
  <c r="G124" i="10" s="1"/>
  <c r="V124" i="10"/>
  <c r="F124" i="10" s="1"/>
  <c r="U124" i="10"/>
  <c r="E124" i="10" s="1"/>
  <c r="T124" i="10"/>
  <c r="D124" i="10" s="1"/>
  <c r="S124" i="10"/>
  <c r="C124" i="10" s="1"/>
  <c r="AH123" i="10"/>
  <c r="Q123" i="10" s="1"/>
  <c r="AG123" i="10"/>
  <c r="P123" i="10" s="1"/>
  <c r="AF123" i="10"/>
  <c r="O123" i="10" s="1"/>
  <c r="AE123" i="10"/>
  <c r="N123" i="10" s="1"/>
  <c r="AD123" i="10"/>
  <c r="AC123" i="10"/>
  <c r="M123" i="10" s="1"/>
  <c r="AB123" i="10"/>
  <c r="L123" i="10" s="1"/>
  <c r="AA123" i="10"/>
  <c r="K123" i="10" s="1"/>
  <c r="Z123" i="10"/>
  <c r="J123" i="10" s="1"/>
  <c r="Y123" i="10"/>
  <c r="I123" i="10" s="1"/>
  <c r="X123" i="10"/>
  <c r="H123" i="10" s="1"/>
  <c r="W123" i="10"/>
  <c r="G123" i="10" s="1"/>
  <c r="V123" i="10"/>
  <c r="F123" i="10" s="1"/>
  <c r="U123" i="10"/>
  <c r="E123" i="10" s="1"/>
  <c r="T123" i="10"/>
  <c r="D123" i="10" s="1"/>
  <c r="S123" i="10"/>
  <c r="C123" i="10" s="1"/>
  <c r="AH122" i="10"/>
  <c r="Q122" i="10" s="1"/>
  <c r="AG122" i="10"/>
  <c r="P122" i="10" s="1"/>
  <c r="AF122" i="10"/>
  <c r="O122" i="10" s="1"/>
  <c r="AE122" i="10"/>
  <c r="N122" i="10" s="1"/>
  <c r="AD122" i="10"/>
  <c r="AC122" i="10"/>
  <c r="M122" i="10" s="1"/>
  <c r="AB122" i="10"/>
  <c r="L122" i="10" s="1"/>
  <c r="AA122" i="10"/>
  <c r="K122" i="10" s="1"/>
  <c r="Z122" i="10"/>
  <c r="J122" i="10" s="1"/>
  <c r="Y122" i="10"/>
  <c r="I122" i="10" s="1"/>
  <c r="X122" i="10"/>
  <c r="H122" i="10" s="1"/>
  <c r="W122" i="10"/>
  <c r="G122" i="10" s="1"/>
  <c r="V122" i="10"/>
  <c r="F122" i="10" s="1"/>
  <c r="U122" i="10"/>
  <c r="E122" i="10" s="1"/>
  <c r="T122" i="10"/>
  <c r="D122" i="10" s="1"/>
  <c r="S122" i="10"/>
  <c r="C122" i="10" s="1"/>
  <c r="AH121" i="10"/>
  <c r="Q121" i="10" s="1"/>
  <c r="AG121" i="10"/>
  <c r="P121" i="10" s="1"/>
  <c r="AF121" i="10"/>
  <c r="O121" i="10" s="1"/>
  <c r="AE121" i="10"/>
  <c r="N121" i="10" s="1"/>
  <c r="AD121" i="10"/>
  <c r="AC121" i="10"/>
  <c r="M121" i="10" s="1"/>
  <c r="AB121" i="10"/>
  <c r="L121" i="10" s="1"/>
  <c r="AA121" i="10"/>
  <c r="K121" i="10" s="1"/>
  <c r="Z121" i="10"/>
  <c r="J121" i="10" s="1"/>
  <c r="Y121" i="10"/>
  <c r="I121" i="10" s="1"/>
  <c r="X121" i="10"/>
  <c r="H121" i="10" s="1"/>
  <c r="W121" i="10"/>
  <c r="G121" i="10" s="1"/>
  <c r="V121" i="10"/>
  <c r="F121" i="10" s="1"/>
  <c r="U121" i="10"/>
  <c r="E121" i="10" s="1"/>
  <c r="T121" i="10"/>
  <c r="D121" i="10" s="1"/>
  <c r="S121" i="10"/>
  <c r="C121" i="10" s="1"/>
  <c r="AH120" i="10"/>
  <c r="Q120" i="10" s="1"/>
  <c r="AG120" i="10"/>
  <c r="P120" i="10" s="1"/>
  <c r="AF120" i="10"/>
  <c r="O120" i="10" s="1"/>
  <c r="AE120" i="10"/>
  <c r="N120" i="10" s="1"/>
  <c r="AD120" i="10"/>
  <c r="AC120" i="10"/>
  <c r="M120" i="10" s="1"/>
  <c r="AB120" i="10"/>
  <c r="L120" i="10" s="1"/>
  <c r="AA120" i="10"/>
  <c r="K120" i="10" s="1"/>
  <c r="Z120" i="10"/>
  <c r="J120" i="10" s="1"/>
  <c r="Y120" i="10"/>
  <c r="I120" i="10" s="1"/>
  <c r="X120" i="10"/>
  <c r="H120" i="10" s="1"/>
  <c r="W120" i="10"/>
  <c r="G120" i="10" s="1"/>
  <c r="V120" i="10"/>
  <c r="U120" i="10"/>
  <c r="E120" i="10" s="1"/>
  <c r="T120" i="10"/>
  <c r="D120" i="10" s="1"/>
  <c r="S120" i="10"/>
  <c r="C120" i="10" s="1"/>
  <c r="AH119" i="10"/>
  <c r="Q119" i="10" s="1"/>
  <c r="AG119" i="10"/>
  <c r="P119" i="10" s="1"/>
  <c r="AF119" i="10"/>
  <c r="O119" i="10" s="1"/>
  <c r="AE119" i="10"/>
  <c r="N119" i="10" s="1"/>
  <c r="AD119" i="10"/>
  <c r="AC119" i="10"/>
  <c r="M119" i="10" s="1"/>
  <c r="AB119" i="10"/>
  <c r="L119" i="10" s="1"/>
  <c r="AA119" i="10"/>
  <c r="K119" i="10" s="1"/>
  <c r="Z119" i="10"/>
  <c r="J119" i="10" s="1"/>
  <c r="Y119" i="10"/>
  <c r="I119" i="10" s="1"/>
  <c r="X119" i="10"/>
  <c r="H119" i="10" s="1"/>
  <c r="W119" i="10"/>
  <c r="G119" i="10" s="1"/>
  <c r="V119" i="10"/>
  <c r="F119" i="10" s="1"/>
  <c r="U119" i="10"/>
  <c r="E119" i="10" s="1"/>
  <c r="T119" i="10"/>
  <c r="D119" i="10" s="1"/>
  <c r="S119" i="10"/>
  <c r="C119" i="10" s="1"/>
  <c r="AH118" i="10"/>
  <c r="Q118" i="10" s="1"/>
  <c r="AG118" i="10"/>
  <c r="P118" i="10" s="1"/>
  <c r="AF118" i="10"/>
  <c r="O118" i="10" s="1"/>
  <c r="AE118" i="10"/>
  <c r="N118" i="10" s="1"/>
  <c r="AD118" i="10"/>
  <c r="AC118" i="10"/>
  <c r="M118" i="10" s="1"/>
  <c r="AB118" i="10"/>
  <c r="L118" i="10" s="1"/>
  <c r="AA118" i="10"/>
  <c r="K118" i="10" s="1"/>
  <c r="Z118" i="10"/>
  <c r="J118" i="10" s="1"/>
  <c r="Y118" i="10"/>
  <c r="I118" i="10" s="1"/>
  <c r="X118" i="10"/>
  <c r="H118" i="10" s="1"/>
  <c r="W118" i="10"/>
  <c r="G118" i="10" s="1"/>
  <c r="V118" i="10"/>
  <c r="F118" i="10" s="1"/>
  <c r="U118" i="10"/>
  <c r="E118" i="10" s="1"/>
  <c r="T118" i="10"/>
  <c r="D118" i="10" s="1"/>
  <c r="S118" i="10"/>
  <c r="C118" i="10" s="1"/>
  <c r="AH117" i="10"/>
  <c r="Q117" i="10" s="1"/>
  <c r="AG117" i="10"/>
  <c r="P117" i="10" s="1"/>
  <c r="AF117" i="10"/>
  <c r="O117" i="10" s="1"/>
  <c r="AE117" i="10"/>
  <c r="N117" i="10" s="1"/>
  <c r="AD117" i="10"/>
  <c r="AC117" i="10"/>
  <c r="M117" i="10" s="1"/>
  <c r="AB117" i="10"/>
  <c r="L117" i="10" s="1"/>
  <c r="AA117" i="10"/>
  <c r="K117" i="10" s="1"/>
  <c r="Z117" i="10"/>
  <c r="J117" i="10" s="1"/>
  <c r="Y117" i="10"/>
  <c r="I117" i="10" s="1"/>
  <c r="X117" i="10"/>
  <c r="H117" i="10" s="1"/>
  <c r="W117" i="10"/>
  <c r="G117" i="10" s="1"/>
  <c r="V117" i="10"/>
  <c r="F117" i="10" s="1"/>
  <c r="U117" i="10"/>
  <c r="E117" i="10" s="1"/>
  <c r="T117" i="10"/>
  <c r="D117" i="10" s="1"/>
  <c r="S117" i="10"/>
  <c r="C117" i="10" s="1"/>
  <c r="AH116" i="10"/>
  <c r="Q116" i="10" s="1"/>
  <c r="AG116" i="10"/>
  <c r="P116" i="10" s="1"/>
  <c r="AF116" i="10"/>
  <c r="O116" i="10" s="1"/>
  <c r="AE116" i="10"/>
  <c r="N116" i="10" s="1"/>
  <c r="AD116" i="10"/>
  <c r="AC116" i="10"/>
  <c r="M116" i="10" s="1"/>
  <c r="AB116" i="10"/>
  <c r="L116" i="10" s="1"/>
  <c r="AA116" i="10"/>
  <c r="K116" i="10" s="1"/>
  <c r="Z116" i="10"/>
  <c r="J116" i="10" s="1"/>
  <c r="Y116" i="10"/>
  <c r="I116" i="10" s="1"/>
  <c r="X116" i="10"/>
  <c r="H116" i="10" s="1"/>
  <c r="W116" i="10"/>
  <c r="G116" i="10" s="1"/>
  <c r="V116" i="10"/>
  <c r="F116" i="10" s="1"/>
  <c r="U116" i="10"/>
  <c r="E116" i="10" s="1"/>
  <c r="T116" i="10"/>
  <c r="D116" i="10" s="1"/>
  <c r="S116" i="10"/>
  <c r="C116" i="10" s="1"/>
  <c r="AH115" i="10"/>
  <c r="Q115" i="10" s="1"/>
  <c r="AG115" i="10"/>
  <c r="P115" i="10" s="1"/>
  <c r="AF115" i="10"/>
  <c r="O115" i="10" s="1"/>
  <c r="AE115" i="10"/>
  <c r="N115" i="10" s="1"/>
  <c r="AD115" i="10"/>
  <c r="AC115" i="10"/>
  <c r="M115" i="10" s="1"/>
  <c r="AB115" i="10"/>
  <c r="L115" i="10" s="1"/>
  <c r="AA115" i="10"/>
  <c r="K115" i="10" s="1"/>
  <c r="Z115" i="10"/>
  <c r="J115" i="10" s="1"/>
  <c r="Y115" i="10"/>
  <c r="I115" i="10" s="1"/>
  <c r="X115" i="10"/>
  <c r="H115" i="10" s="1"/>
  <c r="W115" i="10"/>
  <c r="G115" i="10" s="1"/>
  <c r="V115" i="10"/>
  <c r="F115" i="10" s="1"/>
  <c r="U115" i="10"/>
  <c r="E115" i="10" s="1"/>
  <c r="T115" i="10"/>
  <c r="D115" i="10" s="1"/>
  <c r="S115" i="10"/>
  <c r="C115" i="10" s="1"/>
  <c r="AH114" i="10"/>
  <c r="Q114" i="10" s="1"/>
  <c r="AG114" i="10"/>
  <c r="P114" i="10" s="1"/>
  <c r="AF114" i="10"/>
  <c r="O114" i="10" s="1"/>
  <c r="AE114" i="10"/>
  <c r="N114" i="10" s="1"/>
  <c r="AD114" i="10"/>
  <c r="AC114" i="10"/>
  <c r="M114" i="10" s="1"/>
  <c r="AB114" i="10"/>
  <c r="L114" i="10" s="1"/>
  <c r="AA114" i="10"/>
  <c r="K114" i="10" s="1"/>
  <c r="Z114" i="10"/>
  <c r="J114" i="10" s="1"/>
  <c r="Y114" i="10"/>
  <c r="I114" i="10" s="1"/>
  <c r="X114" i="10"/>
  <c r="H114" i="10" s="1"/>
  <c r="W114" i="10"/>
  <c r="G114" i="10" s="1"/>
  <c r="V114" i="10"/>
  <c r="F114" i="10" s="1"/>
  <c r="U114" i="10"/>
  <c r="E114" i="10" s="1"/>
  <c r="T114" i="10"/>
  <c r="D114" i="10" s="1"/>
  <c r="S114" i="10"/>
  <c r="C114" i="10" s="1"/>
  <c r="AH113" i="10"/>
  <c r="Q113" i="10" s="1"/>
  <c r="AG113" i="10"/>
  <c r="P113" i="10" s="1"/>
  <c r="AF113" i="10"/>
  <c r="O113" i="10" s="1"/>
  <c r="AE113" i="10"/>
  <c r="AD113" i="10"/>
  <c r="AC113" i="10"/>
  <c r="M113" i="10" s="1"/>
  <c r="AB113" i="10"/>
  <c r="L113" i="10" s="1"/>
  <c r="AA113" i="10"/>
  <c r="K113" i="10" s="1"/>
  <c r="Z113" i="10"/>
  <c r="J113" i="10" s="1"/>
  <c r="Y113" i="10"/>
  <c r="I113" i="10" s="1"/>
  <c r="X113" i="10"/>
  <c r="H113" i="10" s="1"/>
  <c r="W113" i="10"/>
  <c r="G113" i="10" s="1"/>
  <c r="V113" i="10"/>
  <c r="F113" i="10" s="1"/>
  <c r="U113" i="10"/>
  <c r="E113" i="10" s="1"/>
  <c r="T113" i="10"/>
  <c r="D113" i="10" s="1"/>
  <c r="S113" i="10"/>
  <c r="C113" i="10" s="1"/>
  <c r="AH112" i="10"/>
  <c r="Q112" i="10" s="1"/>
  <c r="AG112" i="10"/>
  <c r="P112" i="10" s="1"/>
  <c r="AF112" i="10"/>
  <c r="O112" i="10" s="1"/>
  <c r="AE112" i="10"/>
  <c r="N112" i="10" s="1"/>
  <c r="AD112" i="10"/>
  <c r="AC112" i="10"/>
  <c r="M112" i="10" s="1"/>
  <c r="AB112" i="10"/>
  <c r="L112" i="10" s="1"/>
  <c r="AA112" i="10"/>
  <c r="K112" i="10" s="1"/>
  <c r="Z112" i="10"/>
  <c r="J112" i="10" s="1"/>
  <c r="Y112" i="10"/>
  <c r="I112" i="10" s="1"/>
  <c r="X112" i="10"/>
  <c r="H112" i="10" s="1"/>
  <c r="W112" i="10"/>
  <c r="G112" i="10" s="1"/>
  <c r="V112" i="10"/>
  <c r="F112" i="10" s="1"/>
  <c r="U112" i="10"/>
  <c r="E112" i="10" s="1"/>
  <c r="T112" i="10"/>
  <c r="D112" i="10" s="1"/>
  <c r="S112" i="10"/>
  <c r="C112" i="10" s="1"/>
  <c r="AH111" i="10"/>
  <c r="Q111" i="10" s="1"/>
  <c r="AG111" i="10"/>
  <c r="P111" i="10" s="1"/>
  <c r="AF111" i="10"/>
  <c r="O111" i="10" s="1"/>
  <c r="AE111" i="10"/>
  <c r="N111" i="10" s="1"/>
  <c r="AD111" i="10"/>
  <c r="AC111" i="10"/>
  <c r="M111" i="10" s="1"/>
  <c r="AB111" i="10"/>
  <c r="L111" i="10" s="1"/>
  <c r="AA111" i="10"/>
  <c r="K111" i="10" s="1"/>
  <c r="Z111" i="10"/>
  <c r="J111" i="10" s="1"/>
  <c r="Y111" i="10"/>
  <c r="I111" i="10" s="1"/>
  <c r="X111" i="10"/>
  <c r="H111" i="10" s="1"/>
  <c r="W111" i="10"/>
  <c r="G111" i="10" s="1"/>
  <c r="V111" i="10"/>
  <c r="F111" i="10" s="1"/>
  <c r="U111" i="10"/>
  <c r="E111" i="10" s="1"/>
  <c r="T111" i="10"/>
  <c r="D111" i="10" s="1"/>
  <c r="S111" i="10"/>
  <c r="C111" i="10" s="1"/>
  <c r="AH110" i="10"/>
  <c r="Q110" i="10" s="1"/>
  <c r="AG110" i="10"/>
  <c r="P110" i="10" s="1"/>
  <c r="AF110" i="10"/>
  <c r="O110" i="10" s="1"/>
  <c r="AE110" i="10"/>
  <c r="N110" i="10" s="1"/>
  <c r="AD110" i="10"/>
  <c r="AC110" i="10"/>
  <c r="M110" i="10" s="1"/>
  <c r="AB110" i="10"/>
  <c r="L110" i="10" s="1"/>
  <c r="AA110" i="10"/>
  <c r="K110" i="10" s="1"/>
  <c r="Z110" i="10"/>
  <c r="J110" i="10" s="1"/>
  <c r="Y110" i="10"/>
  <c r="I110" i="10" s="1"/>
  <c r="X110" i="10"/>
  <c r="H110" i="10" s="1"/>
  <c r="W110" i="10"/>
  <c r="G110" i="10" s="1"/>
  <c r="V110" i="10"/>
  <c r="F110" i="10" s="1"/>
  <c r="U110" i="10"/>
  <c r="E110" i="10" s="1"/>
  <c r="T110" i="10"/>
  <c r="D110" i="10" s="1"/>
  <c r="S110" i="10"/>
  <c r="C110" i="10" s="1"/>
  <c r="AH109" i="10"/>
  <c r="Q109" i="10" s="1"/>
  <c r="AG109" i="10"/>
  <c r="P109" i="10" s="1"/>
  <c r="AF109" i="10"/>
  <c r="O109" i="10" s="1"/>
  <c r="AE109" i="10"/>
  <c r="N109" i="10" s="1"/>
  <c r="AD109" i="10"/>
  <c r="AC109" i="10"/>
  <c r="M109" i="10" s="1"/>
  <c r="AB109" i="10"/>
  <c r="L109" i="10" s="1"/>
  <c r="AA109" i="10"/>
  <c r="K109" i="10" s="1"/>
  <c r="Z109" i="10"/>
  <c r="J109" i="10" s="1"/>
  <c r="Y109" i="10"/>
  <c r="I109" i="10" s="1"/>
  <c r="X109" i="10"/>
  <c r="H109" i="10" s="1"/>
  <c r="W109" i="10"/>
  <c r="G109" i="10" s="1"/>
  <c r="V109" i="10"/>
  <c r="F109" i="10" s="1"/>
  <c r="U109" i="10"/>
  <c r="E109" i="10" s="1"/>
  <c r="T109" i="10"/>
  <c r="D109" i="10" s="1"/>
  <c r="S109" i="10"/>
  <c r="C109" i="10" s="1"/>
  <c r="AH108" i="10"/>
  <c r="Q108" i="10" s="1"/>
  <c r="AG108" i="10"/>
  <c r="P108" i="10" s="1"/>
  <c r="AF108" i="10"/>
  <c r="O108" i="10" s="1"/>
  <c r="AE108" i="10"/>
  <c r="N108" i="10" s="1"/>
  <c r="AD108" i="10"/>
  <c r="AC108" i="10"/>
  <c r="M108" i="10" s="1"/>
  <c r="AB108" i="10"/>
  <c r="L108" i="10" s="1"/>
  <c r="AA108" i="10"/>
  <c r="K108" i="10" s="1"/>
  <c r="Z108" i="10"/>
  <c r="J108" i="10" s="1"/>
  <c r="Y108" i="10"/>
  <c r="I108" i="10" s="1"/>
  <c r="X108" i="10"/>
  <c r="H108" i="10" s="1"/>
  <c r="W108" i="10"/>
  <c r="G108" i="10" s="1"/>
  <c r="V108" i="10"/>
  <c r="F108" i="10" s="1"/>
  <c r="U108" i="10"/>
  <c r="E108" i="10" s="1"/>
  <c r="T108" i="10"/>
  <c r="D108" i="10" s="1"/>
  <c r="S108" i="10"/>
  <c r="C108" i="10" s="1"/>
  <c r="AH107" i="10"/>
  <c r="Q107" i="10" s="1"/>
  <c r="AG107" i="10"/>
  <c r="P107" i="10" s="1"/>
  <c r="AF107" i="10"/>
  <c r="O107" i="10" s="1"/>
  <c r="AE107" i="10"/>
  <c r="N107" i="10" s="1"/>
  <c r="AD107" i="10"/>
  <c r="AC107" i="10"/>
  <c r="M107" i="10" s="1"/>
  <c r="AB107" i="10"/>
  <c r="L107" i="10" s="1"/>
  <c r="AA107" i="10"/>
  <c r="K107" i="10" s="1"/>
  <c r="Z107" i="10"/>
  <c r="J107" i="10" s="1"/>
  <c r="Y107" i="10"/>
  <c r="I107" i="10" s="1"/>
  <c r="X107" i="10"/>
  <c r="H107" i="10" s="1"/>
  <c r="W107" i="10"/>
  <c r="G107" i="10" s="1"/>
  <c r="V107" i="10"/>
  <c r="F107" i="10" s="1"/>
  <c r="U107" i="10"/>
  <c r="E107" i="10" s="1"/>
  <c r="T107" i="10"/>
  <c r="D107" i="10" s="1"/>
  <c r="S107" i="10"/>
  <c r="C107" i="10" s="1"/>
  <c r="AH106" i="10"/>
  <c r="Q106" i="10" s="1"/>
  <c r="AG106" i="10"/>
  <c r="P106" i="10" s="1"/>
  <c r="AF106" i="10"/>
  <c r="O106" i="10" s="1"/>
  <c r="AE106" i="10"/>
  <c r="N106" i="10" s="1"/>
  <c r="AD106" i="10"/>
  <c r="AC106" i="10"/>
  <c r="M106" i="10" s="1"/>
  <c r="AB106" i="10"/>
  <c r="L106" i="10" s="1"/>
  <c r="AA106" i="10"/>
  <c r="K106" i="10" s="1"/>
  <c r="Z106" i="10"/>
  <c r="J106" i="10" s="1"/>
  <c r="Y106" i="10"/>
  <c r="I106" i="10" s="1"/>
  <c r="X106" i="10"/>
  <c r="H106" i="10" s="1"/>
  <c r="W106" i="10"/>
  <c r="G106" i="10" s="1"/>
  <c r="V106" i="10"/>
  <c r="F106" i="10" s="1"/>
  <c r="U106" i="10"/>
  <c r="E106" i="10" s="1"/>
  <c r="T106" i="10"/>
  <c r="D106" i="10" s="1"/>
  <c r="S106" i="10"/>
  <c r="C106" i="10" s="1"/>
  <c r="AH105" i="10"/>
  <c r="Q105" i="10" s="1"/>
  <c r="AG105" i="10"/>
  <c r="P105" i="10" s="1"/>
  <c r="AF105" i="10"/>
  <c r="O105" i="10" s="1"/>
  <c r="AE105" i="10"/>
  <c r="N105" i="10" s="1"/>
  <c r="AD105" i="10"/>
  <c r="AC105" i="10"/>
  <c r="M105" i="10" s="1"/>
  <c r="AB105" i="10"/>
  <c r="L105" i="10" s="1"/>
  <c r="AA105" i="10"/>
  <c r="K105" i="10" s="1"/>
  <c r="Z105" i="10"/>
  <c r="J105" i="10" s="1"/>
  <c r="Y105" i="10"/>
  <c r="I105" i="10" s="1"/>
  <c r="X105" i="10"/>
  <c r="H105" i="10" s="1"/>
  <c r="W105" i="10"/>
  <c r="G105" i="10" s="1"/>
  <c r="V105" i="10"/>
  <c r="F105" i="10" s="1"/>
  <c r="U105" i="10"/>
  <c r="E105" i="10" s="1"/>
  <c r="T105" i="10"/>
  <c r="D105" i="10" s="1"/>
  <c r="S105" i="10"/>
  <c r="C105" i="10" s="1"/>
  <c r="AH104" i="10"/>
  <c r="Q104" i="10" s="1"/>
  <c r="AG104" i="10"/>
  <c r="P104" i="10" s="1"/>
  <c r="AF104" i="10"/>
  <c r="O104" i="10" s="1"/>
  <c r="AE104" i="10"/>
  <c r="N104" i="10" s="1"/>
  <c r="AD104" i="10"/>
  <c r="AC104" i="10"/>
  <c r="M104" i="10" s="1"/>
  <c r="AB104" i="10"/>
  <c r="L104" i="10" s="1"/>
  <c r="AA104" i="10"/>
  <c r="K104" i="10" s="1"/>
  <c r="Z104" i="10"/>
  <c r="J104" i="10" s="1"/>
  <c r="Y104" i="10"/>
  <c r="I104" i="10" s="1"/>
  <c r="X104" i="10"/>
  <c r="H104" i="10" s="1"/>
  <c r="W104" i="10"/>
  <c r="G104" i="10" s="1"/>
  <c r="V104" i="10"/>
  <c r="F104" i="10" s="1"/>
  <c r="U104" i="10"/>
  <c r="E104" i="10" s="1"/>
  <c r="T104" i="10"/>
  <c r="D104" i="10" s="1"/>
  <c r="S104" i="10"/>
  <c r="C104" i="10" s="1"/>
  <c r="AH103" i="10"/>
  <c r="Q103" i="10" s="1"/>
  <c r="AG103" i="10"/>
  <c r="P103" i="10" s="1"/>
  <c r="AF103" i="10"/>
  <c r="O103" i="10" s="1"/>
  <c r="AE103" i="10"/>
  <c r="N103" i="10" s="1"/>
  <c r="AD103" i="10"/>
  <c r="AC103" i="10"/>
  <c r="M103" i="10" s="1"/>
  <c r="AB103" i="10"/>
  <c r="L103" i="10" s="1"/>
  <c r="AA103" i="10"/>
  <c r="K103" i="10" s="1"/>
  <c r="Z103" i="10"/>
  <c r="J103" i="10" s="1"/>
  <c r="Y103" i="10"/>
  <c r="I103" i="10" s="1"/>
  <c r="X103" i="10"/>
  <c r="H103" i="10" s="1"/>
  <c r="W103" i="10"/>
  <c r="G103" i="10" s="1"/>
  <c r="V103" i="10"/>
  <c r="F103" i="10" s="1"/>
  <c r="U103" i="10"/>
  <c r="E103" i="10" s="1"/>
  <c r="T103" i="10"/>
  <c r="D103" i="10" s="1"/>
  <c r="S103" i="10"/>
  <c r="C103" i="10" s="1"/>
  <c r="AH102" i="10"/>
  <c r="Q102" i="10" s="1"/>
  <c r="AG102" i="10"/>
  <c r="P102" i="10" s="1"/>
  <c r="AF102" i="10"/>
  <c r="O102" i="10" s="1"/>
  <c r="AE102" i="10"/>
  <c r="N102" i="10" s="1"/>
  <c r="AD102" i="10"/>
  <c r="AC102" i="10"/>
  <c r="M102" i="10" s="1"/>
  <c r="AB102" i="10"/>
  <c r="L102" i="10" s="1"/>
  <c r="AA102" i="10"/>
  <c r="K102" i="10" s="1"/>
  <c r="Z102" i="10"/>
  <c r="J102" i="10" s="1"/>
  <c r="Y102" i="10"/>
  <c r="I102" i="10" s="1"/>
  <c r="X102" i="10"/>
  <c r="H102" i="10" s="1"/>
  <c r="W102" i="10"/>
  <c r="G102" i="10" s="1"/>
  <c r="V102" i="10"/>
  <c r="F102" i="10" s="1"/>
  <c r="U102" i="10"/>
  <c r="E102" i="10" s="1"/>
  <c r="T102" i="10"/>
  <c r="D102" i="10" s="1"/>
  <c r="S102" i="10"/>
  <c r="C102" i="10" s="1"/>
  <c r="AH101" i="10"/>
  <c r="Q101" i="10" s="1"/>
  <c r="AG101" i="10"/>
  <c r="P101" i="10" s="1"/>
  <c r="AF101" i="10"/>
  <c r="O101" i="10" s="1"/>
  <c r="AE101" i="10"/>
  <c r="N101" i="10" s="1"/>
  <c r="AD101" i="10"/>
  <c r="AC101" i="10"/>
  <c r="M101" i="10" s="1"/>
  <c r="AB101" i="10"/>
  <c r="L101" i="10" s="1"/>
  <c r="AA101" i="10"/>
  <c r="K101" i="10" s="1"/>
  <c r="Z101" i="10"/>
  <c r="J101" i="10" s="1"/>
  <c r="Y101" i="10"/>
  <c r="I101" i="10" s="1"/>
  <c r="X101" i="10"/>
  <c r="H101" i="10" s="1"/>
  <c r="W101" i="10"/>
  <c r="G101" i="10" s="1"/>
  <c r="V101" i="10"/>
  <c r="F101" i="10" s="1"/>
  <c r="U101" i="10"/>
  <c r="E101" i="10" s="1"/>
  <c r="T101" i="10"/>
  <c r="D101" i="10" s="1"/>
  <c r="S101" i="10"/>
  <c r="C101" i="10" s="1"/>
  <c r="AH100" i="10"/>
  <c r="Q100" i="10" s="1"/>
  <c r="AG100" i="10"/>
  <c r="P100" i="10" s="1"/>
  <c r="AF100" i="10"/>
  <c r="O100" i="10" s="1"/>
  <c r="AE100" i="10"/>
  <c r="N100" i="10" s="1"/>
  <c r="AD100" i="10"/>
  <c r="AC100" i="10"/>
  <c r="M100" i="10" s="1"/>
  <c r="AB100" i="10"/>
  <c r="L100" i="10" s="1"/>
  <c r="AA100" i="10"/>
  <c r="K100" i="10" s="1"/>
  <c r="Z100" i="10"/>
  <c r="J100" i="10" s="1"/>
  <c r="Y100" i="10"/>
  <c r="I100" i="10" s="1"/>
  <c r="X100" i="10"/>
  <c r="H100" i="10" s="1"/>
  <c r="W100" i="10"/>
  <c r="G100" i="10" s="1"/>
  <c r="V100" i="10"/>
  <c r="F100" i="10" s="1"/>
  <c r="U100" i="10"/>
  <c r="E100" i="10" s="1"/>
  <c r="T100" i="10"/>
  <c r="D100" i="10" s="1"/>
  <c r="S100" i="10"/>
  <c r="C100" i="10" s="1"/>
  <c r="AH99" i="10"/>
  <c r="Q99" i="10" s="1"/>
  <c r="AG99" i="10"/>
  <c r="P99" i="10" s="1"/>
  <c r="AF99" i="10"/>
  <c r="O99" i="10" s="1"/>
  <c r="AE99" i="10"/>
  <c r="N99" i="10" s="1"/>
  <c r="AD99" i="10"/>
  <c r="AC99" i="10"/>
  <c r="M99" i="10" s="1"/>
  <c r="AB99" i="10"/>
  <c r="L99" i="10" s="1"/>
  <c r="AA99" i="10"/>
  <c r="K99" i="10" s="1"/>
  <c r="Z99" i="10"/>
  <c r="J99" i="10" s="1"/>
  <c r="Y99" i="10"/>
  <c r="I99" i="10" s="1"/>
  <c r="X99" i="10"/>
  <c r="H99" i="10" s="1"/>
  <c r="W99" i="10"/>
  <c r="G99" i="10" s="1"/>
  <c r="V99" i="10"/>
  <c r="F99" i="10" s="1"/>
  <c r="U99" i="10"/>
  <c r="E99" i="10" s="1"/>
  <c r="T99" i="10"/>
  <c r="D99" i="10" s="1"/>
  <c r="S99" i="10"/>
  <c r="C99" i="10" s="1"/>
  <c r="AH98" i="10"/>
  <c r="Q98" i="10" s="1"/>
  <c r="AG98" i="10"/>
  <c r="P98" i="10" s="1"/>
  <c r="AF98" i="10"/>
  <c r="O98" i="10" s="1"/>
  <c r="AE98" i="10"/>
  <c r="N98" i="10" s="1"/>
  <c r="AD98" i="10"/>
  <c r="AC98" i="10"/>
  <c r="M98" i="10" s="1"/>
  <c r="AB98" i="10"/>
  <c r="L98" i="10" s="1"/>
  <c r="AA98" i="10"/>
  <c r="K98" i="10" s="1"/>
  <c r="Z98" i="10"/>
  <c r="J98" i="10" s="1"/>
  <c r="Y98" i="10"/>
  <c r="I98" i="10" s="1"/>
  <c r="X98" i="10"/>
  <c r="H98" i="10" s="1"/>
  <c r="W98" i="10"/>
  <c r="G98" i="10" s="1"/>
  <c r="V98" i="10"/>
  <c r="F98" i="10" s="1"/>
  <c r="U98" i="10"/>
  <c r="E98" i="10" s="1"/>
  <c r="T98" i="10"/>
  <c r="D98" i="10" s="1"/>
  <c r="S98" i="10"/>
  <c r="C98" i="10" s="1"/>
  <c r="AH97" i="10"/>
  <c r="Q97" i="10" s="1"/>
  <c r="AG97" i="10"/>
  <c r="P97" i="10" s="1"/>
  <c r="AF97" i="10"/>
  <c r="O97" i="10" s="1"/>
  <c r="AE97" i="10"/>
  <c r="N97" i="10" s="1"/>
  <c r="AD97" i="10"/>
  <c r="AC97" i="10"/>
  <c r="M97" i="10" s="1"/>
  <c r="AB97" i="10"/>
  <c r="L97" i="10" s="1"/>
  <c r="AA97" i="10"/>
  <c r="K97" i="10" s="1"/>
  <c r="Z97" i="10"/>
  <c r="J97" i="10" s="1"/>
  <c r="Y97" i="10"/>
  <c r="I97" i="10" s="1"/>
  <c r="X97" i="10"/>
  <c r="H97" i="10" s="1"/>
  <c r="W97" i="10"/>
  <c r="G97" i="10" s="1"/>
  <c r="V97" i="10"/>
  <c r="F97" i="10" s="1"/>
  <c r="U97" i="10"/>
  <c r="E97" i="10" s="1"/>
  <c r="T97" i="10"/>
  <c r="D97" i="10" s="1"/>
  <c r="S97" i="10"/>
  <c r="C97" i="10" s="1"/>
  <c r="AH96" i="10"/>
  <c r="Q96" i="10" s="1"/>
  <c r="AG96" i="10"/>
  <c r="P96" i="10" s="1"/>
  <c r="AF96" i="10"/>
  <c r="O96" i="10" s="1"/>
  <c r="AE96" i="10"/>
  <c r="N96" i="10" s="1"/>
  <c r="AD96" i="10"/>
  <c r="AC96" i="10"/>
  <c r="M96" i="10" s="1"/>
  <c r="AB96" i="10"/>
  <c r="L96" i="10" s="1"/>
  <c r="AA96" i="10"/>
  <c r="K96" i="10" s="1"/>
  <c r="Z96" i="10"/>
  <c r="J96" i="10" s="1"/>
  <c r="Y96" i="10"/>
  <c r="I96" i="10" s="1"/>
  <c r="X96" i="10"/>
  <c r="H96" i="10" s="1"/>
  <c r="W96" i="10"/>
  <c r="G96" i="10" s="1"/>
  <c r="V96" i="10"/>
  <c r="F96" i="10" s="1"/>
  <c r="U96" i="10"/>
  <c r="E96" i="10" s="1"/>
  <c r="T96" i="10"/>
  <c r="D96" i="10" s="1"/>
  <c r="S96" i="10"/>
  <c r="C96" i="10" s="1"/>
  <c r="AH95" i="10"/>
  <c r="Q95" i="10" s="1"/>
  <c r="AG95" i="10"/>
  <c r="P95" i="10" s="1"/>
  <c r="AF95" i="10"/>
  <c r="O95" i="10" s="1"/>
  <c r="AE95" i="10"/>
  <c r="N95" i="10" s="1"/>
  <c r="AD95" i="10"/>
  <c r="AC95" i="10"/>
  <c r="M95" i="10" s="1"/>
  <c r="AB95" i="10"/>
  <c r="L95" i="10" s="1"/>
  <c r="AA95" i="10"/>
  <c r="K95" i="10" s="1"/>
  <c r="Z95" i="10"/>
  <c r="J95" i="10" s="1"/>
  <c r="Y95" i="10"/>
  <c r="I95" i="10" s="1"/>
  <c r="X95" i="10"/>
  <c r="H95" i="10" s="1"/>
  <c r="W95" i="10"/>
  <c r="G95" i="10" s="1"/>
  <c r="V95" i="10"/>
  <c r="F95" i="10" s="1"/>
  <c r="U95" i="10"/>
  <c r="E95" i="10" s="1"/>
  <c r="T95" i="10"/>
  <c r="D95" i="10" s="1"/>
  <c r="S95" i="10"/>
  <c r="C95" i="10" s="1"/>
  <c r="AH94" i="10"/>
  <c r="Q94" i="10" s="1"/>
  <c r="AG94" i="10"/>
  <c r="P94" i="10" s="1"/>
  <c r="AF94" i="10"/>
  <c r="O94" i="10" s="1"/>
  <c r="AE94" i="10"/>
  <c r="N94" i="10" s="1"/>
  <c r="AD94" i="10"/>
  <c r="AC94" i="10"/>
  <c r="M94" i="10" s="1"/>
  <c r="AB94" i="10"/>
  <c r="L94" i="10" s="1"/>
  <c r="AA94" i="10"/>
  <c r="K94" i="10" s="1"/>
  <c r="Z94" i="10"/>
  <c r="J94" i="10" s="1"/>
  <c r="Y94" i="10"/>
  <c r="I94" i="10" s="1"/>
  <c r="X94" i="10"/>
  <c r="H94" i="10" s="1"/>
  <c r="W94" i="10"/>
  <c r="G94" i="10" s="1"/>
  <c r="V94" i="10"/>
  <c r="F94" i="10" s="1"/>
  <c r="U94" i="10"/>
  <c r="E94" i="10" s="1"/>
  <c r="T94" i="10"/>
  <c r="D94" i="10" s="1"/>
  <c r="S94" i="10"/>
  <c r="C94" i="10" s="1"/>
  <c r="AH93" i="10"/>
  <c r="Q93" i="10" s="1"/>
  <c r="AG93" i="10"/>
  <c r="P93" i="10" s="1"/>
  <c r="AF93" i="10"/>
  <c r="O93" i="10" s="1"/>
  <c r="AE93" i="10"/>
  <c r="N93" i="10" s="1"/>
  <c r="AD93" i="10"/>
  <c r="AC93" i="10"/>
  <c r="M93" i="10" s="1"/>
  <c r="AB93" i="10"/>
  <c r="L93" i="10" s="1"/>
  <c r="AA93" i="10"/>
  <c r="K93" i="10" s="1"/>
  <c r="Z93" i="10"/>
  <c r="J93" i="10" s="1"/>
  <c r="Y93" i="10"/>
  <c r="I93" i="10" s="1"/>
  <c r="X93" i="10"/>
  <c r="H93" i="10" s="1"/>
  <c r="W93" i="10"/>
  <c r="G93" i="10" s="1"/>
  <c r="V93" i="10"/>
  <c r="F93" i="10" s="1"/>
  <c r="U93" i="10"/>
  <c r="E93" i="10" s="1"/>
  <c r="T93" i="10"/>
  <c r="D93" i="10" s="1"/>
  <c r="S93" i="10"/>
  <c r="C93" i="10" s="1"/>
  <c r="AH92" i="10"/>
  <c r="Q92" i="10" s="1"/>
  <c r="AG92" i="10"/>
  <c r="P92" i="10" s="1"/>
  <c r="AF92" i="10"/>
  <c r="O92" i="10" s="1"/>
  <c r="AE92" i="10"/>
  <c r="N92" i="10" s="1"/>
  <c r="AD92" i="10"/>
  <c r="AC92" i="10"/>
  <c r="M92" i="10" s="1"/>
  <c r="AB92" i="10"/>
  <c r="L92" i="10" s="1"/>
  <c r="AA92" i="10"/>
  <c r="K92" i="10" s="1"/>
  <c r="Z92" i="10"/>
  <c r="J92" i="10" s="1"/>
  <c r="Y92" i="10"/>
  <c r="I92" i="10" s="1"/>
  <c r="X92" i="10"/>
  <c r="H92" i="10" s="1"/>
  <c r="W92" i="10"/>
  <c r="G92" i="10" s="1"/>
  <c r="V92" i="10"/>
  <c r="F92" i="10" s="1"/>
  <c r="U92" i="10"/>
  <c r="E92" i="10" s="1"/>
  <c r="T92" i="10"/>
  <c r="D92" i="10" s="1"/>
  <c r="S92" i="10"/>
  <c r="C92" i="10" s="1"/>
  <c r="AH91" i="10"/>
  <c r="Q91" i="10" s="1"/>
  <c r="AG91" i="10"/>
  <c r="P91" i="10" s="1"/>
  <c r="AF91" i="10"/>
  <c r="O91" i="10" s="1"/>
  <c r="AE91" i="10"/>
  <c r="N91" i="10" s="1"/>
  <c r="AD91" i="10"/>
  <c r="AC91" i="10"/>
  <c r="M91" i="10" s="1"/>
  <c r="AB91" i="10"/>
  <c r="L91" i="10" s="1"/>
  <c r="AA91" i="10"/>
  <c r="K91" i="10" s="1"/>
  <c r="Z91" i="10"/>
  <c r="J91" i="10" s="1"/>
  <c r="Y91" i="10"/>
  <c r="I91" i="10" s="1"/>
  <c r="X91" i="10"/>
  <c r="H91" i="10" s="1"/>
  <c r="W91" i="10"/>
  <c r="G91" i="10" s="1"/>
  <c r="V91" i="10"/>
  <c r="F91" i="10" s="1"/>
  <c r="U91" i="10"/>
  <c r="E91" i="10" s="1"/>
  <c r="T91" i="10"/>
  <c r="D91" i="10" s="1"/>
  <c r="S91" i="10"/>
  <c r="C91" i="10" s="1"/>
  <c r="AH90" i="10"/>
  <c r="Q90" i="10" s="1"/>
  <c r="AG90" i="10"/>
  <c r="P90" i="10" s="1"/>
  <c r="AF90" i="10"/>
  <c r="O90" i="10" s="1"/>
  <c r="AE90" i="10"/>
  <c r="N90" i="10" s="1"/>
  <c r="AD90" i="10"/>
  <c r="AC90" i="10"/>
  <c r="M90" i="10" s="1"/>
  <c r="AB90" i="10"/>
  <c r="L90" i="10" s="1"/>
  <c r="AA90" i="10"/>
  <c r="K90" i="10" s="1"/>
  <c r="Z90" i="10"/>
  <c r="J90" i="10" s="1"/>
  <c r="Y90" i="10"/>
  <c r="I90" i="10" s="1"/>
  <c r="X90" i="10"/>
  <c r="H90" i="10" s="1"/>
  <c r="W90" i="10"/>
  <c r="G90" i="10" s="1"/>
  <c r="V90" i="10"/>
  <c r="F90" i="10" s="1"/>
  <c r="U90" i="10"/>
  <c r="E90" i="10" s="1"/>
  <c r="T90" i="10"/>
  <c r="D90" i="10" s="1"/>
  <c r="S90" i="10"/>
  <c r="C90" i="10" s="1"/>
  <c r="AH89" i="10"/>
  <c r="Q89" i="10" s="1"/>
  <c r="AG89" i="10"/>
  <c r="P89" i="10" s="1"/>
  <c r="AF89" i="10"/>
  <c r="O89" i="10" s="1"/>
  <c r="AE89" i="10"/>
  <c r="N89" i="10" s="1"/>
  <c r="AD89" i="10"/>
  <c r="AC89" i="10"/>
  <c r="M89" i="10" s="1"/>
  <c r="AB89" i="10"/>
  <c r="L89" i="10" s="1"/>
  <c r="AA89" i="10"/>
  <c r="K89" i="10" s="1"/>
  <c r="Z89" i="10"/>
  <c r="J89" i="10" s="1"/>
  <c r="Y89" i="10"/>
  <c r="I89" i="10" s="1"/>
  <c r="X89" i="10"/>
  <c r="H89" i="10" s="1"/>
  <c r="W89" i="10"/>
  <c r="G89" i="10" s="1"/>
  <c r="V89" i="10"/>
  <c r="F89" i="10" s="1"/>
  <c r="U89" i="10"/>
  <c r="E89" i="10" s="1"/>
  <c r="T89" i="10"/>
  <c r="D89" i="10" s="1"/>
  <c r="S89" i="10"/>
  <c r="C89" i="10" s="1"/>
  <c r="AH88" i="10"/>
  <c r="Q88" i="10" s="1"/>
  <c r="AG88" i="10"/>
  <c r="P88" i="10" s="1"/>
  <c r="AF88" i="10"/>
  <c r="O88" i="10" s="1"/>
  <c r="AE88" i="10"/>
  <c r="N88" i="10" s="1"/>
  <c r="AD88" i="10"/>
  <c r="AC88" i="10"/>
  <c r="M88" i="10" s="1"/>
  <c r="AB88" i="10"/>
  <c r="L88" i="10" s="1"/>
  <c r="AA88" i="10"/>
  <c r="K88" i="10" s="1"/>
  <c r="Z88" i="10"/>
  <c r="J88" i="10" s="1"/>
  <c r="Y88" i="10"/>
  <c r="I88" i="10" s="1"/>
  <c r="X88" i="10"/>
  <c r="H88" i="10" s="1"/>
  <c r="W88" i="10"/>
  <c r="G88" i="10" s="1"/>
  <c r="V88" i="10"/>
  <c r="F88" i="10" s="1"/>
  <c r="U88" i="10"/>
  <c r="E88" i="10" s="1"/>
  <c r="T88" i="10"/>
  <c r="D88" i="10" s="1"/>
  <c r="S88" i="10"/>
  <c r="C88" i="10" s="1"/>
  <c r="AH87" i="10"/>
  <c r="Q87" i="10" s="1"/>
  <c r="AG87" i="10"/>
  <c r="P87" i="10" s="1"/>
  <c r="AF87" i="10"/>
  <c r="O87" i="10" s="1"/>
  <c r="AE87" i="10"/>
  <c r="N87" i="10" s="1"/>
  <c r="AD87" i="10"/>
  <c r="AC87" i="10"/>
  <c r="M87" i="10" s="1"/>
  <c r="AB87" i="10"/>
  <c r="L87" i="10" s="1"/>
  <c r="AA87" i="10"/>
  <c r="K87" i="10" s="1"/>
  <c r="Z87" i="10"/>
  <c r="J87" i="10" s="1"/>
  <c r="Y87" i="10"/>
  <c r="I87" i="10" s="1"/>
  <c r="X87" i="10"/>
  <c r="H87" i="10" s="1"/>
  <c r="W87" i="10"/>
  <c r="G87" i="10" s="1"/>
  <c r="V87" i="10"/>
  <c r="F87" i="10" s="1"/>
  <c r="U87" i="10"/>
  <c r="E87" i="10" s="1"/>
  <c r="T87" i="10"/>
  <c r="D87" i="10" s="1"/>
  <c r="S87" i="10"/>
  <c r="C87" i="10" s="1"/>
  <c r="AH86" i="10"/>
  <c r="Q86" i="10" s="1"/>
  <c r="AG86" i="10"/>
  <c r="P86" i="10" s="1"/>
  <c r="AF86" i="10"/>
  <c r="O86" i="10" s="1"/>
  <c r="AE86" i="10"/>
  <c r="N86" i="10" s="1"/>
  <c r="AD86" i="10"/>
  <c r="AC86" i="10"/>
  <c r="M86" i="10" s="1"/>
  <c r="AB86" i="10"/>
  <c r="L86" i="10" s="1"/>
  <c r="AA86" i="10"/>
  <c r="K86" i="10" s="1"/>
  <c r="Z86" i="10"/>
  <c r="J86" i="10" s="1"/>
  <c r="Y86" i="10"/>
  <c r="I86" i="10" s="1"/>
  <c r="X86" i="10"/>
  <c r="H86" i="10" s="1"/>
  <c r="W86" i="10"/>
  <c r="G86" i="10" s="1"/>
  <c r="V86" i="10"/>
  <c r="F86" i="10" s="1"/>
  <c r="U86" i="10"/>
  <c r="E86" i="10" s="1"/>
  <c r="T86" i="10"/>
  <c r="D86" i="10" s="1"/>
  <c r="S86" i="10"/>
  <c r="C86" i="10" s="1"/>
  <c r="AH85" i="10"/>
  <c r="Q85" i="10" s="1"/>
  <c r="AG85" i="10"/>
  <c r="P85" i="10" s="1"/>
  <c r="AF85" i="10"/>
  <c r="O85" i="10" s="1"/>
  <c r="AE85" i="10"/>
  <c r="N85" i="10" s="1"/>
  <c r="AD85" i="10"/>
  <c r="AC85" i="10"/>
  <c r="M85" i="10" s="1"/>
  <c r="AB85" i="10"/>
  <c r="L85" i="10" s="1"/>
  <c r="AA85" i="10"/>
  <c r="K85" i="10" s="1"/>
  <c r="Z85" i="10"/>
  <c r="J85" i="10" s="1"/>
  <c r="Y85" i="10"/>
  <c r="I85" i="10" s="1"/>
  <c r="X85" i="10"/>
  <c r="H85" i="10" s="1"/>
  <c r="W85" i="10"/>
  <c r="G85" i="10" s="1"/>
  <c r="V85" i="10"/>
  <c r="F85" i="10" s="1"/>
  <c r="U85" i="10"/>
  <c r="E85" i="10" s="1"/>
  <c r="T85" i="10"/>
  <c r="D85" i="10" s="1"/>
  <c r="S85" i="10"/>
  <c r="C85" i="10" s="1"/>
  <c r="AH84" i="10"/>
  <c r="Q84" i="10" s="1"/>
  <c r="AG84" i="10"/>
  <c r="P84" i="10" s="1"/>
  <c r="AF84" i="10"/>
  <c r="O84" i="10" s="1"/>
  <c r="AE84" i="10"/>
  <c r="N84" i="10" s="1"/>
  <c r="AD84" i="10"/>
  <c r="AC84" i="10"/>
  <c r="M84" i="10" s="1"/>
  <c r="AB84" i="10"/>
  <c r="L84" i="10" s="1"/>
  <c r="AA84" i="10"/>
  <c r="K84" i="10" s="1"/>
  <c r="Z84" i="10"/>
  <c r="J84" i="10" s="1"/>
  <c r="Y84" i="10"/>
  <c r="I84" i="10" s="1"/>
  <c r="X84" i="10"/>
  <c r="H84" i="10" s="1"/>
  <c r="W84" i="10"/>
  <c r="G84" i="10" s="1"/>
  <c r="V84" i="10"/>
  <c r="F84" i="10" s="1"/>
  <c r="U84" i="10"/>
  <c r="E84" i="10" s="1"/>
  <c r="T84" i="10"/>
  <c r="D84" i="10" s="1"/>
  <c r="S84" i="10"/>
  <c r="C84" i="10" s="1"/>
  <c r="AH83" i="10"/>
  <c r="Q83" i="10" s="1"/>
  <c r="AG83" i="10"/>
  <c r="P83" i="10" s="1"/>
  <c r="AF83" i="10"/>
  <c r="O83" i="10" s="1"/>
  <c r="AE83" i="10"/>
  <c r="N83" i="10" s="1"/>
  <c r="AD83" i="10"/>
  <c r="AC83" i="10"/>
  <c r="M83" i="10" s="1"/>
  <c r="AB83" i="10"/>
  <c r="L83" i="10" s="1"/>
  <c r="AA83" i="10"/>
  <c r="K83" i="10" s="1"/>
  <c r="Z83" i="10"/>
  <c r="J83" i="10" s="1"/>
  <c r="Y83" i="10"/>
  <c r="I83" i="10" s="1"/>
  <c r="X83" i="10"/>
  <c r="H83" i="10" s="1"/>
  <c r="W83" i="10"/>
  <c r="G83" i="10" s="1"/>
  <c r="V83" i="10"/>
  <c r="F83" i="10" s="1"/>
  <c r="U83" i="10"/>
  <c r="E83" i="10" s="1"/>
  <c r="T83" i="10"/>
  <c r="D83" i="10" s="1"/>
  <c r="S83" i="10"/>
  <c r="C83" i="10" s="1"/>
  <c r="AH82" i="10"/>
  <c r="Q82" i="10" s="1"/>
  <c r="AG82" i="10"/>
  <c r="P82" i="10" s="1"/>
  <c r="AF82" i="10"/>
  <c r="O82" i="10" s="1"/>
  <c r="AE82" i="10"/>
  <c r="N82" i="10" s="1"/>
  <c r="AD82" i="10"/>
  <c r="AC82" i="10"/>
  <c r="M82" i="10" s="1"/>
  <c r="AB82" i="10"/>
  <c r="L82" i="10" s="1"/>
  <c r="AA82" i="10"/>
  <c r="K82" i="10" s="1"/>
  <c r="Z82" i="10"/>
  <c r="J82" i="10" s="1"/>
  <c r="Y82" i="10"/>
  <c r="I82" i="10" s="1"/>
  <c r="X82" i="10"/>
  <c r="H82" i="10" s="1"/>
  <c r="W82" i="10"/>
  <c r="G82" i="10" s="1"/>
  <c r="V82" i="10"/>
  <c r="F82" i="10" s="1"/>
  <c r="U82" i="10"/>
  <c r="E82" i="10" s="1"/>
  <c r="T82" i="10"/>
  <c r="D82" i="10" s="1"/>
  <c r="S82" i="10"/>
  <c r="C82" i="10" s="1"/>
  <c r="AH81" i="10"/>
  <c r="Q81" i="10" s="1"/>
  <c r="AG81" i="10"/>
  <c r="P81" i="10" s="1"/>
  <c r="AF81" i="10"/>
  <c r="O81" i="10" s="1"/>
  <c r="AE81" i="10"/>
  <c r="N81" i="10" s="1"/>
  <c r="AD81" i="10"/>
  <c r="AC81" i="10"/>
  <c r="M81" i="10" s="1"/>
  <c r="AB81" i="10"/>
  <c r="L81" i="10" s="1"/>
  <c r="AA81" i="10"/>
  <c r="K81" i="10" s="1"/>
  <c r="Z81" i="10"/>
  <c r="J81" i="10" s="1"/>
  <c r="Y81" i="10"/>
  <c r="I81" i="10" s="1"/>
  <c r="X81" i="10"/>
  <c r="H81" i="10" s="1"/>
  <c r="W81" i="10"/>
  <c r="G81" i="10" s="1"/>
  <c r="V81" i="10"/>
  <c r="F81" i="10" s="1"/>
  <c r="U81" i="10"/>
  <c r="E81" i="10" s="1"/>
  <c r="T81" i="10"/>
  <c r="D81" i="10" s="1"/>
  <c r="S81" i="10"/>
  <c r="C81" i="10" s="1"/>
  <c r="AH80" i="10"/>
  <c r="Q80" i="10" s="1"/>
  <c r="AG80" i="10"/>
  <c r="P80" i="10" s="1"/>
  <c r="AF80" i="10"/>
  <c r="O80" i="10" s="1"/>
  <c r="AE80" i="10"/>
  <c r="N80" i="10" s="1"/>
  <c r="AD80" i="10"/>
  <c r="AC80" i="10"/>
  <c r="M80" i="10" s="1"/>
  <c r="AB80" i="10"/>
  <c r="L80" i="10" s="1"/>
  <c r="AA80" i="10"/>
  <c r="K80" i="10" s="1"/>
  <c r="Z80" i="10"/>
  <c r="J80" i="10" s="1"/>
  <c r="Y80" i="10"/>
  <c r="I80" i="10" s="1"/>
  <c r="X80" i="10"/>
  <c r="H80" i="10" s="1"/>
  <c r="W80" i="10"/>
  <c r="G80" i="10" s="1"/>
  <c r="V80" i="10"/>
  <c r="F80" i="10" s="1"/>
  <c r="U80" i="10"/>
  <c r="E80" i="10" s="1"/>
  <c r="T80" i="10"/>
  <c r="D80" i="10" s="1"/>
  <c r="S80" i="10"/>
  <c r="C80" i="10" s="1"/>
  <c r="AH79" i="10"/>
  <c r="Q79" i="10" s="1"/>
  <c r="AG79" i="10"/>
  <c r="P79" i="10" s="1"/>
  <c r="AF79" i="10"/>
  <c r="O79" i="10" s="1"/>
  <c r="AE79" i="10"/>
  <c r="N79" i="10" s="1"/>
  <c r="AD79" i="10"/>
  <c r="AC79" i="10"/>
  <c r="M79" i="10" s="1"/>
  <c r="AB79" i="10"/>
  <c r="L79" i="10" s="1"/>
  <c r="AA79" i="10"/>
  <c r="K79" i="10" s="1"/>
  <c r="Z79" i="10"/>
  <c r="J79" i="10" s="1"/>
  <c r="Y79" i="10"/>
  <c r="I79" i="10" s="1"/>
  <c r="X79" i="10"/>
  <c r="H79" i="10" s="1"/>
  <c r="W79" i="10"/>
  <c r="G79" i="10" s="1"/>
  <c r="V79" i="10"/>
  <c r="F79" i="10" s="1"/>
  <c r="U79" i="10"/>
  <c r="E79" i="10" s="1"/>
  <c r="T79" i="10"/>
  <c r="D79" i="10" s="1"/>
  <c r="S79" i="10"/>
  <c r="C79" i="10" s="1"/>
  <c r="AH78" i="10"/>
  <c r="Q78" i="10" s="1"/>
  <c r="AG78" i="10"/>
  <c r="P78" i="10" s="1"/>
  <c r="AF78" i="10"/>
  <c r="O78" i="10" s="1"/>
  <c r="AE78" i="10"/>
  <c r="N78" i="10" s="1"/>
  <c r="AD78" i="10"/>
  <c r="AC78" i="10"/>
  <c r="M78" i="10" s="1"/>
  <c r="AB78" i="10"/>
  <c r="L78" i="10" s="1"/>
  <c r="AA78" i="10"/>
  <c r="K78" i="10" s="1"/>
  <c r="Z78" i="10"/>
  <c r="J78" i="10" s="1"/>
  <c r="Y78" i="10"/>
  <c r="I78" i="10" s="1"/>
  <c r="X78" i="10"/>
  <c r="H78" i="10" s="1"/>
  <c r="W78" i="10"/>
  <c r="G78" i="10" s="1"/>
  <c r="V78" i="10"/>
  <c r="F78" i="10" s="1"/>
  <c r="U78" i="10"/>
  <c r="E78" i="10" s="1"/>
  <c r="T78" i="10"/>
  <c r="D78" i="10" s="1"/>
  <c r="S78" i="10"/>
  <c r="C78" i="10" s="1"/>
  <c r="AH77" i="10"/>
  <c r="Q77" i="10" s="1"/>
  <c r="AG77" i="10"/>
  <c r="P77" i="10" s="1"/>
  <c r="AF77" i="10"/>
  <c r="O77" i="10" s="1"/>
  <c r="AE77" i="10"/>
  <c r="N77" i="10" s="1"/>
  <c r="AD77" i="10"/>
  <c r="AC77" i="10"/>
  <c r="M77" i="10" s="1"/>
  <c r="AB77" i="10"/>
  <c r="L77" i="10" s="1"/>
  <c r="AA77" i="10"/>
  <c r="K77" i="10" s="1"/>
  <c r="Z77" i="10"/>
  <c r="J77" i="10" s="1"/>
  <c r="Y77" i="10"/>
  <c r="I77" i="10" s="1"/>
  <c r="X77" i="10"/>
  <c r="H77" i="10" s="1"/>
  <c r="W77" i="10"/>
  <c r="G77" i="10" s="1"/>
  <c r="V77" i="10"/>
  <c r="F77" i="10" s="1"/>
  <c r="U77" i="10"/>
  <c r="E77" i="10" s="1"/>
  <c r="T77" i="10"/>
  <c r="D77" i="10" s="1"/>
  <c r="S77" i="10"/>
  <c r="C77" i="10" s="1"/>
  <c r="AH76" i="10"/>
  <c r="Q76" i="10" s="1"/>
  <c r="AG76" i="10"/>
  <c r="P76" i="10" s="1"/>
  <c r="AF76" i="10"/>
  <c r="O76" i="10" s="1"/>
  <c r="AE76" i="10"/>
  <c r="N76" i="10" s="1"/>
  <c r="AD76" i="10"/>
  <c r="AC76" i="10"/>
  <c r="M76" i="10" s="1"/>
  <c r="AB76" i="10"/>
  <c r="L76" i="10" s="1"/>
  <c r="AA76" i="10"/>
  <c r="K76" i="10" s="1"/>
  <c r="Z76" i="10"/>
  <c r="J76" i="10" s="1"/>
  <c r="Y76" i="10"/>
  <c r="I76" i="10" s="1"/>
  <c r="X76" i="10"/>
  <c r="H76" i="10" s="1"/>
  <c r="W76" i="10"/>
  <c r="G76" i="10" s="1"/>
  <c r="V76" i="10"/>
  <c r="F76" i="10" s="1"/>
  <c r="U76" i="10"/>
  <c r="E76" i="10" s="1"/>
  <c r="T76" i="10"/>
  <c r="D76" i="10" s="1"/>
  <c r="S76" i="10"/>
  <c r="C76" i="10" s="1"/>
  <c r="AH75" i="10"/>
  <c r="Q75" i="10" s="1"/>
  <c r="AG75" i="10"/>
  <c r="P75" i="10" s="1"/>
  <c r="AF75" i="10"/>
  <c r="O75" i="10" s="1"/>
  <c r="AE75" i="10"/>
  <c r="N75" i="10" s="1"/>
  <c r="AD75" i="10"/>
  <c r="AC75" i="10"/>
  <c r="M75" i="10" s="1"/>
  <c r="AB75" i="10"/>
  <c r="L75" i="10" s="1"/>
  <c r="AA75" i="10"/>
  <c r="K75" i="10" s="1"/>
  <c r="Z75" i="10"/>
  <c r="J75" i="10" s="1"/>
  <c r="Y75" i="10"/>
  <c r="I75" i="10" s="1"/>
  <c r="X75" i="10"/>
  <c r="H75" i="10" s="1"/>
  <c r="W75" i="10"/>
  <c r="G75" i="10" s="1"/>
  <c r="V75" i="10"/>
  <c r="F75" i="10" s="1"/>
  <c r="U75" i="10"/>
  <c r="E75" i="10" s="1"/>
  <c r="T75" i="10"/>
  <c r="D75" i="10" s="1"/>
  <c r="S75" i="10"/>
  <c r="C75" i="10" s="1"/>
  <c r="AH74" i="10"/>
  <c r="Q74" i="10" s="1"/>
  <c r="AG74" i="10"/>
  <c r="P74" i="10" s="1"/>
  <c r="AF74" i="10"/>
  <c r="O74" i="10" s="1"/>
  <c r="AE74" i="10"/>
  <c r="N74" i="10" s="1"/>
  <c r="AD74" i="10"/>
  <c r="AC74" i="10"/>
  <c r="M74" i="10" s="1"/>
  <c r="AB74" i="10"/>
  <c r="L74" i="10" s="1"/>
  <c r="AA74" i="10"/>
  <c r="K74" i="10" s="1"/>
  <c r="Z74" i="10"/>
  <c r="J74" i="10" s="1"/>
  <c r="Y74" i="10"/>
  <c r="I74" i="10" s="1"/>
  <c r="X74" i="10"/>
  <c r="H74" i="10" s="1"/>
  <c r="W74" i="10"/>
  <c r="G74" i="10" s="1"/>
  <c r="V74" i="10"/>
  <c r="F74" i="10" s="1"/>
  <c r="U74" i="10"/>
  <c r="E74" i="10" s="1"/>
  <c r="T74" i="10"/>
  <c r="D74" i="10" s="1"/>
  <c r="S74" i="10"/>
  <c r="C74" i="10" s="1"/>
  <c r="AH73" i="10"/>
  <c r="Q73" i="10" s="1"/>
  <c r="AG73" i="10"/>
  <c r="P73" i="10" s="1"/>
  <c r="AF73" i="10"/>
  <c r="O73" i="10" s="1"/>
  <c r="AE73" i="10"/>
  <c r="N73" i="10" s="1"/>
  <c r="AD73" i="10"/>
  <c r="AC73" i="10"/>
  <c r="M73" i="10" s="1"/>
  <c r="AB73" i="10"/>
  <c r="L73" i="10" s="1"/>
  <c r="AA73" i="10"/>
  <c r="K73" i="10" s="1"/>
  <c r="Z73" i="10"/>
  <c r="J73" i="10" s="1"/>
  <c r="Y73" i="10"/>
  <c r="I73" i="10" s="1"/>
  <c r="X73" i="10"/>
  <c r="H73" i="10" s="1"/>
  <c r="W73" i="10"/>
  <c r="G73" i="10" s="1"/>
  <c r="V73" i="10"/>
  <c r="F73" i="10" s="1"/>
  <c r="U73" i="10"/>
  <c r="E73" i="10" s="1"/>
  <c r="T73" i="10"/>
  <c r="D73" i="10" s="1"/>
  <c r="S73" i="10"/>
  <c r="C73" i="10" s="1"/>
  <c r="AH72" i="10"/>
  <c r="Q72" i="10" s="1"/>
  <c r="AG72" i="10"/>
  <c r="P72" i="10" s="1"/>
  <c r="AF72" i="10"/>
  <c r="O72" i="10" s="1"/>
  <c r="AE72" i="10"/>
  <c r="N72" i="10" s="1"/>
  <c r="AD72" i="10"/>
  <c r="AC72" i="10"/>
  <c r="M72" i="10" s="1"/>
  <c r="AB72" i="10"/>
  <c r="L72" i="10" s="1"/>
  <c r="AA72" i="10"/>
  <c r="K72" i="10" s="1"/>
  <c r="Z72" i="10"/>
  <c r="J72" i="10" s="1"/>
  <c r="Y72" i="10"/>
  <c r="I72" i="10" s="1"/>
  <c r="X72" i="10"/>
  <c r="H72" i="10" s="1"/>
  <c r="W72" i="10"/>
  <c r="G72" i="10" s="1"/>
  <c r="V72" i="10"/>
  <c r="F72" i="10" s="1"/>
  <c r="U72" i="10"/>
  <c r="E72" i="10" s="1"/>
  <c r="T72" i="10"/>
  <c r="D72" i="10" s="1"/>
  <c r="S72" i="10"/>
  <c r="C72" i="10" s="1"/>
  <c r="AH71" i="10"/>
  <c r="Q71" i="10" s="1"/>
  <c r="AG71" i="10"/>
  <c r="P71" i="10" s="1"/>
  <c r="AF71" i="10"/>
  <c r="O71" i="10" s="1"/>
  <c r="AE71" i="10"/>
  <c r="N71" i="10" s="1"/>
  <c r="AD71" i="10"/>
  <c r="AC71" i="10"/>
  <c r="M71" i="10" s="1"/>
  <c r="AB71" i="10"/>
  <c r="L71" i="10" s="1"/>
  <c r="AA71" i="10"/>
  <c r="K71" i="10" s="1"/>
  <c r="Z71" i="10"/>
  <c r="J71" i="10" s="1"/>
  <c r="Y71" i="10"/>
  <c r="I71" i="10" s="1"/>
  <c r="X71" i="10"/>
  <c r="H71" i="10" s="1"/>
  <c r="W71" i="10"/>
  <c r="G71" i="10" s="1"/>
  <c r="V71" i="10"/>
  <c r="F71" i="10" s="1"/>
  <c r="U71" i="10"/>
  <c r="E71" i="10" s="1"/>
  <c r="T71" i="10"/>
  <c r="D71" i="10" s="1"/>
  <c r="S71" i="10"/>
  <c r="C71" i="10" s="1"/>
  <c r="AH70" i="10"/>
  <c r="Q70" i="10" s="1"/>
  <c r="AG70" i="10"/>
  <c r="P70" i="10" s="1"/>
  <c r="AF70" i="10"/>
  <c r="O70" i="10" s="1"/>
  <c r="AE70" i="10"/>
  <c r="N70" i="10" s="1"/>
  <c r="AD70" i="10"/>
  <c r="AC70" i="10"/>
  <c r="M70" i="10" s="1"/>
  <c r="AB70" i="10"/>
  <c r="L70" i="10" s="1"/>
  <c r="AA70" i="10"/>
  <c r="K70" i="10" s="1"/>
  <c r="Z70" i="10"/>
  <c r="J70" i="10" s="1"/>
  <c r="Y70" i="10"/>
  <c r="I70" i="10" s="1"/>
  <c r="X70" i="10"/>
  <c r="H70" i="10" s="1"/>
  <c r="W70" i="10"/>
  <c r="G70" i="10" s="1"/>
  <c r="V70" i="10"/>
  <c r="F70" i="10" s="1"/>
  <c r="U70" i="10"/>
  <c r="E70" i="10" s="1"/>
  <c r="T70" i="10"/>
  <c r="D70" i="10" s="1"/>
  <c r="S70" i="10"/>
  <c r="C70" i="10" s="1"/>
  <c r="AH69" i="10"/>
  <c r="Q69" i="10" s="1"/>
  <c r="AG69" i="10"/>
  <c r="P69" i="10" s="1"/>
  <c r="AF69" i="10"/>
  <c r="O69" i="10" s="1"/>
  <c r="AE69" i="10"/>
  <c r="N69" i="10" s="1"/>
  <c r="AD69" i="10"/>
  <c r="AC69" i="10"/>
  <c r="M69" i="10" s="1"/>
  <c r="AB69" i="10"/>
  <c r="L69" i="10" s="1"/>
  <c r="AA69" i="10"/>
  <c r="K69" i="10" s="1"/>
  <c r="Z69" i="10"/>
  <c r="J69" i="10" s="1"/>
  <c r="Y69" i="10"/>
  <c r="I69" i="10" s="1"/>
  <c r="X69" i="10"/>
  <c r="H69" i="10" s="1"/>
  <c r="W69" i="10"/>
  <c r="G69" i="10" s="1"/>
  <c r="V69" i="10"/>
  <c r="F69" i="10" s="1"/>
  <c r="U69" i="10"/>
  <c r="E69" i="10" s="1"/>
  <c r="T69" i="10"/>
  <c r="D69" i="10" s="1"/>
  <c r="S69" i="10"/>
  <c r="C69" i="10" s="1"/>
  <c r="AH68" i="10"/>
  <c r="Q68" i="10" s="1"/>
  <c r="AG68" i="10"/>
  <c r="P68" i="10" s="1"/>
  <c r="AF68" i="10"/>
  <c r="O68" i="10" s="1"/>
  <c r="AE68" i="10"/>
  <c r="N68" i="10" s="1"/>
  <c r="AD68" i="10"/>
  <c r="AC68" i="10"/>
  <c r="M68" i="10" s="1"/>
  <c r="AB68" i="10"/>
  <c r="L68" i="10" s="1"/>
  <c r="AA68" i="10"/>
  <c r="K68" i="10" s="1"/>
  <c r="Z68" i="10"/>
  <c r="J68" i="10" s="1"/>
  <c r="Y68" i="10"/>
  <c r="I68" i="10" s="1"/>
  <c r="X68" i="10"/>
  <c r="H68" i="10" s="1"/>
  <c r="W68" i="10"/>
  <c r="G68" i="10" s="1"/>
  <c r="V68" i="10"/>
  <c r="F68" i="10" s="1"/>
  <c r="U68" i="10"/>
  <c r="E68" i="10" s="1"/>
  <c r="T68" i="10"/>
  <c r="D68" i="10" s="1"/>
  <c r="S68" i="10"/>
  <c r="C68" i="10" s="1"/>
  <c r="AH67" i="10"/>
  <c r="Q67" i="10" s="1"/>
  <c r="AG67" i="10"/>
  <c r="P67" i="10" s="1"/>
  <c r="AF67" i="10"/>
  <c r="O67" i="10" s="1"/>
  <c r="AE67" i="10"/>
  <c r="N67" i="10" s="1"/>
  <c r="AD67" i="10"/>
  <c r="AC67" i="10"/>
  <c r="M67" i="10" s="1"/>
  <c r="AB67" i="10"/>
  <c r="L67" i="10" s="1"/>
  <c r="AA67" i="10"/>
  <c r="K67" i="10" s="1"/>
  <c r="Z67" i="10"/>
  <c r="J67" i="10" s="1"/>
  <c r="Y67" i="10"/>
  <c r="I67" i="10" s="1"/>
  <c r="X67" i="10"/>
  <c r="H67" i="10" s="1"/>
  <c r="W67" i="10"/>
  <c r="G67" i="10" s="1"/>
  <c r="V67" i="10"/>
  <c r="F67" i="10" s="1"/>
  <c r="U67" i="10"/>
  <c r="E67" i="10" s="1"/>
  <c r="T67" i="10"/>
  <c r="D67" i="10" s="1"/>
  <c r="S67" i="10"/>
  <c r="C67" i="10" s="1"/>
  <c r="AH66" i="10"/>
  <c r="Q66" i="10" s="1"/>
  <c r="AG66" i="10"/>
  <c r="P66" i="10" s="1"/>
  <c r="AF66" i="10"/>
  <c r="O66" i="10" s="1"/>
  <c r="AE66" i="10"/>
  <c r="N66" i="10" s="1"/>
  <c r="AD66" i="10"/>
  <c r="AC66" i="10"/>
  <c r="M66" i="10" s="1"/>
  <c r="AB66" i="10"/>
  <c r="L66" i="10" s="1"/>
  <c r="AA66" i="10"/>
  <c r="K66" i="10" s="1"/>
  <c r="Z66" i="10"/>
  <c r="J66" i="10" s="1"/>
  <c r="Y66" i="10"/>
  <c r="I66" i="10" s="1"/>
  <c r="X66" i="10"/>
  <c r="H66" i="10" s="1"/>
  <c r="W66" i="10"/>
  <c r="G66" i="10" s="1"/>
  <c r="V66" i="10"/>
  <c r="F66" i="10" s="1"/>
  <c r="U66" i="10"/>
  <c r="E66" i="10" s="1"/>
  <c r="T66" i="10"/>
  <c r="D66" i="10" s="1"/>
  <c r="S66" i="10"/>
  <c r="C66" i="10" s="1"/>
  <c r="AH65" i="10"/>
  <c r="Q65" i="10" s="1"/>
  <c r="AG65" i="10"/>
  <c r="P65" i="10" s="1"/>
  <c r="AF65" i="10"/>
  <c r="O65" i="10" s="1"/>
  <c r="AE65" i="10"/>
  <c r="N65" i="10" s="1"/>
  <c r="AD65" i="10"/>
  <c r="AC65" i="10"/>
  <c r="M65" i="10" s="1"/>
  <c r="AB65" i="10"/>
  <c r="L65" i="10" s="1"/>
  <c r="AA65" i="10"/>
  <c r="K65" i="10" s="1"/>
  <c r="Z65" i="10"/>
  <c r="J65" i="10" s="1"/>
  <c r="Y65" i="10"/>
  <c r="I65" i="10" s="1"/>
  <c r="X65" i="10"/>
  <c r="H65" i="10" s="1"/>
  <c r="W65" i="10"/>
  <c r="G65" i="10" s="1"/>
  <c r="V65" i="10"/>
  <c r="F65" i="10" s="1"/>
  <c r="U65" i="10"/>
  <c r="E65" i="10" s="1"/>
  <c r="T65" i="10"/>
  <c r="D65" i="10" s="1"/>
  <c r="S65" i="10"/>
  <c r="C65" i="10" s="1"/>
  <c r="AH64" i="10"/>
  <c r="Q64" i="10" s="1"/>
  <c r="AG64" i="10"/>
  <c r="P64" i="10" s="1"/>
  <c r="AF64" i="10"/>
  <c r="O64" i="10" s="1"/>
  <c r="AE64" i="10"/>
  <c r="N64" i="10" s="1"/>
  <c r="AD64" i="10"/>
  <c r="AC64" i="10"/>
  <c r="M64" i="10" s="1"/>
  <c r="AB64" i="10"/>
  <c r="L64" i="10" s="1"/>
  <c r="AA64" i="10"/>
  <c r="K64" i="10" s="1"/>
  <c r="Z64" i="10"/>
  <c r="J64" i="10" s="1"/>
  <c r="Y64" i="10"/>
  <c r="I64" i="10" s="1"/>
  <c r="X64" i="10"/>
  <c r="H64" i="10" s="1"/>
  <c r="W64" i="10"/>
  <c r="G64" i="10" s="1"/>
  <c r="V64" i="10"/>
  <c r="F64" i="10" s="1"/>
  <c r="U64" i="10"/>
  <c r="E64" i="10" s="1"/>
  <c r="T64" i="10"/>
  <c r="D64" i="10" s="1"/>
  <c r="S64" i="10"/>
  <c r="C64" i="10" s="1"/>
  <c r="AH63" i="10"/>
  <c r="Q63" i="10" s="1"/>
  <c r="AG63" i="10"/>
  <c r="P63" i="10" s="1"/>
  <c r="AF63" i="10"/>
  <c r="O63" i="10" s="1"/>
  <c r="AE63" i="10"/>
  <c r="N63" i="10" s="1"/>
  <c r="AD63" i="10"/>
  <c r="AC63" i="10"/>
  <c r="M63" i="10" s="1"/>
  <c r="AB63" i="10"/>
  <c r="L63" i="10" s="1"/>
  <c r="AA63" i="10"/>
  <c r="K63" i="10" s="1"/>
  <c r="Z63" i="10"/>
  <c r="J63" i="10" s="1"/>
  <c r="Y63" i="10"/>
  <c r="I63" i="10" s="1"/>
  <c r="X63" i="10"/>
  <c r="H63" i="10" s="1"/>
  <c r="W63" i="10"/>
  <c r="G63" i="10" s="1"/>
  <c r="V63" i="10"/>
  <c r="F63" i="10" s="1"/>
  <c r="U63" i="10"/>
  <c r="E63" i="10" s="1"/>
  <c r="T63" i="10"/>
  <c r="D63" i="10" s="1"/>
  <c r="S63" i="10"/>
  <c r="C63" i="10" s="1"/>
  <c r="AH62" i="10"/>
  <c r="Q62" i="10" s="1"/>
  <c r="AG62" i="10"/>
  <c r="P62" i="10" s="1"/>
  <c r="AF62" i="10"/>
  <c r="O62" i="10" s="1"/>
  <c r="AE62" i="10"/>
  <c r="N62" i="10" s="1"/>
  <c r="AD62" i="10"/>
  <c r="AC62" i="10"/>
  <c r="M62" i="10" s="1"/>
  <c r="AB62" i="10"/>
  <c r="L62" i="10" s="1"/>
  <c r="AA62" i="10"/>
  <c r="K62" i="10" s="1"/>
  <c r="Z62" i="10"/>
  <c r="J62" i="10" s="1"/>
  <c r="Y62" i="10"/>
  <c r="I62" i="10" s="1"/>
  <c r="X62" i="10"/>
  <c r="H62" i="10" s="1"/>
  <c r="W62" i="10"/>
  <c r="G62" i="10" s="1"/>
  <c r="V62" i="10"/>
  <c r="F62" i="10" s="1"/>
  <c r="U62" i="10"/>
  <c r="E62" i="10" s="1"/>
  <c r="T62" i="10"/>
  <c r="D62" i="10" s="1"/>
  <c r="S62" i="10"/>
  <c r="C62" i="10" s="1"/>
  <c r="AH61" i="10"/>
  <c r="Q61" i="10" s="1"/>
  <c r="AG61" i="10"/>
  <c r="P61" i="10" s="1"/>
  <c r="AF61" i="10"/>
  <c r="O61" i="10" s="1"/>
  <c r="AE61" i="10"/>
  <c r="N61" i="10" s="1"/>
  <c r="AD61" i="10"/>
  <c r="AC61" i="10"/>
  <c r="M61" i="10" s="1"/>
  <c r="AB61" i="10"/>
  <c r="L61" i="10" s="1"/>
  <c r="AA61" i="10"/>
  <c r="K61" i="10" s="1"/>
  <c r="Z61" i="10"/>
  <c r="J61" i="10" s="1"/>
  <c r="Y61" i="10"/>
  <c r="I61" i="10" s="1"/>
  <c r="X61" i="10"/>
  <c r="H61" i="10" s="1"/>
  <c r="W61" i="10"/>
  <c r="G61" i="10" s="1"/>
  <c r="V61" i="10"/>
  <c r="F61" i="10" s="1"/>
  <c r="U61" i="10"/>
  <c r="E61" i="10" s="1"/>
  <c r="T61" i="10"/>
  <c r="D61" i="10" s="1"/>
  <c r="S61" i="10"/>
  <c r="C61" i="10" s="1"/>
  <c r="AH60" i="10"/>
  <c r="Q60" i="10" s="1"/>
  <c r="AG60" i="10"/>
  <c r="P60" i="10" s="1"/>
  <c r="AF60" i="10"/>
  <c r="O60" i="10" s="1"/>
  <c r="AE60" i="10"/>
  <c r="N60" i="10" s="1"/>
  <c r="AD60" i="10"/>
  <c r="AC60" i="10"/>
  <c r="M60" i="10" s="1"/>
  <c r="AB60" i="10"/>
  <c r="L60" i="10" s="1"/>
  <c r="AA60" i="10"/>
  <c r="K60" i="10" s="1"/>
  <c r="Z60" i="10"/>
  <c r="J60" i="10" s="1"/>
  <c r="Y60" i="10"/>
  <c r="I60" i="10" s="1"/>
  <c r="X60" i="10"/>
  <c r="H60" i="10" s="1"/>
  <c r="W60" i="10"/>
  <c r="G60" i="10" s="1"/>
  <c r="V60" i="10"/>
  <c r="F60" i="10" s="1"/>
  <c r="U60" i="10"/>
  <c r="E60" i="10" s="1"/>
  <c r="T60" i="10"/>
  <c r="D60" i="10" s="1"/>
  <c r="S60" i="10"/>
  <c r="C60" i="10" s="1"/>
  <c r="AH59" i="10"/>
  <c r="Q59" i="10" s="1"/>
  <c r="AG59" i="10"/>
  <c r="P59" i="10" s="1"/>
  <c r="AF59" i="10"/>
  <c r="O59" i="10" s="1"/>
  <c r="AE59" i="10"/>
  <c r="N59" i="10" s="1"/>
  <c r="AD59" i="10"/>
  <c r="AC59" i="10"/>
  <c r="M59" i="10" s="1"/>
  <c r="AB59" i="10"/>
  <c r="L59" i="10" s="1"/>
  <c r="AA59" i="10"/>
  <c r="K59" i="10" s="1"/>
  <c r="Z59" i="10"/>
  <c r="J59" i="10" s="1"/>
  <c r="Y59" i="10"/>
  <c r="I59" i="10" s="1"/>
  <c r="X59" i="10"/>
  <c r="H59" i="10" s="1"/>
  <c r="W59" i="10"/>
  <c r="G59" i="10" s="1"/>
  <c r="V59" i="10"/>
  <c r="F59" i="10" s="1"/>
  <c r="U59" i="10"/>
  <c r="E59" i="10" s="1"/>
  <c r="T59" i="10"/>
  <c r="D59" i="10" s="1"/>
  <c r="S59" i="10"/>
  <c r="C59" i="10" s="1"/>
  <c r="AH58" i="10"/>
  <c r="Q58" i="10" s="1"/>
  <c r="AG58" i="10"/>
  <c r="P58" i="10" s="1"/>
  <c r="AF58" i="10"/>
  <c r="O58" i="10" s="1"/>
  <c r="AE58" i="10"/>
  <c r="N58" i="10" s="1"/>
  <c r="AD58" i="10"/>
  <c r="AC58" i="10"/>
  <c r="M58" i="10" s="1"/>
  <c r="AB58" i="10"/>
  <c r="L58" i="10" s="1"/>
  <c r="AA58" i="10"/>
  <c r="K58" i="10" s="1"/>
  <c r="Z58" i="10"/>
  <c r="J58" i="10" s="1"/>
  <c r="Y58" i="10"/>
  <c r="I58" i="10" s="1"/>
  <c r="X58" i="10"/>
  <c r="H58" i="10" s="1"/>
  <c r="W58" i="10"/>
  <c r="G58" i="10" s="1"/>
  <c r="V58" i="10"/>
  <c r="F58" i="10" s="1"/>
  <c r="U58" i="10"/>
  <c r="E58" i="10" s="1"/>
  <c r="T58" i="10"/>
  <c r="D58" i="10" s="1"/>
  <c r="S58" i="10"/>
  <c r="C58" i="10" s="1"/>
  <c r="AH57" i="10"/>
  <c r="Q57" i="10" s="1"/>
  <c r="AG57" i="10"/>
  <c r="P57" i="10" s="1"/>
  <c r="AF57" i="10"/>
  <c r="O57" i="10" s="1"/>
  <c r="AE57" i="10"/>
  <c r="N57" i="10" s="1"/>
  <c r="AD57" i="10"/>
  <c r="AC57" i="10"/>
  <c r="M57" i="10" s="1"/>
  <c r="AB57" i="10"/>
  <c r="L57" i="10" s="1"/>
  <c r="AA57" i="10"/>
  <c r="K57" i="10" s="1"/>
  <c r="Z57" i="10"/>
  <c r="J57" i="10" s="1"/>
  <c r="Y57" i="10"/>
  <c r="I57" i="10" s="1"/>
  <c r="X57" i="10"/>
  <c r="H57" i="10" s="1"/>
  <c r="W57" i="10"/>
  <c r="G57" i="10" s="1"/>
  <c r="V57" i="10"/>
  <c r="F57" i="10" s="1"/>
  <c r="U57" i="10"/>
  <c r="E57" i="10" s="1"/>
  <c r="T57" i="10"/>
  <c r="D57" i="10" s="1"/>
  <c r="S57" i="10"/>
  <c r="AH56" i="10"/>
  <c r="Q56" i="10" s="1"/>
  <c r="AG56" i="10"/>
  <c r="P56" i="10" s="1"/>
  <c r="AF56" i="10"/>
  <c r="O56" i="10" s="1"/>
  <c r="AE56" i="10"/>
  <c r="N56" i="10" s="1"/>
  <c r="AD56" i="10"/>
  <c r="AC56" i="10"/>
  <c r="M56" i="10" s="1"/>
  <c r="AB56" i="10"/>
  <c r="L56" i="10" s="1"/>
  <c r="AA56" i="10"/>
  <c r="K56" i="10" s="1"/>
  <c r="Z56" i="10"/>
  <c r="J56" i="10" s="1"/>
  <c r="Y56" i="10"/>
  <c r="I56" i="10" s="1"/>
  <c r="X56" i="10"/>
  <c r="W56" i="10"/>
  <c r="G56" i="10" s="1"/>
  <c r="V56" i="10"/>
  <c r="F56" i="10" s="1"/>
  <c r="U56" i="10"/>
  <c r="E56" i="10" s="1"/>
  <c r="T56" i="10"/>
  <c r="D56" i="10" s="1"/>
  <c r="S56" i="10"/>
  <c r="C56" i="10" s="1"/>
  <c r="AH55" i="10"/>
  <c r="Q55" i="10" s="1"/>
  <c r="AG55" i="10"/>
  <c r="P55" i="10" s="1"/>
  <c r="AF55" i="10"/>
  <c r="O55" i="10" s="1"/>
  <c r="AE55" i="10"/>
  <c r="N55" i="10" s="1"/>
  <c r="AD55" i="10"/>
  <c r="AC55" i="10"/>
  <c r="M55" i="10" s="1"/>
  <c r="AB55" i="10"/>
  <c r="L55" i="10" s="1"/>
  <c r="AA55" i="10"/>
  <c r="K55" i="10" s="1"/>
  <c r="Z55" i="10"/>
  <c r="Y55" i="10"/>
  <c r="I55" i="10" s="1"/>
  <c r="X55" i="10"/>
  <c r="H55" i="10" s="1"/>
  <c r="W55" i="10"/>
  <c r="G55" i="10" s="1"/>
  <c r="V55" i="10"/>
  <c r="F55" i="10" s="1"/>
  <c r="U55" i="10"/>
  <c r="E55" i="10" s="1"/>
  <c r="T55" i="10"/>
  <c r="D55" i="10" s="1"/>
  <c r="S55" i="10"/>
  <c r="C55" i="10" s="1"/>
  <c r="AH54" i="10"/>
  <c r="Q54" i="10" s="1"/>
  <c r="AG54" i="10"/>
  <c r="P54" i="10" s="1"/>
  <c r="AF54" i="10"/>
  <c r="O54" i="10" s="1"/>
  <c r="AE54" i="10"/>
  <c r="N54" i="10" s="1"/>
  <c r="AD54" i="10"/>
  <c r="AC54" i="10"/>
  <c r="M54" i="10" s="1"/>
  <c r="AB54" i="10"/>
  <c r="L54" i="10" s="1"/>
  <c r="AA54" i="10"/>
  <c r="K54" i="10" s="1"/>
  <c r="Z54" i="10"/>
  <c r="J54" i="10" s="1"/>
  <c r="Y54" i="10"/>
  <c r="I54" i="10" s="1"/>
  <c r="X54" i="10"/>
  <c r="H54" i="10" s="1"/>
  <c r="W54" i="10"/>
  <c r="G54" i="10" s="1"/>
  <c r="V54" i="10"/>
  <c r="F54" i="10" s="1"/>
  <c r="U54" i="10"/>
  <c r="E54" i="10" s="1"/>
  <c r="T54" i="10"/>
  <c r="D54" i="10" s="1"/>
  <c r="S54" i="10"/>
  <c r="C54" i="10" s="1"/>
  <c r="AH53" i="10"/>
  <c r="Q53" i="10" s="1"/>
  <c r="AG53" i="10"/>
  <c r="P53" i="10" s="1"/>
  <c r="AF53" i="10"/>
  <c r="O53" i="10" s="1"/>
  <c r="AE53" i="10"/>
  <c r="N53" i="10" s="1"/>
  <c r="AD53" i="10"/>
  <c r="AC53" i="10"/>
  <c r="M53" i="10" s="1"/>
  <c r="AB53" i="10"/>
  <c r="L53" i="10" s="1"/>
  <c r="AA53" i="10"/>
  <c r="K53" i="10" s="1"/>
  <c r="Z53" i="10"/>
  <c r="J53" i="10" s="1"/>
  <c r="Y53" i="10"/>
  <c r="I53" i="10" s="1"/>
  <c r="X53" i="10"/>
  <c r="H53" i="10" s="1"/>
  <c r="W53" i="10"/>
  <c r="G53" i="10" s="1"/>
  <c r="V53" i="10"/>
  <c r="F53" i="10" s="1"/>
  <c r="U53" i="10"/>
  <c r="E53" i="10" s="1"/>
  <c r="T53" i="10"/>
  <c r="D53" i="10" s="1"/>
  <c r="S53" i="10"/>
  <c r="C53" i="10" s="1"/>
  <c r="AH52" i="10"/>
  <c r="Q52" i="10" s="1"/>
  <c r="AG52" i="10"/>
  <c r="P52" i="10" s="1"/>
  <c r="AF52" i="10"/>
  <c r="O52" i="10" s="1"/>
  <c r="AE52" i="10"/>
  <c r="N52" i="10" s="1"/>
  <c r="AD52" i="10"/>
  <c r="AC52" i="10"/>
  <c r="M52" i="10" s="1"/>
  <c r="AB52" i="10"/>
  <c r="L52" i="10" s="1"/>
  <c r="AA52" i="10"/>
  <c r="K52" i="10" s="1"/>
  <c r="Z52" i="10"/>
  <c r="J52" i="10" s="1"/>
  <c r="Y52" i="10"/>
  <c r="I52" i="10" s="1"/>
  <c r="X52" i="10"/>
  <c r="H52" i="10" s="1"/>
  <c r="W52" i="10"/>
  <c r="G52" i="10" s="1"/>
  <c r="V52" i="10"/>
  <c r="F52" i="10" s="1"/>
  <c r="U52" i="10"/>
  <c r="E52" i="10" s="1"/>
  <c r="T52" i="10"/>
  <c r="D52" i="10" s="1"/>
  <c r="S52" i="10"/>
  <c r="C52" i="10" s="1"/>
  <c r="AH51" i="10"/>
  <c r="Q51" i="10" s="1"/>
  <c r="AG51" i="10"/>
  <c r="P51" i="10" s="1"/>
  <c r="AF51" i="10"/>
  <c r="O51" i="10" s="1"/>
  <c r="AE51" i="10"/>
  <c r="N51" i="10" s="1"/>
  <c r="AD51" i="10"/>
  <c r="AC51" i="10"/>
  <c r="M51" i="10" s="1"/>
  <c r="AB51" i="10"/>
  <c r="L51" i="10" s="1"/>
  <c r="AA51" i="10"/>
  <c r="K51" i="10" s="1"/>
  <c r="Z51" i="10"/>
  <c r="J51" i="10" s="1"/>
  <c r="Y51" i="10"/>
  <c r="I51" i="10" s="1"/>
  <c r="X51" i="10"/>
  <c r="H51" i="10" s="1"/>
  <c r="W51" i="10"/>
  <c r="G51" i="10" s="1"/>
  <c r="V51" i="10"/>
  <c r="F51" i="10" s="1"/>
  <c r="U51" i="10"/>
  <c r="E51" i="10" s="1"/>
  <c r="T51" i="10"/>
  <c r="D51" i="10" s="1"/>
  <c r="S51" i="10"/>
  <c r="C51" i="10" s="1"/>
  <c r="AH50" i="10"/>
  <c r="Q50" i="10" s="1"/>
  <c r="AG50" i="10"/>
  <c r="P50" i="10" s="1"/>
  <c r="AF50" i="10"/>
  <c r="O50" i="10" s="1"/>
  <c r="AE50" i="10"/>
  <c r="N50" i="10" s="1"/>
  <c r="AD50" i="10"/>
  <c r="AC50" i="10"/>
  <c r="M50" i="10" s="1"/>
  <c r="AB50" i="10"/>
  <c r="AA50" i="10"/>
  <c r="K50" i="10" s="1"/>
  <c r="Z50" i="10"/>
  <c r="J50" i="10" s="1"/>
  <c r="Y50" i="10"/>
  <c r="I50" i="10" s="1"/>
  <c r="X50" i="10"/>
  <c r="H50" i="10" s="1"/>
  <c r="W50" i="10"/>
  <c r="G50" i="10" s="1"/>
  <c r="V50" i="10"/>
  <c r="F50" i="10" s="1"/>
  <c r="U50" i="10"/>
  <c r="E50" i="10" s="1"/>
  <c r="T50" i="10"/>
  <c r="D50" i="10" s="1"/>
  <c r="S50" i="10"/>
  <c r="C50" i="10" s="1"/>
  <c r="AH49" i="10"/>
  <c r="Q49" i="10" s="1"/>
  <c r="AG49" i="10"/>
  <c r="P49" i="10" s="1"/>
  <c r="AF49" i="10"/>
  <c r="O49" i="10" s="1"/>
  <c r="AE49" i="10"/>
  <c r="N49" i="10" s="1"/>
  <c r="AD49" i="10"/>
  <c r="AC49" i="10"/>
  <c r="M49" i="10" s="1"/>
  <c r="AB49" i="10"/>
  <c r="L49" i="10" s="1"/>
  <c r="AA49" i="10"/>
  <c r="K49" i="10" s="1"/>
  <c r="Z49" i="10"/>
  <c r="J49" i="10" s="1"/>
  <c r="Y49" i="10"/>
  <c r="I49" i="10" s="1"/>
  <c r="X49" i="10"/>
  <c r="H49" i="10" s="1"/>
  <c r="W49" i="10"/>
  <c r="G49" i="10" s="1"/>
  <c r="V49" i="10"/>
  <c r="F49" i="10" s="1"/>
  <c r="U49" i="10"/>
  <c r="E49" i="10" s="1"/>
  <c r="T49" i="10"/>
  <c r="D49" i="10" s="1"/>
  <c r="S49" i="10"/>
  <c r="C49" i="10" s="1"/>
  <c r="AH48" i="10"/>
  <c r="Q48" i="10" s="1"/>
  <c r="AG48" i="10"/>
  <c r="P48" i="10" s="1"/>
  <c r="AF48" i="10"/>
  <c r="O48" i="10" s="1"/>
  <c r="AE48" i="10"/>
  <c r="N48" i="10" s="1"/>
  <c r="AD48" i="10"/>
  <c r="AC48" i="10"/>
  <c r="M48" i="10" s="1"/>
  <c r="AB48" i="10"/>
  <c r="L48" i="10" s="1"/>
  <c r="AA48" i="10"/>
  <c r="K48" i="10" s="1"/>
  <c r="Z48" i="10"/>
  <c r="J48" i="10" s="1"/>
  <c r="Y48" i="10"/>
  <c r="I48" i="10" s="1"/>
  <c r="X48" i="10"/>
  <c r="H48" i="10" s="1"/>
  <c r="W48" i="10"/>
  <c r="G48" i="10" s="1"/>
  <c r="V48" i="10"/>
  <c r="F48" i="10" s="1"/>
  <c r="U48" i="10"/>
  <c r="E48" i="10" s="1"/>
  <c r="T48" i="10"/>
  <c r="D48" i="10" s="1"/>
  <c r="S48" i="10"/>
  <c r="C48" i="10" s="1"/>
  <c r="AH47" i="10"/>
  <c r="Q47" i="10" s="1"/>
  <c r="AG47" i="10"/>
  <c r="P47" i="10" s="1"/>
  <c r="AF47" i="10"/>
  <c r="O47" i="10" s="1"/>
  <c r="AE47" i="10"/>
  <c r="N47" i="10" s="1"/>
  <c r="AD47" i="10"/>
  <c r="AC47" i="10"/>
  <c r="M47" i="10" s="1"/>
  <c r="AB47" i="10"/>
  <c r="L47" i="10" s="1"/>
  <c r="AA47" i="10"/>
  <c r="K47" i="10" s="1"/>
  <c r="Z47" i="10"/>
  <c r="J47" i="10" s="1"/>
  <c r="Y47" i="10"/>
  <c r="I47" i="10" s="1"/>
  <c r="X47" i="10"/>
  <c r="H47" i="10" s="1"/>
  <c r="W47" i="10"/>
  <c r="G47" i="10" s="1"/>
  <c r="V47" i="10"/>
  <c r="F47" i="10" s="1"/>
  <c r="U47" i="10"/>
  <c r="E47" i="10" s="1"/>
  <c r="T47" i="10"/>
  <c r="D47" i="10" s="1"/>
  <c r="S47" i="10"/>
  <c r="C47" i="10" s="1"/>
  <c r="AH46" i="10"/>
  <c r="Q46" i="10" s="1"/>
  <c r="AG46" i="10"/>
  <c r="P46" i="10" s="1"/>
  <c r="AF46" i="10"/>
  <c r="O46" i="10" s="1"/>
  <c r="AE46" i="10"/>
  <c r="N46" i="10" s="1"/>
  <c r="AD46" i="10"/>
  <c r="AC46" i="10"/>
  <c r="M46" i="10" s="1"/>
  <c r="AB46" i="10"/>
  <c r="L46" i="10" s="1"/>
  <c r="AA46" i="10"/>
  <c r="K46" i="10" s="1"/>
  <c r="Z46" i="10"/>
  <c r="J46" i="10" s="1"/>
  <c r="Y46" i="10"/>
  <c r="I46" i="10" s="1"/>
  <c r="X46" i="10"/>
  <c r="H46" i="10" s="1"/>
  <c r="W46" i="10"/>
  <c r="G46" i="10" s="1"/>
  <c r="V46" i="10"/>
  <c r="F46" i="10" s="1"/>
  <c r="U46" i="10"/>
  <c r="E46" i="10" s="1"/>
  <c r="T46" i="10"/>
  <c r="D46" i="10" s="1"/>
  <c r="S46" i="10"/>
  <c r="C46" i="10" s="1"/>
  <c r="AH45" i="10"/>
  <c r="Q45" i="10" s="1"/>
  <c r="AG45" i="10"/>
  <c r="P45" i="10" s="1"/>
  <c r="AF45" i="10"/>
  <c r="O45" i="10" s="1"/>
  <c r="AE45" i="10"/>
  <c r="N45" i="10" s="1"/>
  <c r="AD45" i="10"/>
  <c r="AC45" i="10"/>
  <c r="M45" i="10" s="1"/>
  <c r="AB45" i="10"/>
  <c r="L45" i="10" s="1"/>
  <c r="AA45" i="10"/>
  <c r="K45" i="10" s="1"/>
  <c r="Z45" i="10"/>
  <c r="J45" i="10" s="1"/>
  <c r="Y45" i="10"/>
  <c r="I45" i="10" s="1"/>
  <c r="X45" i="10"/>
  <c r="H45" i="10" s="1"/>
  <c r="W45" i="10"/>
  <c r="G45" i="10" s="1"/>
  <c r="V45" i="10"/>
  <c r="F45" i="10" s="1"/>
  <c r="U45" i="10"/>
  <c r="E45" i="10" s="1"/>
  <c r="T45" i="10"/>
  <c r="D45" i="10" s="1"/>
  <c r="S45" i="10"/>
  <c r="C45" i="10" s="1"/>
  <c r="AH44" i="10"/>
  <c r="Q44" i="10" s="1"/>
  <c r="AG44" i="10"/>
  <c r="P44" i="10" s="1"/>
  <c r="AF44" i="10"/>
  <c r="O44" i="10" s="1"/>
  <c r="AE44" i="10"/>
  <c r="N44" i="10" s="1"/>
  <c r="AD44" i="10"/>
  <c r="AC44" i="10"/>
  <c r="M44" i="10" s="1"/>
  <c r="AB44" i="10"/>
  <c r="L44" i="10" s="1"/>
  <c r="AA44" i="10"/>
  <c r="K44" i="10" s="1"/>
  <c r="Z44" i="10"/>
  <c r="J44" i="10" s="1"/>
  <c r="Y44" i="10"/>
  <c r="I44" i="10" s="1"/>
  <c r="X44" i="10"/>
  <c r="H44" i="10" s="1"/>
  <c r="W44" i="10"/>
  <c r="G44" i="10" s="1"/>
  <c r="V44" i="10"/>
  <c r="F44" i="10" s="1"/>
  <c r="U44" i="10"/>
  <c r="E44" i="10" s="1"/>
  <c r="T44" i="10"/>
  <c r="D44" i="10" s="1"/>
  <c r="S44" i="10"/>
  <c r="C44" i="10" s="1"/>
  <c r="AH43" i="10"/>
  <c r="Q43" i="10" s="1"/>
  <c r="AG43" i="10"/>
  <c r="P43" i="10" s="1"/>
  <c r="AF43" i="10"/>
  <c r="O43" i="10" s="1"/>
  <c r="AE43" i="10"/>
  <c r="N43" i="10" s="1"/>
  <c r="AD43" i="10"/>
  <c r="AC43" i="10"/>
  <c r="M43" i="10" s="1"/>
  <c r="AB43" i="10"/>
  <c r="L43" i="10" s="1"/>
  <c r="AA43" i="10"/>
  <c r="K43" i="10" s="1"/>
  <c r="Z43" i="10"/>
  <c r="J43" i="10" s="1"/>
  <c r="Y43" i="10"/>
  <c r="I43" i="10" s="1"/>
  <c r="X43" i="10"/>
  <c r="H43" i="10" s="1"/>
  <c r="W43" i="10"/>
  <c r="G43" i="10" s="1"/>
  <c r="V43" i="10"/>
  <c r="F43" i="10" s="1"/>
  <c r="U43" i="10"/>
  <c r="E43" i="10" s="1"/>
  <c r="T43" i="10"/>
  <c r="D43" i="10" s="1"/>
  <c r="S43" i="10"/>
  <c r="C43" i="10" s="1"/>
  <c r="AH42" i="10"/>
  <c r="Q42" i="10" s="1"/>
  <c r="AG42" i="10"/>
  <c r="P42" i="10" s="1"/>
  <c r="AF42" i="10"/>
  <c r="O42" i="10" s="1"/>
  <c r="AE42" i="10"/>
  <c r="N42" i="10" s="1"/>
  <c r="AD42" i="10"/>
  <c r="AC42" i="10"/>
  <c r="M42" i="10" s="1"/>
  <c r="AB42" i="10"/>
  <c r="L42" i="10" s="1"/>
  <c r="AA42" i="10"/>
  <c r="K42" i="10" s="1"/>
  <c r="Z42" i="10"/>
  <c r="J42" i="10" s="1"/>
  <c r="Y42" i="10"/>
  <c r="I42" i="10" s="1"/>
  <c r="X42" i="10"/>
  <c r="H42" i="10" s="1"/>
  <c r="W42" i="10"/>
  <c r="G42" i="10" s="1"/>
  <c r="V42" i="10"/>
  <c r="F42" i="10" s="1"/>
  <c r="U42" i="10"/>
  <c r="E42" i="10" s="1"/>
  <c r="T42" i="10"/>
  <c r="D42" i="10" s="1"/>
  <c r="S42" i="10"/>
  <c r="C42" i="10" s="1"/>
  <c r="AH41" i="10"/>
  <c r="Q41" i="10" s="1"/>
  <c r="AG41" i="10"/>
  <c r="P41" i="10" s="1"/>
  <c r="AF41" i="10"/>
  <c r="O41" i="10" s="1"/>
  <c r="AE41" i="10"/>
  <c r="N41" i="10" s="1"/>
  <c r="AD41" i="10"/>
  <c r="AC41" i="10"/>
  <c r="M41" i="10" s="1"/>
  <c r="AB41" i="10"/>
  <c r="L41" i="10" s="1"/>
  <c r="AA41" i="10"/>
  <c r="K41" i="10" s="1"/>
  <c r="Z41" i="10"/>
  <c r="J41" i="10" s="1"/>
  <c r="Y41" i="10"/>
  <c r="I41" i="10" s="1"/>
  <c r="X41" i="10"/>
  <c r="H41" i="10" s="1"/>
  <c r="W41" i="10"/>
  <c r="G41" i="10" s="1"/>
  <c r="V41" i="10"/>
  <c r="F41" i="10" s="1"/>
  <c r="U41" i="10"/>
  <c r="E41" i="10" s="1"/>
  <c r="T41" i="10"/>
  <c r="D41" i="10" s="1"/>
  <c r="S41" i="10"/>
  <c r="C41" i="10" s="1"/>
  <c r="AH40" i="10"/>
  <c r="Q40" i="10" s="1"/>
  <c r="AG40" i="10"/>
  <c r="P40" i="10" s="1"/>
  <c r="AF40" i="10"/>
  <c r="O40" i="10" s="1"/>
  <c r="AE40" i="10"/>
  <c r="N40" i="10" s="1"/>
  <c r="AD40" i="10"/>
  <c r="AC40" i="10"/>
  <c r="M40" i="10" s="1"/>
  <c r="AB40" i="10"/>
  <c r="L40" i="10" s="1"/>
  <c r="AA40" i="10"/>
  <c r="K40" i="10" s="1"/>
  <c r="Z40" i="10"/>
  <c r="J40" i="10" s="1"/>
  <c r="Y40" i="10"/>
  <c r="I40" i="10" s="1"/>
  <c r="X40" i="10"/>
  <c r="H40" i="10" s="1"/>
  <c r="W40" i="10"/>
  <c r="G40" i="10" s="1"/>
  <c r="V40" i="10"/>
  <c r="F40" i="10" s="1"/>
  <c r="U40" i="10"/>
  <c r="E40" i="10" s="1"/>
  <c r="T40" i="10"/>
  <c r="D40" i="10" s="1"/>
  <c r="S40" i="10"/>
  <c r="C40" i="10" s="1"/>
  <c r="AH39" i="10"/>
  <c r="Q39" i="10" s="1"/>
  <c r="AG39" i="10"/>
  <c r="P39" i="10" s="1"/>
  <c r="AF39" i="10"/>
  <c r="O39" i="10" s="1"/>
  <c r="AE39" i="10"/>
  <c r="N39" i="10" s="1"/>
  <c r="AD39" i="10"/>
  <c r="AC39" i="10"/>
  <c r="M39" i="10" s="1"/>
  <c r="AB39" i="10"/>
  <c r="L39" i="10" s="1"/>
  <c r="AA39" i="10"/>
  <c r="K39" i="10" s="1"/>
  <c r="Z39" i="10"/>
  <c r="J39" i="10" s="1"/>
  <c r="Y39" i="10"/>
  <c r="I39" i="10" s="1"/>
  <c r="X39" i="10"/>
  <c r="H39" i="10" s="1"/>
  <c r="W39" i="10"/>
  <c r="G39" i="10" s="1"/>
  <c r="V39" i="10"/>
  <c r="F39" i="10" s="1"/>
  <c r="U39" i="10"/>
  <c r="E39" i="10" s="1"/>
  <c r="T39" i="10"/>
  <c r="D39" i="10" s="1"/>
  <c r="S39" i="10"/>
  <c r="C39" i="10" s="1"/>
  <c r="AH38" i="10"/>
  <c r="Q38" i="10" s="1"/>
  <c r="AG38" i="10"/>
  <c r="P38" i="10" s="1"/>
  <c r="AF38" i="10"/>
  <c r="O38" i="10" s="1"/>
  <c r="AE38" i="10"/>
  <c r="N38" i="10" s="1"/>
  <c r="AD38" i="10"/>
  <c r="AC38" i="10"/>
  <c r="M38" i="10" s="1"/>
  <c r="AB38" i="10"/>
  <c r="L38" i="10" s="1"/>
  <c r="AA38" i="10"/>
  <c r="K38" i="10" s="1"/>
  <c r="Z38" i="10"/>
  <c r="J38" i="10" s="1"/>
  <c r="Y38" i="10"/>
  <c r="I38" i="10" s="1"/>
  <c r="X38" i="10"/>
  <c r="H38" i="10" s="1"/>
  <c r="W38" i="10"/>
  <c r="G38" i="10" s="1"/>
  <c r="V38" i="10"/>
  <c r="F38" i="10" s="1"/>
  <c r="U38" i="10"/>
  <c r="E38" i="10" s="1"/>
  <c r="T38" i="10"/>
  <c r="D38" i="10" s="1"/>
  <c r="S38" i="10"/>
  <c r="C38" i="10" s="1"/>
  <c r="AH37" i="10"/>
  <c r="Q37" i="10" s="1"/>
  <c r="AG37" i="10"/>
  <c r="P37" i="10" s="1"/>
  <c r="AF37" i="10"/>
  <c r="O37" i="10" s="1"/>
  <c r="AE37" i="10"/>
  <c r="N37" i="10" s="1"/>
  <c r="AD37" i="10"/>
  <c r="AC37" i="10"/>
  <c r="M37" i="10" s="1"/>
  <c r="AB37" i="10"/>
  <c r="L37" i="10" s="1"/>
  <c r="AA37" i="10"/>
  <c r="K37" i="10" s="1"/>
  <c r="Z37" i="10"/>
  <c r="J37" i="10" s="1"/>
  <c r="Y37" i="10"/>
  <c r="I37" i="10" s="1"/>
  <c r="X37" i="10"/>
  <c r="H37" i="10" s="1"/>
  <c r="W37" i="10"/>
  <c r="G37" i="10" s="1"/>
  <c r="V37" i="10"/>
  <c r="F37" i="10" s="1"/>
  <c r="U37" i="10"/>
  <c r="E37" i="10" s="1"/>
  <c r="T37" i="10"/>
  <c r="D37" i="10" s="1"/>
  <c r="S37" i="10"/>
  <c r="C37" i="10" s="1"/>
  <c r="AH36" i="10"/>
  <c r="Q36" i="10" s="1"/>
  <c r="AG36" i="10"/>
  <c r="P36" i="10" s="1"/>
  <c r="AF36" i="10"/>
  <c r="O36" i="10" s="1"/>
  <c r="AE36" i="10"/>
  <c r="N36" i="10" s="1"/>
  <c r="AD36" i="10"/>
  <c r="AC36" i="10"/>
  <c r="M36" i="10" s="1"/>
  <c r="AB36" i="10"/>
  <c r="L36" i="10" s="1"/>
  <c r="AA36" i="10"/>
  <c r="K36" i="10" s="1"/>
  <c r="Z36" i="10"/>
  <c r="J36" i="10" s="1"/>
  <c r="Y36" i="10"/>
  <c r="I36" i="10" s="1"/>
  <c r="X36" i="10"/>
  <c r="H36" i="10" s="1"/>
  <c r="W36" i="10"/>
  <c r="G36" i="10" s="1"/>
  <c r="V36" i="10"/>
  <c r="F36" i="10" s="1"/>
  <c r="U36" i="10"/>
  <c r="E36" i="10" s="1"/>
  <c r="T36" i="10"/>
  <c r="D36" i="10" s="1"/>
  <c r="S36" i="10"/>
  <c r="C36" i="10" s="1"/>
  <c r="AH35" i="10"/>
  <c r="Q35" i="10" s="1"/>
  <c r="AG35" i="10"/>
  <c r="P35" i="10" s="1"/>
  <c r="AF35" i="10"/>
  <c r="O35" i="10" s="1"/>
  <c r="AE35" i="10"/>
  <c r="N35" i="10" s="1"/>
  <c r="AD35" i="10"/>
  <c r="AC35" i="10"/>
  <c r="M35" i="10" s="1"/>
  <c r="AB35" i="10"/>
  <c r="L35" i="10" s="1"/>
  <c r="AA35" i="10"/>
  <c r="K35" i="10" s="1"/>
  <c r="Z35" i="10"/>
  <c r="J35" i="10" s="1"/>
  <c r="Y35" i="10"/>
  <c r="I35" i="10" s="1"/>
  <c r="X35" i="10"/>
  <c r="H35" i="10" s="1"/>
  <c r="W35" i="10"/>
  <c r="G35" i="10" s="1"/>
  <c r="V35" i="10"/>
  <c r="F35" i="10" s="1"/>
  <c r="U35" i="10"/>
  <c r="E35" i="10" s="1"/>
  <c r="T35" i="10"/>
  <c r="D35" i="10" s="1"/>
  <c r="S35" i="10"/>
  <c r="C35" i="10" s="1"/>
  <c r="AH34" i="10"/>
  <c r="Q34" i="10" s="1"/>
  <c r="AG34" i="10"/>
  <c r="P34" i="10" s="1"/>
  <c r="AF34" i="10"/>
  <c r="O34" i="10" s="1"/>
  <c r="AE34" i="10"/>
  <c r="N34" i="10" s="1"/>
  <c r="AD34" i="10"/>
  <c r="AC34" i="10"/>
  <c r="M34" i="10" s="1"/>
  <c r="AB34" i="10"/>
  <c r="L34" i="10" s="1"/>
  <c r="AA34" i="10"/>
  <c r="K34" i="10" s="1"/>
  <c r="Z34" i="10"/>
  <c r="J34" i="10" s="1"/>
  <c r="Y34" i="10"/>
  <c r="I34" i="10" s="1"/>
  <c r="X34" i="10"/>
  <c r="H34" i="10" s="1"/>
  <c r="W34" i="10"/>
  <c r="G34" i="10" s="1"/>
  <c r="V34" i="10"/>
  <c r="F34" i="10" s="1"/>
  <c r="U34" i="10"/>
  <c r="E34" i="10" s="1"/>
  <c r="T34" i="10"/>
  <c r="D34" i="10" s="1"/>
  <c r="S34" i="10"/>
  <c r="C34" i="10" s="1"/>
  <c r="AH33" i="10"/>
  <c r="Q33" i="10" s="1"/>
  <c r="AG33" i="10"/>
  <c r="P33" i="10" s="1"/>
  <c r="AF33" i="10"/>
  <c r="O33" i="10" s="1"/>
  <c r="AE33" i="10"/>
  <c r="N33" i="10" s="1"/>
  <c r="AD33" i="10"/>
  <c r="AC33" i="10"/>
  <c r="M33" i="10" s="1"/>
  <c r="AB33" i="10"/>
  <c r="L33" i="10" s="1"/>
  <c r="AA33" i="10"/>
  <c r="K33" i="10" s="1"/>
  <c r="Z33" i="10"/>
  <c r="J33" i="10" s="1"/>
  <c r="Y33" i="10"/>
  <c r="I33" i="10" s="1"/>
  <c r="X33" i="10"/>
  <c r="H33" i="10" s="1"/>
  <c r="W33" i="10"/>
  <c r="G33" i="10" s="1"/>
  <c r="V33" i="10"/>
  <c r="F33" i="10" s="1"/>
  <c r="U33" i="10"/>
  <c r="E33" i="10" s="1"/>
  <c r="T33" i="10"/>
  <c r="D33" i="10" s="1"/>
  <c r="S33" i="10"/>
  <c r="C33" i="10" s="1"/>
  <c r="AH32" i="10"/>
  <c r="Q32" i="10" s="1"/>
  <c r="AG32" i="10"/>
  <c r="P32" i="10" s="1"/>
  <c r="AF32" i="10"/>
  <c r="O32" i="10" s="1"/>
  <c r="AE32" i="10"/>
  <c r="N32" i="10" s="1"/>
  <c r="AD32" i="10"/>
  <c r="AC32" i="10"/>
  <c r="M32" i="10" s="1"/>
  <c r="AB32" i="10"/>
  <c r="L32" i="10" s="1"/>
  <c r="AA32" i="10"/>
  <c r="K32" i="10" s="1"/>
  <c r="Z32" i="10"/>
  <c r="J32" i="10" s="1"/>
  <c r="Y32" i="10"/>
  <c r="I32" i="10" s="1"/>
  <c r="X32" i="10"/>
  <c r="H32" i="10" s="1"/>
  <c r="W32" i="10"/>
  <c r="G32" i="10" s="1"/>
  <c r="V32" i="10"/>
  <c r="F32" i="10" s="1"/>
  <c r="U32" i="10"/>
  <c r="E32" i="10" s="1"/>
  <c r="T32" i="10"/>
  <c r="D32" i="10" s="1"/>
  <c r="S32" i="10"/>
  <c r="C32" i="10" s="1"/>
  <c r="AH31" i="10"/>
  <c r="Q31" i="10" s="1"/>
  <c r="AG31" i="10"/>
  <c r="P31" i="10" s="1"/>
  <c r="AF31" i="10"/>
  <c r="O31" i="10" s="1"/>
  <c r="AE31" i="10"/>
  <c r="N31" i="10" s="1"/>
  <c r="AD31" i="10"/>
  <c r="AC31" i="10"/>
  <c r="M31" i="10" s="1"/>
  <c r="AB31" i="10"/>
  <c r="L31" i="10" s="1"/>
  <c r="AA31" i="10"/>
  <c r="K31" i="10" s="1"/>
  <c r="Z31" i="10"/>
  <c r="J31" i="10" s="1"/>
  <c r="Y31" i="10"/>
  <c r="I31" i="10" s="1"/>
  <c r="X31" i="10"/>
  <c r="H31" i="10" s="1"/>
  <c r="W31" i="10"/>
  <c r="G31" i="10" s="1"/>
  <c r="V31" i="10"/>
  <c r="F31" i="10" s="1"/>
  <c r="U31" i="10"/>
  <c r="E31" i="10" s="1"/>
  <c r="T31" i="10"/>
  <c r="D31" i="10" s="1"/>
  <c r="S31" i="10"/>
  <c r="C31" i="10" s="1"/>
  <c r="AH30" i="10"/>
  <c r="Q30" i="10" s="1"/>
  <c r="AG30" i="10"/>
  <c r="P30" i="10" s="1"/>
  <c r="AF30" i="10"/>
  <c r="O30" i="10" s="1"/>
  <c r="AE30" i="10"/>
  <c r="N30" i="10" s="1"/>
  <c r="AD30" i="10"/>
  <c r="AC30" i="10"/>
  <c r="M30" i="10" s="1"/>
  <c r="AB30" i="10"/>
  <c r="L30" i="10" s="1"/>
  <c r="AA30" i="10"/>
  <c r="K30" i="10" s="1"/>
  <c r="Z30" i="10"/>
  <c r="J30" i="10" s="1"/>
  <c r="Y30" i="10"/>
  <c r="I30" i="10" s="1"/>
  <c r="X30" i="10"/>
  <c r="H30" i="10" s="1"/>
  <c r="W30" i="10"/>
  <c r="G30" i="10" s="1"/>
  <c r="V30" i="10"/>
  <c r="F30" i="10" s="1"/>
  <c r="U30" i="10"/>
  <c r="E30" i="10" s="1"/>
  <c r="T30" i="10"/>
  <c r="D30" i="10" s="1"/>
  <c r="S30" i="10"/>
  <c r="C30" i="10" s="1"/>
  <c r="AH29" i="10"/>
  <c r="Q29" i="10" s="1"/>
  <c r="AG29" i="10"/>
  <c r="P29" i="10" s="1"/>
  <c r="AF29" i="10"/>
  <c r="O29" i="10" s="1"/>
  <c r="AE29" i="10"/>
  <c r="N29" i="10" s="1"/>
  <c r="AD29" i="10"/>
  <c r="AC29" i="10"/>
  <c r="M29" i="10" s="1"/>
  <c r="AB29" i="10"/>
  <c r="L29" i="10" s="1"/>
  <c r="AA29" i="10"/>
  <c r="K29" i="10" s="1"/>
  <c r="Z29" i="10"/>
  <c r="J29" i="10" s="1"/>
  <c r="Y29" i="10"/>
  <c r="I29" i="10" s="1"/>
  <c r="X29" i="10"/>
  <c r="H29" i="10" s="1"/>
  <c r="W29" i="10"/>
  <c r="G29" i="10" s="1"/>
  <c r="V29" i="10"/>
  <c r="F29" i="10" s="1"/>
  <c r="U29" i="10"/>
  <c r="E29" i="10" s="1"/>
  <c r="T29" i="10"/>
  <c r="D29" i="10" s="1"/>
  <c r="S29" i="10"/>
  <c r="C29" i="10" s="1"/>
  <c r="AH28" i="10"/>
  <c r="Q28" i="10" s="1"/>
  <c r="AG28" i="10"/>
  <c r="P28" i="10" s="1"/>
  <c r="AF28" i="10"/>
  <c r="O28" i="10" s="1"/>
  <c r="AE28" i="10"/>
  <c r="N28" i="10" s="1"/>
  <c r="AD28" i="10"/>
  <c r="AC28" i="10"/>
  <c r="M28" i="10" s="1"/>
  <c r="AB28" i="10"/>
  <c r="L28" i="10" s="1"/>
  <c r="AA28" i="10"/>
  <c r="K28" i="10" s="1"/>
  <c r="Z28" i="10"/>
  <c r="J28" i="10" s="1"/>
  <c r="Y28" i="10"/>
  <c r="I28" i="10" s="1"/>
  <c r="X28" i="10"/>
  <c r="H28" i="10" s="1"/>
  <c r="W28" i="10"/>
  <c r="G28" i="10" s="1"/>
  <c r="V28" i="10"/>
  <c r="F28" i="10" s="1"/>
  <c r="U28" i="10"/>
  <c r="E28" i="10" s="1"/>
  <c r="T28" i="10"/>
  <c r="D28" i="10" s="1"/>
  <c r="S28" i="10"/>
  <c r="C28" i="10" s="1"/>
  <c r="AH27" i="10"/>
  <c r="Q27" i="10" s="1"/>
  <c r="AG27" i="10"/>
  <c r="P27" i="10" s="1"/>
  <c r="AF27" i="10"/>
  <c r="O27" i="10" s="1"/>
  <c r="AE27" i="10"/>
  <c r="N27" i="10" s="1"/>
  <c r="AD27" i="10"/>
  <c r="AC27" i="10"/>
  <c r="M27" i="10" s="1"/>
  <c r="AB27" i="10"/>
  <c r="L27" i="10" s="1"/>
  <c r="AA27" i="10"/>
  <c r="K27" i="10" s="1"/>
  <c r="Z27" i="10"/>
  <c r="J27" i="10" s="1"/>
  <c r="Y27" i="10"/>
  <c r="I27" i="10" s="1"/>
  <c r="X27" i="10"/>
  <c r="H27" i="10" s="1"/>
  <c r="W27" i="10"/>
  <c r="G27" i="10" s="1"/>
  <c r="V27" i="10"/>
  <c r="F27" i="10" s="1"/>
  <c r="U27" i="10"/>
  <c r="E27" i="10" s="1"/>
  <c r="T27" i="10"/>
  <c r="D27" i="10" s="1"/>
  <c r="S27" i="10"/>
  <c r="C27" i="10" s="1"/>
  <c r="AH26" i="10"/>
  <c r="Q26" i="10" s="1"/>
  <c r="AG26" i="10"/>
  <c r="P26" i="10" s="1"/>
  <c r="AF26" i="10"/>
  <c r="O26" i="10" s="1"/>
  <c r="AE26" i="10"/>
  <c r="N26" i="10" s="1"/>
  <c r="AD26" i="10"/>
  <c r="AC26" i="10"/>
  <c r="M26" i="10" s="1"/>
  <c r="AB26" i="10"/>
  <c r="L26" i="10" s="1"/>
  <c r="AA26" i="10"/>
  <c r="K26" i="10" s="1"/>
  <c r="Z26" i="10"/>
  <c r="J26" i="10" s="1"/>
  <c r="Y26" i="10"/>
  <c r="I26" i="10" s="1"/>
  <c r="X26" i="10"/>
  <c r="H26" i="10" s="1"/>
  <c r="W26" i="10"/>
  <c r="G26" i="10" s="1"/>
  <c r="V26" i="10"/>
  <c r="F26" i="10" s="1"/>
  <c r="U26" i="10"/>
  <c r="E26" i="10" s="1"/>
  <c r="T26" i="10"/>
  <c r="D26" i="10" s="1"/>
  <c r="S26" i="10"/>
  <c r="C26" i="10" s="1"/>
  <c r="AH25" i="10"/>
  <c r="Q25" i="10" s="1"/>
  <c r="AG25" i="10"/>
  <c r="P25" i="10" s="1"/>
  <c r="AF25" i="10"/>
  <c r="O25" i="10" s="1"/>
  <c r="AE25" i="10"/>
  <c r="N25" i="10" s="1"/>
  <c r="AD25" i="10"/>
  <c r="AC25" i="10"/>
  <c r="M25" i="10" s="1"/>
  <c r="AB25" i="10"/>
  <c r="L25" i="10" s="1"/>
  <c r="AA25" i="10"/>
  <c r="K25" i="10" s="1"/>
  <c r="Z25" i="10"/>
  <c r="J25" i="10" s="1"/>
  <c r="Y25" i="10"/>
  <c r="I25" i="10" s="1"/>
  <c r="X25" i="10"/>
  <c r="H25" i="10" s="1"/>
  <c r="W25" i="10"/>
  <c r="G25" i="10" s="1"/>
  <c r="V25" i="10"/>
  <c r="F25" i="10" s="1"/>
  <c r="U25" i="10"/>
  <c r="E25" i="10" s="1"/>
  <c r="T25" i="10"/>
  <c r="D25" i="10" s="1"/>
  <c r="S25" i="10"/>
  <c r="C25" i="10" s="1"/>
  <c r="AH24" i="10"/>
  <c r="Q24" i="10" s="1"/>
  <c r="AG24" i="10"/>
  <c r="P24" i="10" s="1"/>
  <c r="AF24" i="10"/>
  <c r="O24" i="10" s="1"/>
  <c r="AE24" i="10"/>
  <c r="N24" i="10" s="1"/>
  <c r="AD24" i="10"/>
  <c r="AC24" i="10"/>
  <c r="M24" i="10" s="1"/>
  <c r="AB24" i="10"/>
  <c r="L24" i="10" s="1"/>
  <c r="AA24" i="10"/>
  <c r="K24" i="10" s="1"/>
  <c r="Z24" i="10"/>
  <c r="J24" i="10" s="1"/>
  <c r="Y24" i="10"/>
  <c r="I24" i="10" s="1"/>
  <c r="X24" i="10"/>
  <c r="H24" i="10" s="1"/>
  <c r="W24" i="10"/>
  <c r="G24" i="10" s="1"/>
  <c r="V24" i="10"/>
  <c r="F24" i="10" s="1"/>
  <c r="U24" i="10"/>
  <c r="E24" i="10" s="1"/>
  <c r="T24" i="10"/>
  <c r="D24" i="10" s="1"/>
  <c r="S24" i="10"/>
  <c r="C24" i="10" s="1"/>
  <c r="AH23" i="10"/>
  <c r="Q23" i="10" s="1"/>
  <c r="AG23" i="10"/>
  <c r="P23" i="10" s="1"/>
  <c r="AF23" i="10"/>
  <c r="O23" i="10" s="1"/>
  <c r="AE23" i="10"/>
  <c r="N23" i="10" s="1"/>
  <c r="AD23" i="10"/>
  <c r="AC23" i="10"/>
  <c r="M23" i="10" s="1"/>
  <c r="AB23" i="10"/>
  <c r="L23" i="10" s="1"/>
  <c r="AA23" i="10"/>
  <c r="K23" i="10" s="1"/>
  <c r="Z23" i="10"/>
  <c r="J23" i="10" s="1"/>
  <c r="Y23" i="10"/>
  <c r="I23" i="10" s="1"/>
  <c r="X23" i="10"/>
  <c r="H23" i="10" s="1"/>
  <c r="W23" i="10"/>
  <c r="G23" i="10" s="1"/>
  <c r="V23" i="10"/>
  <c r="F23" i="10" s="1"/>
  <c r="U23" i="10"/>
  <c r="E23" i="10" s="1"/>
  <c r="T23" i="10"/>
  <c r="D23" i="10" s="1"/>
  <c r="S23" i="10"/>
  <c r="C23" i="10" s="1"/>
  <c r="AH22" i="10"/>
  <c r="Q22" i="10" s="1"/>
  <c r="AG22" i="10"/>
  <c r="P22" i="10" s="1"/>
  <c r="AF22" i="10"/>
  <c r="O22" i="10" s="1"/>
  <c r="AE22" i="10"/>
  <c r="N22" i="10" s="1"/>
  <c r="AD22" i="10"/>
  <c r="AC22" i="10"/>
  <c r="M22" i="10" s="1"/>
  <c r="AB22" i="10"/>
  <c r="L22" i="10" s="1"/>
  <c r="AA22" i="10"/>
  <c r="K22" i="10" s="1"/>
  <c r="Z22" i="10"/>
  <c r="J22" i="10" s="1"/>
  <c r="Y22" i="10"/>
  <c r="I22" i="10" s="1"/>
  <c r="X22" i="10"/>
  <c r="H22" i="10" s="1"/>
  <c r="W22" i="10"/>
  <c r="G22" i="10" s="1"/>
  <c r="V22" i="10"/>
  <c r="F22" i="10" s="1"/>
  <c r="U22" i="10"/>
  <c r="E22" i="10" s="1"/>
  <c r="T22" i="10"/>
  <c r="D22" i="10" s="1"/>
  <c r="S22" i="10"/>
  <c r="C22" i="10" s="1"/>
  <c r="AH21" i="10"/>
  <c r="Q21" i="10" s="1"/>
  <c r="AG21" i="10"/>
  <c r="P21" i="10" s="1"/>
  <c r="AF21" i="10"/>
  <c r="O21" i="10" s="1"/>
  <c r="AE21" i="10"/>
  <c r="N21" i="10" s="1"/>
  <c r="AD21" i="10"/>
  <c r="AC21" i="10"/>
  <c r="M21" i="10" s="1"/>
  <c r="AB21" i="10"/>
  <c r="L21" i="10" s="1"/>
  <c r="AA21" i="10"/>
  <c r="K21" i="10" s="1"/>
  <c r="Z21" i="10"/>
  <c r="J21" i="10" s="1"/>
  <c r="Y21" i="10"/>
  <c r="I21" i="10" s="1"/>
  <c r="X21" i="10"/>
  <c r="H21" i="10" s="1"/>
  <c r="W21" i="10"/>
  <c r="G21" i="10" s="1"/>
  <c r="V21" i="10"/>
  <c r="F21" i="10" s="1"/>
  <c r="U21" i="10"/>
  <c r="E21" i="10" s="1"/>
  <c r="T21" i="10"/>
  <c r="D21" i="10" s="1"/>
  <c r="S21" i="10"/>
  <c r="C21" i="10" s="1"/>
  <c r="AH20" i="10"/>
  <c r="Q20" i="10" s="1"/>
  <c r="AG20" i="10"/>
  <c r="P20" i="10" s="1"/>
  <c r="AF20" i="10"/>
  <c r="O20" i="10" s="1"/>
  <c r="AE20" i="10"/>
  <c r="N20" i="10" s="1"/>
  <c r="AD20" i="10"/>
  <c r="AC20" i="10"/>
  <c r="M20" i="10" s="1"/>
  <c r="AB20" i="10"/>
  <c r="L20" i="10" s="1"/>
  <c r="AA20" i="10"/>
  <c r="K20" i="10" s="1"/>
  <c r="Z20" i="10"/>
  <c r="J20" i="10" s="1"/>
  <c r="Y20" i="10"/>
  <c r="I20" i="10" s="1"/>
  <c r="X20" i="10"/>
  <c r="H20" i="10" s="1"/>
  <c r="W20" i="10"/>
  <c r="G20" i="10" s="1"/>
  <c r="V20" i="10"/>
  <c r="F20" i="10" s="1"/>
  <c r="U20" i="10"/>
  <c r="E20" i="10" s="1"/>
  <c r="T20" i="10"/>
  <c r="D20" i="10" s="1"/>
  <c r="S20" i="10"/>
  <c r="C20" i="10" s="1"/>
  <c r="AH19" i="10"/>
  <c r="Q19" i="10" s="1"/>
  <c r="AG19" i="10"/>
  <c r="P19" i="10" s="1"/>
  <c r="AF19" i="10"/>
  <c r="O19" i="10" s="1"/>
  <c r="AE19" i="10"/>
  <c r="N19" i="10" s="1"/>
  <c r="AD19" i="10"/>
  <c r="AC19" i="10"/>
  <c r="M19" i="10" s="1"/>
  <c r="AB19" i="10"/>
  <c r="L19" i="10" s="1"/>
  <c r="AA19" i="10"/>
  <c r="K19" i="10" s="1"/>
  <c r="Z19" i="10"/>
  <c r="J19" i="10" s="1"/>
  <c r="Y19" i="10"/>
  <c r="I19" i="10" s="1"/>
  <c r="X19" i="10"/>
  <c r="H19" i="10" s="1"/>
  <c r="W19" i="10"/>
  <c r="G19" i="10" s="1"/>
  <c r="V19" i="10"/>
  <c r="F19" i="10" s="1"/>
  <c r="U19" i="10"/>
  <c r="E19" i="10" s="1"/>
  <c r="T19" i="10"/>
  <c r="D19" i="10" s="1"/>
  <c r="S19" i="10"/>
  <c r="C19" i="10" s="1"/>
  <c r="AH18" i="10"/>
  <c r="Q18" i="10" s="1"/>
  <c r="AG18" i="10"/>
  <c r="P18" i="10" s="1"/>
  <c r="AF18" i="10"/>
  <c r="O18" i="10" s="1"/>
  <c r="AE18" i="10"/>
  <c r="N18" i="10" s="1"/>
  <c r="AD18" i="10"/>
  <c r="AC18" i="10"/>
  <c r="M18" i="10" s="1"/>
  <c r="AB18" i="10"/>
  <c r="L18" i="10" s="1"/>
  <c r="AA18" i="10"/>
  <c r="K18" i="10" s="1"/>
  <c r="Z18" i="10"/>
  <c r="J18" i="10" s="1"/>
  <c r="Y18" i="10"/>
  <c r="I18" i="10" s="1"/>
  <c r="X18" i="10"/>
  <c r="H18" i="10" s="1"/>
  <c r="W18" i="10"/>
  <c r="G18" i="10" s="1"/>
  <c r="V18" i="10"/>
  <c r="F18" i="10" s="1"/>
  <c r="U18" i="10"/>
  <c r="E18" i="10" s="1"/>
  <c r="T18" i="10"/>
  <c r="D18" i="10" s="1"/>
  <c r="S18" i="10"/>
  <c r="C18" i="10" s="1"/>
  <c r="AH17" i="10"/>
  <c r="Q17" i="10" s="1"/>
  <c r="AG17" i="10"/>
  <c r="P17" i="10" s="1"/>
  <c r="AF17" i="10"/>
  <c r="O17" i="10" s="1"/>
  <c r="AE17" i="10"/>
  <c r="N17" i="10" s="1"/>
  <c r="AD17" i="10"/>
  <c r="AC17" i="10"/>
  <c r="M17" i="10" s="1"/>
  <c r="AB17" i="10"/>
  <c r="L17" i="10" s="1"/>
  <c r="AA17" i="10"/>
  <c r="K17" i="10" s="1"/>
  <c r="Z17" i="10"/>
  <c r="J17" i="10" s="1"/>
  <c r="Y17" i="10"/>
  <c r="I17" i="10" s="1"/>
  <c r="X17" i="10"/>
  <c r="W17" i="10"/>
  <c r="G17" i="10" s="1"/>
  <c r="V17" i="10"/>
  <c r="F17" i="10" s="1"/>
  <c r="U17" i="10"/>
  <c r="E17" i="10" s="1"/>
  <c r="T17" i="10"/>
  <c r="D17" i="10" s="1"/>
  <c r="S17" i="10"/>
  <c r="C17" i="10" s="1"/>
  <c r="AH16" i="10"/>
  <c r="Q16" i="10" s="1"/>
  <c r="AG16" i="10"/>
  <c r="P16" i="10" s="1"/>
  <c r="AF16" i="10"/>
  <c r="O16" i="10" s="1"/>
  <c r="AE16" i="10"/>
  <c r="N16" i="10" s="1"/>
  <c r="AD16" i="10"/>
  <c r="AC16" i="10"/>
  <c r="M16" i="10" s="1"/>
  <c r="AB16" i="10"/>
  <c r="L16" i="10" s="1"/>
  <c r="AA16" i="10"/>
  <c r="K16" i="10" s="1"/>
  <c r="Z16" i="10"/>
  <c r="J16" i="10" s="1"/>
  <c r="Y16" i="10"/>
  <c r="I16" i="10" s="1"/>
  <c r="X16" i="10"/>
  <c r="H16" i="10" s="1"/>
  <c r="W16" i="10"/>
  <c r="G16" i="10" s="1"/>
  <c r="V16" i="10"/>
  <c r="F16" i="10" s="1"/>
  <c r="U16" i="10"/>
  <c r="E16" i="10" s="1"/>
  <c r="T16" i="10"/>
  <c r="D16" i="10" s="1"/>
  <c r="S16" i="10"/>
  <c r="C16" i="10" s="1"/>
  <c r="AH15" i="10"/>
  <c r="Q15" i="10" s="1"/>
  <c r="AG15" i="10"/>
  <c r="P15" i="10" s="1"/>
  <c r="AF15" i="10"/>
  <c r="O15" i="10" s="1"/>
  <c r="AE15" i="10"/>
  <c r="N15" i="10" s="1"/>
  <c r="AD15" i="10"/>
  <c r="AC15" i="10"/>
  <c r="M15" i="10" s="1"/>
  <c r="AB15" i="10"/>
  <c r="L15" i="10" s="1"/>
  <c r="AA15" i="10"/>
  <c r="K15" i="10" s="1"/>
  <c r="Z15" i="10"/>
  <c r="J15" i="10" s="1"/>
  <c r="Y15" i="10"/>
  <c r="I15" i="10" s="1"/>
  <c r="X15" i="10"/>
  <c r="H15" i="10" s="1"/>
  <c r="W15" i="10"/>
  <c r="G15" i="10" s="1"/>
  <c r="V15" i="10"/>
  <c r="F15" i="10" s="1"/>
  <c r="U15" i="10"/>
  <c r="E15" i="10" s="1"/>
  <c r="T15" i="10"/>
  <c r="D15" i="10" s="1"/>
  <c r="S15" i="10"/>
  <c r="C15" i="10" s="1"/>
  <c r="AH14" i="10"/>
  <c r="Q14" i="10" s="1"/>
  <c r="AG14" i="10"/>
  <c r="P14" i="10" s="1"/>
  <c r="AF14" i="10"/>
  <c r="O14" i="10" s="1"/>
  <c r="AE14" i="10"/>
  <c r="N14" i="10" s="1"/>
  <c r="AD14" i="10"/>
  <c r="AC14" i="10"/>
  <c r="M14" i="10" s="1"/>
  <c r="AB14" i="10"/>
  <c r="L14" i="10" s="1"/>
  <c r="AA14" i="10"/>
  <c r="K14" i="10" s="1"/>
  <c r="Z14" i="10"/>
  <c r="J14" i="10" s="1"/>
  <c r="Y14" i="10"/>
  <c r="I14" i="10" s="1"/>
  <c r="X14" i="10"/>
  <c r="H14" i="10" s="1"/>
  <c r="W14" i="10"/>
  <c r="G14" i="10" s="1"/>
  <c r="V14" i="10"/>
  <c r="F14" i="10" s="1"/>
  <c r="U14" i="10"/>
  <c r="E14" i="10" s="1"/>
  <c r="T14" i="10"/>
  <c r="D14" i="10" s="1"/>
  <c r="S14" i="10"/>
  <c r="AH13" i="10"/>
  <c r="Q13" i="10" s="1"/>
  <c r="AG13" i="10"/>
  <c r="P13" i="10" s="1"/>
  <c r="AF13" i="10"/>
  <c r="O13" i="10" s="1"/>
  <c r="AE13" i="10"/>
  <c r="N13" i="10" s="1"/>
  <c r="AD13" i="10"/>
  <c r="AC13" i="10"/>
  <c r="M13" i="10" s="1"/>
  <c r="AB13" i="10"/>
  <c r="L13" i="10" s="1"/>
  <c r="AA13" i="10"/>
  <c r="K13" i="10" s="1"/>
  <c r="Z13" i="10"/>
  <c r="J13" i="10" s="1"/>
  <c r="Y13" i="10"/>
  <c r="I13" i="10" s="1"/>
  <c r="X13" i="10"/>
  <c r="H13" i="10" s="1"/>
  <c r="W13" i="10"/>
  <c r="G13" i="10" s="1"/>
  <c r="V13" i="10"/>
  <c r="F13" i="10" s="1"/>
  <c r="U13" i="10"/>
  <c r="E13" i="10" s="1"/>
  <c r="T13" i="10"/>
  <c r="S13" i="10"/>
  <c r="C13" i="10" s="1"/>
  <c r="AH12" i="10"/>
  <c r="Q12" i="10" s="1"/>
  <c r="AG12" i="10"/>
  <c r="P12" i="10" s="1"/>
  <c r="AF12" i="10"/>
  <c r="O12" i="10" s="1"/>
  <c r="AE12" i="10"/>
  <c r="N12" i="10" s="1"/>
  <c r="AD12" i="10"/>
  <c r="AC12" i="10"/>
  <c r="M12" i="10" s="1"/>
  <c r="AB12" i="10"/>
  <c r="L12" i="10" s="1"/>
  <c r="AA12" i="10"/>
  <c r="K12" i="10" s="1"/>
  <c r="Z12" i="10"/>
  <c r="J12" i="10" s="1"/>
  <c r="Y12" i="10"/>
  <c r="I12" i="10" s="1"/>
  <c r="X12" i="10"/>
  <c r="H12" i="10" s="1"/>
  <c r="W12" i="10"/>
  <c r="G12" i="10" s="1"/>
  <c r="V12" i="10"/>
  <c r="F12" i="10" s="1"/>
  <c r="U12" i="10"/>
  <c r="E12" i="10" s="1"/>
  <c r="T12" i="10"/>
  <c r="D12" i="10" s="1"/>
  <c r="S12" i="10"/>
  <c r="C12" i="10" s="1"/>
  <c r="AH11" i="10"/>
  <c r="Q11" i="10" s="1"/>
  <c r="AG11" i="10"/>
  <c r="P11" i="10" s="1"/>
  <c r="AF11" i="10"/>
  <c r="O11" i="10" s="1"/>
  <c r="AE11" i="10"/>
  <c r="N11" i="10" s="1"/>
  <c r="AD11" i="10"/>
  <c r="AC11" i="10"/>
  <c r="M11" i="10" s="1"/>
  <c r="AB11" i="10"/>
  <c r="L11" i="10" s="1"/>
  <c r="AA11" i="10"/>
  <c r="K11" i="10" s="1"/>
  <c r="Z11" i="10"/>
  <c r="J11" i="10" s="1"/>
  <c r="Y11" i="10"/>
  <c r="I11" i="10" s="1"/>
  <c r="X11" i="10"/>
  <c r="H11" i="10" s="1"/>
  <c r="W11" i="10"/>
  <c r="G11" i="10" s="1"/>
  <c r="V11" i="10"/>
  <c r="F11" i="10" s="1"/>
  <c r="U11" i="10"/>
  <c r="E11" i="10" s="1"/>
  <c r="T11" i="10"/>
  <c r="D11" i="10" s="1"/>
  <c r="S11" i="10"/>
  <c r="C11" i="10" s="1"/>
  <c r="AH10" i="10"/>
  <c r="Q10" i="10" s="1"/>
  <c r="AG10" i="10"/>
  <c r="P10" i="10" s="1"/>
  <c r="AF10" i="10"/>
  <c r="O10" i="10" s="1"/>
  <c r="AE10" i="10"/>
  <c r="N10" i="10" s="1"/>
  <c r="AD10" i="10"/>
  <c r="AC10" i="10"/>
  <c r="M10" i="10" s="1"/>
  <c r="AB10" i="10"/>
  <c r="L10" i="10" s="1"/>
  <c r="AA10" i="10"/>
  <c r="K10" i="10" s="1"/>
  <c r="Z10" i="10"/>
  <c r="J10" i="10" s="1"/>
  <c r="Y10" i="10"/>
  <c r="I10" i="10" s="1"/>
  <c r="X10" i="10"/>
  <c r="H10" i="10" s="1"/>
  <c r="W10" i="10"/>
  <c r="G10" i="10" s="1"/>
  <c r="V10" i="10"/>
  <c r="F10" i="10" s="1"/>
  <c r="U10" i="10"/>
  <c r="E10" i="10" s="1"/>
  <c r="T10" i="10"/>
  <c r="D10" i="10" s="1"/>
  <c r="S10" i="10"/>
  <c r="C10" i="10" s="1"/>
  <c r="AH128" i="9"/>
  <c r="Q128" i="9" s="1"/>
  <c r="AH127" i="9"/>
  <c r="AH126" i="9"/>
  <c r="AH125" i="9"/>
  <c r="AH124" i="9"/>
  <c r="AH123" i="9"/>
  <c r="AH122" i="9"/>
  <c r="AH121" i="9"/>
  <c r="Q121" i="9" s="1"/>
  <c r="AH120" i="9"/>
  <c r="AH119" i="9"/>
  <c r="AH118" i="9"/>
  <c r="AH117" i="9"/>
  <c r="AH116" i="9"/>
  <c r="AH115" i="9"/>
  <c r="Q115" i="9" s="1"/>
  <c r="AH114" i="9"/>
  <c r="Q114" i="9" s="1"/>
  <c r="AH113" i="9"/>
  <c r="AH112" i="9"/>
  <c r="AH111" i="9"/>
  <c r="AH110" i="9"/>
  <c r="AH109" i="9"/>
  <c r="AH108" i="9"/>
  <c r="AH107" i="9"/>
  <c r="Q107" i="9" s="1"/>
  <c r="AH106" i="9"/>
  <c r="AH105" i="9"/>
  <c r="AH104" i="9"/>
  <c r="AH103" i="9"/>
  <c r="AH102" i="9"/>
  <c r="AH101" i="9"/>
  <c r="AH100" i="9"/>
  <c r="Q100" i="9" s="1"/>
  <c r="AH99" i="9"/>
  <c r="AH98" i="9"/>
  <c r="AH97" i="9"/>
  <c r="AH96" i="9"/>
  <c r="AH95" i="9"/>
  <c r="AH94" i="9"/>
  <c r="AH93" i="9"/>
  <c r="AH92" i="9"/>
  <c r="AH91" i="9"/>
  <c r="AH90" i="9"/>
  <c r="AH89" i="9"/>
  <c r="AH88" i="9"/>
  <c r="AH87" i="9"/>
  <c r="AH86" i="9"/>
  <c r="Q86" i="9" s="1"/>
  <c r="AH85" i="9"/>
  <c r="AH84" i="9"/>
  <c r="AH83" i="9"/>
  <c r="AH82" i="9"/>
  <c r="AH81" i="9"/>
  <c r="AH80" i="9"/>
  <c r="AH79" i="9"/>
  <c r="Q79" i="9" s="1"/>
  <c r="AH78" i="9"/>
  <c r="AH77" i="9"/>
  <c r="AH76" i="9"/>
  <c r="AH75" i="9"/>
  <c r="AH74" i="9"/>
  <c r="AH73" i="9"/>
  <c r="AH72" i="9"/>
  <c r="Q72" i="9" s="1"/>
  <c r="AH71" i="9"/>
  <c r="AH70" i="9"/>
  <c r="AH69" i="9"/>
  <c r="AH68" i="9"/>
  <c r="AH67" i="9"/>
  <c r="AH66" i="9"/>
  <c r="AH65" i="9"/>
  <c r="Q65" i="9" s="1"/>
  <c r="AH64" i="9"/>
  <c r="AH63" i="9"/>
  <c r="Q63" i="9" s="1"/>
  <c r="AH62" i="9"/>
  <c r="AH61" i="9"/>
  <c r="AH60" i="9"/>
  <c r="AH59" i="9"/>
  <c r="Q59" i="9" s="1"/>
  <c r="AH58" i="9"/>
  <c r="AH57" i="9"/>
  <c r="AH56" i="9"/>
  <c r="AH55" i="9"/>
  <c r="AH54" i="9"/>
  <c r="AH53" i="9"/>
  <c r="AH52" i="9"/>
  <c r="AH51" i="9"/>
  <c r="Q51" i="9" s="1"/>
  <c r="AH50" i="9"/>
  <c r="AH49" i="9"/>
  <c r="AH48" i="9"/>
  <c r="AH47" i="9"/>
  <c r="AH46" i="9"/>
  <c r="AH45" i="9"/>
  <c r="AH44" i="9"/>
  <c r="Q44" i="9" s="1"/>
  <c r="AH43" i="9"/>
  <c r="AH42" i="9"/>
  <c r="AH41" i="9"/>
  <c r="AH40" i="9"/>
  <c r="AH39" i="9"/>
  <c r="AH38" i="9"/>
  <c r="AH37" i="9"/>
  <c r="Q37" i="9" s="1"/>
  <c r="AH36" i="9"/>
  <c r="AH35" i="9"/>
  <c r="AH34" i="9"/>
  <c r="AH33" i="9"/>
  <c r="AH32" i="9"/>
  <c r="AH31" i="9"/>
  <c r="AH30" i="9"/>
  <c r="AH29" i="9"/>
  <c r="AH28" i="9"/>
  <c r="AH27" i="9"/>
  <c r="AH26" i="9"/>
  <c r="AH25" i="9"/>
  <c r="AH24" i="9"/>
  <c r="AH23" i="9"/>
  <c r="AH22" i="9"/>
  <c r="AH21" i="9"/>
  <c r="AH20" i="9"/>
  <c r="AH19" i="9"/>
  <c r="AH18" i="9"/>
  <c r="AH17" i="9"/>
  <c r="AH16" i="9"/>
  <c r="Q16" i="9" s="1"/>
  <c r="AH15" i="9"/>
  <c r="AH14" i="9"/>
  <c r="AH13" i="9"/>
  <c r="AH12" i="9"/>
  <c r="AH11" i="9"/>
  <c r="AH10" i="9"/>
  <c r="AG128" i="9"/>
  <c r="P128" i="9" s="1"/>
  <c r="AG127" i="9"/>
  <c r="AG126" i="9"/>
  <c r="AG125" i="9"/>
  <c r="AG124" i="9"/>
  <c r="AG123" i="9"/>
  <c r="AG122" i="9"/>
  <c r="P122" i="9" s="1"/>
  <c r="AG121" i="9"/>
  <c r="P121" i="9" s="1"/>
  <c r="AG120" i="9"/>
  <c r="AG119" i="9"/>
  <c r="AG118" i="9"/>
  <c r="AG117" i="9"/>
  <c r="AG116" i="9"/>
  <c r="AG115" i="9"/>
  <c r="AG114" i="9"/>
  <c r="P114" i="9" s="1"/>
  <c r="AG113" i="9"/>
  <c r="AG112" i="9"/>
  <c r="AG111" i="9"/>
  <c r="AG110" i="9"/>
  <c r="AG109" i="9"/>
  <c r="AG108" i="9"/>
  <c r="AG107" i="9"/>
  <c r="P107" i="9" s="1"/>
  <c r="AG106" i="9"/>
  <c r="AG105" i="9"/>
  <c r="AG104" i="9"/>
  <c r="AG103" i="9"/>
  <c r="AG102" i="9"/>
  <c r="AG101" i="9"/>
  <c r="AG100" i="9"/>
  <c r="P100" i="9" s="1"/>
  <c r="AG99" i="9"/>
  <c r="AG98" i="9"/>
  <c r="AG97" i="9"/>
  <c r="AG96" i="9"/>
  <c r="AG95" i="9"/>
  <c r="AG94" i="9"/>
  <c r="AG93" i="9"/>
  <c r="P93" i="9" s="1"/>
  <c r="AG92" i="9"/>
  <c r="AG91" i="9"/>
  <c r="AG90" i="9"/>
  <c r="AG89" i="9"/>
  <c r="AG88" i="9"/>
  <c r="AG87" i="9"/>
  <c r="AG86" i="9"/>
  <c r="P86" i="9" s="1"/>
  <c r="AG85" i="9"/>
  <c r="AG84" i="9"/>
  <c r="AG83" i="9"/>
  <c r="AG82" i="9"/>
  <c r="AG81" i="9"/>
  <c r="AG80" i="9"/>
  <c r="AG79" i="9"/>
  <c r="P79" i="9" s="1"/>
  <c r="AG78" i="9"/>
  <c r="AG77" i="9"/>
  <c r="AG76" i="9"/>
  <c r="AG75" i="9"/>
  <c r="AG74" i="9"/>
  <c r="AG73" i="9"/>
  <c r="AG72" i="9"/>
  <c r="P72" i="9" s="1"/>
  <c r="AG71" i="9"/>
  <c r="P71" i="9" s="1"/>
  <c r="AG70" i="9"/>
  <c r="AG69" i="9"/>
  <c r="AG68" i="9"/>
  <c r="AG67" i="9"/>
  <c r="AG66" i="9"/>
  <c r="P66" i="9" s="1"/>
  <c r="AG65" i="9"/>
  <c r="P65" i="9" s="1"/>
  <c r="AG64" i="9"/>
  <c r="AG63" i="9"/>
  <c r="AG62" i="9"/>
  <c r="AG61" i="9"/>
  <c r="AG60" i="9"/>
  <c r="AG59" i="9"/>
  <c r="AG58" i="9"/>
  <c r="P58" i="9" s="1"/>
  <c r="AG57" i="9"/>
  <c r="AG56" i="9"/>
  <c r="AG55" i="9"/>
  <c r="P55" i="9" s="1"/>
  <c r="AG54" i="9"/>
  <c r="AG53" i="9"/>
  <c r="AG52" i="9"/>
  <c r="AG51" i="9"/>
  <c r="P51" i="9" s="1"/>
  <c r="AG50" i="9"/>
  <c r="AG49" i="9"/>
  <c r="AG48" i="9"/>
  <c r="AG47" i="9"/>
  <c r="AG46" i="9"/>
  <c r="AG45" i="9"/>
  <c r="AG44" i="9"/>
  <c r="AG43" i="9"/>
  <c r="AG42" i="9"/>
  <c r="AG41" i="9"/>
  <c r="AG40" i="9"/>
  <c r="AG39" i="9"/>
  <c r="AG38" i="9"/>
  <c r="AG37" i="9"/>
  <c r="AG36" i="9"/>
  <c r="AG35" i="9"/>
  <c r="AG34" i="9"/>
  <c r="AG33" i="9"/>
  <c r="AG32" i="9"/>
  <c r="AG31" i="9"/>
  <c r="AG30" i="9"/>
  <c r="P30" i="9" s="1"/>
  <c r="AG29" i="9"/>
  <c r="AG28" i="9"/>
  <c r="AG27" i="9"/>
  <c r="AG26" i="9"/>
  <c r="AG25" i="9"/>
  <c r="AG24" i="9"/>
  <c r="AG23" i="9"/>
  <c r="P23" i="9" s="1"/>
  <c r="AG22" i="9"/>
  <c r="AG21" i="9"/>
  <c r="AG20" i="9"/>
  <c r="AG19" i="9"/>
  <c r="AG18" i="9"/>
  <c r="AG17" i="9"/>
  <c r="AG16" i="9"/>
  <c r="AG15" i="9"/>
  <c r="P15" i="9" s="1"/>
  <c r="AG14" i="9"/>
  <c r="AG13" i="9"/>
  <c r="AG12" i="9"/>
  <c r="AG11" i="9"/>
  <c r="AG10" i="9"/>
  <c r="P10" i="9" s="1"/>
  <c r="AF128" i="9"/>
  <c r="O128" i="9" s="1"/>
  <c r="AF127" i="9"/>
  <c r="AF126" i="9"/>
  <c r="AF125" i="9"/>
  <c r="AF124" i="9"/>
  <c r="AF123" i="9"/>
  <c r="AF122" i="9"/>
  <c r="AF121" i="9"/>
  <c r="AF120" i="9"/>
  <c r="AF119" i="9"/>
  <c r="AF118" i="9"/>
  <c r="AF117" i="9"/>
  <c r="AF116" i="9"/>
  <c r="AF115" i="9"/>
  <c r="AF114" i="9"/>
  <c r="O114" i="9" s="1"/>
  <c r="AF113" i="9"/>
  <c r="AF112" i="9"/>
  <c r="AF111" i="9"/>
  <c r="AF110" i="9"/>
  <c r="AF109" i="9"/>
  <c r="AF108" i="9"/>
  <c r="AF107" i="9"/>
  <c r="O107" i="9" s="1"/>
  <c r="AF106" i="9"/>
  <c r="AF105" i="9"/>
  <c r="AF104" i="9"/>
  <c r="AF103" i="9"/>
  <c r="AF102" i="9"/>
  <c r="AF101" i="9"/>
  <c r="AF100" i="9"/>
  <c r="O100" i="9" s="1"/>
  <c r="AF99" i="9"/>
  <c r="AF98" i="9"/>
  <c r="AF97" i="9"/>
  <c r="AF96" i="9"/>
  <c r="AF95" i="9"/>
  <c r="AF94" i="9"/>
  <c r="AF93" i="9"/>
  <c r="O93" i="9" s="1"/>
  <c r="AF92" i="9"/>
  <c r="AF91" i="9"/>
  <c r="AF90" i="9"/>
  <c r="AF89" i="9"/>
  <c r="AF88" i="9"/>
  <c r="AF87" i="9"/>
  <c r="AF86" i="9"/>
  <c r="O86" i="9" s="1"/>
  <c r="AF85" i="9"/>
  <c r="AF84" i="9"/>
  <c r="AF83" i="9"/>
  <c r="AF82" i="9"/>
  <c r="AF81" i="9"/>
  <c r="AF80" i="9"/>
  <c r="AF79" i="9"/>
  <c r="O79" i="9" s="1"/>
  <c r="AF78" i="9"/>
  <c r="AF77" i="9"/>
  <c r="AF76" i="9"/>
  <c r="AF75" i="9"/>
  <c r="AF74" i="9"/>
  <c r="AF73" i="9"/>
  <c r="O73" i="9" s="1"/>
  <c r="AF72" i="9"/>
  <c r="AF71" i="9"/>
  <c r="AF70" i="9"/>
  <c r="AF69" i="9"/>
  <c r="AF68" i="9"/>
  <c r="AF67" i="9"/>
  <c r="AF66" i="9"/>
  <c r="AF65" i="9"/>
  <c r="O65" i="9" s="1"/>
  <c r="AF64" i="9"/>
  <c r="AF63" i="9"/>
  <c r="AF62" i="9"/>
  <c r="AF61" i="9"/>
  <c r="AF60" i="9"/>
  <c r="AF59" i="9"/>
  <c r="AF58" i="9"/>
  <c r="O58" i="9" s="1"/>
  <c r="AF57" i="9"/>
  <c r="AF56" i="9"/>
  <c r="AF55" i="9"/>
  <c r="AF54" i="9"/>
  <c r="AF53" i="9"/>
  <c r="AF52" i="9"/>
  <c r="AF51" i="9"/>
  <c r="AF50" i="9"/>
  <c r="AF49" i="9"/>
  <c r="AF48" i="9"/>
  <c r="AF47" i="9"/>
  <c r="AF46" i="9"/>
  <c r="AF45" i="9"/>
  <c r="AF44" i="9"/>
  <c r="O44" i="9" s="1"/>
  <c r="AF43" i="9"/>
  <c r="AF42" i="9"/>
  <c r="AF41" i="9"/>
  <c r="AF40" i="9"/>
  <c r="AF39" i="9"/>
  <c r="AF38" i="9"/>
  <c r="AF37" i="9"/>
  <c r="O37" i="9" s="1"/>
  <c r="AF36" i="9"/>
  <c r="AF35" i="9"/>
  <c r="AF34" i="9"/>
  <c r="AF33" i="9"/>
  <c r="AF32" i="9"/>
  <c r="AF31" i="9"/>
  <c r="AF30" i="9"/>
  <c r="O30" i="9" s="1"/>
  <c r="AF29" i="9"/>
  <c r="AF28" i="9"/>
  <c r="AF27" i="9"/>
  <c r="AF26" i="9"/>
  <c r="AF25" i="9"/>
  <c r="AF24" i="9"/>
  <c r="AF23" i="9"/>
  <c r="AF22" i="9"/>
  <c r="AF21" i="9"/>
  <c r="AF20" i="9"/>
  <c r="AF19" i="9"/>
  <c r="AF18" i="9"/>
  <c r="O18" i="9" s="1"/>
  <c r="AF17" i="9"/>
  <c r="O17" i="9" s="1"/>
  <c r="AF16" i="9"/>
  <c r="O16" i="9" s="1"/>
  <c r="AF15" i="9"/>
  <c r="AF14" i="9"/>
  <c r="AF13" i="9"/>
  <c r="AF12" i="9"/>
  <c r="AF11" i="9"/>
  <c r="AF10" i="9"/>
  <c r="O10" i="9" s="1"/>
  <c r="AE128" i="9"/>
  <c r="N128" i="9" s="1"/>
  <c r="AE127" i="9"/>
  <c r="AE126" i="9"/>
  <c r="AE125" i="9"/>
  <c r="AE124" i="9"/>
  <c r="AE123" i="9"/>
  <c r="AE122" i="9"/>
  <c r="AE121" i="9"/>
  <c r="N121" i="9" s="1"/>
  <c r="AE120" i="9"/>
  <c r="AE119" i="9"/>
  <c r="AE118" i="9"/>
  <c r="AE117" i="9"/>
  <c r="AE116" i="9"/>
  <c r="AE115" i="9"/>
  <c r="AE114" i="9"/>
  <c r="N114" i="9" s="1"/>
  <c r="AE113" i="9"/>
  <c r="AE112" i="9"/>
  <c r="AE111" i="9"/>
  <c r="AE110" i="9"/>
  <c r="AE109" i="9"/>
  <c r="AE108" i="9"/>
  <c r="AE107" i="9"/>
  <c r="N107" i="9" s="1"/>
  <c r="AE106" i="9"/>
  <c r="AE105" i="9"/>
  <c r="AE104" i="9"/>
  <c r="AE103" i="9"/>
  <c r="AE102" i="9"/>
  <c r="AE101" i="9"/>
  <c r="AE100" i="9"/>
  <c r="N100" i="9" s="1"/>
  <c r="AE99" i="9"/>
  <c r="AE98" i="9"/>
  <c r="AE97" i="9"/>
  <c r="AE96" i="9"/>
  <c r="AE95" i="9"/>
  <c r="AE94" i="9"/>
  <c r="AE93" i="9"/>
  <c r="N93" i="9" s="1"/>
  <c r="AE92" i="9"/>
  <c r="AE91" i="9"/>
  <c r="AE90" i="9"/>
  <c r="AE89" i="9"/>
  <c r="AE88" i="9"/>
  <c r="AE87" i="9"/>
  <c r="AE86" i="9"/>
  <c r="N86" i="9" s="1"/>
  <c r="AE85" i="9"/>
  <c r="AE84" i="9"/>
  <c r="AE83" i="9"/>
  <c r="AE82" i="9"/>
  <c r="AE81" i="9"/>
  <c r="AE80" i="9"/>
  <c r="N80" i="9" s="1"/>
  <c r="AE79" i="9"/>
  <c r="N79" i="9" s="1"/>
  <c r="AE78" i="9"/>
  <c r="AE77" i="9"/>
  <c r="AE76" i="9"/>
  <c r="AE75" i="9"/>
  <c r="AE74" i="9"/>
  <c r="AE73" i="9"/>
  <c r="AE72" i="9"/>
  <c r="N72" i="9" s="1"/>
  <c r="AE71" i="9"/>
  <c r="AE70" i="9"/>
  <c r="AE69" i="9"/>
  <c r="AE68" i="9"/>
  <c r="AE67" i="9"/>
  <c r="AE66" i="9"/>
  <c r="AE65" i="9"/>
  <c r="N65" i="9" s="1"/>
  <c r="AE64" i="9"/>
  <c r="AE63" i="9"/>
  <c r="AE62" i="9"/>
  <c r="AE61" i="9"/>
  <c r="AE60" i="9"/>
  <c r="AE59" i="9"/>
  <c r="AE58" i="9"/>
  <c r="N58" i="9" s="1"/>
  <c r="AE57" i="9"/>
  <c r="AE56" i="9"/>
  <c r="AE55" i="9"/>
  <c r="AE54" i="9"/>
  <c r="AE53" i="9"/>
  <c r="AE52" i="9"/>
  <c r="AE51" i="9"/>
  <c r="AE50" i="9"/>
  <c r="AE49" i="9"/>
  <c r="AE48" i="9"/>
  <c r="AE47" i="9"/>
  <c r="AE46" i="9"/>
  <c r="AE45" i="9"/>
  <c r="AE44" i="9"/>
  <c r="N44" i="9" s="1"/>
  <c r="AE43" i="9"/>
  <c r="AE42" i="9"/>
  <c r="AE41" i="9"/>
  <c r="AE40" i="9"/>
  <c r="AE39" i="9"/>
  <c r="AE38" i="9"/>
  <c r="AE37" i="9"/>
  <c r="N37" i="9" s="1"/>
  <c r="AE36" i="9"/>
  <c r="AE35" i="9"/>
  <c r="AE34" i="9"/>
  <c r="AE33" i="9"/>
  <c r="AE32" i="9"/>
  <c r="AE31" i="9"/>
  <c r="AE30" i="9"/>
  <c r="N30" i="9" s="1"/>
  <c r="AE29" i="9"/>
  <c r="N29" i="9" s="1"/>
  <c r="AE28" i="9"/>
  <c r="AE27" i="9"/>
  <c r="AE26" i="9"/>
  <c r="AE25" i="9"/>
  <c r="AE24" i="9"/>
  <c r="N24" i="9" s="1"/>
  <c r="AE23" i="9"/>
  <c r="AE22" i="9"/>
  <c r="AE21" i="9"/>
  <c r="AE20" i="9"/>
  <c r="AE19" i="9"/>
  <c r="AE18" i="9"/>
  <c r="AE17" i="9"/>
  <c r="AE16" i="9"/>
  <c r="N16" i="9" s="1"/>
  <c r="AE15" i="9"/>
  <c r="AE14" i="9"/>
  <c r="AE13" i="9"/>
  <c r="AE12" i="9"/>
  <c r="AE11" i="9"/>
  <c r="AE10"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AD60" i="9"/>
  <c r="AD59" i="9"/>
  <c r="AD58" i="9"/>
  <c r="AD57" i="9"/>
  <c r="AD56" i="9"/>
  <c r="AD55" i="9"/>
  <c r="AD54" i="9"/>
  <c r="AD53" i="9"/>
  <c r="AD52" i="9"/>
  <c r="AD51" i="9"/>
  <c r="AD50" i="9"/>
  <c r="AD49" i="9"/>
  <c r="AD48" i="9"/>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C128" i="9"/>
  <c r="M128" i="9" s="1"/>
  <c r="AC127" i="9"/>
  <c r="AC126" i="9"/>
  <c r="AC125" i="9"/>
  <c r="AC124" i="9"/>
  <c r="AC123" i="9"/>
  <c r="AC122" i="9"/>
  <c r="AC121" i="9"/>
  <c r="M121" i="9" s="1"/>
  <c r="AC120" i="9"/>
  <c r="AC119" i="9"/>
  <c r="AC118" i="9"/>
  <c r="AC117" i="9"/>
  <c r="AC116" i="9"/>
  <c r="AC115" i="9"/>
  <c r="AC114" i="9"/>
  <c r="M114" i="9" s="1"/>
  <c r="AC113" i="9"/>
  <c r="AC112" i="9"/>
  <c r="AC111" i="9"/>
  <c r="AC110" i="9"/>
  <c r="AC109" i="9"/>
  <c r="AC108" i="9"/>
  <c r="AC107" i="9"/>
  <c r="M107" i="9" s="1"/>
  <c r="AC106" i="9"/>
  <c r="AC105" i="9"/>
  <c r="AC104" i="9"/>
  <c r="AC103" i="9"/>
  <c r="AC102" i="9"/>
  <c r="AC101" i="9"/>
  <c r="AC100" i="9"/>
  <c r="M100" i="9" s="1"/>
  <c r="AC99" i="9"/>
  <c r="AC98" i="9"/>
  <c r="AC97" i="9"/>
  <c r="AC96" i="9"/>
  <c r="AC95" i="9"/>
  <c r="AC94" i="9"/>
  <c r="M94" i="9" s="1"/>
  <c r="AC93" i="9"/>
  <c r="M93" i="9" s="1"/>
  <c r="AC92" i="9"/>
  <c r="AC91" i="9"/>
  <c r="AC90" i="9"/>
  <c r="AC89" i="9"/>
  <c r="AC88" i="9"/>
  <c r="AC87" i="9"/>
  <c r="AC86" i="9"/>
  <c r="M86" i="9" s="1"/>
  <c r="AC85" i="9"/>
  <c r="AC84" i="9"/>
  <c r="AC83" i="9"/>
  <c r="AC82" i="9"/>
  <c r="AC81" i="9"/>
  <c r="AC80" i="9"/>
  <c r="AC79" i="9"/>
  <c r="M79" i="9" s="1"/>
  <c r="AC78" i="9"/>
  <c r="AC77" i="9"/>
  <c r="AC76" i="9"/>
  <c r="AC75" i="9"/>
  <c r="AC74" i="9"/>
  <c r="AC73" i="9"/>
  <c r="AC72" i="9"/>
  <c r="M72" i="9" s="1"/>
  <c r="AC71" i="9"/>
  <c r="AC70" i="9"/>
  <c r="AC69" i="9"/>
  <c r="AC68" i="9"/>
  <c r="AC67" i="9"/>
  <c r="AC66" i="9"/>
  <c r="AC65" i="9"/>
  <c r="M65" i="9" s="1"/>
  <c r="AC64" i="9"/>
  <c r="AC63" i="9"/>
  <c r="AC62" i="9"/>
  <c r="AC61" i="9"/>
  <c r="AC60" i="9"/>
  <c r="AC59" i="9"/>
  <c r="AC58" i="9"/>
  <c r="M58" i="9" s="1"/>
  <c r="AC57" i="9"/>
  <c r="AC56" i="9"/>
  <c r="AC55" i="9"/>
  <c r="AC54" i="9"/>
  <c r="AC53" i="9"/>
  <c r="AC52" i="9"/>
  <c r="AC51" i="9"/>
  <c r="M51" i="9" s="1"/>
  <c r="AC50" i="9"/>
  <c r="AC49" i="9"/>
  <c r="AC48" i="9"/>
  <c r="AC47" i="9"/>
  <c r="AC46" i="9"/>
  <c r="AC45" i="9"/>
  <c r="AC44" i="9"/>
  <c r="M44" i="9" s="1"/>
  <c r="AC43" i="9"/>
  <c r="AC42" i="9"/>
  <c r="M42" i="9" s="1"/>
  <c r="AC41" i="9"/>
  <c r="AC40" i="9"/>
  <c r="AC39" i="9"/>
  <c r="M39" i="9" s="1"/>
  <c r="AC38" i="9"/>
  <c r="M38" i="9" s="1"/>
  <c r="AC37" i="9"/>
  <c r="M37" i="9" s="1"/>
  <c r="AC36" i="9"/>
  <c r="AC35" i="9"/>
  <c r="AC34" i="9"/>
  <c r="AC33" i="9"/>
  <c r="AC32" i="9"/>
  <c r="AC31" i="9"/>
  <c r="AC30" i="9"/>
  <c r="M30" i="9" s="1"/>
  <c r="AC29" i="9"/>
  <c r="AC28" i="9"/>
  <c r="AC27" i="9"/>
  <c r="AC26" i="9"/>
  <c r="AC25" i="9"/>
  <c r="AC24" i="9"/>
  <c r="AC23" i="9"/>
  <c r="M23" i="9" s="1"/>
  <c r="AC22" i="9"/>
  <c r="AC21" i="9"/>
  <c r="AC20" i="9"/>
  <c r="M20" i="9" s="1"/>
  <c r="AC19" i="9"/>
  <c r="AC18" i="9"/>
  <c r="AC17" i="9"/>
  <c r="AC16" i="9"/>
  <c r="M16" i="9" s="1"/>
  <c r="AC15" i="9"/>
  <c r="AC14" i="9"/>
  <c r="AC13" i="9"/>
  <c r="AC12" i="9"/>
  <c r="AC11" i="9"/>
  <c r="AC10" i="9"/>
  <c r="AB128" i="9"/>
  <c r="L128" i="9" s="1"/>
  <c r="AB127" i="9"/>
  <c r="AB126" i="9"/>
  <c r="AB125" i="9"/>
  <c r="AB124" i="9"/>
  <c r="AB123" i="9"/>
  <c r="AB122" i="9"/>
  <c r="AB121" i="9"/>
  <c r="L121" i="9" s="1"/>
  <c r="AB120" i="9"/>
  <c r="AB119" i="9"/>
  <c r="AB118" i="9"/>
  <c r="AB117" i="9"/>
  <c r="AB116" i="9"/>
  <c r="AB115" i="9"/>
  <c r="AB114" i="9"/>
  <c r="L114" i="9" s="1"/>
  <c r="AB113" i="9"/>
  <c r="AB112" i="9"/>
  <c r="AB111" i="9"/>
  <c r="AB110" i="9"/>
  <c r="AB109" i="9"/>
  <c r="AB108" i="9"/>
  <c r="AB107" i="9"/>
  <c r="L107" i="9" s="1"/>
  <c r="AB106" i="9"/>
  <c r="AB105" i="9"/>
  <c r="AB104" i="9"/>
  <c r="AB103" i="9"/>
  <c r="AB102" i="9"/>
  <c r="AB101" i="9"/>
  <c r="L101" i="9" s="1"/>
  <c r="AB100" i="9"/>
  <c r="L100" i="9" s="1"/>
  <c r="AB99" i="9"/>
  <c r="AB98" i="9"/>
  <c r="AB97" i="9"/>
  <c r="AB96" i="9"/>
  <c r="AB95" i="9"/>
  <c r="AB94" i="9"/>
  <c r="AB93" i="9"/>
  <c r="AB92" i="9"/>
  <c r="AB91" i="9"/>
  <c r="AB90" i="9"/>
  <c r="AB89" i="9"/>
  <c r="AB88" i="9"/>
  <c r="AB87" i="9"/>
  <c r="AB86" i="9"/>
  <c r="L86" i="9" s="1"/>
  <c r="AB85" i="9"/>
  <c r="AB84" i="9"/>
  <c r="AB83" i="9"/>
  <c r="AB82" i="9"/>
  <c r="AB81" i="9"/>
  <c r="AB80" i="9"/>
  <c r="AB79" i="9"/>
  <c r="L79" i="9" s="1"/>
  <c r="AB78" i="9"/>
  <c r="AB77" i="9"/>
  <c r="AB76" i="9"/>
  <c r="AB75" i="9"/>
  <c r="AB74" i="9"/>
  <c r="AB73" i="9"/>
  <c r="AB72" i="9"/>
  <c r="L72" i="9" s="1"/>
  <c r="AB71" i="9"/>
  <c r="AB70" i="9"/>
  <c r="AB69" i="9"/>
  <c r="AB68" i="9"/>
  <c r="AB67" i="9"/>
  <c r="AB66" i="9"/>
  <c r="AB65" i="9"/>
  <c r="L65" i="9" s="1"/>
  <c r="AB64" i="9"/>
  <c r="AB63" i="9"/>
  <c r="AB62" i="9"/>
  <c r="AB61" i="9"/>
  <c r="AB60" i="9"/>
  <c r="AB59" i="9"/>
  <c r="AB58" i="9"/>
  <c r="L58" i="9" s="1"/>
  <c r="AB57" i="9"/>
  <c r="AB56" i="9"/>
  <c r="AB55" i="9"/>
  <c r="AB54" i="9"/>
  <c r="AB53" i="9"/>
  <c r="AB52" i="9"/>
  <c r="AB51" i="9"/>
  <c r="L51" i="9" s="1"/>
  <c r="AB50" i="9"/>
  <c r="AB49" i="9"/>
  <c r="AB48" i="9"/>
  <c r="AB47" i="9"/>
  <c r="AB46" i="9"/>
  <c r="AB45" i="9"/>
  <c r="L45" i="9" s="1"/>
  <c r="AB44" i="9"/>
  <c r="L44" i="9" s="1"/>
  <c r="AB43" i="9"/>
  <c r="AB42" i="9"/>
  <c r="AB41" i="9"/>
  <c r="AB40" i="9"/>
  <c r="AB39" i="9"/>
  <c r="AB38" i="9"/>
  <c r="AB37" i="9"/>
  <c r="L37" i="9" s="1"/>
  <c r="AB36" i="9"/>
  <c r="AB35" i="9"/>
  <c r="AB34" i="9"/>
  <c r="AB33" i="9"/>
  <c r="AB32" i="9"/>
  <c r="AB31" i="9"/>
  <c r="AB30" i="9"/>
  <c r="L30" i="9" s="1"/>
  <c r="AB29" i="9"/>
  <c r="AB28" i="9"/>
  <c r="AB27" i="9"/>
  <c r="AB26" i="9"/>
  <c r="AB25" i="9"/>
  <c r="AB24" i="9"/>
  <c r="AB23" i="9"/>
  <c r="L23" i="9" s="1"/>
  <c r="AB22" i="9"/>
  <c r="AB21" i="9"/>
  <c r="AB20" i="9"/>
  <c r="AB19" i="9"/>
  <c r="AB18" i="9"/>
  <c r="AB17" i="9"/>
  <c r="AB16" i="9"/>
  <c r="L16" i="9" s="1"/>
  <c r="AB15" i="9"/>
  <c r="AB14" i="9"/>
  <c r="AB13" i="9"/>
  <c r="AB12" i="9"/>
  <c r="AB11" i="9"/>
  <c r="AB10" i="9"/>
  <c r="AA128" i="9"/>
  <c r="K128" i="9" s="1"/>
  <c r="AA127" i="9"/>
  <c r="AA126" i="9"/>
  <c r="AA125" i="9"/>
  <c r="AA124" i="9"/>
  <c r="AA123" i="9"/>
  <c r="AA122" i="9"/>
  <c r="AA121" i="9"/>
  <c r="K121" i="9" s="1"/>
  <c r="AA120" i="9"/>
  <c r="AA119" i="9"/>
  <c r="AA118" i="9"/>
  <c r="AA117" i="9"/>
  <c r="AA116" i="9"/>
  <c r="AA115" i="9"/>
  <c r="AA114" i="9"/>
  <c r="K114" i="9" s="1"/>
  <c r="AA113" i="9"/>
  <c r="AA112" i="9"/>
  <c r="AA111" i="9"/>
  <c r="AA110" i="9"/>
  <c r="AA109" i="9"/>
  <c r="AA108" i="9"/>
  <c r="K108" i="9" s="1"/>
  <c r="AA107" i="9"/>
  <c r="K107" i="9" s="1"/>
  <c r="AA106" i="9"/>
  <c r="AA105" i="9"/>
  <c r="AA104" i="9"/>
  <c r="AA103" i="9"/>
  <c r="AA102" i="9"/>
  <c r="AA101" i="9"/>
  <c r="AA100" i="9"/>
  <c r="K100" i="9" s="1"/>
  <c r="AA99" i="9"/>
  <c r="AA98" i="9"/>
  <c r="AA97" i="9"/>
  <c r="AA96" i="9"/>
  <c r="AA95" i="9"/>
  <c r="AA94" i="9"/>
  <c r="AA93" i="9"/>
  <c r="K93" i="9" s="1"/>
  <c r="AA92" i="9"/>
  <c r="AA91" i="9"/>
  <c r="AA90" i="9"/>
  <c r="AA89" i="9"/>
  <c r="AA88" i="9"/>
  <c r="AA87" i="9"/>
  <c r="AA86" i="9"/>
  <c r="K86" i="9" s="1"/>
  <c r="AA85" i="9"/>
  <c r="AA84" i="9"/>
  <c r="AA83" i="9"/>
  <c r="AA82" i="9"/>
  <c r="AA81" i="9"/>
  <c r="AA80" i="9"/>
  <c r="AA79" i="9"/>
  <c r="K79" i="9" s="1"/>
  <c r="AA78" i="9"/>
  <c r="AA77" i="9"/>
  <c r="AA76" i="9"/>
  <c r="AA75" i="9"/>
  <c r="AA74" i="9"/>
  <c r="AA73" i="9"/>
  <c r="AA72" i="9"/>
  <c r="K72" i="9" s="1"/>
  <c r="AA71" i="9"/>
  <c r="AA70" i="9"/>
  <c r="AA69" i="9"/>
  <c r="AA68" i="9"/>
  <c r="AA67" i="9"/>
  <c r="AA66" i="9"/>
  <c r="AA65" i="9"/>
  <c r="K65" i="9" s="1"/>
  <c r="AA64" i="9"/>
  <c r="AA63" i="9"/>
  <c r="AA62" i="9"/>
  <c r="AA61" i="9"/>
  <c r="AA60" i="9"/>
  <c r="AA59" i="9"/>
  <c r="AA58" i="9"/>
  <c r="K58" i="9" s="1"/>
  <c r="AA57" i="9"/>
  <c r="AA56" i="9"/>
  <c r="AA55" i="9"/>
  <c r="AA54" i="9"/>
  <c r="AA53" i="9"/>
  <c r="AA52" i="9"/>
  <c r="AA51" i="9"/>
  <c r="K51" i="9" s="1"/>
  <c r="AA50" i="9"/>
  <c r="AA49" i="9"/>
  <c r="AA48" i="9"/>
  <c r="AA47" i="9"/>
  <c r="AA46" i="9"/>
  <c r="AA45" i="9"/>
  <c r="AA44" i="9"/>
  <c r="K44" i="9" s="1"/>
  <c r="AA43" i="9"/>
  <c r="AA42" i="9"/>
  <c r="AA41" i="9"/>
  <c r="AA40" i="9"/>
  <c r="AA39" i="9"/>
  <c r="AA38" i="9"/>
  <c r="AA37" i="9"/>
  <c r="K37" i="9" s="1"/>
  <c r="AA36" i="9"/>
  <c r="AA35" i="9"/>
  <c r="AA34" i="9"/>
  <c r="AA33" i="9"/>
  <c r="AA32" i="9"/>
  <c r="AA31" i="9"/>
  <c r="AA30" i="9"/>
  <c r="AA29" i="9"/>
  <c r="AA28" i="9"/>
  <c r="AA27" i="9"/>
  <c r="AA26" i="9"/>
  <c r="AA25" i="9"/>
  <c r="AA24" i="9"/>
  <c r="AA23" i="9"/>
  <c r="K23" i="9" s="1"/>
  <c r="AA22" i="9"/>
  <c r="AA21" i="9"/>
  <c r="AA20" i="9"/>
  <c r="AA19" i="9"/>
  <c r="AA18" i="9"/>
  <c r="AA17" i="9"/>
  <c r="AA16" i="9"/>
  <c r="K16" i="9" s="1"/>
  <c r="AA15" i="9"/>
  <c r="AA14" i="9"/>
  <c r="AA13" i="9"/>
  <c r="AA12" i="9"/>
  <c r="AA11" i="9"/>
  <c r="AA10" i="9"/>
  <c r="Z128" i="9"/>
  <c r="J128" i="9" s="1"/>
  <c r="Z127" i="9"/>
  <c r="Z126" i="9"/>
  <c r="Z125" i="9"/>
  <c r="Z124" i="9"/>
  <c r="Z123" i="9"/>
  <c r="Z122" i="9"/>
  <c r="Z121" i="9"/>
  <c r="J121" i="9" s="1"/>
  <c r="Z120" i="9"/>
  <c r="Z119" i="9"/>
  <c r="Z118" i="9"/>
  <c r="Z117" i="9"/>
  <c r="Z116" i="9"/>
  <c r="Z115" i="9"/>
  <c r="Z114" i="9"/>
  <c r="J114" i="9" s="1"/>
  <c r="Z113" i="9"/>
  <c r="Z112" i="9"/>
  <c r="Z111" i="9"/>
  <c r="Z110" i="9"/>
  <c r="Z109" i="9"/>
  <c r="Z108" i="9"/>
  <c r="Z107" i="9"/>
  <c r="J107" i="9" s="1"/>
  <c r="Z106" i="9"/>
  <c r="Z105" i="9"/>
  <c r="Z104" i="9"/>
  <c r="Z103" i="9"/>
  <c r="Z102" i="9"/>
  <c r="Z101" i="9"/>
  <c r="Z100" i="9"/>
  <c r="J100" i="9" s="1"/>
  <c r="Z99" i="9"/>
  <c r="Z98" i="9"/>
  <c r="Z97" i="9"/>
  <c r="Z96" i="9"/>
  <c r="Z95" i="9"/>
  <c r="Z94" i="9"/>
  <c r="Z93" i="9"/>
  <c r="J93" i="9" s="1"/>
  <c r="Z92" i="9"/>
  <c r="Z91" i="9"/>
  <c r="Z90" i="9"/>
  <c r="Z89" i="9"/>
  <c r="Z88" i="9"/>
  <c r="Z87" i="9"/>
  <c r="Z86" i="9"/>
  <c r="J86" i="9" s="1"/>
  <c r="Z85" i="9"/>
  <c r="Z84" i="9"/>
  <c r="Z83" i="9"/>
  <c r="Z82" i="9"/>
  <c r="Z81" i="9"/>
  <c r="Z80" i="9"/>
  <c r="Z79" i="9"/>
  <c r="J79" i="9" s="1"/>
  <c r="Z78" i="9"/>
  <c r="Z77" i="9"/>
  <c r="Z76" i="9"/>
  <c r="Z75" i="9"/>
  <c r="Z74" i="9"/>
  <c r="Z73" i="9"/>
  <c r="Z72" i="9"/>
  <c r="J72" i="9" s="1"/>
  <c r="Z71" i="9"/>
  <c r="Z70" i="9"/>
  <c r="Z69" i="9"/>
  <c r="Z68" i="9"/>
  <c r="Z67" i="9"/>
  <c r="Z66" i="9"/>
  <c r="Z65" i="9"/>
  <c r="J65" i="9" s="1"/>
  <c r="Z64" i="9"/>
  <c r="Z63" i="9"/>
  <c r="Z62" i="9"/>
  <c r="Z61" i="9"/>
  <c r="Z60" i="9"/>
  <c r="Z59" i="9"/>
  <c r="Z58" i="9"/>
  <c r="J58" i="9" s="1"/>
  <c r="Z57" i="9"/>
  <c r="Z56" i="9"/>
  <c r="Z55" i="9"/>
  <c r="Z54" i="9"/>
  <c r="Z53" i="9"/>
  <c r="Z52" i="9"/>
  <c r="Z51" i="9"/>
  <c r="J51" i="9" s="1"/>
  <c r="Z50" i="9"/>
  <c r="Z49" i="9"/>
  <c r="Z48" i="9"/>
  <c r="Z47" i="9"/>
  <c r="Z46" i="9"/>
  <c r="Z45" i="9"/>
  <c r="Z44" i="9"/>
  <c r="J44" i="9" s="1"/>
  <c r="Z43" i="9"/>
  <c r="Z42" i="9"/>
  <c r="Z41" i="9"/>
  <c r="Z40" i="9"/>
  <c r="Z39" i="9"/>
  <c r="Z38" i="9"/>
  <c r="Z37" i="9"/>
  <c r="Z36" i="9"/>
  <c r="Z35" i="9"/>
  <c r="Z34" i="9"/>
  <c r="Z33" i="9"/>
  <c r="Z32" i="9"/>
  <c r="Z31" i="9"/>
  <c r="Z30" i="9"/>
  <c r="J30" i="9" s="1"/>
  <c r="Z29" i="9"/>
  <c r="Z28" i="9"/>
  <c r="Z27" i="9"/>
  <c r="Z26" i="9"/>
  <c r="Z25" i="9"/>
  <c r="Z24" i="9"/>
  <c r="Z23" i="9"/>
  <c r="J23" i="9" s="1"/>
  <c r="Z22" i="9"/>
  <c r="Z21" i="9"/>
  <c r="Z20" i="9"/>
  <c r="Z19" i="9"/>
  <c r="Z18" i="9"/>
  <c r="Z17" i="9"/>
  <c r="Z16" i="9"/>
  <c r="J16" i="9" s="1"/>
  <c r="Z15" i="9"/>
  <c r="Z14" i="9"/>
  <c r="Z13" i="9"/>
  <c r="Z12" i="9"/>
  <c r="Z11" i="9"/>
  <c r="Z10" i="9"/>
  <c r="Y128" i="9"/>
  <c r="I128" i="9" s="1"/>
  <c r="Y127" i="9"/>
  <c r="Y126" i="9"/>
  <c r="Y125" i="9"/>
  <c r="Y124" i="9"/>
  <c r="Y123" i="9"/>
  <c r="Y122" i="9"/>
  <c r="Y121" i="9"/>
  <c r="I121" i="9" s="1"/>
  <c r="Y120" i="9"/>
  <c r="Y119" i="9"/>
  <c r="Y118" i="9"/>
  <c r="Y117" i="9"/>
  <c r="I117" i="9" s="1"/>
  <c r="Y116" i="9"/>
  <c r="Y115" i="9"/>
  <c r="Y114" i="9"/>
  <c r="I114" i="9" s="1"/>
  <c r="Y113" i="9"/>
  <c r="Y112" i="9"/>
  <c r="Y111" i="9"/>
  <c r="Y110" i="9"/>
  <c r="Y109" i="9"/>
  <c r="Y108" i="9"/>
  <c r="Y107" i="9"/>
  <c r="I107" i="9" s="1"/>
  <c r="Y106" i="9"/>
  <c r="Y105" i="9"/>
  <c r="Y104" i="9"/>
  <c r="Y103" i="9"/>
  <c r="Y102" i="9"/>
  <c r="Y101" i="9"/>
  <c r="Y100" i="9"/>
  <c r="I100" i="9" s="1"/>
  <c r="Y99" i="9"/>
  <c r="Y98" i="9"/>
  <c r="Y97" i="9"/>
  <c r="Y96" i="9"/>
  <c r="Y95" i="9"/>
  <c r="Y94" i="9"/>
  <c r="Y93" i="9"/>
  <c r="I93" i="9" s="1"/>
  <c r="Y92" i="9"/>
  <c r="Y91" i="9"/>
  <c r="Y90" i="9"/>
  <c r="Y89" i="9"/>
  <c r="Y88" i="9"/>
  <c r="Y87" i="9"/>
  <c r="Y86" i="9"/>
  <c r="I86" i="9" s="1"/>
  <c r="Y85" i="9"/>
  <c r="Y84" i="9"/>
  <c r="Y83" i="9"/>
  <c r="Y82" i="9"/>
  <c r="Y81" i="9"/>
  <c r="Y80" i="9"/>
  <c r="Y79" i="9"/>
  <c r="I79" i="9" s="1"/>
  <c r="Y78" i="9"/>
  <c r="Y77" i="9"/>
  <c r="Y76" i="9"/>
  <c r="Y75" i="9"/>
  <c r="Y74" i="9"/>
  <c r="Y73" i="9"/>
  <c r="Y72" i="9"/>
  <c r="I72" i="9" s="1"/>
  <c r="Y71" i="9"/>
  <c r="Y70" i="9"/>
  <c r="Y69" i="9"/>
  <c r="Y68" i="9"/>
  <c r="Y67" i="9"/>
  <c r="Y66" i="9"/>
  <c r="Y65" i="9"/>
  <c r="I65" i="9" s="1"/>
  <c r="Y64" i="9"/>
  <c r="Y63" i="9"/>
  <c r="Y62" i="9"/>
  <c r="Y61" i="9"/>
  <c r="I61" i="9" s="1"/>
  <c r="Y60" i="9"/>
  <c r="Y59" i="9"/>
  <c r="Y58" i="9"/>
  <c r="I58" i="9" s="1"/>
  <c r="Y57" i="9"/>
  <c r="Y56" i="9"/>
  <c r="Y55" i="9"/>
  <c r="Y54" i="9"/>
  <c r="Y53" i="9"/>
  <c r="Y52" i="9"/>
  <c r="Y51" i="9"/>
  <c r="I51" i="9" s="1"/>
  <c r="Y50" i="9"/>
  <c r="Y49" i="9"/>
  <c r="Y48" i="9"/>
  <c r="Y47" i="9"/>
  <c r="Y46" i="9"/>
  <c r="Y45" i="9"/>
  <c r="Y44" i="9"/>
  <c r="I44" i="9" s="1"/>
  <c r="Y43" i="9"/>
  <c r="Y42" i="9"/>
  <c r="Y41" i="9"/>
  <c r="Y40" i="9"/>
  <c r="Y39" i="9"/>
  <c r="Y38" i="9"/>
  <c r="Y37" i="9"/>
  <c r="I37" i="9" s="1"/>
  <c r="Y36" i="9"/>
  <c r="Y35" i="9"/>
  <c r="Y34" i="9"/>
  <c r="Y33" i="9"/>
  <c r="Y32" i="9"/>
  <c r="Y31" i="9"/>
  <c r="Y30" i="9"/>
  <c r="I30" i="9" s="1"/>
  <c r="Y29" i="9"/>
  <c r="Y28" i="9"/>
  <c r="Y27" i="9"/>
  <c r="Y26" i="9"/>
  <c r="Y25" i="9"/>
  <c r="Y24" i="9"/>
  <c r="Y23" i="9"/>
  <c r="I23" i="9" s="1"/>
  <c r="Y22" i="9"/>
  <c r="Y21" i="9"/>
  <c r="Y20" i="9"/>
  <c r="Y19" i="9"/>
  <c r="Y18" i="9"/>
  <c r="Y17" i="9"/>
  <c r="Y16" i="9"/>
  <c r="Y15" i="9"/>
  <c r="Y14" i="9"/>
  <c r="Y13" i="9"/>
  <c r="Y12" i="9"/>
  <c r="Y11" i="9"/>
  <c r="Y10" i="9"/>
  <c r="X128" i="9"/>
  <c r="H128" i="9" s="1"/>
  <c r="X127" i="9"/>
  <c r="X126" i="9"/>
  <c r="X125" i="9"/>
  <c r="X124" i="9"/>
  <c r="H124" i="9" s="1"/>
  <c r="X123" i="9"/>
  <c r="X122" i="9"/>
  <c r="X121" i="9"/>
  <c r="H121" i="9" s="1"/>
  <c r="X120" i="9"/>
  <c r="X119" i="9"/>
  <c r="X118" i="9"/>
  <c r="X117" i="9"/>
  <c r="X116" i="9"/>
  <c r="X115" i="9"/>
  <c r="X114" i="9"/>
  <c r="H114" i="9" s="1"/>
  <c r="X113" i="9"/>
  <c r="X112" i="9"/>
  <c r="X111" i="9"/>
  <c r="X110" i="9"/>
  <c r="X109" i="9"/>
  <c r="X108" i="9"/>
  <c r="X107" i="9"/>
  <c r="H107" i="9" s="1"/>
  <c r="X106" i="9"/>
  <c r="X105" i="9"/>
  <c r="X104" i="9"/>
  <c r="X103" i="9"/>
  <c r="X102" i="9"/>
  <c r="X101" i="9"/>
  <c r="X100" i="9"/>
  <c r="H100" i="9" s="1"/>
  <c r="X99" i="9"/>
  <c r="X98" i="9"/>
  <c r="X97" i="9"/>
  <c r="X96" i="9"/>
  <c r="X95" i="9"/>
  <c r="X94" i="9"/>
  <c r="X93" i="9"/>
  <c r="H93" i="9" s="1"/>
  <c r="X92" i="9"/>
  <c r="X91" i="9"/>
  <c r="X90" i="9"/>
  <c r="X89" i="9"/>
  <c r="X88" i="9"/>
  <c r="X87" i="9"/>
  <c r="X86" i="9"/>
  <c r="H86" i="9" s="1"/>
  <c r="X85" i="9"/>
  <c r="X84" i="9"/>
  <c r="X83" i="9"/>
  <c r="X82" i="9"/>
  <c r="X81" i="9"/>
  <c r="X80" i="9"/>
  <c r="X79" i="9"/>
  <c r="H79" i="9" s="1"/>
  <c r="X78" i="9"/>
  <c r="X77" i="9"/>
  <c r="X76" i="9"/>
  <c r="X75" i="9"/>
  <c r="X74" i="9"/>
  <c r="X73" i="9"/>
  <c r="X72" i="9"/>
  <c r="H72" i="9" s="1"/>
  <c r="X71" i="9"/>
  <c r="X70" i="9"/>
  <c r="X69" i="9"/>
  <c r="X68" i="9"/>
  <c r="H68" i="9" s="1"/>
  <c r="X67" i="9"/>
  <c r="X66" i="9"/>
  <c r="X65" i="9"/>
  <c r="H65" i="9" s="1"/>
  <c r="X64" i="9"/>
  <c r="X63" i="9"/>
  <c r="X62" i="9"/>
  <c r="X61" i="9"/>
  <c r="X60" i="9"/>
  <c r="X59" i="9"/>
  <c r="X58" i="9"/>
  <c r="H58" i="9" s="1"/>
  <c r="X57" i="9"/>
  <c r="X56" i="9"/>
  <c r="X55" i="9"/>
  <c r="X54" i="9"/>
  <c r="X53" i="9"/>
  <c r="X52" i="9"/>
  <c r="X51" i="9"/>
  <c r="H51" i="9" s="1"/>
  <c r="X50" i="9"/>
  <c r="X49" i="9"/>
  <c r="X48" i="9"/>
  <c r="X47" i="9"/>
  <c r="X46" i="9"/>
  <c r="X45" i="9"/>
  <c r="X44" i="9"/>
  <c r="H44" i="9" s="1"/>
  <c r="X43" i="9"/>
  <c r="X42" i="9"/>
  <c r="X41" i="9"/>
  <c r="X40" i="9"/>
  <c r="X39" i="9"/>
  <c r="X38" i="9"/>
  <c r="X37" i="9"/>
  <c r="H37" i="9" s="1"/>
  <c r="X36" i="9"/>
  <c r="X35" i="9"/>
  <c r="X34" i="9"/>
  <c r="X33" i="9"/>
  <c r="X32" i="9"/>
  <c r="X31" i="9"/>
  <c r="X30" i="9"/>
  <c r="H30" i="9" s="1"/>
  <c r="X29" i="9"/>
  <c r="X28" i="9"/>
  <c r="X27" i="9"/>
  <c r="X26" i="9"/>
  <c r="X25" i="9"/>
  <c r="X24" i="9"/>
  <c r="X23" i="9"/>
  <c r="H23" i="9" s="1"/>
  <c r="X22" i="9"/>
  <c r="X21" i="9"/>
  <c r="X20" i="9"/>
  <c r="X19" i="9"/>
  <c r="X18" i="9"/>
  <c r="X17" i="9"/>
  <c r="X16" i="9"/>
  <c r="H16" i="9" s="1"/>
  <c r="X15" i="9"/>
  <c r="X14" i="9"/>
  <c r="X13" i="9"/>
  <c r="X12" i="9"/>
  <c r="H12" i="9" s="1"/>
  <c r="X11" i="9"/>
  <c r="X10" i="9"/>
  <c r="W128" i="9"/>
  <c r="G128" i="9" s="1"/>
  <c r="W127" i="9"/>
  <c r="W126" i="9"/>
  <c r="W125" i="9"/>
  <c r="W124" i="9"/>
  <c r="W123" i="9"/>
  <c r="W122" i="9"/>
  <c r="W121" i="9"/>
  <c r="G121" i="9" s="1"/>
  <c r="W120" i="9"/>
  <c r="W119" i="9"/>
  <c r="W118" i="9"/>
  <c r="W117" i="9"/>
  <c r="W116" i="9"/>
  <c r="W115" i="9"/>
  <c r="W114" i="9"/>
  <c r="G114" i="9" s="1"/>
  <c r="W113" i="9"/>
  <c r="W112" i="9"/>
  <c r="W111" i="9"/>
  <c r="W110" i="9"/>
  <c r="W109" i="9"/>
  <c r="W108" i="9"/>
  <c r="W107" i="9"/>
  <c r="G107" i="9" s="1"/>
  <c r="W106" i="9"/>
  <c r="W105" i="9"/>
  <c r="W104" i="9"/>
  <c r="W103" i="9"/>
  <c r="W102" i="9"/>
  <c r="W101" i="9"/>
  <c r="W100" i="9"/>
  <c r="G100" i="9" s="1"/>
  <c r="W99" i="9"/>
  <c r="W98" i="9"/>
  <c r="W97" i="9"/>
  <c r="W96" i="9"/>
  <c r="W95" i="9"/>
  <c r="W94" i="9"/>
  <c r="W93" i="9"/>
  <c r="G93" i="9" s="1"/>
  <c r="W92" i="9"/>
  <c r="W91" i="9"/>
  <c r="W90" i="9"/>
  <c r="W89" i="9"/>
  <c r="W88" i="9"/>
  <c r="W87" i="9"/>
  <c r="W86" i="9"/>
  <c r="G86" i="9" s="1"/>
  <c r="W85" i="9"/>
  <c r="W84" i="9"/>
  <c r="W83" i="9"/>
  <c r="W82" i="9"/>
  <c r="W81" i="9"/>
  <c r="W80" i="9"/>
  <c r="W79" i="9"/>
  <c r="G79" i="9" s="1"/>
  <c r="W78" i="9"/>
  <c r="W77" i="9"/>
  <c r="W76" i="9"/>
  <c r="W75" i="9"/>
  <c r="G75" i="9" s="1"/>
  <c r="W74" i="9"/>
  <c r="W73" i="9"/>
  <c r="W72" i="9"/>
  <c r="G72" i="9" s="1"/>
  <c r="W71" i="9"/>
  <c r="W70" i="9"/>
  <c r="W69" i="9"/>
  <c r="W68" i="9"/>
  <c r="W67" i="9"/>
  <c r="W66" i="9"/>
  <c r="W65" i="9"/>
  <c r="G65" i="9" s="1"/>
  <c r="W64" i="9"/>
  <c r="W63" i="9"/>
  <c r="W62" i="9"/>
  <c r="W61" i="9"/>
  <c r="W60" i="9"/>
  <c r="W59" i="9"/>
  <c r="W58" i="9"/>
  <c r="G58" i="9" s="1"/>
  <c r="W57" i="9"/>
  <c r="W56" i="9"/>
  <c r="W55" i="9"/>
  <c r="W54" i="9"/>
  <c r="W53" i="9"/>
  <c r="W52" i="9"/>
  <c r="W51" i="9"/>
  <c r="G51" i="9" s="1"/>
  <c r="W50" i="9"/>
  <c r="W49" i="9"/>
  <c r="W48" i="9"/>
  <c r="W47" i="9"/>
  <c r="W46" i="9"/>
  <c r="W45" i="9"/>
  <c r="W44" i="9"/>
  <c r="G44" i="9" s="1"/>
  <c r="W43" i="9"/>
  <c r="W42" i="9"/>
  <c r="W41" i="9"/>
  <c r="W40" i="9"/>
  <c r="W39" i="9"/>
  <c r="W38" i="9"/>
  <c r="W37" i="9"/>
  <c r="G37" i="9" s="1"/>
  <c r="W36" i="9"/>
  <c r="W35" i="9"/>
  <c r="W34" i="9"/>
  <c r="W33" i="9"/>
  <c r="W32" i="9"/>
  <c r="W31" i="9"/>
  <c r="W30" i="9"/>
  <c r="G30" i="9" s="1"/>
  <c r="W29" i="9"/>
  <c r="W28" i="9"/>
  <c r="W27" i="9"/>
  <c r="W26" i="9"/>
  <c r="W25" i="9"/>
  <c r="W24" i="9"/>
  <c r="W23" i="9"/>
  <c r="G23" i="9" s="1"/>
  <c r="W22" i="9"/>
  <c r="W21" i="9"/>
  <c r="W20" i="9"/>
  <c r="W19" i="9"/>
  <c r="G19" i="9" s="1"/>
  <c r="W18" i="9"/>
  <c r="W17" i="9"/>
  <c r="W16" i="9"/>
  <c r="G16" i="9" s="1"/>
  <c r="W15" i="9"/>
  <c r="W14" i="9"/>
  <c r="W13" i="9"/>
  <c r="W12" i="9"/>
  <c r="W11" i="9"/>
  <c r="W10" i="9"/>
  <c r="V128" i="9"/>
  <c r="F128" i="9" s="1"/>
  <c r="V127" i="9"/>
  <c r="V126" i="9"/>
  <c r="V125" i="9"/>
  <c r="V124" i="9"/>
  <c r="V123" i="9"/>
  <c r="V122" i="9"/>
  <c r="V121" i="9"/>
  <c r="F121" i="9" s="1"/>
  <c r="V120" i="9"/>
  <c r="V119" i="9"/>
  <c r="V118" i="9"/>
  <c r="V117" i="9"/>
  <c r="V116" i="9"/>
  <c r="V115" i="9"/>
  <c r="V114" i="9"/>
  <c r="F114" i="9" s="1"/>
  <c r="V113" i="9"/>
  <c r="V112" i="9"/>
  <c r="V111" i="9"/>
  <c r="V110" i="9"/>
  <c r="V109" i="9"/>
  <c r="V108" i="9"/>
  <c r="V107" i="9"/>
  <c r="F107" i="9" s="1"/>
  <c r="V106" i="9"/>
  <c r="V105" i="9"/>
  <c r="V104" i="9"/>
  <c r="V103" i="9"/>
  <c r="V102" i="9"/>
  <c r="V101" i="9"/>
  <c r="V100" i="9"/>
  <c r="F100" i="9" s="1"/>
  <c r="V99" i="9"/>
  <c r="V98" i="9"/>
  <c r="V97" i="9"/>
  <c r="V96" i="9"/>
  <c r="V95" i="9"/>
  <c r="V94" i="9"/>
  <c r="V93" i="9"/>
  <c r="F93" i="9" s="1"/>
  <c r="V92" i="9"/>
  <c r="V91" i="9"/>
  <c r="V90" i="9"/>
  <c r="V89" i="9"/>
  <c r="V88" i="9"/>
  <c r="V87" i="9"/>
  <c r="V86" i="9"/>
  <c r="F86" i="9" s="1"/>
  <c r="V85" i="9"/>
  <c r="V84" i="9"/>
  <c r="V83" i="9"/>
  <c r="V82" i="9"/>
  <c r="F82" i="9" s="1"/>
  <c r="V81" i="9"/>
  <c r="V80" i="9"/>
  <c r="V79" i="9"/>
  <c r="F79" i="9" s="1"/>
  <c r="V78" i="9"/>
  <c r="V77" i="9"/>
  <c r="V76" i="9"/>
  <c r="V75" i="9"/>
  <c r="V74" i="9"/>
  <c r="V73" i="9"/>
  <c r="V72" i="9"/>
  <c r="F72" i="9" s="1"/>
  <c r="V71" i="9"/>
  <c r="V70" i="9"/>
  <c r="V69" i="9"/>
  <c r="V68" i="9"/>
  <c r="V67" i="9"/>
  <c r="V66" i="9"/>
  <c r="V65" i="9"/>
  <c r="F65" i="9" s="1"/>
  <c r="V64" i="9"/>
  <c r="V63" i="9"/>
  <c r="V62" i="9"/>
  <c r="V61" i="9"/>
  <c r="V60" i="9"/>
  <c r="V59" i="9"/>
  <c r="V58" i="9"/>
  <c r="F58" i="9" s="1"/>
  <c r="V57" i="9"/>
  <c r="V56" i="9"/>
  <c r="V55" i="9"/>
  <c r="V54" i="9"/>
  <c r="V53" i="9"/>
  <c r="V52" i="9"/>
  <c r="V51" i="9"/>
  <c r="F51" i="9" s="1"/>
  <c r="V50" i="9"/>
  <c r="V49" i="9"/>
  <c r="V48" i="9"/>
  <c r="V47" i="9"/>
  <c r="V46" i="9"/>
  <c r="V45" i="9"/>
  <c r="V44" i="9"/>
  <c r="F44" i="9" s="1"/>
  <c r="V43" i="9"/>
  <c r="V42" i="9"/>
  <c r="V41" i="9"/>
  <c r="V40" i="9"/>
  <c r="V39" i="9"/>
  <c r="V38" i="9"/>
  <c r="V37" i="9"/>
  <c r="F37" i="9" s="1"/>
  <c r="V36" i="9"/>
  <c r="V35" i="9"/>
  <c r="V34" i="9"/>
  <c r="V33" i="9"/>
  <c r="V32" i="9"/>
  <c r="V31" i="9"/>
  <c r="V30" i="9"/>
  <c r="F30" i="9" s="1"/>
  <c r="V29" i="9"/>
  <c r="V28" i="9"/>
  <c r="V27" i="9"/>
  <c r="V26" i="9"/>
  <c r="F26" i="9" s="1"/>
  <c r="V25" i="9"/>
  <c r="V24" i="9"/>
  <c r="V23" i="9"/>
  <c r="F23" i="9" s="1"/>
  <c r="V22" i="9"/>
  <c r="V21" i="9"/>
  <c r="V20" i="9"/>
  <c r="V19" i="9"/>
  <c r="V18" i="9"/>
  <c r="V17" i="9"/>
  <c r="V16" i="9"/>
  <c r="F16" i="9" s="1"/>
  <c r="V15" i="9"/>
  <c r="V14" i="9"/>
  <c r="V13" i="9"/>
  <c r="V12" i="9"/>
  <c r="V11" i="9"/>
  <c r="V10" i="9"/>
  <c r="U128" i="9"/>
  <c r="E128" i="9" s="1"/>
  <c r="U127" i="9"/>
  <c r="U126" i="9"/>
  <c r="U125" i="9"/>
  <c r="U124" i="9"/>
  <c r="U123" i="9"/>
  <c r="U122" i="9"/>
  <c r="U121" i="9"/>
  <c r="E121" i="9" s="1"/>
  <c r="U120" i="9"/>
  <c r="U119" i="9"/>
  <c r="U118" i="9"/>
  <c r="U117" i="9"/>
  <c r="U116" i="9"/>
  <c r="U115" i="9"/>
  <c r="U114" i="9"/>
  <c r="E114" i="9" s="1"/>
  <c r="U113" i="9"/>
  <c r="U112" i="9"/>
  <c r="U111" i="9"/>
  <c r="U110" i="9"/>
  <c r="U109" i="9"/>
  <c r="U108" i="9"/>
  <c r="U107" i="9"/>
  <c r="E107" i="9" s="1"/>
  <c r="U106" i="9"/>
  <c r="U105" i="9"/>
  <c r="U104" i="9"/>
  <c r="U103" i="9"/>
  <c r="U102" i="9"/>
  <c r="U101" i="9"/>
  <c r="U100" i="9"/>
  <c r="E100" i="9" s="1"/>
  <c r="U99" i="9"/>
  <c r="U98" i="9"/>
  <c r="U97" i="9"/>
  <c r="U96" i="9"/>
  <c r="U95" i="9"/>
  <c r="U94" i="9"/>
  <c r="U93" i="9"/>
  <c r="E93" i="9" s="1"/>
  <c r="U92" i="9"/>
  <c r="U91" i="9"/>
  <c r="U90" i="9"/>
  <c r="U89" i="9"/>
  <c r="E89" i="9" s="1"/>
  <c r="U88" i="9"/>
  <c r="U87" i="9"/>
  <c r="U86" i="9"/>
  <c r="E86" i="9" s="1"/>
  <c r="U85" i="9"/>
  <c r="U84" i="9"/>
  <c r="U83" i="9"/>
  <c r="U82" i="9"/>
  <c r="U81" i="9"/>
  <c r="U80" i="9"/>
  <c r="U79" i="9"/>
  <c r="E79" i="9" s="1"/>
  <c r="U78" i="9"/>
  <c r="U77" i="9"/>
  <c r="U76" i="9"/>
  <c r="U75" i="9"/>
  <c r="U74" i="9"/>
  <c r="U73" i="9"/>
  <c r="U72" i="9"/>
  <c r="E72" i="9" s="1"/>
  <c r="U71" i="9"/>
  <c r="U70" i="9"/>
  <c r="U69" i="9"/>
  <c r="U68" i="9"/>
  <c r="U67" i="9"/>
  <c r="U66" i="9"/>
  <c r="U65" i="9"/>
  <c r="E65" i="9" s="1"/>
  <c r="U64" i="9"/>
  <c r="U63" i="9"/>
  <c r="U62" i="9"/>
  <c r="U61" i="9"/>
  <c r="U60" i="9"/>
  <c r="U59" i="9"/>
  <c r="U58" i="9"/>
  <c r="E58" i="9" s="1"/>
  <c r="U57" i="9"/>
  <c r="U56" i="9"/>
  <c r="U55" i="9"/>
  <c r="U54" i="9"/>
  <c r="U53" i="9"/>
  <c r="U52" i="9"/>
  <c r="U51" i="9"/>
  <c r="E51" i="9" s="1"/>
  <c r="U50" i="9"/>
  <c r="U49" i="9"/>
  <c r="U48" i="9"/>
  <c r="U47" i="9"/>
  <c r="U46" i="9"/>
  <c r="U45" i="9"/>
  <c r="U44" i="9"/>
  <c r="E44" i="9" s="1"/>
  <c r="U43" i="9"/>
  <c r="U42" i="9"/>
  <c r="U41" i="9"/>
  <c r="U40" i="9"/>
  <c r="U39" i="9"/>
  <c r="U38" i="9"/>
  <c r="U37" i="9"/>
  <c r="E37" i="9" s="1"/>
  <c r="U36" i="9"/>
  <c r="U35" i="9"/>
  <c r="U34" i="9"/>
  <c r="U33" i="9"/>
  <c r="E33" i="9" s="1"/>
  <c r="U32" i="9"/>
  <c r="U31" i="9"/>
  <c r="U30" i="9"/>
  <c r="E30" i="9" s="1"/>
  <c r="U29" i="9"/>
  <c r="U28" i="9"/>
  <c r="U27" i="9"/>
  <c r="U26" i="9"/>
  <c r="U25" i="9"/>
  <c r="U24" i="9"/>
  <c r="U23" i="9"/>
  <c r="E23" i="9" s="1"/>
  <c r="U22" i="9"/>
  <c r="U21" i="9"/>
  <c r="U20" i="9"/>
  <c r="U19" i="9"/>
  <c r="U18" i="9"/>
  <c r="U17" i="9"/>
  <c r="U16" i="9"/>
  <c r="E16" i="9" s="1"/>
  <c r="U15" i="9"/>
  <c r="U14" i="9"/>
  <c r="U13" i="9"/>
  <c r="U12" i="9"/>
  <c r="U11" i="9"/>
  <c r="U10" i="9"/>
  <c r="T128" i="9"/>
  <c r="D128" i="9" s="1"/>
  <c r="T127" i="9"/>
  <c r="T126" i="9"/>
  <c r="T125" i="9"/>
  <c r="T124" i="9"/>
  <c r="T123" i="9"/>
  <c r="T122" i="9"/>
  <c r="T121" i="9"/>
  <c r="D121" i="9" s="1"/>
  <c r="T120" i="9"/>
  <c r="T119" i="9"/>
  <c r="T118" i="9"/>
  <c r="T117" i="9"/>
  <c r="T116" i="9"/>
  <c r="T115" i="9"/>
  <c r="T114" i="9"/>
  <c r="D114" i="9" s="1"/>
  <c r="T113" i="9"/>
  <c r="T112" i="9"/>
  <c r="T111" i="9"/>
  <c r="T110" i="9"/>
  <c r="T109" i="9"/>
  <c r="T108" i="9"/>
  <c r="T107" i="9"/>
  <c r="D107" i="9" s="1"/>
  <c r="T106" i="9"/>
  <c r="T105" i="9"/>
  <c r="T104" i="9"/>
  <c r="T103" i="9"/>
  <c r="T102" i="9"/>
  <c r="T101" i="9"/>
  <c r="T100" i="9"/>
  <c r="D100" i="9" s="1"/>
  <c r="T99" i="9"/>
  <c r="T98" i="9"/>
  <c r="T97" i="9"/>
  <c r="T96" i="9"/>
  <c r="D96" i="9" s="1"/>
  <c r="T95" i="9"/>
  <c r="T94" i="9"/>
  <c r="T93" i="9"/>
  <c r="D93" i="9" s="1"/>
  <c r="T92" i="9"/>
  <c r="T91" i="9"/>
  <c r="T90" i="9"/>
  <c r="T89" i="9"/>
  <c r="T88" i="9"/>
  <c r="T87" i="9"/>
  <c r="T86" i="9"/>
  <c r="D86" i="9" s="1"/>
  <c r="T85" i="9"/>
  <c r="T84" i="9"/>
  <c r="T83" i="9"/>
  <c r="T82" i="9"/>
  <c r="T81" i="9"/>
  <c r="T80" i="9"/>
  <c r="T79" i="9"/>
  <c r="D79" i="9" s="1"/>
  <c r="T78" i="9"/>
  <c r="T77" i="9"/>
  <c r="T76" i="9"/>
  <c r="T75" i="9"/>
  <c r="T74" i="9"/>
  <c r="T73" i="9"/>
  <c r="T72" i="9"/>
  <c r="D72" i="9" s="1"/>
  <c r="T71" i="9"/>
  <c r="T70" i="9"/>
  <c r="T69" i="9"/>
  <c r="T68" i="9"/>
  <c r="T67" i="9"/>
  <c r="T66" i="9"/>
  <c r="T65" i="9"/>
  <c r="D65" i="9" s="1"/>
  <c r="T64" i="9"/>
  <c r="T63" i="9"/>
  <c r="T62" i="9"/>
  <c r="T61" i="9"/>
  <c r="T60" i="9"/>
  <c r="T59" i="9"/>
  <c r="T58" i="9"/>
  <c r="D58" i="9" s="1"/>
  <c r="T57" i="9"/>
  <c r="T56" i="9"/>
  <c r="T55" i="9"/>
  <c r="T54" i="9"/>
  <c r="T53" i="9"/>
  <c r="T52" i="9"/>
  <c r="T51" i="9"/>
  <c r="D51" i="9" s="1"/>
  <c r="T50" i="9"/>
  <c r="T49" i="9"/>
  <c r="T48" i="9"/>
  <c r="T47" i="9"/>
  <c r="T46" i="9"/>
  <c r="T45" i="9"/>
  <c r="T44" i="9"/>
  <c r="D44" i="9" s="1"/>
  <c r="T43" i="9"/>
  <c r="T42" i="9"/>
  <c r="T41" i="9"/>
  <c r="T40" i="9"/>
  <c r="D40" i="9" s="1"/>
  <c r="T39" i="9"/>
  <c r="T38" i="9"/>
  <c r="T37" i="9"/>
  <c r="D37" i="9" s="1"/>
  <c r="T36" i="9"/>
  <c r="T35" i="9"/>
  <c r="T34" i="9"/>
  <c r="T33" i="9"/>
  <c r="T32" i="9"/>
  <c r="T31" i="9"/>
  <c r="T30" i="9"/>
  <c r="D30" i="9" s="1"/>
  <c r="T29" i="9"/>
  <c r="T28" i="9"/>
  <c r="T27" i="9"/>
  <c r="T26" i="9"/>
  <c r="T25" i="9"/>
  <c r="T24" i="9"/>
  <c r="T23" i="9"/>
  <c r="D23" i="9" s="1"/>
  <c r="T22" i="9"/>
  <c r="T21" i="9"/>
  <c r="T20" i="9"/>
  <c r="T19" i="9"/>
  <c r="T18" i="9"/>
  <c r="T17" i="9"/>
  <c r="T16" i="9"/>
  <c r="D16" i="9" s="1"/>
  <c r="T15" i="9"/>
  <c r="T14" i="9"/>
  <c r="T13" i="9"/>
  <c r="T12" i="9"/>
  <c r="T11" i="9"/>
  <c r="T10" i="9"/>
  <c r="S128" i="9"/>
  <c r="C128" i="9" s="1"/>
  <c r="S127" i="9"/>
  <c r="S126" i="9"/>
  <c r="S125" i="9"/>
  <c r="S124" i="9"/>
  <c r="S123" i="9"/>
  <c r="S122" i="9"/>
  <c r="S121" i="9"/>
  <c r="C121" i="9" s="1"/>
  <c r="S120" i="9"/>
  <c r="S119" i="9"/>
  <c r="S118" i="9"/>
  <c r="S117" i="9"/>
  <c r="S116" i="9"/>
  <c r="S115" i="9"/>
  <c r="S114" i="9"/>
  <c r="C114" i="9" s="1"/>
  <c r="S113" i="9"/>
  <c r="S112" i="9"/>
  <c r="S111" i="9"/>
  <c r="S110" i="9"/>
  <c r="S109" i="9"/>
  <c r="S108" i="9"/>
  <c r="S107" i="9"/>
  <c r="C107" i="9" s="1"/>
  <c r="S106" i="9"/>
  <c r="S105" i="9"/>
  <c r="S104" i="9"/>
  <c r="S103" i="9"/>
  <c r="C103" i="9" s="1"/>
  <c r="S102" i="9"/>
  <c r="S101" i="9"/>
  <c r="S100" i="9"/>
  <c r="C100" i="9" s="1"/>
  <c r="S99" i="9"/>
  <c r="S98" i="9"/>
  <c r="S97" i="9"/>
  <c r="S96" i="9"/>
  <c r="S95" i="9"/>
  <c r="S94" i="9"/>
  <c r="S93" i="9"/>
  <c r="C93" i="9" s="1"/>
  <c r="S92" i="9"/>
  <c r="S91" i="9"/>
  <c r="S90" i="9"/>
  <c r="S89" i="9"/>
  <c r="S88" i="9"/>
  <c r="S87" i="9"/>
  <c r="S86" i="9"/>
  <c r="C86" i="9" s="1"/>
  <c r="S85" i="9"/>
  <c r="S84" i="9"/>
  <c r="S83" i="9"/>
  <c r="S82" i="9"/>
  <c r="S81" i="9"/>
  <c r="S80" i="9"/>
  <c r="S79" i="9"/>
  <c r="C79" i="9" s="1"/>
  <c r="S78" i="9"/>
  <c r="S77" i="9"/>
  <c r="S76" i="9"/>
  <c r="S75" i="9"/>
  <c r="S74" i="9"/>
  <c r="S73" i="9"/>
  <c r="S72" i="9"/>
  <c r="C72" i="9" s="1"/>
  <c r="S71" i="9"/>
  <c r="S70" i="9"/>
  <c r="S69" i="9"/>
  <c r="S68" i="9"/>
  <c r="S67" i="9"/>
  <c r="S66" i="9"/>
  <c r="S65" i="9"/>
  <c r="C65" i="9" s="1"/>
  <c r="S64" i="9"/>
  <c r="S63" i="9"/>
  <c r="S62" i="9"/>
  <c r="S61" i="9"/>
  <c r="S60" i="9"/>
  <c r="S59" i="9"/>
  <c r="S58" i="9"/>
  <c r="C58" i="9" s="1"/>
  <c r="S57" i="9"/>
  <c r="S56" i="9"/>
  <c r="S55" i="9"/>
  <c r="S54" i="9"/>
  <c r="S53" i="9"/>
  <c r="S52" i="9"/>
  <c r="S51" i="9"/>
  <c r="C51" i="9" s="1"/>
  <c r="S50" i="9"/>
  <c r="S49" i="9"/>
  <c r="S48" i="9"/>
  <c r="S47" i="9"/>
  <c r="C47" i="9" s="1"/>
  <c r="S46" i="9"/>
  <c r="S45" i="9"/>
  <c r="S44" i="9"/>
  <c r="C44" i="9" s="1"/>
  <c r="S43" i="9"/>
  <c r="S42" i="9"/>
  <c r="S41" i="9"/>
  <c r="S40" i="9"/>
  <c r="S39" i="9"/>
  <c r="S38" i="9"/>
  <c r="S37" i="9"/>
  <c r="C37" i="9" s="1"/>
  <c r="S36" i="9"/>
  <c r="S35" i="9"/>
  <c r="S34" i="9"/>
  <c r="S33" i="9"/>
  <c r="S32" i="9"/>
  <c r="S31" i="9"/>
  <c r="S30" i="9"/>
  <c r="C30" i="9" s="1"/>
  <c r="S29" i="9"/>
  <c r="S28" i="9"/>
  <c r="S27" i="9"/>
  <c r="S26" i="9"/>
  <c r="S25" i="9"/>
  <c r="S24" i="9"/>
  <c r="S23" i="9"/>
  <c r="S22" i="9"/>
  <c r="S21" i="9"/>
  <c r="S20" i="9"/>
  <c r="S19" i="9"/>
  <c r="S18" i="9"/>
  <c r="S17" i="9"/>
  <c r="S16" i="9"/>
  <c r="C16" i="9" s="1"/>
  <c r="S15" i="9"/>
  <c r="S14" i="9"/>
  <c r="S13" i="9"/>
  <c r="S12" i="9"/>
  <c r="S11" i="9"/>
  <c r="S10" i="9"/>
  <c r="P24" i="9" l="1"/>
  <c r="K123" i="9"/>
  <c r="L60" i="9"/>
  <c r="L116" i="9"/>
  <c r="M53" i="9"/>
  <c r="M109" i="9"/>
  <c r="F120" i="10"/>
  <c r="K124" i="9"/>
  <c r="L61" i="9"/>
  <c r="L117" i="9"/>
  <c r="M54" i="9"/>
  <c r="J20" i="9"/>
  <c r="L54" i="9"/>
  <c r="L62" i="9"/>
  <c r="N33" i="9"/>
  <c r="N41" i="9"/>
  <c r="N89" i="9"/>
  <c r="O26" i="9"/>
  <c r="O34" i="9"/>
  <c r="O50" i="9"/>
  <c r="O82" i="9"/>
  <c r="P19" i="9"/>
  <c r="P75" i="9"/>
  <c r="Q12" i="9"/>
  <c r="Q68" i="9"/>
  <c r="Q76" i="9"/>
  <c r="Q124" i="9"/>
  <c r="O21" i="9"/>
  <c r="O77" i="9"/>
  <c r="P14" i="9"/>
  <c r="P70" i="9"/>
  <c r="P47" i="9"/>
  <c r="E73" i="9"/>
  <c r="P39" i="9"/>
  <c r="C34" i="9"/>
  <c r="C90" i="9"/>
  <c r="D27" i="9"/>
  <c r="D83" i="9"/>
  <c r="E20" i="9"/>
  <c r="E76" i="9"/>
  <c r="F13" i="9"/>
  <c r="F69" i="9"/>
  <c r="F125" i="9"/>
  <c r="G62" i="9"/>
  <c r="G118" i="9"/>
  <c r="H55" i="9"/>
  <c r="H111" i="9"/>
  <c r="I11" i="9"/>
  <c r="I48" i="9"/>
  <c r="I104" i="9"/>
  <c r="J41" i="9"/>
  <c r="J97" i="9"/>
  <c r="K18" i="9"/>
  <c r="K34" i="9"/>
  <c r="O47" i="9"/>
  <c r="D24" i="9"/>
  <c r="D80" i="9"/>
  <c r="E17" i="9"/>
  <c r="O102" i="9"/>
  <c r="K27" i="9"/>
  <c r="K59" i="9"/>
  <c r="K83" i="9"/>
  <c r="K115" i="9"/>
  <c r="L20" i="9"/>
  <c r="L52" i="9"/>
  <c r="L76" i="9"/>
  <c r="L108" i="9"/>
  <c r="M13" i="9"/>
  <c r="M45" i="9"/>
  <c r="M69" i="9"/>
  <c r="M101" i="9"/>
  <c r="M125" i="9"/>
  <c r="N113" i="10"/>
  <c r="C31" i="9"/>
  <c r="C87" i="9"/>
  <c r="E19" i="9"/>
  <c r="C20" i="9"/>
  <c r="C28" i="9"/>
  <c r="C36" i="9"/>
  <c r="C84" i="9"/>
  <c r="C92" i="9"/>
  <c r="D21" i="9"/>
  <c r="D29" i="9"/>
  <c r="D77" i="9"/>
  <c r="D85" i="9"/>
  <c r="E14" i="9"/>
  <c r="E22" i="9"/>
  <c r="E70" i="9"/>
  <c r="E78" i="9"/>
  <c r="E126" i="9"/>
  <c r="F15" i="9"/>
  <c r="F63" i="9"/>
  <c r="F71" i="9"/>
  <c r="F119" i="9"/>
  <c r="F127" i="9"/>
  <c r="G56" i="9"/>
  <c r="G64" i="9"/>
  <c r="G112" i="9"/>
  <c r="G120" i="9"/>
  <c r="H49" i="9"/>
  <c r="H57" i="9"/>
  <c r="H105" i="9"/>
  <c r="H113" i="9"/>
  <c r="I42" i="9"/>
  <c r="I50" i="9"/>
  <c r="I98" i="9"/>
  <c r="I106" i="9"/>
  <c r="J35" i="9"/>
  <c r="J43" i="9"/>
  <c r="J91" i="9"/>
  <c r="J99" i="9"/>
  <c r="K28" i="9"/>
  <c r="K36" i="9"/>
  <c r="K60" i="9"/>
  <c r="K84" i="9"/>
  <c r="K92" i="9"/>
  <c r="K116" i="9"/>
  <c r="L21" i="9"/>
  <c r="L29" i="9"/>
  <c r="L53" i="9"/>
  <c r="L77" i="9"/>
  <c r="L85" i="9"/>
  <c r="L109" i="9"/>
  <c r="M14" i="9"/>
  <c r="M22" i="9"/>
  <c r="M46" i="9"/>
  <c r="M70" i="9"/>
  <c r="M78" i="9"/>
  <c r="N104" i="9"/>
  <c r="P42" i="9"/>
  <c r="P90" i="9"/>
  <c r="C10" i="9"/>
  <c r="E108" i="9"/>
  <c r="H87" i="9"/>
  <c r="I24" i="9"/>
  <c r="K10" i="9"/>
  <c r="K66" i="9"/>
  <c r="C11" i="9"/>
  <c r="C27" i="9"/>
  <c r="C35" i="9"/>
  <c r="C59" i="9"/>
  <c r="C67" i="9"/>
  <c r="C83" i="9"/>
  <c r="C91" i="9"/>
  <c r="C115" i="9"/>
  <c r="C123" i="9"/>
  <c r="D20" i="9"/>
  <c r="D28" i="9"/>
  <c r="D52" i="9"/>
  <c r="D60" i="9"/>
  <c r="D76" i="9"/>
  <c r="D84" i="9"/>
  <c r="D108" i="9"/>
  <c r="D116" i="9"/>
  <c r="E13" i="9"/>
  <c r="E21" i="9"/>
  <c r="E45" i="9"/>
  <c r="E53" i="9"/>
  <c r="E69" i="9"/>
  <c r="E77" i="9"/>
  <c r="E101" i="9"/>
  <c r="E109" i="9"/>
  <c r="E125" i="9"/>
  <c r="F14" i="9"/>
  <c r="F38" i="9"/>
  <c r="F46" i="9"/>
  <c r="F62" i="9"/>
  <c r="F70" i="9"/>
  <c r="F94" i="9"/>
  <c r="F102" i="9"/>
  <c r="F118" i="9"/>
  <c r="F126" i="9"/>
  <c r="G31" i="9"/>
  <c r="G39" i="9"/>
  <c r="G55" i="9"/>
  <c r="G63" i="9"/>
  <c r="G87" i="9"/>
  <c r="G95" i="9"/>
  <c r="G111" i="9"/>
  <c r="G119" i="9"/>
  <c r="H24" i="9"/>
  <c r="H32" i="9"/>
  <c r="H48" i="9"/>
  <c r="H56" i="9"/>
  <c r="H80" i="9"/>
  <c r="H88" i="9"/>
  <c r="H104" i="9"/>
  <c r="H112" i="9"/>
  <c r="I17" i="9"/>
  <c r="I25" i="9"/>
  <c r="I41" i="9"/>
  <c r="I49" i="9"/>
  <c r="I73" i="9"/>
  <c r="I81" i="9"/>
  <c r="I97" i="9"/>
  <c r="I105" i="9"/>
  <c r="J10" i="9"/>
  <c r="J18" i="9"/>
  <c r="J34" i="9"/>
  <c r="J42" i="9"/>
  <c r="J66" i="9"/>
  <c r="J74" i="9"/>
  <c r="J90" i="9"/>
  <c r="J98" i="9"/>
  <c r="J122" i="9"/>
  <c r="K11" i="9"/>
  <c r="K35" i="9"/>
  <c r="K67" i="9"/>
  <c r="K91" i="9"/>
  <c r="L12" i="9"/>
  <c r="L28" i="9"/>
  <c r="L84" i="9"/>
  <c r="M21" i="9"/>
  <c r="M77" i="9"/>
  <c r="M85" i="9"/>
  <c r="N15" i="9"/>
  <c r="N71" i="9"/>
  <c r="N127" i="9"/>
  <c r="O64" i="9"/>
  <c r="O120" i="9"/>
  <c r="P57" i="9"/>
  <c r="P113" i="9"/>
  <c r="Q50" i="9"/>
  <c r="Q106" i="9"/>
  <c r="M18" i="9"/>
  <c r="E52" i="9"/>
  <c r="F45" i="9"/>
  <c r="G94" i="9"/>
  <c r="C60" i="9"/>
  <c r="D53" i="9"/>
  <c r="E46" i="9"/>
  <c r="G88" i="9"/>
  <c r="H73" i="9"/>
  <c r="J19" i="9"/>
  <c r="J67" i="9"/>
  <c r="J115" i="9"/>
  <c r="K68" i="9"/>
  <c r="C61" i="9"/>
  <c r="C117" i="9"/>
  <c r="D54" i="9"/>
  <c r="E47" i="9"/>
  <c r="F40" i="9"/>
  <c r="F48" i="9"/>
  <c r="G97" i="9"/>
  <c r="I19" i="9"/>
  <c r="I27" i="9"/>
  <c r="J12" i="9"/>
  <c r="K13" i="9"/>
  <c r="K69" i="9"/>
  <c r="C66" i="9"/>
  <c r="D59" i="9"/>
  <c r="F101" i="9"/>
  <c r="G38" i="9"/>
  <c r="C116" i="9"/>
  <c r="D109" i="9"/>
  <c r="E102" i="9"/>
  <c r="F39" i="9"/>
  <c r="F95" i="9"/>
  <c r="H17" i="9"/>
  <c r="I18" i="9"/>
  <c r="I66" i="9"/>
  <c r="J11" i="9"/>
  <c r="J59" i="9"/>
  <c r="K12" i="9"/>
  <c r="C13" i="9"/>
  <c r="C62" i="9"/>
  <c r="C118" i="9"/>
  <c r="D55" i="9"/>
  <c r="D111" i="9"/>
  <c r="E48" i="9"/>
  <c r="E104" i="9"/>
  <c r="F41" i="9"/>
  <c r="F97" i="9"/>
  <c r="G34" i="9"/>
  <c r="G42" i="9"/>
  <c r="G90" i="9"/>
  <c r="H27" i="9"/>
  <c r="H83" i="9"/>
  <c r="I20" i="9"/>
  <c r="I68" i="9"/>
  <c r="I76" i="9"/>
  <c r="I124" i="9"/>
  <c r="J13" i="9"/>
  <c r="J21" i="9"/>
  <c r="J32" i="9"/>
  <c r="J61" i="9"/>
  <c r="J69" i="9"/>
  <c r="J77" i="9"/>
  <c r="C122" i="9"/>
  <c r="D115" i="9"/>
  <c r="H31" i="9"/>
  <c r="C12" i="9"/>
  <c r="G32" i="9"/>
  <c r="G96" i="9"/>
  <c r="H25" i="9"/>
  <c r="H81" i="9"/>
  <c r="I74" i="9"/>
  <c r="I122" i="9"/>
  <c r="J75" i="9"/>
  <c r="J123" i="9"/>
  <c r="K52" i="9"/>
  <c r="C15" i="9"/>
  <c r="C17" i="9"/>
  <c r="C55" i="9"/>
  <c r="C63" i="9"/>
  <c r="C71" i="9"/>
  <c r="C111" i="9"/>
  <c r="C119" i="9"/>
  <c r="C127" i="9"/>
  <c r="D48" i="9"/>
  <c r="D56" i="9"/>
  <c r="D64" i="9"/>
  <c r="D104" i="9"/>
  <c r="D112" i="9"/>
  <c r="D120" i="9"/>
  <c r="E41" i="9"/>
  <c r="E49" i="9"/>
  <c r="E57" i="9"/>
  <c r="E97" i="9"/>
  <c r="E105" i="9"/>
  <c r="E113" i="9"/>
  <c r="F10" i="9"/>
  <c r="F34" i="9"/>
  <c r="F42" i="9"/>
  <c r="F50" i="9"/>
  <c r="F66" i="9"/>
  <c r="F90" i="9"/>
  <c r="F98" i="9"/>
  <c r="F106" i="9"/>
  <c r="F122" i="9"/>
  <c r="G27" i="9"/>
  <c r="G35" i="9"/>
  <c r="G43" i="9"/>
  <c r="G59" i="9"/>
  <c r="G83" i="9"/>
  <c r="G91" i="9"/>
  <c r="G99" i="9"/>
  <c r="G115" i="9"/>
  <c r="H20" i="9"/>
  <c r="H28" i="9"/>
  <c r="H36" i="9"/>
  <c r="H52" i="9"/>
  <c r="H76" i="9"/>
  <c r="H84" i="9"/>
  <c r="H92" i="9"/>
  <c r="H108" i="9"/>
  <c r="I13" i="9"/>
  <c r="I21" i="9"/>
  <c r="I29" i="9"/>
  <c r="I45" i="9"/>
  <c r="I69" i="9"/>
  <c r="I77" i="9"/>
  <c r="I85" i="9"/>
  <c r="I101" i="9"/>
  <c r="I125" i="9"/>
  <c r="J14" i="9"/>
  <c r="J22" i="9"/>
  <c r="M81" i="9"/>
  <c r="J117" i="9"/>
  <c r="J125" i="9"/>
  <c r="K14" i="9"/>
  <c r="K25" i="9"/>
  <c r="K54" i="9"/>
  <c r="K62" i="9"/>
  <c r="K70" i="9"/>
  <c r="K110" i="9"/>
  <c r="K118" i="9"/>
  <c r="K126" i="9"/>
  <c r="L15" i="9"/>
  <c r="L47" i="9"/>
  <c r="L55" i="9"/>
  <c r="L63" i="9"/>
  <c r="L103" i="9"/>
  <c r="L111" i="9"/>
  <c r="L119" i="9"/>
  <c r="M40" i="9"/>
  <c r="M48" i="9"/>
  <c r="M56" i="9"/>
  <c r="M96" i="9"/>
  <c r="M104" i="9"/>
  <c r="M112" i="9"/>
  <c r="N10" i="9"/>
  <c r="N26" i="9"/>
  <c r="N34" i="9"/>
  <c r="N42" i="9"/>
  <c r="N66" i="9"/>
  <c r="N74" i="9"/>
  <c r="N82" i="9"/>
  <c r="N90" i="9"/>
  <c r="N98" i="9"/>
  <c r="N122" i="9"/>
  <c r="O19" i="9"/>
  <c r="O27" i="9"/>
  <c r="O35" i="9"/>
  <c r="O59" i="9"/>
  <c r="O75" i="9"/>
  <c r="O83" i="9"/>
  <c r="O91" i="9"/>
  <c r="O115" i="9"/>
  <c r="P12" i="9"/>
  <c r="P20" i="9"/>
  <c r="P28" i="9"/>
  <c r="P52" i="9"/>
  <c r="P68" i="9"/>
  <c r="P76" i="9"/>
  <c r="P84" i="9"/>
  <c r="P108" i="9"/>
  <c r="P124" i="9"/>
  <c r="Q13" i="9"/>
  <c r="Q21" i="9"/>
  <c r="Q36" i="9"/>
  <c r="Q45" i="9"/>
  <c r="Q61" i="9"/>
  <c r="Q69" i="9"/>
  <c r="Q77" i="9"/>
  <c r="Q101" i="9"/>
  <c r="Q117" i="9"/>
  <c r="Q125" i="9"/>
  <c r="L25" i="9"/>
  <c r="N12" i="9"/>
  <c r="N20" i="9"/>
  <c r="K90" i="9"/>
  <c r="K122" i="9"/>
  <c r="L27" i="9"/>
  <c r="L59" i="9"/>
  <c r="P32" i="9"/>
  <c r="L93" i="9"/>
  <c r="L91" i="9"/>
  <c r="G15" i="9"/>
  <c r="E24" i="9"/>
  <c r="C39" i="9"/>
  <c r="C95" i="9"/>
  <c r="D32" i="9"/>
  <c r="D88" i="9"/>
  <c r="E25" i="9"/>
  <c r="E81" i="9"/>
  <c r="F18" i="9"/>
  <c r="F74" i="9"/>
  <c r="G11" i="9"/>
  <c r="G67" i="9"/>
  <c r="G123" i="9"/>
  <c r="H60" i="9"/>
  <c r="H116" i="9"/>
  <c r="I53" i="9"/>
  <c r="I109" i="9"/>
  <c r="C38" i="9"/>
  <c r="G66" i="9"/>
  <c r="K46" i="9"/>
  <c r="O51" i="9"/>
  <c r="O45" i="9"/>
  <c r="C18" i="9"/>
  <c r="C26" i="9"/>
  <c r="C42" i="9"/>
  <c r="C50" i="9"/>
  <c r="C82" i="9"/>
  <c r="C98" i="9"/>
  <c r="C106" i="9"/>
  <c r="D19" i="9"/>
  <c r="D35" i="9"/>
  <c r="D43" i="9"/>
  <c r="D75" i="9"/>
  <c r="D91" i="9"/>
  <c r="D99" i="9"/>
  <c r="E12" i="9"/>
  <c r="E28" i="9"/>
  <c r="E36" i="9"/>
  <c r="E68" i="9"/>
  <c r="E84" i="9"/>
  <c r="E92" i="9"/>
  <c r="E124" i="9"/>
  <c r="F21" i="9"/>
  <c r="F29" i="9"/>
  <c r="F61" i="9"/>
  <c r="F77" i="9"/>
  <c r="F85" i="9"/>
  <c r="F117" i="9"/>
  <c r="G14" i="9"/>
  <c r="G22" i="9"/>
  <c r="K26" i="9"/>
  <c r="C43" i="9"/>
  <c r="C99" i="9"/>
  <c r="D36" i="9"/>
  <c r="D68" i="9"/>
  <c r="D92" i="9"/>
  <c r="E29" i="9"/>
  <c r="E61" i="9"/>
  <c r="E85" i="9"/>
  <c r="F22" i="9"/>
  <c r="F78" i="9"/>
  <c r="G71" i="9"/>
  <c r="G127" i="9"/>
  <c r="H64" i="9"/>
  <c r="H120" i="9"/>
  <c r="I57" i="9"/>
  <c r="I113" i="9"/>
  <c r="J50" i="9"/>
  <c r="J106" i="9"/>
  <c r="K43" i="9"/>
  <c r="K99" i="9"/>
  <c r="L36" i="9"/>
  <c r="L92" i="9"/>
  <c r="M29" i="9"/>
  <c r="M15" i="9"/>
  <c r="L74" i="9"/>
  <c r="C29" i="9"/>
  <c r="C53" i="9"/>
  <c r="D14" i="9"/>
  <c r="D38" i="9"/>
  <c r="F120" i="9"/>
  <c r="K53" i="9"/>
  <c r="L46" i="9"/>
  <c r="C24" i="9"/>
  <c r="C32" i="9"/>
  <c r="C40" i="9"/>
  <c r="C64" i="9"/>
  <c r="C80" i="9"/>
  <c r="C88" i="9"/>
  <c r="C96" i="9"/>
  <c r="C120" i="9"/>
  <c r="D17" i="9"/>
  <c r="D25" i="9"/>
  <c r="D33" i="9"/>
  <c r="D41" i="9"/>
  <c r="D49" i="9"/>
  <c r="D57" i="9"/>
  <c r="D73" i="9"/>
  <c r="D81" i="9"/>
  <c r="D89" i="9"/>
  <c r="D113" i="9"/>
  <c r="E10" i="9"/>
  <c r="E18" i="9"/>
  <c r="E26" i="9"/>
  <c r="E42" i="9"/>
  <c r="E50" i="9"/>
  <c r="E66" i="9"/>
  <c r="E74" i="9"/>
  <c r="E82" i="9"/>
  <c r="E106" i="9"/>
  <c r="E122" i="9"/>
  <c r="F11" i="9"/>
  <c r="F19" i="9"/>
  <c r="F43" i="9"/>
  <c r="F59" i="9"/>
  <c r="F67" i="9"/>
  <c r="F75" i="9"/>
  <c r="F99" i="9"/>
  <c r="F115" i="9"/>
  <c r="F123" i="9"/>
  <c r="G12" i="9"/>
  <c r="G36" i="9"/>
  <c r="G52" i="9"/>
  <c r="G60" i="9"/>
  <c r="G68" i="9"/>
  <c r="G76" i="9"/>
  <c r="G92" i="9"/>
  <c r="G108" i="9"/>
  <c r="G116" i="9"/>
  <c r="G124" i="9"/>
  <c r="H29" i="9"/>
  <c r="H45" i="9"/>
  <c r="H53" i="9"/>
  <c r="H61" i="9"/>
  <c r="H85" i="9"/>
  <c r="H101" i="9"/>
  <c r="H109" i="9"/>
  <c r="H117" i="9"/>
  <c r="I22" i="9"/>
  <c r="I38" i="9"/>
  <c r="I46" i="9"/>
  <c r="I54" i="9"/>
  <c r="I70" i="9"/>
  <c r="I78" i="9"/>
  <c r="I94" i="9"/>
  <c r="I102" i="9"/>
  <c r="I126" i="9"/>
  <c r="J15" i="9"/>
  <c r="J39" i="9"/>
  <c r="J63" i="9"/>
  <c r="J71" i="9"/>
  <c r="J95" i="9"/>
  <c r="J119" i="9"/>
  <c r="J127" i="9"/>
  <c r="K24" i="9"/>
  <c r="K32" i="9"/>
  <c r="K56" i="9"/>
  <c r="K64" i="9"/>
  <c r="K88" i="9"/>
  <c r="K120" i="9"/>
  <c r="L57" i="9"/>
  <c r="L81" i="9"/>
  <c r="L113" i="9"/>
  <c r="M50" i="9"/>
  <c r="M74" i="9"/>
  <c r="M106" i="9"/>
  <c r="N36" i="9"/>
  <c r="N60" i="9"/>
  <c r="N92" i="9"/>
  <c r="N116" i="9"/>
  <c r="O29" i="9"/>
  <c r="O53" i="9"/>
  <c r="O85" i="9"/>
  <c r="O109" i="9"/>
  <c r="P22" i="9"/>
  <c r="P46" i="9"/>
  <c r="P78" i="9"/>
  <c r="P102" i="9"/>
  <c r="Q15" i="9"/>
  <c r="Q20" i="9"/>
  <c r="Q23" i="9"/>
  <c r="Q31" i="9"/>
  <c r="Q39" i="9"/>
  <c r="Q71" i="9"/>
  <c r="C49" i="9"/>
  <c r="E11" i="9"/>
  <c r="E75" i="9"/>
  <c r="F12" i="9"/>
  <c r="F68" i="9"/>
  <c r="F124" i="9"/>
  <c r="G21" i="9"/>
  <c r="G61" i="9"/>
  <c r="G117" i="9"/>
  <c r="H54" i="9"/>
  <c r="H110" i="9"/>
  <c r="I47" i="9"/>
  <c r="I103" i="9"/>
  <c r="J40" i="9"/>
  <c r="J96" i="9"/>
  <c r="K33" i="9"/>
  <c r="K57" i="9"/>
  <c r="K89" i="9"/>
  <c r="L18" i="9"/>
  <c r="L26" i="9"/>
  <c r="L34" i="9"/>
  <c r="L82" i="9"/>
  <c r="M19" i="9"/>
  <c r="M75" i="9"/>
  <c r="O54" i="9"/>
  <c r="Q40" i="9"/>
  <c r="G54" i="9"/>
  <c r="G70" i="9"/>
  <c r="G78" i="9"/>
  <c r="G110" i="9"/>
  <c r="G126" i="9"/>
  <c r="H15" i="9"/>
  <c r="H39" i="9"/>
  <c r="H47" i="9"/>
  <c r="H63" i="9"/>
  <c r="H71" i="9"/>
  <c r="H103" i="9"/>
  <c r="H119" i="9"/>
  <c r="H127" i="9"/>
  <c r="I32" i="9"/>
  <c r="L43" i="9"/>
  <c r="Q33" i="9"/>
  <c r="J38" i="9"/>
  <c r="J46" i="9"/>
  <c r="J54" i="9"/>
  <c r="J62" i="9"/>
  <c r="J70" i="9"/>
  <c r="J78" i="9"/>
  <c r="J94" i="9"/>
  <c r="J102" i="9"/>
  <c r="J110" i="9"/>
  <c r="J118" i="9"/>
  <c r="J126" i="9"/>
  <c r="K15" i="9"/>
  <c r="K31" i="9"/>
  <c r="K39" i="9"/>
  <c r="K47" i="9"/>
  <c r="K55" i="9"/>
  <c r="K63" i="9"/>
  <c r="K71" i="9"/>
  <c r="K87" i="9"/>
  <c r="K95" i="9"/>
  <c r="K103" i="9"/>
  <c r="K111" i="9"/>
  <c r="K119" i="9"/>
  <c r="K127" i="9"/>
  <c r="L24" i="9"/>
  <c r="L32" i="9"/>
  <c r="L40" i="9"/>
  <c r="L48" i="9"/>
  <c r="L56" i="9"/>
  <c r="L64" i="9"/>
  <c r="L80" i="9"/>
  <c r="L88" i="9"/>
  <c r="L96" i="9"/>
  <c r="L104" i="9"/>
  <c r="L112" i="9"/>
  <c r="L120" i="9"/>
  <c r="M17" i="9"/>
  <c r="M25" i="9"/>
  <c r="M33" i="9"/>
  <c r="M41" i="9"/>
  <c r="M49" i="9"/>
  <c r="M57" i="9"/>
  <c r="M73" i="9"/>
  <c r="M89" i="9"/>
  <c r="M97" i="9"/>
  <c r="M105" i="9"/>
  <c r="M113" i="9"/>
  <c r="N11" i="9"/>
  <c r="N19" i="9"/>
  <c r="N27" i="9"/>
  <c r="N35" i="9"/>
  <c r="N43" i="9"/>
  <c r="N59" i="9"/>
  <c r="N67" i="9"/>
  <c r="N75" i="9"/>
  <c r="N83" i="9"/>
  <c r="N91" i="9"/>
  <c r="N99" i="9"/>
  <c r="N115" i="9"/>
  <c r="N123" i="9"/>
  <c r="O12" i="9"/>
  <c r="O20" i="9"/>
  <c r="O28" i="9"/>
  <c r="O36" i="9"/>
  <c r="O52" i="9"/>
  <c r="O60" i="9"/>
  <c r="O68" i="9"/>
  <c r="O76" i="9"/>
  <c r="O84" i="9"/>
  <c r="O92" i="9"/>
  <c r="O108" i="9"/>
  <c r="O116" i="9"/>
  <c r="O124" i="9"/>
  <c r="P13" i="9"/>
  <c r="P21" i="9"/>
  <c r="P29" i="9"/>
  <c r="P45" i="9"/>
  <c r="P53" i="9"/>
  <c r="P61" i="9"/>
  <c r="P69" i="9"/>
  <c r="P77" i="9"/>
  <c r="P85" i="9"/>
  <c r="P101" i="9"/>
  <c r="P109" i="9"/>
  <c r="P117" i="9"/>
  <c r="P125" i="9"/>
  <c r="Q14" i="9"/>
  <c r="Q22" i="9"/>
  <c r="Q38" i="9"/>
  <c r="Q46" i="9"/>
  <c r="Q54" i="9"/>
  <c r="Q62" i="9"/>
  <c r="Q70" i="9"/>
  <c r="Q78" i="9"/>
  <c r="Q94" i="9"/>
  <c r="Q102" i="9"/>
  <c r="Q110" i="9"/>
  <c r="Q118" i="9"/>
  <c r="Q126" i="9"/>
  <c r="L83" i="9"/>
  <c r="L115" i="9"/>
  <c r="M28" i="9"/>
  <c r="M52" i="9"/>
  <c r="M76" i="9"/>
  <c r="M108" i="9"/>
  <c r="N14" i="9"/>
  <c r="N22" i="9"/>
  <c r="N38" i="9"/>
  <c r="N54" i="9"/>
  <c r="N62" i="9"/>
  <c r="N94" i="9"/>
  <c r="N118" i="9"/>
  <c r="O22" i="9"/>
  <c r="O31" i="9"/>
  <c r="O55" i="9"/>
  <c r="O87" i="9"/>
  <c r="O111" i="9"/>
  <c r="P11" i="9"/>
  <c r="P40" i="9"/>
  <c r="P48" i="9"/>
  <c r="P64" i="9"/>
  <c r="P80" i="9"/>
  <c r="P104" i="9"/>
  <c r="Q17" i="9"/>
  <c r="Q41" i="9"/>
  <c r="Q73" i="9"/>
  <c r="Q97" i="9"/>
  <c r="O23" i="9"/>
  <c r="N21" i="9"/>
  <c r="N31" i="9"/>
  <c r="N39" i="9"/>
  <c r="N55" i="9"/>
  <c r="N63" i="9"/>
  <c r="N76" i="9"/>
  <c r="N87" i="9"/>
  <c r="N95" i="9"/>
  <c r="N111" i="9"/>
  <c r="N119" i="9"/>
  <c r="O24" i="9"/>
  <c r="O32" i="9"/>
  <c r="O48" i="9"/>
  <c r="O56" i="9"/>
  <c r="O80" i="9"/>
  <c r="O88" i="9"/>
  <c r="O104" i="9"/>
  <c r="O112" i="9"/>
  <c r="P17" i="9"/>
  <c r="P25" i="9"/>
  <c r="P41" i="9"/>
  <c r="P49" i="9"/>
  <c r="P73" i="9"/>
  <c r="P81" i="9"/>
  <c r="P97" i="9"/>
  <c r="P105" i="9"/>
  <c r="Q10" i="9"/>
  <c r="Q18" i="9"/>
  <c r="Q34" i="9"/>
  <c r="Q42" i="9"/>
  <c r="Q52" i="9"/>
  <c r="Q66" i="9"/>
  <c r="Q74" i="9"/>
  <c r="Q90" i="9"/>
  <c r="Q98" i="9"/>
  <c r="Q122" i="9"/>
  <c r="M102" i="9"/>
  <c r="M110" i="9"/>
  <c r="M126" i="9"/>
  <c r="N32" i="9"/>
  <c r="N40" i="9"/>
  <c r="N56" i="9"/>
  <c r="N64" i="9"/>
  <c r="N88" i="9"/>
  <c r="N96" i="9"/>
  <c r="N120" i="9"/>
  <c r="O25" i="9"/>
  <c r="O33" i="9"/>
  <c r="O57" i="9"/>
  <c r="O81" i="9"/>
  <c r="O89" i="9"/>
  <c r="O113" i="9"/>
  <c r="P18" i="9"/>
  <c r="P26" i="9"/>
  <c r="P50" i="9"/>
  <c r="P74" i="9"/>
  <c r="P82" i="9"/>
  <c r="P98" i="9"/>
  <c r="P106" i="9"/>
  <c r="Q11" i="9"/>
  <c r="Q19" i="9"/>
  <c r="Q35" i="9"/>
  <c r="Q43" i="9"/>
  <c r="Q67" i="9"/>
  <c r="Q75" i="9"/>
  <c r="Q91" i="9"/>
  <c r="Q99" i="9"/>
  <c r="Q123" i="9"/>
  <c r="N51" i="9"/>
  <c r="N45" i="9"/>
  <c r="P37" i="9"/>
  <c r="P31" i="9"/>
  <c r="Q30" i="9"/>
  <c r="Q24" i="9"/>
  <c r="D15" i="9"/>
  <c r="K20" i="9"/>
  <c r="Q27" i="9"/>
  <c r="N49" i="9"/>
  <c r="C54" i="9"/>
  <c r="D69" i="9"/>
  <c r="C48" i="9"/>
  <c r="C56" i="9"/>
  <c r="C104" i="9"/>
  <c r="C112" i="9"/>
  <c r="D97" i="9"/>
  <c r="D105" i="9"/>
  <c r="E34" i="9"/>
  <c r="E90" i="9"/>
  <c r="E98" i="9"/>
  <c r="F27" i="9"/>
  <c r="F35" i="9"/>
  <c r="F83" i="9"/>
  <c r="F91" i="9"/>
  <c r="G20" i="9"/>
  <c r="G84" i="9"/>
  <c r="H13" i="9"/>
  <c r="H21" i="9"/>
  <c r="H69" i="9"/>
  <c r="H77" i="9"/>
  <c r="H125" i="9"/>
  <c r="I14" i="9"/>
  <c r="I62" i="9"/>
  <c r="M34" i="9"/>
  <c r="O13" i="9"/>
  <c r="H11" i="9"/>
  <c r="K22" i="9"/>
  <c r="Q28" i="9"/>
  <c r="M87" i="9"/>
  <c r="Q109" i="9"/>
  <c r="C25" i="9"/>
  <c r="C33" i="9"/>
  <c r="C41" i="9"/>
  <c r="C57" i="9"/>
  <c r="C73" i="9"/>
  <c r="C81" i="9"/>
  <c r="C89" i="9"/>
  <c r="C97" i="9"/>
  <c r="C105" i="9"/>
  <c r="C113" i="9"/>
  <c r="D10" i="9"/>
  <c r="D18" i="9"/>
  <c r="D26" i="9"/>
  <c r="D34" i="9"/>
  <c r="D42" i="9"/>
  <c r="D50" i="9"/>
  <c r="D66" i="9"/>
  <c r="D74" i="9"/>
  <c r="D82" i="9"/>
  <c r="D90" i="9"/>
  <c r="D98" i="9"/>
  <c r="D106" i="9"/>
  <c r="D122" i="9"/>
  <c r="E27" i="9"/>
  <c r="E35" i="9"/>
  <c r="E43" i="9"/>
  <c r="E59" i="9"/>
  <c r="E67" i="9"/>
  <c r="E83" i="9"/>
  <c r="E91" i="9"/>
  <c r="E99" i="9"/>
  <c r="E115" i="9"/>
  <c r="E123" i="9"/>
  <c r="F20" i="9"/>
  <c r="F28" i="9"/>
  <c r="F36" i="9"/>
  <c r="F52" i="9"/>
  <c r="F60" i="9"/>
  <c r="F76" i="9"/>
  <c r="F84" i="9"/>
  <c r="F92" i="9"/>
  <c r="F108" i="9"/>
  <c r="F116" i="9"/>
  <c r="G13" i="9"/>
  <c r="G29" i="9"/>
  <c r="G45" i="9"/>
  <c r="G53" i="9"/>
  <c r="G69" i="9"/>
  <c r="G77" i="9"/>
  <c r="G85" i="9"/>
  <c r="G101" i="9"/>
  <c r="G109" i="9"/>
  <c r="G125" i="9"/>
  <c r="H14" i="9"/>
  <c r="H22" i="9"/>
  <c r="H38" i="9"/>
  <c r="H46" i="9"/>
  <c r="H62" i="9"/>
  <c r="H70" i="9"/>
  <c r="H78" i="9"/>
  <c r="H94" i="9"/>
  <c r="J24" i="9"/>
  <c r="J48" i="9"/>
  <c r="K41" i="9"/>
  <c r="M11" i="9"/>
  <c r="M27" i="9"/>
  <c r="M67" i="9"/>
  <c r="L17" i="9"/>
  <c r="K30" i="9"/>
  <c r="E31" i="9"/>
  <c r="J37" i="9"/>
  <c r="K40" i="9"/>
  <c r="E55" i="9"/>
  <c r="F80" i="9"/>
  <c r="P87" i="9"/>
  <c r="C74" i="9"/>
  <c r="D11" i="9"/>
  <c r="E116" i="9"/>
  <c r="G46" i="9"/>
  <c r="H95" i="9"/>
  <c r="I10" i="9"/>
  <c r="D124" i="9"/>
  <c r="F54" i="9"/>
  <c r="F110" i="9"/>
  <c r="H96" i="9"/>
  <c r="I89" i="9"/>
  <c r="J82" i="9"/>
  <c r="K19" i="9"/>
  <c r="K75" i="9"/>
  <c r="L124" i="9"/>
  <c r="M61" i="9"/>
  <c r="P89" i="9"/>
  <c r="O11" i="9"/>
  <c r="C68" i="9"/>
  <c r="C108" i="9"/>
  <c r="D13" i="9"/>
  <c r="D45" i="9"/>
  <c r="D61" i="9"/>
  <c r="D101" i="9"/>
  <c r="D117" i="9"/>
  <c r="E38" i="9"/>
  <c r="E54" i="9"/>
  <c r="E62" i="9"/>
  <c r="E94" i="9"/>
  <c r="E110" i="9"/>
  <c r="E118" i="9"/>
  <c r="F31" i="9"/>
  <c r="F47" i="9"/>
  <c r="F55" i="9"/>
  <c r="F87" i="9"/>
  <c r="F103" i="9"/>
  <c r="F111" i="9"/>
  <c r="G24" i="9"/>
  <c r="G40" i="9"/>
  <c r="G48" i="9"/>
  <c r="G80" i="9"/>
  <c r="G104" i="9"/>
  <c r="H33" i="9"/>
  <c r="H41" i="9"/>
  <c r="H89" i="9"/>
  <c r="H97" i="9"/>
  <c r="I26" i="9"/>
  <c r="I34" i="9"/>
  <c r="I82" i="9"/>
  <c r="I90" i="9"/>
  <c r="J27" i="9"/>
  <c r="J83" i="9"/>
  <c r="K76" i="9"/>
  <c r="L13" i="9"/>
  <c r="L69" i="9"/>
  <c r="L125" i="9"/>
  <c r="M62" i="9"/>
  <c r="M118" i="9"/>
  <c r="N48" i="9"/>
  <c r="N112" i="9"/>
  <c r="O41" i="9"/>
  <c r="O49" i="9"/>
  <c r="O97" i="9"/>
  <c r="O105" i="9"/>
  <c r="O121" i="9"/>
  <c r="O118" i="9"/>
  <c r="P34" i="9"/>
  <c r="Q83" i="9"/>
  <c r="I15" i="9"/>
  <c r="L14" i="9"/>
  <c r="O14" i="9"/>
  <c r="C23" i="9"/>
  <c r="L35" i="9"/>
  <c r="J57" i="9"/>
  <c r="K77" i="9"/>
  <c r="D67" i="9"/>
  <c r="D123" i="9"/>
  <c r="G102" i="9"/>
  <c r="H18" i="9"/>
  <c r="C19" i="9"/>
  <c r="D12" i="9"/>
  <c r="E117" i="9"/>
  <c r="G47" i="9"/>
  <c r="H40" i="9"/>
  <c r="I33" i="9"/>
  <c r="N23" i="9"/>
  <c r="N17" i="9"/>
  <c r="N47" i="9"/>
  <c r="N103" i="9"/>
  <c r="O72" i="9"/>
  <c r="O66" i="9"/>
  <c r="O96" i="9"/>
  <c r="P33" i="9"/>
  <c r="Q26" i="9"/>
  <c r="Q58" i="9"/>
  <c r="Q56" i="9"/>
  <c r="Q82" i="9"/>
  <c r="G28" i="9"/>
  <c r="D125" i="9"/>
  <c r="C52" i="9"/>
  <c r="C76" i="9"/>
  <c r="C124" i="9"/>
  <c r="C21" i="9"/>
  <c r="C45" i="9"/>
  <c r="C69" i="9"/>
  <c r="C77" i="9"/>
  <c r="C85" i="9"/>
  <c r="C101" i="9"/>
  <c r="C109" i="9"/>
  <c r="C125" i="9"/>
  <c r="D22" i="9"/>
  <c r="D46" i="9"/>
  <c r="D62" i="9"/>
  <c r="D70" i="9"/>
  <c r="D78" i="9"/>
  <c r="D94" i="9"/>
  <c r="E15" i="9"/>
  <c r="E111" i="9"/>
  <c r="G17" i="9"/>
  <c r="H42" i="9"/>
  <c r="H50" i="9"/>
  <c r="I35" i="9"/>
  <c r="I59" i="9"/>
  <c r="J52" i="9"/>
  <c r="K29" i="9"/>
  <c r="M71" i="9"/>
  <c r="I16" i="9"/>
  <c r="O15" i="9"/>
  <c r="Q32" i="9"/>
  <c r="E60" i="9"/>
  <c r="F53" i="9"/>
  <c r="F109" i="9"/>
  <c r="L11" i="9"/>
  <c r="H43" i="9"/>
  <c r="C75" i="9"/>
  <c r="G103" i="9"/>
  <c r="J26" i="9"/>
  <c r="L68" i="9"/>
  <c r="M117" i="9"/>
  <c r="O40" i="9"/>
  <c r="L38" i="9"/>
  <c r="C14" i="9"/>
  <c r="C22" i="9"/>
  <c r="C46" i="9"/>
  <c r="C70" i="9"/>
  <c r="C78" i="9"/>
  <c r="C94" i="9"/>
  <c r="C102" i="9"/>
  <c r="C110" i="9"/>
  <c r="C126" i="9"/>
  <c r="D31" i="9"/>
  <c r="D39" i="9"/>
  <c r="D47" i="9"/>
  <c r="D63" i="9"/>
  <c r="D71" i="9"/>
  <c r="D87" i="9"/>
  <c r="D95" i="9"/>
  <c r="D103" i="9"/>
  <c r="D119" i="9"/>
  <c r="D127" i="9"/>
  <c r="E32" i="9"/>
  <c r="E40" i="9"/>
  <c r="E56" i="9"/>
  <c r="E64" i="9"/>
  <c r="E80" i="9"/>
  <c r="E88" i="9"/>
  <c r="E96" i="9"/>
  <c r="E112" i="9"/>
  <c r="E120" i="9"/>
  <c r="F17" i="9"/>
  <c r="F25" i="9"/>
  <c r="F33" i="9"/>
  <c r="F49" i="9"/>
  <c r="F57" i="9"/>
  <c r="F73" i="9"/>
  <c r="F81" i="9"/>
  <c r="F89" i="9"/>
  <c r="F105" i="9"/>
  <c r="F113" i="9"/>
  <c r="G10" i="9"/>
  <c r="G18" i="9"/>
  <c r="G26" i="9"/>
  <c r="G50" i="9"/>
  <c r="G74" i="9"/>
  <c r="G82" i="9"/>
  <c r="G98" i="9"/>
  <c r="G106" i="9"/>
  <c r="G122" i="9"/>
  <c r="H19" i="9"/>
  <c r="H35" i="9"/>
  <c r="H59" i="9"/>
  <c r="H67" i="9"/>
  <c r="H75" i="9"/>
  <c r="H91" i="9"/>
  <c r="H99" i="9"/>
  <c r="H115" i="9"/>
  <c r="H123" i="9"/>
  <c r="I12" i="9"/>
  <c r="I28" i="9"/>
  <c r="I36" i="9"/>
  <c r="I52" i="9"/>
  <c r="I60" i="9"/>
  <c r="I84" i="9"/>
  <c r="I92" i="9"/>
  <c r="I108" i="9"/>
  <c r="I116" i="9"/>
  <c r="J29" i="9"/>
  <c r="J45" i="9"/>
  <c r="J53" i="9"/>
  <c r="J85" i="9"/>
  <c r="J101" i="9"/>
  <c r="J109" i="9"/>
  <c r="K38" i="9"/>
  <c r="K78" i="9"/>
  <c r="K94" i="9"/>
  <c r="K102" i="9"/>
  <c r="L31" i="9"/>
  <c r="L39" i="9"/>
  <c r="L71" i="9"/>
  <c r="L87" i="9"/>
  <c r="L95" i="9"/>
  <c r="L127" i="9"/>
  <c r="M24" i="9"/>
  <c r="M32" i="9"/>
  <c r="M64" i="9"/>
  <c r="M80" i="9"/>
  <c r="M88" i="9"/>
  <c r="M120" i="9"/>
  <c r="N18" i="9"/>
  <c r="N50" i="9"/>
  <c r="N106" i="9"/>
  <c r="O43" i="9"/>
  <c r="O67" i="9"/>
  <c r="O99" i="9"/>
  <c r="O123" i="9"/>
  <c r="P36" i="9"/>
  <c r="P44" i="9"/>
  <c r="P43" i="9"/>
  <c r="P60" i="9"/>
  <c r="P92" i="9"/>
  <c r="P116" i="9"/>
  <c r="Q29" i="9"/>
  <c r="Q53" i="9"/>
  <c r="Q85" i="9"/>
  <c r="Q93" i="9"/>
  <c r="Q88" i="9"/>
  <c r="H34" i="9"/>
  <c r="J49" i="9"/>
  <c r="D102" i="9"/>
  <c r="D110" i="9"/>
  <c r="D118" i="9"/>
  <c r="D126" i="9"/>
  <c r="E39" i="9"/>
  <c r="E63" i="9"/>
  <c r="E71" i="9"/>
  <c r="E87" i="9"/>
  <c r="E95" i="9"/>
  <c r="E103" i="9"/>
  <c r="E119" i="9"/>
  <c r="E127" i="9"/>
  <c r="F24" i="9"/>
  <c r="F32" i="9"/>
  <c r="F56" i="9"/>
  <c r="F64" i="9"/>
  <c r="F88" i="9"/>
  <c r="F96" i="9"/>
  <c r="F104" i="9"/>
  <c r="F112" i="9"/>
  <c r="G25" i="9"/>
  <c r="G33" i="9"/>
  <c r="G41" i="9"/>
  <c r="G49" i="9"/>
  <c r="G57" i="9"/>
  <c r="G73" i="9"/>
  <c r="G81" i="9"/>
  <c r="G89" i="9"/>
  <c r="G105" i="9"/>
  <c r="G113" i="9"/>
  <c r="H10" i="9"/>
  <c r="H26" i="9"/>
  <c r="H66" i="9"/>
  <c r="H74" i="9"/>
  <c r="H82" i="9"/>
  <c r="H90" i="9"/>
  <c r="H98" i="9"/>
  <c r="H106" i="9"/>
  <c r="H122" i="9"/>
  <c r="I43" i="9"/>
  <c r="I67" i="9"/>
  <c r="I75" i="9"/>
  <c r="I83" i="9"/>
  <c r="I91" i="9"/>
  <c r="I99" i="9"/>
  <c r="I115" i="9"/>
  <c r="I123" i="9"/>
  <c r="J28" i="9"/>
  <c r="J36" i="9"/>
  <c r="J60" i="9"/>
  <c r="J68" i="9"/>
  <c r="J76" i="9"/>
  <c r="J84" i="9"/>
  <c r="J92" i="9"/>
  <c r="J108" i="9"/>
  <c r="J116" i="9"/>
  <c r="J124" i="9"/>
  <c r="K21" i="9"/>
  <c r="K45" i="9"/>
  <c r="K61" i="9"/>
  <c r="K85" i="9"/>
  <c r="K101" i="9"/>
  <c r="K109" i="9"/>
  <c r="K117" i="9"/>
  <c r="K125" i="9"/>
  <c r="L22" i="9"/>
  <c r="L70" i="9"/>
  <c r="L78" i="9"/>
  <c r="L94" i="9"/>
  <c r="L102" i="9"/>
  <c r="L110" i="9"/>
  <c r="L118" i="9"/>
  <c r="L126" i="9"/>
  <c r="M31" i="9"/>
  <c r="M47" i="9"/>
  <c r="M55" i="9"/>
  <c r="M63" i="9"/>
  <c r="M95" i="9"/>
  <c r="M103" i="9"/>
  <c r="M111" i="9"/>
  <c r="M119" i="9"/>
  <c r="M127" i="9"/>
  <c r="N25" i="9"/>
  <c r="N57" i="9"/>
  <c r="N73" i="9"/>
  <c r="N81" i="9"/>
  <c r="N97" i="9"/>
  <c r="N105" i="9"/>
  <c r="N113" i="9"/>
  <c r="O42" i="9"/>
  <c r="O74" i="9"/>
  <c r="O90" i="9"/>
  <c r="O98" i="9"/>
  <c r="O106" i="9"/>
  <c r="O122" i="9"/>
  <c r="P27" i="9"/>
  <c r="P35" i="9"/>
  <c r="P59" i="9"/>
  <c r="P67" i="9"/>
  <c r="P83" i="9"/>
  <c r="P91" i="9"/>
  <c r="P99" i="9"/>
  <c r="P115" i="9"/>
  <c r="P123" i="9"/>
  <c r="Q60" i="9"/>
  <c r="Q84" i="9"/>
  <c r="Q92" i="9"/>
  <c r="Q108" i="9"/>
  <c r="P16" i="9"/>
  <c r="I110" i="9"/>
  <c r="I118" i="9"/>
  <c r="J31" i="9"/>
  <c r="J47" i="9"/>
  <c r="J55" i="9"/>
  <c r="J87" i="9"/>
  <c r="J103" i="9"/>
  <c r="J111" i="9"/>
  <c r="K48" i="9"/>
  <c r="K80" i="9"/>
  <c r="K96" i="9"/>
  <c r="K104" i="9"/>
  <c r="K112" i="9"/>
  <c r="L33" i="9"/>
  <c r="L41" i="9"/>
  <c r="L49" i="9"/>
  <c r="L73" i="9"/>
  <c r="L89" i="9"/>
  <c r="L97" i="9"/>
  <c r="L105" i="9"/>
  <c r="M10" i="9"/>
  <c r="M26" i="9"/>
  <c r="M66" i="9"/>
  <c r="M82" i="9"/>
  <c r="M90" i="9"/>
  <c r="M98" i="9"/>
  <c r="M122" i="9"/>
  <c r="N28" i="9"/>
  <c r="N52" i="9"/>
  <c r="N68" i="9"/>
  <c r="N84" i="9"/>
  <c r="N108" i="9"/>
  <c r="N124" i="9"/>
  <c r="O61" i="9"/>
  <c r="O69" i="9"/>
  <c r="O101" i="9"/>
  <c r="O117" i="9"/>
  <c r="O125" i="9"/>
  <c r="P38" i="9"/>
  <c r="P54" i="9"/>
  <c r="P62" i="9"/>
  <c r="P94" i="9"/>
  <c r="P110" i="9"/>
  <c r="P118" i="9"/>
  <c r="P126" i="9"/>
  <c r="Q47" i="9"/>
  <c r="Q55" i="9"/>
  <c r="Q116" i="9"/>
  <c r="P127" i="9"/>
  <c r="H102" i="9"/>
  <c r="H118" i="9"/>
  <c r="H126" i="9"/>
  <c r="I31" i="9"/>
  <c r="I39" i="9"/>
  <c r="I55" i="9"/>
  <c r="I63" i="9"/>
  <c r="I71" i="9"/>
  <c r="I87" i="9"/>
  <c r="I95" i="9"/>
  <c r="I111" i="9"/>
  <c r="I119" i="9"/>
  <c r="I127" i="9"/>
  <c r="J56" i="9"/>
  <c r="J64" i="9"/>
  <c r="J80" i="9"/>
  <c r="J88" i="9"/>
  <c r="J104" i="9"/>
  <c r="J112" i="9"/>
  <c r="J120" i="9"/>
  <c r="K17" i="9"/>
  <c r="K49" i="9"/>
  <c r="K73" i="9"/>
  <c r="K81" i="9"/>
  <c r="K97" i="9"/>
  <c r="K105" i="9"/>
  <c r="K113" i="9"/>
  <c r="L10" i="9"/>
  <c r="L42" i="9"/>
  <c r="L50" i="9"/>
  <c r="L66" i="9"/>
  <c r="L90" i="9"/>
  <c r="L98" i="9"/>
  <c r="L106" i="9"/>
  <c r="L122" i="9"/>
  <c r="M35" i="9"/>
  <c r="M43" i="9"/>
  <c r="M59" i="9"/>
  <c r="M83" i="9"/>
  <c r="M91" i="9"/>
  <c r="M99" i="9"/>
  <c r="M115" i="9"/>
  <c r="M123" i="9"/>
  <c r="N13" i="9"/>
  <c r="N53" i="9"/>
  <c r="N69" i="9"/>
  <c r="N109" i="9"/>
  <c r="N125" i="9"/>
  <c r="O38" i="9"/>
  <c r="O46" i="9"/>
  <c r="O62" i="9"/>
  <c r="P95" i="9"/>
  <c r="P111" i="9"/>
  <c r="Q48" i="9"/>
  <c r="Q64" i="9"/>
  <c r="I40" i="9"/>
  <c r="I56" i="9"/>
  <c r="I64" i="9"/>
  <c r="I80" i="9"/>
  <c r="I88" i="9"/>
  <c r="I96" i="9"/>
  <c r="I112" i="9"/>
  <c r="I120" i="9"/>
  <c r="J17" i="9"/>
  <c r="J25" i="9"/>
  <c r="J33" i="9"/>
  <c r="J73" i="9"/>
  <c r="J81" i="9"/>
  <c r="J89" i="9"/>
  <c r="J105" i="9"/>
  <c r="J113" i="9"/>
  <c r="K42" i="9"/>
  <c r="K50" i="9"/>
  <c r="K74" i="9"/>
  <c r="K82" i="9"/>
  <c r="K98" i="9"/>
  <c r="K106" i="9"/>
  <c r="L19" i="9"/>
  <c r="L67" i="9"/>
  <c r="L75" i="9"/>
  <c r="L99" i="9"/>
  <c r="L123" i="9"/>
  <c r="M12" i="9"/>
  <c r="M36" i="9"/>
  <c r="M60" i="9"/>
  <c r="M68" i="9"/>
  <c r="M84" i="9"/>
  <c r="M92" i="9"/>
  <c r="M116" i="9"/>
  <c r="M124" i="9"/>
  <c r="N46" i="9"/>
  <c r="N70" i="9"/>
  <c r="N78" i="9"/>
  <c r="N102" i="9"/>
  <c r="N110" i="9"/>
  <c r="N126" i="9"/>
  <c r="O39" i="9"/>
  <c r="O63" i="9"/>
  <c r="O71" i="9"/>
  <c r="O95" i="9"/>
  <c r="O103" i="9"/>
  <c r="O119" i="9"/>
  <c r="O127" i="9"/>
  <c r="P56" i="9"/>
  <c r="P88" i="9"/>
  <c r="P96" i="9"/>
  <c r="P112" i="9"/>
  <c r="P120" i="9"/>
  <c r="Q25" i="9"/>
  <c r="Q49" i="9"/>
  <c r="Q57" i="9"/>
  <c r="Q81" i="9"/>
  <c r="Q89" i="9"/>
  <c r="Q105" i="9"/>
  <c r="Q113" i="9"/>
  <c r="N61" i="9"/>
  <c r="N77" i="9"/>
  <c r="N85" i="9"/>
  <c r="N101" i="9"/>
  <c r="N117" i="9"/>
  <c r="O70" i="9"/>
  <c r="O78" i="9"/>
  <c r="O94" i="9"/>
  <c r="O110" i="9"/>
  <c r="O126" i="9"/>
  <c r="P63" i="9"/>
  <c r="P103" i="9"/>
  <c r="P119" i="9"/>
  <c r="Q80" i="9"/>
  <c r="Q96" i="9"/>
  <c r="Q104" i="9"/>
  <c r="Q112" i="9"/>
  <c r="Q120" i="9"/>
  <c r="Q87" i="9"/>
  <c r="Q95" i="9"/>
  <c r="Q103" i="9"/>
  <c r="Q111" i="9"/>
  <c r="Q119" i="9"/>
  <c r="Q127" i="9"/>
  <c r="AH495" i="11" l="1"/>
  <c r="AG495" i="11"/>
  <c r="AF495" i="11"/>
  <c r="AE495" i="11"/>
  <c r="AD495" i="11"/>
  <c r="AC495" i="11"/>
  <c r="AB495" i="11"/>
  <c r="AA495" i="11"/>
  <c r="Z495" i="11"/>
  <c r="Y495" i="11"/>
  <c r="X495" i="11"/>
  <c r="W495" i="11"/>
  <c r="V495" i="11"/>
  <c r="U495" i="11"/>
  <c r="T495" i="11"/>
  <c r="S495" i="11"/>
  <c r="AH493" i="11"/>
  <c r="AG493" i="11"/>
  <c r="AF493" i="11"/>
  <c r="AE493" i="11"/>
  <c r="AD493" i="11"/>
  <c r="AC493" i="11"/>
  <c r="AB493" i="11"/>
  <c r="AA493" i="11"/>
  <c r="Z493" i="11"/>
  <c r="Y493" i="11"/>
  <c r="X493" i="11"/>
  <c r="W493" i="11"/>
  <c r="V493" i="11"/>
  <c r="U493" i="11"/>
  <c r="T493" i="11"/>
  <c r="S493" i="11"/>
  <c r="AH491" i="11"/>
  <c r="AG491" i="11"/>
  <c r="AF491" i="11"/>
  <c r="AE491" i="11"/>
  <c r="AD491" i="11"/>
  <c r="AC491" i="11"/>
  <c r="AB491" i="11"/>
  <c r="AA491" i="11"/>
  <c r="Z491" i="11"/>
  <c r="Y491" i="11"/>
  <c r="G14" i="5" s="1"/>
  <c r="X491" i="11"/>
  <c r="G13" i="5" s="1"/>
  <c r="W491" i="11"/>
  <c r="G12" i="5" s="1"/>
  <c r="V491" i="11"/>
  <c r="G11" i="5" s="1"/>
  <c r="U491" i="11"/>
  <c r="G10" i="5" s="1"/>
  <c r="T491" i="11"/>
  <c r="G9" i="5" s="1"/>
  <c r="S491" i="11"/>
  <c r="G8" i="5" s="1"/>
  <c r="AH489" i="11"/>
  <c r="L488" i="8" s="1"/>
  <c r="AG489" i="11"/>
  <c r="L548" i="8" s="1"/>
  <c r="AF489" i="11"/>
  <c r="L518" i="8" s="1"/>
  <c r="AE489" i="11"/>
  <c r="AD489" i="11"/>
  <c r="AT491" i="11" s="1"/>
  <c r="AC489" i="11"/>
  <c r="AB489" i="11"/>
  <c r="AA489" i="11"/>
  <c r="Z489" i="11"/>
  <c r="L338" i="8" s="1"/>
  <c r="Y489" i="11"/>
  <c r="X489" i="11"/>
  <c r="W489" i="11"/>
  <c r="V489" i="11"/>
  <c r="U489" i="11"/>
  <c r="T489" i="11"/>
  <c r="S489" i="11"/>
  <c r="AH487" i="11"/>
  <c r="AG487" i="11"/>
  <c r="AF487" i="11"/>
  <c r="AE487" i="11"/>
  <c r="AD487" i="11"/>
  <c r="AC487" i="11"/>
  <c r="AB487" i="11"/>
  <c r="AA487" i="11"/>
  <c r="Z487" i="11"/>
  <c r="Y487" i="11"/>
  <c r="X487" i="11"/>
  <c r="W487" i="11"/>
  <c r="V487" i="11"/>
  <c r="U487" i="11"/>
  <c r="T487" i="11"/>
  <c r="S487" i="11"/>
  <c r="AH485" i="11"/>
  <c r="J488" i="8" s="1"/>
  <c r="AG485" i="11"/>
  <c r="J548" i="8" s="1"/>
  <c r="AF485" i="11"/>
  <c r="J518" i="8" s="1"/>
  <c r="AE485" i="11"/>
  <c r="J308" i="8" s="1"/>
  <c r="AD485" i="11"/>
  <c r="AT487" i="11" s="1"/>
  <c r="AC485" i="11"/>
  <c r="J428" i="8" s="1"/>
  <c r="AB485" i="11"/>
  <c r="J398" i="8" s="1"/>
  <c r="AA485" i="11"/>
  <c r="J368" i="8" s="1"/>
  <c r="Z485" i="11"/>
  <c r="J338" i="8" s="1"/>
  <c r="Y485" i="11"/>
  <c r="J98" i="8" s="1"/>
  <c r="X485" i="11"/>
  <c r="J278" i="8" s="1"/>
  <c r="W485" i="11"/>
  <c r="J248" i="8" s="1"/>
  <c r="V485" i="11"/>
  <c r="J218" i="8" s="1"/>
  <c r="U485" i="11"/>
  <c r="J188" i="8" s="1"/>
  <c r="T485" i="11"/>
  <c r="S485" i="11"/>
  <c r="J128" i="8" s="1"/>
  <c r="AH483" i="11"/>
  <c r="AG483" i="11"/>
  <c r="AF483" i="11"/>
  <c r="AE483" i="11"/>
  <c r="AD483" i="11"/>
  <c r="AC483" i="11"/>
  <c r="AB483" i="11"/>
  <c r="AA483" i="11"/>
  <c r="Z483" i="11"/>
  <c r="Y483" i="11"/>
  <c r="X483" i="11"/>
  <c r="W483" i="11"/>
  <c r="V483" i="11"/>
  <c r="U483" i="11"/>
  <c r="T483" i="11"/>
  <c r="S483" i="11"/>
  <c r="AH481" i="11"/>
  <c r="H488" i="8" s="1"/>
  <c r="AG481" i="11"/>
  <c r="H548" i="8" s="1"/>
  <c r="AF481" i="11"/>
  <c r="H518" i="8" s="1"/>
  <c r="AE481" i="11"/>
  <c r="H308" i="8" s="1"/>
  <c r="AD481" i="11"/>
  <c r="AT483" i="11" s="1"/>
  <c r="AC481" i="11"/>
  <c r="H428" i="8" s="1"/>
  <c r="AB481" i="11"/>
  <c r="H398" i="8" s="1"/>
  <c r="AA481" i="11"/>
  <c r="H368" i="8" s="1"/>
  <c r="Z481" i="11"/>
  <c r="H338" i="8" s="1"/>
  <c r="Y481" i="11"/>
  <c r="H98" i="8" s="1"/>
  <c r="X481" i="11"/>
  <c r="H278" i="8" s="1"/>
  <c r="W481" i="11"/>
  <c r="H248" i="8" s="1"/>
  <c r="V481" i="11"/>
  <c r="H218" i="8" s="1"/>
  <c r="U481" i="11"/>
  <c r="H188" i="8" s="1"/>
  <c r="T481" i="11"/>
  <c r="H158" i="8" s="1"/>
  <c r="S481" i="11"/>
  <c r="H128" i="8" s="1"/>
  <c r="AH479" i="11"/>
  <c r="AG479" i="11"/>
  <c r="AF479" i="11"/>
  <c r="AE479" i="11"/>
  <c r="AD479" i="11"/>
  <c r="AC479" i="11"/>
  <c r="AB479" i="11"/>
  <c r="AA479" i="11"/>
  <c r="Z479" i="11"/>
  <c r="Y479" i="11"/>
  <c r="X479" i="11"/>
  <c r="W479" i="11"/>
  <c r="V479" i="11"/>
  <c r="U479" i="11"/>
  <c r="T479" i="11"/>
  <c r="S479" i="11"/>
  <c r="AH477" i="11"/>
  <c r="F488" i="8" s="1"/>
  <c r="AG477" i="11"/>
  <c r="F548" i="8" s="1"/>
  <c r="AF477" i="11"/>
  <c r="AE477" i="11"/>
  <c r="F308" i="8" s="1"/>
  <c r="AD477" i="11"/>
  <c r="AT479" i="11" s="1"/>
  <c r="AC477" i="11"/>
  <c r="F428" i="8" s="1"/>
  <c r="AB477" i="11"/>
  <c r="F398" i="8" s="1"/>
  <c r="AA477" i="11"/>
  <c r="F368" i="8" s="1"/>
  <c r="Z477" i="11"/>
  <c r="F338" i="8" s="1"/>
  <c r="Y477" i="11"/>
  <c r="F98" i="8" s="1"/>
  <c r="X477" i="11"/>
  <c r="F278" i="8" s="1"/>
  <c r="W477" i="11"/>
  <c r="F248" i="8" s="1"/>
  <c r="V477" i="11"/>
  <c r="F218" i="8" s="1"/>
  <c r="U477" i="11"/>
  <c r="F188" i="8" s="1"/>
  <c r="T477" i="11"/>
  <c r="F158" i="8" s="1"/>
  <c r="S477" i="11"/>
  <c r="F128" i="8" s="1"/>
  <c r="AH475" i="11"/>
  <c r="AG475" i="11"/>
  <c r="AF475" i="11"/>
  <c r="AE475" i="11"/>
  <c r="AD475" i="11"/>
  <c r="AC475" i="11"/>
  <c r="AB475" i="11"/>
  <c r="AA475" i="11"/>
  <c r="Z475" i="11"/>
  <c r="Y475" i="11"/>
  <c r="X475" i="11"/>
  <c r="W475" i="11"/>
  <c r="V475" i="11"/>
  <c r="U475" i="11"/>
  <c r="T475" i="11"/>
  <c r="S475" i="11"/>
  <c r="AH473" i="11"/>
  <c r="D488" i="8" s="1"/>
  <c r="AG473" i="11"/>
  <c r="D548" i="8" s="1"/>
  <c r="AF473" i="11"/>
  <c r="D518" i="8" s="1"/>
  <c r="AE473" i="11"/>
  <c r="D308" i="8" s="1"/>
  <c r="AD473" i="11"/>
  <c r="AT475" i="11" s="1"/>
  <c r="AC473" i="11"/>
  <c r="D428" i="8" s="1"/>
  <c r="AB473" i="11"/>
  <c r="D398" i="8" s="1"/>
  <c r="AA473" i="11"/>
  <c r="D368" i="8" s="1"/>
  <c r="Z473" i="11"/>
  <c r="D338" i="8" s="1"/>
  <c r="Y473" i="11"/>
  <c r="D98" i="8" s="1"/>
  <c r="X473" i="11"/>
  <c r="D278" i="8" s="1"/>
  <c r="W473" i="11"/>
  <c r="D248" i="8" s="1"/>
  <c r="V473" i="11"/>
  <c r="D218" i="8" s="1"/>
  <c r="U473" i="11"/>
  <c r="D188" i="8" s="1"/>
  <c r="T473" i="11"/>
  <c r="D158" i="8" s="1"/>
  <c r="S473" i="11"/>
  <c r="AH471" i="11"/>
  <c r="AG471" i="11"/>
  <c r="AF471" i="11"/>
  <c r="AE471" i="11"/>
  <c r="AD471" i="11"/>
  <c r="AC471" i="11"/>
  <c r="AB471" i="11"/>
  <c r="AA471" i="11"/>
  <c r="Z471" i="11"/>
  <c r="Y471" i="11"/>
  <c r="X471" i="11"/>
  <c r="W471" i="11"/>
  <c r="V471" i="11"/>
  <c r="U471" i="11"/>
  <c r="T471" i="11"/>
  <c r="S471" i="11"/>
  <c r="AH469" i="11"/>
  <c r="B488" i="8" s="1"/>
  <c r="AG469" i="11"/>
  <c r="B548" i="8" s="1"/>
  <c r="AF469" i="11"/>
  <c r="B518" i="8" s="1"/>
  <c r="AE469" i="11"/>
  <c r="B308" i="8" s="1"/>
  <c r="AD469" i="11"/>
  <c r="AT471" i="11" s="1"/>
  <c r="AC469" i="11"/>
  <c r="B428" i="8" s="1"/>
  <c r="AB469" i="11"/>
  <c r="B398" i="8" s="1"/>
  <c r="AA469" i="11"/>
  <c r="Z469" i="11"/>
  <c r="B338" i="8" s="1"/>
  <c r="Y469" i="11"/>
  <c r="B98" i="8" s="1"/>
  <c r="X469" i="11"/>
  <c r="B278" i="8" s="1"/>
  <c r="W469" i="11"/>
  <c r="B248" i="8" s="1"/>
  <c r="V469" i="11"/>
  <c r="B218" i="8" s="1"/>
  <c r="U469" i="11"/>
  <c r="B188" i="8" s="1"/>
  <c r="T469" i="11"/>
  <c r="B158" i="8" s="1"/>
  <c r="S469" i="11"/>
  <c r="B128" i="8" s="1"/>
  <c r="AH467" i="11"/>
  <c r="AG467" i="11"/>
  <c r="AF467" i="11"/>
  <c r="AE467" i="11"/>
  <c r="AD467" i="11"/>
  <c r="AC467" i="11"/>
  <c r="AB467" i="11"/>
  <c r="AA467" i="11"/>
  <c r="Z467" i="11"/>
  <c r="Y467" i="11"/>
  <c r="X467" i="11"/>
  <c r="W467" i="11"/>
  <c r="V467" i="11"/>
  <c r="U467" i="11"/>
  <c r="T467" i="11"/>
  <c r="S467" i="11"/>
  <c r="AH465" i="11"/>
  <c r="AG465" i="11"/>
  <c r="AF465" i="11"/>
  <c r="AE465" i="11"/>
  <c r="AD465" i="11"/>
  <c r="AC465" i="11"/>
  <c r="AB465" i="11"/>
  <c r="AA465" i="11"/>
  <c r="Z465" i="11"/>
  <c r="Y465" i="11"/>
  <c r="X465" i="11"/>
  <c r="W465" i="11"/>
  <c r="V465" i="11"/>
  <c r="U465" i="11"/>
  <c r="T465" i="11"/>
  <c r="S465" i="11"/>
  <c r="AH463" i="11"/>
  <c r="L508" i="7" s="1"/>
  <c r="M508" i="7" s="1"/>
  <c r="AG463" i="11"/>
  <c r="L568" i="7" s="1"/>
  <c r="M568" i="7" s="1"/>
  <c r="AF463" i="11"/>
  <c r="L538" i="7" s="1"/>
  <c r="M538" i="7" s="1"/>
  <c r="AE463" i="11"/>
  <c r="L328" i="7" s="1"/>
  <c r="M328" i="7" s="1"/>
  <c r="AD463" i="11"/>
  <c r="AC463" i="11"/>
  <c r="L448" i="7" s="1"/>
  <c r="M448" i="7" s="1"/>
  <c r="AB463" i="11"/>
  <c r="L418" i="7" s="1"/>
  <c r="M418" i="7" s="1"/>
  <c r="AA463" i="11"/>
  <c r="L388" i="7" s="1"/>
  <c r="M388" i="7" s="1"/>
  <c r="Z463" i="11"/>
  <c r="L358" i="7" s="1"/>
  <c r="M358" i="7" s="1"/>
  <c r="Y463" i="11"/>
  <c r="X463" i="11"/>
  <c r="W463" i="11"/>
  <c r="V463" i="11"/>
  <c r="U463" i="11"/>
  <c r="T463" i="11"/>
  <c r="S463" i="11"/>
  <c r="AH461" i="11"/>
  <c r="L508" i="8" s="1"/>
  <c r="M508" i="8" s="1"/>
  <c r="AG461" i="11"/>
  <c r="L568" i="8" s="1"/>
  <c r="M568" i="8" s="1"/>
  <c r="AF461" i="11"/>
  <c r="L538" i="8" s="1"/>
  <c r="M538" i="8" s="1"/>
  <c r="AE461" i="11"/>
  <c r="L328" i="8" s="1"/>
  <c r="M328" i="8" s="1"/>
  <c r="AD461" i="11"/>
  <c r="AC461" i="11"/>
  <c r="L448" i="8" s="1"/>
  <c r="M448" i="8" s="1"/>
  <c r="AB461" i="11"/>
  <c r="L418" i="8" s="1"/>
  <c r="M418" i="8" s="1"/>
  <c r="AA461" i="11"/>
  <c r="L388" i="8" s="1"/>
  <c r="M388" i="8" s="1"/>
  <c r="Z461" i="11"/>
  <c r="L358" i="8" s="1"/>
  <c r="M358" i="8" s="1"/>
  <c r="Y461" i="11"/>
  <c r="X461" i="11"/>
  <c r="W461" i="11"/>
  <c r="V461" i="11"/>
  <c r="U461" i="11"/>
  <c r="T461" i="11"/>
  <c r="S461" i="11"/>
  <c r="AH459" i="11"/>
  <c r="J508" i="7" s="1"/>
  <c r="K508" i="7" s="1"/>
  <c r="AG459" i="11"/>
  <c r="J568" i="7" s="1"/>
  <c r="K568" i="7" s="1"/>
  <c r="AF459" i="11"/>
  <c r="J538" i="7" s="1"/>
  <c r="K538" i="7" s="1"/>
  <c r="AE459" i="11"/>
  <c r="J328" i="7" s="1"/>
  <c r="AD459" i="11"/>
  <c r="AC459" i="11"/>
  <c r="J448" i="7" s="1"/>
  <c r="AB459" i="11"/>
  <c r="J418" i="7" s="1"/>
  <c r="AA459" i="11"/>
  <c r="J388" i="7" s="1"/>
  <c r="K388" i="7" s="1"/>
  <c r="Z459" i="11"/>
  <c r="J358" i="7" s="1"/>
  <c r="Y459" i="11"/>
  <c r="J118" i="7" s="1"/>
  <c r="X459" i="11"/>
  <c r="J298" i="7" s="1"/>
  <c r="W459" i="11"/>
  <c r="J268" i="7" s="1"/>
  <c r="V459" i="11"/>
  <c r="J238" i="7" s="1"/>
  <c r="K238" i="7" s="1"/>
  <c r="U459" i="11"/>
  <c r="J208" i="7" s="1"/>
  <c r="K208" i="7" s="1"/>
  <c r="T459" i="11"/>
  <c r="J178" i="7" s="1"/>
  <c r="K178" i="7" s="1"/>
  <c r="S459" i="11"/>
  <c r="J148" i="7" s="1"/>
  <c r="AH457" i="11"/>
  <c r="J508" i="8" s="1"/>
  <c r="K508" i="8" s="1"/>
  <c r="AG457" i="11"/>
  <c r="J568" i="8" s="1"/>
  <c r="K568" i="8" s="1"/>
  <c r="AF457" i="11"/>
  <c r="J538" i="8" s="1"/>
  <c r="K538" i="8" s="1"/>
  <c r="AE457" i="11"/>
  <c r="J328" i="8" s="1"/>
  <c r="AD457" i="11"/>
  <c r="AC457" i="11"/>
  <c r="J448" i="8" s="1"/>
  <c r="AB457" i="11"/>
  <c r="J418" i="8" s="1"/>
  <c r="AA457" i="11"/>
  <c r="J388" i="8" s="1"/>
  <c r="K388" i="8" s="1"/>
  <c r="Z457" i="11"/>
  <c r="J358" i="8" s="1"/>
  <c r="Y457" i="11"/>
  <c r="J118" i="8" s="1"/>
  <c r="X457" i="11"/>
  <c r="J298" i="8" s="1"/>
  <c r="W457" i="11"/>
  <c r="J268" i="8" s="1"/>
  <c r="V457" i="11"/>
  <c r="J238" i="8" s="1"/>
  <c r="K238" i="8" s="1"/>
  <c r="U457" i="11"/>
  <c r="J208" i="8" s="1"/>
  <c r="K208" i="8" s="1"/>
  <c r="T457" i="11"/>
  <c r="J178" i="8" s="1"/>
  <c r="K178" i="8" s="1"/>
  <c r="S457" i="11"/>
  <c r="J148" i="8" s="1"/>
  <c r="AH455" i="11"/>
  <c r="H508" i="7" s="1"/>
  <c r="I508" i="7" s="1"/>
  <c r="AG455" i="11"/>
  <c r="H568" i="7" s="1"/>
  <c r="I568" i="7" s="1"/>
  <c r="AF455" i="11"/>
  <c r="H538" i="7" s="1"/>
  <c r="I538" i="7" s="1"/>
  <c r="AE455" i="11"/>
  <c r="H328" i="7" s="1"/>
  <c r="AD455" i="11"/>
  <c r="AC455" i="11"/>
  <c r="H448" i="7" s="1"/>
  <c r="AB455" i="11"/>
  <c r="H418" i="7" s="1"/>
  <c r="AA455" i="11"/>
  <c r="H388" i="7" s="1"/>
  <c r="I388" i="7" s="1"/>
  <c r="Z455" i="11"/>
  <c r="H358" i="7" s="1"/>
  <c r="Y455" i="11"/>
  <c r="H118" i="7" s="1"/>
  <c r="X455" i="11"/>
  <c r="H298" i="7" s="1"/>
  <c r="W455" i="11"/>
  <c r="H268" i="7" s="1"/>
  <c r="V455" i="11"/>
  <c r="H238" i="7" s="1"/>
  <c r="I238" i="7" s="1"/>
  <c r="U455" i="11"/>
  <c r="H208" i="7" s="1"/>
  <c r="T455" i="11"/>
  <c r="H178" i="7" s="1"/>
  <c r="I178" i="7" s="1"/>
  <c r="S455" i="11"/>
  <c r="H148" i="7" s="1"/>
  <c r="AH453" i="11"/>
  <c r="H508" i="8" s="1"/>
  <c r="I508" i="8" s="1"/>
  <c r="AG453" i="11"/>
  <c r="H568" i="8" s="1"/>
  <c r="I568" i="8" s="1"/>
  <c r="AF453" i="11"/>
  <c r="H538" i="8" s="1"/>
  <c r="I538" i="8" s="1"/>
  <c r="AE453" i="11"/>
  <c r="H328" i="8" s="1"/>
  <c r="AD453" i="11"/>
  <c r="AC453" i="11"/>
  <c r="H448" i="8" s="1"/>
  <c r="AB453" i="11"/>
  <c r="H418" i="8" s="1"/>
  <c r="AA453" i="11"/>
  <c r="H388" i="8" s="1"/>
  <c r="I388" i="8" s="1"/>
  <c r="Z453" i="11"/>
  <c r="H358" i="8" s="1"/>
  <c r="Y453" i="11"/>
  <c r="H118" i="8" s="1"/>
  <c r="X453" i="11"/>
  <c r="H298" i="8" s="1"/>
  <c r="W453" i="11"/>
  <c r="H268" i="8" s="1"/>
  <c r="V453" i="11"/>
  <c r="H238" i="8" s="1"/>
  <c r="I238" i="8" s="1"/>
  <c r="U453" i="11"/>
  <c r="H208" i="8" s="1"/>
  <c r="T453" i="11"/>
  <c r="H178" i="8" s="1"/>
  <c r="I178" i="8" s="1"/>
  <c r="S453" i="11"/>
  <c r="H148" i="8" s="1"/>
  <c r="AH451" i="11"/>
  <c r="F508" i="7" s="1"/>
  <c r="G508" i="7" s="1"/>
  <c r="AG451" i="11"/>
  <c r="F568" i="7" s="1"/>
  <c r="G568" i="7" s="1"/>
  <c r="AF451" i="11"/>
  <c r="F538" i="7" s="1"/>
  <c r="G538" i="7" s="1"/>
  <c r="AE451" i="11"/>
  <c r="F328" i="7" s="1"/>
  <c r="AD451" i="11"/>
  <c r="AC451" i="11"/>
  <c r="F448" i="7" s="1"/>
  <c r="AB451" i="11"/>
  <c r="F418" i="7" s="1"/>
  <c r="AA451" i="11"/>
  <c r="F388" i="7" s="1"/>
  <c r="G388" i="7" s="1"/>
  <c r="Z451" i="11"/>
  <c r="F358" i="7" s="1"/>
  <c r="Y451" i="11"/>
  <c r="F118" i="7" s="1"/>
  <c r="X451" i="11"/>
  <c r="F298" i="7" s="1"/>
  <c r="W451" i="11"/>
  <c r="F268" i="7" s="1"/>
  <c r="V451" i="11"/>
  <c r="F238" i="7" s="1"/>
  <c r="G238" i="7" s="1"/>
  <c r="U451" i="11"/>
  <c r="F208" i="7" s="1"/>
  <c r="T451" i="11"/>
  <c r="F178" i="7" s="1"/>
  <c r="G178" i="7" s="1"/>
  <c r="S451" i="11"/>
  <c r="F148" i="7" s="1"/>
  <c r="AH449" i="11"/>
  <c r="F508" i="8" s="1"/>
  <c r="G508" i="8" s="1"/>
  <c r="AG449" i="11"/>
  <c r="F568" i="8" s="1"/>
  <c r="G568" i="8" s="1"/>
  <c r="AF449" i="11"/>
  <c r="F538" i="8" s="1"/>
  <c r="G538" i="8" s="1"/>
  <c r="AE449" i="11"/>
  <c r="F328" i="8" s="1"/>
  <c r="AD449" i="11"/>
  <c r="AC449" i="11"/>
  <c r="F448" i="8" s="1"/>
  <c r="AB449" i="11"/>
  <c r="F418" i="8" s="1"/>
  <c r="AA449" i="11"/>
  <c r="F388" i="8" s="1"/>
  <c r="G388" i="8" s="1"/>
  <c r="Z449" i="11"/>
  <c r="F358" i="8" s="1"/>
  <c r="Y449" i="11"/>
  <c r="F118" i="8" s="1"/>
  <c r="X449" i="11"/>
  <c r="F298" i="8" s="1"/>
  <c r="W449" i="11"/>
  <c r="F268" i="8" s="1"/>
  <c r="V449" i="11"/>
  <c r="F238" i="8" s="1"/>
  <c r="G238" i="8" s="1"/>
  <c r="U449" i="11"/>
  <c r="F208" i="8" s="1"/>
  <c r="T449" i="11"/>
  <c r="F178" i="8" s="1"/>
  <c r="G178" i="8" s="1"/>
  <c r="S449" i="11"/>
  <c r="F148" i="8" s="1"/>
  <c r="AH447" i="11"/>
  <c r="D508" i="7" s="1"/>
  <c r="E508" i="7" s="1"/>
  <c r="AG447" i="11"/>
  <c r="D568" i="7" s="1"/>
  <c r="E568" i="7" s="1"/>
  <c r="AF447" i="11"/>
  <c r="D538" i="7" s="1"/>
  <c r="E538" i="7" s="1"/>
  <c r="AE447" i="11"/>
  <c r="D328" i="7" s="1"/>
  <c r="AD447" i="11"/>
  <c r="AC447" i="11"/>
  <c r="D448" i="7" s="1"/>
  <c r="AB447" i="11"/>
  <c r="D418" i="7" s="1"/>
  <c r="AA447" i="11"/>
  <c r="D388" i="7" s="1"/>
  <c r="E388" i="7" s="1"/>
  <c r="Z447" i="11"/>
  <c r="D358" i="7" s="1"/>
  <c r="Y447" i="11"/>
  <c r="D118" i="7" s="1"/>
  <c r="X447" i="11"/>
  <c r="D298" i="7" s="1"/>
  <c r="W447" i="11"/>
  <c r="D268" i="7" s="1"/>
  <c r="V447" i="11"/>
  <c r="D238" i="7" s="1"/>
  <c r="E238" i="7" s="1"/>
  <c r="U447" i="11"/>
  <c r="D208" i="7" s="1"/>
  <c r="T447" i="11"/>
  <c r="D178" i="7" s="1"/>
  <c r="E178" i="7" s="1"/>
  <c r="S447" i="11"/>
  <c r="D148" i="7" s="1"/>
  <c r="AH445" i="11"/>
  <c r="D508" i="8" s="1"/>
  <c r="E508" i="8" s="1"/>
  <c r="AG445" i="11"/>
  <c r="D568" i="8" s="1"/>
  <c r="E568" i="8" s="1"/>
  <c r="AF445" i="11"/>
  <c r="D538" i="8" s="1"/>
  <c r="E538" i="8" s="1"/>
  <c r="AE445" i="11"/>
  <c r="D328" i="8" s="1"/>
  <c r="AD445" i="11"/>
  <c r="AC445" i="11"/>
  <c r="D448" i="8" s="1"/>
  <c r="AB445" i="11"/>
  <c r="D418" i="8" s="1"/>
  <c r="AA445" i="11"/>
  <c r="D388" i="8" s="1"/>
  <c r="E388" i="8" s="1"/>
  <c r="Z445" i="11"/>
  <c r="D358" i="8" s="1"/>
  <c r="Y445" i="11"/>
  <c r="D118" i="8" s="1"/>
  <c r="X445" i="11"/>
  <c r="D298" i="8" s="1"/>
  <c r="W445" i="11"/>
  <c r="D268" i="8" s="1"/>
  <c r="V445" i="11"/>
  <c r="D238" i="8" s="1"/>
  <c r="E238" i="8" s="1"/>
  <c r="U445" i="11"/>
  <c r="D208" i="8" s="1"/>
  <c r="T445" i="11"/>
  <c r="D178" i="8" s="1"/>
  <c r="E178" i="8" s="1"/>
  <c r="S445" i="11"/>
  <c r="D148" i="8" s="1"/>
  <c r="AH443" i="11"/>
  <c r="B508" i="7" s="1"/>
  <c r="C508" i="7" s="1"/>
  <c r="AG443" i="11"/>
  <c r="B568" i="7" s="1"/>
  <c r="C568" i="7" s="1"/>
  <c r="AF443" i="11"/>
  <c r="B538" i="7" s="1"/>
  <c r="C538" i="7" s="1"/>
  <c r="AE443" i="11"/>
  <c r="B328" i="7" s="1"/>
  <c r="AD443" i="11"/>
  <c r="AC443" i="11"/>
  <c r="B448" i="7" s="1"/>
  <c r="AB443" i="11"/>
  <c r="B418" i="7" s="1"/>
  <c r="AA443" i="11"/>
  <c r="B388" i="7" s="1"/>
  <c r="C388" i="7" s="1"/>
  <c r="Z443" i="11"/>
  <c r="B358" i="7" s="1"/>
  <c r="Y443" i="11"/>
  <c r="B118" i="7" s="1"/>
  <c r="X443" i="11"/>
  <c r="B298" i="7" s="1"/>
  <c r="W443" i="11"/>
  <c r="B268" i="7" s="1"/>
  <c r="V443" i="11"/>
  <c r="B238" i="7" s="1"/>
  <c r="C238" i="7" s="1"/>
  <c r="U443" i="11"/>
  <c r="B208" i="7" s="1"/>
  <c r="T443" i="11"/>
  <c r="B178" i="7" s="1"/>
  <c r="C178" i="7" s="1"/>
  <c r="S443" i="11"/>
  <c r="B148" i="7" s="1"/>
  <c r="AH441" i="11"/>
  <c r="B508" i="8" s="1"/>
  <c r="C508" i="8" s="1"/>
  <c r="AG441" i="11"/>
  <c r="B568" i="8" s="1"/>
  <c r="C568" i="8" s="1"/>
  <c r="AF441" i="11"/>
  <c r="B538" i="8" s="1"/>
  <c r="C538" i="8" s="1"/>
  <c r="AE441" i="11"/>
  <c r="B328" i="8" s="1"/>
  <c r="AD441" i="11"/>
  <c r="AC441" i="11"/>
  <c r="B448" i="8" s="1"/>
  <c r="AB441" i="11"/>
  <c r="B418" i="8" s="1"/>
  <c r="AA441" i="11"/>
  <c r="B388" i="8" s="1"/>
  <c r="C388" i="8" s="1"/>
  <c r="Z441" i="11"/>
  <c r="B358" i="8" s="1"/>
  <c r="Y441" i="11"/>
  <c r="B118" i="8" s="1"/>
  <c r="X441" i="11"/>
  <c r="B298" i="8" s="1"/>
  <c r="W441" i="11"/>
  <c r="B268" i="8" s="1"/>
  <c r="V441" i="11"/>
  <c r="B238" i="8" s="1"/>
  <c r="C238" i="8" s="1"/>
  <c r="U441" i="11"/>
  <c r="B208" i="8" s="1"/>
  <c r="T441" i="11"/>
  <c r="B178" i="8" s="1"/>
  <c r="C178" i="8" s="1"/>
  <c r="S441" i="11"/>
  <c r="B148" i="8" s="1"/>
  <c r="AH438" i="11"/>
  <c r="AG438" i="11"/>
  <c r="AF438" i="11"/>
  <c r="AE438" i="11"/>
  <c r="AD438" i="11"/>
  <c r="N477" i="7" s="1"/>
  <c r="AC438" i="11"/>
  <c r="AB438" i="11"/>
  <c r="AA438" i="11"/>
  <c r="Z438" i="11"/>
  <c r="Y438" i="11"/>
  <c r="X438" i="11"/>
  <c r="W438" i="11"/>
  <c r="V438" i="11"/>
  <c r="U438" i="11"/>
  <c r="T438" i="11"/>
  <c r="S438" i="11"/>
  <c r="AH436" i="11"/>
  <c r="AG436" i="11"/>
  <c r="AF436" i="11"/>
  <c r="AE436" i="11"/>
  <c r="AD436" i="11"/>
  <c r="N477" i="8" s="1"/>
  <c r="AC436" i="11"/>
  <c r="AB436" i="11"/>
  <c r="AA436" i="11"/>
  <c r="Z436" i="11"/>
  <c r="Y436" i="11"/>
  <c r="X436" i="11"/>
  <c r="W436" i="11"/>
  <c r="V436" i="11"/>
  <c r="U436" i="11"/>
  <c r="T436" i="11"/>
  <c r="S436" i="11"/>
  <c r="AH434" i="11"/>
  <c r="L507" i="7" s="1"/>
  <c r="M507" i="7" s="1"/>
  <c r="AG434" i="11"/>
  <c r="L567" i="7" s="1"/>
  <c r="M567" i="7" s="1"/>
  <c r="AF434" i="11"/>
  <c r="L537" i="7" s="1"/>
  <c r="M537" i="7" s="1"/>
  <c r="AE434" i="11"/>
  <c r="L327" i="7" s="1"/>
  <c r="M327" i="7" s="1"/>
  <c r="AD434" i="11"/>
  <c r="L477" i="7" s="1"/>
  <c r="AC434" i="11"/>
  <c r="L447" i="7" s="1"/>
  <c r="M447" i="7" s="1"/>
  <c r="AB434" i="11"/>
  <c r="L417" i="7" s="1"/>
  <c r="M417" i="7" s="1"/>
  <c r="AA434" i="11"/>
  <c r="L387" i="7" s="1"/>
  <c r="M387" i="7" s="1"/>
  <c r="Z434" i="11"/>
  <c r="L357" i="7" s="1"/>
  <c r="M357" i="7" s="1"/>
  <c r="Y434" i="11"/>
  <c r="X434" i="11"/>
  <c r="W434" i="11"/>
  <c r="V434" i="11"/>
  <c r="U434" i="11"/>
  <c r="T434" i="11"/>
  <c r="S434" i="11"/>
  <c r="AH432" i="11"/>
  <c r="L507" i="8" s="1"/>
  <c r="M507" i="8" s="1"/>
  <c r="AG432" i="11"/>
  <c r="L567" i="8" s="1"/>
  <c r="M567" i="8" s="1"/>
  <c r="AF432" i="11"/>
  <c r="L537" i="8" s="1"/>
  <c r="M537" i="8" s="1"/>
  <c r="AE432" i="11"/>
  <c r="L327" i="8" s="1"/>
  <c r="M327" i="8" s="1"/>
  <c r="AD432" i="11"/>
  <c r="L477" i="8" s="1"/>
  <c r="AC432" i="11"/>
  <c r="L447" i="8" s="1"/>
  <c r="M447" i="8" s="1"/>
  <c r="AB432" i="11"/>
  <c r="L417" i="8" s="1"/>
  <c r="M417" i="8" s="1"/>
  <c r="AA432" i="11"/>
  <c r="L387" i="8" s="1"/>
  <c r="M387" i="8" s="1"/>
  <c r="Z432" i="11"/>
  <c r="L357" i="8" s="1"/>
  <c r="M357" i="8" s="1"/>
  <c r="Y432" i="11"/>
  <c r="X432" i="11"/>
  <c r="W432" i="11"/>
  <c r="V432" i="11"/>
  <c r="U432" i="11"/>
  <c r="T432" i="11"/>
  <c r="S432" i="11"/>
  <c r="AH430" i="11"/>
  <c r="J507" i="7" s="1"/>
  <c r="K507" i="7" s="1"/>
  <c r="AG430" i="11"/>
  <c r="J567" i="7" s="1"/>
  <c r="K567" i="7" s="1"/>
  <c r="AF430" i="11"/>
  <c r="J537" i="7" s="1"/>
  <c r="K537" i="7" s="1"/>
  <c r="AE430" i="11"/>
  <c r="J327" i="7" s="1"/>
  <c r="AD430" i="11"/>
  <c r="J477" i="7" s="1"/>
  <c r="AC430" i="11"/>
  <c r="J447" i="7" s="1"/>
  <c r="K447" i="7" s="1"/>
  <c r="AB430" i="11"/>
  <c r="J417" i="7" s="1"/>
  <c r="K417" i="7" s="1"/>
  <c r="AA430" i="11"/>
  <c r="J387" i="7" s="1"/>
  <c r="K387" i="7" s="1"/>
  <c r="Z430" i="11"/>
  <c r="J357" i="7" s="1"/>
  <c r="K357" i="7" s="1"/>
  <c r="Y430" i="11"/>
  <c r="J117" i="7" s="1"/>
  <c r="X430" i="11"/>
  <c r="J297" i="7" s="1"/>
  <c r="K297" i="7" s="1"/>
  <c r="W430" i="11"/>
  <c r="J267" i="7" s="1"/>
  <c r="V430" i="11"/>
  <c r="J237" i="7" s="1"/>
  <c r="U430" i="11"/>
  <c r="J207" i="7" s="1"/>
  <c r="T430" i="11"/>
  <c r="J177" i="7" s="1"/>
  <c r="S430" i="11"/>
  <c r="J147" i="7" s="1"/>
  <c r="AH428" i="11"/>
  <c r="J507" i="8" s="1"/>
  <c r="K507" i="8" s="1"/>
  <c r="AG428" i="11"/>
  <c r="J567" i="8" s="1"/>
  <c r="K567" i="8" s="1"/>
  <c r="AF428" i="11"/>
  <c r="J537" i="8" s="1"/>
  <c r="K537" i="8" s="1"/>
  <c r="AE428" i="11"/>
  <c r="J327" i="8" s="1"/>
  <c r="AD428" i="11"/>
  <c r="J477" i="8" s="1"/>
  <c r="AC428" i="11"/>
  <c r="J447" i="8" s="1"/>
  <c r="K447" i="8" s="1"/>
  <c r="AB428" i="11"/>
  <c r="J417" i="8" s="1"/>
  <c r="K417" i="8" s="1"/>
  <c r="AA428" i="11"/>
  <c r="J387" i="8" s="1"/>
  <c r="K387" i="8" s="1"/>
  <c r="Z428" i="11"/>
  <c r="J357" i="8" s="1"/>
  <c r="K357" i="8" s="1"/>
  <c r="Y428" i="11"/>
  <c r="J117" i="8" s="1"/>
  <c r="X428" i="11"/>
  <c r="J297" i="8" s="1"/>
  <c r="W428" i="11"/>
  <c r="J267" i="8" s="1"/>
  <c r="V428" i="11"/>
  <c r="J237" i="8" s="1"/>
  <c r="U428" i="11"/>
  <c r="J207" i="8" s="1"/>
  <c r="K207" i="8" s="1"/>
  <c r="T428" i="11"/>
  <c r="J177" i="8" s="1"/>
  <c r="S428" i="11"/>
  <c r="J147" i="8" s="1"/>
  <c r="AH426" i="11"/>
  <c r="H507" i="7" s="1"/>
  <c r="I507" i="7" s="1"/>
  <c r="AG426" i="11"/>
  <c r="H567" i="7" s="1"/>
  <c r="I567" i="7" s="1"/>
  <c r="AF426" i="11"/>
  <c r="H537" i="7" s="1"/>
  <c r="I537" i="7" s="1"/>
  <c r="AE426" i="11"/>
  <c r="H327" i="7" s="1"/>
  <c r="AD426" i="11"/>
  <c r="H477" i="7" s="1"/>
  <c r="AC426" i="11"/>
  <c r="H447" i="7" s="1"/>
  <c r="I447" i="7" s="1"/>
  <c r="AB426" i="11"/>
  <c r="H417" i="7" s="1"/>
  <c r="I417" i="7" s="1"/>
  <c r="AA426" i="11"/>
  <c r="H387" i="7" s="1"/>
  <c r="I387" i="7" s="1"/>
  <c r="Z426" i="11"/>
  <c r="H357" i="7" s="1"/>
  <c r="I357" i="7" s="1"/>
  <c r="Y426" i="11"/>
  <c r="H117" i="7" s="1"/>
  <c r="X426" i="11"/>
  <c r="H297" i="7" s="1"/>
  <c r="W426" i="11"/>
  <c r="H267" i="7" s="1"/>
  <c r="V426" i="11"/>
  <c r="H237" i="7" s="1"/>
  <c r="U426" i="11"/>
  <c r="H207" i="7" s="1"/>
  <c r="T426" i="11"/>
  <c r="H177" i="7" s="1"/>
  <c r="S426" i="11"/>
  <c r="H147" i="7" s="1"/>
  <c r="AH424" i="11"/>
  <c r="H507" i="8" s="1"/>
  <c r="I507" i="8" s="1"/>
  <c r="AG424" i="11"/>
  <c r="H567" i="8" s="1"/>
  <c r="I567" i="8" s="1"/>
  <c r="AF424" i="11"/>
  <c r="H537" i="8" s="1"/>
  <c r="I537" i="8" s="1"/>
  <c r="AE424" i="11"/>
  <c r="H327" i="8" s="1"/>
  <c r="AD424" i="11"/>
  <c r="H477" i="8" s="1"/>
  <c r="AC424" i="11"/>
  <c r="H447" i="8" s="1"/>
  <c r="I447" i="8" s="1"/>
  <c r="AB424" i="11"/>
  <c r="H417" i="8" s="1"/>
  <c r="I417" i="8" s="1"/>
  <c r="AA424" i="11"/>
  <c r="H387" i="8" s="1"/>
  <c r="I387" i="8" s="1"/>
  <c r="Z424" i="11"/>
  <c r="H357" i="8" s="1"/>
  <c r="I357" i="8" s="1"/>
  <c r="Y424" i="11"/>
  <c r="H117" i="8" s="1"/>
  <c r="X424" i="11"/>
  <c r="H297" i="8" s="1"/>
  <c r="W424" i="11"/>
  <c r="H267" i="8" s="1"/>
  <c r="V424" i="11"/>
  <c r="H237" i="8" s="1"/>
  <c r="U424" i="11"/>
  <c r="H207" i="8" s="1"/>
  <c r="T424" i="11"/>
  <c r="H177" i="8" s="1"/>
  <c r="S424" i="11"/>
  <c r="H147" i="8" s="1"/>
  <c r="AH422" i="11"/>
  <c r="F507" i="7" s="1"/>
  <c r="G507" i="7" s="1"/>
  <c r="AG422" i="11"/>
  <c r="F567" i="7" s="1"/>
  <c r="G567" i="7" s="1"/>
  <c r="AF422" i="11"/>
  <c r="F537" i="7" s="1"/>
  <c r="G537" i="7" s="1"/>
  <c r="AE422" i="11"/>
  <c r="F327" i="7" s="1"/>
  <c r="AD422" i="11"/>
  <c r="F477" i="7" s="1"/>
  <c r="AC422" i="11"/>
  <c r="F447" i="7" s="1"/>
  <c r="AB422" i="11"/>
  <c r="F417" i="7" s="1"/>
  <c r="G417" i="7" s="1"/>
  <c r="AA422" i="11"/>
  <c r="F387" i="7" s="1"/>
  <c r="G387" i="7" s="1"/>
  <c r="Z422" i="11"/>
  <c r="F357" i="7" s="1"/>
  <c r="G357" i="7" s="1"/>
  <c r="Y422" i="11"/>
  <c r="F117" i="7" s="1"/>
  <c r="X422" i="11"/>
  <c r="F297" i="7" s="1"/>
  <c r="W422" i="11"/>
  <c r="F267" i="7" s="1"/>
  <c r="V422" i="11"/>
  <c r="F237" i="7" s="1"/>
  <c r="U422" i="11"/>
  <c r="F207" i="7" s="1"/>
  <c r="T422" i="11"/>
  <c r="F177" i="7" s="1"/>
  <c r="S422" i="11"/>
  <c r="F147" i="7" s="1"/>
  <c r="AH420" i="11"/>
  <c r="F507" i="8" s="1"/>
  <c r="G507" i="8" s="1"/>
  <c r="AG420" i="11"/>
  <c r="F567" i="8" s="1"/>
  <c r="G567" i="8" s="1"/>
  <c r="AF420" i="11"/>
  <c r="F537" i="8" s="1"/>
  <c r="G537" i="8" s="1"/>
  <c r="AE420" i="11"/>
  <c r="F327" i="8" s="1"/>
  <c r="AD420" i="11"/>
  <c r="F477" i="8" s="1"/>
  <c r="AC420" i="11"/>
  <c r="F447" i="8" s="1"/>
  <c r="AB420" i="11"/>
  <c r="F417" i="8" s="1"/>
  <c r="G417" i="8" s="1"/>
  <c r="AA420" i="11"/>
  <c r="F387" i="8" s="1"/>
  <c r="G387" i="8" s="1"/>
  <c r="Z420" i="11"/>
  <c r="F357" i="8" s="1"/>
  <c r="G357" i="8" s="1"/>
  <c r="Y420" i="11"/>
  <c r="F117" i="8" s="1"/>
  <c r="X420" i="11"/>
  <c r="F297" i="8" s="1"/>
  <c r="W420" i="11"/>
  <c r="F267" i="8" s="1"/>
  <c r="V420" i="11"/>
  <c r="F237" i="8" s="1"/>
  <c r="U420" i="11"/>
  <c r="F207" i="8" s="1"/>
  <c r="T420" i="11"/>
  <c r="F177" i="8" s="1"/>
  <c r="S420" i="11"/>
  <c r="F147" i="8" s="1"/>
  <c r="AH418" i="11"/>
  <c r="D507" i="7" s="1"/>
  <c r="E507" i="7" s="1"/>
  <c r="AG418" i="11"/>
  <c r="D567" i="7" s="1"/>
  <c r="E567" i="7" s="1"/>
  <c r="AF418" i="11"/>
  <c r="D537" i="7" s="1"/>
  <c r="E537" i="7" s="1"/>
  <c r="AE418" i="11"/>
  <c r="D327" i="7" s="1"/>
  <c r="AD418" i="11"/>
  <c r="D477" i="7" s="1"/>
  <c r="AC418" i="11"/>
  <c r="D447" i="7" s="1"/>
  <c r="AB418" i="11"/>
  <c r="D417" i="7" s="1"/>
  <c r="E417" i="7" s="1"/>
  <c r="AA418" i="11"/>
  <c r="D387" i="7" s="1"/>
  <c r="E387" i="7" s="1"/>
  <c r="Z418" i="11"/>
  <c r="D357" i="7" s="1"/>
  <c r="E357" i="7" s="1"/>
  <c r="Y418" i="11"/>
  <c r="D117" i="7" s="1"/>
  <c r="X418" i="11"/>
  <c r="D297" i="7" s="1"/>
  <c r="W418" i="11"/>
  <c r="D267" i="7" s="1"/>
  <c r="V418" i="11"/>
  <c r="D237" i="7" s="1"/>
  <c r="U418" i="11"/>
  <c r="D207" i="7" s="1"/>
  <c r="T418" i="11"/>
  <c r="D177" i="7" s="1"/>
  <c r="S418" i="11"/>
  <c r="D147" i="7" s="1"/>
  <c r="AH416" i="11"/>
  <c r="D507" i="8" s="1"/>
  <c r="E507" i="8" s="1"/>
  <c r="AG416" i="11"/>
  <c r="D567" i="8" s="1"/>
  <c r="E567" i="8" s="1"/>
  <c r="AF416" i="11"/>
  <c r="D537" i="8" s="1"/>
  <c r="E537" i="8" s="1"/>
  <c r="AE416" i="11"/>
  <c r="D327" i="8" s="1"/>
  <c r="AD416" i="11"/>
  <c r="D477" i="8" s="1"/>
  <c r="AC416" i="11"/>
  <c r="D447" i="8" s="1"/>
  <c r="AB416" i="11"/>
  <c r="D417" i="8" s="1"/>
  <c r="E417" i="8" s="1"/>
  <c r="AA416" i="11"/>
  <c r="D387" i="8" s="1"/>
  <c r="E387" i="8" s="1"/>
  <c r="Z416" i="11"/>
  <c r="D357" i="8" s="1"/>
  <c r="E357" i="8" s="1"/>
  <c r="Y416" i="11"/>
  <c r="D117" i="8" s="1"/>
  <c r="X416" i="11"/>
  <c r="D297" i="8" s="1"/>
  <c r="W416" i="11"/>
  <c r="D267" i="8" s="1"/>
  <c r="V416" i="11"/>
  <c r="D237" i="8" s="1"/>
  <c r="U416" i="11"/>
  <c r="D207" i="8" s="1"/>
  <c r="T416" i="11"/>
  <c r="D177" i="8" s="1"/>
  <c r="S416" i="11"/>
  <c r="D147" i="8" s="1"/>
  <c r="AH414" i="11"/>
  <c r="B507" i="7" s="1"/>
  <c r="C507" i="7" s="1"/>
  <c r="AG414" i="11"/>
  <c r="B567" i="7" s="1"/>
  <c r="C567" i="7" s="1"/>
  <c r="AF414" i="11"/>
  <c r="B537" i="7" s="1"/>
  <c r="C537" i="7" s="1"/>
  <c r="AE414" i="11"/>
  <c r="B327" i="7" s="1"/>
  <c r="AD414" i="11"/>
  <c r="B477" i="7" s="1"/>
  <c r="AC414" i="11"/>
  <c r="B447" i="7" s="1"/>
  <c r="AB414" i="11"/>
  <c r="B417" i="7" s="1"/>
  <c r="C417" i="7" s="1"/>
  <c r="AA414" i="11"/>
  <c r="B387" i="7" s="1"/>
  <c r="C387" i="7" s="1"/>
  <c r="Z414" i="11"/>
  <c r="B357" i="7" s="1"/>
  <c r="C357" i="7" s="1"/>
  <c r="Y414" i="11"/>
  <c r="B117" i="7" s="1"/>
  <c r="X414" i="11"/>
  <c r="B297" i="7" s="1"/>
  <c r="W414" i="11"/>
  <c r="B267" i="7" s="1"/>
  <c r="V414" i="11"/>
  <c r="B237" i="7" s="1"/>
  <c r="U414" i="11"/>
  <c r="B207" i="7" s="1"/>
  <c r="T414" i="11"/>
  <c r="B177" i="7" s="1"/>
  <c r="S414" i="11"/>
  <c r="B147" i="7" s="1"/>
  <c r="AH412" i="11"/>
  <c r="B507" i="8" s="1"/>
  <c r="C507" i="8" s="1"/>
  <c r="AG412" i="11"/>
  <c r="B567" i="8" s="1"/>
  <c r="C567" i="8" s="1"/>
  <c r="AF412" i="11"/>
  <c r="B537" i="8" s="1"/>
  <c r="C537" i="8" s="1"/>
  <c r="AE412" i="11"/>
  <c r="B327" i="8" s="1"/>
  <c r="AD412" i="11"/>
  <c r="B477" i="8" s="1"/>
  <c r="AC412" i="11"/>
  <c r="B447" i="8" s="1"/>
  <c r="AB412" i="11"/>
  <c r="B417" i="8" s="1"/>
  <c r="C417" i="8" s="1"/>
  <c r="AA412" i="11"/>
  <c r="B387" i="8" s="1"/>
  <c r="C387" i="8" s="1"/>
  <c r="Z412" i="11"/>
  <c r="B357" i="8" s="1"/>
  <c r="C357" i="8" s="1"/>
  <c r="Y412" i="11"/>
  <c r="B117" i="8" s="1"/>
  <c r="X412" i="11"/>
  <c r="B297" i="8" s="1"/>
  <c r="W412" i="11"/>
  <c r="B267" i="8" s="1"/>
  <c r="V412" i="11"/>
  <c r="B237" i="8" s="1"/>
  <c r="U412" i="11"/>
  <c r="B207" i="8" s="1"/>
  <c r="T412" i="11"/>
  <c r="B177" i="8" s="1"/>
  <c r="S412" i="11"/>
  <c r="B147" i="8" s="1"/>
  <c r="AH409" i="11"/>
  <c r="AG409" i="11"/>
  <c r="AF409" i="11"/>
  <c r="AE409" i="11"/>
  <c r="AD409" i="11"/>
  <c r="AC409" i="11"/>
  <c r="AB409" i="11"/>
  <c r="AA409" i="11"/>
  <c r="Z409" i="11"/>
  <c r="Y409" i="11"/>
  <c r="X409" i="11"/>
  <c r="W409" i="11"/>
  <c r="V409" i="11"/>
  <c r="U409" i="11"/>
  <c r="T409" i="11"/>
  <c r="S409" i="11"/>
  <c r="AH407" i="11"/>
  <c r="AG407" i="11"/>
  <c r="AF407" i="11"/>
  <c r="AE407" i="11"/>
  <c r="AD407" i="11"/>
  <c r="AC407" i="11"/>
  <c r="AB407" i="11"/>
  <c r="AA407" i="11"/>
  <c r="Z407" i="11"/>
  <c r="Y407" i="11"/>
  <c r="X407" i="11"/>
  <c r="W407" i="11"/>
  <c r="V407" i="11"/>
  <c r="U407" i="11"/>
  <c r="T407" i="11"/>
  <c r="S407" i="11"/>
  <c r="AH405" i="11"/>
  <c r="L506" i="7" s="1"/>
  <c r="M506" i="7" s="1"/>
  <c r="AG405" i="11"/>
  <c r="L566" i="7" s="1"/>
  <c r="M566" i="7" s="1"/>
  <c r="AF405" i="11"/>
  <c r="L536" i="7" s="1"/>
  <c r="M536" i="7" s="1"/>
  <c r="AE405" i="11"/>
  <c r="L326" i="7" s="1"/>
  <c r="AD405" i="11"/>
  <c r="AC405" i="11"/>
  <c r="L446" i="7" s="1"/>
  <c r="M446" i="7" s="1"/>
  <c r="AB405" i="11"/>
  <c r="L416" i="7" s="1"/>
  <c r="AA405" i="11"/>
  <c r="L386" i="7" s="1"/>
  <c r="Z405" i="11"/>
  <c r="L356" i="7" s="1"/>
  <c r="Y405" i="11"/>
  <c r="X405" i="11"/>
  <c r="W405" i="11"/>
  <c r="V405" i="11"/>
  <c r="U405" i="11"/>
  <c r="T405" i="11"/>
  <c r="S405" i="11"/>
  <c r="AH403" i="11"/>
  <c r="L506" i="8" s="1"/>
  <c r="M506" i="8" s="1"/>
  <c r="AG403" i="11"/>
  <c r="L566" i="8" s="1"/>
  <c r="M566" i="8" s="1"/>
  <c r="AF403" i="11"/>
  <c r="L536" i="8" s="1"/>
  <c r="M536" i="8" s="1"/>
  <c r="AE403" i="11"/>
  <c r="L326" i="8" s="1"/>
  <c r="AD403" i="11"/>
  <c r="AC403" i="11"/>
  <c r="L446" i="8" s="1"/>
  <c r="AB403" i="11"/>
  <c r="L416" i="8" s="1"/>
  <c r="AA403" i="11"/>
  <c r="L386" i="8" s="1"/>
  <c r="Z403" i="11"/>
  <c r="L356" i="8" s="1"/>
  <c r="Y403" i="11"/>
  <c r="X403" i="11"/>
  <c r="W403" i="11"/>
  <c r="V403" i="11"/>
  <c r="U403" i="11"/>
  <c r="T403" i="11"/>
  <c r="S403" i="11"/>
  <c r="AH401" i="11"/>
  <c r="J506" i="7" s="1"/>
  <c r="K506" i="7" s="1"/>
  <c r="AG401" i="11"/>
  <c r="J566" i="7" s="1"/>
  <c r="K566" i="7" s="1"/>
  <c r="AF401" i="11"/>
  <c r="J536" i="7" s="1"/>
  <c r="K536" i="7" s="1"/>
  <c r="AE401" i="11"/>
  <c r="J326" i="7" s="1"/>
  <c r="AD401" i="11"/>
  <c r="AC401" i="11"/>
  <c r="J446" i="7" s="1"/>
  <c r="K446" i="7" s="1"/>
  <c r="AB401" i="11"/>
  <c r="J416" i="7" s="1"/>
  <c r="K416" i="7" s="1"/>
  <c r="AA401" i="11"/>
  <c r="J386" i="7" s="1"/>
  <c r="Z401" i="11"/>
  <c r="J356" i="7" s="1"/>
  <c r="K356" i="7" s="1"/>
  <c r="Y401" i="11"/>
  <c r="J116" i="7" s="1"/>
  <c r="X401" i="11"/>
  <c r="J296" i="7" s="1"/>
  <c r="W401" i="11"/>
  <c r="J266" i="7" s="1"/>
  <c r="V401" i="11"/>
  <c r="J236" i="7" s="1"/>
  <c r="U401" i="11"/>
  <c r="J206" i="7" s="1"/>
  <c r="T401" i="11"/>
  <c r="J176" i="7" s="1"/>
  <c r="S401" i="11"/>
  <c r="J146" i="7" s="1"/>
  <c r="AH399" i="11"/>
  <c r="J506" i="8" s="1"/>
  <c r="K506" i="8" s="1"/>
  <c r="AG399" i="11"/>
  <c r="J566" i="8" s="1"/>
  <c r="K566" i="8" s="1"/>
  <c r="AF399" i="11"/>
  <c r="J536" i="8" s="1"/>
  <c r="K536" i="8" s="1"/>
  <c r="AE399" i="11"/>
  <c r="J326" i="8" s="1"/>
  <c r="AD399" i="11"/>
  <c r="AC399" i="11"/>
  <c r="J446" i="8" s="1"/>
  <c r="K446" i="8" s="1"/>
  <c r="AB399" i="11"/>
  <c r="J416" i="8" s="1"/>
  <c r="K416" i="8" s="1"/>
  <c r="AA399" i="11"/>
  <c r="J386" i="8" s="1"/>
  <c r="Z399" i="11"/>
  <c r="J356" i="8" s="1"/>
  <c r="K356" i="8" s="1"/>
  <c r="Y399" i="11"/>
  <c r="J116" i="8" s="1"/>
  <c r="X399" i="11"/>
  <c r="J296" i="8" s="1"/>
  <c r="W399" i="11"/>
  <c r="J266" i="8" s="1"/>
  <c r="V399" i="11"/>
  <c r="J236" i="8" s="1"/>
  <c r="U399" i="11"/>
  <c r="J206" i="8" s="1"/>
  <c r="T399" i="11"/>
  <c r="J176" i="8" s="1"/>
  <c r="S399" i="11"/>
  <c r="J146" i="8" s="1"/>
  <c r="AH397" i="11"/>
  <c r="H506" i="7" s="1"/>
  <c r="I506" i="7" s="1"/>
  <c r="AG397" i="11"/>
  <c r="H566" i="7" s="1"/>
  <c r="I566" i="7" s="1"/>
  <c r="AF397" i="11"/>
  <c r="H536" i="7" s="1"/>
  <c r="I536" i="7" s="1"/>
  <c r="AE397" i="11"/>
  <c r="H326" i="7" s="1"/>
  <c r="AD397" i="11"/>
  <c r="AC397" i="11"/>
  <c r="H446" i="7" s="1"/>
  <c r="AB397" i="11"/>
  <c r="H416" i="7" s="1"/>
  <c r="AA397" i="11"/>
  <c r="H386" i="7" s="1"/>
  <c r="Z397" i="11"/>
  <c r="H356" i="7" s="1"/>
  <c r="Y397" i="11"/>
  <c r="H116" i="7" s="1"/>
  <c r="X397" i="11"/>
  <c r="H296" i="7" s="1"/>
  <c r="W397" i="11"/>
  <c r="H266" i="7" s="1"/>
  <c r="V397" i="11"/>
  <c r="H236" i="7" s="1"/>
  <c r="U397" i="11"/>
  <c r="H206" i="7" s="1"/>
  <c r="T397" i="11"/>
  <c r="H176" i="7" s="1"/>
  <c r="S397" i="11"/>
  <c r="H146" i="7" s="1"/>
  <c r="AH395" i="11"/>
  <c r="H506" i="8" s="1"/>
  <c r="I506" i="8" s="1"/>
  <c r="AG395" i="11"/>
  <c r="H566" i="8" s="1"/>
  <c r="I566" i="8" s="1"/>
  <c r="AF395" i="11"/>
  <c r="H536" i="8" s="1"/>
  <c r="I536" i="8" s="1"/>
  <c r="AE395" i="11"/>
  <c r="H326" i="8" s="1"/>
  <c r="AD395" i="11"/>
  <c r="AC395" i="11"/>
  <c r="H446" i="8" s="1"/>
  <c r="AB395" i="11"/>
  <c r="H416" i="8" s="1"/>
  <c r="AA395" i="11"/>
  <c r="H386" i="8" s="1"/>
  <c r="Z395" i="11"/>
  <c r="H356" i="8" s="1"/>
  <c r="Y395" i="11"/>
  <c r="H116" i="8" s="1"/>
  <c r="X395" i="11"/>
  <c r="H296" i="8" s="1"/>
  <c r="I296" i="8" s="1"/>
  <c r="W395" i="11"/>
  <c r="H266" i="8" s="1"/>
  <c r="V395" i="11"/>
  <c r="H236" i="8" s="1"/>
  <c r="U395" i="11"/>
  <c r="H206" i="8" s="1"/>
  <c r="T395" i="11"/>
  <c r="H176" i="8" s="1"/>
  <c r="S395" i="11"/>
  <c r="H146" i="8" s="1"/>
  <c r="AH393" i="11"/>
  <c r="F506" i="7" s="1"/>
  <c r="G506" i="7" s="1"/>
  <c r="AG393" i="11"/>
  <c r="F566" i="7" s="1"/>
  <c r="G566" i="7" s="1"/>
  <c r="AF393" i="11"/>
  <c r="F536" i="7" s="1"/>
  <c r="G536" i="7" s="1"/>
  <c r="AE393" i="11"/>
  <c r="F326" i="7" s="1"/>
  <c r="AD393" i="11"/>
  <c r="AC393" i="11"/>
  <c r="F446" i="7" s="1"/>
  <c r="AB393" i="11"/>
  <c r="F416" i="7" s="1"/>
  <c r="AA393" i="11"/>
  <c r="F386" i="7" s="1"/>
  <c r="Z393" i="11"/>
  <c r="F356" i="7" s="1"/>
  <c r="Y393" i="11"/>
  <c r="F116" i="7" s="1"/>
  <c r="X393" i="11"/>
  <c r="F296" i="7" s="1"/>
  <c r="W393" i="11"/>
  <c r="F266" i="7" s="1"/>
  <c r="V393" i="11"/>
  <c r="F236" i="7" s="1"/>
  <c r="U393" i="11"/>
  <c r="F206" i="7" s="1"/>
  <c r="T393" i="11"/>
  <c r="F176" i="7" s="1"/>
  <c r="S393" i="11"/>
  <c r="F146" i="7" s="1"/>
  <c r="AH391" i="11"/>
  <c r="F506" i="8" s="1"/>
  <c r="G506" i="8" s="1"/>
  <c r="AG391" i="11"/>
  <c r="F566" i="8" s="1"/>
  <c r="G566" i="8" s="1"/>
  <c r="AF391" i="11"/>
  <c r="F536" i="8" s="1"/>
  <c r="G536" i="8" s="1"/>
  <c r="AE391" i="11"/>
  <c r="F326" i="8" s="1"/>
  <c r="AD391" i="11"/>
  <c r="AC391" i="11"/>
  <c r="F446" i="8" s="1"/>
  <c r="AB391" i="11"/>
  <c r="F416" i="8" s="1"/>
  <c r="AA391" i="11"/>
  <c r="F386" i="8" s="1"/>
  <c r="Z391" i="11"/>
  <c r="F356" i="8" s="1"/>
  <c r="Y391" i="11"/>
  <c r="F116" i="8" s="1"/>
  <c r="X391" i="11"/>
  <c r="F296" i="8" s="1"/>
  <c r="W391" i="11"/>
  <c r="F266" i="8" s="1"/>
  <c r="V391" i="11"/>
  <c r="F236" i="8" s="1"/>
  <c r="U391" i="11"/>
  <c r="F206" i="8" s="1"/>
  <c r="T391" i="11"/>
  <c r="F176" i="8" s="1"/>
  <c r="S391" i="11"/>
  <c r="F146" i="8" s="1"/>
  <c r="AH389" i="11"/>
  <c r="D506" i="7" s="1"/>
  <c r="E506" i="7" s="1"/>
  <c r="AG389" i="11"/>
  <c r="D566" i="7" s="1"/>
  <c r="E566" i="7" s="1"/>
  <c r="AF389" i="11"/>
  <c r="D536" i="7" s="1"/>
  <c r="E536" i="7" s="1"/>
  <c r="AE389" i="11"/>
  <c r="D326" i="7" s="1"/>
  <c r="AD389" i="11"/>
  <c r="AC389" i="11"/>
  <c r="D446" i="7" s="1"/>
  <c r="AB389" i="11"/>
  <c r="D416" i="7" s="1"/>
  <c r="AA389" i="11"/>
  <c r="D386" i="7" s="1"/>
  <c r="Z389" i="11"/>
  <c r="D356" i="7" s="1"/>
  <c r="Y389" i="11"/>
  <c r="D116" i="7" s="1"/>
  <c r="X389" i="11"/>
  <c r="D296" i="7" s="1"/>
  <c r="W389" i="11"/>
  <c r="D266" i="7" s="1"/>
  <c r="V389" i="11"/>
  <c r="D236" i="7" s="1"/>
  <c r="U389" i="11"/>
  <c r="D206" i="7" s="1"/>
  <c r="T389" i="11"/>
  <c r="D176" i="7" s="1"/>
  <c r="S389" i="11"/>
  <c r="D146" i="7" s="1"/>
  <c r="AH387" i="11"/>
  <c r="D506" i="8" s="1"/>
  <c r="E506" i="8" s="1"/>
  <c r="AG387" i="11"/>
  <c r="D566" i="8" s="1"/>
  <c r="E566" i="8" s="1"/>
  <c r="AF387" i="11"/>
  <c r="D536" i="8" s="1"/>
  <c r="E536" i="8" s="1"/>
  <c r="AE387" i="11"/>
  <c r="D326" i="8" s="1"/>
  <c r="AD387" i="11"/>
  <c r="AC387" i="11"/>
  <c r="D446" i="8" s="1"/>
  <c r="AB387" i="11"/>
  <c r="D416" i="8" s="1"/>
  <c r="AA387" i="11"/>
  <c r="D386" i="8" s="1"/>
  <c r="Z387" i="11"/>
  <c r="D356" i="8" s="1"/>
  <c r="Y387" i="11"/>
  <c r="D116" i="8" s="1"/>
  <c r="X387" i="11"/>
  <c r="D296" i="8" s="1"/>
  <c r="W387" i="11"/>
  <c r="D266" i="8" s="1"/>
  <c r="V387" i="11"/>
  <c r="D236" i="8" s="1"/>
  <c r="U387" i="11"/>
  <c r="D206" i="8" s="1"/>
  <c r="T387" i="11"/>
  <c r="D176" i="8" s="1"/>
  <c r="S387" i="11"/>
  <c r="D146" i="8" s="1"/>
  <c r="AH385" i="11"/>
  <c r="B506" i="7" s="1"/>
  <c r="C506" i="7" s="1"/>
  <c r="AG385" i="11"/>
  <c r="B566" i="7" s="1"/>
  <c r="C566" i="7" s="1"/>
  <c r="AF385" i="11"/>
  <c r="B536" i="7" s="1"/>
  <c r="C536" i="7" s="1"/>
  <c r="AE385" i="11"/>
  <c r="B326" i="7" s="1"/>
  <c r="AD385" i="11"/>
  <c r="AC385" i="11"/>
  <c r="B446" i="7" s="1"/>
  <c r="AB385" i="11"/>
  <c r="B416" i="7" s="1"/>
  <c r="AA385" i="11"/>
  <c r="B386" i="7" s="1"/>
  <c r="Z385" i="11"/>
  <c r="B356" i="7" s="1"/>
  <c r="Y385" i="11"/>
  <c r="B116" i="7" s="1"/>
  <c r="X385" i="11"/>
  <c r="B296" i="7" s="1"/>
  <c r="W385" i="11"/>
  <c r="B266" i="7" s="1"/>
  <c r="V385" i="11"/>
  <c r="B236" i="7" s="1"/>
  <c r="U385" i="11"/>
  <c r="B206" i="7" s="1"/>
  <c r="T385" i="11"/>
  <c r="B176" i="7" s="1"/>
  <c r="S385" i="11"/>
  <c r="B146" i="7" s="1"/>
  <c r="AH383" i="11"/>
  <c r="B506" i="8" s="1"/>
  <c r="C506" i="8" s="1"/>
  <c r="AG383" i="11"/>
  <c r="B566" i="8" s="1"/>
  <c r="C566" i="8" s="1"/>
  <c r="AF383" i="11"/>
  <c r="B536" i="8" s="1"/>
  <c r="C536" i="8" s="1"/>
  <c r="AE383" i="11"/>
  <c r="B326" i="8" s="1"/>
  <c r="AD383" i="11"/>
  <c r="AC383" i="11"/>
  <c r="B446" i="8" s="1"/>
  <c r="AB383" i="11"/>
  <c r="B416" i="8" s="1"/>
  <c r="AA383" i="11"/>
  <c r="B386" i="8" s="1"/>
  <c r="Z383" i="11"/>
  <c r="B356" i="8" s="1"/>
  <c r="Y383" i="11"/>
  <c r="B116" i="8" s="1"/>
  <c r="X383" i="11"/>
  <c r="B296" i="8" s="1"/>
  <c r="W383" i="11"/>
  <c r="B266" i="8" s="1"/>
  <c r="V383" i="11"/>
  <c r="B236" i="8" s="1"/>
  <c r="U383" i="11"/>
  <c r="B206" i="8" s="1"/>
  <c r="T383" i="11"/>
  <c r="B176" i="8" s="1"/>
  <c r="S383" i="11"/>
  <c r="B146" i="8" s="1"/>
  <c r="AH380" i="11"/>
  <c r="AG380" i="11"/>
  <c r="AF380" i="11"/>
  <c r="AE380" i="11"/>
  <c r="AD380" i="11"/>
  <c r="AC380" i="11"/>
  <c r="AB380" i="11"/>
  <c r="AA380" i="11"/>
  <c r="Z380" i="11"/>
  <c r="Y380" i="11"/>
  <c r="X380" i="11"/>
  <c r="W380" i="11"/>
  <c r="V380" i="11"/>
  <c r="U380" i="11"/>
  <c r="T380" i="11"/>
  <c r="S380" i="11"/>
  <c r="AH378" i="11"/>
  <c r="AG378" i="11"/>
  <c r="AF378" i="11"/>
  <c r="AE378" i="11"/>
  <c r="AD378" i="11"/>
  <c r="AC378" i="11"/>
  <c r="AB378" i="11"/>
  <c r="AA378" i="11"/>
  <c r="Z378" i="11"/>
  <c r="Y378" i="11"/>
  <c r="X378" i="11"/>
  <c r="W378" i="11"/>
  <c r="V378" i="11"/>
  <c r="U378" i="11"/>
  <c r="T378" i="11"/>
  <c r="S378" i="11"/>
  <c r="AH376" i="11"/>
  <c r="L505" i="7" s="1"/>
  <c r="AG376" i="11"/>
  <c r="L565" i="7" s="1"/>
  <c r="AF376" i="11"/>
  <c r="L535" i="7" s="1"/>
  <c r="AE376" i="11"/>
  <c r="L325" i="7" s="1"/>
  <c r="M325" i="7" s="1"/>
  <c r="AD376" i="11"/>
  <c r="AC376" i="11"/>
  <c r="L445" i="7" s="1"/>
  <c r="M445" i="7" s="1"/>
  <c r="AB376" i="11"/>
  <c r="L415" i="7" s="1"/>
  <c r="M415" i="7" s="1"/>
  <c r="AA376" i="11"/>
  <c r="L385" i="7" s="1"/>
  <c r="M385" i="7" s="1"/>
  <c r="Z376" i="11"/>
  <c r="L355" i="7" s="1"/>
  <c r="M355" i="7" s="1"/>
  <c r="Y376" i="11"/>
  <c r="X376" i="11"/>
  <c r="W376" i="11"/>
  <c r="V376" i="11"/>
  <c r="U376" i="11"/>
  <c r="T376" i="11"/>
  <c r="S376" i="11"/>
  <c r="AH374" i="11"/>
  <c r="L505" i="8" s="1"/>
  <c r="AG374" i="11"/>
  <c r="L565" i="8" s="1"/>
  <c r="AF374" i="11"/>
  <c r="L535" i="8" s="1"/>
  <c r="AE374" i="11"/>
  <c r="L325" i="8" s="1"/>
  <c r="M325" i="8" s="1"/>
  <c r="AD374" i="11"/>
  <c r="AC374" i="11"/>
  <c r="L445" i="8" s="1"/>
  <c r="M445" i="8" s="1"/>
  <c r="AB374" i="11"/>
  <c r="L415" i="8" s="1"/>
  <c r="M415" i="8" s="1"/>
  <c r="AA374" i="11"/>
  <c r="L385" i="8" s="1"/>
  <c r="M385" i="8" s="1"/>
  <c r="Z374" i="11"/>
  <c r="L355" i="8" s="1"/>
  <c r="M355" i="8" s="1"/>
  <c r="Y374" i="11"/>
  <c r="X374" i="11"/>
  <c r="W374" i="11"/>
  <c r="V374" i="11"/>
  <c r="U374" i="11"/>
  <c r="T374" i="11"/>
  <c r="S374" i="11"/>
  <c r="AH372" i="11"/>
  <c r="J505" i="7" s="1"/>
  <c r="K505" i="7" s="1"/>
  <c r="AG372" i="11"/>
  <c r="J565" i="7" s="1"/>
  <c r="K565" i="7" s="1"/>
  <c r="AF372" i="11"/>
  <c r="J535" i="7" s="1"/>
  <c r="K535" i="7" s="1"/>
  <c r="AE372" i="11"/>
  <c r="J325" i="7" s="1"/>
  <c r="K325" i="7" s="1"/>
  <c r="AD372" i="11"/>
  <c r="AC372" i="11"/>
  <c r="J445" i="7" s="1"/>
  <c r="K445" i="7" s="1"/>
  <c r="AB372" i="11"/>
  <c r="J415" i="7" s="1"/>
  <c r="K415" i="7" s="1"/>
  <c r="AA372" i="11"/>
  <c r="J385" i="7" s="1"/>
  <c r="K385" i="7" s="1"/>
  <c r="Z372" i="11"/>
  <c r="J355" i="7" s="1"/>
  <c r="K355" i="7" s="1"/>
  <c r="Y372" i="11"/>
  <c r="J115" i="7" s="1"/>
  <c r="X372" i="11"/>
  <c r="J295" i="7" s="1"/>
  <c r="K295" i="7" s="1"/>
  <c r="W372" i="11"/>
  <c r="J265" i="7" s="1"/>
  <c r="V372" i="11"/>
  <c r="J235" i="7" s="1"/>
  <c r="K235" i="7" s="1"/>
  <c r="U372" i="11"/>
  <c r="J205" i="7" s="1"/>
  <c r="T372" i="11"/>
  <c r="J175" i="7" s="1"/>
  <c r="S372" i="11"/>
  <c r="J145" i="7" s="1"/>
  <c r="AH370" i="11"/>
  <c r="J505" i="8" s="1"/>
  <c r="K505" i="8" s="1"/>
  <c r="AG370" i="11"/>
  <c r="J565" i="8" s="1"/>
  <c r="K565" i="8" s="1"/>
  <c r="AF370" i="11"/>
  <c r="J535" i="8" s="1"/>
  <c r="K535" i="8" s="1"/>
  <c r="AE370" i="11"/>
  <c r="J325" i="8" s="1"/>
  <c r="K325" i="8" s="1"/>
  <c r="AD370" i="11"/>
  <c r="AC370" i="11"/>
  <c r="J445" i="8" s="1"/>
  <c r="K445" i="8" s="1"/>
  <c r="AB370" i="11"/>
  <c r="J415" i="8" s="1"/>
  <c r="K415" i="8" s="1"/>
  <c r="AA370" i="11"/>
  <c r="J385" i="8" s="1"/>
  <c r="K385" i="8" s="1"/>
  <c r="Z370" i="11"/>
  <c r="J355" i="8" s="1"/>
  <c r="K355" i="8" s="1"/>
  <c r="Y370" i="11"/>
  <c r="J115" i="8" s="1"/>
  <c r="X370" i="11"/>
  <c r="J295" i="8" s="1"/>
  <c r="K295" i="8" s="1"/>
  <c r="W370" i="11"/>
  <c r="J265" i="8" s="1"/>
  <c r="V370" i="11"/>
  <c r="J235" i="8" s="1"/>
  <c r="K235" i="8" s="1"/>
  <c r="U370" i="11"/>
  <c r="J205" i="8" s="1"/>
  <c r="T370" i="11"/>
  <c r="J175" i="8" s="1"/>
  <c r="S370" i="11"/>
  <c r="J145" i="8" s="1"/>
  <c r="AH368" i="11"/>
  <c r="H505" i="7" s="1"/>
  <c r="I505" i="7" s="1"/>
  <c r="AG368" i="11"/>
  <c r="H565" i="7" s="1"/>
  <c r="I565" i="7" s="1"/>
  <c r="AF368" i="11"/>
  <c r="H535" i="7" s="1"/>
  <c r="I535" i="7" s="1"/>
  <c r="AE368" i="11"/>
  <c r="H325" i="7" s="1"/>
  <c r="AD368" i="11"/>
  <c r="AC368" i="11"/>
  <c r="H445" i="7" s="1"/>
  <c r="I445" i="7" s="1"/>
  <c r="AB368" i="11"/>
  <c r="H415" i="7" s="1"/>
  <c r="AA368" i="11"/>
  <c r="H385" i="7" s="1"/>
  <c r="Z368" i="11"/>
  <c r="H355" i="7" s="1"/>
  <c r="I355" i="7" s="1"/>
  <c r="Y368" i="11"/>
  <c r="H115" i="7" s="1"/>
  <c r="X368" i="11"/>
  <c r="H295" i="7" s="1"/>
  <c r="I295" i="7" s="1"/>
  <c r="W368" i="11"/>
  <c r="H265" i="7" s="1"/>
  <c r="V368" i="11"/>
  <c r="H235" i="7" s="1"/>
  <c r="I235" i="7" s="1"/>
  <c r="U368" i="11"/>
  <c r="H205" i="7" s="1"/>
  <c r="T368" i="11"/>
  <c r="H175" i="7" s="1"/>
  <c r="S368" i="11"/>
  <c r="H145" i="7" s="1"/>
  <c r="AH366" i="11"/>
  <c r="H505" i="8" s="1"/>
  <c r="I505" i="8" s="1"/>
  <c r="AG366" i="11"/>
  <c r="H565" i="8" s="1"/>
  <c r="I565" i="8" s="1"/>
  <c r="AF366" i="11"/>
  <c r="H535" i="8" s="1"/>
  <c r="I535" i="8" s="1"/>
  <c r="AE366" i="11"/>
  <c r="H325" i="8" s="1"/>
  <c r="AD366" i="11"/>
  <c r="AC366" i="11"/>
  <c r="H445" i="8" s="1"/>
  <c r="I445" i="8" s="1"/>
  <c r="AB366" i="11"/>
  <c r="H415" i="8" s="1"/>
  <c r="AA366" i="11"/>
  <c r="H385" i="8" s="1"/>
  <c r="Z366" i="11"/>
  <c r="H355" i="8" s="1"/>
  <c r="I355" i="8" s="1"/>
  <c r="Y366" i="11"/>
  <c r="H115" i="8" s="1"/>
  <c r="X366" i="11"/>
  <c r="H295" i="8" s="1"/>
  <c r="I295" i="8" s="1"/>
  <c r="W366" i="11"/>
  <c r="H265" i="8" s="1"/>
  <c r="V366" i="11"/>
  <c r="H235" i="8" s="1"/>
  <c r="I235" i="8" s="1"/>
  <c r="U366" i="11"/>
  <c r="H205" i="8" s="1"/>
  <c r="T366" i="11"/>
  <c r="H175" i="8" s="1"/>
  <c r="S366" i="11"/>
  <c r="H145" i="8" s="1"/>
  <c r="AH364" i="11"/>
  <c r="F505" i="7" s="1"/>
  <c r="G505" i="7" s="1"/>
  <c r="AG364" i="11"/>
  <c r="F565" i="7" s="1"/>
  <c r="G565" i="7" s="1"/>
  <c r="AF364" i="11"/>
  <c r="F535" i="7" s="1"/>
  <c r="G535" i="7" s="1"/>
  <c r="AE364" i="11"/>
  <c r="F325" i="7" s="1"/>
  <c r="AD364" i="11"/>
  <c r="AC364" i="11"/>
  <c r="F445" i="7" s="1"/>
  <c r="G445" i="7" s="1"/>
  <c r="AB364" i="11"/>
  <c r="F415" i="7" s="1"/>
  <c r="AA364" i="11"/>
  <c r="F385" i="7" s="1"/>
  <c r="Z364" i="11"/>
  <c r="F355" i="7" s="1"/>
  <c r="G355" i="7" s="1"/>
  <c r="Y364" i="11"/>
  <c r="F115" i="7" s="1"/>
  <c r="X364" i="11"/>
  <c r="F295" i="7" s="1"/>
  <c r="G295" i="7" s="1"/>
  <c r="W364" i="11"/>
  <c r="F265" i="7" s="1"/>
  <c r="V364" i="11"/>
  <c r="F235" i="7" s="1"/>
  <c r="G235" i="7" s="1"/>
  <c r="U364" i="11"/>
  <c r="F205" i="7" s="1"/>
  <c r="T364" i="11"/>
  <c r="F175" i="7" s="1"/>
  <c r="S364" i="11"/>
  <c r="F145" i="7" s="1"/>
  <c r="AH362" i="11"/>
  <c r="F505" i="8" s="1"/>
  <c r="G505" i="8" s="1"/>
  <c r="AG362" i="11"/>
  <c r="F565" i="8" s="1"/>
  <c r="G565" i="8" s="1"/>
  <c r="AF362" i="11"/>
  <c r="F535" i="8" s="1"/>
  <c r="G535" i="8" s="1"/>
  <c r="AE362" i="11"/>
  <c r="F325" i="8" s="1"/>
  <c r="AD362" i="11"/>
  <c r="AC362" i="11"/>
  <c r="F445" i="8" s="1"/>
  <c r="G445" i="8" s="1"/>
  <c r="AB362" i="11"/>
  <c r="F415" i="8" s="1"/>
  <c r="AA362" i="11"/>
  <c r="F385" i="8" s="1"/>
  <c r="Z362" i="11"/>
  <c r="F355" i="8" s="1"/>
  <c r="G355" i="8" s="1"/>
  <c r="Y362" i="11"/>
  <c r="F115" i="8" s="1"/>
  <c r="X362" i="11"/>
  <c r="F295" i="8" s="1"/>
  <c r="G295" i="8" s="1"/>
  <c r="W362" i="11"/>
  <c r="F265" i="8" s="1"/>
  <c r="V362" i="11"/>
  <c r="F235" i="8" s="1"/>
  <c r="G235" i="8" s="1"/>
  <c r="U362" i="11"/>
  <c r="F205" i="8" s="1"/>
  <c r="T362" i="11"/>
  <c r="F175" i="8" s="1"/>
  <c r="S362" i="11"/>
  <c r="F145" i="8" s="1"/>
  <c r="AH360" i="11"/>
  <c r="D505" i="7" s="1"/>
  <c r="E505" i="7" s="1"/>
  <c r="AG360" i="11"/>
  <c r="D565" i="7" s="1"/>
  <c r="E565" i="7" s="1"/>
  <c r="AF360" i="11"/>
  <c r="D535" i="7" s="1"/>
  <c r="E535" i="7" s="1"/>
  <c r="AE360" i="11"/>
  <c r="D325" i="7" s="1"/>
  <c r="AD360" i="11"/>
  <c r="AC360" i="11"/>
  <c r="D445" i="7" s="1"/>
  <c r="E445" i="7" s="1"/>
  <c r="AB360" i="11"/>
  <c r="D415" i="7" s="1"/>
  <c r="AA360" i="11"/>
  <c r="D385" i="7" s="1"/>
  <c r="Z360" i="11"/>
  <c r="D355" i="7" s="1"/>
  <c r="E355" i="7" s="1"/>
  <c r="Y360" i="11"/>
  <c r="D115" i="7" s="1"/>
  <c r="X360" i="11"/>
  <c r="D295" i="7" s="1"/>
  <c r="E295" i="7" s="1"/>
  <c r="W360" i="11"/>
  <c r="D265" i="7" s="1"/>
  <c r="V360" i="11"/>
  <c r="D235" i="7" s="1"/>
  <c r="E235" i="7" s="1"/>
  <c r="U360" i="11"/>
  <c r="D205" i="7" s="1"/>
  <c r="T360" i="11"/>
  <c r="D175" i="7" s="1"/>
  <c r="S360" i="11"/>
  <c r="D145" i="7" s="1"/>
  <c r="AH358" i="11"/>
  <c r="D505" i="8" s="1"/>
  <c r="E505" i="8" s="1"/>
  <c r="AG358" i="11"/>
  <c r="D565" i="8" s="1"/>
  <c r="E565" i="8" s="1"/>
  <c r="AF358" i="11"/>
  <c r="D535" i="8" s="1"/>
  <c r="E535" i="8" s="1"/>
  <c r="AE358" i="11"/>
  <c r="D325" i="8" s="1"/>
  <c r="AD358" i="11"/>
  <c r="AC358" i="11"/>
  <c r="D445" i="8" s="1"/>
  <c r="E445" i="8" s="1"/>
  <c r="AB358" i="11"/>
  <c r="D415" i="8" s="1"/>
  <c r="AA358" i="11"/>
  <c r="D385" i="8" s="1"/>
  <c r="Z358" i="11"/>
  <c r="D355" i="8" s="1"/>
  <c r="E355" i="8" s="1"/>
  <c r="Y358" i="11"/>
  <c r="D115" i="8" s="1"/>
  <c r="X358" i="11"/>
  <c r="D295" i="8" s="1"/>
  <c r="E295" i="8" s="1"/>
  <c r="W358" i="11"/>
  <c r="D265" i="8" s="1"/>
  <c r="V358" i="11"/>
  <c r="D235" i="8" s="1"/>
  <c r="E235" i="8" s="1"/>
  <c r="U358" i="11"/>
  <c r="D205" i="8" s="1"/>
  <c r="T358" i="11"/>
  <c r="D175" i="8" s="1"/>
  <c r="S358" i="11"/>
  <c r="D145" i="8" s="1"/>
  <c r="AH356" i="11"/>
  <c r="B505" i="7" s="1"/>
  <c r="C505" i="7" s="1"/>
  <c r="AG356" i="11"/>
  <c r="B565" i="7" s="1"/>
  <c r="C565" i="7" s="1"/>
  <c r="AF356" i="11"/>
  <c r="B535" i="7" s="1"/>
  <c r="C535" i="7" s="1"/>
  <c r="AE356" i="11"/>
  <c r="B325" i="7" s="1"/>
  <c r="AD356" i="11"/>
  <c r="AC356" i="11"/>
  <c r="B445" i="7" s="1"/>
  <c r="C445" i="7" s="1"/>
  <c r="AB356" i="11"/>
  <c r="B415" i="7" s="1"/>
  <c r="AA356" i="11"/>
  <c r="B385" i="7" s="1"/>
  <c r="Z356" i="11"/>
  <c r="B355" i="7" s="1"/>
  <c r="C355" i="7" s="1"/>
  <c r="Y356" i="11"/>
  <c r="B115" i="7" s="1"/>
  <c r="X356" i="11"/>
  <c r="B295" i="7" s="1"/>
  <c r="C295" i="7" s="1"/>
  <c r="W356" i="11"/>
  <c r="B265" i="7" s="1"/>
  <c r="V356" i="11"/>
  <c r="B235" i="7" s="1"/>
  <c r="C235" i="7" s="1"/>
  <c r="U356" i="11"/>
  <c r="B205" i="7" s="1"/>
  <c r="T356" i="11"/>
  <c r="B175" i="7" s="1"/>
  <c r="S356" i="11"/>
  <c r="B145" i="7" s="1"/>
  <c r="AH354" i="11"/>
  <c r="B505" i="8" s="1"/>
  <c r="C505" i="8" s="1"/>
  <c r="AG354" i="11"/>
  <c r="B565" i="8" s="1"/>
  <c r="C565" i="8" s="1"/>
  <c r="AF354" i="11"/>
  <c r="B535" i="8" s="1"/>
  <c r="C535" i="8" s="1"/>
  <c r="AE354" i="11"/>
  <c r="B325" i="8" s="1"/>
  <c r="AD354" i="11"/>
  <c r="AC354" i="11"/>
  <c r="B445" i="8" s="1"/>
  <c r="C445" i="8" s="1"/>
  <c r="AB354" i="11"/>
  <c r="B415" i="8" s="1"/>
  <c r="AA354" i="11"/>
  <c r="B385" i="8" s="1"/>
  <c r="Z354" i="11"/>
  <c r="B355" i="8" s="1"/>
  <c r="C355" i="8" s="1"/>
  <c r="Y354" i="11"/>
  <c r="B115" i="8" s="1"/>
  <c r="X354" i="11"/>
  <c r="B295" i="8" s="1"/>
  <c r="C295" i="8" s="1"/>
  <c r="W354" i="11"/>
  <c r="B265" i="8" s="1"/>
  <c r="V354" i="11"/>
  <c r="B235" i="8" s="1"/>
  <c r="C235" i="8" s="1"/>
  <c r="U354" i="11"/>
  <c r="B205" i="8" s="1"/>
  <c r="T354" i="11"/>
  <c r="B175" i="8" s="1"/>
  <c r="S354" i="11"/>
  <c r="B145" i="8" s="1"/>
  <c r="AH351" i="11"/>
  <c r="AG351" i="11"/>
  <c r="AF351" i="11"/>
  <c r="AE351" i="11"/>
  <c r="AD351" i="11"/>
  <c r="AC351" i="11"/>
  <c r="AB351" i="11"/>
  <c r="AA351" i="11"/>
  <c r="Z351" i="11"/>
  <c r="Y351" i="11"/>
  <c r="X351" i="11"/>
  <c r="W351" i="11"/>
  <c r="V351" i="11"/>
  <c r="U351" i="11"/>
  <c r="T351" i="11"/>
  <c r="S351" i="11"/>
  <c r="AH349" i="11"/>
  <c r="AG349" i="11"/>
  <c r="AF349" i="11"/>
  <c r="AE349" i="11"/>
  <c r="AD349" i="11"/>
  <c r="AC349" i="11"/>
  <c r="AB349" i="11"/>
  <c r="AA349" i="11"/>
  <c r="Z349" i="11"/>
  <c r="Y349" i="11"/>
  <c r="X349" i="11"/>
  <c r="W349" i="11"/>
  <c r="V349" i="11"/>
  <c r="U349" i="11"/>
  <c r="T349" i="11"/>
  <c r="S349" i="11"/>
  <c r="AH347" i="11"/>
  <c r="L503" i="7" s="1"/>
  <c r="M503" i="7" s="1"/>
  <c r="AG347" i="11"/>
  <c r="L563" i="7" s="1"/>
  <c r="M563" i="7" s="1"/>
  <c r="AF347" i="11"/>
  <c r="L533" i="7" s="1"/>
  <c r="M533" i="7" s="1"/>
  <c r="AE347" i="11"/>
  <c r="L323" i="7" s="1"/>
  <c r="M323" i="7" s="1"/>
  <c r="AD347" i="11"/>
  <c r="AC347" i="11"/>
  <c r="L443" i="7" s="1"/>
  <c r="M443" i="7" s="1"/>
  <c r="AB347" i="11"/>
  <c r="L413" i="7" s="1"/>
  <c r="M413" i="7" s="1"/>
  <c r="AA347" i="11"/>
  <c r="L383" i="7" s="1"/>
  <c r="M383" i="7" s="1"/>
  <c r="Z347" i="11"/>
  <c r="L353" i="7" s="1"/>
  <c r="M353" i="7" s="1"/>
  <c r="Y347" i="11"/>
  <c r="X347" i="11"/>
  <c r="W347" i="11"/>
  <c r="V347" i="11"/>
  <c r="U347" i="11"/>
  <c r="T347" i="11"/>
  <c r="S347" i="11"/>
  <c r="AH345" i="11"/>
  <c r="L503" i="8" s="1"/>
  <c r="M503" i="8" s="1"/>
  <c r="AG345" i="11"/>
  <c r="L563" i="8" s="1"/>
  <c r="M563" i="8" s="1"/>
  <c r="AF345" i="11"/>
  <c r="L533" i="8" s="1"/>
  <c r="M533" i="8" s="1"/>
  <c r="AE345" i="11"/>
  <c r="L323" i="8" s="1"/>
  <c r="M323" i="8" s="1"/>
  <c r="AD345" i="11"/>
  <c r="AC345" i="11"/>
  <c r="L443" i="8" s="1"/>
  <c r="M443" i="8" s="1"/>
  <c r="AB345" i="11"/>
  <c r="L413" i="8" s="1"/>
  <c r="M413" i="8" s="1"/>
  <c r="AA345" i="11"/>
  <c r="L383" i="8" s="1"/>
  <c r="M383" i="8" s="1"/>
  <c r="Z345" i="11"/>
  <c r="L353" i="8" s="1"/>
  <c r="M353" i="8" s="1"/>
  <c r="Y345" i="11"/>
  <c r="X345" i="11"/>
  <c r="W345" i="11"/>
  <c r="V345" i="11"/>
  <c r="U345" i="11"/>
  <c r="T345" i="11"/>
  <c r="S345" i="11"/>
  <c r="AH343" i="11"/>
  <c r="J503" i="7" s="1"/>
  <c r="K503" i="7" s="1"/>
  <c r="AG343" i="11"/>
  <c r="J563" i="7" s="1"/>
  <c r="K563" i="7" s="1"/>
  <c r="AF343" i="11"/>
  <c r="J533" i="7" s="1"/>
  <c r="K533" i="7" s="1"/>
  <c r="AE343" i="11"/>
  <c r="J323" i="7" s="1"/>
  <c r="AD343" i="11"/>
  <c r="AC343" i="11"/>
  <c r="J443" i="7" s="1"/>
  <c r="AB343" i="11"/>
  <c r="J413" i="7" s="1"/>
  <c r="AA343" i="11"/>
  <c r="J383" i="7" s="1"/>
  <c r="Z343" i="11"/>
  <c r="J353" i="7" s="1"/>
  <c r="K353" i="7" s="1"/>
  <c r="Y343" i="11"/>
  <c r="J113" i="7" s="1"/>
  <c r="X343" i="11"/>
  <c r="J293" i="7" s="1"/>
  <c r="W343" i="11"/>
  <c r="J263" i="7" s="1"/>
  <c r="V343" i="11"/>
  <c r="J233" i="7" s="1"/>
  <c r="K233" i="7" s="1"/>
  <c r="U343" i="11"/>
  <c r="J203" i="7" s="1"/>
  <c r="T343" i="11"/>
  <c r="J173" i="7" s="1"/>
  <c r="K173" i="7" s="1"/>
  <c r="S343" i="11"/>
  <c r="J143" i="7" s="1"/>
  <c r="AH341" i="11"/>
  <c r="J503" i="8" s="1"/>
  <c r="K503" i="8" s="1"/>
  <c r="AG341" i="11"/>
  <c r="J563" i="8" s="1"/>
  <c r="K563" i="8" s="1"/>
  <c r="AF341" i="11"/>
  <c r="J533" i="8" s="1"/>
  <c r="K533" i="8" s="1"/>
  <c r="AE341" i="11"/>
  <c r="J323" i="8" s="1"/>
  <c r="AD341" i="11"/>
  <c r="AC341" i="11"/>
  <c r="J443" i="8" s="1"/>
  <c r="AB341" i="11"/>
  <c r="J413" i="8" s="1"/>
  <c r="AA341" i="11"/>
  <c r="J383" i="8" s="1"/>
  <c r="Z341" i="11"/>
  <c r="J353" i="8" s="1"/>
  <c r="K353" i="8" s="1"/>
  <c r="Y341" i="11"/>
  <c r="J113" i="8" s="1"/>
  <c r="X341" i="11"/>
  <c r="J293" i="8" s="1"/>
  <c r="W341" i="11"/>
  <c r="J263" i="8" s="1"/>
  <c r="V341" i="11"/>
  <c r="J233" i="8" s="1"/>
  <c r="K233" i="8" s="1"/>
  <c r="U341" i="11"/>
  <c r="J203" i="8" s="1"/>
  <c r="T341" i="11"/>
  <c r="J173" i="8" s="1"/>
  <c r="K173" i="8" s="1"/>
  <c r="S341" i="11"/>
  <c r="J143" i="8" s="1"/>
  <c r="AH339" i="11"/>
  <c r="H503" i="7" s="1"/>
  <c r="I503" i="7" s="1"/>
  <c r="AG339" i="11"/>
  <c r="H563" i="7" s="1"/>
  <c r="I563" i="7" s="1"/>
  <c r="AF339" i="11"/>
  <c r="H533" i="7" s="1"/>
  <c r="I533" i="7" s="1"/>
  <c r="AE339" i="11"/>
  <c r="H323" i="7" s="1"/>
  <c r="AD339" i="11"/>
  <c r="AC339" i="11"/>
  <c r="H443" i="7" s="1"/>
  <c r="AB339" i="11"/>
  <c r="H413" i="7" s="1"/>
  <c r="I413" i="7" s="1"/>
  <c r="AA339" i="11"/>
  <c r="H383" i="7" s="1"/>
  <c r="I383" i="7" s="1"/>
  <c r="Z339" i="11"/>
  <c r="H353" i="7" s="1"/>
  <c r="I353" i="7" s="1"/>
  <c r="Y339" i="11"/>
  <c r="H113" i="7" s="1"/>
  <c r="X339" i="11"/>
  <c r="H293" i="7" s="1"/>
  <c r="W339" i="11"/>
  <c r="H263" i="7" s="1"/>
  <c r="V339" i="11"/>
  <c r="H233" i="7" s="1"/>
  <c r="U339" i="11"/>
  <c r="H203" i="7" s="1"/>
  <c r="T339" i="11"/>
  <c r="H173" i="7" s="1"/>
  <c r="I173" i="7" s="1"/>
  <c r="S339" i="11"/>
  <c r="H143" i="7" s="1"/>
  <c r="AH337" i="11"/>
  <c r="H503" i="8" s="1"/>
  <c r="I503" i="8" s="1"/>
  <c r="AG337" i="11"/>
  <c r="H563" i="8" s="1"/>
  <c r="I563" i="8" s="1"/>
  <c r="AF337" i="11"/>
  <c r="H533" i="8" s="1"/>
  <c r="I533" i="8" s="1"/>
  <c r="AE337" i="11"/>
  <c r="H323" i="8" s="1"/>
  <c r="AD337" i="11"/>
  <c r="AC337" i="11"/>
  <c r="H443" i="8" s="1"/>
  <c r="AB337" i="11"/>
  <c r="H413" i="8" s="1"/>
  <c r="I413" i="8" s="1"/>
  <c r="AA337" i="11"/>
  <c r="H383" i="8" s="1"/>
  <c r="I383" i="8" s="1"/>
  <c r="Z337" i="11"/>
  <c r="H353" i="8" s="1"/>
  <c r="I353" i="8" s="1"/>
  <c r="Y337" i="11"/>
  <c r="H113" i="8" s="1"/>
  <c r="X337" i="11"/>
  <c r="H293" i="8" s="1"/>
  <c r="W337" i="11"/>
  <c r="H263" i="8" s="1"/>
  <c r="V337" i="11"/>
  <c r="H233" i="8" s="1"/>
  <c r="U337" i="11"/>
  <c r="H203" i="8" s="1"/>
  <c r="T337" i="11"/>
  <c r="H173" i="8" s="1"/>
  <c r="I173" i="8" s="1"/>
  <c r="S337" i="11"/>
  <c r="H143" i="8" s="1"/>
  <c r="AH335" i="11"/>
  <c r="F503" i="7" s="1"/>
  <c r="G503" i="7" s="1"/>
  <c r="AG335" i="11"/>
  <c r="F563" i="7" s="1"/>
  <c r="G563" i="7" s="1"/>
  <c r="AF335" i="11"/>
  <c r="F533" i="7" s="1"/>
  <c r="G533" i="7" s="1"/>
  <c r="AE335" i="11"/>
  <c r="F323" i="7" s="1"/>
  <c r="AD335" i="11"/>
  <c r="AC335" i="11"/>
  <c r="F443" i="7" s="1"/>
  <c r="AB335" i="11"/>
  <c r="F413" i="7" s="1"/>
  <c r="G413" i="7" s="1"/>
  <c r="AA335" i="11"/>
  <c r="F383" i="7" s="1"/>
  <c r="G383" i="7" s="1"/>
  <c r="Z335" i="11"/>
  <c r="F353" i="7" s="1"/>
  <c r="G353" i="7" s="1"/>
  <c r="Y335" i="11"/>
  <c r="F113" i="7" s="1"/>
  <c r="X335" i="11"/>
  <c r="F293" i="7" s="1"/>
  <c r="W335" i="11"/>
  <c r="F263" i="7" s="1"/>
  <c r="V335" i="11"/>
  <c r="F233" i="7" s="1"/>
  <c r="U335" i="11"/>
  <c r="F203" i="7" s="1"/>
  <c r="T335" i="11"/>
  <c r="F173" i="7" s="1"/>
  <c r="G173" i="7" s="1"/>
  <c r="S335" i="11"/>
  <c r="F143" i="7" s="1"/>
  <c r="AH333" i="11"/>
  <c r="F503" i="8" s="1"/>
  <c r="G503" i="8" s="1"/>
  <c r="AG333" i="11"/>
  <c r="F563" i="8" s="1"/>
  <c r="G563" i="8" s="1"/>
  <c r="AF333" i="11"/>
  <c r="F533" i="8" s="1"/>
  <c r="G533" i="8" s="1"/>
  <c r="AE333" i="11"/>
  <c r="F323" i="8" s="1"/>
  <c r="AD333" i="11"/>
  <c r="AC333" i="11"/>
  <c r="F443" i="8" s="1"/>
  <c r="AB333" i="11"/>
  <c r="F413" i="8" s="1"/>
  <c r="G413" i="8" s="1"/>
  <c r="AA333" i="11"/>
  <c r="F383" i="8" s="1"/>
  <c r="G383" i="8" s="1"/>
  <c r="Z333" i="11"/>
  <c r="F353" i="8" s="1"/>
  <c r="G353" i="8" s="1"/>
  <c r="Y333" i="11"/>
  <c r="F113" i="8" s="1"/>
  <c r="X333" i="11"/>
  <c r="F293" i="8" s="1"/>
  <c r="W333" i="11"/>
  <c r="F263" i="8" s="1"/>
  <c r="V333" i="11"/>
  <c r="F233" i="8" s="1"/>
  <c r="U333" i="11"/>
  <c r="F203" i="8" s="1"/>
  <c r="T333" i="11"/>
  <c r="F173" i="8" s="1"/>
  <c r="G173" i="8" s="1"/>
  <c r="S333" i="11"/>
  <c r="F143" i="8" s="1"/>
  <c r="AH331" i="11"/>
  <c r="D503" i="7" s="1"/>
  <c r="E503" i="7" s="1"/>
  <c r="AG331" i="11"/>
  <c r="D563" i="7" s="1"/>
  <c r="E563" i="7" s="1"/>
  <c r="AF331" i="11"/>
  <c r="D533" i="7" s="1"/>
  <c r="E533" i="7" s="1"/>
  <c r="AE331" i="11"/>
  <c r="D323" i="7" s="1"/>
  <c r="AD331" i="11"/>
  <c r="AC331" i="11"/>
  <c r="D443" i="7" s="1"/>
  <c r="AB331" i="11"/>
  <c r="D413" i="7" s="1"/>
  <c r="E413" i="7" s="1"/>
  <c r="AA331" i="11"/>
  <c r="D383" i="7" s="1"/>
  <c r="E383" i="7" s="1"/>
  <c r="Z331" i="11"/>
  <c r="D353" i="7" s="1"/>
  <c r="E353" i="7" s="1"/>
  <c r="Y331" i="11"/>
  <c r="D113" i="7" s="1"/>
  <c r="X331" i="11"/>
  <c r="D293" i="7" s="1"/>
  <c r="W331" i="11"/>
  <c r="D263" i="7" s="1"/>
  <c r="V331" i="11"/>
  <c r="D233" i="7" s="1"/>
  <c r="U331" i="11"/>
  <c r="D203" i="7" s="1"/>
  <c r="T331" i="11"/>
  <c r="D173" i="7" s="1"/>
  <c r="E173" i="7" s="1"/>
  <c r="S331" i="11"/>
  <c r="D143" i="7" s="1"/>
  <c r="AH329" i="11"/>
  <c r="D503" i="8" s="1"/>
  <c r="E503" i="8" s="1"/>
  <c r="AG329" i="11"/>
  <c r="D563" i="8" s="1"/>
  <c r="E563" i="8" s="1"/>
  <c r="AF329" i="11"/>
  <c r="D533" i="8" s="1"/>
  <c r="E533" i="8" s="1"/>
  <c r="AE329" i="11"/>
  <c r="D323" i="8" s="1"/>
  <c r="AD329" i="11"/>
  <c r="AC329" i="11"/>
  <c r="D443" i="8" s="1"/>
  <c r="AB329" i="11"/>
  <c r="D413" i="8" s="1"/>
  <c r="E413" i="8" s="1"/>
  <c r="AA329" i="11"/>
  <c r="D383" i="8" s="1"/>
  <c r="E383" i="8" s="1"/>
  <c r="Z329" i="11"/>
  <c r="D353" i="8" s="1"/>
  <c r="E353" i="8" s="1"/>
  <c r="Y329" i="11"/>
  <c r="D113" i="8" s="1"/>
  <c r="X329" i="11"/>
  <c r="D293" i="8" s="1"/>
  <c r="W329" i="11"/>
  <c r="D263" i="8" s="1"/>
  <c r="V329" i="11"/>
  <c r="D233" i="8" s="1"/>
  <c r="U329" i="11"/>
  <c r="D203" i="8" s="1"/>
  <c r="T329" i="11"/>
  <c r="D173" i="8" s="1"/>
  <c r="E173" i="8" s="1"/>
  <c r="S329" i="11"/>
  <c r="D143" i="8" s="1"/>
  <c r="AH327" i="11"/>
  <c r="B503" i="7" s="1"/>
  <c r="C503" i="7" s="1"/>
  <c r="AG327" i="11"/>
  <c r="B563" i="7" s="1"/>
  <c r="C563" i="7" s="1"/>
  <c r="AF327" i="11"/>
  <c r="B533" i="7" s="1"/>
  <c r="C533" i="7" s="1"/>
  <c r="AE327" i="11"/>
  <c r="B323" i="7" s="1"/>
  <c r="AD327" i="11"/>
  <c r="AC327" i="11"/>
  <c r="B443" i="7" s="1"/>
  <c r="AB327" i="11"/>
  <c r="B413" i="7" s="1"/>
  <c r="C413" i="7" s="1"/>
  <c r="AA327" i="11"/>
  <c r="B383" i="7" s="1"/>
  <c r="C383" i="7" s="1"/>
  <c r="Z327" i="11"/>
  <c r="B353" i="7" s="1"/>
  <c r="C353" i="7" s="1"/>
  <c r="Y327" i="11"/>
  <c r="B113" i="7" s="1"/>
  <c r="X327" i="11"/>
  <c r="B293" i="7" s="1"/>
  <c r="W327" i="11"/>
  <c r="B263" i="7" s="1"/>
  <c r="V327" i="11"/>
  <c r="B233" i="7" s="1"/>
  <c r="U327" i="11"/>
  <c r="B203" i="7" s="1"/>
  <c r="T327" i="11"/>
  <c r="B173" i="7" s="1"/>
  <c r="C173" i="7" s="1"/>
  <c r="S327" i="11"/>
  <c r="B143" i="7" s="1"/>
  <c r="AH325" i="11"/>
  <c r="B503" i="8" s="1"/>
  <c r="C503" i="8" s="1"/>
  <c r="AG325" i="11"/>
  <c r="B563" i="8" s="1"/>
  <c r="C563" i="8" s="1"/>
  <c r="AF325" i="11"/>
  <c r="B533" i="8" s="1"/>
  <c r="C533" i="8" s="1"/>
  <c r="AE325" i="11"/>
  <c r="B323" i="8" s="1"/>
  <c r="AD325" i="11"/>
  <c r="AC325" i="11"/>
  <c r="B443" i="8" s="1"/>
  <c r="AB325" i="11"/>
  <c r="B413" i="8" s="1"/>
  <c r="C413" i="8" s="1"/>
  <c r="AA325" i="11"/>
  <c r="B383" i="8" s="1"/>
  <c r="C383" i="8" s="1"/>
  <c r="Z325" i="11"/>
  <c r="B353" i="8" s="1"/>
  <c r="C353" i="8" s="1"/>
  <c r="Y325" i="11"/>
  <c r="B113" i="8" s="1"/>
  <c r="X325" i="11"/>
  <c r="B293" i="8" s="1"/>
  <c r="W325" i="11"/>
  <c r="B263" i="8" s="1"/>
  <c r="V325" i="11"/>
  <c r="B233" i="8" s="1"/>
  <c r="U325" i="11"/>
  <c r="B203" i="8" s="1"/>
  <c r="T325" i="11"/>
  <c r="B173" i="8" s="1"/>
  <c r="C173" i="8" s="1"/>
  <c r="S325" i="11"/>
  <c r="B143" i="8" s="1"/>
  <c r="AH322" i="11"/>
  <c r="AG322" i="11"/>
  <c r="AF322" i="11"/>
  <c r="AE322" i="11"/>
  <c r="AD322" i="11"/>
  <c r="AC322" i="11"/>
  <c r="AB322" i="11"/>
  <c r="AA322" i="11"/>
  <c r="Z322" i="11"/>
  <c r="Y322" i="11"/>
  <c r="X322" i="11"/>
  <c r="W322" i="11"/>
  <c r="V322" i="11"/>
  <c r="U322" i="11"/>
  <c r="T322" i="11"/>
  <c r="S322" i="11"/>
  <c r="AH320" i="11"/>
  <c r="AG320" i="11"/>
  <c r="AF320" i="11"/>
  <c r="AE320" i="11"/>
  <c r="AD320" i="11"/>
  <c r="AC320" i="11"/>
  <c r="AB320" i="11"/>
  <c r="AA320" i="11"/>
  <c r="Z320" i="11"/>
  <c r="Y320" i="11"/>
  <c r="X320" i="11"/>
  <c r="W320" i="11"/>
  <c r="V320" i="11"/>
  <c r="U320" i="11"/>
  <c r="T320" i="11"/>
  <c r="S320" i="11"/>
  <c r="AH318" i="11"/>
  <c r="L502" i="7" s="1"/>
  <c r="AG318" i="11"/>
  <c r="L562" i="7" s="1"/>
  <c r="AF318" i="11"/>
  <c r="L532" i="7" s="1"/>
  <c r="AE318" i="11"/>
  <c r="L322" i="7" s="1"/>
  <c r="AD318" i="11"/>
  <c r="AC318" i="11"/>
  <c r="L442" i="7" s="1"/>
  <c r="AB318" i="11"/>
  <c r="L412" i="7" s="1"/>
  <c r="AA318" i="11"/>
  <c r="L382" i="7" s="1"/>
  <c r="Z318" i="11"/>
  <c r="L352" i="7" s="1"/>
  <c r="Y318" i="11"/>
  <c r="X318" i="11"/>
  <c r="W318" i="11"/>
  <c r="V318" i="11"/>
  <c r="U318" i="11"/>
  <c r="T318" i="11"/>
  <c r="S318" i="11"/>
  <c r="AH316" i="11"/>
  <c r="L502" i="8" s="1"/>
  <c r="AG316" i="11"/>
  <c r="L562" i="8" s="1"/>
  <c r="AF316" i="11"/>
  <c r="L532" i="8" s="1"/>
  <c r="AE316" i="11"/>
  <c r="L322" i="8" s="1"/>
  <c r="AD316" i="11"/>
  <c r="AC316" i="11"/>
  <c r="L442" i="8" s="1"/>
  <c r="AB316" i="11"/>
  <c r="L412" i="8" s="1"/>
  <c r="AA316" i="11"/>
  <c r="L382" i="8" s="1"/>
  <c r="Z316" i="11"/>
  <c r="L352" i="8" s="1"/>
  <c r="Y316" i="11"/>
  <c r="X316" i="11"/>
  <c r="W316" i="11"/>
  <c r="V316" i="11"/>
  <c r="U316" i="11"/>
  <c r="T316" i="11"/>
  <c r="S316" i="11"/>
  <c r="AH314" i="11"/>
  <c r="J502" i="7" s="1"/>
  <c r="K502" i="7" s="1"/>
  <c r="AG314" i="11"/>
  <c r="J562" i="7" s="1"/>
  <c r="K562" i="7" s="1"/>
  <c r="AF314" i="11"/>
  <c r="J532" i="7" s="1"/>
  <c r="K532" i="7" s="1"/>
  <c r="AE314" i="11"/>
  <c r="J322" i="7" s="1"/>
  <c r="K322" i="7" s="1"/>
  <c r="AD314" i="11"/>
  <c r="AC314" i="11"/>
  <c r="J442" i="7" s="1"/>
  <c r="K442" i="7" s="1"/>
  <c r="AB314" i="11"/>
  <c r="J412" i="7" s="1"/>
  <c r="K412" i="7" s="1"/>
  <c r="AA314" i="11"/>
  <c r="J382" i="7" s="1"/>
  <c r="K382" i="7" s="1"/>
  <c r="Z314" i="11"/>
  <c r="J352" i="7" s="1"/>
  <c r="K352" i="7" s="1"/>
  <c r="Y314" i="11"/>
  <c r="J112" i="7" s="1"/>
  <c r="K112" i="7" s="1"/>
  <c r="X314" i="11"/>
  <c r="J292" i="7" s="1"/>
  <c r="K292" i="7" s="1"/>
  <c r="W314" i="11"/>
  <c r="J262" i="7" s="1"/>
  <c r="K262" i="7" s="1"/>
  <c r="V314" i="11"/>
  <c r="J232" i="7" s="1"/>
  <c r="K232" i="7" s="1"/>
  <c r="U314" i="11"/>
  <c r="J202" i="7" s="1"/>
  <c r="K202" i="7" s="1"/>
  <c r="T314" i="11"/>
  <c r="J172" i="7" s="1"/>
  <c r="K172" i="7" s="1"/>
  <c r="S314" i="11"/>
  <c r="J142" i="7" s="1"/>
  <c r="K142" i="7" s="1"/>
  <c r="AH312" i="11"/>
  <c r="J502" i="8" s="1"/>
  <c r="K502" i="8" s="1"/>
  <c r="AG312" i="11"/>
  <c r="J562" i="8" s="1"/>
  <c r="K562" i="8" s="1"/>
  <c r="AF312" i="11"/>
  <c r="J532" i="8" s="1"/>
  <c r="K532" i="8" s="1"/>
  <c r="AE312" i="11"/>
  <c r="J322" i="8" s="1"/>
  <c r="K322" i="8" s="1"/>
  <c r="AD312" i="11"/>
  <c r="AC312" i="11"/>
  <c r="J442" i="8" s="1"/>
  <c r="K442" i="8" s="1"/>
  <c r="AB312" i="11"/>
  <c r="J412" i="8" s="1"/>
  <c r="K412" i="8" s="1"/>
  <c r="AA312" i="11"/>
  <c r="J382" i="8" s="1"/>
  <c r="K382" i="8" s="1"/>
  <c r="Z312" i="11"/>
  <c r="J352" i="8" s="1"/>
  <c r="K352" i="8" s="1"/>
  <c r="Y312" i="11"/>
  <c r="J112" i="8" s="1"/>
  <c r="K112" i="8" s="1"/>
  <c r="X312" i="11"/>
  <c r="J292" i="8" s="1"/>
  <c r="K292" i="8" s="1"/>
  <c r="W312" i="11"/>
  <c r="J262" i="8" s="1"/>
  <c r="K262" i="8" s="1"/>
  <c r="V312" i="11"/>
  <c r="J232" i="8" s="1"/>
  <c r="K232" i="8" s="1"/>
  <c r="U312" i="11"/>
  <c r="J202" i="8" s="1"/>
  <c r="K202" i="8" s="1"/>
  <c r="T312" i="11"/>
  <c r="J172" i="8" s="1"/>
  <c r="K172" i="8" s="1"/>
  <c r="S312" i="11"/>
  <c r="J142" i="8" s="1"/>
  <c r="K142" i="8" s="1"/>
  <c r="AH310" i="11"/>
  <c r="H502" i="7" s="1"/>
  <c r="I502" i="7" s="1"/>
  <c r="AG310" i="11"/>
  <c r="H562" i="7" s="1"/>
  <c r="I562" i="7" s="1"/>
  <c r="AF310" i="11"/>
  <c r="H532" i="7" s="1"/>
  <c r="I532" i="7" s="1"/>
  <c r="AE310" i="11"/>
  <c r="H322" i="7" s="1"/>
  <c r="I322" i="7" s="1"/>
  <c r="AD310" i="11"/>
  <c r="AC310" i="11"/>
  <c r="H442" i="7" s="1"/>
  <c r="I442" i="7" s="1"/>
  <c r="AB310" i="11"/>
  <c r="H412" i="7" s="1"/>
  <c r="I412" i="7" s="1"/>
  <c r="AA310" i="11"/>
  <c r="H382" i="7" s="1"/>
  <c r="I382" i="7" s="1"/>
  <c r="Z310" i="11"/>
  <c r="H352" i="7" s="1"/>
  <c r="I352" i="7" s="1"/>
  <c r="Y310" i="11"/>
  <c r="H112" i="7" s="1"/>
  <c r="X310" i="11"/>
  <c r="H292" i="7" s="1"/>
  <c r="W310" i="11"/>
  <c r="H262" i="7" s="1"/>
  <c r="V310" i="11"/>
  <c r="H232" i="7" s="1"/>
  <c r="U310" i="11"/>
  <c r="H202" i="7" s="1"/>
  <c r="T310" i="11"/>
  <c r="H172" i="7" s="1"/>
  <c r="I172" i="7" s="1"/>
  <c r="S310" i="11"/>
  <c r="H142" i="7" s="1"/>
  <c r="AH308" i="11"/>
  <c r="H502" i="8" s="1"/>
  <c r="I502" i="8" s="1"/>
  <c r="AG308" i="11"/>
  <c r="H562" i="8" s="1"/>
  <c r="I562" i="8" s="1"/>
  <c r="AF308" i="11"/>
  <c r="H532" i="8" s="1"/>
  <c r="I532" i="8" s="1"/>
  <c r="AE308" i="11"/>
  <c r="H322" i="8" s="1"/>
  <c r="I322" i="8" s="1"/>
  <c r="AD308" i="11"/>
  <c r="AC308" i="11"/>
  <c r="H442" i="8" s="1"/>
  <c r="I442" i="8" s="1"/>
  <c r="AB308" i="11"/>
  <c r="H412" i="8" s="1"/>
  <c r="I412" i="8" s="1"/>
  <c r="AA308" i="11"/>
  <c r="H382" i="8" s="1"/>
  <c r="I382" i="8" s="1"/>
  <c r="Z308" i="11"/>
  <c r="H352" i="8" s="1"/>
  <c r="I352" i="8" s="1"/>
  <c r="Y308" i="11"/>
  <c r="H112" i="8" s="1"/>
  <c r="X308" i="11"/>
  <c r="H292" i="8" s="1"/>
  <c r="W308" i="11"/>
  <c r="H262" i="8" s="1"/>
  <c r="V308" i="11"/>
  <c r="H232" i="8" s="1"/>
  <c r="U308" i="11"/>
  <c r="H202" i="8" s="1"/>
  <c r="T308" i="11"/>
  <c r="H172" i="8" s="1"/>
  <c r="I172" i="8" s="1"/>
  <c r="S308" i="11"/>
  <c r="H142" i="8" s="1"/>
  <c r="AH306" i="11"/>
  <c r="F502" i="7" s="1"/>
  <c r="G502" i="7" s="1"/>
  <c r="AG306" i="11"/>
  <c r="F562" i="7" s="1"/>
  <c r="G562" i="7" s="1"/>
  <c r="AF306" i="11"/>
  <c r="F532" i="7" s="1"/>
  <c r="G532" i="7" s="1"/>
  <c r="AE306" i="11"/>
  <c r="F322" i="7" s="1"/>
  <c r="G322" i="7" s="1"/>
  <c r="AD306" i="11"/>
  <c r="AC306" i="11"/>
  <c r="F442" i="7" s="1"/>
  <c r="G442" i="7" s="1"/>
  <c r="AB306" i="11"/>
  <c r="F412" i="7" s="1"/>
  <c r="G412" i="7" s="1"/>
  <c r="AA306" i="11"/>
  <c r="F382" i="7" s="1"/>
  <c r="G382" i="7" s="1"/>
  <c r="Z306" i="11"/>
  <c r="F352" i="7" s="1"/>
  <c r="G352" i="7" s="1"/>
  <c r="Y306" i="11"/>
  <c r="F112" i="7" s="1"/>
  <c r="X306" i="11"/>
  <c r="F292" i="7" s="1"/>
  <c r="W306" i="11"/>
  <c r="F262" i="7" s="1"/>
  <c r="V306" i="11"/>
  <c r="F232" i="7" s="1"/>
  <c r="U306" i="11"/>
  <c r="F202" i="7" s="1"/>
  <c r="T306" i="11"/>
  <c r="F172" i="7" s="1"/>
  <c r="G172" i="7" s="1"/>
  <c r="S306" i="11"/>
  <c r="F142" i="7" s="1"/>
  <c r="AH304" i="11"/>
  <c r="F502" i="8" s="1"/>
  <c r="G502" i="8" s="1"/>
  <c r="AG304" i="11"/>
  <c r="F562" i="8" s="1"/>
  <c r="G562" i="8" s="1"/>
  <c r="AF304" i="11"/>
  <c r="F532" i="8" s="1"/>
  <c r="G532" i="8" s="1"/>
  <c r="AE304" i="11"/>
  <c r="F322" i="8" s="1"/>
  <c r="G322" i="8" s="1"/>
  <c r="AD304" i="11"/>
  <c r="AC304" i="11"/>
  <c r="F442" i="8" s="1"/>
  <c r="G442" i="8" s="1"/>
  <c r="AB304" i="11"/>
  <c r="F412" i="8" s="1"/>
  <c r="G412" i="8" s="1"/>
  <c r="AA304" i="11"/>
  <c r="F382" i="8" s="1"/>
  <c r="G382" i="8" s="1"/>
  <c r="Z304" i="11"/>
  <c r="F352" i="8" s="1"/>
  <c r="G352" i="8" s="1"/>
  <c r="Y304" i="11"/>
  <c r="F112" i="8" s="1"/>
  <c r="X304" i="11"/>
  <c r="F292" i="8" s="1"/>
  <c r="W304" i="11"/>
  <c r="F262" i="8" s="1"/>
  <c r="V304" i="11"/>
  <c r="F232" i="8" s="1"/>
  <c r="U304" i="11"/>
  <c r="F202" i="8" s="1"/>
  <c r="T304" i="11"/>
  <c r="F172" i="8" s="1"/>
  <c r="G172" i="8" s="1"/>
  <c r="S304" i="11"/>
  <c r="F142" i="8" s="1"/>
  <c r="AH302" i="11"/>
  <c r="D502" i="7" s="1"/>
  <c r="E502" i="7" s="1"/>
  <c r="AG302" i="11"/>
  <c r="D562" i="7" s="1"/>
  <c r="E562" i="7" s="1"/>
  <c r="AF302" i="11"/>
  <c r="D532" i="7" s="1"/>
  <c r="E532" i="7" s="1"/>
  <c r="AE302" i="11"/>
  <c r="D322" i="7" s="1"/>
  <c r="E322" i="7" s="1"/>
  <c r="AD302" i="11"/>
  <c r="AC302" i="11"/>
  <c r="D442" i="7" s="1"/>
  <c r="E442" i="7" s="1"/>
  <c r="AB302" i="11"/>
  <c r="D412" i="7" s="1"/>
  <c r="E412" i="7" s="1"/>
  <c r="AA302" i="11"/>
  <c r="D382" i="7" s="1"/>
  <c r="E382" i="7" s="1"/>
  <c r="Z302" i="11"/>
  <c r="D352" i="7" s="1"/>
  <c r="E352" i="7" s="1"/>
  <c r="Y302" i="11"/>
  <c r="D112" i="7" s="1"/>
  <c r="X302" i="11"/>
  <c r="D292" i="7" s="1"/>
  <c r="W302" i="11"/>
  <c r="D262" i="7" s="1"/>
  <c r="V302" i="11"/>
  <c r="D232" i="7" s="1"/>
  <c r="U302" i="11"/>
  <c r="D202" i="7" s="1"/>
  <c r="T302" i="11"/>
  <c r="D172" i="7" s="1"/>
  <c r="E172" i="7" s="1"/>
  <c r="S302" i="11"/>
  <c r="D142" i="7" s="1"/>
  <c r="AH300" i="11"/>
  <c r="D502" i="8" s="1"/>
  <c r="E502" i="8" s="1"/>
  <c r="AG300" i="11"/>
  <c r="D562" i="8" s="1"/>
  <c r="E562" i="8" s="1"/>
  <c r="AF300" i="11"/>
  <c r="D532" i="8" s="1"/>
  <c r="E532" i="8" s="1"/>
  <c r="AE300" i="11"/>
  <c r="D322" i="8" s="1"/>
  <c r="E322" i="8" s="1"/>
  <c r="AD300" i="11"/>
  <c r="AC300" i="11"/>
  <c r="D442" i="8" s="1"/>
  <c r="E442" i="8" s="1"/>
  <c r="AB300" i="11"/>
  <c r="D412" i="8" s="1"/>
  <c r="E412" i="8" s="1"/>
  <c r="AA300" i="11"/>
  <c r="D382" i="8" s="1"/>
  <c r="E382" i="8" s="1"/>
  <c r="Z300" i="11"/>
  <c r="D352" i="8" s="1"/>
  <c r="E352" i="8" s="1"/>
  <c r="Y300" i="11"/>
  <c r="D112" i="8" s="1"/>
  <c r="X300" i="11"/>
  <c r="D292" i="8" s="1"/>
  <c r="W300" i="11"/>
  <c r="D262" i="8" s="1"/>
  <c r="V300" i="11"/>
  <c r="D232" i="8" s="1"/>
  <c r="U300" i="11"/>
  <c r="D202" i="8" s="1"/>
  <c r="T300" i="11"/>
  <c r="D172" i="8" s="1"/>
  <c r="E172" i="8" s="1"/>
  <c r="S300" i="11"/>
  <c r="D142" i="8" s="1"/>
  <c r="AH298" i="11"/>
  <c r="B502" i="7" s="1"/>
  <c r="C502" i="7" s="1"/>
  <c r="AG298" i="11"/>
  <c r="B562" i="7" s="1"/>
  <c r="C562" i="7" s="1"/>
  <c r="AF298" i="11"/>
  <c r="B532" i="7" s="1"/>
  <c r="C532" i="7" s="1"/>
  <c r="AE298" i="11"/>
  <c r="B322" i="7" s="1"/>
  <c r="C322" i="7" s="1"/>
  <c r="AD298" i="11"/>
  <c r="AC298" i="11"/>
  <c r="B442" i="7" s="1"/>
  <c r="C442" i="7" s="1"/>
  <c r="AB298" i="11"/>
  <c r="B412" i="7" s="1"/>
  <c r="C412" i="7" s="1"/>
  <c r="AA298" i="11"/>
  <c r="B382" i="7" s="1"/>
  <c r="C382" i="7" s="1"/>
  <c r="Z298" i="11"/>
  <c r="B352" i="7" s="1"/>
  <c r="C352" i="7" s="1"/>
  <c r="Y298" i="11"/>
  <c r="B112" i="7" s="1"/>
  <c r="X298" i="11"/>
  <c r="B292" i="7" s="1"/>
  <c r="W298" i="11"/>
  <c r="B262" i="7" s="1"/>
  <c r="V298" i="11"/>
  <c r="B232" i="7" s="1"/>
  <c r="U298" i="11"/>
  <c r="B202" i="7" s="1"/>
  <c r="T298" i="11"/>
  <c r="B172" i="7" s="1"/>
  <c r="C172" i="7" s="1"/>
  <c r="S298" i="11"/>
  <c r="B142" i="7" s="1"/>
  <c r="AH296" i="11"/>
  <c r="B502" i="8" s="1"/>
  <c r="C502" i="8" s="1"/>
  <c r="AG296" i="11"/>
  <c r="B562" i="8" s="1"/>
  <c r="C562" i="8" s="1"/>
  <c r="AF296" i="11"/>
  <c r="B532" i="8" s="1"/>
  <c r="C532" i="8" s="1"/>
  <c r="AE296" i="11"/>
  <c r="B322" i="8" s="1"/>
  <c r="C322" i="8" s="1"/>
  <c r="AD296" i="11"/>
  <c r="AC296" i="11"/>
  <c r="B442" i="8" s="1"/>
  <c r="C442" i="8" s="1"/>
  <c r="AB296" i="11"/>
  <c r="B412" i="8" s="1"/>
  <c r="C412" i="8" s="1"/>
  <c r="AA296" i="11"/>
  <c r="B382" i="8" s="1"/>
  <c r="C382" i="8" s="1"/>
  <c r="Z296" i="11"/>
  <c r="B352" i="8" s="1"/>
  <c r="C352" i="8" s="1"/>
  <c r="Y296" i="11"/>
  <c r="B112" i="8" s="1"/>
  <c r="X296" i="11"/>
  <c r="B292" i="8" s="1"/>
  <c r="W296" i="11"/>
  <c r="B262" i="8" s="1"/>
  <c r="V296" i="11"/>
  <c r="B232" i="8" s="1"/>
  <c r="U296" i="11"/>
  <c r="B202" i="8" s="1"/>
  <c r="T296" i="11"/>
  <c r="B172" i="8" s="1"/>
  <c r="C172" i="8" s="1"/>
  <c r="S296" i="11"/>
  <c r="B142" i="8" s="1"/>
  <c r="AH293" i="11"/>
  <c r="AG293" i="11"/>
  <c r="AF293" i="11"/>
  <c r="AE293" i="11"/>
  <c r="AD293" i="11"/>
  <c r="AC293" i="11"/>
  <c r="AB293" i="11"/>
  <c r="AA293" i="11"/>
  <c r="Z293" i="11"/>
  <c r="Y293" i="11"/>
  <c r="X293" i="11"/>
  <c r="W293" i="11"/>
  <c r="V293" i="11"/>
  <c r="U293" i="11"/>
  <c r="T293" i="11"/>
  <c r="S293" i="11"/>
  <c r="AH291" i="11"/>
  <c r="AG291" i="11"/>
  <c r="AF291" i="11"/>
  <c r="AE291" i="11"/>
  <c r="AD291" i="11"/>
  <c r="AC291" i="11"/>
  <c r="AB291" i="11"/>
  <c r="AA291" i="11"/>
  <c r="Z291" i="11"/>
  <c r="Y291" i="11"/>
  <c r="X291" i="11"/>
  <c r="W291" i="11"/>
  <c r="V291" i="11"/>
  <c r="U291" i="11"/>
  <c r="T291" i="11"/>
  <c r="S291" i="11"/>
  <c r="AH289" i="11"/>
  <c r="L501" i="7" s="1"/>
  <c r="M501" i="7" s="1"/>
  <c r="AG289" i="11"/>
  <c r="L561" i="7" s="1"/>
  <c r="M561" i="7" s="1"/>
  <c r="AF289" i="11"/>
  <c r="L531" i="7" s="1"/>
  <c r="M531" i="7" s="1"/>
  <c r="AE289" i="11"/>
  <c r="L321" i="7" s="1"/>
  <c r="M321" i="7" s="1"/>
  <c r="AD289" i="11"/>
  <c r="AC289" i="11"/>
  <c r="L441" i="7" s="1"/>
  <c r="M441" i="7" s="1"/>
  <c r="AB289" i="11"/>
  <c r="L411" i="7" s="1"/>
  <c r="M411" i="7" s="1"/>
  <c r="AA289" i="11"/>
  <c r="L381" i="7" s="1"/>
  <c r="M381" i="7" s="1"/>
  <c r="Z289" i="11"/>
  <c r="L351" i="7" s="1"/>
  <c r="M351" i="7" s="1"/>
  <c r="Y289" i="11"/>
  <c r="X289" i="11"/>
  <c r="W289" i="11"/>
  <c r="V289" i="11"/>
  <c r="U289" i="11"/>
  <c r="T289" i="11"/>
  <c r="S289" i="11"/>
  <c r="AH287" i="11"/>
  <c r="L501" i="8" s="1"/>
  <c r="M501" i="8" s="1"/>
  <c r="AG287" i="11"/>
  <c r="L561" i="8" s="1"/>
  <c r="M561" i="8" s="1"/>
  <c r="AF287" i="11"/>
  <c r="L531" i="8" s="1"/>
  <c r="M531" i="8" s="1"/>
  <c r="AE287" i="11"/>
  <c r="L321" i="8" s="1"/>
  <c r="AD287" i="11"/>
  <c r="AC287" i="11"/>
  <c r="L441" i="8" s="1"/>
  <c r="AB287" i="11"/>
  <c r="L411" i="8" s="1"/>
  <c r="AA287" i="11"/>
  <c r="L381" i="8" s="1"/>
  <c r="Z287" i="11"/>
  <c r="L351" i="8" s="1"/>
  <c r="M351" i="8" s="1"/>
  <c r="Y287" i="11"/>
  <c r="X287" i="11"/>
  <c r="W287" i="11"/>
  <c r="V287" i="11"/>
  <c r="U287" i="11"/>
  <c r="T287" i="11"/>
  <c r="S287" i="11"/>
  <c r="AH285" i="11"/>
  <c r="J501" i="7" s="1"/>
  <c r="K501" i="7" s="1"/>
  <c r="AG285" i="11"/>
  <c r="J561" i="7" s="1"/>
  <c r="K561" i="7" s="1"/>
  <c r="AF285" i="11"/>
  <c r="J531" i="7" s="1"/>
  <c r="K531" i="7" s="1"/>
  <c r="AE285" i="11"/>
  <c r="J321" i="7" s="1"/>
  <c r="AD285" i="11"/>
  <c r="AC285" i="11"/>
  <c r="J441" i="7" s="1"/>
  <c r="AB285" i="11"/>
  <c r="J411" i="7" s="1"/>
  <c r="AA285" i="11"/>
  <c r="J381" i="7" s="1"/>
  <c r="Z285" i="11"/>
  <c r="J351" i="7" s="1"/>
  <c r="K351" i="7" s="1"/>
  <c r="Y285" i="11"/>
  <c r="J111" i="7" s="1"/>
  <c r="X285" i="11"/>
  <c r="J291" i="7" s="1"/>
  <c r="W285" i="11"/>
  <c r="J261" i="7" s="1"/>
  <c r="V285" i="11"/>
  <c r="J231" i="7" s="1"/>
  <c r="U285" i="11"/>
  <c r="J201" i="7" s="1"/>
  <c r="T285" i="11"/>
  <c r="J171" i="7" s="1"/>
  <c r="S285" i="11"/>
  <c r="J141" i="7" s="1"/>
  <c r="AH283" i="11"/>
  <c r="J501" i="8" s="1"/>
  <c r="K501" i="8" s="1"/>
  <c r="AG283" i="11"/>
  <c r="J561" i="8" s="1"/>
  <c r="K561" i="8" s="1"/>
  <c r="AF283" i="11"/>
  <c r="J531" i="8" s="1"/>
  <c r="K531" i="8" s="1"/>
  <c r="AE283" i="11"/>
  <c r="J321" i="8" s="1"/>
  <c r="K321" i="8" s="1"/>
  <c r="AD283" i="11"/>
  <c r="AC283" i="11"/>
  <c r="J441" i="8" s="1"/>
  <c r="K441" i="8" s="1"/>
  <c r="AB283" i="11"/>
  <c r="J411" i="8" s="1"/>
  <c r="K411" i="8" s="1"/>
  <c r="AA283" i="11"/>
  <c r="J381" i="8" s="1"/>
  <c r="K381" i="8" s="1"/>
  <c r="Z283" i="11"/>
  <c r="J351" i="8" s="1"/>
  <c r="K351" i="8" s="1"/>
  <c r="Y283" i="11"/>
  <c r="J111" i="8" s="1"/>
  <c r="X283" i="11"/>
  <c r="J291" i="8" s="1"/>
  <c r="W283" i="11"/>
  <c r="J261" i="8" s="1"/>
  <c r="V283" i="11"/>
  <c r="J231" i="8" s="1"/>
  <c r="U283" i="11"/>
  <c r="J201" i="8" s="1"/>
  <c r="T283" i="11"/>
  <c r="J171" i="8" s="1"/>
  <c r="S283" i="11"/>
  <c r="J141" i="8" s="1"/>
  <c r="AH281" i="11"/>
  <c r="H501" i="7" s="1"/>
  <c r="I501" i="7" s="1"/>
  <c r="AG281" i="11"/>
  <c r="H561" i="7" s="1"/>
  <c r="I561" i="7" s="1"/>
  <c r="AF281" i="11"/>
  <c r="H531" i="7" s="1"/>
  <c r="I531" i="7" s="1"/>
  <c r="AE281" i="11"/>
  <c r="H321" i="7" s="1"/>
  <c r="AD281" i="11"/>
  <c r="AC281" i="11"/>
  <c r="H441" i="7" s="1"/>
  <c r="AB281" i="11"/>
  <c r="H411" i="7" s="1"/>
  <c r="AA281" i="11"/>
  <c r="H381" i="7" s="1"/>
  <c r="I381" i="7" s="1"/>
  <c r="Z281" i="11"/>
  <c r="H351" i="7" s="1"/>
  <c r="I351" i="7" s="1"/>
  <c r="Y281" i="11"/>
  <c r="H111" i="7" s="1"/>
  <c r="X281" i="11"/>
  <c r="H291" i="7" s="1"/>
  <c r="W281" i="11"/>
  <c r="H261" i="7" s="1"/>
  <c r="V281" i="11"/>
  <c r="H231" i="7" s="1"/>
  <c r="U281" i="11"/>
  <c r="H201" i="7" s="1"/>
  <c r="T281" i="11"/>
  <c r="H171" i="7" s="1"/>
  <c r="S281" i="11"/>
  <c r="H141" i="7" s="1"/>
  <c r="AH279" i="11"/>
  <c r="H501" i="8" s="1"/>
  <c r="I501" i="8" s="1"/>
  <c r="AG279" i="11"/>
  <c r="H561" i="8" s="1"/>
  <c r="I561" i="8" s="1"/>
  <c r="AF279" i="11"/>
  <c r="H531" i="8" s="1"/>
  <c r="I531" i="8" s="1"/>
  <c r="AE279" i="11"/>
  <c r="H321" i="8" s="1"/>
  <c r="I321" i="8" s="1"/>
  <c r="AD279" i="11"/>
  <c r="AC279" i="11"/>
  <c r="H441" i="8" s="1"/>
  <c r="I441" i="8" s="1"/>
  <c r="AB279" i="11"/>
  <c r="H411" i="8" s="1"/>
  <c r="I411" i="8" s="1"/>
  <c r="AA279" i="11"/>
  <c r="H381" i="8" s="1"/>
  <c r="I381" i="8" s="1"/>
  <c r="Z279" i="11"/>
  <c r="H351" i="8" s="1"/>
  <c r="I351" i="8" s="1"/>
  <c r="Y279" i="11"/>
  <c r="H111" i="8" s="1"/>
  <c r="X279" i="11"/>
  <c r="H291" i="8" s="1"/>
  <c r="W279" i="11"/>
  <c r="H261" i="8" s="1"/>
  <c r="V279" i="11"/>
  <c r="H231" i="8" s="1"/>
  <c r="U279" i="11"/>
  <c r="H201" i="8" s="1"/>
  <c r="T279" i="11"/>
  <c r="H171" i="8" s="1"/>
  <c r="S279" i="11"/>
  <c r="H141" i="8" s="1"/>
  <c r="AH277" i="11"/>
  <c r="F501" i="7" s="1"/>
  <c r="G501" i="7" s="1"/>
  <c r="AG277" i="11"/>
  <c r="F561" i="7" s="1"/>
  <c r="G561" i="7" s="1"/>
  <c r="AF277" i="11"/>
  <c r="F531" i="7" s="1"/>
  <c r="G531" i="7" s="1"/>
  <c r="AE277" i="11"/>
  <c r="F321" i="7" s="1"/>
  <c r="G321" i="7" s="1"/>
  <c r="AD277" i="11"/>
  <c r="AC277" i="11"/>
  <c r="F441" i="7" s="1"/>
  <c r="G441" i="7" s="1"/>
  <c r="AB277" i="11"/>
  <c r="F411" i="7" s="1"/>
  <c r="G411" i="7" s="1"/>
  <c r="AA277" i="11"/>
  <c r="F381" i="7" s="1"/>
  <c r="G381" i="7" s="1"/>
  <c r="Z277" i="11"/>
  <c r="F351" i="7" s="1"/>
  <c r="G351" i="7" s="1"/>
  <c r="Y277" i="11"/>
  <c r="F111" i="7" s="1"/>
  <c r="X277" i="11"/>
  <c r="F291" i="7" s="1"/>
  <c r="W277" i="11"/>
  <c r="F261" i="7" s="1"/>
  <c r="V277" i="11"/>
  <c r="F231" i="7" s="1"/>
  <c r="U277" i="11"/>
  <c r="F201" i="7" s="1"/>
  <c r="T277" i="11"/>
  <c r="F171" i="7" s="1"/>
  <c r="S277" i="11"/>
  <c r="F141" i="7" s="1"/>
  <c r="AH275" i="11"/>
  <c r="F501" i="8" s="1"/>
  <c r="G501" i="8" s="1"/>
  <c r="AG275" i="11"/>
  <c r="F561" i="8" s="1"/>
  <c r="G561" i="8" s="1"/>
  <c r="AF275" i="11"/>
  <c r="F531" i="8" s="1"/>
  <c r="G531" i="8" s="1"/>
  <c r="AE275" i="11"/>
  <c r="F321" i="8" s="1"/>
  <c r="G321" i="8" s="1"/>
  <c r="AD275" i="11"/>
  <c r="AC275" i="11"/>
  <c r="F441" i="8" s="1"/>
  <c r="G441" i="8" s="1"/>
  <c r="AB275" i="11"/>
  <c r="F411" i="8" s="1"/>
  <c r="G411" i="8" s="1"/>
  <c r="AA275" i="11"/>
  <c r="F381" i="8" s="1"/>
  <c r="G381" i="8" s="1"/>
  <c r="Z275" i="11"/>
  <c r="F351" i="8" s="1"/>
  <c r="G351" i="8" s="1"/>
  <c r="Y275" i="11"/>
  <c r="F111" i="8" s="1"/>
  <c r="X275" i="11"/>
  <c r="F291" i="8" s="1"/>
  <c r="W275" i="11"/>
  <c r="F261" i="8" s="1"/>
  <c r="V275" i="11"/>
  <c r="F231" i="8" s="1"/>
  <c r="U275" i="11"/>
  <c r="F201" i="8" s="1"/>
  <c r="T275" i="11"/>
  <c r="F171" i="8" s="1"/>
  <c r="S275" i="11"/>
  <c r="F141" i="8" s="1"/>
  <c r="AH273" i="11"/>
  <c r="D501" i="7" s="1"/>
  <c r="E501" i="7" s="1"/>
  <c r="AG273" i="11"/>
  <c r="D561" i="7" s="1"/>
  <c r="E561" i="7" s="1"/>
  <c r="AF273" i="11"/>
  <c r="D531" i="7" s="1"/>
  <c r="E531" i="7" s="1"/>
  <c r="AE273" i="11"/>
  <c r="D321" i="7" s="1"/>
  <c r="E321" i="7" s="1"/>
  <c r="AD273" i="11"/>
  <c r="AC273" i="11"/>
  <c r="D441" i="7" s="1"/>
  <c r="E441" i="7" s="1"/>
  <c r="AB273" i="11"/>
  <c r="D411" i="7" s="1"/>
  <c r="E411" i="7" s="1"/>
  <c r="AA273" i="11"/>
  <c r="D381" i="7" s="1"/>
  <c r="E381" i="7" s="1"/>
  <c r="Z273" i="11"/>
  <c r="D351" i="7" s="1"/>
  <c r="E351" i="7" s="1"/>
  <c r="Y273" i="11"/>
  <c r="D111" i="7" s="1"/>
  <c r="X273" i="11"/>
  <c r="D291" i="7" s="1"/>
  <c r="W273" i="11"/>
  <c r="D261" i="7" s="1"/>
  <c r="V273" i="11"/>
  <c r="D231" i="7" s="1"/>
  <c r="U273" i="11"/>
  <c r="D201" i="7" s="1"/>
  <c r="T273" i="11"/>
  <c r="D171" i="7" s="1"/>
  <c r="S273" i="11"/>
  <c r="D141" i="7" s="1"/>
  <c r="AH271" i="11"/>
  <c r="D501" i="8" s="1"/>
  <c r="E501" i="8" s="1"/>
  <c r="AG271" i="11"/>
  <c r="D561" i="8" s="1"/>
  <c r="E561" i="8" s="1"/>
  <c r="AF271" i="11"/>
  <c r="D531" i="8" s="1"/>
  <c r="E531" i="8" s="1"/>
  <c r="AE271" i="11"/>
  <c r="D321" i="8" s="1"/>
  <c r="E321" i="8" s="1"/>
  <c r="AD271" i="11"/>
  <c r="AC271" i="11"/>
  <c r="D441" i="8" s="1"/>
  <c r="E441" i="8" s="1"/>
  <c r="AB271" i="11"/>
  <c r="D411" i="8" s="1"/>
  <c r="E411" i="8" s="1"/>
  <c r="AA271" i="11"/>
  <c r="D381" i="8" s="1"/>
  <c r="E381" i="8" s="1"/>
  <c r="Z271" i="11"/>
  <c r="D351" i="8" s="1"/>
  <c r="E351" i="8" s="1"/>
  <c r="Y271" i="11"/>
  <c r="D111" i="8" s="1"/>
  <c r="X271" i="11"/>
  <c r="D291" i="8" s="1"/>
  <c r="W271" i="11"/>
  <c r="D261" i="8" s="1"/>
  <c r="V271" i="11"/>
  <c r="D231" i="8" s="1"/>
  <c r="U271" i="11"/>
  <c r="D201" i="8" s="1"/>
  <c r="T271" i="11"/>
  <c r="D171" i="8" s="1"/>
  <c r="S271" i="11"/>
  <c r="D141" i="8" s="1"/>
  <c r="AH269" i="11"/>
  <c r="B501" i="7" s="1"/>
  <c r="C501" i="7" s="1"/>
  <c r="AG269" i="11"/>
  <c r="B561" i="7" s="1"/>
  <c r="C561" i="7" s="1"/>
  <c r="AF269" i="11"/>
  <c r="B531" i="7" s="1"/>
  <c r="C531" i="7" s="1"/>
  <c r="AE269" i="11"/>
  <c r="B321" i="7" s="1"/>
  <c r="C321" i="7" s="1"/>
  <c r="AD269" i="11"/>
  <c r="AC269" i="11"/>
  <c r="B441" i="7" s="1"/>
  <c r="C441" i="7" s="1"/>
  <c r="AB269" i="11"/>
  <c r="B411" i="7" s="1"/>
  <c r="C411" i="7" s="1"/>
  <c r="AA269" i="11"/>
  <c r="B381" i="7" s="1"/>
  <c r="C381" i="7" s="1"/>
  <c r="Z269" i="11"/>
  <c r="B351" i="7" s="1"/>
  <c r="C351" i="7" s="1"/>
  <c r="Y269" i="11"/>
  <c r="B111" i="7" s="1"/>
  <c r="X269" i="11"/>
  <c r="B291" i="7" s="1"/>
  <c r="W269" i="11"/>
  <c r="B261" i="7" s="1"/>
  <c r="V269" i="11"/>
  <c r="B231" i="7" s="1"/>
  <c r="U269" i="11"/>
  <c r="B201" i="7" s="1"/>
  <c r="T269" i="11"/>
  <c r="B171" i="7" s="1"/>
  <c r="S269" i="11"/>
  <c r="B141" i="7" s="1"/>
  <c r="AH267" i="11"/>
  <c r="B501" i="8" s="1"/>
  <c r="C501" i="8" s="1"/>
  <c r="AG267" i="11"/>
  <c r="B561" i="8" s="1"/>
  <c r="C561" i="8" s="1"/>
  <c r="AF267" i="11"/>
  <c r="B531" i="8" s="1"/>
  <c r="C531" i="8" s="1"/>
  <c r="AE267" i="11"/>
  <c r="B321" i="8" s="1"/>
  <c r="C321" i="8" s="1"/>
  <c r="AD267" i="11"/>
  <c r="AC267" i="11"/>
  <c r="B441" i="8" s="1"/>
  <c r="C441" i="8" s="1"/>
  <c r="AB267" i="11"/>
  <c r="B411" i="8" s="1"/>
  <c r="C411" i="8" s="1"/>
  <c r="AA267" i="11"/>
  <c r="B381" i="8" s="1"/>
  <c r="C381" i="8" s="1"/>
  <c r="Z267" i="11"/>
  <c r="B351" i="8" s="1"/>
  <c r="C351" i="8" s="1"/>
  <c r="Y267" i="11"/>
  <c r="B111" i="8" s="1"/>
  <c r="X267" i="11"/>
  <c r="B291" i="8" s="1"/>
  <c r="W267" i="11"/>
  <c r="B261" i="8" s="1"/>
  <c r="V267" i="11"/>
  <c r="B231" i="8" s="1"/>
  <c r="U267" i="11"/>
  <c r="B201" i="8" s="1"/>
  <c r="T267" i="11"/>
  <c r="B171" i="8" s="1"/>
  <c r="S267" i="11"/>
  <c r="B141" i="8" s="1"/>
  <c r="AH264" i="11"/>
  <c r="AG264" i="11"/>
  <c r="AF264" i="11"/>
  <c r="AE264" i="11"/>
  <c r="AD264" i="11"/>
  <c r="AC264" i="11"/>
  <c r="AB264" i="11"/>
  <c r="AA264" i="11"/>
  <c r="Z264" i="11"/>
  <c r="Y264" i="11"/>
  <c r="X264" i="11"/>
  <c r="W264" i="11"/>
  <c r="V264" i="11"/>
  <c r="U264" i="11"/>
  <c r="T264" i="11"/>
  <c r="S264" i="11"/>
  <c r="AH262" i="11"/>
  <c r="AG262" i="11"/>
  <c r="AF262" i="11"/>
  <c r="AE262" i="11"/>
  <c r="AD262" i="11"/>
  <c r="AC262" i="11"/>
  <c r="AB262" i="11"/>
  <c r="AA262" i="11"/>
  <c r="Z262" i="11"/>
  <c r="Y262" i="11"/>
  <c r="X262" i="11"/>
  <c r="W262" i="11"/>
  <c r="V262" i="11"/>
  <c r="U262" i="11"/>
  <c r="T262" i="11"/>
  <c r="S262" i="11"/>
  <c r="AH260" i="11"/>
  <c r="L500" i="7" s="1"/>
  <c r="M500" i="7" s="1"/>
  <c r="AG260" i="11"/>
  <c r="L560" i="7" s="1"/>
  <c r="M560" i="7" s="1"/>
  <c r="AF260" i="11"/>
  <c r="L530" i="7" s="1"/>
  <c r="M530" i="7" s="1"/>
  <c r="AE260" i="11"/>
  <c r="L320" i="7" s="1"/>
  <c r="AD260" i="11"/>
  <c r="AC260" i="11"/>
  <c r="L440" i="7" s="1"/>
  <c r="AB260" i="11"/>
  <c r="L410" i="7" s="1"/>
  <c r="AA260" i="11"/>
  <c r="L380" i="7" s="1"/>
  <c r="Z260" i="11"/>
  <c r="L350" i="7" s="1"/>
  <c r="M350" i="7" s="1"/>
  <c r="Y260" i="11"/>
  <c r="X260" i="11"/>
  <c r="W260" i="11"/>
  <c r="V260" i="11"/>
  <c r="U260" i="11"/>
  <c r="T260" i="11"/>
  <c r="S260" i="11"/>
  <c r="AH258" i="11"/>
  <c r="L500" i="8" s="1"/>
  <c r="M500" i="8" s="1"/>
  <c r="AG258" i="11"/>
  <c r="L560" i="8" s="1"/>
  <c r="M560" i="8" s="1"/>
  <c r="AF258" i="11"/>
  <c r="L530" i="8" s="1"/>
  <c r="M530" i="8" s="1"/>
  <c r="AE258" i="11"/>
  <c r="L320" i="8" s="1"/>
  <c r="AD258" i="11"/>
  <c r="AC258" i="11"/>
  <c r="L440" i="8" s="1"/>
  <c r="AB258" i="11"/>
  <c r="L410" i="8" s="1"/>
  <c r="AA258" i="11"/>
  <c r="L380" i="8" s="1"/>
  <c r="Z258" i="11"/>
  <c r="L350" i="8" s="1"/>
  <c r="M350" i="8" s="1"/>
  <c r="Y258" i="11"/>
  <c r="X258" i="11"/>
  <c r="W258" i="11"/>
  <c r="V258" i="11"/>
  <c r="U258" i="11"/>
  <c r="T258" i="11"/>
  <c r="S258" i="11"/>
  <c r="AH256" i="11"/>
  <c r="J500" i="7" s="1"/>
  <c r="K500" i="7" s="1"/>
  <c r="AG256" i="11"/>
  <c r="J560" i="7" s="1"/>
  <c r="K560" i="7" s="1"/>
  <c r="AF256" i="11"/>
  <c r="J530" i="7" s="1"/>
  <c r="K530" i="7" s="1"/>
  <c r="AE256" i="11"/>
  <c r="J320" i="7" s="1"/>
  <c r="K320" i="7" s="1"/>
  <c r="AD256" i="11"/>
  <c r="AC256" i="11"/>
  <c r="J440" i="7" s="1"/>
  <c r="K440" i="7" s="1"/>
  <c r="AB256" i="11"/>
  <c r="J410" i="7" s="1"/>
  <c r="K410" i="7" s="1"/>
  <c r="AA256" i="11"/>
  <c r="J380" i="7" s="1"/>
  <c r="K380" i="7" s="1"/>
  <c r="Z256" i="11"/>
  <c r="J350" i="7" s="1"/>
  <c r="K350" i="7" s="1"/>
  <c r="Y256" i="11"/>
  <c r="J110" i="7" s="1"/>
  <c r="X256" i="11"/>
  <c r="J290" i="7" s="1"/>
  <c r="K290" i="7" s="1"/>
  <c r="W256" i="11"/>
  <c r="J260" i="7" s="1"/>
  <c r="K260" i="7" s="1"/>
  <c r="V256" i="11"/>
  <c r="J230" i="7" s="1"/>
  <c r="K230" i="7" s="1"/>
  <c r="U256" i="11"/>
  <c r="J200" i="7" s="1"/>
  <c r="K200" i="7" s="1"/>
  <c r="T256" i="11"/>
  <c r="J170" i="7" s="1"/>
  <c r="S256" i="11"/>
  <c r="J140" i="7" s="1"/>
  <c r="AH254" i="11"/>
  <c r="J500" i="8" s="1"/>
  <c r="K500" i="8" s="1"/>
  <c r="AG254" i="11"/>
  <c r="J560" i="8" s="1"/>
  <c r="K560" i="8" s="1"/>
  <c r="AF254" i="11"/>
  <c r="J530" i="8" s="1"/>
  <c r="K530" i="8" s="1"/>
  <c r="AE254" i="11"/>
  <c r="J320" i="8" s="1"/>
  <c r="K320" i="8" s="1"/>
  <c r="AD254" i="11"/>
  <c r="AC254" i="11"/>
  <c r="J440" i="8" s="1"/>
  <c r="K440" i="8" s="1"/>
  <c r="AB254" i="11"/>
  <c r="J410" i="8" s="1"/>
  <c r="K410" i="8" s="1"/>
  <c r="AA254" i="11"/>
  <c r="J380" i="8" s="1"/>
  <c r="K380" i="8" s="1"/>
  <c r="Z254" i="11"/>
  <c r="J350" i="8" s="1"/>
  <c r="K350" i="8" s="1"/>
  <c r="Y254" i="11"/>
  <c r="J110" i="8" s="1"/>
  <c r="X254" i="11"/>
  <c r="J290" i="8" s="1"/>
  <c r="K290" i="8" s="1"/>
  <c r="W254" i="11"/>
  <c r="J260" i="8" s="1"/>
  <c r="K260" i="8" s="1"/>
  <c r="V254" i="11"/>
  <c r="J230" i="8" s="1"/>
  <c r="K230" i="8" s="1"/>
  <c r="U254" i="11"/>
  <c r="J200" i="8" s="1"/>
  <c r="K200" i="8" s="1"/>
  <c r="T254" i="11"/>
  <c r="J170" i="8" s="1"/>
  <c r="S254" i="11"/>
  <c r="J140" i="8" s="1"/>
  <c r="AH252" i="11"/>
  <c r="H500" i="7" s="1"/>
  <c r="I500" i="7" s="1"/>
  <c r="AG252" i="11"/>
  <c r="H560" i="7" s="1"/>
  <c r="I560" i="7" s="1"/>
  <c r="AF252" i="11"/>
  <c r="H530" i="7" s="1"/>
  <c r="I530" i="7" s="1"/>
  <c r="AE252" i="11"/>
  <c r="H320" i="7" s="1"/>
  <c r="I320" i="7" s="1"/>
  <c r="AD252" i="11"/>
  <c r="AC252" i="11"/>
  <c r="H440" i="7" s="1"/>
  <c r="I440" i="7" s="1"/>
  <c r="AB252" i="11"/>
  <c r="H410" i="7" s="1"/>
  <c r="I410" i="7" s="1"/>
  <c r="AA252" i="11"/>
  <c r="H380" i="7" s="1"/>
  <c r="I380" i="7" s="1"/>
  <c r="Z252" i="11"/>
  <c r="H350" i="7" s="1"/>
  <c r="I350" i="7" s="1"/>
  <c r="Y252" i="11"/>
  <c r="H110" i="7" s="1"/>
  <c r="X252" i="11"/>
  <c r="H290" i="7" s="1"/>
  <c r="I290" i="7" s="1"/>
  <c r="W252" i="11"/>
  <c r="H260" i="7" s="1"/>
  <c r="V252" i="11"/>
  <c r="H230" i="7" s="1"/>
  <c r="U252" i="11"/>
  <c r="H200" i="7" s="1"/>
  <c r="I200" i="7" s="1"/>
  <c r="T252" i="11"/>
  <c r="H170" i="7" s="1"/>
  <c r="S252" i="11"/>
  <c r="H140" i="7" s="1"/>
  <c r="AH250" i="11"/>
  <c r="H500" i="8" s="1"/>
  <c r="I500" i="8" s="1"/>
  <c r="AG250" i="11"/>
  <c r="H560" i="8" s="1"/>
  <c r="I560" i="8" s="1"/>
  <c r="AF250" i="11"/>
  <c r="H530" i="8" s="1"/>
  <c r="I530" i="8" s="1"/>
  <c r="AE250" i="11"/>
  <c r="H320" i="8" s="1"/>
  <c r="I320" i="8" s="1"/>
  <c r="AD250" i="11"/>
  <c r="AC250" i="11"/>
  <c r="H440" i="8" s="1"/>
  <c r="I440" i="8" s="1"/>
  <c r="AB250" i="11"/>
  <c r="H410" i="8" s="1"/>
  <c r="I410" i="8" s="1"/>
  <c r="AA250" i="11"/>
  <c r="H380" i="8" s="1"/>
  <c r="I380" i="8" s="1"/>
  <c r="Z250" i="11"/>
  <c r="H350" i="8" s="1"/>
  <c r="I350" i="8" s="1"/>
  <c r="Y250" i="11"/>
  <c r="H110" i="8" s="1"/>
  <c r="X250" i="11"/>
  <c r="H290" i="8" s="1"/>
  <c r="I290" i="8" s="1"/>
  <c r="W250" i="11"/>
  <c r="H260" i="8" s="1"/>
  <c r="V250" i="11"/>
  <c r="H230" i="8" s="1"/>
  <c r="U250" i="11"/>
  <c r="H200" i="8" s="1"/>
  <c r="I200" i="8" s="1"/>
  <c r="T250" i="11"/>
  <c r="H170" i="8" s="1"/>
  <c r="S250" i="11"/>
  <c r="H140" i="8" s="1"/>
  <c r="AH248" i="11"/>
  <c r="F500" i="7" s="1"/>
  <c r="G500" i="7" s="1"/>
  <c r="AG248" i="11"/>
  <c r="F560" i="7" s="1"/>
  <c r="G560" i="7" s="1"/>
  <c r="AF248" i="11"/>
  <c r="F530" i="7" s="1"/>
  <c r="G530" i="7" s="1"/>
  <c r="AE248" i="11"/>
  <c r="F320" i="7" s="1"/>
  <c r="G320" i="7" s="1"/>
  <c r="AD248" i="11"/>
  <c r="AC248" i="11"/>
  <c r="F440" i="7" s="1"/>
  <c r="G440" i="7" s="1"/>
  <c r="AB248" i="11"/>
  <c r="F410" i="7" s="1"/>
  <c r="G410" i="7" s="1"/>
  <c r="AA248" i="11"/>
  <c r="F380" i="7" s="1"/>
  <c r="G380" i="7" s="1"/>
  <c r="Z248" i="11"/>
  <c r="F350" i="7" s="1"/>
  <c r="G350" i="7" s="1"/>
  <c r="Y248" i="11"/>
  <c r="F110" i="7" s="1"/>
  <c r="X248" i="11"/>
  <c r="F290" i="7" s="1"/>
  <c r="G290" i="7" s="1"/>
  <c r="W248" i="11"/>
  <c r="F260" i="7" s="1"/>
  <c r="V248" i="11"/>
  <c r="F230" i="7" s="1"/>
  <c r="U248" i="11"/>
  <c r="F200" i="7" s="1"/>
  <c r="G200" i="7" s="1"/>
  <c r="T248" i="11"/>
  <c r="F170" i="7" s="1"/>
  <c r="S248" i="11"/>
  <c r="F140" i="7" s="1"/>
  <c r="AH246" i="11"/>
  <c r="F500" i="8" s="1"/>
  <c r="G500" i="8" s="1"/>
  <c r="AG246" i="11"/>
  <c r="F560" i="8" s="1"/>
  <c r="G560" i="8" s="1"/>
  <c r="AF246" i="11"/>
  <c r="F530" i="8" s="1"/>
  <c r="G530" i="8" s="1"/>
  <c r="AE246" i="11"/>
  <c r="F320" i="8" s="1"/>
  <c r="G320" i="8" s="1"/>
  <c r="AD246" i="11"/>
  <c r="AC246" i="11"/>
  <c r="F440" i="8" s="1"/>
  <c r="G440" i="8" s="1"/>
  <c r="AB246" i="11"/>
  <c r="F410" i="8" s="1"/>
  <c r="G410" i="8" s="1"/>
  <c r="AA246" i="11"/>
  <c r="F380" i="8" s="1"/>
  <c r="G380" i="8" s="1"/>
  <c r="Z246" i="11"/>
  <c r="F350" i="8" s="1"/>
  <c r="G350" i="8" s="1"/>
  <c r="Y246" i="11"/>
  <c r="F110" i="8" s="1"/>
  <c r="X246" i="11"/>
  <c r="F290" i="8" s="1"/>
  <c r="G290" i="8" s="1"/>
  <c r="W246" i="11"/>
  <c r="F260" i="8" s="1"/>
  <c r="V246" i="11"/>
  <c r="F230" i="8" s="1"/>
  <c r="U246" i="11"/>
  <c r="F200" i="8" s="1"/>
  <c r="G200" i="8" s="1"/>
  <c r="T246" i="11"/>
  <c r="F170" i="8" s="1"/>
  <c r="S246" i="11"/>
  <c r="F140" i="8" s="1"/>
  <c r="AH244" i="11"/>
  <c r="D500" i="7" s="1"/>
  <c r="E500" i="7" s="1"/>
  <c r="AG244" i="11"/>
  <c r="D560" i="7" s="1"/>
  <c r="E560" i="7" s="1"/>
  <c r="AF244" i="11"/>
  <c r="D530" i="7" s="1"/>
  <c r="E530" i="7" s="1"/>
  <c r="AE244" i="11"/>
  <c r="D320" i="7" s="1"/>
  <c r="E320" i="7" s="1"/>
  <c r="AD244" i="11"/>
  <c r="AC244" i="11"/>
  <c r="D440" i="7" s="1"/>
  <c r="E440" i="7" s="1"/>
  <c r="AB244" i="11"/>
  <c r="D410" i="7" s="1"/>
  <c r="E410" i="7" s="1"/>
  <c r="AA244" i="11"/>
  <c r="D380" i="7" s="1"/>
  <c r="E380" i="7" s="1"/>
  <c r="Z244" i="11"/>
  <c r="D350" i="7" s="1"/>
  <c r="E350" i="7" s="1"/>
  <c r="Y244" i="11"/>
  <c r="D110" i="7" s="1"/>
  <c r="X244" i="11"/>
  <c r="D290" i="7" s="1"/>
  <c r="E290" i="7" s="1"/>
  <c r="W244" i="11"/>
  <c r="D260" i="7" s="1"/>
  <c r="V244" i="11"/>
  <c r="D230" i="7" s="1"/>
  <c r="U244" i="11"/>
  <c r="D200" i="7" s="1"/>
  <c r="E200" i="7" s="1"/>
  <c r="T244" i="11"/>
  <c r="D170" i="7" s="1"/>
  <c r="S244" i="11"/>
  <c r="D140" i="7" s="1"/>
  <c r="AH242" i="11"/>
  <c r="D500" i="8" s="1"/>
  <c r="E500" i="8" s="1"/>
  <c r="AG242" i="11"/>
  <c r="D560" i="8" s="1"/>
  <c r="E560" i="8" s="1"/>
  <c r="AF242" i="11"/>
  <c r="D530" i="8" s="1"/>
  <c r="E530" i="8" s="1"/>
  <c r="AE242" i="11"/>
  <c r="D320" i="8" s="1"/>
  <c r="E320" i="8" s="1"/>
  <c r="AD242" i="11"/>
  <c r="AC242" i="11"/>
  <c r="D440" i="8" s="1"/>
  <c r="E440" i="8" s="1"/>
  <c r="AB242" i="11"/>
  <c r="D410" i="8" s="1"/>
  <c r="E410" i="8" s="1"/>
  <c r="AA242" i="11"/>
  <c r="D380" i="8" s="1"/>
  <c r="E380" i="8" s="1"/>
  <c r="Z242" i="11"/>
  <c r="D350" i="8" s="1"/>
  <c r="E350" i="8" s="1"/>
  <c r="Y242" i="11"/>
  <c r="D110" i="8" s="1"/>
  <c r="X242" i="11"/>
  <c r="D290" i="8" s="1"/>
  <c r="E290" i="8" s="1"/>
  <c r="W242" i="11"/>
  <c r="D260" i="8" s="1"/>
  <c r="V242" i="11"/>
  <c r="D230" i="8" s="1"/>
  <c r="U242" i="11"/>
  <c r="D200" i="8" s="1"/>
  <c r="E200" i="8" s="1"/>
  <c r="T242" i="11"/>
  <c r="D170" i="8" s="1"/>
  <c r="S242" i="11"/>
  <c r="D140" i="8" s="1"/>
  <c r="AH240" i="11"/>
  <c r="B500" i="7" s="1"/>
  <c r="C500" i="7" s="1"/>
  <c r="AG240" i="11"/>
  <c r="B560" i="7" s="1"/>
  <c r="C560" i="7" s="1"/>
  <c r="AF240" i="11"/>
  <c r="B530" i="7" s="1"/>
  <c r="C530" i="7" s="1"/>
  <c r="AE240" i="11"/>
  <c r="B320" i="7" s="1"/>
  <c r="C320" i="7" s="1"/>
  <c r="AD240" i="11"/>
  <c r="AC240" i="11"/>
  <c r="B440" i="7" s="1"/>
  <c r="C440" i="7" s="1"/>
  <c r="AB240" i="11"/>
  <c r="B410" i="7" s="1"/>
  <c r="C410" i="7" s="1"/>
  <c r="AA240" i="11"/>
  <c r="B380" i="7" s="1"/>
  <c r="C380" i="7" s="1"/>
  <c r="Z240" i="11"/>
  <c r="B350" i="7" s="1"/>
  <c r="C350" i="7" s="1"/>
  <c r="Y240" i="11"/>
  <c r="B110" i="7" s="1"/>
  <c r="X240" i="11"/>
  <c r="B290" i="7" s="1"/>
  <c r="C290" i="7" s="1"/>
  <c r="W240" i="11"/>
  <c r="B260" i="7" s="1"/>
  <c r="V240" i="11"/>
  <c r="B230" i="7" s="1"/>
  <c r="U240" i="11"/>
  <c r="B200" i="7" s="1"/>
  <c r="C200" i="7" s="1"/>
  <c r="T240" i="11"/>
  <c r="B170" i="7" s="1"/>
  <c r="S240" i="11"/>
  <c r="B140" i="7" s="1"/>
  <c r="AH238" i="11"/>
  <c r="B500" i="8" s="1"/>
  <c r="C500" i="8" s="1"/>
  <c r="AG238" i="11"/>
  <c r="B560" i="8" s="1"/>
  <c r="C560" i="8" s="1"/>
  <c r="AF238" i="11"/>
  <c r="B530" i="8" s="1"/>
  <c r="C530" i="8" s="1"/>
  <c r="AE238" i="11"/>
  <c r="B320" i="8" s="1"/>
  <c r="C320" i="8" s="1"/>
  <c r="AD238" i="11"/>
  <c r="AC238" i="11"/>
  <c r="B440" i="8" s="1"/>
  <c r="C440" i="8" s="1"/>
  <c r="AB238" i="11"/>
  <c r="B410" i="8" s="1"/>
  <c r="C410" i="8" s="1"/>
  <c r="AA238" i="11"/>
  <c r="B380" i="8" s="1"/>
  <c r="C380" i="8" s="1"/>
  <c r="Z238" i="11"/>
  <c r="B350" i="8" s="1"/>
  <c r="C350" i="8" s="1"/>
  <c r="Y238" i="11"/>
  <c r="B110" i="8" s="1"/>
  <c r="X238" i="11"/>
  <c r="B290" i="8" s="1"/>
  <c r="C290" i="8" s="1"/>
  <c r="W238" i="11"/>
  <c r="B260" i="8" s="1"/>
  <c r="V238" i="11"/>
  <c r="B230" i="8" s="1"/>
  <c r="U238" i="11"/>
  <c r="B200" i="8" s="1"/>
  <c r="C200" i="8" s="1"/>
  <c r="T238" i="11"/>
  <c r="B170" i="8" s="1"/>
  <c r="S238" i="11"/>
  <c r="B140" i="8" s="1"/>
  <c r="AH235" i="11"/>
  <c r="AG235" i="11"/>
  <c r="AF235" i="11"/>
  <c r="AE235" i="11"/>
  <c r="AD235" i="11"/>
  <c r="AC235" i="11"/>
  <c r="AB235" i="11"/>
  <c r="AA235" i="11"/>
  <c r="Z235" i="11"/>
  <c r="Y235" i="11"/>
  <c r="X235" i="11"/>
  <c r="W235" i="11"/>
  <c r="V235" i="11"/>
  <c r="U235" i="11"/>
  <c r="T235" i="11"/>
  <c r="S235" i="11"/>
  <c r="AH233" i="11"/>
  <c r="AG233" i="11"/>
  <c r="AF233" i="11"/>
  <c r="AE233" i="11"/>
  <c r="AD233" i="11"/>
  <c r="AC233" i="11"/>
  <c r="AB233" i="11"/>
  <c r="AA233" i="11"/>
  <c r="Z233" i="11"/>
  <c r="Y233" i="11"/>
  <c r="X233" i="11"/>
  <c r="W233" i="11"/>
  <c r="V233" i="11"/>
  <c r="U233" i="11"/>
  <c r="T233" i="11"/>
  <c r="S233" i="11"/>
  <c r="AH231" i="11"/>
  <c r="L498" i="7" s="1"/>
  <c r="M498" i="7" s="1"/>
  <c r="AG231" i="11"/>
  <c r="L558" i="7" s="1"/>
  <c r="M558" i="7" s="1"/>
  <c r="AF231" i="11"/>
  <c r="L528" i="7" s="1"/>
  <c r="M528" i="7" s="1"/>
  <c r="AE231" i="11"/>
  <c r="L318" i="7" s="1"/>
  <c r="M318" i="7" s="1"/>
  <c r="AD231" i="11"/>
  <c r="AC231" i="11"/>
  <c r="L438" i="7" s="1"/>
  <c r="M438" i="7" s="1"/>
  <c r="AB231" i="11"/>
  <c r="L408" i="7" s="1"/>
  <c r="M408" i="7" s="1"/>
  <c r="AA231" i="11"/>
  <c r="L378" i="7" s="1"/>
  <c r="M378" i="7" s="1"/>
  <c r="Z231" i="11"/>
  <c r="L348" i="7" s="1"/>
  <c r="M348" i="7" s="1"/>
  <c r="Y231" i="11"/>
  <c r="X231" i="11"/>
  <c r="W231" i="11"/>
  <c r="V231" i="11"/>
  <c r="U231" i="11"/>
  <c r="T231" i="11"/>
  <c r="S231" i="11"/>
  <c r="AH229" i="11"/>
  <c r="L498" i="8" s="1"/>
  <c r="M498" i="8" s="1"/>
  <c r="AG229" i="11"/>
  <c r="L558" i="8" s="1"/>
  <c r="M558" i="8" s="1"/>
  <c r="AF229" i="11"/>
  <c r="L528" i="8" s="1"/>
  <c r="M528" i="8" s="1"/>
  <c r="AE229" i="11"/>
  <c r="L318" i="8" s="1"/>
  <c r="M318" i="8" s="1"/>
  <c r="AD229" i="11"/>
  <c r="AC229" i="11"/>
  <c r="L438" i="8" s="1"/>
  <c r="M438" i="8" s="1"/>
  <c r="AB229" i="11"/>
  <c r="L408" i="8" s="1"/>
  <c r="M408" i="8" s="1"/>
  <c r="AA229" i="11"/>
  <c r="L378" i="8" s="1"/>
  <c r="M378" i="8" s="1"/>
  <c r="Z229" i="11"/>
  <c r="L348" i="8" s="1"/>
  <c r="M348" i="8" s="1"/>
  <c r="Y229" i="11"/>
  <c r="X229" i="11"/>
  <c r="W229" i="11"/>
  <c r="V229" i="11"/>
  <c r="U229" i="11"/>
  <c r="T229" i="11"/>
  <c r="S229" i="11"/>
  <c r="AH227" i="11"/>
  <c r="J498" i="7" s="1"/>
  <c r="K498" i="7" s="1"/>
  <c r="AG227" i="11"/>
  <c r="J558" i="7" s="1"/>
  <c r="K558" i="7" s="1"/>
  <c r="AF227" i="11"/>
  <c r="J528" i="7" s="1"/>
  <c r="K528" i="7" s="1"/>
  <c r="AE227" i="11"/>
  <c r="J318" i="7" s="1"/>
  <c r="AD227" i="11"/>
  <c r="AC227" i="11"/>
  <c r="J438" i="7" s="1"/>
  <c r="AB227" i="11"/>
  <c r="J408" i="7" s="1"/>
  <c r="AA227" i="11"/>
  <c r="J378" i="7" s="1"/>
  <c r="Z227" i="11"/>
  <c r="J348" i="7" s="1"/>
  <c r="K348" i="7" s="1"/>
  <c r="Y227" i="11"/>
  <c r="J108" i="7" s="1"/>
  <c r="X227" i="11"/>
  <c r="J288" i="7" s="1"/>
  <c r="W227" i="11"/>
  <c r="J258" i="7" s="1"/>
  <c r="V227" i="11"/>
  <c r="J228" i="7" s="1"/>
  <c r="U227" i="11"/>
  <c r="J198" i="7" s="1"/>
  <c r="T227" i="11"/>
  <c r="J168" i="7" s="1"/>
  <c r="S227" i="11"/>
  <c r="J138" i="7" s="1"/>
  <c r="AH225" i="11"/>
  <c r="J498" i="8" s="1"/>
  <c r="K498" i="8" s="1"/>
  <c r="AG225" i="11"/>
  <c r="J558" i="8" s="1"/>
  <c r="K558" i="8" s="1"/>
  <c r="AF225" i="11"/>
  <c r="J528" i="8" s="1"/>
  <c r="K528" i="8" s="1"/>
  <c r="AE225" i="11"/>
  <c r="J318" i="8" s="1"/>
  <c r="AD225" i="11"/>
  <c r="AC225" i="11"/>
  <c r="J438" i="8" s="1"/>
  <c r="AB225" i="11"/>
  <c r="J408" i="8" s="1"/>
  <c r="AA225" i="11"/>
  <c r="J378" i="8" s="1"/>
  <c r="Z225" i="11"/>
  <c r="J348" i="8" s="1"/>
  <c r="K348" i="8" s="1"/>
  <c r="Y225" i="11"/>
  <c r="J108" i="8" s="1"/>
  <c r="X225" i="11"/>
  <c r="J288" i="8" s="1"/>
  <c r="K288" i="8" s="1"/>
  <c r="W225" i="11"/>
  <c r="J258" i="8" s="1"/>
  <c r="V225" i="11"/>
  <c r="J228" i="8" s="1"/>
  <c r="U225" i="11"/>
  <c r="J198" i="8" s="1"/>
  <c r="T225" i="11"/>
  <c r="J168" i="8" s="1"/>
  <c r="S225" i="11"/>
  <c r="J138" i="8" s="1"/>
  <c r="AH223" i="11"/>
  <c r="H498" i="7" s="1"/>
  <c r="I498" i="7" s="1"/>
  <c r="AG223" i="11"/>
  <c r="H558" i="7" s="1"/>
  <c r="I558" i="7" s="1"/>
  <c r="AF223" i="11"/>
  <c r="H528" i="7" s="1"/>
  <c r="I528" i="7" s="1"/>
  <c r="AE223" i="11"/>
  <c r="H318" i="7" s="1"/>
  <c r="AD223" i="11"/>
  <c r="AC223" i="11"/>
  <c r="H438" i="7" s="1"/>
  <c r="AB223" i="11"/>
  <c r="H408" i="7" s="1"/>
  <c r="AA223" i="11"/>
  <c r="H378" i="7" s="1"/>
  <c r="Z223" i="11"/>
  <c r="H348" i="7" s="1"/>
  <c r="I348" i="7" s="1"/>
  <c r="Y223" i="11"/>
  <c r="H108" i="7" s="1"/>
  <c r="X223" i="11"/>
  <c r="H288" i="7" s="1"/>
  <c r="W223" i="11"/>
  <c r="H258" i="7" s="1"/>
  <c r="V223" i="11"/>
  <c r="H228" i="7" s="1"/>
  <c r="U223" i="11"/>
  <c r="H198" i="7" s="1"/>
  <c r="T223" i="11"/>
  <c r="H168" i="7" s="1"/>
  <c r="S223" i="11"/>
  <c r="H138" i="7" s="1"/>
  <c r="AH221" i="11"/>
  <c r="H498" i="8" s="1"/>
  <c r="I498" i="8" s="1"/>
  <c r="AG221" i="11"/>
  <c r="H558" i="8" s="1"/>
  <c r="I558" i="8" s="1"/>
  <c r="AF221" i="11"/>
  <c r="H528" i="8" s="1"/>
  <c r="I528" i="8" s="1"/>
  <c r="AE221" i="11"/>
  <c r="H318" i="8" s="1"/>
  <c r="AD221" i="11"/>
  <c r="AC221" i="11"/>
  <c r="H438" i="8" s="1"/>
  <c r="AB221" i="11"/>
  <c r="H408" i="8" s="1"/>
  <c r="AA221" i="11"/>
  <c r="H378" i="8" s="1"/>
  <c r="Z221" i="11"/>
  <c r="H348" i="8" s="1"/>
  <c r="I348" i="8" s="1"/>
  <c r="Y221" i="11"/>
  <c r="H108" i="8" s="1"/>
  <c r="X221" i="11"/>
  <c r="H288" i="8" s="1"/>
  <c r="W221" i="11"/>
  <c r="H258" i="8" s="1"/>
  <c r="V221" i="11"/>
  <c r="H228" i="8" s="1"/>
  <c r="U221" i="11"/>
  <c r="H198" i="8" s="1"/>
  <c r="T221" i="11"/>
  <c r="H168" i="8" s="1"/>
  <c r="S221" i="11"/>
  <c r="H138" i="8" s="1"/>
  <c r="AH219" i="11"/>
  <c r="F498" i="7" s="1"/>
  <c r="G498" i="7" s="1"/>
  <c r="AG219" i="11"/>
  <c r="F558" i="7" s="1"/>
  <c r="G558" i="7" s="1"/>
  <c r="AF219" i="11"/>
  <c r="F528" i="7" s="1"/>
  <c r="G528" i="7" s="1"/>
  <c r="AE219" i="11"/>
  <c r="F318" i="7" s="1"/>
  <c r="AD219" i="11"/>
  <c r="AC219" i="11"/>
  <c r="F438" i="7" s="1"/>
  <c r="AB219" i="11"/>
  <c r="F408" i="7" s="1"/>
  <c r="AA219" i="11"/>
  <c r="F378" i="7" s="1"/>
  <c r="Z219" i="11"/>
  <c r="F348" i="7" s="1"/>
  <c r="G348" i="7" s="1"/>
  <c r="Y219" i="11"/>
  <c r="F108" i="7" s="1"/>
  <c r="X219" i="11"/>
  <c r="F288" i="7" s="1"/>
  <c r="W219" i="11"/>
  <c r="F258" i="7" s="1"/>
  <c r="V219" i="11"/>
  <c r="F228" i="7" s="1"/>
  <c r="U219" i="11"/>
  <c r="F198" i="7" s="1"/>
  <c r="T219" i="11"/>
  <c r="F168" i="7" s="1"/>
  <c r="S219" i="11"/>
  <c r="F138" i="7" s="1"/>
  <c r="AH217" i="11"/>
  <c r="F498" i="8" s="1"/>
  <c r="G498" i="8" s="1"/>
  <c r="AG217" i="11"/>
  <c r="F558" i="8" s="1"/>
  <c r="G558" i="8" s="1"/>
  <c r="AF217" i="11"/>
  <c r="F528" i="8" s="1"/>
  <c r="G528" i="8" s="1"/>
  <c r="AE217" i="11"/>
  <c r="F318" i="8" s="1"/>
  <c r="AD217" i="11"/>
  <c r="AC217" i="11"/>
  <c r="F438" i="8" s="1"/>
  <c r="AB217" i="11"/>
  <c r="F408" i="8" s="1"/>
  <c r="AA217" i="11"/>
  <c r="F378" i="8" s="1"/>
  <c r="Z217" i="11"/>
  <c r="F348" i="8" s="1"/>
  <c r="G348" i="8" s="1"/>
  <c r="Y217" i="11"/>
  <c r="F108" i="8" s="1"/>
  <c r="X217" i="11"/>
  <c r="F288" i="8" s="1"/>
  <c r="W217" i="11"/>
  <c r="F258" i="8" s="1"/>
  <c r="V217" i="11"/>
  <c r="F228" i="8" s="1"/>
  <c r="U217" i="11"/>
  <c r="F198" i="8" s="1"/>
  <c r="T217" i="11"/>
  <c r="F168" i="8" s="1"/>
  <c r="S217" i="11"/>
  <c r="F138" i="8" s="1"/>
  <c r="AH215" i="11"/>
  <c r="D498" i="7" s="1"/>
  <c r="E498" i="7" s="1"/>
  <c r="AG215" i="11"/>
  <c r="D558" i="7" s="1"/>
  <c r="E558" i="7" s="1"/>
  <c r="AF215" i="11"/>
  <c r="D528" i="7" s="1"/>
  <c r="E528" i="7" s="1"/>
  <c r="AE215" i="11"/>
  <c r="D318" i="7" s="1"/>
  <c r="AD215" i="11"/>
  <c r="AC215" i="11"/>
  <c r="D438" i="7" s="1"/>
  <c r="AB215" i="11"/>
  <c r="D408" i="7" s="1"/>
  <c r="AA215" i="11"/>
  <c r="D378" i="7" s="1"/>
  <c r="Z215" i="11"/>
  <c r="D348" i="7" s="1"/>
  <c r="E348" i="7" s="1"/>
  <c r="Y215" i="11"/>
  <c r="D108" i="7" s="1"/>
  <c r="X215" i="11"/>
  <c r="D288" i="7" s="1"/>
  <c r="W215" i="11"/>
  <c r="D258" i="7" s="1"/>
  <c r="V215" i="11"/>
  <c r="D228" i="7" s="1"/>
  <c r="U215" i="11"/>
  <c r="D198" i="7" s="1"/>
  <c r="T215" i="11"/>
  <c r="D168" i="7" s="1"/>
  <c r="S215" i="11"/>
  <c r="D138" i="7" s="1"/>
  <c r="AH213" i="11"/>
  <c r="D498" i="8" s="1"/>
  <c r="E498" i="8" s="1"/>
  <c r="AG213" i="11"/>
  <c r="D558" i="8" s="1"/>
  <c r="E558" i="8" s="1"/>
  <c r="AF213" i="11"/>
  <c r="D528" i="8" s="1"/>
  <c r="E528" i="8" s="1"/>
  <c r="AE213" i="11"/>
  <c r="D318" i="8" s="1"/>
  <c r="AD213" i="11"/>
  <c r="AC213" i="11"/>
  <c r="D438" i="8" s="1"/>
  <c r="AB213" i="11"/>
  <c r="D408" i="8" s="1"/>
  <c r="AA213" i="11"/>
  <c r="D378" i="8" s="1"/>
  <c r="Z213" i="11"/>
  <c r="D348" i="8" s="1"/>
  <c r="E348" i="8" s="1"/>
  <c r="Y213" i="11"/>
  <c r="D108" i="8" s="1"/>
  <c r="X213" i="11"/>
  <c r="D288" i="8" s="1"/>
  <c r="W213" i="11"/>
  <c r="D258" i="8" s="1"/>
  <c r="V213" i="11"/>
  <c r="D228" i="8" s="1"/>
  <c r="U213" i="11"/>
  <c r="D198" i="8" s="1"/>
  <c r="T213" i="11"/>
  <c r="D168" i="8" s="1"/>
  <c r="S213" i="11"/>
  <c r="D138" i="8" s="1"/>
  <c r="AH211" i="11"/>
  <c r="B498" i="7" s="1"/>
  <c r="C498" i="7" s="1"/>
  <c r="AG211" i="11"/>
  <c r="B558" i="7" s="1"/>
  <c r="C558" i="7" s="1"/>
  <c r="AF211" i="11"/>
  <c r="B528" i="7" s="1"/>
  <c r="C528" i="7" s="1"/>
  <c r="AE211" i="11"/>
  <c r="B318" i="7" s="1"/>
  <c r="AD211" i="11"/>
  <c r="AC211" i="11"/>
  <c r="B438" i="7" s="1"/>
  <c r="AB211" i="11"/>
  <c r="B408" i="7" s="1"/>
  <c r="AA211" i="11"/>
  <c r="B378" i="7" s="1"/>
  <c r="Z211" i="11"/>
  <c r="B348" i="7" s="1"/>
  <c r="C348" i="7" s="1"/>
  <c r="Y211" i="11"/>
  <c r="B108" i="7" s="1"/>
  <c r="X211" i="11"/>
  <c r="B288" i="7" s="1"/>
  <c r="W211" i="11"/>
  <c r="B258" i="7" s="1"/>
  <c r="V211" i="11"/>
  <c r="B228" i="7" s="1"/>
  <c r="U211" i="11"/>
  <c r="B198" i="7" s="1"/>
  <c r="T211" i="11"/>
  <c r="B168" i="7" s="1"/>
  <c r="S211" i="11"/>
  <c r="B138" i="7" s="1"/>
  <c r="AH209" i="11"/>
  <c r="B498" i="8" s="1"/>
  <c r="C498" i="8" s="1"/>
  <c r="AG209" i="11"/>
  <c r="B558" i="8" s="1"/>
  <c r="C558" i="8" s="1"/>
  <c r="AF209" i="11"/>
  <c r="B528" i="8" s="1"/>
  <c r="C528" i="8" s="1"/>
  <c r="AE209" i="11"/>
  <c r="B318" i="8" s="1"/>
  <c r="AD209" i="11"/>
  <c r="AC209" i="11"/>
  <c r="B438" i="8" s="1"/>
  <c r="AB209" i="11"/>
  <c r="B408" i="8" s="1"/>
  <c r="AA209" i="11"/>
  <c r="B378" i="8" s="1"/>
  <c r="Z209" i="11"/>
  <c r="B348" i="8" s="1"/>
  <c r="C348" i="8" s="1"/>
  <c r="Y209" i="11"/>
  <c r="B108" i="8" s="1"/>
  <c r="X209" i="11"/>
  <c r="B288" i="8" s="1"/>
  <c r="W209" i="11"/>
  <c r="B258" i="8" s="1"/>
  <c r="V209" i="11"/>
  <c r="B228" i="8" s="1"/>
  <c r="U209" i="11"/>
  <c r="B198" i="8" s="1"/>
  <c r="T209" i="11"/>
  <c r="B168" i="8" s="1"/>
  <c r="S209" i="11"/>
  <c r="B138" i="8" s="1"/>
  <c r="AH206" i="11"/>
  <c r="AG206" i="11"/>
  <c r="AF206" i="11"/>
  <c r="AE206" i="11"/>
  <c r="AD206" i="11"/>
  <c r="AC206" i="11"/>
  <c r="AB206" i="11"/>
  <c r="AA206" i="11"/>
  <c r="Z206" i="11"/>
  <c r="Y206" i="11"/>
  <c r="X206" i="11"/>
  <c r="W206" i="11"/>
  <c r="V206" i="11"/>
  <c r="U206" i="11"/>
  <c r="T206" i="11"/>
  <c r="S206" i="11"/>
  <c r="AH204" i="11"/>
  <c r="AG204" i="11"/>
  <c r="AF204" i="11"/>
  <c r="AE204" i="11"/>
  <c r="AD204" i="11"/>
  <c r="AC204" i="11"/>
  <c r="AB204" i="11"/>
  <c r="AA204" i="11"/>
  <c r="Z204" i="11"/>
  <c r="Y204" i="11"/>
  <c r="X204" i="11"/>
  <c r="W204" i="11"/>
  <c r="V204" i="11"/>
  <c r="U204" i="11"/>
  <c r="T204" i="11"/>
  <c r="S204" i="11"/>
  <c r="AH202" i="11"/>
  <c r="L497" i="7" s="1"/>
  <c r="M497" i="7" s="1"/>
  <c r="AG202" i="11"/>
  <c r="L557" i="7" s="1"/>
  <c r="M557" i="7" s="1"/>
  <c r="AF202" i="11"/>
  <c r="L527" i="7" s="1"/>
  <c r="M527" i="7" s="1"/>
  <c r="AE202" i="11"/>
  <c r="L317" i="7" s="1"/>
  <c r="M317" i="7" s="1"/>
  <c r="AD202" i="11"/>
  <c r="AC202" i="11"/>
  <c r="L437" i="7" s="1"/>
  <c r="M437" i="7" s="1"/>
  <c r="AB202" i="11"/>
  <c r="L407" i="7" s="1"/>
  <c r="M407" i="7" s="1"/>
  <c r="AA202" i="11"/>
  <c r="L377" i="7" s="1"/>
  <c r="M377" i="7" s="1"/>
  <c r="Z202" i="11"/>
  <c r="L347" i="7" s="1"/>
  <c r="M347" i="7" s="1"/>
  <c r="Y202" i="11"/>
  <c r="X202" i="11"/>
  <c r="W202" i="11"/>
  <c r="V202" i="11"/>
  <c r="U202" i="11"/>
  <c r="T202" i="11"/>
  <c r="S202" i="11"/>
  <c r="AH200" i="11"/>
  <c r="L497" i="8" s="1"/>
  <c r="M497" i="8" s="1"/>
  <c r="AG200" i="11"/>
  <c r="L557" i="8" s="1"/>
  <c r="M557" i="8" s="1"/>
  <c r="AF200" i="11"/>
  <c r="L527" i="8" s="1"/>
  <c r="M527" i="8" s="1"/>
  <c r="AE200" i="11"/>
  <c r="L317" i="8" s="1"/>
  <c r="M317" i="8" s="1"/>
  <c r="AD200" i="11"/>
  <c r="AC200" i="11"/>
  <c r="L437" i="8" s="1"/>
  <c r="M437" i="8" s="1"/>
  <c r="AB200" i="11"/>
  <c r="L407" i="8" s="1"/>
  <c r="M407" i="8" s="1"/>
  <c r="AA200" i="11"/>
  <c r="L377" i="8" s="1"/>
  <c r="M377" i="8" s="1"/>
  <c r="Z200" i="11"/>
  <c r="L347" i="8" s="1"/>
  <c r="M347" i="8" s="1"/>
  <c r="Y200" i="11"/>
  <c r="X200" i="11"/>
  <c r="W200" i="11"/>
  <c r="V200" i="11"/>
  <c r="U200" i="11"/>
  <c r="T200" i="11"/>
  <c r="S200" i="11"/>
  <c r="AH198" i="11"/>
  <c r="J497" i="7" s="1"/>
  <c r="AG198" i="11"/>
  <c r="J557" i="7" s="1"/>
  <c r="K557" i="7" s="1"/>
  <c r="AF198" i="11"/>
  <c r="J527" i="7" s="1"/>
  <c r="AE198" i="11"/>
  <c r="J317" i="7" s="1"/>
  <c r="AD198" i="11"/>
  <c r="AC198" i="11"/>
  <c r="J437" i="7" s="1"/>
  <c r="AB198" i="11"/>
  <c r="J407" i="7" s="1"/>
  <c r="AA198" i="11"/>
  <c r="J377" i="7" s="1"/>
  <c r="Z198" i="11"/>
  <c r="J347" i="7" s="1"/>
  <c r="K347" i="7" s="1"/>
  <c r="Y198" i="11"/>
  <c r="J107" i="7" s="1"/>
  <c r="X198" i="11"/>
  <c r="J287" i="7" s="1"/>
  <c r="K287" i="7" s="1"/>
  <c r="W198" i="11"/>
  <c r="J257" i="7" s="1"/>
  <c r="K257" i="7" s="1"/>
  <c r="V198" i="11"/>
  <c r="J227" i="7" s="1"/>
  <c r="U198" i="11"/>
  <c r="J197" i="7" s="1"/>
  <c r="T198" i="11"/>
  <c r="J167" i="7" s="1"/>
  <c r="S198" i="11"/>
  <c r="J137" i="7" s="1"/>
  <c r="AH196" i="11"/>
  <c r="J497" i="8" s="1"/>
  <c r="AG196" i="11"/>
  <c r="J557" i="8" s="1"/>
  <c r="K557" i="8" s="1"/>
  <c r="AF196" i="11"/>
  <c r="AE196" i="11"/>
  <c r="J317" i="8" s="1"/>
  <c r="K317" i="8" s="1"/>
  <c r="AD196" i="11"/>
  <c r="AC196" i="11"/>
  <c r="J437" i="8" s="1"/>
  <c r="K437" i="8" s="1"/>
  <c r="AB196" i="11"/>
  <c r="J407" i="8" s="1"/>
  <c r="K407" i="8" s="1"/>
  <c r="AA196" i="11"/>
  <c r="J377" i="8" s="1"/>
  <c r="K377" i="8" s="1"/>
  <c r="Z196" i="11"/>
  <c r="J347" i="8" s="1"/>
  <c r="K347" i="8" s="1"/>
  <c r="Y196" i="11"/>
  <c r="J107" i="8" s="1"/>
  <c r="X196" i="11"/>
  <c r="J287" i="8" s="1"/>
  <c r="K287" i="8" s="1"/>
  <c r="W196" i="11"/>
  <c r="J257" i="8" s="1"/>
  <c r="K257" i="8" s="1"/>
  <c r="V196" i="11"/>
  <c r="J227" i="8" s="1"/>
  <c r="U196" i="11"/>
  <c r="J197" i="8" s="1"/>
  <c r="T196" i="11"/>
  <c r="J167" i="8" s="1"/>
  <c r="S196" i="11"/>
  <c r="J137" i="8" s="1"/>
  <c r="AH194" i="11"/>
  <c r="H497" i="7" s="1"/>
  <c r="AG194" i="11"/>
  <c r="H557" i="7" s="1"/>
  <c r="I557" i="7" s="1"/>
  <c r="AF194" i="11"/>
  <c r="H527" i="7" s="1"/>
  <c r="AE194" i="11"/>
  <c r="H317" i="7" s="1"/>
  <c r="AD194" i="11"/>
  <c r="AC194" i="11"/>
  <c r="H437" i="7" s="1"/>
  <c r="AB194" i="11"/>
  <c r="H407" i="7" s="1"/>
  <c r="AA194" i="11"/>
  <c r="H377" i="7" s="1"/>
  <c r="Z194" i="11"/>
  <c r="H347" i="7" s="1"/>
  <c r="I347" i="7" s="1"/>
  <c r="Y194" i="11"/>
  <c r="H107" i="7" s="1"/>
  <c r="X194" i="11"/>
  <c r="H287" i="7" s="1"/>
  <c r="W194" i="11"/>
  <c r="H257" i="7" s="1"/>
  <c r="I257" i="7" s="1"/>
  <c r="V194" i="11"/>
  <c r="H227" i="7" s="1"/>
  <c r="U194" i="11"/>
  <c r="H197" i="7" s="1"/>
  <c r="T194" i="11"/>
  <c r="H167" i="7" s="1"/>
  <c r="S194" i="11"/>
  <c r="H137" i="7" s="1"/>
  <c r="AH192" i="11"/>
  <c r="H497" i="8" s="1"/>
  <c r="AG192" i="11"/>
  <c r="H557" i="8" s="1"/>
  <c r="I557" i="8" s="1"/>
  <c r="AF192" i="11"/>
  <c r="H527" i="8" s="1"/>
  <c r="AE192" i="11"/>
  <c r="H317" i="8" s="1"/>
  <c r="AD192" i="11"/>
  <c r="AC192" i="11"/>
  <c r="H437" i="8" s="1"/>
  <c r="AB192" i="11"/>
  <c r="H407" i="8" s="1"/>
  <c r="AA192" i="11"/>
  <c r="H377" i="8" s="1"/>
  <c r="Z192" i="11"/>
  <c r="H347" i="8" s="1"/>
  <c r="I347" i="8" s="1"/>
  <c r="Y192" i="11"/>
  <c r="H107" i="8" s="1"/>
  <c r="X192" i="11"/>
  <c r="H287" i="8" s="1"/>
  <c r="W192" i="11"/>
  <c r="H257" i="8" s="1"/>
  <c r="I257" i="8" s="1"/>
  <c r="V192" i="11"/>
  <c r="H227" i="8" s="1"/>
  <c r="U192" i="11"/>
  <c r="H197" i="8" s="1"/>
  <c r="T192" i="11"/>
  <c r="H167" i="8" s="1"/>
  <c r="S192" i="11"/>
  <c r="H137" i="8" s="1"/>
  <c r="AH190" i="11"/>
  <c r="F497" i="7" s="1"/>
  <c r="AG190" i="11"/>
  <c r="F557" i="7" s="1"/>
  <c r="G557" i="7" s="1"/>
  <c r="AF190" i="11"/>
  <c r="F527" i="7" s="1"/>
  <c r="AE190" i="11"/>
  <c r="F317" i="7" s="1"/>
  <c r="AD190" i="11"/>
  <c r="AC190" i="11"/>
  <c r="F437" i="7" s="1"/>
  <c r="AB190" i="11"/>
  <c r="F407" i="7" s="1"/>
  <c r="AA190" i="11"/>
  <c r="F377" i="7" s="1"/>
  <c r="Z190" i="11"/>
  <c r="F347" i="7" s="1"/>
  <c r="G347" i="7" s="1"/>
  <c r="Y190" i="11"/>
  <c r="F107" i="7" s="1"/>
  <c r="X190" i="11"/>
  <c r="F287" i="7" s="1"/>
  <c r="W190" i="11"/>
  <c r="F257" i="7" s="1"/>
  <c r="G257" i="7" s="1"/>
  <c r="V190" i="11"/>
  <c r="F227" i="7" s="1"/>
  <c r="U190" i="11"/>
  <c r="F197" i="7" s="1"/>
  <c r="T190" i="11"/>
  <c r="F167" i="7" s="1"/>
  <c r="S190" i="11"/>
  <c r="F137" i="7" s="1"/>
  <c r="AH188" i="11"/>
  <c r="F497" i="8" s="1"/>
  <c r="AG188" i="11"/>
  <c r="F557" i="8" s="1"/>
  <c r="G557" i="8" s="1"/>
  <c r="AF188" i="11"/>
  <c r="F527" i="8" s="1"/>
  <c r="AE188" i="11"/>
  <c r="F317" i="8" s="1"/>
  <c r="AD188" i="11"/>
  <c r="AC188" i="11"/>
  <c r="F437" i="8" s="1"/>
  <c r="AB188" i="11"/>
  <c r="F407" i="8" s="1"/>
  <c r="AA188" i="11"/>
  <c r="F377" i="8" s="1"/>
  <c r="Z188" i="11"/>
  <c r="F347" i="8" s="1"/>
  <c r="G347" i="8" s="1"/>
  <c r="Y188" i="11"/>
  <c r="F107" i="8" s="1"/>
  <c r="X188" i="11"/>
  <c r="F287" i="8" s="1"/>
  <c r="W188" i="11"/>
  <c r="F257" i="8" s="1"/>
  <c r="G257" i="8" s="1"/>
  <c r="V188" i="11"/>
  <c r="F227" i="8" s="1"/>
  <c r="U188" i="11"/>
  <c r="F197" i="8" s="1"/>
  <c r="T188" i="11"/>
  <c r="F167" i="8" s="1"/>
  <c r="S188" i="11"/>
  <c r="F137" i="8" s="1"/>
  <c r="AH186" i="11"/>
  <c r="D497" i="7" s="1"/>
  <c r="AG186" i="11"/>
  <c r="D557" i="7" s="1"/>
  <c r="E557" i="7" s="1"/>
  <c r="AF186" i="11"/>
  <c r="D527" i="7" s="1"/>
  <c r="AE186" i="11"/>
  <c r="D317" i="7" s="1"/>
  <c r="AD186" i="11"/>
  <c r="AC186" i="11"/>
  <c r="D437" i="7" s="1"/>
  <c r="AB186" i="11"/>
  <c r="D407" i="7" s="1"/>
  <c r="AA186" i="11"/>
  <c r="D377" i="7" s="1"/>
  <c r="Z186" i="11"/>
  <c r="D347" i="7" s="1"/>
  <c r="E347" i="7" s="1"/>
  <c r="Y186" i="11"/>
  <c r="D107" i="7" s="1"/>
  <c r="X186" i="11"/>
  <c r="D287" i="7" s="1"/>
  <c r="W186" i="11"/>
  <c r="D257" i="7" s="1"/>
  <c r="E257" i="7" s="1"/>
  <c r="V186" i="11"/>
  <c r="D227" i="7" s="1"/>
  <c r="U186" i="11"/>
  <c r="D197" i="7" s="1"/>
  <c r="T186" i="11"/>
  <c r="D167" i="7" s="1"/>
  <c r="S186" i="11"/>
  <c r="D137" i="7" s="1"/>
  <c r="AH184" i="11"/>
  <c r="D497" i="8" s="1"/>
  <c r="AG184" i="11"/>
  <c r="D557" i="8" s="1"/>
  <c r="E557" i="8" s="1"/>
  <c r="AF184" i="11"/>
  <c r="D527" i="8" s="1"/>
  <c r="AE184" i="11"/>
  <c r="D317" i="8" s="1"/>
  <c r="AD184" i="11"/>
  <c r="AC184" i="11"/>
  <c r="D437" i="8" s="1"/>
  <c r="AB184" i="11"/>
  <c r="D407" i="8" s="1"/>
  <c r="AA184" i="11"/>
  <c r="D377" i="8" s="1"/>
  <c r="Z184" i="11"/>
  <c r="D347" i="8" s="1"/>
  <c r="E347" i="8" s="1"/>
  <c r="Y184" i="11"/>
  <c r="D107" i="8" s="1"/>
  <c r="X184" i="11"/>
  <c r="D287" i="8" s="1"/>
  <c r="W184" i="11"/>
  <c r="D257" i="8" s="1"/>
  <c r="E257" i="8" s="1"/>
  <c r="V184" i="11"/>
  <c r="D227" i="8" s="1"/>
  <c r="U184" i="11"/>
  <c r="D197" i="8" s="1"/>
  <c r="T184" i="11"/>
  <c r="D167" i="8" s="1"/>
  <c r="S184" i="11"/>
  <c r="D137" i="8" s="1"/>
  <c r="AH182" i="11"/>
  <c r="B497" i="7" s="1"/>
  <c r="AG182" i="11"/>
  <c r="B557" i="7" s="1"/>
  <c r="C557" i="7" s="1"/>
  <c r="AF182" i="11"/>
  <c r="B527" i="7" s="1"/>
  <c r="AE182" i="11"/>
  <c r="B317" i="7" s="1"/>
  <c r="AD182" i="11"/>
  <c r="AC182" i="11"/>
  <c r="B437" i="7" s="1"/>
  <c r="AB182" i="11"/>
  <c r="B407" i="7" s="1"/>
  <c r="AA182" i="11"/>
  <c r="B377" i="7" s="1"/>
  <c r="Z182" i="11"/>
  <c r="B347" i="7" s="1"/>
  <c r="C347" i="7" s="1"/>
  <c r="Y182" i="11"/>
  <c r="B107" i="7" s="1"/>
  <c r="X182" i="11"/>
  <c r="B287" i="7" s="1"/>
  <c r="W182" i="11"/>
  <c r="B257" i="7" s="1"/>
  <c r="C257" i="7" s="1"/>
  <c r="V182" i="11"/>
  <c r="B227" i="7" s="1"/>
  <c r="U182" i="11"/>
  <c r="B197" i="7" s="1"/>
  <c r="T182" i="11"/>
  <c r="B167" i="7" s="1"/>
  <c r="S182" i="11"/>
  <c r="B137" i="7" s="1"/>
  <c r="AH180" i="11"/>
  <c r="B497" i="8" s="1"/>
  <c r="AG180" i="11"/>
  <c r="B557" i="8" s="1"/>
  <c r="C557" i="8" s="1"/>
  <c r="AF180" i="11"/>
  <c r="B527" i="8" s="1"/>
  <c r="AE180" i="11"/>
  <c r="B317" i="8" s="1"/>
  <c r="AD180" i="11"/>
  <c r="AC180" i="11"/>
  <c r="B437" i="8" s="1"/>
  <c r="AB180" i="11"/>
  <c r="B407" i="8" s="1"/>
  <c r="AA180" i="11"/>
  <c r="B377" i="8" s="1"/>
  <c r="Z180" i="11"/>
  <c r="B347" i="8" s="1"/>
  <c r="C347" i="8" s="1"/>
  <c r="Y180" i="11"/>
  <c r="B107" i="8" s="1"/>
  <c r="X180" i="11"/>
  <c r="B287" i="8" s="1"/>
  <c r="W180" i="11"/>
  <c r="B257" i="8" s="1"/>
  <c r="C257" i="8" s="1"/>
  <c r="V180" i="11"/>
  <c r="B227" i="8" s="1"/>
  <c r="U180" i="11"/>
  <c r="B197" i="8" s="1"/>
  <c r="T180" i="11"/>
  <c r="B167" i="8" s="1"/>
  <c r="S180" i="11"/>
  <c r="B137" i="8" s="1"/>
  <c r="AH177" i="11"/>
  <c r="AG177" i="11"/>
  <c r="AF177" i="11"/>
  <c r="AE177" i="11"/>
  <c r="AD177" i="11"/>
  <c r="AC177" i="11"/>
  <c r="AB177" i="11"/>
  <c r="AA177" i="11"/>
  <c r="Z177" i="11"/>
  <c r="Y177" i="11"/>
  <c r="X177" i="11"/>
  <c r="W177" i="11"/>
  <c r="V177" i="11"/>
  <c r="U177" i="11"/>
  <c r="T177" i="11"/>
  <c r="S177" i="11"/>
  <c r="AH175" i="11"/>
  <c r="AG175" i="11"/>
  <c r="AF175" i="11"/>
  <c r="AE175" i="11"/>
  <c r="AD175" i="11"/>
  <c r="AC175" i="11"/>
  <c r="AB175" i="11"/>
  <c r="AA175" i="11"/>
  <c r="Z175" i="11"/>
  <c r="Y175" i="11"/>
  <c r="X175" i="11"/>
  <c r="W175" i="11"/>
  <c r="V175" i="11"/>
  <c r="U175" i="11"/>
  <c r="T175" i="11"/>
  <c r="S175" i="11"/>
  <c r="AH173" i="11"/>
  <c r="L496" i="7" s="1"/>
  <c r="M496" i="7" s="1"/>
  <c r="AG173" i="11"/>
  <c r="L556" i="7" s="1"/>
  <c r="M556" i="7" s="1"/>
  <c r="AF173" i="11"/>
  <c r="L526" i="7" s="1"/>
  <c r="M526" i="7" s="1"/>
  <c r="AE173" i="11"/>
  <c r="L316" i="7" s="1"/>
  <c r="M316" i="7" s="1"/>
  <c r="AD173" i="11"/>
  <c r="AC173" i="11"/>
  <c r="L436" i="7" s="1"/>
  <c r="M436" i="7" s="1"/>
  <c r="AB173" i="11"/>
  <c r="L406" i="7" s="1"/>
  <c r="M406" i="7" s="1"/>
  <c r="AA173" i="11"/>
  <c r="L376" i="7" s="1"/>
  <c r="M376" i="7" s="1"/>
  <c r="Z173" i="11"/>
  <c r="L346" i="7" s="1"/>
  <c r="M346" i="7" s="1"/>
  <c r="Y173" i="11"/>
  <c r="X173" i="11"/>
  <c r="W173" i="11"/>
  <c r="V173" i="11"/>
  <c r="U173" i="11"/>
  <c r="T173" i="11"/>
  <c r="S173" i="11"/>
  <c r="AH171" i="11"/>
  <c r="L496" i="8" s="1"/>
  <c r="M496" i="8" s="1"/>
  <c r="AG171" i="11"/>
  <c r="L556" i="8" s="1"/>
  <c r="M556" i="8" s="1"/>
  <c r="AF171" i="11"/>
  <c r="L526" i="8" s="1"/>
  <c r="M526" i="8" s="1"/>
  <c r="AE171" i="11"/>
  <c r="L316" i="8" s="1"/>
  <c r="M316" i="8" s="1"/>
  <c r="AD171" i="11"/>
  <c r="AC171" i="11"/>
  <c r="L436" i="8" s="1"/>
  <c r="M436" i="8" s="1"/>
  <c r="AB171" i="11"/>
  <c r="L406" i="8" s="1"/>
  <c r="M406" i="8" s="1"/>
  <c r="AA171" i="11"/>
  <c r="L376" i="8" s="1"/>
  <c r="M376" i="8" s="1"/>
  <c r="Z171" i="11"/>
  <c r="L346" i="8" s="1"/>
  <c r="M346" i="8" s="1"/>
  <c r="Y171" i="11"/>
  <c r="X171" i="11"/>
  <c r="W171" i="11"/>
  <c r="V171" i="11"/>
  <c r="U171" i="11"/>
  <c r="T171" i="11"/>
  <c r="S171" i="11"/>
  <c r="AH169" i="11"/>
  <c r="J496" i="7" s="1"/>
  <c r="K496" i="7" s="1"/>
  <c r="AG169" i="11"/>
  <c r="J556" i="7" s="1"/>
  <c r="K556" i="7" s="1"/>
  <c r="AF169" i="11"/>
  <c r="J526" i="7" s="1"/>
  <c r="K526" i="7" s="1"/>
  <c r="AE169" i="11"/>
  <c r="J316" i="7" s="1"/>
  <c r="AD169" i="11"/>
  <c r="AC169" i="11"/>
  <c r="J436" i="7" s="1"/>
  <c r="AB169" i="11"/>
  <c r="J406" i="7" s="1"/>
  <c r="AA169" i="11"/>
  <c r="J376" i="7" s="1"/>
  <c r="Z169" i="11"/>
  <c r="J346" i="7" s="1"/>
  <c r="K346" i="7" s="1"/>
  <c r="Y169" i="11"/>
  <c r="J106" i="7" s="1"/>
  <c r="X169" i="11"/>
  <c r="J286" i="7" s="1"/>
  <c r="K286" i="7" s="1"/>
  <c r="W169" i="11"/>
  <c r="J256" i="7" s="1"/>
  <c r="K256" i="7" s="1"/>
  <c r="V169" i="11"/>
  <c r="J226" i="7" s="1"/>
  <c r="U169" i="11"/>
  <c r="J196" i="7" s="1"/>
  <c r="T169" i="11"/>
  <c r="J166" i="7" s="1"/>
  <c r="K166" i="7" s="1"/>
  <c r="S169" i="11"/>
  <c r="J136" i="7" s="1"/>
  <c r="AH167" i="11"/>
  <c r="J496" i="8" s="1"/>
  <c r="K496" i="8" s="1"/>
  <c r="AG167" i="11"/>
  <c r="J556" i="8" s="1"/>
  <c r="K556" i="8" s="1"/>
  <c r="AF167" i="11"/>
  <c r="J526" i="8" s="1"/>
  <c r="K526" i="8" s="1"/>
  <c r="AE167" i="11"/>
  <c r="J316" i="8" s="1"/>
  <c r="K316" i="8" s="1"/>
  <c r="AD167" i="11"/>
  <c r="AC167" i="11"/>
  <c r="J436" i="8" s="1"/>
  <c r="K436" i="8" s="1"/>
  <c r="AB167" i="11"/>
  <c r="J406" i="8" s="1"/>
  <c r="K406" i="8" s="1"/>
  <c r="AA167" i="11"/>
  <c r="J376" i="8" s="1"/>
  <c r="K376" i="8" s="1"/>
  <c r="Z167" i="11"/>
  <c r="J346" i="8" s="1"/>
  <c r="K346" i="8" s="1"/>
  <c r="Y167" i="11"/>
  <c r="J106" i="8" s="1"/>
  <c r="X167" i="11"/>
  <c r="J286" i="8" s="1"/>
  <c r="K286" i="8" s="1"/>
  <c r="W167" i="11"/>
  <c r="J256" i="8" s="1"/>
  <c r="K256" i="8" s="1"/>
  <c r="V167" i="11"/>
  <c r="J226" i="8" s="1"/>
  <c r="U167" i="11"/>
  <c r="J196" i="8" s="1"/>
  <c r="T167" i="11"/>
  <c r="J166" i="8" s="1"/>
  <c r="K166" i="8" s="1"/>
  <c r="S167" i="11"/>
  <c r="J136" i="8" s="1"/>
  <c r="AH165" i="11"/>
  <c r="H496" i="7" s="1"/>
  <c r="AG165" i="11"/>
  <c r="H556" i="7" s="1"/>
  <c r="I556" i="7" s="1"/>
  <c r="AF165" i="11"/>
  <c r="H526" i="7" s="1"/>
  <c r="AE165" i="11"/>
  <c r="H316" i="7" s="1"/>
  <c r="AD165" i="11"/>
  <c r="AC165" i="11"/>
  <c r="H436" i="7" s="1"/>
  <c r="AB165" i="11"/>
  <c r="H406" i="7" s="1"/>
  <c r="AA165" i="11"/>
  <c r="H376" i="7" s="1"/>
  <c r="Z165" i="11"/>
  <c r="H346" i="7" s="1"/>
  <c r="I346" i="7" s="1"/>
  <c r="Y165" i="11"/>
  <c r="H106" i="7" s="1"/>
  <c r="X165" i="11"/>
  <c r="H286" i="7" s="1"/>
  <c r="I286" i="7" s="1"/>
  <c r="W165" i="11"/>
  <c r="H256" i="7" s="1"/>
  <c r="I256" i="7" s="1"/>
  <c r="V165" i="11"/>
  <c r="H226" i="7" s="1"/>
  <c r="U165" i="11"/>
  <c r="H196" i="7" s="1"/>
  <c r="T165" i="11"/>
  <c r="H166" i="7" s="1"/>
  <c r="I166" i="7" s="1"/>
  <c r="S165" i="11"/>
  <c r="H136" i="7" s="1"/>
  <c r="AH163" i="11"/>
  <c r="H496" i="8" s="1"/>
  <c r="AG163" i="11"/>
  <c r="H556" i="8" s="1"/>
  <c r="I556" i="8" s="1"/>
  <c r="AF163" i="11"/>
  <c r="H526" i="8" s="1"/>
  <c r="AE163" i="11"/>
  <c r="H316" i="8" s="1"/>
  <c r="AD163" i="11"/>
  <c r="AC163" i="11"/>
  <c r="H436" i="8" s="1"/>
  <c r="AB163" i="11"/>
  <c r="H406" i="8" s="1"/>
  <c r="AA163" i="11"/>
  <c r="H376" i="8" s="1"/>
  <c r="Z163" i="11"/>
  <c r="H346" i="8" s="1"/>
  <c r="I346" i="8" s="1"/>
  <c r="Y163" i="11"/>
  <c r="H106" i="8" s="1"/>
  <c r="X163" i="11"/>
  <c r="H286" i="8" s="1"/>
  <c r="I286" i="8" s="1"/>
  <c r="W163" i="11"/>
  <c r="H256" i="8" s="1"/>
  <c r="I256" i="8" s="1"/>
  <c r="V163" i="11"/>
  <c r="H226" i="8" s="1"/>
  <c r="U163" i="11"/>
  <c r="H196" i="8" s="1"/>
  <c r="T163" i="11"/>
  <c r="H166" i="8" s="1"/>
  <c r="I166" i="8" s="1"/>
  <c r="S163" i="11"/>
  <c r="H136" i="8" s="1"/>
  <c r="AH161" i="11"/>
  <c r="F496" i="7" s="1"/>
  <c r="AG161" i="11"/>
  <c r="F556" i="7" s="1"/>
  <c r="G556" i="7" s="1"/>
  <c r="AF161" i="11"/>
  <c r="F526" i="7" s="1"/>
  <c r="AE161" i="11"/>
  <c r="F316" i="7" s="1"/>
  <c r="AD161" i="11"/>
  <c r="AC161" i="11"/>
  <c r="F436" i="7" s="1"/>
  <c r="AB161" i="11"/>
  <c r="F406" i="7" s="1"/>
  <c r="AA161" i="11"/>
  <c r="F376" i="7" s="1"/>
  <c r="Z161" i="11"/>
  <c r="F346" i="7" s="1"/>
  <c r="G346" i="7" s="1"/>
  <c r="Y161" i="11"/>
  <c r="F106" i="7" s="1"/>
  <c r="X161" i="11"/>
  <c r="F286" i="7" s="1"/>
  <c r="G286" i="7" s="1"/>
  <c r="W161" i="11"/>
  <c r="F256" i="7" s="1"/>
  <c r="G256" i="7" s="1"/>
  <c r="V161" i="11"/>
  <c r="F226" i="7" s="1"/>
  <c r="U161" i="11"/>
  <c r="F196" i="7" s="1"/>
  <c r="T161" i="11"/>
  <c r="F166" i="7" s="1"/>
  <c r="G166" i="7" s="1"/>
  <c r="S161" i="11"/>
  <c r="F136" i="7" s="1"/>
  <c r="AH159" i="11"/>
  <c r="F496" i="8" s="1"/>
  <c r="AG159" i="11"/>
  <c r="F556" i="8" s="1"/>
  <c r="G556" i="8" s="1"/>
  <c r="AF159" i="11"/>
  <c r="F526" i="8" s="1"/>
  <c r="AE159" i="11"/>
  <c r="F316" i="8" s="1"/>
  <c r="AD159" i="11"/>
  <c r="AC159" i="11"/>
  <c r="F436" i="8" s="1"/>
  <c r="AB159" i="11"/>
  <c r="F406" i="8" s="1"/>
  <c r="AA159" i="11"/>
  <c r="F376" i="8" s="1"/>
  <c r="Z159" i="11"/>
  <c r="F346" i="8" s="1"/>
  <c r="G346" i="8" s="1"/>
  <c r="Y159" i="11"/>
  <c r="F106" i="8" s="1"/>
  <c r="X159" i="11"/>
  <c r="F286" i="8" s="1"/>
  <c r="G286" i="8" s="1"/>
  <c r="W159" i="11"/>
  <c r="F256" i="8" s="1"/>
  <c r="G256" i="8" s="1"/>
  <c r="V159" i="11"/>
  <c r="F226" i="8" s="1"/>
  <c r="U159" i="11"/>
  <c r="F196" i="8" s="1"/>
  <c r="T159" i="11"/>
  <c r="F166" i="8" s="1"/>
  <c r="G166" i="8" s="1"/>
  <c r="S159" i="11"/>
  <c r="F136" i="8" s="1"/>
  <c r="AH157" i="11"/>
  <c r="D496" i="7" s="1"/>
  <c r="AG157" i="11"/>
  <c r="D556" i="7" s="1"/>
  <c r="E556" i="7" s="1"/>
  <c r="AF157" i="11"/>
  <c r="D526" i="7" s="1"/>
  <c r="AE157" i="11"/>
  <c r="D316" i="7" s="1"/>
  <c r="AD157" i="11"/>
  <c r="AC157" i="11"/>
  <c r="D436" i="7" s="1"/>
  <c r="AB157" i="11"/>
  <c r="D406" i="7" s="1"/>
  <c r="AA157" i="11"/>
  <c r="D376" i="7" s="1"/>
  <c r="Z157" i="11"/>
  <c r="D346" i="7" s="1"/>
  <c r="E346" i="7" s="1"/>
  <c r="Y157" i="11"/>
  <c r="D106" i="7" s="1"/>
  <c r="X157" i="11"/>
  <c r="D286" i="7" s="1"/>
  <c r="E286" i="7" s="1"/>
  <c r="W157" i="11"/>
  <c r="D256" i="7" s="1"/>
  <c r="E256" i="7" s="1"/>
  <c r="V157" i="11"/>
  <c r="D226" i="7" s="1"/>
  <c r="U157" i="11"/>
  <c r="D196" i="7" s="1"/>
  <c r="T157" i="11"/>
  <c r="D166" i="7" s="1"/>
  <c r="E166" i="7" s="1"/>
  <c r="S157" i="11"/>
  <c r="D136" i="7" s="1"/>
  <c r="AH155" i="11"/>
  <c r="D496" i="8" s="1"/>
  <c r="AG155" i="11"/>
  <c r="D556" i="8" s="1"/>
  <c r="E556" i="8" s="1"/>
  <c r="AF155" i="11"/>
  <c r="D526" i="8" s="1"/>
  <c r="AE155" i="11"/>
  <c r="D316" i="8" s="1"/>
  <c r="AD155" i="11"/>
  <c r="AC155" i="11"/>
  <c r="D436" i="8" s="1"/>
  <c r="AB155" i="11"/>
  <c r="D406" i="8" s="1"/>
  <c r="AA155" i="11"/>
  <c r="D376" i="8" s="1"/>
  <c r="Z155" i="11"/>
  <c r="D346" i="8" s="1"/>
  <c r="E346" i="8" s="1"/>
  <c r="Y155" i="11"/>
  <c r="D106" i="8" s="1"/>
  <c r="X155" i="11"/>
  <c r="D286" i="8" s="1"/>
  <c r="E286" i="8" s="1"/>
  <c r="W155" i="11"/>
  <c r="D256" i="8" s="1"/>
  <c r="E256" i="8" s="1"/>
  <c r="V155" i="11"/>
  <c r="D226" i="8" s="1"/>
  <c r="U155" i="11"/>
  <c r="D196" i="8" s="1"/>
  <c r="T155" i="11"/>
  <c r="D166" i="8" s="1"/>
  <c r="E166" i="8" s="1"/>
  <c r="S155" i="11"/>
  <c r="D136" i="8" s="1"/>
  <c r="AH153" i="11"/>
  <c r="B496" i="7" s="1"/>
  <c r="AG153" i="11"/>
  <c r="B556" i="7" s="1"/>
  <c r="C556" i="7" s="1"/>
  <c r="AF153" i="11"/>
  <c r="B526" i="7" s="1"/>
  <c r="AE153" i="11"/>
  <c r="B316" i="7" s="1"/>
  <c r="AD153" i="11"/>
  <c r="AC153" i="11"/>
  <c r="B436" i="7" s="1"/>
  <c r="AB153" i="11"/>
  <c r="B406" i="7" s="1"/>
  <c r="AA153" i="11"/>
  <c r="B376" i="7" s="1"/>
  <c r="Z153" i="11"/>
  <c r="B346" i="7" s="1"/>
  <c r="C346" i="7" s="1"/>
  <c r="Y153" i="11"/>
  <c r="B106" i="7" s="1"/>
  <c r="X153" i="11"/>
  <c r="B286" i="7" s="1"/>
  <c r="C286" i="7" s="1"/>
  <c r="W153" i="11"/>
  <c r="B256" i="7" s="1"/>
  <c r="C256" i="7" s="1"/>
  <c r="V153" i="11"/>
  <c r="B226" i="7" s="1"/>
  <c r="U153" i="11"/>
  <c r="B196" i="7" s="1"/>
  <c r="T153" i="11"/>
  <c r="B166" i="7" s="1"/>
  <c r="C166" i="7" s="1"/>
  <c r="S153" i="11"/>
  <c r="B136" i="7" s="1"/>
  <c r="AH151" i="11"/>
  <c r="B496" i="8" s="1"/>
  <c r="AG151" i="11"/>
  <c r="B556" i="8" s="1"/>
  <c r="C556" i="8" s="1"/>
  <c r="AF151" i="11"/>
  <c r="B526" i="8" s="1"/>
  <c r="AE151" i="11"/>
  <c r="B316" i="8" s="1"/>
  <c r="AD151" i="11"/>
  <c r="AC151" i="11"/>
  <c r="B436" i="8" s="1"/>
  <c r="AB151" i="11"/>
  <c r="B406" i="8" s="1"/>
  <c r="AA151" i="11"/>
  <c r="B376" i="8" s="1"/>
  <c r="Z151" i="11"/>
  <c r="B346" i="8" s="1"/>
  <c r="C346" i="8" s="1"/>
  <c r="Y151" i="11"/>
  <c r="B106" i="8" s="1"/>
  <c r="X151" i="11"/>
  <c r="B286" i="8" s="1"/>
  <c r="C286" i="8" s="1"/>
  <c r="W151" i="11"/>
  <c r="B256" i="8" s="1"/>
  <c r="C256" i="8" s="1"/>
  <c r="V151" i="11"/>
  <c r="B226" i="8" s="1"/>
  <c r="U151" i="11"/>
  <c r="B196" i="8" s="1"/>
  <c r="T151" i="11"/>
  <c r="B166" i="8" s="1"/>
  <c r="C166" i="8" s="1"/>
  <c r="S151" i="11"/>
  <c r="B136" i="8" s="1"/>
  <c r="AH148" i="11"/>
  <c r="AG148" i="11"/>
  <c r="AF148" i="11"/>
  <c r="AE148" i="11"/>
  <c r="AD148" i="11"/>
  <c r="AC148" i="11"/>
  <c r="AB148" i="11"/>
  <c r="AA148" i="11"/>
  <c r="Z148" i="11"/>
  <c r="Y148" i="11"/>
  <c r="X148" i="11"/>
  <c r="W148" i="11"/>
  <c r="V148" i="11"/>
  <c r="U148" i="11"/>
  <c r="T148" i="11"/>
  <c r="S148" i="11"/>
  <c r="AH146" i="11"/>
  <c r="AG146" i="11"/>
  <c r="AF146" i="11"/>
  <c r="AE146" i="11"/>
  <c r="AD146" i="11"/>
  <c r="AC146" i="11"/>
  <c r="AB146" i="11"/>
  <c r="AA146" i="11"/>
  <c r="Z146" i="11"/>
  <c r="Y146" i="11"/>
  <c r="X146" i="11"/>
  <c r="W146" i="11"/>
  <c r="V146" i="11"/>
  <c r="U146" i="11"/>
  <c r="T146" i="11"/>
  <c r="S146" i="11"/>
  <c r="AH144" i="11"/>
  <c r="L495" i="7" s="1"/>
  <c r="AG144" i="11"/>
  <c r="L555" i="7" s="1"/>
  <c r="M555" i="7" s="1"/>
  <c r="AF144" i="11"/>
  <c r="L525" i="7" s="1"/>
  <c r="AE144" i="11"/>
  <c r="L315" i="7" s="1"/>
  <c r="M315" i="7" s="1"/>
  <c r="AD144" i="11"/>
  <c r="AC144" i="11"/>
  <c r="L435" i="7" s="1"/>
  <c r="M435" i="7" s="1"/>
  <c r="AB144" i="11"/>
  <c r="L405" i="7" s="1"/>
  <c r="M405" i="7" s="1"/>
  <c r="AA144" i="11"/>
  <c r="L375" i="7" s="1"/>
  <c r="M375" i="7" s="1"/>
  <c r="Z144" i="11"/>
  <c r="L345" i="7" s="1"/>
  <c r="M345" i="7" s="1"/>
  <c r="Y144" i="11"/>
  <c r="X144" i="11"/>
  <c r="W144" i="11"/>
  <c r="V144" i="11"/>
  <c r="U144" i="11"/>
  <c r="T144" i="11"/>
  <c r="S144" i="11"/>
  <c r="AH142" i="11"/>
  <c r="L495" i="8" s="1"/>
  <c r="AG142" i="11"/>
  <c r="L555" i="8" s="1"/>
  <c r="M555" i="8" s="1"/>
  <c r="AF142" i="11"/>
  <c r="L525" i="8" s="1"/>
  <c r="AE142" i="11"/>
  <c r="L315" i="8" s="1"/>
  <c r="M315" i="8" s="1"/>
  <c r="AD142" i="11"/>
  <c r="AC142" i="11"/>
  <c r="L435" i="8" s="1"/>
  <c r="M435" i="8" s="1"/>
  <c r="AB142" i="11"/>
  <c r="L405" i="8" s="1"/>
  <c r="M405" i="8" s="1"/>
  <c r="AA142" i="11"/>
  <c r="L375" i="8" s="1"/>
  <c r="M375" i="8" s="1"/>
  <c r="Z142" i="11"/>
  <c r="L345" i="8" s="1"/>
  <c r="M345" i="8" s="1"/>
  <c r="Y142" i="11"/>
  <c r="X142" i="11"/>
  <c r="W142" i="11"/>
  <c r="V142" i="11"/>
  <c r="U142" i="11"/>
  <c r="T142" i="11"/>
  <c r="S142" i="11"/>
  <c r="AH140" i="11"/>
  <c r="J495" i="7" s="1"/>
  <c r="K495" i="7" s="1"/>
  <c r="AG140" i="11"/>
  <c r="J555" i="7" s="1"/>
  <c r="K555" i="7" s="1"/>
  <c r="AF140" i="11"/>
  <c r="J525" i="7" s="1"/>
  <c r="K525" i="7" s="1"/>
  <c r="AE140" i="11"/>
  <c r="J315" i="7" s="1"/>
  <c r="AD140" i="11"/>
  <c r="AC140" i="11"/>
  <c r="J435" i="7" s="1"/>
  <c r="AB140" i="11"/>
  <c r="J405" i="7" s="1"/>
  <c r="AA140" i="11"/>
  <c r="J375" i="7" s="1"/>
  <c r="Z140" i="11"/>
  <c r="J345" i="7" s="1"/>
  <c r="Y140" i="11"/>
  <c r="J105" i="7" s="1"/>
  <c r="X140" i="11"/>
  <c r="J285" i="7" s="1"/>
  <c r="W140" i="11"/>
  <c r="J255" i="7" s="1"/>
  <c r="V140" i="11"/>
  <c r="J225" i="7" s="1"/>
  <c r="U140" i="11"/>
  <c r="J195" i="7" s="1"/>
  <c r="T140" i="11"/>
  <c r="J165" i="7" s="1"/>
  <c r="S140" i="11"/>
  <c r="J135" i="7" s="1"/>
  <c r="AH138" i="11"/>
  <c r="J495" i="8" s="1"/>
  <c r="K495" i="8" s="1"/>
  <c r="AG138" i="11"/>
  <c r="J555" i="8" s="1"/>
  <c r="K555" i="8" s="1"/>
  <c r="AF138" i="11"/>
  <c r="J525" i="8" s="1"/>
  <c r="K525" i="8" s="1"/>
  <c r="AE138" i="11"/>
  <c r="J315" i="8" s="1"/>
  <c r="AD138" i="11"/>
  <c r="AC138" i="11"/>
  <c r="J435" i="8" s="1"/>
  <c r="AB138" i="11"/>
  <c r="J405" i="8" s="1"/>
  <c r="AA138" i="11"/>
  <c r="J375" i="8" s="1"/>
  <c r="Z138" i="11"/>
  <c r="J345" i="8" s="1"/>
  <c r="Y138" i="11"/>
  <c r="J105" i="8" s="1"/>
  <c r="X138" i="11"/>
  <c r="J285" i="8" s="1"/>
  <c r="W138" i="11"/>
  <c r="J255" i="8" s="1"/>
  <c r="V138" i="11"/>
  <c r="J225" i="8" s="1"/>
  <c r="U138" i="11"/>
  <c r="J195" i="8" s="1"/>
  <c r="T138" i="11"/>
  <c r="J165" i="8" s="1"/>
  <c r="S138" i="11"/>
  <c r="J135" i="8" s="1"/>
  <c r="AH136" i="11"/>
  <c r="H495" i="7" s="1"/>
  <c r="I495" i="7" s="1"/>
  <c r="AG136" i="11"/>
  <c r="H555" i="7" s="1"/>
  <c r="I555" i="7" s="1"/>
  <c r="AF136" i="11"/>
  <c r="H525" i="7" s="1"/>
  <c r="I525" i="7" s="1"/>
  <c r="AE136" i="11"/>
  <c r="H315" i="7" s="1"/>
  <c r="AD136" i="11"/>
  <c r="AC136" i="11"/>
  <c r="H435" i="7" s="1"/>
  <c r="AB136" i="11"/>
  <c r="H405" i="7" s="1"/>
  <c r="AA136" i="11"/>
  <c r="H375" i="7" s="1"/>
  <c r="Z136" i="11"/>
  <c r="H345" i="7" s="1"/>
  <c r="Y136" i="11"/>
  <c r="H105" i="7" s="1"/>
  <c r="X136" i="11"/>
  <c r="H285" i="7" s="1"/>
  <c r="W136" i="11"/>
  <c r="H255" i="7" s="1"/>
  <c r="V136" i="11"/>
  <c r="H225" i="7" s="1"/>
  <c r="U136" i="11"/>
  <c r="H195" i="7" s="1"/>
  <c r="T136" i="11"/>
  <c r="H165" i="7" s="1"/>
  <c r="S136" i="11"/>
  <c r="H135" i="7" s="1"/>
  <c r="AH134" i="11"/>
  <c r="H495" i="8" s="1"/>
  <c r="I495" i="8" s="1"/>
  <c r="AG134" i="11"/>
  <c r="H555" i="8" s="1"/>
  <c r="I555" i="8" s="1"/>
  <c r="AF134" i="11"/>
  <c r="H525" i="8" s="1"/>
  <c r="I525" i="8" s="1"/>
  <c r="AE134" i="11"/>
  <c r="H315" i="8" s="1"/>
  <c r="AD134" i="11"/>
  <c r="AC134" i="11"/>
  <c r="H435" i="8" s="1"/>
  <c r="AB134" i="11"/>
  <c r="H405" i="8" s="1"/>
  <c r="AA134" i="11"/>
  <c r="H375" i="8" s="1"/>
  <c r="Z134" i="11"/>
  <c r="H345" i="8" s="1"/>
  <c r="Y134" i="11"/>
  <c r="H105" i="8" s="1"/>
  <c r="X134" i="11"/>
  <c r="H285" i="8" s="1"/>
  <c r="W134" i="11"/>
  <c r="H255" i="8" s="1"/>
  <c r="V134" i="11"/>
  <c r="H225" i="8" s="1"/>
  <c r="U134" i="11"/>
  <c r="H195" i="8" s="1"/>
  <c r="T134" i="11"/>
  <c r="H165" i="8" s="1"/>
  <c r="S134" i="11"/>
  <c r="H135" i="8" s="1"/>
  <c r="AH132" i="11"/>
  <c r="F495" i="7" s="1"/>
  <c r="G495" i="7" s="1"/>
  <c r="AG132" i="11"/>
  <c r="F555" i="7" s="1"/>
  <c r="G555" i="7" s="1"/>
  <c r="AF132" i="11"/>
  <c r="F525" i="7" s="1"/>
  <c r="G525" i="7" s="1"/>
  <c r="AE132" i="11"/>
  <c r="F315" i="7" s="1"/>
  <c r="AD132" i="11"/>
  <c r="AC132" i="11"/>
  <c r="F435" i="7" s="1"/>
  <c r="AB132" i="11"/>
  <c r="F405" i="7" s="1"/>
  <c r="AA132" i="11"/>
  <c r="F375" i="7" s="1"/>
  <c r="Z132" i="11"/>
  <c r="F345" i="7" s="1"/>
  <c r="Y132" i="11"/>
  <c r="F105" i="7" s="1"/>
  <c r="X132" i="11"/>
  <c r="F285" i="7" s="1"/>
  <c r="W132" i="11"/>
  <c r="F255" i="7" s="1"/>
  <c r="V132" i="11"/>
  <c r="F225" i="7" s="1"/>
  <c r="U132" i="11"/>
  <c r="F195" i="7" s="1"/>
  <c r="T132" i="11"/>
  <c r="F165" i="7" s="1"/>
  <c r="S132" i="11"/>
  <c r="F135" i="7" s="1"/>
  <c r="AH130" i="11"/>
  <c r="F495" i="8" s="1"/>
  <c r="G495" i="8" s="1"/>
  <c r="AG130" i="11"/>
  <c r="F555" i="8" s="1"/>
  <c r="G555" i="8" s="1"/>
  <c r="AF130" i="11"/>
  <c r="F525" i="8" s="1"/>
  <c r="G525" i="8" s="1"/>
  <c r="AE130" i="11"/>
  <c r="F315" i="8" s="1"/>
  <c r="AD130" i="11"/>
  <c r="AC130" i="11"/>
  <c r="F435" i="8" s="1"/>
  <c r="AB130" i="11"/>
  <c r="F405" i="8" s="1"/>
  <c r="AA130" i="11"/>
  <c r="F375" i="8" s="1"/>
  <c r="Z130" i="11"/>
  <c r="F345" i="8" s="1"/>
  <c r="Y130" i="11"/>
  <c r="F105" i="8" s="1"/>
  <c r="X130" i="11"/>
  <c r="F285" i="8" s="1"/>
  <c r="W130" i="11"/>
  <c r="F255" i="8" s="1"/>
  <c r="V130" i="11"/>
  <c r="F225" i="8" s="1"/>
  <c r="U130" i="11"/>
  <c r="F195" i="8" s="1"/>
  <c r="T130" i="11"/>
  <c r="F165" i="8" s="1"/>
  <c r="S130" i="11"/>
  <c r="F135" i="8" s="1"/>
  <c r="AH128" i="11"/>
  <c r="D495" i="7" s="1"/>
  <c r="E495" i="7" s="1"/>
  <c r="AG128" i="11"/>
  <c r="D555" i="7" s="1"/>
  <c r="E555" i="7" s="1"/>
  <c r="AF128" i="11"/>
  <c r="D525" i="7" s="1"/>
  <c r="E525" i="7" s="1"/>
  <c r="AE128" i="11"/>
  <c r="D315" i="7" s="1"/>
  <c r="AD128" i="11"/>
  <c r="AC128" i="11"/>
  <c r="D435" i="7" s="1"/>
  <c r="AB128" i="11"/>
  <c r="D405" i="7" s="1"/>
  <c r="AA128" i="11"/>
  <c r="D375" i="7" s="1"/>
  <c r="Z128" i="11"/>
  <c r="D345" i="7" s="1"/>
  <c r="Y128" i="11"/>
  <c r="D105" i="7" s="1"/>
  <c r="X128" i="11"/>
  <c r="D285" i="7" s="1"/>
  <c r="W128" i="11"/>
  <c r="D255" i="7" s="1"/>
  <c r="V128" i="11"/>
  <c r="D225" i="7" s="1"/>
  <c r="U128" i="11"/>
  <c r="D195" i="7" s="1"/>
  <c r="T128" i="11"/>
  <c r="D165" i="7" s="1"/>
  <c r="S128" i="11"/>
  <c r="D135" i="7" s="1"/>
  <c r="AH126" i="11"/>
  <c r="D495" i="8" s="1"/>
  <c r="E495" i="8" s="1"/>
  <c r="AG126" i="11"/>
  <c r="D555" i="8" s="1"/>
  <c r="E555" i="8" s="1"/>
  <c r="AF126" i="11"/>
  <c r="D525" i="8" s="1"/>
  <c r="E525" i="8" s="1"/>
  <c r="AE126" i="11"/>
  <c r="D315" i="8" s="1"/>
  <c r="AD126" i="11"/>
  <c r="AC126" i="11"/>
  <c r="D435" i="8" s="1"/>
  <c r="AB126" i="11"/>
  <c r="D405" i="8" s="1"/>
  <c r="AA126" i="11"/>
  <c r="D375" i="8" s="1"/>
  <c r="Z126" i="11"/>
  <c r="D345" i="8" s="1"/>
  <c r="Y126" i="11"/>
  <c r="D105" i="8" s="1"/>
  <c r="X126" i="11"/>
  <c r="D285" i="8" s="1"/>
  <c r="W126" i="11"/>
  <c r="D255" i="8" s="1"/>
  <c r="V126" i="11"/>
  <c r="D225" i="8" s="1"/>
  <c r="U126" i="11"/>
  <c r="D195" i="8" s="1"/>
  <c r="T126" i="11"/>
  <c r="D165" i="8" s="1"/>
  <c r="S126" i="11"/>
  <c r="D135" i="8" s="1"/>
  <c r="AH124" i="11"/>
  <c r="B495" i="7" s="1"/>
  <c r="C495" i="7" s="1"/>
  <c r="AG124" i="11"/>
  <c r="B555" i="7" s="1"/>
  <c r="C555" i="7" s="1"/>
  <c r="AF124" i="11"/>
  <c r="B525" i="7" s="1"/>
  <c r="C525" i="7" s="1"/>
  <c r="AE124" i="11"/>
  <c r="B315" i="7" s="1"/>
  <c r="AD124" i="11"/>
  <c r="AC124" i="11"/>
  <c r="B435" i="7" s="1"/>
  <c r="AB124" i="11"/>
  <c r="B405" i="7" s="1"/>
  <c r="AA124" i="11"/>
  <c r="B375" i="7" s="1"/>
  <c r="Z124" i="11"/>
  <c r="B345" i="7" s="1"/>
  <c r="Y124" i="11"/>
  <c r="B105" i="7" s="1"/>
  <c r="X124" i="11"/>
  <c r="B285" i="7" s="1"/>
  <c r="W124" i="11"/>
  <c r="B255" i="7" s="1"/>
  <c r="V124" i="11"/>
  <c r="B225" i="7" s="1"/>
  <c r="U124" i="11"/>
  <c r="B195" i="7" s="1"/>
  <c r="T124" i="11"/>
  <c r="B165" i="7" s="1"/>
  <c r="S124" i="11"/>
  <c r="B135" i="7" s="1"/>
  <c r="AH122" i="11"/>
  <c r="B495" i="8" s="1"/>
  <c r="C495" i="8" s="1"/>
  <c r="AG122" i="11"/>
  <c r="B555" i="8" s="1"/>
  <c r="C555" i="8" s="1"/>
  <c r="AF122" i="11"/>
  <c r="B525" i="8" s="1"/>
  <c r="C525" i="8" s="1"/>
  <c r="AE122" i="11"/>
  <c r="B315" i="8" s="1"/>
  <c r="AD122" i="11"/>
  <c r="AC122" i="11"/>
  <c r="B435" i="8" s="1"/>
  <c r="AB122" i="11"/>
  <c r="B405" i="8" s="1"/>
  <c r="AA122" i="11"/>
  <c r="B375" i="8" s="1"/>
  <c r="Z122" i="11"/>
  <c r="B345" i="8" s="1"/>
  <c r="Y122" i="11"/>
  <c r="B105" i="8" s="1"/>
  <c r="X122" i="11"/>
  <c r="B285" i="8" s="1"/>
  <c r="W122" i="11"/>
  <c r="B255" i="8" s="1"/>
  <c r="V122" i="11"/>
  <c r="B225" i="8" s="1"/>
  <c r="U122" i="11"/>
  <c r="B195" i="8" s="1"/>
  <c r="T122" i="11"/>
  <c r="B165" i="8" s="1"/>
  <c r="S122" i="11"/>
  <c r="B135" i="8" s="1"/>
  <c r="AH119" i="11"/>
  <c r="AG119" i="11"/>
  <c r="AF119" i="11"/>
  <c r="AE119" i="11"/>
  <c r="AD119" i="11"/>
  <c r="AC119" i="11"/>
  <c r="AB119" i="11"/>
  <c r="AA119" i="11"/>
  <c r="Z119" i="11"/>
  <c r="Y119" i="11"/>
  <c r="X119" i="11"/>
  <c r="W119" i="11"/>
  <c r="V119" i="11"/>
  <c r="U119" i="11"/>
  <c r="T119" i="11"/>
  <c r="S119" i="11"/>
  <c r="AH117" i="11"/>
  <c r="AG117" i="11"/>
  <c r="AF117" i="11"/>
  <c r="AE117" i="11"/>
  <c r="AD117" i="11"/>
  <c r="AC117" i="11"/>
  <c r="AB117" i="11"/>
  <c r="AA117" i="11"/>
  <c r="Z117" i="11"/>
  <c r="Y117" i="11"/>
  <c r="X117" i="11"/>
  <c r="W117" i="11"/>
  <c r="V117" i="11"/>
  <c r="U117" i="11"/>
  <c r="T117" i="11"/>
  <c r="S117" i="11"/>
  <c r="AH115" i="11"/>
  <c r="L493" i="7" s="1"/>
  <c r="M493" i="7" s="1"/>
  <c r="AG115" i="11"/>
  <c r="L553" i="7" s="1"/>
  <c r="M553" i="7" s="1"/>
  <c r="AF115" i="11"/>
  <c r="L523" i="7" s="1"/>
  <c r="M523" i="7" s="1"/>
  <c r="AE115" i="11"/>
  <c r="L313" i="7" s="1"/>
  <c r="AD115" i="11"/>
  <c r="AC115" i="11"/>
  <c r="L433" i="7" s="1"/>
  <c r="AB115" i="11"/>
  <c r="L403" i="7" s="1"/>
  <c r="AA115" i="11"/>
  <c r="L373" i="7" s="1"/>
  <c r="Z115" i="11"/>
  <c r="L343" i="7" s="1"/>
  <c r="Y115" i="11"/>
  <c r="X115" i="11"/>
  <c r="W115" i="11"/>
  <c r="V115" i="11"/>
  <c r="U115" i="11"/>
  <c r="T115" i="11"/>
  <c r="S115" i="11"/>
  <c r="AH113" i="11"/>
  <c r="L493" i="8" s="1"/>
  <c r="M493" i="8" s="1"/>
  <c r="AG113" i="11"/>
  <c r="L553" i="8" s="1"/>
  <c r="M553" i="8" s="1"/>
  <c r="AF113" i="11"/>
  <c r="L523" i="8" s="1"/>
  <c r="M523" i="8" s="1"/>
  <c r="AE113" i="11"/>
  <c r="L313" i="8" s="1"/>
  <c r="AD113" i="11"/>
  <c r="AC113" i="11"/>
  <c r="L433" i="8" s="1"/>
  <c r="AB113" i="11"/>
  <c r="L403" i="8" s="1"/>
  <c r="AA113" i="11"/>
  <c r="L373" i="8" s="1"/>
  <c r="Z113" i="11"/>
  <c r="L343" i="8" s="1"/>
  <c r="Y113" i="11"/>
  <c r="X113" i="11"/>
  <c r="W113" i="11"/>
  <c r="V113" i="11"/>
  <c r="U113" i="11"/>
  <c r="T113" i="11"/>
  <c r="S113" i="11"/>
  <c r="AH111" i="11"/>
  <c r="J493" i="7" s="1"/>
  <c r="K493" i="7" s="1"/>
  <c r="AG111" i="11"/>
  <c r="J553" i="7" s="1"/>
  <c r="K553" i="7" s="1"/>
  <c r="AF111" i="11"/>
  <c r="J523" i="7" s="1"/>
  <c r="K523" i="7" s="1"/>
  <c r="AE111" i="11"/>
  <c r="J313" i="7" s="1"/>
  <c r="K313" i="7" s="1"/>
  <c r="AD111" i="11"/>
  <c r="AC111" i="11"/>
  <c r="J433" i="7" s="1"/>
  <c r="K433" i="7" s="1"/>
  <c r="AB111" i="11"/>
  <c r="J403" i="7" s="1"/>
  <c r="K403" i="7" s="1"/>
  <c r="AA111" i="11"/>
  <c r="J373" i="7" s="1"/>
  <c r="K373" i="7" s="1"/>
  <c r="Z111" i="11"/>
  <c r="J343" i="7" s="1"/>
  <c r="K343" i="7" s="1"/>
  <c r="Y111" i="11"/>
  <c r="J103" i="7" s="1"/>
  <c r="X111" i="11"/>
  <c r="J283" i="7" s="1"/>
  <c r="K283" i="7" s="1"/>
  <c r="W111" i="11"/>
  <c r="J253" i="7" s="1"/>
  <c r="K253" i="7" s="1"/>
  <c r="V111" i="11"/>
  <c r="J223" i="7" s="1"/>
  <c r="U111" i="11"/>
  <c r="J193" i="7" s="1"/>
  <c r="T111" i="11"/>
  <c r="J163" i="7" s="1"/>
  <c r="S111" i="11"/>
  <c r="J133" i="7" s="1"/>
  <c r="AH109" i="11"/>
  <c r="J493" i="8" s="1"/>
  <c r="K493" i="8" s="1"/>
  <c r="AG109" i="11"/>
  <c r="J553" i="8" s="1"/>
  <c r="K553" i="8" s="1"/>
  <c r="AF109" i="11"/>
  <c r="J523" i="8" s="1"/>
  <c r="K523" i="8" s="1"/>
  <c r="AE109" i="11"/>
  <c r="J313" i="8" s="1"/>
  <c r="K313" i="8" s="1"/>
  <c r="AD109" i="11"/>
  <c r="AC109" i="11"/>
  <c r="J433" i="8" s="1"/>
  <c r="K433" i="8" s="1"/>
  <c r="AB109" i="11"/>
  <c r="J403" i="8" s="1"/>
  <c r="K403" i="8" s="1"/>
  <c r="AA109" i="11"/>
  <c r="J373" i="8" s="1"/>
  <c r="K373" i="8" s="1"/>
  <c r="Z109" i="11"/>
  <c r="J343" i="8" s="1"/>
  <c r="K343" i="8" s="1"/>
  <c r="Y109" i="11"/>
  <c r="J103" i="8" s="1"/>
  <c r="X109" i="11"/>
  <c r="J283" i="8" s="1"/>
  <c r="K283" i="8" s="1"/>
  <c r="W109" i="11"/>
  <c r="J253" i="8" s="1"/>
  <c r="K253" i="8" s="1"/>
  <c r="V109" i="11"/>
  <c r="J223" i="8" s="1"/>
  <c r="K223" i="8" s="1"/>
  <c r="U109" i="11"/>
  <c r="J193" i="8" s="1"/>
  <c r="T109" i="11"/>
  <c r="J163" i="8" s="1"/>
  <c r="S109" i="11"/>
  <c r="J133" i="8" s="1"/>
  <c r="AH107" i="11"/>
  <c r="H493" i="7" s="1"/>
  <c r="I493" i="7" s="1"/>
  <c r="AG107" i="11"/>
  <c r="H553" i="7" s="1"/>
  <c r="I553" i="7" s="1"/>
  <c r="AF107" i="11"/>
  <c r="H523" i="7" s="1"/>
  <c r="I523" i="7" s="1"/>
  <c r="AE107" i="11"/>
  <c r="H313" i="7" s="1"/>
  <c r="I313" i="7" s="1"/>
  <c r="AD107" i="11"/>
  <c r="AC107" i="11"/>
  <c r="H433" i="7" s="1"/>
  <c r="I433" i="7" s="1"/>
  <c r="AB107" i="11"/>
  <c r="H403" i="7" s="1"/>
  <c r="I403" i="7" s="1"/>
  <c r="AA107" i="11"/>
  <c r="H373" i="7" s="1"/>
  <c r="I373" i="7" s="1"/>
  <c r="Z107" i="11"/>
  <c r="H343" i="7" s="1"/>
  <c r="I343" i="7" s="1"/>
  <c r="Y107" i="11"/>
  <c r="H103" i="7" s="1"/>
  <c r="X107" i="11"/>
  <c r="H283" i="7" s="1"/>
  <c r="W107" i="11"/>
  <c r="H253" i="7" s="1"/>
  <c r="I253" i="7" s="1"/>
  <c r="V107" i="11"/>
  <c r="H223" i="7" s="1"/>
  <c r="U107" i="11"/>
  <c r="H193" i="7" s="1"/>
  <c r="T107" i="11"/>
  <c r="H163" i="7" s="1"/>
  <c r="S107" i="11"/>
  <c r="H133" i="7" s="1"/>
  <c r="AH105" i="11"/>
  <c r="H493" i="8" s="1"/>
  <c r="I493" i="8" s="1"/>
  <c r="AG105" i="11"/>
  <c r="H553" i="8" s="1"/>
  <c r="I553" i="8" s="1"/>
  <c r="AF105" i="11"/>
  <c r="H523" i="8" s="1"/>
  <c r="I523" i="8" s="1"/>
  <c r="AE105" i="11"/>
  <c r="H313" i="8" s="1"/>
  <c r="I313" i="8" s="1"/>
  <c r="AD105" i="11"/>
  <c r="AC105" i="11"/>
  <c r="H433" i="8" s="1"/>
  <c r="I433" i="8" s="1"/>
  <c r="AB105" i="11"/>
  <c r="H403" i="8" s="1"/>
  <c r="I403" i="8" s="1"/>
  <c r="AA105" i="11"/>
  <c r="H373" i="8" s="1"/>
  <c r="I373" i="8" s="1"/>
  <c r="Z105" i="11"/>
  <c r="H343" i="8" s="1"/>
  <c r="I343" i="8" s="1"/>
  <c r="Y105" i="11"/>
  <c r="H103" i="8" s="1"/>
  <c r="X105" i="11"/>
  <c r="H283" i="8" s="1"/>
  <c r="W105" i="11"/>
  <c r="H253" i="8" s="1"/>
  <c r="I253" i="8" s="1"/>
  <c r="V105" i="11"/>
  <c r="H223" i="8" s="1"/>
  <c r="U105" i="11"/>
  <c r="H193" i="8" s="1"/>
  <c r="T105" i="11"/>
  <c r="H163" i="8" s="1"/>
  <c r="S105" i="11"/>
  <c r="H133" i="8" s="1"/>
  <c r="AH103" i="11"/>
  <c r="F493" i="7" s="1"/>
  <c r="G493" i="7" s="1"/>
  <c r="AG103" i="11"/>
  <c r="F553" i="7" s="1"/>
  <c r="G553" i="7" s="1"/>
  <c r="AF103" i="11"/>
  <c r="F523" i="7" s="1"/>
  <c r="G523" i="7" s="1"/>
  <c r="AE103" i="11"/>
  <c r="F313" i="7" s="1"/>
  <c r="G313" i="7" s="1"/>
  <c r="AD103" i="11"/>
  <c r="AC103" i="11"/>
  <c r="F433" i="7" s="1"/>
  <c r="G433" i="7" s="1"/>
  <c r="AB103" i="11"/>
  <c r="F403" i="7" s="1"/>
  <c r="G403" i="7" s="1"/>
  <c r="AA103" i="11"/>
  <c r="F373" i="7" s="1"/>
  <c r="G373" i="7" s="1"/>
  <c r="Z103" i="11"/>
  <c r="F343" i="7" s="1"/>
  <c r="G343" i="7" s="1"/>
  <c r="Y103" i="11"/>
  <c r="F103" i="7" s="1"/>
  <c r="X103" i="11"/>
  <c r="F283" i="7" s="1"/>
  <c r="W103" i="11"/>
  <c r="F253" i="7" s="1"/>
  <c r="G253" i="7" s="1"/>
  <c r="V103" i="11"/>
  <c r="F223" i="7" s="1"/>
  <c r="U103" i="11"/>
  <c r="F193" i="7" s="1"/>
  <c r="T103" i="11"/>
  <c r="F163" i="7" s="1"/>
  <c r="S103" i="11"/>
  <c r="F133" i="7" s="1"/>
  <c r="AH101" i="11"/>
  <c r="F493" i="8" s="1"/>
  <c r="G493" i="8" s="1"/>
  <c r="AG101" i="11"/>
  <c r="F553" i="8" s="1"/>
  <c r="G553" i="8" s="1"/>
  <c r="AF101" i="11"/>
  <c r="F523" i="8" s="1"/>
  <c r="G523" i="8" s="1"/>
  <c r="AE101" i="11"/>
  <c r="F313" i="8" s="1"/>
  <c r="G313" i="8" s="1"/>
  <c r="AD101" i="11"/>
  <c r="AC101" i="11"/>
  <c r="F433" i="8" s="1"/>
  <c r="G433" i="8" s="1"/>
  <c r="AB101" i="11"/>
  <c r="F403" i="8" s="1"/>
  <c r="G403" i="8" s="1"/>
  <c r="AA101" i="11"/>
  <c r="F373" i="8" s="1"/>
  <c r="G373" i="8" s="1"/>
  <c r="Z101" i="11"/>
  <c r="F343" i="8" s="1"/>
  <c r="G343" i="8" s="1"/>
  <c r="Y101" i="11"/>
  <c r="F103" i="8" s="1"/>
  <c r="X101" i="11"/>
  <c r="F283" i="8" s="1"/>
  <c r="W101" i="11"/>
  <c r="F253" i="8" s="1"/>
  <c r="G253" i="8" s="1"/>
  <c r="V101" i="11"/>
  <c r="F223" i="8" s="1"/>
  <c r="U101" i="11"/>
  <c r="F193" i="8" s="1"/>
  <c r="T101" i="11"/>
  <c r="F163" i="8" s="1"/>
  <c r="S101" i="11"/>
  <c r="F133" i="8" s="1"/>
  <c r="AH99" i="11"/>
  <c r="D493" i="7" s="1"/>
  <c r="E493" i="7" s="1"/>
  <c r="AG99" i="11"/>
  <c r="D553" i="7" s="1"/>
  <c r="E553" i="7" s="1"/>
  <c r="AF99" i="11"/>
  <c r="D523" i="7" s="1"/>
  <c r="E523" i="7" s="1"/>
  <c r="AE99" i="11"/>
  <c r="D313" i="7" s="1"/>
  <c r="E313" i="7" s="1"/>
  <c r="AD99" i="11"/>
  <c r="AC99" i="11"/>
  <c r="D433" i="7" s="1"/>
  <c r="E433" i="7" s="1"/>
  <c r="AB99" i="11"/>
  <c r="D403" i="7" s="1"/>
  <c r="E403" i="7" s="1"/>
  <c r="AA99" i="11"/>
  <c r="D373" i="7" s="1"/>
  <c r="E373" i="7" s="1"/>
  <c r="Z99" i="11"/>
  <c r="D343" i="7" s="1"/>
  <c r="E343" i="7" s="1"/>
  <c r="Y99" i="11"/>
  <c r="D103" i="7" s="1"/>
  <c r="X99" i="11"/>
  <c r="D283" i="7" s="1"/>
  <c r="W99" i="11"/>
  <c r="D253" i="7" s="1"/>
  <c r="E253" i="7" s="1"/>
  <c r="V99" i="11"/>
  <c r="D223" i="7" s="1"/>
  <c r="U99" i="11"/>
  <c r="D193" i="7" s="1"/>
  <c r="T99" i="11"/>
  <c r="D163" i="7" s="1"/>
  <c r="S99" i="11"/>
  <c r="D133" i="7" s="1"/>
  <c r="AH97" i="11"/>
  <c r="D493" i="8" s="1"/>
  <c r="E493" i="8" s="1"/>
  <c r="AG97" i="11"/>
  <c r="D553" i="8" s="1"/>
  <c r="E553" i="8" s="1"/>
  <c r="AF97" i="11"/>
  <c r="D523" i="8" s="1"/>
  <c r="E523" i="8" s="1"/>
  <c r="AE97" i="11"/>
  <c r="D313" i="8" s="1"/>
  <c r="E313" i="8" s="1"/>
  <c r="AD97" i="11"/>
  <c r="AC97" i="11"/>
  <c r="D433" i="8" s="1"/>
  <c r="E433" i="8" s="1"/>
  <c r="AB97" i="11"/>
  <c r="D403" i="8" s="1"/>
  <c r="E403" i="8" s="1"/>
  <c r="AA97" i="11"/>
  <c r="D373" i="8" s="1"/>
  <c r="E373" i="8" s="1"/>
  <c r="Z97" i="11"/>
  <c r="D343" i="8" s="1"/>
  <c r="E343" i="8" s="1"/>
  <c r="Y97" i="11"/>
  <c r="D103" i="8" s="1"/>
  <c r="X97" i="11"/>
  <c r="D283" i="8" s="1"/>
  <c r="W97" i="11"/>
  <c r="D253" i="8" s="1"/>
  <c r="E253" i="8" s="1"/>
  <c r="V97" i="11"/>
  <c r="D223" i="8" s="1"/>
  <c r="U97" i="11"/>
  <c r="D193" i="8" s="1"/>
  <c r="T97" i="11"/>
  <c r="D163" i="8" s="1"/>
  <c r="S97" i="11"/>
  <c r="D133" i="8" s="1"/>
  <c r="AH95" i="11"/>
  <c r="B493" i="7" s="1"/>
  <c r="C493" i="7" s="1"/>
  <c r="AG95" i="11"/>
  <c r="B553" i="7" s="1"/>
  <c r="C553" i="7" s="1"/>
  <c r="AF95" i="11"/>
  <c r="B523" i="7" s="1"/>
  <c r="C523" i="7" s="1"/>
  <c r="AE95" i="11"/>
  <c r="B313" i="7" s="1"/>
  <c r="C313" i="7" s="1"/>
  <c r="AD95" i="11"/>
  <c r="AC95" i="11"/>
  <c r="B433" i="7" s="1"/>
  <c r="C433" i="7" s="1"/>
  <c r="AB95" i="11"/>
  <c r="B403" i="7" s="1"/>
  <c r="C403" i="7" s="1"/>
  <c r="AA95" i="11"/>
  <c r="B373" i="7" s="1"/>
  <c r="C373" i="7" s="1"/>
  <c r="Z95" i="11"/>
  <c r="B343" i="7" s="1"/>
  <c r="C343" i="7" s="1"/>
  <c r="Y95" i="11"/>
  <c r="B103" i="7" s="1"/>
  <c r="X95" i="11"/>
  <c r="B283" i="7" s="1"/>
  <c r="W95" i="11"/>
  <c r="B253" i="7" s="1"/>
  <c r="C253" i="7" s="1"/>
  <c r="V95" i="11"/>
  <c r="B223" i="7" s="1"/>
  <c r="U95" i="11"/>
  <c r="B193" i="7" s="1"/>
  <c r="T95" i="11"/>
  <c r="B163" i="7" s="1"/>
  <c r="S95" i="11"/>
  <c r="B133" i="7" s="1"/>
  <c r="AH93" i="11"/>
  <c r="B493" i="8" s="1"/>
  <c r="C493" i="8" s="1"/>
  <c r="AG93" i="11"/>
  <c r="B553" i="8" s="1"/>
  <c r="C553" i="8" s="1"/>
  <c r="AF93" i="11"/>
  <c r="B523" i="8" s="1"/>
  <c r="C523" i="8" s="1"/>
  <c r="AE93" i="11"/>
  <c r="B313" i="8" s="1"/>
  <c r="C313" i="8" s="1"/>
  <c r="AD93" i="11"/>
  <c r="AC93" i="11"/>
  <c r="B433" i="8" s="1"/>
  <c r="C433" i="8" s="1"/>
  <c r="AB93" i="11"/>
  <c r="B403" i="8" s="1"/>
  <c r="C403" i="8" s="1"/>
  <c r="AA93" i="11"/>
  <c r="B373" i="8" s="1"/>
  <c r="C373" i="8" s="1"/>
  <c r="Z93" i="11"/>
  <c r="B343" i="8" s="1"/>
  <c r="C343" i="8" s="1"/>
  <c r="Y93" i="11"/>
  <c r="B103" i="8" s="1"/>
  <c r="X93" i="11"/>
  <c r="B283" i="8" s="1"/>
  <c r="W93" i="11"/>
  <c r="B253" i="8" s="1"/>
  <c r="C253" i="8" s="1"/>
  <c r="V93" i="11"/>
  <c r="B223" i="8" s="1"/>
  <c r="U93" i="11"/>
  <c r="B193" i="8" s="1"/>
  <c r="T93" i="11"/>
  <c r="B163" i="8" s="1"/>
  <c r="S93" i="11"/>
  <c r="B133" i="8" s="1"/>
  <c r="AH90" i="11"/>
  <c r="AG90" i="11"/>
  <c r="AF90" i="11"/>
  <c r="AE90" i="11"/>
  <c r="AD90" i="11"/>
  <c r="AC90" i="11"/>
  <c r="AB90" i="11"/>
  <c r="AA90" i="11"/>
  <c r="Z90" i="11"/>
  <c r="Y90" i="11"/>
  <c r="X90" i="11"/>
  <c r="W90" i="11"/>
  <c r="V90" i="11"/>
  <c r="U90" i="11"/>
  <c r="T90" i="11"/>
  <c r="S90" i="11"/>
  <c r="AH88" i="11"/>
  <c r="AG88" i="11"/>
  <c r="AF88" i="11"/>
  <c r="AE88" i="11"/>
  <c r="AD88" i="11"/>
  <c r="AC88" i="11"/>
  <c r="AB88" i="11"/>
  <c r="AA88" i="11"/>
  <c r="Z88" i="11"/>
  <c r="Y88" i="11"/>
  <c r="X88" i="11"/>
  <c r="W88" i="11"/>
  <c r="V88" i="11"/>
  <c r="U88" i="11"/>
  <c r="T88" i="11"/>
  <c r="S88" i="11"/>
  <c r="AH86" i="11"/>
  <c r="L492" i="7" s="1"/>
  <c r="M492" i="7" s="1"/>
  <c r="AG86" i="11"/>
  <c r="L552" i="7" s="1"/>
  <c r="M552" i="7" s="1"/>
  <c r="AF86" i="11"/>
  <c r="L522" i="7" s="1"/>
  <c r="M522" i="7" s="1"/>
  <c r="AE86" i="11"/>
  <c r="L312" i="7" s="1"/>
  <c r="AD86" i="11"/>
  <c r="AC86" i="11"/>
  <c r="L432" i="7" s="1"/>
  <c r="M432" i="7" s="1"/>
  <c r="AB86" i="11"/>
  <c r="L402" i="7" s="1"/>
  <c r="AA86" i="11"/>
  <c r="L372" i="7" s="1"/>
  <c r="Z86" i="11"/>
  <c r="L342" i="7" s="1"/>
  <c r="M342" i="7" s="1"/>
  <c r="Y86" i="11"/>
  <c r="X86" i="11"/>
  <c r="W86" i="11"/>
  <c r="V86" i="11"/>
  <c r="U86" i="11"/>
  <c r="T86" i="11"/>
  <c r="S86" i="11"/>
  <c r="AH84" i="11"/>
  <c r="L492" i="8" s="1"/>
  <c r="M492" i="8" s="1"/>
  <c r="AG84" i="11"/>
  <c r="L552" i="8" s="1"/>
  <c r="M552" i="8" s="1"/>
  <c r="AF84" i="11"/>
  <c r="L522" i="8" s="1"/>
  <c r="M522" i="8" s="1"/>
  <c r="AE84" i="11"/>
  <c r="L312" i="8" s="1"/>
  <c r="AD84" i="11"/>
  <c r="AC84" i="11"/>
  <c r="L432" i="8" s="1"/>
  <c r="M432" i="8" s="1"/>
  <c r="AB84" i="11"/>
  <c r="L402" i="8" s="1"/>
  <c r="AA84" i="11"/>
  <c r="L372" i="8" s="1"/>
  <c r="Z84" i="11"/>
  <c r="L342" i="8" s="1"/>
  <c r="M342" i="8" s="1"/>
  <c r="Y84" i="11"/>
  <c r="X84" i="11"/>
  <c r="W84" i="11"/>
  <c r="V84" i="11"/>
  <c r="U84" i="11"/>
  <c r="T84" i="11"/>
  <c r="S84" i="11"/>
  <c r="AH82" i="11"/>
  <c r="J492" i="7" s="1"/>
  <c r="K492" i="7" s="1"/>
  <c r="AG82" i="11"/>
  <c r="J552" i="7" s="1"/>
  <c r="K552" i="7" s="1"/>
  <c r="AF82" i="11"/>
  <c r="J522" i="7" s="1"/>
  <c r="K522" i="7" s="1"/>
  <c r="AE82" i="11"/>
  <c r="J312" i="7" s="1"/>
  <c r="K312" i="7" s="1"/>
  <c r="AD82" i="11"/>
  <c r="AC82" i="11"/>
  <c r="J432" i="7" s="1"/>
  <c r="K432" i="7" s="1"/>
  <c r="AB82" i="11"/>
  <c r="J402" i="7" s="1"/>
  <c r="K402" i="7" s="1"/>
  <c r="AA82" i="11"/>
  <c r="J372" i="7" s="1"/>
  <c r="K372" i="7" s="1"/>
  <c r="Z82" i="11"/>
  <c r="J342" i="7" s="1"/>
  <c r="K342" i="7" s="1"/>
  <c r="Y82" i="11"/>
  <c r="J102" i="7" s="1"/>
  <c r="K102" i="7" s="1"/>
  <c r="X82" i="11"/>
  <c r="J282" i="7" s="1"/>
  <c r="K282" i="7" s="1"/>
  <c r="W82" i="11"/>
  <c r="J252" i="7" s="1"/>
  <c r="K252" i="7" s="1"/>
  <c r="V82" i="11"/>
  <c r="J222" i="7" s="1"/>
  <c r="K222" i="7" s="1"/>
  <c r="U82" i="11"/>
  <c r="J192" i="7" s="1"/>
  <c r="K192" i="7" s="1"/>
  <c r="T82" i="11"/>
  <c r="J162" i="7" s="1"/>
  <c r="K162" i="7" s="1"/>
  <c r="S82" i="11"/>
  <c r="J132" i="7" s="1"/>
  <c r="K132" i="7" s="1"/>
  <c r="AH80" i="11"/>
  <c r="J492" i="8" s="1"/>
  <c r="K492" i="8" s="1"/>
  <c r="AG80" i="11"/>
  <c r="J552" i="8" s="1"/>
  <c r="K552" i="8" s="1"/>
  <c r="AF80" i="11"/>
  <c r="J522" i="8" s="1"/>
  <c r="K522" i="8" s="1"/>
  <c r="AE80" i="11"/>
  <c r="J312" i="8" s="1"/>
  <c r="K312" i="8" s="1"/>
  <c r="AD80" i="11"/>
  <c r="AC80" i="11"/>
  <c r="J432" i="8" s="1"/>
  <c r="K432" i="8" s="1"/>
  <c r="AB80" i="11"/>
  <c r="J402" i="8" s="1"/>
  <c r="K402" i="8" s="1"/>
  <c r="AA80" i="11"/>
  <c r="J372" i="8" s="1"/>
  <c r="K372" i="8" s="1"/>
  <c r="Z80" i="11"/>
  <c r="J342" i="8" s="1"/>
  <c r="K342" i="8" s="1"/>
  <c r="Y80" i="11"/>
  <c r="J102" i="8" s="1"/>
  <c r="X80" i="11"/>
  <c r="J282" i="8" s="1"/>
  <c r="K282" i="8" s="1"/>
  <c r="W80" i="11"/>
  <c r="J252" i="8" s="1"/>
  <c r="K252" i="8" s="1"/>
  <c r="V80" i="11"/>
  <c r="J222" i="8" s="1"/>
  <c r="K222" i="8" s="1"/>
  <c r="U80" i="11"/>
  <c r="J192" i="8" s="1"/>
  <c r="T80" i="11"/>
  <c r="J162" i="8" s="1"/>
  <c r="K162" i="8" s="1"/>
  <c r="S80" i="11"/>
  <c r="J132" i="8" s="1"/>
  <c r="K132" i="8" s="1"/>
  <c r="AH78" i="11"/>
  <c r="H492" i="7" s="1"/>
  <c r="I492" i="7" s="1"/>
  <c r="AG78" i="11"/>
  <c r="H552" i="7" s="1"/>
  <c r="I552" i="7" s="1"/>
  <c r="AF78" i="11"/>
  <c r="H522" i="7" s="1"/>
  <c r="I522" i="7" s="1"/>
  <c r="AE78" i="11"/>
  <c r="H312" i="7" s="1"/>
  <c r="I312" i="7" s="1"/>
  <c r="AD78" i="11"/>
  <c r="AC78" i="11"/>
  <c r="H432" i="7" s="1"/>
  <c r="I432" i="7" s="1"/>
  <c r="AB78" i="11"/>
  <c r="H402" i="7" s="1"/>
  <c r="I402" i="7" s="1"/>
  <c r="AA78" i="11"/>
  <c r="H372" i="7" s="1"/>
  <c r="I372" i="7" s="1"/>
  <c r="Z78" i="11"/>
  <c r="H342" i="7" s="1"/>
  <c r="I342" i="7" s="1"/>
  <c r="Y78" i="11"/>
  <c r="H102" i="7" s="1"/>
  <c r="X78" i="11"/>
  <c r="H282" i="7" s="1"/>
  <c r="I282" i="7" s="1"/>
  <c r="W78" i="11"/>
  <c r="H252" i="7" s="1"/>
  <c r="I252" i="7" s="1"/>
  <c r="V78" i="11"/>
  <c r="H222" i="7" s="1"/>
  <c r="I222" i="7" s="1"/>
  <c r="U78" i="11"/>
  <c r="H192" i="7" s="1"/>
  <c r="I192" i="7" s="1"/>
  <c r="T78" i="11"/>
  <c r="H162" i="7" s="1"/>
  <c r="I162" i="7" s="1"/>
  <c r="S78" i="11"/>
  <c r="H132" i="7" s="1"/>
  <c r="AH76" i="11"/>
  <c r="H492" i="8" s="1"/>
  <c r="I492" i="8" s="1"/>
  <c r="AG76" i="11"/>
  <c r="H552" i="8" s="1"/>
  <c r="I552" i="8" s="1"/>
  <c r="AF76" i="11"/>
  <c r="H522" i="8" s="1"/>
  <c r="I522" i="8" s="1"/>
  <c r="AE76" i="11"/>
  <c r="H312" i="8" s="1"/>
  <c r="I312" i="8" s="1"/>
  <c r="AD76" i="11"/>
  <c r="AT78" i="11" s="1"/>
  <c r="AC76" i="11"/>
  <c r="AB76" i="11"/>
  <c r="AA76" i="11"/>
  <c r="Z76" i="11"/>
  <c r="H342" i="8" s="1"/>
  <c r="I342" i="8" s="1"/>
  <c r="Y76" i="11"/>
  <c r="H102" i="8" s="1"/>
  <c r="X76" i="11"/>
  <c r="H282" i="8" s="1"/>
  <c r="I282" i="8" s="1"/>
  <c r="W76" i="11"/>
  <c r="V76" i="11"/>
  <c r="U76" i="11"/>
  <c r="H192" i="8" s="1"/>
  <c r="T76" i="11"/>
  <c r="S76" i="11"/>
  <c r="AH74" i="11"/>
  <c r="F492" i="7" s="1"/>
  <c r="G492" i="7" s="1"/>
  <c r="AG74" i="11"/>
  <c r="F552" i="7" s="1"/>
  <c r="G552" i="7" s="1"/>
  <c r="AF74" i="11"/>
  <c r="F522" i="7" s="1"/>
  <c r="G522" i="7" s="1"/>
  <c r="AE74" i="11"/>
  <c r="F312" i="7" s="1"/>
  <c r="G312" i="7" s="1"/>
  <c r="AD74" i="11"/>
  <c r="AC74" i="11"/>
  <c r="F432" i="7" s="1"/>
  <c r="G432" i="7" s="1"/>
  <c r="AB74" i="11"/>
  <c r="F402" i="7" s="1"/>
  <c r="G402" i="7" s="1"/>
  <c r="AA74" i="11"/>
  <c r="F372" i="7" s="1"/>
  <c r="G372" i="7" s="1"/>
  <c r="Z74" i="11"/>
  <c r="F342" i="7" s="1"/>
  <c r="G342" i="7" s="1"/>
  <c r="Y74" i="11"/>
  <c r="F102" i="7" s="1"/>
  <c r="X74" i="11"/>
  <c r="F282" i="7" s="1"/>
  <c r="G282" i="7" s="1"/>
  <c r="W74" i="11"/>
  <c r="F252" i="7" s="1"/>
  <c r="G252" i="7" s="1"/>
  <c r="V74" i="11"/>
  <c r="F222" i="7" s="1"/>
  <c r="G222" i="7" s="1"/>
  <c r="U74" i="11"/>
  <c r="F192" i="7" s="1"/>
  <c r="T74" i="11"/>
  <c r="F162" i="7" s="1"/>
  <c r="G162" i="7" s="1"/>
  <c r="S74" i="11"/>
  <c r="F132" i="7" s="1"/>
  <c r="AH72" i="11"/>
  <c r="F492" i="8" s="1"/>
  <c r="G492" i="8" s="1"/>
  <c r="AG72" i="11"/>
  <c r="F552" i="8" s="1"/>
  <c r="G552" i="8" s="1"/>
  <c r="AF72" i="11"/>
  <c r="F522" i="8" s="1"/>
  <c r="G522" i="8" s="1"/>
  <c r="AE72" i="11"/>
  <c r="AD72" i="11"/>
  <c r="AT74" i="11" s="1"/>
  <c r="AC72" i="11"/>
  <c r="AB72" i="11"/>
  <c r="AA72" i="11"/>
  <c r="Z72" i="11"/>
  <c r="F342" i="8" s="1"/>
  <c r="G342" i="8" s="1"/>
  <c r="Y72" i="11"/>
  <c r="X72" i="11"/>
  <c r="F282" i="8" s="1"/>
  <c r="G282" i="8" s="1"/>
  <c r="W72" i="11"/>
  <c r="V72" i="11"/>
  <c r="U72" i="11"/>
  <c r="T72" i="11"/>
  <c r="S72" i="11"/>
  <c r="AH70" i="11"/>
  <c r="D492" i="7" s="1"/>
  <c r="E492" i="7" s="1"/>
  <c r="AG70" i="11"/>
  <c r="D552" i="7" s="1"/>
  <c r="E552" i="7" s="1"/>
  <c r="AF70" i="11"/>
  <c r="D522" i="7" s="1"/>
  <c r="E522" i="7" s="1"/>
  <c r="AE70" i="11"/>
  <c r="D312" i="7" s="1"/>
  <c r="E312" i="7" s="1"/>
  <c r="AD70" i="11"/>
  <c r="AC70" i="11"/>
  <c r="D432" i="7" s="1"/>
  <c r="E432" i="7" s="1"/>
  <c r="AB70" i="11"/>
  <c r="D402" i="7" s="1"/>
  <c r="E402" i="7" s="1"/>
  <c r="AA70" i="11"/>
  <c r="D372" i="7" s="1"/>
  <c r="E372" i="7" s="1"/>
  <c r="Z70" i="11"/>
  <c r="D342" i="7" s="1"/>
  <c r="E342" i="7" s="1"/>
  <c r="Y70" i="11"/>
  <c r="D102" i="7" s="1"/>
  <c r="X70" i="11"/>
  <c r="D282" i="7" s="1"/>
  <c r="E282" i="7" s="1"/>
  <c r="W70" i="11"/>
  <c r="D252" i="7" s="1"/>
  <c r="E252" i="7" s="1"/>
  <c r="V70" i="11"/>
  <c r="D222" i="7" s="1"/>
  <c r="E222" i="7" s="1"/>
  <c r="U70" i="11"/>
  <c r="D192" i="7" s="1"/>
  <c r="T70" i="11"/>
  <c r="D162" i="7" s="1"/>
  <c r="E162" i="7" s="1"/>
  <c r="S70" i="11"/>
  <c r="D132" i="7" s="1"/>
  <c r="AH68" i="11"/>
  <c r="D492" i="8" s="1"/>
  <c r="E492" i="8" s="1"/>
  <c r="AG68" i="11"/>
  <c r="D552" i="8" s="1"/>
  <c r="E552" i="8" s="1"/>
  <c r="AF68" i="11"/>
  <c r="D522" i="8" s="1"/>
  <c r="E522" i="8" s="1"/>
  <c r="AE68" i="11"/>
  <c r="D312" i="8" s="1"/>
  <c r="E312" i="8" s="1"/>
  <c r="AD68" i="11"/>
  <c r="AC68" i="11"/>
  <c r="D432" i="8" s="1"/>
  <c r="E432" i="8" s="1"/>
  <c r="AB68" i="11"/>
  <c r="D402" i="8" s="1"/>
  <c r="E402" i="8" s="1"/>
  <c r="AA68" i="11"/>
  <c r="D372" i="8" s="1"/>
  <c r="E372" i="8" s="1"/>
  <c r="Z68" i="11"/>
  <c r="D342" i="8" s="1"/>
  <c r="E342" i="8" s="1"/>
  <c r="Y68" i="11"/>
  <c r="D102" i="8" s="1"/>
  <c r="X68" i="11"/>
  <c r="D282" i="8" s="1"/>
  <c r="E282" i="8" s="1"/>
  <c r="W68" i="11"/>
  <c r="D252" i="8" s="1"/>
  <c r="E252" i="8" s="1"/>
  <c r="V68" i="11"/>
  <c r="D222" i="8" s="1"/>
  <c r="E222" i="8" s="1"/>
  <c r="U68" i="11"/>
  <c r="D192" i="8" s="1"/>
  <c r="T68" i="11"/>
  <c r="D162" i="8" s="1"/>
  <c r="E162" i="8" s="1"/>
  <c r="S68" i="11"/>
  <c r="D132" i="8" s="1"/>
  <c r="AH66" i="11"/>
  <c r="B492" i="7" s="1"/>
  <c r="C492" i="7" s="1"/>
  <c r="AG66" i="11"/>
  <c r="B552" i="7" s="1"/>
  <c r="C552" i="7" s="1"/>
  <c r="AF66" i="11"/>
  <c r="B522" i="7" s="1"/>
  <c r="C522" i="7" s="1"/>
  <c r="AE66" i="11"/>
  <c r="B312" i="7" s="1"/>
  <c r="C312" i="7" s="1"/>
  <c r="AD66" i="11"/>
  <c r="AC66" i="11"/>
  <c r="B432" i="7" s="1"/>
  <c r="C432" i="7" s="1"/>
  <c r="AB66" i="11"/>
  <c r="B402" i="7" s="1"/>
  <c r="C402" i="7" s="1"/>
  <c r="AA66" i="11"/>
  <c r="B372" i="7" s="1"/>
  <c r="C372" i="7" s="1"/>
  <c r="Z66" i="11"/>
  <c r="B342" i="7" s="1"/>
  <c r="C342" i="7" s="1"/>
  <c r="Y66" i="11"/>
  <c r="B102" i="7" s="1"/>
  <c r="X66" i="11"/>
  <c r="B282" i="7" s="1"/>
  <c r="C282" i="7" s="1"/>
  <c r="W66" i="11"/>
  <c r="B252" i="7" s="1"/>
  <c r="C252" i="7" s="1"/>
  <c r="V66" i="11"/>
  <c r="B222" i="7" s="1"/>
  <c r="C222" i="7" s="1"/>
  <c r="U66" i="11"/>
  <c r="B192" i="7" s="1"/>
  <c r="T66" i="11"/>
  <c r="B162" i="7" s="1"/>
  <c r="C162" i="7" s="1"/>
  <c r="S66" i="11"/>
  <c r="B132" i="7" s="1"/>
  <c r="AH64" i="11"/>
  <c r="B492" i="8" s="1"/>
  <c r="C492" i="8" s="1"/>
  <c r="AG64" i="11"/>
  <c r="B552" i="8" s="1"/>
  <c r="C552" i="8" s="1"/>
  <c r="AF64" i="11"/>
  <c r="B522" i="8" s="1"/>
  <c r="C522" i="8" s="1"/>
  <c r="AE64" i="11"/>
  <c r="B312" i="8" s="1"/>
  <c r="C312" i="8" s="1"/>
  <c r="AD64" i="11"/>
  <c r="AC64" i="11"/>
  <c r="B432" i="8" s="1"/>
  <c r="C432" i="8" s="1"/>
  <c r="AB64" i="11"/>
  <c r="B402" i="8" s="1"/>
  <c r="C402" i="8" s="1"/>
  <c r="AA64" i="11"/>
  <c r="B372" i="8" s="1"/>
  <c r="C372" i="8" s="1"/>
  <c r="Z64" i="11"/>
  <c r="B342" i="8" s="1"/>
  <c r="C342" i="8" s="1"/>
  <c r="Y64" i="11"/>
  <c r="B102" i="8" s="1"/>
  <c r="X64" i="11"/>
  <c r="B282" i="8" s="1"/>
  <c r="C282" i="8" s="1"/>
  <c r="W64" i="11"/>
  <c r="B252" i="8" s="1"/>
  <c r="C252" i="8" s="1"/>
  <c r="V64" i="11"/>
  <c r="B222" i="8" s="1"/>
  <c r="C222" i="8" s="1"/>
  <c r="U64" i="11"/>
  <c r="B192" i="8" s="1"/>
  <c r="T64" i="11"/>
  <c r="B162" i="8" s="1"/>
  <c r="C162" i="8" s="1"/>
  <c r="S64" i="11"/>
  <c r="B132" i="8" s="1"/>
  <c r="AH61" i="11"/>
  <c r="AG61" i="11"/>
  <c r="AF61" i="11"/>
  <c r="AE61" i="11"/>
  <c r="AD61" i="11"/>
  <c r="AC61" i="11"/>
  <c r="AB61" i="11"/>
  <c r="AA61" i="11"/>
  <c r="Z61" i="11"/>
  <c r="Y61" i="11"/>
  <c r="X61" i="11"/>
  <c r="W61" i="11"/>
  <c r="V61" i="11"/>
  <c r="U61" i="11"/>
  <c r="T61" i="11"/>
  <c r="S61" i="11"/>
  <c r="AH59" i="11"/>
  <c r="AG59" i="11"/>
  <c r="AF59" i="11"/>
  <c r="AE59" i="11"/>
  <c r="AD59" i="11"/>
  <c r="AC59" i="11"/>
  <c r="AB59" i="11"/>
  <c r="AA59" i="11"/>
  <c r="Z59" i="11"/>
  <c r="Y59" i="11"/>
  <c r="X59" i="11"/>
  <c r="W59" i="11"/>
  <c r="V59" i="11"/>
  <c r="U59" i="11"/>
  <c r="T59" i="11"/>
  <c r="S59" i="11"/>
  <c r="AH57" i="11"/>
  <c r="L491" i="7" s="1"/>
  <c r="M491" i="7" s="1"/>
  <c r="AG57" i="11"/>
  <c r="L551" i="7" s="1"/>
  <c r="M551" i="7" s="1"/>
  <c r="AF57" i="11"/>
  <c r="L521" i="7" s="1"/>
  <c r="M521" i="7" s="1"/>
  <c r="AE57" i="11"/>
  <c r="L311" i="7" s="1"/>
  <c r="AD57" i="11"/>
  <c r="AC57" i="11"/>
  <c r="L431" i="7" s="1"/>
  <c r="AB57" i="11"/>
  <c r="L401" i="7" s="1"/>
  <c r="AA57" i="11"/>
  <c r="L371" i="7" s="1"/>
  <c r="Z57" i="11"/>
  <c r="L341" i="7" s="1"/>
  <c r="M341" i="7" s="1"/>
  <c r="Y57" i="11"/>
  <c r="X57" i="11"/>
  <c r="W57" i="11"/>
  <c r="V57" i="11"/>
  <c r="U57" i="11"/>
  <c r="T57" i="11"/>
  <c r="S57" i="11"/>
  <c r="AH55" i="11"/>
  <c r="L491" i="8" s="1"/>
  <c r="M491" i="8" s="1"/>
  <c r="AG55" i="11"/>
  <c r="L551" i="8" s="1"/>
  <c r="M551" i="8" s="1"/>
  <c r="AF55" i="11"/>
  <c r="L521" i="8" s="1"/>
  <c r="M521" i="8" s="1"/>
  <c r="AE55" i="11"/>
  <c r="L311" i="8" s="1"/>
  <c r="AD55" i="11"/>
  <c r="AC55" i="11"/>
  <c r="L431" i="8" s="1"/>
  <c r="AB55" i="11"/>
  <c r="L401" i="8" s="1"/>
  <c r="AA55" i="11"/>
  <c r="L371" i="8" s="1"/>
  <c r="Z55" i="11"/>
  <c r="L341" i="8" s="1"/>
  <c r="M341" i="8" s="1"/>
  <c r="Y55" i="11"/>
  <c r="X55" i="11"/>
  <c r="W55" i="11"/>
  <c r="V55" i="11"/>
  <c r="U55" i="11"/>
  <c r="T55" i="11"/>
  <c r="S55" i="11"/>
  <c r="AH53" i="11"/>
  <c r="J491" i="7" s="1"/>
  <c r="K491" i="7" s="1"/>
  <c r="AG53" i="11"/>
  <c r="J551" i="7" s="1"/>
  <c r="K551" i="7" s="1"/>
  <c r="AF53" i="11"/>
  <c r="J521" i="7" s="1"/>
  <c r="K521" i="7" s="1"/>
  <c r="AE53" i="11"/>
  <c r="J311" i="7" s="1"/>
  <c r="K311" i="7" s="1"/>
  <c r="AD53" i="11"/>
  <c r="AC53" i="11"/>
  <c r="J431" i="7" s="1"/>
  <c r="K431" i="7" s="1"/>
  <c r="AB53" i="11"/>
  <c r="J401" i="7" s="1"/>
  <c r="K401" i="7" s="1"/>
  <c r="AA53" i="11"/>
  <c r="J371" i="7" s="1"/>
  <c r="K371" i="7" s="1"/>
  <c r="Z53" i="11"/>
  <c r="J341" i="7" s="1"/>
  <c r="K341" i="7" s="1"/>
  <c r="Y53" i="11"/>
  <c r="J101" i="7" s="1"/>
  <c r="X53" i="11"/>
  <c r="J281" i="7" s="1"/>
  <c r="W53" i="11"/>
  <c r="J251" i="7" s="1"/>
  <c r="K251" i="7" s="1"/>
  <c r="V53" i="11"/>
  <c r="J221" i="7" s="1"/>
  <c r="U53" i="11"/>
  <c r="J191" i="7" s="1"/>
  <c r="T53" i="11"/>
  <c r="J161" i="7" s="1"/>
  <c r="K161" i="7" s="1"/>
  <c r="S53" i="11"/>
  <c r="J131" i="7" s="1"/>
  <c r="AH51" i="11"/>
  <c r="J491" i="8" s="1"/>
  <c r="K491" i="8" s="1"/>
  <c r="AG51" i="11"/>
  <c r="J551" i="8" s="1"/>
  <c r="K551" i="8" s="1"/>
  <c r="AF51" i="11"/>
  <c r="J521" i="8" s="1"/>
  <c r="K521" i="8" s="1"/>
  <c r="AE51" i="11"/>
  <c r="J311" i="8" s="1"/>
  <c r="K311" i="8" s="1"/>
  <c r="AD51" i="11"/>
  <c r="AC51" i="11"/>
  <c r="J431" i="8" s="1"/>
  <c r="K431" i="8" s="1"/>
  <c r="AB51" i="11"/>
  <c r="J401" i="8" s="1"/>
  <c r="K401" i="8" s="1"/>
  <c r="AA51" i="11"/>
  <c r="J371" i="8" s="1"/>
  <c r="K371" i="8" s="1"/>
  <c r="Z51" i="11"/>
  <c r="J341" i="8" s="1"/>
  <c r="K341" i="8" s="1"/>
  <c r="Y51" i="11"/>
  <c r="J101" i="8" s="1"/>
  <c r="X51" i="11"/>
  <c r="J281" i="8" s="1"/>
  <c r="W51" i="11"/>
  <c r="J251" i="8" s="1"/>
  <c r="V51" i="11"/>
  <c r="J221" i="8" s="1"/>
  <c r="U51" i="11"/>
  <c r="J191" i="8" s="1"/>
  <c r="T51" i="11"/>
  <c r="J161" i="8" s="1"/>
  <c r="K161" i="8" s="1"/>
  <c r="S51" i="11"/>
  <c r="J131" i="8" s="1"/>
  <c r="AH49" i="11"/>
  <c r="H491" i="7" s="1"/>
  <c r="I491" i="7" s="1"/>
  <c r="AG49" i="11"/>
  <c r="H551" i="7" s="1"/>
  <c r="I551" i="7" s="1"/>
  <c r="AF49" i="11"/>
  <c r="H521" i="7" s="1"/>
  <c r="I521" i="7" s="1"/>
  <c r="AE49" i="11"/>
  <c r="H311" i="7" s="1"/>
  <c r="AD49" i="11"/>
  <c r="AC49" i="11"/>
  <c r="H431" i="7" s="1"/>
  <c r="AB49" i="11"/>
  <c r="H401" i="7" s="1"/>
  <c r="AA49" i="11"/>
  <c r="H371" i="7" s="1"/>
  <c r="I371" i="7" s="1"/>
  <c r="Z49" i="11"/>
  <c r="H341" i="7" s="1"/>
  <c r="I341" i="7" s="1"/>
  <c r="Y49" i="11"/>
  <c r="H101" i="7" s="1"/>
  <c r="X49" i="11"/>
  <c r="H281" i="7" s="1"/>
  <c r="W49" i="11"/>
  <c r="H251" i="7" s="1"/>
  <c r="V49" i="11"/>
  <c r="H221" i="7" s="1"/>
  <c r="U49" i="11"/>
  <c r="H191" i="7" s="1"/>
  <c r="T49" i="11"/>
  <c r="H161" i="7" s="1"/>
  <c r="I161" i="7" s="1"/>
  <c r="S49" i="11"/>
  <c r="H131" i="7" s="1"/>
  <c r="AH47" i="11"/>
  <c r="H491" i="8" s="1"/>
  <c r="I491" i="8" s="1"/>
  <c r="AG47" i="11"/>
  <c r="H551" i="8" s="1"/>
  <c r="I551" i="8" s="1"/>
  <c r="AF47" i="11"/>
  <c r="H521" i="8" s="1"/>
  <c r="I521" i="8" s="1"/>
  <c r="AE47" i="11"/>
  <c r="AD47" i="11"/>
  <c r="AT49" i="11" s="1"/>
  <c r="AC47" i="11"/>
  <c r="AB47" i="11"/>
  <c r="AA47" i="11"/>
  <c r="Z47" i="11"/>
  <c r="H341" i="8" s="1"/>
  <c r="I341" i="8" s="1"/>
  <c r="Y47" i="11"/>
  <c r="H101" i="8" s="1"/>
  <c r="X47" i="11"/>
  <c r="H281" i="8" s="1"/>
  <c r="W47" i="11"/>
  <c r="V47" i="11"/>
  <c r="U47" i="11"/>
  <c r="T47" i="11"/>
  <c r="S47" i="11"/>
  <c r="AH45" i="11"/>
  <c r="F491" i="7" s="1"/>
  <c r="G491" i="7" s="1"/>
  <c r="AG45" i="11"/>
  <c r="F551" i="7" s="1"/>
  <c r="G551" i="7" s="1"/>
  <c r="AF45" i="11"/>
  <c r="F521" i="7" s="1"/>
  <c r="G521" i="7" s="1"/>
  <c r="AE45" i="11"/>
  <c r="F311" i="7" s="1"/>
  <c r="AD45" i="11"/>
  <c r="AC45" i="11"/>
  <c r="F431" i="7" s="1"/>
  <c r="AB45" i="11"/>
  <c r="F401" i="7" s="1"/>
  <c r="AA45" i="11"/>
  <c r="F371" i="7" s="1"/>
  <c r="G371" i="7" s="1"/>
  <c r="Z45" i="11"/>
  <c r="F341" i="7" s="1"/>
  <c r="G341" i="7" s="1"/>
  <c r="Y45" i="11"/>
  <c r="F101" i="7" s="1"/>
  <c r="X45" i="11"/>
  <c r="F281" i="7" s="1"/>
  <c r="W45" i="11"/>
  <c r="F251" i="7" s="1"/>
  <c r="V45" i="11"/>
  <c r="F221" i="7" s="1"/>
  <c r="U45" i="11"/>
  <c r="F191" i="7" s="1"/>
  <c r="T45" i="11"/>
  <c r="F161" i="7" s="1"/>
  <c r="G161" i="7" s="1"/>
  <c r="S45" i="11"/>
  <c r="F131" i="7" s="1"/>
  <c r="AH43" i="11"/>
  <c r="AG43" i="11"/>
  <c r="F551" i="8" s="1"/>
  <c r="G551" i="8" s="1"/>
  <c r="AF43" i="11"/>
  <c r="F521" i="8" s="1"/>
  <c r="G521" i="8" s="1"/>
  <c r="AE43" i="11"/>
  <c r="AD43" i="11"/>
  <c r="AT45" i="11" s="1"/>
  <c r="AC43" i="11"/>
  <c r="AB43" i="11"/>
  <c r="AA43" i="11"/>
  <c r="Z43" i="11"/>
  <c r="F341" i="8" s="1"/>
  <c r="G341" i="8" s="1"/>
  <c r="Y43" i="11"/>
  <c r="F101" i="8" s="1"/>
  <c r="X43" i="11"/>
  <c r="F281" i="8" s="1"/>
  <c r="W43" i="11"/>
  <c r="V43" i="11"/>
  <c r="U43" i="11"/>
  <c r="T43" i="11"/>
  <c r="S43" i="11"/>
  <c r="AH41" i="11"/>
  <c r="D491" i="7" s="1"/>
  <c r="E491" i="7" s="1"/>
  <c r="AG41" i="11"/>
  <c r="D551" i="7" s="1"/>
  <c r="E551" i="7" s="1"/>
  <c r="AF41" i="11"/>
  <c r="D521" i="7" s="1"/>
  <c r="E521" i="7" s="1"/>
  <c r="AE41" i="11"/>
  <c r="D311" i="7" s="1"/>
  <c r="AD41" i="11"/>
  <c r="AC41" i="11"/>
  <c r="D431" i="7" s="1"/>
  <c r="AB41" i="11"/>
  <c r="D401" i="7" s="1"/>
  <c r="AA41" i="11"/>
  <c r="D371" i="7" s="1"/>
  <c r="E371" i="7" s="1"/>
  <c r="Z41" i="11"/>
  <c r="D341" i="7" s="1"/>
  <c r="E341" i="7" s="1"/>
  <c r="Y41" i="11"/>
  <c r="D101" i="7" s="1"/>
  <c r="X41" i="11"/>
  <c r="D281" i="7" s="1"/>
  <c r="W41" i="11"/>
  <c r="D251" i="7" s="1"/>
  <c r="V41" i="11"/>
  <c r="D221" i="7" s="1"/>
  <c r="U41" i="11"/>
  <c r="D191" i="7" s="1"/>
  <c r="T41" i="11"/>
  <c r="D161" i="7" s="1"/>
  <c r="E161" i="7" s="1"/>
  <c r="S41" i="11"/>
  <c r="D131" i="7" s="1"/>
  <c r="AH39" i="11"/>
  <c r="D491" i="8" s="1"/>
  <c r="E491" i="8" s="1"/>
  <c r="AG39" i="11"/>
  <c r="D551" i="8" s="1"/>
  <c r="E551" i="8" s="1"/>
  <c r="AF39" i="11"/>
  <c r="D521" i="8" s="1"/>
  <c r="E521" i="8" s="1"/>
  <c r="AE39" i="11"/>
  <c r="D311" i="8" s="1"/>
  <c r="AD39" i="11"/>
  <c r="AC39" i="11"/>
  <c r="D431" i="8" s="1"/>
  <c r="AB39" i="11"/>
  <c r="D401" i="8" s="1"/>
  <c r="AA39" i="11"/>
  <c r="D371" i="8" s="1"/>
  <c r="E371" i="8" s="1"/>
  <c r="Z39" i="11"/>
  <c r="D341" i="8" s="1"/>
  <c r="E341" i="8" s="1"/>
  <c r="Y39" i="11"/>
  <c r="D101" i="8" s="1"/>
  <c r="X39" i="11"/>
  <c r="D281" i="8" s="1"/>
  <c r="W39" i="11"/>
  <c r="D251" i="8" s="1"/>
  <c r="V39" i="11"/>
  <c r="D221" i="8" s="1"/>
  <c r="U39" i="11"/>
  <c r="D191" i="8" s="1"/>
  <c r="T39" i="11"/>
  <c r="D161" i="8" s="1"/>
  <c r="E161" i="8" s="1"/>
  <c r="S39" i="11"/>
  <c r="D131" i="8" s="1"/>
  <c r="AH37" i="11"/>
  <c r="B491" i="7" s="1"/>
  <c r="C491" i="7" s="1"/>
  <c r="AG37" i="11"/>
  <c r="B551" i="7" s="1"/>
  <c r="C551" i="7" s="1"/>
  <c r="AF37" i="11"/>
  <c r="B521" i="7" s="1"/>
  <c r="C521" i="7" s="1"/>
  <c r="AE37" i="11"/>
  <c r="B311" i="7" s="1"/>
  <c r="AD37" i="11"/>
  <c r="AC37" i="11"/>
  <c r="B431" i="7" s="1"/>
  <c r="AB37" i="11"/>
  <c r="B401" i="7" s="1"/>
  <c r="AA37" i="11"/>
  <c r="B371" i="7" s="1"/>
  <c r="C371" i="7" s="1"/>
  <c r="Z37" i="11"/>
  <c r="B341" i="7" s="1"/>
  <c r="C341" i="7" s="1"/>
  <c r="Y37" i="11"/>
  <c r="B101" i="7" s="1"/>
  <c r="X37" i="11"/>
  <c r="B281" i="7" s="1"/>
  <c r="W37" i="11"/>
  <c r="B251" i="7" s="1"/>
  <c r="V37" i="11"/>
  <c r="B221" i="7" s="1"/>
  <c r="U37" i="11"/>
  <c r="B191" i="7" s="1"/>
  <c r="T37" i="11"/>
  <c r="B161" i="7" s="1"/>
  <c r="C161" i="7" s="1"/>
  <c r="S37" i="11"/>
  <c r="B131" i="7" s="1"/>
  <c r="AH35" i="11"/>
  <c r="B491" i="8" s="1"/>
  <c r="C491" i="8" s="1"/>
  <c r="AG35" i="11"/>
  <c r="B551" i="8" s="1"/>
  <c r="C551" i="8" s="1"/>
  <c r="AF35" i="11"/>
  <c r="B521" i="8" s="1"/>
  <c r="C521" i="8" s="1"/>
  <c r="AE35" i="11"/>
  <c r="B311" i="8" s="1"/>
  <c r="AD35" i="11"/>
  <c r="AC35" i="11"/>
  <c r="B431" i="8" s="1"/>
  <c r="AB35" i="11"/>
  <c r="B401" i="8" s="1"/>
  <c r="AA35" i="11"/>
  <c r="B371" i="8" s="1"/>
  <c r="C371" i="8" s="1"/>
  <c r="Z35" i="11"/>
  <c r="B341" i="8" s="1"/>
  <c r="C341" i="8" s="1"/>
  <c r="Y35" i="11"/>
  <c r="B101" i="8" s="1"/>
  <c r="X35" i="11"/>
  <c r="B281" i="8" s="1"/>
  <c r="W35" i="11"/>
  <c r="B251" i="8" s="1"/>
  <c r="V35" i="11"/>
  <c r="B221" i="8" s="1"/>
  <c r="U35" i="11"/>
  <c r="B191" i="8" s="1"/>
  <c r="T35" i="11"/>
  <c r="B161" i="8" s="1"/>
  <c r="C161" i="8" s="1"/>
  <c r="S35" i="11"/>
  <c r="B131" i="8" s="1"/>
  <c r="AH26" i="11"/>
  <c r="L490" i="8" s="1"/>
  <c r="M490" i="8" s="1"/>
  <c r="AG26" i="11"/>
  <c r="L550" i="8" s="1"/>
  <c r="M550" i="8" s="1"/>
  <c r="AF26" i="11"/>
  <c r="L520" i="8" s="1"/>
  <c r="M520" i="8" s="1"/>
  <c r="AE26" i="11"/>
  <c r="L310" i="8" s="1"/>
  <c r="M310" i="8" s="1"/>
  <c r="AD26" i="11"/>
  <c r="AC26" i="11"/>
  <c r="L430" i="8" s="1"/>
  <c r="M430" i="8" s="1"/>
  <c r="AB26" i="11"/>
  <c r="L400" i="8" s="1"/>
  <c r="M400" i="8" s="1"/>
  <c r="AA26" i="11"/>
  <c r="L370" i="8" s="1"/>
  <c r="M370" i="8" s="1"/>
  <c r="Z26" i="11"/>
  <c r="L340" i="8" s="1"/>
  <c r="M340" i="8" s="1"/>
  <c r="Y26" i="11"/>
  <c r="X26" i="11"/>
  <c r="W26" i="11"/>
  <c r="V26" i="11"/>
  <c r="U26" i="11"/>
  <c r="T26" i="11"/>
  <c r="S26" i="11"/>
  <c r="AH24" i="11"/>
  <c r="J490" i="7" s="1"/>
  <c r="K490" i="7" s="1"/>
  <c r="AG24" i="11"/>
  <c r="J550" i="7" s="1"/>
  <c r="K550" i="7" s="1"/>
  <c r="AF24" i="11"/>
  <c r="J520" i="7" s="1"/>
  <c r="K520" i="7" s="1"/>
  <c r="AE24" i="11"/>
  <c r="J310" i="7" s="1"/>
  <c r="K310" i="7" s="1"/>
  <c r="AD24" i="11"/>
  <c r="AC24" i="11"/>
  <c r="J430" i="7" s="1"/>
  <c r="K430" i="7" s="1"/>
  <c r="AB24" i="11"/>
  <c r="J400" i="7" s="1"/>
  <c r="K400" i="7" s="1"/>
  <c r="AA24" i="11"/>
  <c r="J370" i="7" s="1"/>
  <c r="K370" i="7" s="1"/>
  <c r="Z24" i="11"/>
  <c r="J340" i="7" s="1"/>
  <c r="K340" i="7" s="1"/>
  <c r="Y24" i="11"/>
  <c r="J100" i="7" s="1"/>
  <c r="K100" i="7" s="1"/>
  <c r="X24" i="11"/>
  <c r="J280" i="7" s="1"/>
  <c r="K280" i="7" s="1"/>
  <c r="W24" i="11"/>
  <c r="J250" i="7" s="1"/>
  <c r="V24" i="11"/>
  <c r="J220" i="7" s="1"/>
  <c r="K220" i="7" s="1"/>
  <c r="U24" i="11"/>
  <c r="J190" i="7" s="1"/>
  <c r="K190" i="7" s="1"/>
  <c r="T24" i="11"/>
  <c r="J160" i="7" s="1"/>
  <c r="S24" i="11"/>
  <c r="J130" i="7" s="1"/>
  <c r="K130" i="7" s="1"/>
  <c r="AH20" i="11"/>
  <c r="H490" i="7" s="1"/>
  <c r="I490" i="7" s="1"/>
  <c r="AG20" i="11"/>
  <c r="H550" i="7" s="1"/>
  <c r="I550" i="7" s="1"/>
  <c r="AF20" i="11"/>
  <c r="H520" i="7" s="1"/>
  <c r="I520" i="7" s="1"/>
  <c r="AE20" i="11"/>
  <c r="H310" i="7" s="1"/>
  <c r="I310" i="7" s="1"/>
  <c r="AD20" i="11"/>
  <c r="AC20" i="11"/>
  <c r="H430" i="7" s="1"/>
  <c r="I430" i="7" s="1"/>
  <c r="AB20" i="11"/>
  <c r="H400" i="7" s="1"/>
  <c r="I400" i="7" s="1"/>
  <c r="AA20" i="11"/>
  <c r="H370" i="7" s="1"/>
  <c r="I370" i="7" s="1"/>
  <c r="Z20" i="11"/>
  <c r="H340" i="7" s="1"/>
  <c r="I340" i="7" s="1"/>
  <c r="Y20" i="11"/>
  <c r="H100" i="7" s="1"/>
  <c r="I100" i="7" s="1"/>
  <c r="X20" i="11"/>
  <c r="H280" i="7" s="1"/>
  <c r="I280" i="7" s="1"/>
  <c r="W20" i="11"/>
  <c r="H250" i="7" s="1"/>
  <c r="I250" i="7" s="1"/>
  <c r="V20" i="11"/>
  <c r="H220" i="7" s="1"/>
  <c r="I220" i="7" s="1"/>
  <c r="U20" i="11"/>
  <c r="H190" i="7" s="1"/>
  <c r="I190" i="7" s="1"/>
  <c r="T20" i="11"/>
  <c r="H160" i="7" s="1"/>
  <c r="I160" i="7" s="1"/>
  <c r="S20" i="11"/>
  <c r="H130" i="7" s="1"/>
  <c r="I130" i="7" s="1"/>
  <c r="AH18" i="11"/>
  <c r="H490" i="8" s="1"/>
  <c r="I490" i="8" s="1"/>
  <c r="AG18" i="11"/>
  <c r="H550" i="8" s="1"/>
  <c r="I550" i="8" s="1"/>
  <c r="AF18" i="11"/>
  <c r="AE18" i="11"/>
  <c r="AD18" i="11"/>
  <c r="AT20" i="11" s="1"/>
  <c r="AC18" i="11"/>
  <c r="AB18" i="11"/>
  <c r="AA18" i="11"/>
  <c r="Z18" i="11"/>
  <c r="H340" i="8" s="1"/>
  <c r="I340" i="8" s="1"/>
  <c r="Y18" i="11"/>
  <c r="H100" i="8" s="1"/>
  <c r="I100" i="8" s="1"/>
  <c r="X18" i="11"/>
  <c r="H280" i="8" s="1"/>
  <c r="I280" i="8" s="1"/>
  <c r="W18" i="11"/>
  <c r="H250" i="8" s="1"/>
  <c r="V18" i="11"/>
  <c r="U18" i="11"/>
  <c r="T18" i="11"/>
  <c r="S18" i="11"/>
  <c r="AH14" i="11"/>
  <c r="AG14" i="11"/>
  <c r="AF14" i="11"/>
  <c r="AE14" i="11"/>
  <c r="AD14" i="11"/>
  <c r="AT16" i="11" s="1"/>
  <c r="AC14" i="11"/>
  <c r="AB14" i="11"/>
  <c r="AA14" i="11"/>
  <c r="Z14" i="11"/>
  <c r="Y14" i="11"/>
  <c r="F100" i="8" s="1"/>
  <c r="X14" i="11"/>
  <c r="F280" i="8" s="1"/>
  <c r="G280" i="8" s="1"/>
  <c r="W14" i="11"/>
  <c r="F250" i="8" s="1"/>
  <c r="V14" i="11"/>
  <c r="F220" i="8" s="1"/>
  <c r="U14" i="11"/>
  <c r="F190" i="8" s="1"/>
  <c r="T14" i="11"/>
  <c r="F160" i="8" s="1"/>
  <c r="S14" i="11"/>
  <c r="F130" i="8" s="1"/>
  <c r="AX455" i="11"/>
  <c r="AW455" i="11"/>
  <c r="AV455" i="11"/>
  <c r="AU455" i="11"/>
  <c r="AT455" i="11"/>
  <c r="AS455" i="11"/>
  <c r="AR455" i="11"/>
  <c r="AQ455" i="11"/>
  <c r="AP455" i="11"/>
  <c r="AO455" i="11"/>
  <c r="AN455" i="11"/>
  <c r="AM455" i="11"/>
  <c r="AL455" i="11"/>
  <c r="AK455" i="11"/>
  <c r="AJ455" i="11"/>
  <c r="AI455" i="11"/>
  <c r="AX451" i="11"/>
  <c r="AW451" i="11"/>
  <c r="AV451" i="11"/>
  <c r="AU451" i="11"/>
  <c r="AT451" i="11"/>
  <c r="AS451" i="11"/>
  <c r="AR451" i="11"/>
  <c r="AQ451" i="11"/>
  <c r="AP451" i="11"/>
  <c r="AO451" i="11"/>
  <c r="AN451" i="11"/>
  <c r="AM451" i="11"/>
  <c r="AL451" i="11"/>
  <c r="AK451" i="11"/>
  <c r="AJ451" i="11"/>
  <c r="AI451" i="11"/>
  <c r="AX426" i="11"/>
  <c r="AW426" i="11"/>
  <c r="AV426" i="11"/>
  <c r="AU426" i="11"/>
  <c r="AT426" i="11"/>
  <c r="AS426" i="11"/>
  <c r="AR426" i="11"/>
  <c r="AQ426" i="11"/>
  <c r="AP426" i="11"/>
  <c r="AO426" i="11"/>
  <c r="AN426" i="11"/>
  <c r="AM426" i="11"/>
  <c r="AL426" i="11"/>
  <c r="AK426" i="11"/>
  <c r="AJ426" i="11"/>
  <c r="AI426" i="11"/>
  <c r="AX422" i="11"/>
  <c r="AW422" i="11"/>
  <c r="AV422" i="11"/>
  <c r="AU422" i="11"/>
  <c r="AT422" i="11"/>
  <c r="AS422" i="11"/>
  <c r="AR422" i="11"/>
  <c r="AQ422" i="11"/>
  <c r="AP422" i="11"/>
  <c r="AO422" i="11"/>
  <c r="AN422" i="11"/>
  <c r="AM422" i="11"/>
  <c r="AL422" i="11"/>
  <c r="AK422" i="11"/>
  <c r="AJ422" i="11"/>
  <c r="AI422" i="11"/>
  <c r="AX397" i="11"/>
  <c r="AW397" i="11"/>
  <c r="AV397" i="11"/>
  <c r="AU397" i="11"/>
  <c r="AT397" i="11"/>
  <c r="AS397" i="11"/>
  <c r="AR397" i="11"/>
  <c r="AQ397" i="11"/>
  <c r="AP397" i="11"/>
  <c r="AO397" i="11"/>
  <c r="AN397" i="11"/>
  <c r="AM397" i="11"/>
  <c r="AL397" i="11"/>
  <c r="AK397" i="11"/>
  <c r="AJ397" i="11"/>
  <c r="AI397" i="11"/>
  <c r="AX393" i="11"/>
  <c r="AW393" i="11"/>
  <c r="AV393" i="11"/>
  <c r="AU393" i="11"/>
  <c r="AT393" i="11"/>
  <c r="AS393" i="11"/>
  <c r="AR393" i="11"/>
  <c r="AQ393" i="11"/>
  <c r="AP393" i="11"/>
  <c r="AO393" i="11"/>
  <c r="AN393" i="11"/>
  <c r="AM393" i="11"/>
  <c r="AL393" i="11"/>
  <c r="AK393" i="11"/>
  <c r="AJ393" i="11"/>
  <c r="AI393" i="11"/>
  <c r="AX368" i="11"/>
  <c r="AW368" i="11"/>
  <c r="AV368" i="11"/>
  <c r="AU368" i="11"/>
  <c r="AT368" i="11"/>
  <c r="AS368" i="11"/>
  <c r="AR368" i="11"/>
  <c r="AQ368" i="11"/>
  <c r="AP368" i="11"/>
  <c r="AO368" i="11"/>
  <c r="AN368" i="11"/>
  <c r="AM368" i="11"/>
  <c r="AL368" i="11"/>
  <c r="AK368" i="11"/>
  <c r="AJ368" i="11"/>
  <c r="AI368" i="11"/>
  <c r="AX364" i="11"/>
  <c r="AW364" i="11"/>
  <c r="AV364" i="11"/>
  <c r="AU364" i="11"/>
  <c r="AT364" i="11"/>
  <c r="AS364" i="11"/>
  <c r="AR364" i="11"/>
  <c r="AQ364" i="11"/>
  <c r="AP364" i="11"/>
  <c r="AO364" i="11"/>
  <c r="AN364" i="11"/>
  <c r="AM364" i="11"/>
  <c r="AL364" i="11"/>
  <c r="AK364" i="11"/>
  <c r="AJ364" i="11"/>
  <c r="AI364" i="11"/>
  <c r="AX339" i="11"/>
  <c r="AW339" i="11"/>
  <c r="AV339" i="11"/>
  <c r="AU339" i="11"/>
  <c r="AT339" i="11"/>
  <c r="AS339" i="11"/>
  <c r="AR339" i="11"/>
  <c r="AQ339" i="11"/>
  <c r="AP339" i="11"/>
  <c r="AO339" i="11"/>
  <c r="AN339" i="11"/>
  <c r="AM339" i="11"/>
  <c r="AL339" i="11"/>
  <c r="AK339" i="11"/>
  <c r="AJ339" i="11"/>
  <c r="AI339" i="11"/>
  <c r="AX335" i="11"/>
  <c r="AW335" i="11"/>
  <c r="AV335" i="11"/>
  <c r="AU335" i="11"/>
  <c r="AT335" i="11"/>
  <c r="AS335" i="11"/>
  <c r="AR335" i="11"/>
  <c r="AQ335" i="11"/>
  <c r="AP335" i="11"/>
  <c r="AO335" i="11"/>
  <c r="AN335" i="11"/>
  <c r="AM335" i="11"/>
  <c r="AL335" i="11"/>
  <c r="AK335" i="11"/>
  <c r="AJ335" i="11"/>
  <c r="AI335" i="11"/>
  <c r="AX310" i="11"/>
  <c r="AW310" i="11"/>
  <c r="AV310" i="11"/>
  <c r="AU310" i="11"/>
  <c r="AT310" i="11"/>
  <c r="AS310" i="11"/>
  <c r="AR310" i="11"/>
  <c r="AQ310" i="11"/>
  <c r="AP310" i="11"/>
  <c r="AO310" i="11"/>
  <c r="AN310" i="11"/>
  <c r="AM310" i="11"/>
  <c r="AL310" i="11"/>
  <c r="AK310" i="11"/>
  <c r="AJ310" i="11"/>
  <c r="AI310" i="11"/>
  <c r="AX306" i="11"/>
  <c r="AW306" i="11"/>
  <c r="AV306" i="11"/>
  <c r="AU306" i="11"/>
  <c r="AT306" i="11"/>
  <c r="AS306" i="11"/>
  <c r="AR306" i="11"/>
  <c r="AQ306" i="11"/>
  <c r="AP306" i="11"/>
  <c r="AO306" i="11"/>
  <c r="AN306" i="11"/>
  <c r="AM306" i="11"/>
  <c r="AL306" i="11"/>
  <c r="AK306" i="11"/>
  <c r="AJ306" i="11"/>
  <c r="AI306" i="11"/>
  <c r="AX281" i="11"/>
  <c r="AW281" i="11"/>
  <c r="AV281" i="11"/>
  <c r="AU281" i="11"/>
  <c r="AT281" i="11"/>
  <c r="AS281" i="11"/>
  <c r="AR281" i="11"/>
  <c r="AQ281" i="11"/>
  <c r="AP281" i="11"/>
  <c r="AO281" i="11"/>
  <c r="AN281" i="11"/>
  <c r="AM281" i="11"/>
  <c r="AL281" i="11"/>
  <c r="AK281" i="11"/>
  <c r="AJ281" i="11"/>
  <c r="AI281" i="11"/>
  <c r="AX277" i="11"/>
  <c r="AW277" i="11"/>
  <c r="AV277" i="11"/>
  <c r="AU277" i="11"/>
  <c r="AT277" i="11"/>
  <c r="AS277" i="11"/>
  <c r="AR277" i="11"/>
  <c r="AQ277" i="11"/>
  <c r="AP277" i="11"/>
  <c r="AO277" i="11"/>
  <c r="AN277" i="11"/>
  <c r="AM277" i="11"/>
  <c r="AL277" i="11"/>
  <c r="AK277" i="11"/>
  <c r="AJ277" i="11"/>
  <c r="AI277" i="11"/>
  <c r="AX252" i="11"/>
  <c r="AW252" i="11"/>
  <c r="AV252" i="11"/>
  <c r="AU252" i="11"/>
  <c r="AT252" i="11"/>
  <c r="AS252" i="11"/>
  <c r="AR252" i="11"/>
  <c r="AQ252" i="11"/>
  <c r="AP252" i="11"/>
  <c r="AO252" i="11"/>
  <c r="AN252" i="11"/>
  <c r="AM252" i="11"/>
  <c r="AL252" i="11"/>
  <c r="AK252" i="11"/>
  <c r="AJ252" i="11"/>
  <c r="AI252" i="11"/>
  <c r="AX248" i="11"/>
  <c r="AW248" i="11"/>
  <c r="AV248" i="11"/>
  <c r="AU248" i="11"/>
  <c r="AT248" i="11"/>
  <c r="AS248" i="11"/>
  <c r="AR248" i="11"/>
  <c r="AQ248" i="11"/>
  <c r="AP248" i="11"/>
  <c r="AO248" i="11"/>
  <c r="AN248" i="11"/>
  <c r="AM248" i="11"/>
  <c r="AL248" i="11"/>
  <c r="AK248" i="11"/>
  <c r="AJ248" i="11"/>
  <c r="AI248" i="11"/>
  <c r="AX223" i="11"/>
  <c r="AW223" i="11"/>
  <c r="AV223" i="11"/>
  <c r="AU223" i="11"/>
  <c r="AT223" i="11"/>
  <c r="AS223" i="11"/>
  <c r="AR223" i="11"/>
  <c r="AQ223" i="11"/>
  <c r="AP223" i="11"/>
  <c r="AO223" i="11"/>
  <c r="AN223" i="11"/>
  <c r="AM223" i="11"/>
  <c r="AL223" i="11"/>
  <c r="AK223" i="11"/>
  <c r="AJ223" i="11"/>
  <c r="AI223" i="11"/>
  <c r="AX219" i="11"/>
  <c r="AW219" i="11"/>
  <c r="AV219" i="11"/>
  <c r="AU219" i="11"/>
  <c r="AT219" i="11"/>
  <c r="AS219" i="11"/>
  <c r="AR219" i="11"/>
  <c r="AQ219" i="11"/>
  <c r="AP219" i="11"/>
  <c r="AO219" i="11"/>
  <c r="AN219" i="11"/>
  <c r="AM219" i="11"/>
  <c r="AL219" i="11"/>
  <c r="AK219" i="11"/>
  <c r="AJ219" i="11"/>
  <c r="AI219" i="11"/>
  <c r="AX194" i="11"/>
  <c r="AW194" i="11"/>
  <c r="AV194" i="11"/>
  <c r="AU194" i="11"/>
  <c r="AT194" i="11"/>
  <c r="AS194" i="11"/>
  <c r="AR194" i="11"/>
  <c r="AQ194" i="11"/>
  <c r="AP194" i="11"/>
  <c r="AO194" i="11"/>
  <c r="AN194" i="11"/>
  <c r="AM194" i="11"/>
  <c r="AL194" i="11"/>
  <c r="AK194" i="11"/>
  <c r="AJ194" i="11"/>
  <c r="AI194" i="11"/>
  <c r="AX190" i="11"/>
  <c r="AW190" i="11"/>
  <c r="AV190" i="11"/>
  <c r="AU190" i="11"/>
  <c r="AT190" i="11"/>
  <c r="AS190" i="11"/>
  <c r="AR190" i="11"/>
  <c r="AQ190" i="11"/>
  <c r="AP190" i="11"/>
  <c r="AO190" i="11"/>
  <c r="AN190" i="11"/>
  <c r="AM190" i="11"/>
  <c r="AL190" i="11"/>
  <c r="AK190" i="11"/>
  <c r="AJ190" i="11"/>
  <c r="AI190" i="11"/>
  <c r="AX165" i="11"/>
  <c r="AW165" i="11"/>
  <c r="AV165" i="11"/>
  <c r="AU165" i="11"/>
  <c r="AT165" i="11"/>
  <c r="AS165" i="11"/>
  <c r="AR165" i="11"/>
  <c r="AQ165" i="11"/>
  <c r="AP165" i="11"/>
  <c r="AO165" i="11"/>
  <c r="AN165" i="11"/>
  <c r="AM165" i="11"/>
  <c r="AL165" i="11"/>
  <c r="AK165" i="11"/>
  <c r="AJ165" i="11"/>
  <c r="AI165" i="11"/>
  <c r="AX161" i="11"/>
  <c r="AW161" i="11"/>
  <c r="AV161" i="11"/>
  <c r="AU161" i="11"/>
  <c r="AT161" i="11"/>
  <c r="AS161" i="11"/>
  <c r="AR161" i="11"/>
  <c r="AQ161" i="11"/>
  <c r="AP161" i="11"/>
  <c r="AO161" i="11"/>
  <c r="AN161" i="11"/>
  <c r="AM161" i="11"/>
  <c r="AL161" i="11"/>
  <c r="AK161" i="11"/>
  <c r="AJ161" i="11"/>
  <c r="AI161" i="11"/>
  <c r="AX136" i="11"/>
  <c r="AW136" i="11"/>
  <c r="AV136" i="11"/>
  <c r="AU136" i="11"/>
  <c r="AT136" i="11"/>
  <c r="AS136" i="11"/>
  <c r="AR136" i="11"/>
  <c r="AQ136" i="11"/>
  <c r="AP136" i="11"/>
  <c r="AO136" i="11"/>
  <c r="AN136" i="11"/>
  <c r="AM136" i="11"/>
  <c r="AL136" i="11"/>
  <c r="AK136" i="11"/>
  <c r="AJ136" i="11"/>
  <c r="AI136" i="11"/>
  <c r="AX132" i="11"/>
  <c r="AW132" i="11"/>
  <c r="AV132" i="11"/>
  <c r="AU132" i="11"/>
  <c r="AT132" i="11"/>
  <c r="AS132" i="11"/>
  <c r="AR132" i="11"/>
  <c r="AQ132" i="11"/>
  <c r="AP132" i="11"/>
  <c r="AO132" i="11"/>
  <c r="AN132" i="11"/>
  <c r="AM132" i="11"/>
  <c r="AL132" i="11"/>
  <c r="AK132" i="11"/>
  <c r="AJ132" i="11"/>
  <c r="AI132" i="11"/>
  <c r="AX107" i="11"/>
  <c r="AW107" i="11"/>
  <c r="AV107" i="11"/>
  <c r="AU107" i="11"/>
  <c r="AT107" i="11"/>
  <c r="AS107" i="11"/>
  <c r="AR107" i="11"/>
  <c r="AQ107" i="11"/>
  <c r="AP107" i="11"/>
  <c r="AO107" i="11"/>
  <c r="AN107" i="11"/>
  <c r="AM107" i="11"/>
  <c r="AL107" i="11"/>
  <c r="AK107" i="11"/>
  <c r="AJ107" i="11"/>
  <c r="AI107" i="11"/>
  <c r="AX103" i="11"/>
  <c r="AW103" i="11"/>
  <c r="AV103" i="11"/>
  <c r="AU103" i="11"/>
  <c r="AT103" i="11"/>
  <c r="AS103" i="11"/>
  <c r="AR103" i="11"/>
  <c r="AQ103" i="11"/>
  <c r="AP103" i="11"/>
  <c r="AO103" i="11"/>
  <c r="AN103" i="11"/>
  <c r="AM103" i="11"/>
  <c r="AL103" i="11"/>
  <c r="AK103" i="11"/>
  <c r="AJ103" i="11"/>
  <c r="AI103" i="11"/>
  <c r="AX78" i="11"/>
  <c r="AW78" i="11"/>
  <c r="AV78" i="11"/>
  <c r="AU78" i="11"/>
  <c r="AN78" i="11"/>
  <c r="AX74" i="11"/>
  <c r="AW74" i="11"/>
  <c r="AV74" i="11"/>
  <c r="AN74" i="11"/>
  <c r="AX49" i="11"/>
  <c r="AV49" i="11"/>
  <c r="AO49" i="11"/>
  <c r="AN49" i="11"/>
  <c r="AV45" i="11"/>
  <c r="AP45" i="11"/>
  <c r="AN45" i="11"/>
  <c r="AX20" i="11"/>
  <c r="AW20" i="11"/>
  <c r="AN20" i="11"/>
  <c r="AP20" i="11" l="1"/>
  <c r="AP49" i="11"/>
  <c r="AP78" i="11"/>
  <c r="H8" i="5"/>
  <c r="L128" i="7"/>
  <c r="B8" i="7"/>
  <c r="H17" i="5"/>
  <c r="N368" i="7"/>
  <c r="D38" i="7"/>
  <c r="H9" i="5"/>
  <c r="L158" i="7"/>
  <c r="D8" i="7"/>
  <c r="I170" i="7"/>
  <c r="K170" i="7"/>
  <c r="M410" i="8"/>
  <c r="L170" i="8"/>
  <c r="D20" i="8"/>
  <c r="N410" i="8"/>
  <c r="F50" i="8"/>
  <c r="L170" i="7"/>
  <c r="D20" i="7"/>
  <c r="N410" i="7"/>
  <c r="F50" i="7"/>
  <c r="I171" i="7"/>
  <c r="I411" i="7"/>
  <c r="K171" i="7"/>
  <c r="K411" i="7"/>
  <c r="M411" i="8"/>
  <c r="L171" i="8"/>
  <c r="D21" i="8"/>
  <c r="N411" i="8"/>
  <c r="F51" i="8"/>
  <c r="L171" i="7"/>
  <c r="D21" i="7"/>
  <c r="N411" i="7"/>
  <c r="F51" i="7"/>
  <c r="M412" i="8"/>
  <c r="L172" i="8"/>
  <c r="M172" i="8" s="1"/>
  <c r="D22" i="8"/>
  <c r="E22" i="8" s="1"/>
  <c r="F52" i="8"/>
  <c r="N412" i="8"/>
  <c r="L172" i="7"/>
  <c r="M172" i="7" s="1"/>
  <c r="D22" i="7"/>
  <c r="E22" i="7" s="1"/>
  <c r="N412" i="7"/>
  <c r="F52" i="7"/>
  <c r="K413" i="7"/>
  <c r="L173" i="8"/>
  <c r="M173" i="8" s="1"/>
  <c r="D23" i="8"/>
  <c r="E23" i="8" s="1"/>
  <c r="F53" i="8"/>
  <c r="N413" i="8"/>
  <c r="L173" i="7"/>
  <c r="M173" i="7" s="1"/>
  <c r="D23" i="7"/>
  <c r="E23" i="7" s="1"/>
  <c r="N413" i="7"/>
  <c r="F53" i="7"/>
  <c r="I175" i="7"/>
  <c r="I415" i="7"/>
  <c r="K175" i="7"/>
  <c r="D25" i="8"/>
  <c r="L175" i="8"/>
  <c r="N415" i="8"/>
  <c r="F55" i="8"/>
  <c r="L175" i="7"/>
  <c r="D25" i="7"/>
  <c r="N415" i="7"/>
  <c r="F55" i="7"/>
  <c r="I176" i="7"/>
  <c r="I416" i="7"/>
  <c r="K176" i="7"/>
  <c r="M416" i="8"/>
  <c r="D26" i="8"/>
  <c r="L176" i="8"/>
  <c r="N416" i="8"/>
  <c r="F56" i="8"/>
  <c r="L176" i="7"/>
  <c r="D26" i="7"/>
  <c r="N416" i="7"/>
  <c r="F56" i="7"/>
  <c r="I177" i="7"/>
  <c r="L177" i="8"/>
  <c r="D27" i="8"/>
  <c r="N417" i="8"/>
  <c r="O417" i="8" s="1"/>
  <c r="F57" i="8"/>
  <c r="G57" i="8" s="1"/>
  <c r="L177" i="7"/>
  <c r="D27" i="7"/>
  <c r="N417" i="7"/>
  <c r="O417" i="7" s="1"/>
  <c r="F57" i="7"/>
  <c r="G57" i="7" s="1"/>
  <c r="I418" i="7"/>
  <c r="K418" i="7"/>
  <c r="L178" i="8"/>
  <c r="M178" i="8" s="1"/>
  <c r="D28" i="8"/>
  <c r="E28" i="8" s="1"/>
  <c r="N418" i="8"/>
  <c r="F58" i="8"/>
  <c r="L178" i="7"/>
  <c r="M178" i="7" s="1"/>
  <c r="D28" i="7"/>
  <c r="E28" i="7" s="1"/>
  <c r="N418" i="7"/>
  <c r="F58" i="7"/>
  <c r="B9" i="5"/>
  <c r="B158" i="7"/>
  <c r="B18" i="5"/>
  <c r="B398" i="7"/>
  <c r="C9" i="5"/>
  <c r="D158" i="7"/>
  <c r="C18" i="5"/>
  <c r="D398" i="7"/>
  <c r="D9" i="5"/>
  <c r="F158" i="7"/>
  <c r="D18" i="5"/>
  <c r="F398" i="7"/>
  <c r="E9" i="5"/>
  <c r="H158" i="7"/>
  <c r="E18" i="5"/>
  <c r="H398" i="7"/>
  <c r="F9" i="6"/>
  <c r="J158" i="8"/>
  <c r="F9" i="5"/>
  <c r="J158" i="7"/>
  <c r="F18" i="5"/>
  <c r="J398" i="7"/>
  <c r="G18" i="6"/>
  <c r="L398" i="8"/>
  <c r="G18" i="5"/>
  <c r="L398" i="7"/>
  <c r="H9" i="6"/>
  <c r="L158" i="8"/>
  <c r="D8" i="8"/>
  <c r="H18" i="6"/>
  <c r="N398" i="8"/>
  <c r="F38" i="8"/>
  <c r="AO45" i="11"/>
  <c r="AW49" i="11"/>
  <c r="AO78" i="11"/>
  <c r="AS16" i="11"/>
  <c r="F430" i="8"/>
  <c r="G430" i="8" s="1"/>
  <c r="AK20" i="11"/>
  <c r="H190" i="8"/>
  <c r="AS20" i="11"/>
  <c r="H430" i="8"/>
  <c r="AK45" i="11"/>
  <c r="F191" i="8"/>
  <c r="AS45" i="11"/>
  <c r="F431" i="8"/>
  <c r="AK49" i="11"/>
  <c r="H191" i="8"/>
  <c r="I205" i="8" s="1"/>
  <c r="AS49" i="11"/>
  <c r="H431" i="8"/>
  <c r="I191" i="7"/>
  <c r="I431" i="7"/>
  <c r="K191" i="7"/>
  <c r="M431" i="8"/>
  <c r="L191" i="8"/>
  <c r="F11" i="8"/>
  <c r="N431" i="8"/>
  <c r="H41" i="8"/>
  <c r="L191" i="7"/>
  <c r="F11" i="7"/>
  <c r="N431" i="7"/>
  <c r="H41" i="7"/>
  <c r="AK74" i="11"/>
  <c r="F192" i="8"/>
  <c r="G202" i="8" s="1"/>
  <c r="AS74" i="11"/>
  <c r="F432" i="8"/>
  <c r="AS78" i="11"/>
  <c r="H432" i="8"/>
  <c r="I432" i="8" s="1"/>
  <c r="F12" i="8"/>
  <c r="L192" i="8"/>
  <c r="H42" i="8"/>
  <c r="I42" i="8" s="1"/>
  <c r="N432" i="8"/>
  <c r="O432" i="8" s="1"/>
  <c r="L192" i="7"/>
  <c r="F12" i="7"/>
  <c r="N432" i="7"/>
  <c r="O432" i="7" s="1"/>
  <c r="H42" i="7"/>
  <c r="I42" i="7" s="1"/>
  <c r="I193" i="7"/>
  <c r="K193" i="7"/>
  <c r="M433" i="8"/>
  <c r="L193" i="8"/>
  <c r="F13" i="8"/>
  <c r="H43" i="8"/>
  <c r="N433" i="8"/>
  <c r="L193" i="7"/>
  <c r="F13" i="7"/>
  <c r="N433" i="7"/>
  <c r="H43" i="7"/>
  <c r="G195" i="8"/>
  <c r="I195" i="7"/>
  <c r="I435" i="7"/>
  <c r="K195" i="7"/>
  <c r="K435" i="7"/>
  <c r="F15" i="8"/>
  <c r="L195" i="8"/>
  <c r="N435" i="8"/>
  <c r="H45" i="8"/>
  <c r="L195" i="7"/>
  <c r="F15" i="7"/>
  <c r="N435" i="7"/>
  <c r="H45" i="7"/>
  <c r="I196" i="7"/>
  <c r="I436" i="7"/>
  <c r="K196" i="7"/>
  <c r="K436" i="7"/>
  <c r="L196" i="8"/>
  <c r="F16" i="8"/>
  <c r="N436" i="8"/>
  <c r="H46" i="8"/>
  <c r="L196" i="7"/>
  <c r="F16" i="7"/>
  <c r="N436" i="7"/>
  <c r="H46" i="7"/>
  <c r="I197" i="7"/>
  <c r="I437" i="7"/>
  <c r="K197" i="7"/>
  <c r="K437" i="7"/>
  <c r="AI20" i="11"/>
  <c r="H130" i="8"/>
  <c r="AQ45" i="11"/>
  <c r="F371" i="8"/>
  <c r="G371" i="8" s="1"/>
  <c r="I131" i="7"/>
  <c r="K131" i="7"/>
  <c r="B11" i="8"/>
  <c r="L131" i="8"/>
  <c r="AQ78" i="11"/>
  <c r="H372" i="8"/>
  <c r="I372" i="8" s="1"/>
  <c r="L132" i="7"/>
  <c r="B12" i="7"/>
  <c r="I133" i="7"/>
  <c r="K133" i="7"/>
  <c r="L133" i="8"/>
  <c r="B13" i="8"/>
  <c r="L135" i="7"/>
  <c r="B15" i="7"/>
  <c r="I376" i="7"/>
  <c r="L136" i="7"/>
  <c r="B16" i="7"/>
  <c r="I377" i="7"/>
  <c r="K377" i="7"/>
  <c r="L137" i="7"/>
  <c r="B17" i="7"/>
  <c r="I138" i="7"/>
  <c r="K138" i="7"/>
  <c r="N378" i="8"/>
  <c r="D48" i="8"/>
  <c r="M381" i="8"/>
  <c r="B21" i="8"/>
  <c r="L141" i="8"/>
  <c r="N381" i="7"/>
  <c r="D51" i="7"/>
  <c r="N383" i="8"/>
  <c r="D53" i="8"/>
  <c r="M386" i="8"/>
  <c r="N386" i="8"/>
  <c r="D56" i="8"/>
  <c r="N386" i="7"/>
  <c r="D56" i="7"/>
  <c r="N388" i="8"/>
  <c r="O388" i="8" s="1"/>
  <c r="D58" i="8"/>
  <c r="E58" i="8" s="1"/>
  <c r="B17" i="6"/>
  <c r="B368" i="8"/>
  <c r="C8" i="6"/>
  <c r="D128" i="8"/>
  <c r="C17" i="5"/>
  <c r="D368" i="7"/>
  <c r="D8" i="5"/>
  <c r="F128" i="7"/>
  <c r="E8" i="5"/>
  <c r="H128" i="7"/>
  <c r="F8" i="5"/>
  <c r="J128" i="7"/>
  <c r="H17" i="6"/>
  <c r="D38" i="8"/>
  <c r="N368" i="8"/>
  <c r="AR16" i="11"/>
  <c r="F400" i="8"/>
  <c r="G400" i="8" s="1"/>
  <c r="AR20" i="11"/>
  <c r="H400" i="8"/>
  <c r="I400" i="8" s="1"/>
  <c r="AJ45" i="11"/>
  <c r="F161" i="8"/>
  <c r="G161" i="8" s="1"/>
  <c r="AR49" i="11"/>
  <c r="H401" i="8"/>
  <c r="M402" i="8"/>
  <c r="N402" i="8"/>
  <c r="F42" i="8"/>
  <c r="I163" i="7"/>
  <c r="K163" i="7"/>
  <c r="D13" i="8"/>
  <c r="L163" i="8"/>
  <c r="N406" i="8"/>
  <c r="F46" i="8"/>
  <c r="N407" i="7"/>
  <c r="F47" i="7"/>
  <c r="N408" i="8"/>
  <c r="F48" i="8"/>
  <c r="M371" i="8"/>
  <c r="L131" i="7"/>
  <c r="B11" i="7"/>
  <c r="AQ74" i="11"/>
  <c r="F372" i="8"/>
  <c r="I132" i="7"/>
  <c r="N372" i="8"/>
  <c r="D42" i="8"/>
  <c r="N373" i="7"/>
  <c r="D43" i="7"/>
  <c r="I375" i="7"/>
  <c r="K375" i="7"/>
  <c r="N375" i="7"/>
  <c r="D45" i="7"/>
  <c r="I136" i="7"/>
  <c r="K376" i="7"/>
  <c r="L136" i="8"/>
  <c r="B16" i="8"/>
  <c r="L138" i="8"/>
  <c r="B18" i="8"/>
  <c r="N378" i="7"/>
  <c r="D48" i="7"/>
  <c r="L140" i="7"/>
  <c r="B20" i="7"/>
  <c r="I141" i="7"/>
  <c r="K141" i="7"/>
  <c r="N381" i="8"/>
  <c r="D51" i="8"/>
  <c r="L142" i="7"/>
  <c r="B22" i="7"/>
  <c r="K143" i="7"/>
  <c r="L143" i="7"/>
  <c r="B23" i="7"/>
  <c r="I385" i="7"/>
  <c r="L147" i="8"/>
  <c r="B27" i="8"/>
  <c r="N387" i="7"/>
  <c r="O387" i="7" s="1"/>
  <c r="D57" i="7"/>
  <c r="E57" i="7" s="1"/>
  <c r="L148" i="7"/>
  <c r="B28" i="7"/>
  <c r="B17" i="5"/>
  <c r="B368" i="7"/>
  <c r="G17" i="6"/>
  <c r="L368" i="8"/>
  <c r="AJ20" i="11"/>
  <c r="H160" i="8"/>
  <c r="L161" i="8"/>
  <c r="M161" i="8" s="1"/>
  <c r="D11" i="8"/>
  <c r="N401" i="7"/>
  <c r="F41" i="7"/>
  <c r="AJ74" i="11"/>
  <c r="F162" i="8"/>
  <c r="G176" i="8" s="1"/>
  <c r="AJ78" i="11"/>
  <c r="H162" i="8"/>
  <c r="I162" i="8" s="1"/>
  <c r="L162" i="8"/>
  <c r="M162" i="8" s="1"/>
  <c r="D12" i="8"/>
  <c r="E12" i="8" s="1"/>
  <c r="I405" i="7"/>
  <c r="K405" i="7"/>
  <c r="L165" i="7"/>
  <c r="D15" i="7"/>
  <c r="K406" i="7"/>
  <c r="I407" i="7"/>
  <c r="K167" i="7"/>
  <c r="L167" i="8"/>
  <c r="D17" i="8"/>
  <c r="K408" i="7"/>
  <c r="L168" i="8"/>
  <c r="D18" i="8"/>
  <c r="L168" i="7"/>
  <c r="D18" i="7"/>
  <c r="K223" i="7"/>
  <c r="H13" i="8"/>
  <c r="L223" i="8"/>
  <c r="L223" i="7"/>
  <c r="H13" i="7"/>
  <c r="K225" i="7"/>
  <c r="AU16" i="11"/>
  <c r="F310" i="8"/>
  <c r="G310" i="8" s="1"/>
  <c r="AU20" i="11"/>
  <c r="H310" i="8"/>
  <c r="I310" i="8" s="1"/>
  <c r="K250" i="7"/>
  <c r="AM45" i="11"/>
  <c r="F251" i="8"/>
  <c r="G266" i="8" s="1"/>
  <c r="AU45" i="11"/>
  <c r="F311" i="8"/>
  <c r="AM49" i="11"/>
  <c r="H251" i="8"/>
  <c r="AU49" i="11"/>
  <c r="H311" i="8"/>
  <c r="I251" i="7"/>
  <c r="I311" i="7"/>
  <c r="M311" i="8"/>
  <c r="L251" i="8"/>
  <c r="J11" i="8"/>
  <c r="J41" i="8"/>
  <c r="N311" i="8"/>
  <c r="L251" i="7"/>
  <c r="J11" i="7"/>
  <c r="N311" i="7"/>
  <c r="J41" i="7"/>
  <c r="AM74" i="11"/>
  <c r="F252" i="8"/>
  <c r="G252" i="8" s="1"/>
  <c r="AU74" i="11"/>
  <c r="F312" i="8"/>
  <c r="AM78" i="11"/>
  <c r="H252" i="8"/>
  <c r="I252" i="8" s="1"/>
  <c r="M312" i="8"/>
  <c r="J12" i="8"/>
  <c r="K12" i="8" s="1"/>
  <c r="L252" i="8"/>
  <c r="M252" i="8" s="1"/>
  <c r="J42" i="8"/>
  <c r="N312" i="8"/>
  <c r="L252" i="7"/>
  <c r="M252" i="7" s="1"/>
  <c r="J12" i="7"/>
  <c r="K12" i="7" s="1"/>
  <c r="N312" i="7"/>
  <c r="J42" i="7"/>
  <c r="M313" i="8"/>
  <c r="L253" i="8"/>
  <c r="M253" i="8" s="1"/>
  <c r="J13" i="8"/>
  <c r="K13" i="8" s="1"/>
  <c r="N313" i="8"/>
  <c r="J43" i="8"/>
  <c r="L253" i="7"/>
  <c r="M253" i="7" s="1"/>
  <c r="J13" i="7"/>
  <c r="K13" i="7" s="1"/>
  <c r="N313" i="7"/>
  <c r="J43" i="7"/>
  <c r="I255" i="7"/>
  <c r="I315" i="7"/>
  <c r="K255" i="7"/>
  <c r="K315" i="7"/>
  <c r="J15" i="8"/>
  <c r="L255" i="8"/>
  <c r="N315" i="8"/>
  <c r="J45" i="8"/>
  <c r="L255" i="7"/>
  <c r="J15" i="7"/>
  <c r="N315" i="7"/>
  <c r="J45" i="7"/>
  <c r="I316" i="7"/>
  <c r="K316" i="7"/>
  <c r="L256" i="8"/>
  <c r="M256" i="8" s="1"/>
  <c r="J16" i="8"/>
  <c r="K16" i="8" s="1"/>
  <c r="N316" i="8"/>
  <c r="J46" i="8"/>
  <c r="L256" i="7"/>
  <c r="M256" i="7" s="1"/>
  <c r="J16" i="7"/>
  <c r="K16" i="7" s="1"/>
  <c r="N316" i="7"/>
  <c r="J46" i="7"/>
  <c r="I317" i="7"/>
  <c r="AO20" i="11"/>
  <c r="AW45" i="11"/>
  <c r="AP74" i="11"/>
  <c r="AV16" i="11"/>
  <c r="F520" i="8"/>
  <c r="G526" i="8" s="1"/>
  <c r="AV20" i="11"/>
  <c r="H520" i="8"/>
  <c r="I520" i="8" s="1"/>
  <c r="G281" i="8"/>
  <c r="I281" i="8"/>
  <c r="I281" i="7"/>
  <c r="K281" i="7"/>
  <c r="L11" i="8"/>
  <c r="L281" i="8"/>
  <c r="N521" i="8"/>
  <c r="O521" i="8" s="1"/>
  <c r="B71" i="8"/>
  <c r="C71" i="8" s="1"/>
  <c r="L281" i="7"/>
  <c r="L11" i="7"/>
  <c r="N521" i="7"/>
  <c r="O521" i="7" s="1"/>
  <c r="B71" i="7"/>
  <c r="C71" i="7" s="1"/>
  <c r="L282" i="8"/>
  <c r="M282" i="8" s="1"/>
  <c r="L12" i="8"/>
  <c r="M12" i="8" s="1"/>
  <c r="N522" i="8"/>
  <c r="O522" i="8" s="1"/>
  <c r="B72" i="8"/>
  <c r="C72" i="8" s="1"/>
  <c r="L282" i="7"/>
  <c r="M282" i="7" s="1"/>
  <c r="L12" i="7"/>
  <c r="M12" i="7" s="1"/>
  <c r="N522" i="7"/>
  <c r="O522" i="7" s="1"/>
  <c r="B72" i="7"/>
  <c r="C72" i="7" s="1"/>
  <c r="G283" i="8"/>
  <c r="I283" i="8"/>
  <c r="I283" i="7"/>
  <c r="L283" i="8"/>
  <c r="L13" i="8"/>
  <c r="N523" i="8"/>
  <c r="O523" i="8" s="1"/>
  <c r="B73" i="8"/>
  <c r="C73" i="8" s="1"/>
  <c r="L283" i="7"/>
  <c r="L13" i="7"/>
  <c r="N523" i="7"/>
  <c r="O523" i="7" s="1"/>
  <c r="B73" i="7"/>
  <c r="C73" i="7" s="1"/>
  <c r="G285" i="8"/>
  <c r="I285" i="8"/>
  <c r="I285" i="7"/>
  <c r="K285" i="7"/>
  <c r="M525" i="8"/>
  <c r="L285" i="8"/>
  <c r="L15" i="8"/>
  <c r="N525" i="8"/>
  <c r="B75" i="8"/>
  <c r="L285" i="7"/>
  <c r="L15" i="7"/>
  <c r="N525" i="7"/>
  <c r="B75" i="7"/>
  <c r="I526" i="7"/>
  <c r="L286" i="8"/>
  <c r="M286" i="8" s="1"/>
  <c r="L16" i="8"/>
  <c r="M16" i="8" s="1"/>
  <c r="N526" i="8"/>
  <c r="B76" i="8"/>
  <c r="L286" i="7"/>
  <c r="M286" i="7" s="1"/>
  <c r="L16" i="7"/>
  <c r="M16" i="7" s="1"/>
  <c r="N526" i="7"/>
  <c r="B76" i="7"/>
  <c r="AQ16" i="11"/>
  <c r="F370" i="8"/>
  <c r="G370" i="8" s="1"/>
  <c r="AQ20" i="11"/>
  <c r="H370" i="8"/>
  <c r="I370" i="8" s="1"/>
  <c r="AQ49" i="11"/>
  <c r="H371" i="8"/>
  <c r="AI74" i="11"/>
  <c r="F132" i="8"/>
  <c r="AI78" i="11"/>
  <c r="H132" i="8"/>
  <c r="M372" i="8"/>
  <c r="L132" i="8"/>
  <c r="B12" i="8"/>
  <c r="N372" i="7"/>
  <c r="D42" i="7"/>
  <c r="M373" i="8"/>
  <c r="D43" i="8"/>
  <c r="N373" i="8"/>
  <c r="N375" i="8"/>
  <c r="D45" i="8"/>
  <c r="K136" i="7"/>
  <c r="N376" i="7"/>
  <c r="D46" i="7"/>
  <c r="I137" i="7"/>
  <c r="K137" i="7"/>
  <c r="D47" i="8"/>
  <c r="N377" i="8"/>
  <c r="M380" i="8"/>
  <c r="N380" i="8"/>
  <c r="D50" i="8"/>
  <c r="M382" i="8"/>
  <c r="N382" i="8"/>
  <c r="D52" i="8"/>
  <c r="I143" i="7"/>
  <c r="L143" i="8"/>
  <c r="B23" i="8"/>
  <c r="N383" i="7"/>
  <c r="D53" i="7"/>
  <c r="I145" i="7"/>
  <c r="K145" i="7"/>
  <c r="L145" i="8"/>
  <c r="B25" i="8"/>
  <c r="L145" i="7"/>
  <c r="B25" i="7"/>
  <c r="I146" i="7"/>
  <c r="K146" i="7"/>
  <c r="L146" i="7"/>
  <c r="B26" i="7"/>
  <c r="K147" i="7"/>
  <c r="D57" i="8"/>
  <c r="E57" i="8" s="1"/>
  <c r="N387" i="8"/>
  <c r="O387" i="8" s="1"/>
  <c r="I148" i="7"/>
  <c r="K148" i="7"/>
  <c r="L148" i="8"/>
  <c r="B28" i="8"/>
  <c r="N388" i="7"/>
  <c r="O388" i="7" s="1"/>
  <c r="D58" i="7"/>
  <c r="E58" i="7" s="1"/>
  <c r="B8" i="5"/>
  <c r="B128" i="7"/>
  <c r="C8" i="5"/>
  <c r="D128" i="7"/>
  <c r="D17" i="5"/>
  <c r="F368" i="7"/>
  <c r="H8" i="6"/>
  <c r="L128" i="8"/>
  <c r="B8" i="8"/>
  <c r="K177" i="7"/>
  <c r="K160" i="7"/>
  <c r="AR45" i="11"/>
  <c r="F401" i="8"/>
  <c r="AJ49" i="11"/>
  <c r="H161" i="8"/>
  <c r="I161" i="8" s="1"/>
  <c r="M401" i="8"/>
  <c r="N401" i="8"/>
  <c r="F41" i="8"/>
  <c r="AR74" i="11"/>
  <c r="F402" i="8"/>
  <c r="G402" i="8" s="1"/>
  <c r="AR78" i="11"/>
  <c r="H402" i="8"/>
  <c r="I402" i="8" s="1"/>
  <c r="F43" i="8"/>
  <c r="N403" i="8"/>
  <c r="N403" i="7"/>
  <c r="F43" i="7"/>
  <c r="F45" i="8"/>
  <c r="N405" i="8"/>
  <c r="N405" i="7"/>
  <c r="F45" i="7"/>
  <c r="I406" i="7"/>
  <c r="D16" i="8"/>
  <c r="E16" i="8" s="1"/>
  <c r="L166" i="8"/>
  <c r="M166" i="8" s="1"/>
  <c r="N406" i="7"/>
  <c r="F46" i="7"/>
  <c r="I167" i="7"/>
  <c r="K407" i="7"/>
  <c r="L167" i="7"/>
  <c r="D17" i="7"/>
  <c r="I168" i="7"/>
  <c r="AL49" i="11"/>
  <c r="H221" i="8"/>
  <c r="I228" i="8" s="1"/>
  <c r="K221" i="7"/>
  <c r="L221" i="7"/>
  <c r="H11" i="7"/>
  <c r="AL78" i="11"/>
  <c r="H222" i="8"/>
  <c r="I222" i="8" s="1"/>
  <c r="I223" i="7"/>
  <c r="L225" i="7"/>
  <c r="H15" i="7"/>
  <c r="I226" i="7"/>
  <c r="AW16" i="11"/>
  <c r="F550" i="8"/>
  <c r="G550" i="8" s="1"/>
  <c r="I101" i="8"/>
  <c r="I101" i="7"/>
  <c r="K101" i="7"/>
  <c r="L101" i="8"/>
  <c r="N11" i="8"/>
  <c r="D71" i="8"/>
  <c r="E71" i="8" s="1"/>
  <c r="N551" i="8"/>
  <c r="O551" i="8" s="1"/>
  <c r="L101" i="7"/>
  <c r="N11" i="7"/>
  <c r="N551" i="7"/>
  <c r="O551" i="7" s="1"/>
  <c r="D71" i="7"/>
  <c r="E71" i="7" s="1"/>
  <c r="AO74" i="11"/>
  <c r="F102" i="8"/>
  <c r="G102" i="8" s="1"/>
  <c r="I102" i="8"/>
  <c r="I102" i="7"/>
  <c r="L102" i="8"/>
  <c r="N12" i="8"/>
  <c r="N552" i="8"/>
  <c r="O552" i="8" s="1"/>
  <c r="D72" i="8"/>
  <c r="E72" i="8" s="1"/>
  <c r="L102" i="7"/>
  <c r="N12" i="7"/>
  <c r="N552" i="7"/>
  <c r="O552" i="7" s="1"/>
  <c r="D72" i="7"/>
  <c r="E72" i="7" s="1"/>
  <c r="G103" i="8"/>
  <c r="I103" i="8"/>
  <c r="I103" i="7"/>
  <c r="K103" i="7"/>
  <c r="L103" i="8"/>
  <c r="N13" i="8"/>
  <c r="N553" i="8"/>
  <c r="O553" i="8" s="1"/>
  <c r="D73" i="8"/>
  <c r="E73" i="8" s="1"/>
  <c r="L103" i="7"/>
  <c r="N13" i="7"/>
  <c r="N553" i="7"/>
  <c r="O553" i="7" s="1"/>
  <c r="D73" i="7"/>
  <c r="E73" i="7" s="1"/>
  <c r="I105" i="8"/>
  <c r="I105" i="7"/>
  <c r="K105" i="7"/>
  <c r="N15" i="8"/>
  <c r="L105" i="8"/>
  <c r="N555" i="8"/>
  <c r="O555" i="8" s="1"/>
  <c r="D75" i="8"/>
  <c r="E75" i="8" s="1"/>
  <c r="L105" i="7"/>
  <c r="N15" i="7"/>
  <c r="N555" i="7"/>
  <c r="O555" i="7" s="1"/>
  <c r="D75" i="7"/>
  <c r="E75" i="7" s="1"/>
  <c r="I106" i="8"/>
  <c r="I106" i="7"/>
  <c r="K106" i="7"/>
  <c r="N16" i="8"/>
  <c r="L106" i="8"/>
  <c r="N556" i="8"/>
  <c r="O556" i="8" s="1"/>
  <c r="D76" i="8"/>
  <c r="E76" i="8" s="1"/>
  <c r="L106" i="7"/>
  <c r="N16" i="7"/>
  <c r="N556" i="7"/>
  <c r="O556" i="7" s="1"/>
  <c r="D76" i="7"/>
  <c r="E76" i="7" s="1"/>
  <c r="I107" i="8"/>
  <c r="I107" i="7"/>
  <c r="K107" i="7"/>
  <c r="L107" i="8"/>
  <c r="N17" i="8"/>
  <c r="N557" i="8"/>
  <c r="O557" i="8" s="1"/>
  <c r="D77" i="8"/>
  <c r="E77" i="8" s="1"/>
  <c r="L107" i="7"/>
  <c r="N17" i="7"/>
  <c r="N557" i="7"/>
  <c r="O557" i="7" s="1"/>
  <c r="D77" i="7"/>
  <c r="E77" i="7" s="1"/>
  <c r="G108" i="8"/>
  <c r="I108" i="8"/>
  <c r="I108" i="7"/>
  <c r="K108" i="7"/>
  <c r="N18" i="8"/>
  <c r="L108" i="8"/>
  <c r="N558" i="8"/>
  <c r="O558" i="8" s="1"/>
  <c r="D78" i="8"/>
  <c r="E78" i="8" s="1"/>
  <c r="L108" i="7"/>
  <c r="N18" i="7"/>
  <c r="N558" i="7"/>
  <c r="O558" i="7" s="1"/>
  <c r="D78" i="7"/>
  <c r="E78" i="7" s="1"/>
  <c r="I110" i="8"/>
  <c r="I110" i="7"/>
  <c r="K110" i="7"/>
  <c r="N20" i="8"/>
  <c r="L110" i="8"/>
  <c r="N560" i="8"/>
  <c r="O560" i="8" s="1"/>
  <c r="D80" i="8"/>
  <c r="E80" i="8" s="1"/>
  <c r="L110" i="7"/>
  <c r="N20" i="7"/>
  <c r="N560" i="7"/>
  <c r="O560" i="7" s="1"/>
  <c r="D80" i="7"/>
  <c r="E80" i="7" s="1"/>
  <c r="I111" i="8"/>
  <c r="I111" i="7"/>
  <c r="K111" i="7"/>
  <c r="L111" i="8"/>
  <c r="N21" i="8"/>
  <c r="N561" i="8"/>
  <c r="O561" i="8" s="1"/>
  <c r="D81" i="8"/>
  <c r="E81" i="8" s="1"/>
  <c r="L111" i="7"/>
  <c r="N21" i="7"/>
  <c r="N561" i="7"/>
  <c r="O561" i="7" s="1"/>
  <c r="D81" i="7"/>
  <c r="E81" i="7" s="1"/>
  <c r="I112" i="8"/>
  <c r="I112" i="7"/>
  <c r="M562" i="8"/>
  <c r="L112" i="8"/>
  <c r="N22" i="8"/>
  <c r="N562" i="8"/>
  <c r="D82" i="8"/>
  <c r="L112" i="7"/>
  <c r="N22" i="7"/>
  <c r="N562" i="7"/>
  <c r="D82" i="7"/>
  <c r="I113" i="8"/>
  <c r="I113" i="7"/>
  <c r="K113" i="7"/>
  <c r="L113" i="8"/>
  <c r="N23" i="8"/>
  <c r="N563" i="8"/>
  <c r="O563" i="8" s="1"/>
  <c r="D83" i="8"/>
  <c r="E83" i="8" s="1"/>
  <c r="L113" i="7"/>
  <c r="N23" i="7"/>
  <c r="N563" i="7"/>
  <c r="O563" i="7" s="1"/>
  <c r="D83" i="7"/>
  <c r="E83" i="7" s="1"/>
  <c r="I115" i="8"/>
  <c r="I115" i="7"/>
  <c r="K115" i="7"/>
  <c r="M565" i="8"/>
  <c r="N25" i="8"/>
  <c r="L115" i="8"/>
  <c r="N565" i="8"/>
  <c r="D85" i="8"/>
  <c r="L115" i="7"/>
  <c r="N25" i="7"/>
  <c r="N565" i="7"/>
  <c r="D85" i="7"/>
  <c r="I116" i="8"/>
  <c r="I116" i="7"/>
  <c r="K116" i="7"/>
  <c r="N26" i="8"/>
  <c r="L116" i="8"/>
  <c r="N566" i="8"/>
  <c r="O566" i="8" s="1"/>
  <c r="D86" i="8"/>
  <c r="E86" i="8" s="1"/>
  <c r="L116" i="7"/>
  <c r="N26" i="7"/>
  <c r="N566" i="7"/>
  <c r="O566" i="7" s="1"/>
  <c r="D86" i="7"/>
  <c r="E86" i="7" s="1"/>
  <c r="G117" i="8"/>
  <c r="I117" i="8"/>
  <c r="I117" i="7"/>
  <c r="K117" i="7"/>
  <c r="L117" i="8"/>
  <c r="N27" i="8"/>
  <c r="D87" i="8"/>
  <c r="E87" i="8" s="1"/>
  <c r="N567" i="8"/>
  <c r="O567" i="8" s="1"/>
  <c r="L117" i="7"/>
  <c r="N27" i="7"/>
  <c r="N567" i="7"/>
  <c r="O567" i="7" s="1"/>
  <c r="D87" i="7"/>
  <c r="E87" i="7" s="1"/>
  <c r="I118" i="8"/>
  <c r="I118" i="7"/>
  <c r="AI45" i="11"/>
  <c r="F131" i="8"/>
  <c r="G138" i="8" s="1"/>
  <c r="AI49" i="11"/>
  <c r="H131" i="8"/>
  <c r="D41" i="8"/>
  <c r="N371" i="8"/>
  <c r="N371" i="7"/>
  <c r="D41" i="7"/>
  <c r="L133" i="7"/>
  <c r="B13" i="7"/>
  <c r="I135" i="7"/>
  <c r="K135" i="7"/>
  <c r="L135" i="8"/>
  <c r="B15" i="8"/>
  <c r="N376" i="8"/>
  <c r="D46" i="8"/>
  <c r="B17" i="8"/>
  <c r="L137" i="8"/>
  <c r="N377" i="7"/>
  <c r="D47" i="7"/>
  <c r="I378" i="7"/>
  <c r="K378" i="7"/>
  <c r="L138" i="7"/>
  <c r="B18" i="7"/>
  <c r="I140" i="7"/>
  <c r="K140" i="7"/>
  <c r="B20" i="8"/>
  <c r="L140" i="8"/>
  <c r="N380" i="7"/>
  <c r="D50" i="7"/>
  <c r="K381" i="7"/>
  <c r="L141" i="7"/>
  <c r="B21" i="7"/>
  <c r="I142" i="7"/>
  <c r="L142" i="8"/>
  <c r="B22" i="8"/>
  <c r="N382" i="7"/>
  <c r="D52" i="7"/>
  <c r="K383" i="7"/>
  <c r="D55" i="8"/>
  <c r="N385" i="8"/>
  <c r="N385" i="7"/>
  <c r="D55" i="7"/>
  <c r="I386" i="7"/>
  <c r="K386" i="7"/>
  <c r="B26" i="8"/>
  <c r="L146" i="8"/>
  <c r="I147" i="7"/>
  <c r="L147" i="7"/>
  <c r="B27" i="7"/>
  <c r="E17" i="5"/>
  <c r="H368" i="7"/>
  <c r="F17" i="5"/>
  <c r="J368" i="7"/>
  <c r="G17" i="5"/>
  <c r="L368" i="7"/>
  <c r="I401" i="7"/>
  <c r="L161" i="7"/>
  <c r="M161" i="7" s="1"/>
  <c r="D11" i="7"/>
  <c r="E11" i="7" s="1"/>
  <c r="L162" i="7"/>
  <c r="M162" i="7" s="1"/>
  <c r="D12" i="7"/>
  <c r="E12" i="7" s="1"/>
  <c r="N402" i="7"/>
  <c r="F42" i="7"/>
  <c r="M403" i="8"/>
  <c r="L163" i="7"/>
  <c r="D13" i="7"/>
  <c r="I165" i="7"/>
  <c r="K165" i="7"/>
  <c r="L165" i="8"/>
  <c r="D15" i="8"/>
  <c r="L166" i="7"/>
  <c r="M166" i="7" s="1"/>
  <c r="D16" i="7"/>
  <c r="E16" i="7" s="1"/>
  <c r="N407" i="8"/>
  <c r="F47" i="8"/>
  <c r="I408" i="7"/>
  <c r="K168" i="7"/>
  <c r="N408" i="7"/>
  <c r="F48" i="7"/>
  <c r="AL20" i="11"/>
  <c r="H220" i="8"/>
  <c r="AL45" i="11"/>
  <c r="F221" i="8"/>
  <c r="I221" i="7"/>
  <c r="H11" i="8"/>
  <c r="L221" i="8"/>
  <c r="AL74" i="11"/>
  <c r="F222" i="8"/>
  <c r="G222" i="8" s="1"/>
  <c r="L222" i="8"/>
  <c r="M222" i="8" s="1"/>
  <c r="H12" i="8"/>
  <c r="I12" i="8" s="1"/>
  <c r="L222" i="7"/>
  <c r="M222" i="7" s="1"/>
  <c r="H12" i="7"/>
  <c r="I12" i="7" s="1"/>
  <c r="I225" i="7"/>
  <c r="L225" i="8"/>
  <c r="H15" i="8"/>
  <c r="AP16" i="11"/>
  <c r="F340" i="8"/>
  <c r="AX16" i="11"/>
  <c r="F490" i="8"/>
  <c r="G490" i="8" s="1"/>
  <c r="AX45" i="11"/>
  <c r="F491" i="8"/>
  <c r="G491" i="8" s="1"/>
  <c r="N341" i="8"/>
  <c r="O341" i="8" s="1"/>
  <c r="B41" i="8"/>
  <c r="C41" i="8" s="1"/>
  <c r="N491" i="8"/>
  <c r="O491" i="8" s="1"/>
  <c r="F71" i="8"/>
  <c r="G71" i="8" s="1"/>
  <c r="N341" i="7"/>
  <c r="O341" i="7" s="1"/>
  <c r="B41" i="7"/>
  <c r="C41" i="7" s="1"/>
  <c r="N491" i="7"/>
  <c r="O491" i="7" s="1"/>
  <c r="F71" i="7"/>
  <c r="G71" i="7" s="1"/>
  <c r="N342" i="8"/>
  <c r="O342" i="8" s="1"/>
  <c r="B42" i="8"/>
  <c r="C42" i="8" s="1"/>
  <c r="N492" i="8"/>
  <c r="O492" i="8" s="1"/>
  <c r="F72" i="8"/>
  <c r="G72" i="8" s="1"/>
  <c r="N342" i="7"/>
  <c r="O342" i="7" s="1"/>
  <c r="B42" i="7"/>
  <c r="C42" i="7" s="1"/>
  <c r="N492" i="7"/>
  <c r="O492" i="7" s="1"/>
  <c r="F72" i="7"/>
  <c r="G72" i="7" s="1"/>
  <c r="M343" i="8"/>
  <c r="N343" i="8"/>
  <c r="B43" i="8"/>
  <c r="N493" i="8"/>
  <c r="O493" i="8" s="1"/>
  <c r="F73" i="8"/>
  <c r="G73" i="8" s="1"/>
  <c r="N343" i="7"/>
  <c r="B43" i="7"/>
  <c r="N493" i="7"/>
  <c r="O493" i="7" s="1"/>
  <c r="F73" i="7"/>
  <c r="G73" i="7" s="1"/>
  <c r="I345" i="8"/>
  <c r="I345" i="7"/>
  <c r="K345" i="7"/>
  <c r="M495" i="8"/>
  <c r="N345" i="8"/>
  <c r="B45" i="8"/>
  <c r="F75" i="8"/>
  <c r="N495" i="8"/>
  <c r="N345" i="7"/>
  <c r="B45" i="7"/>
  <c r="N495" i="7"/>
  <c r="F75" i="7"/>
  <c r="I496" i="8"/>
  <c r="I496" i="7"/>
  <c r="B46" i="8"/>
  <c r="C46" i="8" s="1"/>
  <c r="N346" i="8"/>
  <c r="O346" i="8" s="1"/>
  <c r="F76" i="8"/>
  <c r="N496" i="8"/>
  <c r="N346" i="7"/>
  <c r="O346" i="7" s="1"/>
  <c r="B46" i="7"/>
  <c r="C46" i="7" s="1"/>
  <c r="N496" i="7"/>
  <c r="F76" i="7"/>
  <c r="G497" i="8"/>
  <c r="I497" i="8"/>
  <c r="I497" i="7"/>
  <c r="K497" i="7"/>
  <c r="N347" i="8"/>
  <c r="O347" i="8" s="1"/>
  <c r="B47" i="8"/>
  <c r="C47" i="8" s="1"/>
  <c r="N497" i="8"/>
  <c r="F77" i="8"/>
  <c r="N347" i="7"/>
  <c r="O347" i="7" s="1"/>
  <c r="B47" i="7"/>
  <c r="C47" i="7" s="1"/>
  <c r="N497" i="7"/>
  <c r="F77" i="7"/>
  <c r="B48" i="8"/>
  <c r="C48" i="8" s="1"/>
  <c r="N348" i="8"/>
  <c r="O348" i="8" s="1"/>
  <c r="F78" i="8"/>
  <c r="G78" i="8" s="1"/>
  <c r="N498" i="8"/>
  <c r="O498" i="8" s="1"/>
  <c r="N348" i="7"/>
  <c r="O348" i="7" s="1"/>
  <c r="B48" i="7"/>
  <c r="C48" i="7" s="1"/>
  <c r="N498" i="7"/>
  <c r="O498" i="7" s="1"/>
  <c r="F78" i="7"/>
  <c r="G78" i="7" s="1"/>
  <c r="N350" i="8"/>
  <c r="O350" i="8" s="1"/>
  <c r="B50" i="8"/>
  <c r="C50" i="8" s="1"/>
  <c r="N500" i="8"/>
  <c r="O500" i="8" s="1"/>
  <c r="F80" i="8"/>
  <c r="G80" i="8" s="1"/>
  <c r="N350" i="7"/>
  <c r="O350" i="7" s="1"/>
  <c r="B50" i="7"/>
  <c r="C50" i="7" s="1"/>
  <c r="N500" i="7"/>
  <c r="O500" i="7" s="1"/>
  <c r="F80" i="7"/>
  <c r="G80" i="7" s="1"/>
  <c r="N351" i="8"/>
  <c r="O351" i="8" s="1"/>
  <c r="B51" i="8"/>
  <c r="C51" i="8" s="1"/>
  <c r="N501" i="8"/>
  <c r="O501" i="8" s="1"/>
  <c r="F81" i="8"/>
  <c r="G81" i="8" s="1"/>
  <c r="N351" i="7"/>
  <c r="O351" i="7" s="1"/>
  <c r="B51" i="7"/>
  <c r="C51" i="7" s="1"/>
  <c r="N501" i="7"/>
  <c r="O501" i="7" s="1"/>
  <c r="F81" i="7"/>
  <c r="G81" i="7" s="1"/>
  <c r="M352" i="8"/>
  <c r="M502" i="8"/>
  <c r="N352" i="8"/>
  <c r="B52" i="8"/>
  <c r="N502" i="8"/>
  <c r="F82" i="8"/>
  <c r="N352" i="7"/>
  <c r="B52" i="7"/>
  <c r="N502" i="7"/>
  <c r="F82" i="7"/>
  <c r="N353" i="8"/>
  <c r="O353" i="8" s="1"/>
  <c r="B53" i="8"/>
  <c r="C53" i="8" s="1"/>
  <c r="N503" i="8"/>
  <c r="O503" i="8" s="1"/>
  <c r="F83" i="8"/>
  <c r="G83" i="8" s="1"/>
  <c r="N353" i="7"/>
  <c r="O353" i="7" s="1"/>
  <c r="B53" i="7"/>
  <c r="C53" i="7" s="1"/>
  <c r="N503" i="7"/>
  <c r="O503" i="7" s="1"/>
  <c r="F83" i="7"/>
  <c r="G83" i="7" s="1"/>
  <c r="M505" i="8"/>
  <c r="B55" i="8"/>
  <c r="C55" i="8" s="1"/>
  <c r="N355" i="8"/>
  <c r="O355" i="8" s="1"/>
  <c r="F85" i="8"/>
  <c r="N505" i="8"/>
  <c r="N355" i="7"/>
  <c r="O355" i="7" s="1"/>
  <c r="B55" i="7"/>
  <c r="C55" i="7" s="1"/>
  <c r="N505" i="7"/>
  <c r="F85" i="7"/>
  <c r="I356" i="8"/>
  <c r="I356" i="7"/>
  <c r="M356" i="8"/>
  <c r="N356" i="8"/>
  <c r="B56" i="8"/>
  <c r="N506" i="8"/>
  <c r="O506" i="8" s="1"/>
  <c r="F86" i="8"/>
  <c r="G86" i="8" s="1"/>
  <c r="N356" i="7"/>
  <c r="B56" i="7"/>
  <c r="N506" i="7"/>
  <c r="O506" i="7" s="1"/>
  <c r="F86" i="7"/>
  <c r="G86" i="7" s="1"/>
  <c r="N357" i="8"/>
  <c r="O357" i="8" s="1"/>
  <c r="B57" i="8"/>
  <c r="C57" i="8" s="1"/>
  <c r="N507" i="8"/>
  <c r="O507" i="8" s="1"/>
  <c r="F87" i="8"/>
  <c r="G87" i="8" s="1"/>
  <c r="N357" i="7"/>
  <c r="O357" i="7" s="1"/>
  <c r="B57" i="7"/>
  <c r="C57" i="7" s="1"/>
  <c r="N507" i="7"/>
  <c r="O507" i="7" s="1"/>
  <c r="F87" i="7"/>
  <c r="G87" i="7" s="1"/>
  <c r="I358" i="8"/>
  <c r="I358" i="7"/>
  <c r="H18" i="5"/>
  <c r="N398" i="7"/>
  <c r="F38" i="7"/>
  <c r="L197" i="8"/>
  <c r="F17" i="8"/>
  <c r="N437" i="8"/>
  <c r="H47" i="8"/>
  <c r="L197" i="7"/>
  <c r="F17" i="7"/>
  <c r="N437" i="7"/>
  <c r="H47" i="7"/>
  <c r="I198" i="7"/>
  <c r="I438" i="7"/>
  <c r="K198" i="7"/>
  <c r="K438" i="7"/>
  <c r="L198" i="8"/>
  <c r="F18" i="8"/>
  <c r="N438" i="8"/>
  <c r="H48" i="8"/>
  <c r="L198" i="7"/>
  <c r="F18" i="7"/>
  <c r="N438" i="7"/>
  <c r="H48" i="7"/>
  <c r="M440" i="8"/>
  <c r="L200" i="8"/>
  <c r="M200" i="8" s="1"/>
  <c r="F20" i="8"/>
  <c r="G20" i="8" s="1"/>
  <c r="N440" i="8"/>
  <c r="H50" i="8"/>
  <c r="L200" i="7"/>
  <c r="M200" i="7" s="1"/>
  <c r="F20" i="7"/>
  <c r="G20" i="7" s="1"/>
  <c r="N440" i="7"/>
  <c r="H50" i="7"/>
  <c r="I201" i="7"/>
  <c r="I441" i="7"/>
  <c r="K201" i="7"/>
  <c r="K441" i="7"/>
  <c r="M441" i="8"/>
  <c r="L201" i="8"/>
  <c r="F21" i="8"/>
  <c r="H51" i="8"/>
  <c r="N441" i="8"/>
  <c r="L201" i="7"/>
  <c r="F21" i="7"/>
  <c r="N441" i="7"/>
  <c r="H51" i="7"/>
  <c r="I202" i="7"/>
  <c r="M442" i="8"/>
  <c r="L202" i="8"/>
  <c r="F22" i="8"/>
  <c r="H52" i="8"/>
  <c r="N442" i="8"/>
  <c r="L202" i="7"/>
  <c r="F22" i="7"/>
  <c r="N442" i="7"/>
  <c r="H52" i="7"/>
  <c r="I203" i="7"/>
  <c r="I443" i="7"/>
  <c r="K203" i="7"/>
  <c r="K443" i="7"/>
  <c r="F23" i="8"/>
  <c r="L203" i="8"/>
  <c r="N443" i="8"/>
  <c r="H53" i="8"/>
  <c r="L203" i="7"/>
  <c r="F23" i="7"/>
  <c r="N443" i="7"/>
  <c r="H53" i="7"/>
  <c r="I205" i="7"/>
  <c r="K205" i="7"/>
  <c r="F25" i="8"/>
  <c r="L205" i="8"/>
  <c r="N445" i="8"/>
  <c r="O445" i="8" s="1"/>
  <c r="H55" i="8"/>
  <c r="I55" i="8" s="1"/>
  <c r="L205" i="7"/>
  <c r="F25" i="7"/>
  <c r="N445" i="7"/>
  <c r="O445" i="7" s="1"/>
  <c r="H55" i="7"/>
  <c r="I55" i="7" s="1"/>
  <c r="I206" i="7"/>
  <c r="I446" i="7"/>
  <c r="K206" i="7"/>
  <c r="M446" i="8"/>
  <c r="L206" i="8"/>
  <c r="F26" i="8"/>
  <c r="N446" i="8"/>
  <c r="H56" i="8"/>
  <c r="L206" i="7"/>
  <c r="F26" i="7"/>
  <c r="N446" i="7"/>
  <c r="H56" i="7"/>
  <c r="I207" i="7"/>
  <c r="K207" i="7"/>
  <c r="L207" i="8"/>
  <c r="F27" i="8"/>
  <c r="N447" i="8"/>
  <c r="H57" i="8"/>
  <c r="L207" i="7"/>
  <c r="F27" i="7"/>
  <c r="N447" i="7"/>
  <c r="H57" i="7"/>
  <c r="I208" i="7"/>
  <c r="I448" i="7"/>
  <c r="K448" i="7"/>
  <c r="L208" i="8"/>
  <c r="F28" i="8"/>
  <c r="N448" i="8"/>
  <c r="H58" i="8"/>
  <c r="L208" i="7"/>
  <c r="F28" i="7"/>
  <c r="N448" i="7"/>
  <c r="H58" i="7"/>
  <c r="B10" i="5"/>
  <c r="B188" i="7"/>
  <c r="B19" i="5"/>
  <c r="B428" i="7"/>
  <c r="C10" i="5"/>
  <c r="D188" i="7"/>
  <c r="C19" i="5"/>
  <c r="D428" i="7"/>
  <c r="D10" i="5"/>
  <c r="F188" i="7"/>
  <c r="D19" i="5"/>
  <c r="F428" i="7"/>
  <c r="E10" i="5"/>
  <c r="H188" i="7"/>
  <c r="E19" i="5"/>
  <c r="H428" i="7"/>
  <c r="F10" i="5"/>
  <c r="J188" i="7"/>
  <c r="F19" i="5"/>
  <c r="J428" i="7"/>
  <c r="G19" i="6"/>
  <c r="L428" i="8"/>
  <c r="G19" i="5"/>
  <c r="L428" i="7"/>
  <c r="H10" i="6"/>
  <c r="L188" i="8"/>
  <c r="F8" i="8"/>
  <c r="H19" i="6"/>
  <c r="N428" i="8"/>
  <c r="H38" i="8"/>
  <c r="H10" i="5"/>
  <c r="L188" i="7"/>
  <c r="F8" i="7"/>
  <c r="H19" i="5"/>
  <c r="N428" i="7"/>
  <c r="H38" i="7"/>
  <c r="K226" i="7"/>
  <c r="L226" i="8"/>
  <c r="H16" i="8"/>
  <c r="L226" i="7"/>
  <c r="H16" i="7"/>
  <c r="I227" i="7"/>
  <c r="K227" i="7"/>
  <c r="L227" i="8"/>
  <c r="H17" i="8"/>
  <c r="L227" i="7"/>
  <c r="H17" i="7"/>
  <c r="I228" i="7"/>
  <c r="K228" i="7"/>
  <c r="L228" i="8"/>
  <c r="H18" i="8"/>
  <c r="L228" i="7"/>
  <c r="H18" i="7"/>
  <c r="I230" i="7"/>
  <c r="L230" i="8"/>
  <c r="H20" i="8"/>
  <c r="L230" i="7"/>
  <c r="H20" i="7"/>
  <c r="I231" i="7"/>
  <c r="K231" i="7"/>
  <c r="L231" i="8"/>
  <c r="H21" i="8"/>
  <c r="L231" i="7"/>
  <c r="H21" i="7"/>
  <c r="I232" i="7"/>
  <c r="H22" i="8"/>
  <c r="L232" i="8"/>
  <c r="L232" i="7"/>
  <c r="H22" i="7"/>
  <c r="I233" i="7"/>
  <c r="H23" i="8"/>
  <c r="L233" i="8"/>
  <c r="L233" i="7"/>
  <c r="H23" i="7"/>
  <c r="L235" i="8"/>
  <c r="M235" i="8" s="1"/>
  <c r="H25" i="8"/>
  <c r="I25" i="8" s="1"/>
  <c r="L235" i="7"/>
  <c r="M235" i="7" s="1"/>
  <c r="H25" i="7"/>
  <c r="I25" i="7" s="1"/>
  <c r="I236" i="7"/>
  <c r="K236" i="7"/>
  <c r="L236" i="8"/>
  <c r="H26" i="8"/>
  <c r="L236" i="7"/>
  <c r="H26" i="7"/>
  <c r="I237" i="7"/>
  <c r="K237" i="7"/>
  <c r="L237" i="8"/>
  <c r="H27" i="8"/>
  <c r="L237" i="7"/>
  <c r="H27" i="7"/>
  <c r="L238" i="8"/>
  <c r="M238" i="8" s="1"/>
  <c r="H28" i="8"/>
  <c r="I28" i="8" s="1"/>
  <c r="L238" i="7"/>
  <c r="M238" i="7" s="1"/>
  <c r="H28" i="7"/>
  <c r="I28" i="7" s="1"/>
  <c r="B11" i="5"/>
  <c r="B218" i="7"/>
  <c r="C11" i="5"/>
  <c r="D218" i="7"/>
  <c r="D11" i="5"/>
  <c r="F218" i="7"/>
  <c r="E11" i="5"/>
  <c r="H218" i="7"/>
  <c r="F11" i="5"/>
  <c r="J218" i="7"/>
  <c r="H11" i="6"/>
  <c r="L218" i="8"/>
  <c r="H8" i="8"/>
  <c r="H11" i="5"/>
  <c r="L218" i="7"/>
  <c r="H8" i="7"/>
  <c r="K317" i="7"/>
  <c r="L257" i="8"/>
  <c r="M257" i="8" s="1"/>
  <c r="J17" i="8"/>
  <c r="K17" i="8" s="1"/>
  <c r="N317" i="8"/>
  <c r="J47" i="8"/>
  <c r="L257" i="7"/>
  <c r="M257" i="7" s="1"/>
  <c r="J17" i="7"/>
  <c r="K17" i="7" s="1"/>
  <c r="N317" i="7"/>
  <c r="J47" i="7"/>
  <c r="I258" i="7"/>
  <c r="I318" i="7"/>
  <c r="K258" i="7"/>
  <c r="K318" i="7"/>
  <c r="L258" i="8"/>
  <c r="J18" i="8"/>
  <c r="N318" i="8"/>
  <c r="J48" i="8"/>
  <c r="L258" i="7"/>
  <c r="J18" i="7"/>
  <c r="N318" i="7"/>
  <c r="J48" i="7"/>
  <c r="I260" i="7"/>
  <c r="M320" i="8"/>
  <c r="L260" i="8"/>
  <c r="J20" i="8"/>
  <c r="N320" i="8"/>
  <c r="J50" i="8"/>
  <c r="L260" i="7"/>
  <c r="J20" i="7"/>
  <c r="N320" i="7"/>
  <c r="J50" i="7"/>
  <c r="I261" i="7"/>
  <c r="I321" i="7"/>
  <c r="K261" i="7"/>
  <c r="K321" i="7"/>
  <c r="M321" i="8"/>
  <c r="J21" i="8"/>
  <c r="L261" i="8"/>
  <c r="J51" i="8"/>
  <c r="N321" i="8"/>
  <c r="L261" i="7"/>
  <c r="J21" i="7"/>
  <c r="N321" i="7"/>
  <c r="J51" i="7"/>
  <c r="I262" i="7"/>
  <c r="M322" i="8"/>
  <c r="J22" i="8"/>
  <c r="L262" i="8"/>
  <c r="J52" i="8"/>
  <c r="N322" i="8"/>
  <c r="L262" i="7"/>
  <c r="J22" i="7"/>
  <c r="N322" i="7"/>
  <c r="J52" i="7"/>
  <c r="I263" i="7"/>
  <c r="I323" i="7"/>
  <c r="K263" i="7"/>
  <c r="K323" i="7"/>
  <c r="L263" i="8"/>
  <c r="J23" i="8"/>
  <c r="N323" i="8"/>
  <c r="J53" i="8"/>
  <c r="L263" i="7"/>
  <c r="J23" i="7"/>
  <c r="N323" i="7"/>
  <c r="J53" i="7"/>
  <c r="I265" i="7"/>
  <c r="I325" i="7"/>
  <c r="K265" i="7"/>
  <c r="L265" i="8"/>
  <c r="J25" i="8"/>
  <c r="J55" i="8"/>
  <c r="N325" i="8"/>
  <c r="L265" i="7"/>
  <c r="J25" i="7"/>
  <c r="N325" i="7"/>
  <c r="J55" i="7"/>
  <c r="I266" i="7"/>
  <c r="I326" i="7"/>
  <c r="K266" i="7"/>
  <c r="K326" i="7"/>
  <c r="M326" i="8"/>
  <c r="L266" i="8"/>
  <c r="J26" i="8"/>
  <c r="N326" i="8"/>
  <c r="J56" i="8"/>
  <c r="L266" i="7"/>
  <c r="J26" i="7"/>
  <c r="N326" i="7"/>
  <c r="J56" i="7"/>
  <c r="I267" i="7"/>
  <c r="I327" i="7"/>
  <c r="K267" i="7"/>
  <c r="K327" i="7"/>
  <c r="L267" i="8"/>
  <c r="J27" i="8"/>
  <c r="J57" i="8"/>
  <c r="N327" i="8"/>
  <c r="L267" i="7"/>
  <c r="J27" i="7"/>
  <c r="N327" i="7"/>
  <c r="J57" i="7"/>
  <c r="I268" i="7"/>
  <c r="I328" i="7"/>
  <c r="K268" i="7"/>
  <c r="K328" i="7"/>
  <c r="L268" i="8"/>
  <c r="J28" i="8"/>
  <c r="N328" i="8"/>
  <c r="J58" i="8"/>
  <c r="L268" i="7"/>
  <c r="J28" i="7"/>
  <c r="N328" i="7"/>
  <c r="J58" i="7"/>
  <c r="B12" i="5"/>
  <c r="B248" i="7"/>
  <c r="B20" i="5"/>
  <c r="B308" i="7"/>
  <c r="C12" i="5"/>
  <c r="D248" i="7"/>
  <c r="C20" i="5"/>
  <c r="D308" i="7"/>
  <c r="D12" i="5"/>
  <c r="F248" i="7"/>
  <c r="D20" i="5"/>
  <c r="F308" i="7"/>
  <c r="E12" i="5"/>
  <c r="H248" i="7"/>
  <c r="E20" i="5"/>
  <c r="H308" i="7"/>
  <c r="F12" i="5"/>
  <c r="J248" i="7"/>
  <c r="F20" i="5"/>
  <c r="J308" i="7"/>
  <c r="G20" i="6"/>
  <c r="L308" i="8"/>
  <c r="G20" i="5"/>
  <c r="L308" i="7"/>
  <c r="H12" i="6"/>
  <c r="L248" i="8"/>
  <c r="J8" i="8"/>
  <c r="H20" i="6"/>
  <c r="J38" i="8"/>
  <c r="N308" i="8"/>
  <c r="H12" i="5"/>
  <c r="L248" i="7"/>
  <c r="J8" i="7"/>
  <c r="H20" i="5"/>
  <c r="N308" i="7"/>
  <c r="J38" i="7"/>
  <c r="G287" i="8"/>
  <c r="I287" i="8"/>
  <c r="I287" i="7"/>
  <c r="I527" i="7"/>
  <c r="AV198" i="11"/>
  <c r="J527" i="8"/>
  <c r="K527" i="7"/>
  <c r="L287" i="8"/>
  <c r="L17" i="8"/>
  <c r="N527" i="8"/>
  <c r="B77" i="8"/>
  <c r="L287" i="7"/>
  <c r="L17" i="7"/>
  <c r="N527" i="7"/>
  <c r="B77" i="7"/>
  <c r="G288" i="8"/>
  <c r="I288" i="8"/>
  <c r="I288" i="7"/>
  <c r="K288" i="7"/>
  <c r="L288" i="8"/>
  <c r="L18" i="8"/>
  <c r="N528" i="8"/>
  <c r="O528" i="8" s="1"/>
  <c r="B78" i="8"/>
  <c r="C78" i="8" s="1"/>
  <c r="L288" i="7"/>
  <c r="L18" i="7"/>
  <c r="N528" i="7"/>
  <c r="O528" i="7" s="1"/>
  <c r="B78" i="7"/>
  <c r="C78" i="7" s="1"/>
  <c r="L20" i="8"/>
  <c r="M20" i="8" s="1"/>
  <c r="L290" i="8"/>
  <c r="M290" i="8" s="1"/>
  <c r="N530" i="8"/>
  <c r="O530" i="8" s="1"/>
  <c r="B80" i="8"/>
  <c r="C80" i="8" s="1"/>
  <c r="L290" i="7"/>
  <c r="M290" i="7" s="1"/>
  <c r="L20" i="7"/>
  <c r="M20" i="7" s="1"/>
  <c r="N530" i="7"/>
  <c r="O530" i="7" s="1"/>
  <c r="B80" i="7"/>
  <c r="C80" i="7" s="1"/>
  <c r="G291" i="8"/>
  <c r="I291" i="8"/>
  <c r="I291" i="7"/>
  <c r="K291" i="7"/>
  <c r="L21" i="8"/>
  <c r="L291" i="8"/>
  <c r="N531" i="8"/>
  <c r="O531" i="8" s="1"/>
  <c r="B81" i="8"/>
  <c r="C81" i="8" s="1"/>
  <c r="L291" i="7"/>
  <c r="L21" i="7"/>
  <c r="N531" i="7"/>
  <c r="O531" i="7" s="1"/>
  <c r="B81" i="7"/>
  <c r="C81" i="7" s="1"/>
  <c r="G292" i="8"/>
  <c r="I292" i="8"/>
  <c r="I292" i="7"/>
  <c r="M532" i="8"/>
  <c r="L292" i="8"/>
  <c r="L22" i="8"/>
  <c r="N532" i="8"/>
  <c r="B82" i="8"/>
  <c r="L292" i="7"/>
  <c r="L22" i="7"/>
  <c r="N532" i="7"/>
  <c r="B82" i="7"/>
  <c r="G293" i="8"/>
  <c r="I293" i="8"/>
  <c r="I293" i="7"/>
  <c r="K293" i="7"/>
  <c r="L293" i="8"/>
  <c r="L23" i="8"/>
  <c r="N533" i="8"/>
  <c r="O533" i="8" s="1"/>
  <c r="B83" i="8"/>
  <c r="C83" i="8" s="1"/>
  <c r="L293" i="7"/>
  <c r="L23" i="7"/>
  <c r="N533" i="7"/>
  <c r="O533" i="7" s="1"/>
  <c r="B83" i="7"/>
  <c r="C83" i="7" s="1"/>
  <c r="M535" i="8"/>
  <c r="L295" i="8"/>
  <c r="M295" i="8" s="1"/>
  <c r="L25" i="8"/>
  <c r="M25" i="8" s="1"/>
  <c r="N535" i="8"/>
  <c r="B85" i="8"/>
  <c r="L295" i="7"/>
  <c r="M295" i="7" s="1"/>
  <c r="L25" i="7"/>
  <c r="M25" i="7" s="1"/>
  <c r="N535" i="7"/>
  <c r="B85" i="7"/>
  <c r="G296" i="8"/>
  <c r="I296" i="7"/>
  <c r="K296" i="7"/>
  <c r="L296" i="8"/>
  <c r="L26" i="8"/>
  <c r="N536" i="8"/>
  <c r="O536" i="8" s="1"/>
  <c r="B86" i="8"/>
  <c r="C86" i="8" s="1"/>
  <c r="L296" i="7"/>
  <c r="L26" i="7"/>
  <c r="N536" i="7"/>
  <c r="O536" i="7" s="1"/>
  <c r="B86" i="7"/>
  <c r="C86" i="7" s="1"/>
  <c r="G297" i="8"/>
  <c r="I297" i="8"/>
  <c r="I297" i="7"/>
  <c r="L297" i="8"/>
  <c r="L27" i="8"/>
  <c r="N537" i="8"/>
  <c r="O537" i="8" s="1"/>
  <c r="B87" i="8"/>
  <c r="C87" i="8" s="1"/>
  <c r="L297" i="7"/>
  <c r="L27" i="7"/>
  <c r="N537" i="7"/>
  <c r="O537" i="7" s="1"/>
  <c r="B87" i="7"/>
  <c r="C87" i="7" s="1"/>
  <c r="G298" i="8"/>
  <c r="I298" i="8"/>
  <c r="I298" i="7"/>
  <c r="K298" i="7"/>
  <c r="L28" i="8"/>
  <c r="L298" i="8"/>
  <c r="N538" i="8"/>
  <c r="O538" i="8" s="1"/>
  <c r="B88" i="8"/>
  <c r="C88" i="8" s="1"/>
  <c r="L298" i="7"/>
  <c r="L28" i="7"/>
  <c r="N538" i="7"/>
  <c r="O538" i="7" s="1"/>
  <c r="B88" i="7"/>
  <c r="C88" i="7" s="1"/>
  <c r="B13" i="5"/>
  <c r="B278" i="7"/>
  <c r="B22" i="5"/>
  <c r="B518" i="7"/>
  <c r="C13" i="5"/>
  <c r="D278" i="7"/>
  <c r="C22" i="5"/>
  <c r="D518" i="7"/>
  <c r="D22" i="6"/>
  <c r="F518" i="8"/>
  <c r="D13" i="5"/>
  <c r="F278" i="7"/>
  <c r="D22" i="5"/>
  <c r="F518" i="7"/>
  <c r="E13" i="5"/>
  <c r="H278" i="7"/>
  <c r="E22" i="5"/>
  <c r="H518" i="7"/>
  <c r="F13" i="5"/>
  <c r="J278" i="7"/>
  <c r="F22" i="5"/>
  <c r="J518" i="7"/>
  <c r="G22" i="5"/>
  <c r="L518" i="7"/>
  <c r="L8" i="8"/>
  <c r="L278" i="8"/>
  <c r="H22" i="6"/>
  <c r="N518" i="8"/>
  <c r="B68" i="8"/>
  <c r="H13" i="5"/>
  <c r="L278" i="7"/>
  <c r="L8" i="7"/>
  <c r="H22" i="5"/>
  <c r="N518" i="7"/>
  <c r="B68" i="7"/>
  <c r="K118" i="7"/>
  <c r="N28" i="8"/>
  <c r="L118" i="8"/>
  <c r="N568" i="8"/>
  <c r="O568" i="8" s="1"/>
  <c r="D88" i="8"/>
  <c r="E88" i="8" s="1"/>
  <c r="L118" i="7"/>
  <c r="N28" i="7"/>
  <c r="N568" i="7"/>
  <c r="O568" i="7" s="1"/>
  <c r="D88" i="7"/>
  <c r="E88" i="7" s="1"/>
  <c r="B14" i="5"/>
  <c r="B98" i="7"/>
  <c r="B23" i="5"/>
  <c r="B548" i="7"/>
  <c r="C14" i="5"/>
  <c r="D98" i="7"/>
  <c r="C23" i="5"/>
  <c r="D548" i="7"/>
  <c r="D14" i="5"/>
  <c r="F98" i="7"/>
  <c r="D23" i="5"/>
  <c r="F548" i="7"/>
  <c r="E14" i="5"/>
  <c r="H98" i="7"/>
  <c r="E23" i="5"/>
  <c r="H548" i="7"/>
  <c r="F14" i="5"/>
  <c r="J98" i="7"/>
  <c r="F23" i="5"/>
  <c r="J548" i="7"/>
  <c r="G23" i="5"/>
  <c r="L548" i="7"/>
  <c r="N8" i="8"/>
  <c r="L98" i="8"/>
  <c r="H23" i="6"/>
  <c r="N548" i="8"/>
  <c r="D68" i="8"/>
  <c r="H14" i="5"/>
  <c r="L98" i="7"/>
  <c r="N8" i="7"/>
  <c r="H23" i="5"/>
  <c r="N548" i="7"/>
  <c r="D68" i="7"/>
  <c r="K358" i="7"/>
  <c r="N358" i="8"/>
  <c r="B58" i="8"/>
  <c r="N508" i="8"/>
  <c r="O508" i="8" s="1"/>
  <c r="F88" i="8"/>
  <c r="G88" i="8" s="1"/>
  <c r="N358" i="7"/>
  <c r="B58" i="7"/>
  <c r="N508" i="7"/>
  <c r="O508" i="7" s="1"/>
  <c r="F88" i="7"/>
  <c r="G88" i="7" s="1"/>
  <c r="B16" i="5"/>
  <c r="B338" i="7"/>
  <c r="B24" i="5"/>
  <c r="B488" i="7"/>
  <c r="C16" i="5"/>
  <c r="D338" i="7"/>
  <c r="C24" i="5"/>
  <c r="D488" i="7"/>
  <c r="D16" i="5"/>
  <c r="F338" i="7"/>
  <c r="D24" i="5"/>
  <c r="F488" i="7"/>
  <c r="E16" i="5"/>
  <c r="H338" i="7"/>
  <c r="E24" i="5"/>
  <c r="H488" i="7"/>
  <c r="F16" i="5"/>
  <c r="J338" i="7"/>
  <c r="F24" i="5"/>
  <c r="J488" i="7"/>
  <c r="G16" i="5"/>
  <c r="L338" i="7"/>
  <c r="G24" i="5"/>
  <c r="L488" i="7"/>
  <c r="B38" i="8"/>
  <c r="N338" i="8"/>
  <c r="F68" i="8"/>
  <c r="N488" i="8"/>
  <c r="H16" i="5"/>
  <c r="N338" i="7"/>
  <c r="B38" i="7"/>
  <c r="H24" i="5"/>
  <c r="N488" i="7"/>
  <c r="F68" i="7"/>
  <c r="AI471" i="11"/>
  <c r="B8" i="6"/>
  <c r="AQ475" i="11"/>
  <c r="C17" i="6"/>
  <c r="AI479" i="11"/>
  <c r="D8" i="6"/>
  <c r="AQ479" i="11"/>
  <c r="D17" i="6"/>
  <c r="AI483" i="11"/>
  <c r="E8" i="6"/>
  <c r="AQ483" i="11"/>
  <c r="E17" i="6"/>
  <c r="AI487" i="11"/>
  <c r="F8" i="6"/>
  <c r="AQ487" i="11"/>
  <c r="F17" i="6"/>
  <c r="AI491" i="11"/>
  <c r="G8" i="6"/>
  <c r="AJ471" i="11"/>
  <c r="B9" i="6"/>
  <c r="AR471" i="11"/>
  <c r="B18" i="6"/>
  <c r="AJ475" i="11"/>
  <c r="C9" i="6"/>
  <c r="AR475" i="11"/>
  <c r="C18" i="6"/>
  <c r="AJ479" i="11"/>
  <c r="D9" i="6"/>
  <c r="AR479" i="11"/>
  <c r="D18" i="6"/>
  <c r="AJ483" i="11"/>
  <c r="E9" i="6"/>
  <c r="AR483" i="11"/>
  <c r="E18" i="6"/>
  <c r="AR487" i="11"/>
  <c r="F18" i="6"/>
  <c r="AJ491" i="11"/>
  <c r="G9" i="6"/>
  <c r="AK471" i="11"/>
  <c r="B10" i="6"/>
  <c r="AS471" i="11"/>
  <c r="B19" i="6"/>
  <c r="AK475" i="11"/>
  <c r="C10" i="6"/>
  <c r="AS475" i="11"/>
  <c r="C19" i="6"/>
  <c r="AK479" i="11"/>
  <c r="D10" i="6"/>
  <c r="AS479" i="11"/>
  <c r="D19" i="6"/>
  <c r="AK483" i="11"/>
  <c r="E10" i="6"/>
  <c r="AS483" i="11"/>
  <c r="E19" i="6"/>
  <c r="AK487" i="11"/>
  <c r="F10" i="6"/>
  <c r="AS487" i="11"/>
  <c r="F19" i="6"/>
  <c r="AK491" i="11"/>
  <c r="G10" i="6"/>
  <c r="AL479" i="11"/>
  <c r="D11" i="6"/>
  <c r="AL487" i="11"/>
  <c r="F11" i="6"/>
  <c r="AU471" i="11"/>
  <c r="B20" i="6"/>
  <c r="AU475" i="11"/>
  <c r="C20" i="6"/>
  <c r="AU479" i="11"/>
  <c r="D20" i="6"/>
  <c r="AU483" i="11"/>
  <c r="E20" i="6"/>
  <c r="AU487" i="11"/>
  <c r="F20" i="6"/>
  <c r="AN471" i="11"/>
  <c r="B13" i="6"/>
  <c r="AV471" i="11"/>
  <c r="B22" i="6"/>
  <c r="AN475" i="11"/>
  <c r="C13" i="6"/>
  <c r="AV475" i="11"/>
  <c r="C22" i="6"/>
  <c r="AN479" i="11"/>
  <c r="D13" i="6"/>
  <c r="AN483" i="11"/>
  <c r="E13" i="6"/>
  <c r="AV483" i="11"/>
  <c r="E22" i="6"/>
  <c r="AN487" i="11"/>
  <c r="F13" i="6"/>
  <c r="AV487" i="11"/>
  <c r="F22" i="6"/>
  <c r="AN491" i="11"/>
  <c r="G13" i="6"/>
  <c r="AV491" i="11"/>
  <c r="G22" i="6"/>
  <c r="AN495" i="11"/>
  <c r="H13" i="6"/>
  <c r="AL475" i="11"/>
  <c r="C11" i="6"/>
  <c r="AM471" i="11"/>
  <c r="B12" i="6"/>
  <c r="AM475" i="11"/>
  <c r="C12" i="6"/>
  <c r="AM479" i="11"/>
  <c r="D12" i="6"/>
  <c r="AM483" i="11"/>
  <c r="E12" i="6"/>
  <c r="AM487" i="11"/>
  <c r="F12" i="6"/>
  <c r="AM491" i="11"/>
  <c r="G12" i="6"/>
  <c r="AO471" i="11"/>
  <c r="B14" i="6"/>
  <c r="AW471" i="11"/>
  <c r="B23" i="6"/>
  <c r="AO475" i="11"/>
  <c r="C14" i="6"/>
  <c r="AW475" i="11"/>
  <c r="C23" i="6"/>
  <c r="AO479" i="11"/>
  <c r="D14" i="6"/>
  <c r="AW479" i="11"/>
  <c r="D23" i="6"/>
  <c r="AO483" i="11"/>
  <c r="E14" i="6"/>
  <c r="AW483" i="11"/>
  <c r="E23" i="6"/>
  <c r="AO487" i="11"/>
  <c r="F14" i="6"/>
  <c r="AW487" i="11"/>
  <c r="F23" i="6"/>
  <c r="AO491" i="11"/>
  <c r="G14" i="6"/>
  <c r="AW491" i="11"/>
  <c r="G23" i="6"/>
  <c r="AO495" i="11"/>
  <c r="H14" i="6"/>
  <c r="AL471" i="11"/>
  <c r="B11" i="6"/>
  <c r="AL483" i="11"/>
  <c r="E11" i="6"/>
  <c r="AL491" i="11"/>
  <c r="G11" i="6"/>
  <c r="AP471" i="11"/>
  <c r="B16" i="6"/>
  <c r="AX471" i="11"/>
  <c r="B24" i="6"/>
  <c r="AP475" i="11"/>
  <c r="C16" i="6"/>
  <c r="AX475" i="11"/>
  <c r="C24" i="6"/>
  <c r="AP479" i="11"/>
  <c r="D16" i="6"/>
  <c r="AX479" i="11"/>
  <c r="D24" i="6"/>
  <c r="AP483" i="11"/>
  <c r="E16" i="6"/>
  <c r="AX483" i="11"/>
  <c r="E24" i="6"/>
  <c r="AP487" i="11"/>
  <c r="F16" i="6"/>
  <c r="AX487" i="11"/>
  <c r="F24" i="6"/>
  <c r="AP491" i="11"/>
  <c r="G16" i="6"/>
  <c r="AX491" i="11"/>
  <c r="G24" i="6"/>
  <c r="AP495" i="11"/>
  <c r="H16" i="6"/>
  <c r="AX495" i="11"/>
  <c r="H24" i="6"/>
  <c r="AK78" i="11"/>
  <c r="AJ487" i="11"/>
  <c r="AU495" i="11"/>
  <c r="AL495" i="11"/>
  <c r="AS491" i="11"/>
  <c r="AQ495" i="11"/>
  <c r="AQ471" i="11"/>
  <c r="AV479" i="11"/>
  <c r="AI475" i="11"/>
  <c r="AS495" i="11"/>
  <c r="AQ491" i="11"/>
  <c r="AI495" i="11"/>
  <c r="AR495" i="11"/>
  <c r="AT495" i="11"/>
  <c r="AJ495" i="11"/>
  <c r="AR491" i="11"/>
  <c r="AK495" i="11"/>
  <c r="AV495" i="11"/>
  <c r="AW495" i="11"/>
  <c r="AU491" i="11"/>
  <c r="AM20" i="11"/>
  <c r="AM495" i="11"/>
  <c r="BN9" i="4"/>
  <c r="BZ9" i="4" s="1"/>
  <c r="CL9" i="4" s="1"/>
  <c r="BO9" i="4"/>
  <c r="CA9" i="4" s="1"/>
  <c r="CM9" i="4" s="1"/>
  <c r="BP9" i="4"/>
  <c r="BQ9" i="4"/>
  <c r="CC9" i="4" s="1"/>
  <c r="CO9" i="4" s="1"/>
  <c r="BR9" i="4"/>
  <c r="CD9" i="4" s="1"/>
  <c r="CP9" i="4" s="1"/>
  <c r="BS9" i="4"/>
  <c r="CE9" i="4" s="1"/>
  <c r="CQ9" i="4" s="1"/>
  <c r="BT9" i="4"/>
  <c r="CF9" i="4" s="1"/>
  <c r="BU9" i="4"/>
  <c r="CG9" i="4" s="1"/>
  <c r="CS9" i="4" s="1"/>
  <c r="BV9" i="4"/>
  <c r="CH9" i="4" s="1"/>
  <c r="CT9" i="4" s="1"/>
  <c r="BW9" i="4"/>
  <c r="CI9" i="4" s="1"/>
  <c r="CU9" i="4" s="1"/>
  <c r="BX9" i="4"/>
  <c r="CJ9" i="4" s="1"/>
  <c r="CV9" i="4" s="1"/>
  <c r="BY9" i="4"/>
  <c r="CK9" i="4" s="1"/>
  <c r="CW9" i="4" s="1"/>
  <c r="CB9" i="4"/>
  <c r="CN9" i="4" s="1"/>
  <c r="DP9" i="4" s="1"/>
  <c r="CR9" i="4"/>
  <c r="CZ9" i="4"/>
  <c r="DA9" i="4"/>
  <c r="DB9" i="4"/>
  <c r="DC9" i="4"/>
  <c r="DD9" i="4"/>
  <c r="DE9" i="4"/>
  <c r="DF9" i="4"/>
  <c r="DG9" i="4"/>
  <c r="DH9" i="4"/>
  <c r="DV9" i="4" s="1"/>
  <c r="DI9" i="4"/>
  <c r="DJ9" i="4"/>
  <c r="DK9" i="4"/>
  <c r="BN10" i="4"/>
  <c r="BZ10" i="4" s="1"/>
  <c r="CL10" i="4" s="1"/>
  <c r="BO10" i="4"/>
  <c r="CA10" i="4" s="1"/>
  <c r="CM10" i="4" s="1"/>
  <c r="BP10" i="4"/>
  <c r="CB10" i="4" s="1"/>
  <c r="CN10" i="4" s="1"/>
  <c r="BQ10" i="4"/>
  <c r="CC10" i="4" s="1"/>
  <c r="CO10" i="4" s="1"/>
  <c r="BR10" i="4"/>
  <c r="CD10" i="4" s="1"/>
  <c r="BS10" i="4"/>
  <c r="CE10" i="4" s="1"/>
  <c r="CQ10" i="4" s="1"/>
  <c r="BT10" i="4"/>
  <c r="CF10" i="4" s="1"/>
  <c r="CR10" i="4" s="1"/>
  <c r="BU10" i="4"/>
  <c r="CG10" i="4" s="1"/>
  <c r="CS10" i="4" s="1"/>
  <c r="BV10" i="4"/>
  <c r="CH10" i="4" s="1"/>
  <c r="CT10" i="4" s="1"/>
  <c r="BW10" i="4"/>
  <c r="CI10" i="4" s="1"/>
  <c r="CU10" i="4" s="1"/>
  <c r="BX10" i="4"/>
  <c r="CJ10" i="4" s="1"/>
  <c r="BY10" i="4"/>
  <c r="CK10" i="4" s="1"/>
  <c r="CW10" i="4" s="1"/>
  <c r="DY10" i="4" s="1"/>
  <c r="CP10" i="4"/>
  <c r="CV10" i="4"/>
  <c r="DX10" i="4" s="1"/>
  <c r="CZ10" i="4"/>
  <c r="DA10" i="4"/>
  <c r="DB10" i="4"/>
  <c r="DC10" i="4"/>
  <c r="DD10" i="4"/>
  <c r="DE10" i="4"/>
  <c r="DF10" i="4"/>
  <c r="DG10" i="4"/>
  <c r="DH10" i="4"/>
  <c r="DI10" i="4"/>
  <c r="DJ10" i="4"/>
  <c r="DK10" i="4"/>
  <c r="BN11" i="4"/>
  <c r="BZ11" i="4" s="1"/>
  <c r="CL11" i="4" s="1"/>
  <c r="BO11" i="4"/>
  <c r="CA11" i="4" s="1"/>
  <c r="CM11" i="4" s="1"/>
  <c r="BP11" i="4"/>
  <c r="CB11" i="4" s="1"/>
  <c r="CN11" i="4" s="1"/>
  <c r="BQ11" i="4"/>
  <c r="CC11" i="4" s="1"/>
  <c r="CO11" i="4" s="1"/>
  <c r="BR11" i="4"/>
  <c r="BS11" i="4"/>
  <c r="BT11" i="4"/>
  <c r="BU11" i="4"/>
  <c r="CG11" i="4" s="1"/>
  <c r="CS11" i="4" s="1"/>
  <c r="BV11" i="4"/>
  <c r="CH11" i="4" s="1"/>
  <c r="CT11" i="4" s="1"/>
  <c r="BW11" i="4"/>
  <c r="CI11" i="4" s="1"/>
  <c r="CU11" i="4" s="1"/>
  <c r="BX11" i="4"/>
  <c r="CJ11" i="4" s="1"/>
  <c r="CV11" i="4" s="1"/>
  <c r="BY11" i="4"/>
  <c r="CK11" i="4" s="1"/>
  <c r="CW11" i="4" s="1"/>
  <c r="CD11" i="4"/>
  <c r="CP11" i="4" s="1"/>
  <c r="CE11" i="4"/>
  <c r="CQ11" i="4" s="1"/>
  <c r="CF11" i="4"/>
  <c r="CR11" i="4" s="1"/>
  <c r="CZ11" i="4"/>
  <c r="DA11" i="4"/>
  <c r="DB11" i="4"/>
  <c r="DC11" i="4"/>
  <c r="DD11" i="4"/>
  <c r="DR11" i="4" s="1"/>
  <c r="DE11" i="4"/>
  <c r="DF11" i="4"/>
  <c r="DT11" i="4" s="1"/>
  <c r="DG11" i="4"/>
  <c r="DH11" i="4"/>
  <c r="DI11" i="4"/>
  <c r="DJ11" i="4"/>
  <c r="DK11" i="4"/>
  <c r="BN12" i="4"/>
  <c r="BZ12" i="4" s="1"/>
  <c r="CL12" i="4" s="1"/>
  <c r="BO12" i="4"/>
  <c r="CA12" i="4" s="1"/>
  <c r="CM12" i="4" s="1"/>
  <c r="BP12" i="4"/>
  <c r="BQ12" i="4"/>
  <c r="CC12" i="4" s="1"/>
  <c r="CO12" i="4" s="1"/>
  <c r="BR12" i="4"/>
  <c r="CD12" i="4" s="1"/>
  <c r="CP12" i="4" s="1"/>
  <c r="DR12" i="4" s="1"/>
  <c r="BS12" i="4"/>
  <c r="CE12" i="4" s="1"/>
  <c r="CQ12" i="4" s="1"/>
  <c r="BT12" i="4"/>
  <c r="CF12" i="4" s="1"/>
  <c r="CR12" i="4" s="1"/>
  <c r="BU12" i="4"/>
  <c r="CG12" i="4" s="1"/>
  <c r="BV12" i="4"/>
  <c r="CH12" i="4" s="1"/>
  <c r="CT12" i="4" s="1"/>
  <c r="BW12" i="4"/>
  <c r="CI12" i="4" s="1"/>
  <c r="BX12" i="4"/>
  <c r="CJ12" i="4" s="1"/>
  <c r="CV12" i="4" s="1"/>
  <c r="BY12" i="4"/>
  <c r="CK12" i="4" s="1"/>
  <c r="CW12" i="4" s="1"/>
  <c r="CB12" i="4"/>
  <c r="CN12" i="4" s="1"/>
  <c r="DP12" i="4" s="1"/>
  <c r="CS12" i="4"/>
  <c r="CU12" i="4"/>
  <c r="CZ12" i="4"/>
  <c r="DA12" i="4"/>
  <c r="DB12" i="4"/>
  <c r="DC12" i="4"/>
  <c r="DD12" i="4"/>
  <c r="DE12" i="4"/>
  <c r="DF12" i="4"/>
  <c r="DG12" i="4"/>
  <c r="DH12" i="4"/>
  <c r="DI12" i="4"/>
  <c r="DJ12" i="4"/>
  <c r="DX12" i="4" s="1"/>
  <c r="DK12" i="4"/>
  <c r="BN13" i="4"/>
  <c r="BZ13" i="4" s="1"/>
  <c r="CL13" i="4" s="1"/>
  <c r="BO13" i="4"/>
  <c r="CA13" i="4" s="1"/>
  <c r="CM13" i="4" s="1"/>
  <c r="BP13" i="4"/>
  <c r="CB13" i="4" s="1"/>
  <c r="CN13" i="4" s="1"/>
  <c r="BQ13" i="4"/>
  <c r="BR13" i="4"/>
  <c r="CD13" i="4" s="1"/>
  <c r="CP13" i="4" s="1"/>
  <c r="BS13" i="4"/>
  <c r="CE13" i="4" s="1"/>
  <c r="CQ13" i="4" s="1"/>
  <c r="BT13" i="4"/>
  <c r="CF13" i="4" s="1"/>
  <c r="CR13" i="4" s="1"/>
  <c r="BU13" i="4"/>
  <c r="CG13" i="4" s="1"/>
  <c r="CS13" i="4" s="1"/>
  <c r="BV13" i="4"/>
  <c r="CH13" i="4" s="1"/>
  <c r="CT13" i="4" s="1"/>
  <c r="BW13" i="4"/>
  <c r="CI13" i="4" s="1"/>
  <c r="CU13" i="4" s="1"/>
  <c r="BX13" i="4"/>
  <c r="CJ13" i="4" s="1"/>
  <c r="CV13" i="4" s="1"/>
  <c r="BY13" i="4"/>
  <c r="CK13" i="4" s="1"/>
  <c r="CW13" i="4" s="1"/>
  <c r="CC13" i="4"/>
  <c r="CO13" i="4" s="1"/>
  <c r="DQ13" i="4" s="1"/>
  <c r="CZ13" i="4"/>
  <c r="DA13" i="4"/>
  <c r="DB13" i="4"/>
  <c r="DC13" i="4"/>
  <c r="DD13" i="4"/>
  <c r="DE13" i="4"/>
  <c r="DF13" i="4"/>
  <c r="DG13" i="4"/>
  <c r="DH13" i="4"/>
  <c r="DI13" i="4"/>
  <c r="DJ13" i="4"/>
  <c r="DK13" i="4"/>
  <c r="BN14" i="4"/>
  <c r="BZ14" i="4" s="1"/>
  <c r="CL14" i="4" s="1"/>
  <c r="BO14" i="4"/>
  <c r="CA14" i="4" s="1"/>
  <c r="CM14" i="4" s="1"/>
  <c r="BP14" i="4"/>
  <c r="CB14" i="4" s="1"/>
  <c r="CN14" i="4" s="1"/>
  <c r="BQ14" i="4"/>
  <c r="CC14" i="4" s="1"/>
  <c r="CO14" i="4" s="1"/>
  <c r="BR14" i="4"/>
  <c r="CD14" i="4" s="1"/>
  <c r="CP14" i="4" s="1"/>
  <c r="BS14" i="4"/>
  <c r="CE14" i="4" s="1"/>
  <c r="CQ14" i="4" s="1"/>
  <c r="BT14" i="4"/>
  <c r="CF14" i="4" s="1"/>
  <c r="CR14" i="4" s="1"/>
  <c r="DT14" i="4" s="1"/>
  <c r="BU14" i="4"/>
  <c r="CG14" i="4" s="1"/>
  <c r="CS14" i="4" s="1"/>
  <c r="BV14" i="4"/>
  <c r="CH14" i="4" s="1"/>
  <c r="CT14" i="4" s="1"/>
  <c r="BW14" i="4"/>
  <c r="CI14" i="4" s="1"/>
  <c r="CU14" i="4" s="1"/>
  <c r="BX14" i="4"/>
  <c r="CJ14" i="4" s="1"/>
  <c r="CV14" i="4" s="1"/>
  <c r="BY14" i="4"/>
  <c r="CK14" i="4" s="1"/>
  <c r="CW14" i="4" s="1"/>
  <c r="CZ14" i="4"/>
  <c r="DA14" i="4"/>
  <c r="DB14" i="4"/>
  <c r="DC14" i="4"/>
  <c r="DD14" i="4"/>
  <c r="DE14" i="4"/>
  <c r="DF14" i="4"/>
  <c r="DG14" i="4"/>
  <c r="DH14" i="4"/>
  <c r="DV14" i="4" s="1"/>
  <c r="DI14" i="4"/>
  <c r="DJ14" i="4"/>
  <c r="DK14" i="4"/>
  <c r="BN15" i="4"/>
  <c r="BZ15" i="4" s="1"/>
  <c r="BO15" i="4"/>
  <c r="CA15" i="4" s="1"/>
  <c r="CM15" i="4" s="1"/>
  <c r="BP15" i="4"/>
  <c r="CB15" i="4" s="1"/>
  <c r="CN15" i="4" s="1"/>
  <c r="BQ15" i="4"/>
  <c r="CC15" i="4" s="1"/>
  <c r="CO15" i="4" s="1"/>
  <c r="BR15" i="4"/>
  <c r="CD15" i="4" s="1"/>
  <c r="CP15" i="4" s="1"/>
  <c r="DR15" i="4" s="1"/>
  <c r="BS15" i="4"/>
  <c r="CE15" i="4" s="1"/>
  <c r="CQ15" i="4" s="1"/>
  <c r="BT15" i="4"/>
  <c r="BU15" i="4"/>
  <c r="BV15" i="4"/>
  <c r="CH15" i="4" s="1"/>
  <c r="CT15" i="4" s="1"/>
  <c r="BW15" i="4"/>
  <c r="CI15" i="4" s="1"/>
  <c r="CU15" i="4" s="1"/>
  <c r="BX15" i="4"/>
  <c r="CJ15" i="4" s="1"/>
  <c r="CV15" i="4" s="1"/>
  <c r="BY15" i="4"/>
  <c r="CK15" i="4" s="1"/>
  <c r="CW15" i="4" s="1"/>
  <c r="CF15" i="4"/>
  <c r="CR15" i="4" s="1"/>
  <c r="CG15" i="4"/>
  <c r="CS15" i="4" s="1"/>
  <c r="CL15" i="4"/>
  <c r="CZ15" i="4"/>
  <c r="DA15" i="4"/>
  <c r="DB15" i="4"/>
  <c r="DC15" i="4"/>
  <c r="DD15" i="4"/>
  <c r="DE15" i="4"/>
  <c r="DF15" i="4"/>
  <c r="DG15" i="4"/>
  <c r="DH15" i="4"/>
  <c r="DI15" i="4"/>
  <c r="DJ15" i="4"/>
  <c r="DK15" i="4"/>
  <c r="BN16" i="4"/>
  <c r="BZ16" i="4" s="1"/>
  <c r="CL16" i="4" s="1"/>
  <c r="BO16" i="4"/>
  <c r="CA16" i="4" s="1"/>
  <c r="CM16" i="4" s="1"/>
  <c r="BP16" i="4"/>
  <c r="CB16" i="4" s="1"/>
  <c r="CN16" i="4" s="1"/>
  <c r="BQ16" i="4"/>
  <c r="BR16" i="4"/>
  <c r="CD16" i="4" s="1"/>
  <c r="CP16" i="4" s="1"/>
  <c r="DR16" i="4" s="1"/>
  <c r="BS16" i="4"/>
  <c r="CE16" i="4" s="1"/>
  <c r="CQ16" i="4" s="1"/>
  <c r="BT16" i="4"/>
  <c r="CF16" i="4" s="1"/>
  <c r="CR16" i="4" s="1"/>
  <c r="BU16" i="4"/>
  <c r="CG16" i="4" s="1"/>
  <c r="BV16" i="4"/>
  <c r="CH16" i="4" s="1"/>
  <c r="CT16" i="4" s="1"/>
  <c r="BW16" i="4"/>
  <c r="CI16" i="4" s="1"/>
  <c r="CU16" i="4" s="1"/>
  <c r="BX16" i="4"/>
  <c r="CJ16" i="4" s="1"/>
  <c r="CV16" i="4" s="1"/>
  <c r="BY16" i="4"/>
  <c r="CK16" i="4" s="1"/>
  <c r="CW16" i="4" s="1"/>
  <c r="DY16" i="4" s="1"/>
  <c r="CC16" i="4"/>
  <c r="CO16" i="4" s="1"/>
  <c r="DQ16" i="4" s="1"/>
  <c r="CS16" i="4"/>
  <c r="CZ16" i="4"/>
  <c r="DA16" i="4"/>
  <c r="DB16" i="4"/>
  <c r="DC16" i="4"/>
  <c r="DD16" i="4"/>
  <c r="DE16" i="4"/>
  <c r="DF16" i="4"/>
  <c r="DG16" i="4"/>
  <c r="DH16" i="4"/>
  <c r="DI16" i="4"/>
  <c r="DJ16" i="4"/>
  <c r="DK16" i="4"/>
  <c r="BN17" i="4"/>
  <c r="BO17" i="4"/>
  <c r="CA17" i="4" s="1"/>
  <c r="CM17" i="4" s="1"/>
  <c r="BP17" i="4"/>
  <c r="CB17" i="4" s="1"/>
  <c r="CN17" i="4" s="1"/>
  <c r="BQ17" i="4"/>
  <c r="CC17" i="4" s="1"/>
  <c r="CO17" i="4" s="1"/>
  <c r="BR17" i="4"/>
  <c r="CD17" i="4" s="1"/>
  <c r="CP17" i="4" s="1"/>
  <c r="BS17" i="4"/>
  <c r="CE17" i="4" s="1"/>
  <c r="CQ17" i="4" s="1"/>
  <c r="BT17" i="4"/>
  <c r="CF17" i="4" s="1"/>
  <c r="BU17" i="4"/>
  <c r="CG17" i="4" s="1"/>
  <c r="CS17" i="4" s="1"/>
  <c r="BV17" i="4"/>
  <c r="CH17" i="4" s="1"/>
  <c r="CT17" i="4" s="1"/>
  <c r="BW17" i="4"/>
  <c r="CI17" i="4" s="1"/>
  <c r="CU17" i="4" s="1"/>
  <c r="BX17" i="4"/>
  <c r="CJ17" i="4" s="1"/>
  <c r="CV17" i="4" s="1"/>
  <c r="BY17" i="4"/>
  <c r="CK17" i="4" s="1"/>
  <c r="CW17" i="4" s="1"/>
  <c r="BZ17" i="4"/>
  <c r="CL17" i="4" s="1"/>
  <c r="DN17" i="4" s="1"/>
  <c r="CR17" i="4"/>
  <c r="CZ17" i="4"/>
  <c r="DA17" i="4"/>
  <c r="DB17" i="4"/>
  <c r="DC17" i="4"/>
  <c r="DQ17" i="4" s="1"/>
  <c r="DD17" i="4"/>
  <c r="DE17" i="4"/>
  <c r="DF17" i="4"/>
  <c r="DG17" i="4"/>
  <c r="DH17" i="4"/>
  <c r="DI17" i="4"/>
  <c r="DJ17" i="4"/>
  <c r="DK17" i="4"/>
  <c r="DY17" i="4" s="1"/>
  <c r="BN18" i="4"/>
  <c r="BZ18" i="4" s="1"/>
  <c r="CL18" i="4" s="1"/>
  <c r="DN18" i="4" s="1"/>
  <c r="BO18" i="4"/>
  <c r="CA18" i="4" s="1"/>
  <c r="CM18" i="4" s="1"/>
  <c r="BP18" i="4"/>
  <c r="CB18" i="4" s="1"/>
  <c r="CN18" i="4" s="1"/>
  <c r="BQ18" i="4"/>
  <c r="BR18" i="4"/>
  <c r="CD18" i="4" s="1"/>
  <c r="CP18" i="4" s="1"/>
  <c r="BS18" i="4"/>
  <c r="CE18" i="4" s="1"/>
  <c r="CQ18" i="4" s="1"/>
  <c r="BT18" i="4"/>
  <c r="CF18" i="4" s="1"/>
  <c r="CR18" i="4" s="1"/>
  <c r="BU18" i="4"/>
  <c r="CG18" i="4" s="1"/>
  <c r="CS18" i="4" s="1"/>
  <c r="BV18" i="4"/>
  <c r="CH18" i="4" s="1"/>
  <c r="CT18" i="4" s="1"/>
  <c r="DV18" i="4" s="1"/>
  <c r="BW18" i="4"/>
  <c r="CI18" i="4" s="1"/>
  <c r="CU18" i="4" s="1"/>
  <c r="BX18" i="4"/>
  <c r="CJ18" i="4" s="1"/>
  <c r="CV18" i="4" s="1"/>
  <c r="BY18" i="4"/>
  <c r="CK18" i="4" s="1"/>
  <c r="CC18" i="4"/>
  <c r="CO18" i="4"/>
  <c r="CW18" i="4"/>
  <c r="CZ18" i="4"/>
  <c r="DA18" i="4"/>
  <c r="DB18" i="4"/>
  <c r="DC18" i="4"/>
  <c r="DD18" i="4"/>
  <c r="DE18" i="4"/>
  <c r="DF18" i="4"/>
  <c r="DG18" i="4"/>
  <c r="DH18" i="4"/>
  <c r="DI18" i="4"/>
  <c r="DJ18" i="4"/>
  <c r="DK18" i="4"/>
  <c r="BN19" i="4"/>
  <c r="BZ19" i="4" s="1"/>
  <c r="CL19" i="4" s="1"/>
  <c r="BO19" i="4"/>
  <c r="CA19" i="4" s="1"/>
  <c r="CM19" i="4" s="1"/>
  <c r="BP19" i="4"/>
  <c r="CB19" i="4" s="1"/>
  <c r="CN19" i="4" s="1"/>
  <c r="BQ19" i="4"/>
  <c r="CC19" i="4" s="1"/>
  <c r="CO19" i="4" s="1"/>
  <c r="BR19" i="4"/>
  <c r="CD19" i="4" s="1"/>
  <c r="CP19" i="4" s="1"/>
  <c r="BS19" i="4"/>
  <c r="CE19" i="4" s="1"/>
  <c r="CQ19" i="4" s="1"/>
  <c r="DS19" i="4" s="1"/>
  <c r="BT19" i="4"/>
  <c r="CF19" i="4" s="1"/>
  <c r="CR19" i="4" s="1"/>
  <c r="BU19" i="4"/>
  <c r="CG19" i="4" s="1"/>
  <c r="CS19" i="4" s="1"/>
  <c r="BV19" i="4"/>
  <c r="CH19" i="4" s="1"/>
  <c r="CT19" i="4" s="1"/>
  <c r="BW19" i="4"/>
  <c r="CI19" i="4" s="1"/>
  <c r="CU19" i="4" s="1"/>
  <c r="BX19" i="4"/>
  <c r="CJ19" i="4" s="1"/>
  <c r="CV19" i="4" s="1"/>
  <c r="BY19" i="4"/>
  <c r="CK19" i="4" s="1"/>
  <c r="CW19" i="4" s="1"/>
  <c r="CZ19" i="4"/>
  <c r="DA19" i="4"/>
  <c r="DB19" i="4"/>
  <c r="DC19" i="4"/>
  <c r="DD19" i="4"/>
  <c r="DE19" i="4"/>
  <c r="DF19" i="4"/>
  <c r="DG19" i="4"/>
  <c r="DH19" i="4"/>
  <c r="DI19" i="4"/>
  <c r="DJ19" i="4"/>
  <c r="DK19" i="4"/>
  <c r="BN20" i="4"/>
  <c r="BZ20" i="4" s="1"/>
  <c r="CL20" i="4" s="1"/>
  <c r="BO20" i="4"/>
  <c r="CA20" i="4" s="1"/>
  <c r="CM20" i="4" s="1"/>
  <c r="BP20" i="4"/>
  <c r="CB20" i="4" s="1"/>
  <c r="CN20" i="4" s="1"/>
  <c r="DP20" i="4" s="1"/>
  <c r="BQ20" i="4"/>
  <c r="BR20" i="4"/>
  <c r="CD20" i="4" s="1"/>
  <c r="CP20" i="4" s="1"/>
  <c r="BS20" i="4"/>
  <c r="CE20" i="4" s="1"/>
  <c r="CQ20" i="4" s="1"/>
  <c r="BT20" i="4"/>
  <c r="CF20" i="4" s="1"/>
  <c r="CR20" i="4" s="1"/>
  <c r="BU20" i="4"/>
  <c r="CG20" i="4" s="1"/>
  <c r="CS20" i="4" s="1"/>
  <c r="BV20" i="4"/>
  <c r="CH20" i="4" s="1"/>
  <c r="CT20" i="4" s="1"/>
  <c r="BW20" i="4"/>
  <c r="CI20" i="4" s="1"/>
  <c r="CU20" i="4" s="1"/>
  <c r="BX20" i="4"/>
  <c r="CJ20" i="4" s="1"/>
  <c r="CV20" i="4" s="1"/>
  <c r="BY20" i="4"/>
  <c r="CK20" i="4" s="1"/>
  <c r="CW20" i="4" s="1"/>
  <c r="CC20" i="4"/>
  <c r="CO20" i="4" s="1"/>
  <c r="CZ20" i="4"/>
  <c r="DA20" i="4"/>
  <c r="DB20" i="4"/>
  <c r="DC20" i="4"/>
  <c r="DD20" i="4"/>
  <c r="DE20" i="4"/>
  <c r="DF20" i="4"/>
  <c r="DG20" i="4"/>
  <c r="DH20" i="4"/>
  <c r="DI20" i="4"/>
  <c r="DJ20" i="4"/>
  <c r="DK20" i="4"/>
  <c r="BN21" i="4"/>
  <c r="BZ21" i="4" s="1"/>
  <c r="CL21" i="4" s="1"/>
  <c r="BO21" i="4"/>
  <c r="CA21" i="4" s="1"/>
  <c r="CM21" i="4" s="1"/>
  <c r="BP21" i="4"/>
  <c r="CB21" i="4" s="1"/>
  <c r="CN21" i="4" s="1"/>
  <c r="BQ21" i="4"/>
  <c r="CC21" i="4" s="1"/>
  <c r="CO21" i="4" s="1"/>
  <c r="DQ21" i="4" s="1"/>
  <c r="BR21" i="4"/>
  <c r="CD21" i="4" s="1"/>
  <c r="CP21" i="4" s="1"/>
  <c r="BS21" i="4"/>
  <c r="CE21" i="4" s="1"/>
  <c r="CQ21" i="4" s="1"/>
  <c r="BT21" i="4"/>
  <c r="CF21" i="4" s="1"/>
  <c r="CR21" i="4" s="1"/>
  <c r="BU21" i="4"/>
  <c r="CG21" i="4" s="1"/>
  <c r="CS21" i="4" s="1"/>
  <c r="BV21" i="4"/>
  <c r="CH21" i="4" s="1"/>
  <c r="CT21" i="4" s="1"/>
  <c r="BW21" i="4"/>
  <c r="BX21" i="4"/>
  <c r="CJ21" i="4" s="1"/>
  <c r="CV21" i="4" s="1"/>
  <c r="BY21" i="4"/>
  <c r="CK21" i="4" s="1"/>
  <c r="CW21" i="4" s="1"/>
  <c r="CI21" i="4"/>
  <c r="CU21" i="4" s="1"/>
  <c r="CZ21" i="4"/>
  <c r="DA21" i="4"/>
  <c r="DO21" i="4" s="1"/>
  <c r="DB21" i="4"/>
  <c r="DC21" i="4"/>
  <c r="DD21" i="4"/>
  <c r="DE21" i="4"/>
  <c r="DF21" i="4"/>
  <c r="DG21" i="4"/>
  <c r="DH21" i="4"/>
  <c r="DI21" i="4"/>
  <c r="DJ21" i="4"/>
  <c r="DK21" i="4"/>
  <c r="DX21" i="4"/>
  <c r="BN22" i="4"/>
  <c r="BZ22" i="4" s="1"/>
  <c r="CL22" i="4" s="1"/>
  <c r="BO22" i="4"/>
  <c r="CA22" i="4" s="1"/>
  <c r="CM22" i="4" s="1"/>
  <c r="BP22" i="4"/>
  <c r="BQ22" i="4"/>
  <c r="CC22" i="4" s="1"/>
  <c r="CO22" i="4" s="1"/>
  <c r="BR22" i="4"/>
  <c r="CD22" i="4" s="1"/>
  <c r="CP22" i="4" s="1"/>
  <c r="DR22" i="4" s="1"/>
  <c r="BS22" i="4"/>
  <c r="CE22" i="4" s="1"/>
  <c r="CQ22" i="4" s="1"/>
  <c r="BT22" i="4"/>
  <c r="CF22" i="4" s="1"/>
  <c r="CR22" i="4" s="1"/>
  <c r="BU22" i="4"/>
  <c r="CG22" i="4" s="1"/>
  <c r="CS22" i="4" s="1"/>
  <c r="BV22" i="4"/>
  <c r="CH22" i="4" s="1"/>
  <c r="CT22" i="4" s="1"/>
  <c r="BW22" i="4"/>
  <c r="BX22" i="4"/>
  <c r="CJ22" i="4" s="1"/>
  <c r="CV22" i="4" s="1"/>
  <c r="BY22" i="4"/>
  <c r="CK22" i="4" s="1"/>
  <c r="CW22" i="4" s="1"/>
  <c r="CB22" i="4"/>
  <c r="CN22" i="4" s="1"/>
  <c r="CI22" i="4"/>
  <c r="CU22" i="4" s="1"/>
  <c r="CZ22" i="4"/>
  <c r="DA22" i="4"/>
  <c r="DB22" i="4"/>
  <c r="DC22" i="4"/>
  <c r="DD22" i="4"/>
  <c r="DE22" i="4"/>
  <c r="DF22" i="4"/>
  <c r="DG22" i="4"/>
  <c r="DH22" i="4"/>
  <c r="DI22" i="4"/>
  <c r="DJ22" i="4"/>
  <c r="DK22" i="4"/>
  <c r="BN23" i="4"/>
  <c r="BZ23" i="4" s="1"/>
  <c r="CL23" i="4" s="1"/>
  <c r="BO23" i="4"/>
  <c r="CA23" i="4" s="1"/>
  <c r="CM23" i="4" s="1"/>
  <c r="BP23" i="4"/>
  <c r="CB23" i="4" s="1"/>
  <c r="CN23" i="4" s="1"/>
  <c r="DP23" i="4" s="1"/>
  <c r="BQ23" i="4"/>
  <c r="CC23" i="4" s="1"/>
  <c r="CO23" i="4" s="1"/>
  <c r="BR23" i="4"/>
  <c r="CD23" i="4" s="1"/>
  <c r="CP23" i="4" s="1"/>
  <c r="BS23" i="4"/>
  <c r="BT23" i="4"/>
  <c r="BU23" i="4"/>
  <c r="CG23" i="4" s="1"/>
  <c r="CS23" i="4" s="1"/>
  <c r="BV23" i="4"/>
  <c r="CH23" i="4" s="1"/>
  <c r="CT23" i="4" s="1"/>
  <c r="BW23" i="4"/>
  <c r="CI23" i="4" s="1"/>
  <c r="CU23" i="4" s="1"/>
  <c r="BX23" i="4"/>
  <c r="CJ23" i="4" s="1"/>
  <c r="CV23" i="4" s="1"/>
  <c r="DX23" i="4" s="1"/>
  <c r="BY23" i="4"/>
  <c r="CK23" i="4" s="1"/>
  <c r="CW23" i="4" s="1"/>
  <c r="CE23" i="4"/>
  <c r="CQ23" i="4" s="1"/>
  <c r="CF23" i="4"/>
  <c r="CR23" i="4" s="1"/>
  <c r="CZ23" i="4"/>
  <c r="DA23" i="4"/>
  <c r="DB23" i="4"/>
  <c r="DC23" i="4"/>
  <c r="DD23" i="4"/>
  <c r="DE23" i="4"/>
  <c r="DF23" i="4"/>
  <c r="DG23" i="4"/>
  <c r="DH23" i="4"/>
  <c r="DI23" i="4"/>
  <c r="DJ23" i="4"/>
  <c r="DK23" i="4"/>
  <c r="BN24" i="4"/>
  <c r="BZ24" i="4" s="1"/>
  <c r="CL24" i="4" s="1"/>
  <c r="BO24" i="4"/>
  <c r="CA24" i="4" s="1"/>
  <c r="CM24" i="4" s="1"/>
  <c r="BP24" i="4"/>
  <c r="CB24" i="4" s="1"/>
  <c r="CN24" i="4" s="1"/>
  <c r="BQ24" i="4"/>
  <c r="CC24" i="4" s="1"/>
  <c r="CO24" i="4" s="1"/>
  <c r="BR24" i="4"/>
  <c r="CD24" i="4" s="1"/>
  <c r="CP24" i="4" s="1"/>
  <c r="DR24" i="4" s="1"/>
  <c r="BS24" i="4"/>
  <c r="CE24" i="4" s="1"/>
  <c r="CQ24" i="4" s="1"/>
  <c r="BT24" i="4"/>
  <c r="CF24" i="4" s="1"/>
  <c r="CR24" i="4" s="1"/>
  <c r="BU24" i="4"/>
  <c r="CG24" i="4" s="1"/>
  <c r="CS24" i="4" s="1"/>
  <c r="BV24" i="4"/>
  <c r="CH24" i="4" s="1"/>
  <c r="CT24" i="4" s="1"/>
  <c r="BW24" i="4"/>
  <c r="CI24" i="4" s="1"/>
  <c r="BX24" i="4"/>
  <c r="CJ24" i="4" s="1"/>
  <c r="CV24" i="4" s="1"/>
  <c r="BY24" i="4"/>
  <c r="CK24" i="4" s="1"/>
  <c r="CW24" i="4" s="1"/>
  <c r="CU24" i="4"/>
  <c r="CZ24" i="4"/>
  <c r="DA24" i="4"/>
  <c r="DB24" i="4"/>
  <c r="DC24" i="4"/>
  <c r="DD24" i="4"/>
  <c r="DE24" i="4"/>
  <c r="DF24" i="4"/>
  <c r="DT24" i="4" s="1"/>
  <c r="DG24" i="4"/>
  <c r="DH24" i="4"/>
  <c r="DI24" i="4"/>
  <c r="DW24" i="4" s="1"/>
  <c r="DJ24" i="4"/>
  <c r="DK24" i="4"/>
  <c r="BN25" i="4"/>
  <c r="BZ25" i="4" s="1"/>
  <c r="CL25" i="4" s="1"/>
  <c r="DN25" i="4" s="1"/>
  <c r="BO25" i="4"/>
  <c r="CA25" i="4" s="1"/>
  <c r="CM25" i="4" s="1"/>
  <c r="BP25" i="4"/>
  <c r="CB25" i="4" s="1"/>
  <c r="CN25" i="4" s="1"/>
  <c r="BQ25" i="4"/>
  <c r="BR25" i="4"/>
  <c r="CD25" i="4" s="1"/>
  <c r="CP25" i="4" s="1"/>
  <c r="BS25" i="4"/>
  <c r="CE25" i="4" s="1"/>
  <c r="CQ25" i="4" s="1"/>
  <c r="BT25" i="4"/>
  <c r="CF25" i="4" s="1"/>
  <c r="CR25" i="4" s="1"/>
  <c r="BU25" i="4"/>
  <c r="CG25" i="4" s="1"/>
  <c r="CS25" i="4" s="1"/>
  <c r="BV25" i="4"/>
  <c r="CH25" i="4" s="1"/>
  <c r="CT25" i="4" s="1"/>
  <c r="DV25" i="4" s="1"/>
  <c r="BW25" i="4"/>
  <c r="CI25" i="4" s="1"/>
  <c r="CU25" i="4" s="1"/>
  <c r="BX25" i="4"/>
  <c r="CJ25" i="4" s="1"/>
  <c r="CV25" i="4" s="1"/>
  <c r="BY25" i="4"/>
  <c r="CK25" i="4" s="1"/>
  <c r="CW25" i="4" s="1"/>
  <c r="CC25" i="4"/>
  <c r="CO25" i="4" s="1"/>
  <c r="CZ25" i="4"/>
  <c r="DA25" i="4"/>
  <c r="DB25" i="4"/>
  <c r="DC25" i="4"/>
  <c r="DD25" i="4"/>
  <c r="DE25" i="4"/>
  <c r="DF25" i="4"/>
  <c r="DG25" i="4"/>
  <c r="DH25" i="4"/>
  <c r="DI25" i="4"/>
  <c r="DJ25" i="4"/>
  <c r="DK25" i="4"/>
  <c r="BN26" i="4"/>
  <c r="BZ26" i="4" s="1"/>
  <c r="CL26" i="4" s="1"/>
  <c r="BO26" i="4"/>
  <c r="CA26" i="4" s="1"/>
  <c r="CM26" i="4" s="1"/>
  <c r="BP26" i="4"/>
  <c r="CB26" i="4" s="1"/>
  <c r="CN26" i="4" s="1"/>
  <c r="BQ26" i="4"/>
  <c r="CC26" i="4" s="1"/>
  <c r="CO26" i="4" s="1"/>
  <c r="BR26" i="4"/>
  <c r="BS26" i="4"/>
  <c r="CE26" i="4" s="1"/>
  <c r="CQ26" i="4" s="1"/>
  <c r="BT26" i="4"/>
  <c r="CF26" i="4" s="1"/>
  <c r="BU26" i="4"/>
  <c r="CG26" i="4" s="1"/>
  <c r="CS26" i="4" s="1"/>
  <c r="BV26" i="4"/>
  <c r="CH26" i="4" s="1"/>
  <c r="CT26" i="4" s="1"/>
  <c r="BW26" i="4"/>
  <c r="CI26" i="4" s="1"/>
  <c r="CU26" i="4" s="1"/>
  <c r="BX26" i="4"/>
  <c r="CJ26" i="4" s="1"/>
  <c r="CV26" i="4" s="1"/>
  <c r="BY26" i="4"/>
  <c r="CK26" i="4" s="1"/>
  <c r="CW26" i="4" s="1"/>
  <c r="CD26" i="4"/>
  <c r="CP26" i="4" s="1"/>
  <c r="DR26" i="4" s="1"/>
  <c r="CR26" i="4"/>
  <c r="CZ26" i="4"/>
  <c r="DA26" i="4"/>
  <c r="DB26" i="4"/>
  <c r="DC26" i="4"/>
  <c r="DQ26" i="4" s="1"/>
  <c r="DD26" i="4"/>
  <c r="DE26" i="4"/>
  <c r="DF26" i="4"/>
  <c r="DG26" i="4"/>
  <c r="DH26" i="4"/>
  <c r="DI26" i="4"/>
  <c r="DJ26" i="4"/>
  <c r="DK26" i="4"/>
  <c r="DY26" i="4" s="1"/>
  <c r="BN27" i="4"/>
  <c r="BZ27" i="4" s="1"/>
  <c r="CL27" i="4" s="1"/>
  <c r="BO27" i="4"/>
  <c r="CA27" i="4" s="1"/>
  <c r="CM27" i="4" s="1"/>
  <c r="BP27" i="4"/>
  <c r="CB27" i="4" s="1"/>
  <c r="CN27" i="4" s="1"/>
  <c r="DP27" i="4" s="1"/>
  <c r="BQ27" i="4"/>
  <c r="CC27" i="4" s="1"/>
  <c r="CO27" i="4" s="1"/>
  <c r="DQ27" i="4" s="1"/>
  <c r="BR27" i="4"/>
  <c r="CD27" i="4" s="1"/>
  <c r="CP27" i="4" s="1"/>
  <c r="BS27" i="4"/>
  <c r="CE27" i="4" s="1"/>
  <c r="BT27" i="4"/>
  <c r="CF27" i="4" s="1"/>
  <c r="BU27" i="4"/>
  <c r="CG27" i="4" s="1"/>
  <c r="CS27" i="4" s="1"/>
  <c r="BV27" i="4"/>
  <c r="BW27" i="4"/>
  <c r="CI27" i="4" s="1"/>
  <c r="CU27" i="4" s="1"/>
  <c r="BX27" i="4"/>
  <c r="CJ27" i="4" s="1"/>
  <c r="CV27" i="4" s="1"/>
  <c r="DX27" i="4" s="1"/>
  <c r="BY27" i="4"/>
  <c r="CK27" i="4" s="1"/>
  <c r="CW27" i="4" s="1"/>
  <c r="DY27" i="4" s="1"/>
  <c r="CH27" i="4"/>
  <c r="CT27" i="4" s="1"/>
  <c r="CQ27" i="4"/>
  <c r="CR27" i="4"/>
  <c r="CZ27" i="4"/>
  <c r="DA27" i="4"/>
  <c r="DB27" i="4"/>
  <c r="DC27" i="4"/>
  <c r="DD27" i="4"/>
  <c r="DE27" i="4"/>
  <c r="DF27" i="4"/>
  <c r="DG27" i="4"/>
  <c r="DH27" i="4"/>
  <c r="DI27" i="4"/>
  <c r="DJ27" i="4"/>
  <c r="DK27" i="4"/>
  <c r="BN28" i="4"/>
  <c r="BZ28" i="4" s="1"/>
  <c r="CL28" i="4" s="1"/>
  <c r="DN28" i="4" s="1"/>
  <c r="BO28" i="4"/>
  <c r="CA28" i="4" s="1"/>
  <c r="CM28" i="4" s="1"/>
  <c r="BP28" i="4"/>
  <c r="CB28" i="4" s="1"/>
  <c r="BQ28" i="4"/>
  <c r="CC28" i="4" s="1"/>
  <c r="CO28" i="4" s="1"/>
  <c r="BR28" i="4"/>
  <c r="CD28" i="4" s="1"/>
  <c r="BS28" i="4"/>
  <c r="BT28" i="4"/>
  <c r="CF28" i="4" s="1"/>
  <c r="CR28" i="4" s="1"/>
  <c r="BU28" i="4"/>
  <c r="CG28" i="4" s="1"/>
  <c r="CS28" i="4" s="1"/>
  <c r="BV28" i="4"/>
  <c r="CH28" i="4" s="1"/>
  <c r="CT28" i="4" s="1"/>
  <c r="BW28" i="4"/>
  <c r="CI28" i="4" s="1"/>
  <c r="CU28" i="4" s="1"/>
  <c r="BX28" i="4"/>
  <c r="CJ28" i="4" s="1"/>
  <c r="CV28" i="4" s="1"/>
  <c r="BY28" i="4"/>
  <c r="CK28" i="4" s="1"/>
  <c r="CW28" i="4" s="1"/>
  <c r="CE28" i="4"/>
  <c r="CQ28" i="4" s="1"/>
  <c r="CN28" i="4"/>
  <c r="DP28" i="4" s="1"/>
  <c r="CP28" i="4"/>
  <c r="CZ28" i="4"/>
  <c r="DA28" i="4"/>
  <c r="DO28" i="4" s="1"/>
  <c r="DB28" i="4"/>
  <c r="DC28" i="4"/>
  <c r="DD28" i="4"/>
  <c r="DE28" i="4"/>
  <c r="DF28" i="4"/>
  <c r="DG28" i="4"/>
  <c r="DH28" i="4"/>
  <c r="DI28" i="4"/>
  <c r="DW28" i="4" s="1"/>
  <c r="DJ28" i="4"/>
  <c r="DK28" i="4"/>
  <c r="BN29" i="4"/>
  <c r="BZ29" i="4" s="1"/>
  <c r="CL29" i="4" s="1"/>
  <c r="BO29" i="4"/>
  <c r="CA29" i="4" s="1"/>
  <c r="CM29" i="4" s="1"/>
  <c r="BP29" i="4"/>
  <c r="CB29" i="4" s="1"/>
  <c r="CN29" i="4" s="1"/>
  <c r="BQ29" i="4"/>
  <c r="BR29" i="4"/>
  <c r="CD29" i="4" s="1"/>
  <c r="CP29" i="4" s="1"/>
  <c r="BS29" i="4"/>
  <c r="BT29" i="4"/>
  <c r="BU29" i="4"/>
  <c r="CG29" i="4" s="1"/>
  <c r="CS29" i="4" s="1"/>
  <c r="BV29" i="4"/>
  <c r="CH29" i="4" s="1"/>
  <c r="CT29" i="4" s="1"/>
  <c r="BW29" i="4"/>
  <c r="CI29" i="4" s="1"/>
  <c r="CU29" i="4" s="1"/>
  <c r="BX29" i="4"/>
  <c r="CJ29" i="4" s="1"/>
  <c r="CV29" i="4" s="1"/>
  <c r="BY29" i="4"/>
  <c r="CK29" i="4" s="1"/>
  <c r="CW29" i="4" s="1"/>
  <c r="CC29" i="4"/>
  <c r="CO29" i="4" s="1"/>
  <c r="CE29" i="4"/>
  <c r="CQ29" i="4" s="1"/>
  <c r="CF29" i="4"/>
  <c r="CR29" i="4" s="1"/>
  <c r="CZ29" i="4"/>
  <c r="DA29" i="4"/>
  <c r="DB29" i="4"/>
  <c r="DC29" i="4"/>
  <c r="DD29" i="4"/>
  <c r="DE29" i="4"/>
  <c r="DS29" i="4" s="1"/>
  <c r="DF29" i="4"/>
  <c r="DG29" i="4"/>
  <c r="DH29" i="4"/>
  <c r="DI29" i="4"/>
  <c r="DJ29" i="4"/>
  <c r="DK29" i="4"/>
  <c r="DQ29" i="4"/>
  <c r="DY29" i="4"/>
  <c r="BN30" i="4"/>
  <c r="BZ30" i="4" s="1"/>
  <c r="CL30" i="4" s="1"/>
  <c r="BO30" i="4"/>
  <c r="CA30" i="4" s="1"/>
  <c r="CM30" i="4" s="1"/>
  <c r="BP30" i="4"/>
  <c r="CB30" i="4" s="1"/>
  <c r="CN30" i="4" s="1"/>
  <c r="BQ30" i="4"/>
  <c r="CC30" i="4" s="1"/>
  <c r="CO30" i="4" s="1"/>
  <c r="BR30" i="4"/>
  <c r="CD30" i="4" s="1"/>
  <c r="CP30" i="4" s="1"/>
  <c r="BS30" i="4"/>
  <c r="BT30" i="4"/>
  <c r="CF30" i="4" s="1"/>
  <c r="CR30" i="4" s="1"/>
  <c r="BU30" i="4"/>
  <c r="CG30" i="4" s="1"/>
  <c r="CS30" i="4" s="1"/>
  <c r="BV30" i="4"/>
  <c r="CH30" i="4" s="1"/>
  <c r="CT30" i="4" s="1"/>
  <c r="BW30" i="4"/>
  <c r="CI30" i="4" s="1"/>
  <c r="CU30" i="4" s="1"/>
  <c r="DW30" i="4" s="1"/>
  <c r="BX30" i="4"/>
  <c r="BY30" i="4"/>
  <c r="CK30" i="4" s="1"/>
  <c r="CW30" i="4" s="1"/>
  <c r="CE30" i="4"/>
  <c r="CQ30" i="4" s="1"/>
  <c r="CJ30" i="4"/>
  <c r="CV30" i="4" s="1"/>
  <c r="CZ30" i="4"/>
  <c r="DA30" i="4"/>
  <c r="DB30" i="4"/>
  <c r="DC30" i="4"/>
  <c r="DD30" i="4"/>
  <c r="DE30" i="4"/>
  <c r="DF30" i="4"/>
  <c r="DG30" i="4"/>
  <c r="DH30" i="4"/>
  <c r="DI30" i="4"/>
  <c r="DJ30" i="4"/>
  <c r="DK30" i="4"/>
  <c r="BN31" i="4"/>
  <c r="BZ31" i="4" s="1"/>
  <c r="CL31" i="4" s="1"/>
  <c r="BO31" i="4"/>
  <c r="CA31" i="4" s="1"/>
  <c r="CM31" i="4" s="1"/>
  <c r="BP31" i="4"/>
  <c r="BQ31" i="4"/>
  <c r="CC31" i="4" s="1"/>
  <c r="CO31" i="4" s="1"/>
  <c r="BR31" i="4"/>
  <c r="CD31" i="4" s="1"/>
  <c r="CP31" i="4" s="1"/>
  <c r="BS31" i="4"/>
  <c r="CE31" i="4" s="1"/>
  <c r="CQ31" i="4" s="1"/>
  <c r="BT31" i="4"/>
  <c r="CF31" i="4" s="1"/>
  <c r="BU31" i="4"/>
  <c r="CG31" i="4" s="1"/>
  <c r="CS31" i="4" s="1"/>
  <c r="BV31" i="4"/>
  <c r="CH31" i="4" s="1"/>
  <c r="CT31" i="4" s="1"/>
  <c r="BW31" i="4"/>
  <c r="CI31" i="4" s="1"/>
  <c r="CU31" i="4" s="1"/>
  <c r="BX31" i="4"/>
  <c r="BY31" i="4"/>
  <c r="CK31" i="4" s="1"/>
  <c r="CW31" i="4" s="1"/>
  <c r="CB31" i="4"/>
  <c r="CN31" i="4" s="1"/>
  <c r="CJ31" i="4"/>
  <c r="CV31" i="4" s="1"/>
  <c r="CR31" i="4"/>
  <c r="CZ31" i="4"/>
  <c r="DA31" i="4"/>
  <c r="DB31" i="4"/>
  <c r="DC31" i="4"/>
  <c r="DD31" i="4"/>
  <c r="DE31" i="4"/>
  <c r="DF31" i="4"/>
  <c r="DG31" i="4"/>
  <c r="DH31" i="4"/>
  <c r="DI31" i="4"/>
  <c r="DJ31" i="4"/>
  <c r="DK31" i="4"/>
  <c r="BN32" i="4"/>
  <c r="BZ32" i="4" s="1"/>
  <c r="CL32" i="4" s="1"/>
  <c r="BO32" i="4"/>
  <c r="CA32" i="4" s="1"/>
  <c r="CM32" i="4" s="1"/>
  <c r="BP32" i="4"/>
  <c r="CB32" i="4" s="1"/>
  <c r="CN32" i="4" s="1"/>
  <c r="BQ32" i="4"/>
  <c r="CC32" i="4" s="1"/>
  <c r="CO32" i="4" s="1"/>
  <c r="BR32" i="4"/>
  <c r="CD32" i="4" s="1"/>
  <c r="CP32" i="4" s="1"/>
  <c r="BS32" i="4"/>
  <c r="CE32" i="4" s="1"/>
  <c r="CQ32" i="4" s="1"/>
  <c r="BT32" i="4"/>
  <c r="CF32" i="4" s="1"/>
  <c r="CR32" i="4" s="1"/>
  <c r="BU32" i="4"/>
  <c r="CG32" i="4" s="1"/>
  <c r="CS32" i="4" s="1"/>
  <c r="BV32" i="4"/>
  <c r="CH32" i="4" s="1"/>
  <c r="CT32" i="4" s="1"/>
  <c r="BW32" i="4"/>
  <c r="CI32" i="4" s="1"/>
  <c r="CU32" i="4" s="1"/>
  <c r="BX32" i="4"/>
  <c r="CJ32" i="4" s="1"/>
  <c r="CV32" i="4" s="1"/>
  <c r="BY32" i="4"/>
  <c r="CK32" i="4" s="1"/>
  <c r="CW32" i="4" s="1"/>
  <c r="DY32" i="4" s="1"/>
  <c r="CZ32" i="4"/>
  <c r="DA32" i="4"/>
  <c r="DB32" i="4"/>
  <c r="DC32" i="4"/>
  <c r="DD32" i="4"/>
  <c r="DE32" i="4"/>
  <c r="DF32" i="4"/>
  <c r="DG32" i="4"/>
  <c r="DH32" i="4"/>
  <c r="DI32" i="4"/>
  <c r="DJ32" i="4"/>
  <c r="DK32" i="4"/>
  <c r="BN33" i="4"/>
  <c r="BZ33" i="4" s="1"/>
  <c r="CL33" i="4" s="1"/>
  <c r="BO33" i="4"/>
  <c r="CA33" i="4" s="1"/>
  <c r="CM33" i="4" s="1"/>
  <c r="BP33" i="4"/>
  <c r="CB33" i="4" s="1"/>
  <c r="CN33" i="4" s="1"/>
  <c r="BQ33" i="4"/>
  <c r="CC33" i="4" s="1"/>
  <c r="CO33" i="4" s="1"/>
  <c r="BR33" i="4"/>
  <c r="CD33" i="4" s="1"/>
  <c r="CP33" i="4" s="1"/>
  <c r="DR33" i="4" s="1"/>
  <c r="BS33" i="4"/>
  <c r="CE33" i="4" s="1"/>
  <c r="CQ33" i="4" s="1"/>
  <c r="BT33" i="4"/>
  <c r="CF33" i="4" s="1"/>
  <c r="CR33" i="4" s="1"/>
  <c r="BU33" i="4"/>
  <c r="CG33" i="4" s="1"/>
  <c r="CS33" i="4" s="1"/>
  <c r="BV33" i="4"/>
  <c r="CH33" i="4" s="1"/>
  <c r="CT33" i="4" s="1"/>
  <c r="BW33" i="4"/>
  <c r="CI33" i="4" s="1"/>
  <c r="CU33" i="4" s="1"/>
  <c r="BX33" i="4"/>
  <c r="CJ33" i="4" s="1"/>
  <c r="CV33" i="4" s="1"/>
  <c r="BY33" i="4"/>
  <c r="CK33" i="4" s="1"/>
  <c r="CW33" i="4" s="1"/>
  <c r="CZ33" i="4"/>
  <c r="DA33" i="4"/>
  <c r="DB33" i="4"/>
  <c r="DC33" i="4"/>
  <c r="DD33" i="4"/>
  <c r="DE33" i="4"/>
  <c r="DF33" i="4"/>
  <c r="DG33" i="4"/>
  <c r="DH33" i="4"/>
  <c r="DI33" i="4"/>
  <c r="DJ33" i="4"/>
  <c r="DK33" i="4"/>
  <c r="BN34" i="4"/>
  <c r="BZ34" i="4" s="1"/>
  <c r="CL34" i="4" s="1"/>
  <c r="BO34" i="4"/>
  <c r="CA34" i="4" s="1"/>
  <c r="CM34" i="4" s="1"/>
  <c r="BP34" i="4"/>
  <c r="BQ34" i="4"/>
  <c r="CC34" i="4" s="1"/>
  <c r="CO34" i="4" s="1"/>
  <c r="BR34" i="4"/>
  <c r="CD34" i="4" s="1"/>
  <c r="CP34" i="4" s="1"/>
  <c r="DR34" i="4" s="1"/>
  <c r="BS34" i="4"/>
  <c r="CE34" i="4" s="1"/>
  <c r="CQ34" i="4" s="1"/>
  <c r="BT34" i="4"/>
  <c r="CF34" i="4" s="1"/>
  <c r="CR34" i="4" s="1"/>
  <c r="BU34" i="4"/>
  <c r="CG34" i="4" s="1"/>
  <c r="CS34" i="4" s="1"/>
  <c r="BV34" i="4"/>
  <c r="CH34" i="4" s="1"/>
  <c r="CT34" i="4" s="1"/>
  <c r="BW34" i="4"/>
  <c r="CI34" i="4" s="1"/>
  <c r="CU34" i="4" s="1"/>
  <c r="BX34" i="4"/>
  <c r="BY34" i="4"/>
  <c r="CK34" i="4" s="1"/>
  <c r="CW34" i="4" s="1"/>
  <c r="CB34" i="4"/>
  <c r="CN34" i="4" s="1"/>
  <c r="CJ34" i="4"/>
  <c r="CV34" i="4" s="1"/>
  <c r="CZ34" i="4"/>
  <c r="DA34" i="4"/>
  <c r="DB34" i="4"/>
  <c r="DC34" i="4"/>
  <c r="DD34" i="4"/>
  <c r="DE34" i="4"/>
  <c r="DF34" i="4"/>
  <c r="DG34" i="4"/>
  <c r="DH34" i="4"/>
  <c r="DI34" i="4"/>
  <c r="DJ34" i="4"/>
  <c r="DK34" i="4"/>
  <c r="BN35" i="4"/>
  <c r="BZ35" i="4" s="1"/>
  <c r="CL35" i="4" s="1"/>
  <c r="BO35" i="4"/>
  <c r="CA35" i="4" s="1"/>
  <c r="CM35" i="4" s="1"/>
  <c r="BP35" i="4"/>
  <c r="CB35" i="4" s="1"/>
  <c r="CN35" i="4" s="1"/>
  <c r="BQ35" i="4"/>
  <c r="CC35" i="4" s="1"/>
  <c r="CO35" i="4" s="1"/>
  <c r="DQ35" i="4" s="1"/>
  <c r="BR35" i="4"/>
  <c r="CD35" i="4" s="1"/>
  <c r="CP35" i="4" s="1"/>
  <c r="BS35" i="4"/>
  <c r="BT35" i="4"/>
  <c r="CF35" i="4" s="1"/>
  <c r="CR35" i="4" s="1"/>
  <c r="BU35" i="4"/>
  <c r="CG35" i="4" s="1"/>
  <c r="CS35" i="4" s="1"/>
  <c r="BV35" i="4"/>
  <c r="CH35" i="4" s="1"/>
  <c r="CT35" i="4" s="1"/>
  <c r="BW35" i="4"/>
  <c r="CI35" i="4" s="1"/>
  <c r="CU35" i="4" s="1"/>
  <c r="BX35" i="4"/>
  <c r="CJ35" i="4" s="1"/>
  <c r="CV35" i="4" s="1"/>
  <c r="BY35" i="4"/>
  <c r="CK35" i="4" s="1"/>
  <c r="CW35" i="4" s="1"/>
  <c r="CE35" i="4"/>
  <c r="CQ35" i="4" s="1"/>
  <c r="CZ35" i="4"/>
  <c r="DA35" i="4"/>
  <c r="DB35" i="4"/>
  <c r="DC35" i="4"/>
  <c r="DD35" i="4"/>
  <c r="DE35" i="4"/>
  <c r="DF35" i="4"/>
  <c r="DG35" i="4"/>
  <c r="DH35" i="4"/>
  <c r="DI35" i="4"/>
  <c r="DW35" i="4" s="1"/>
  <c r="DJ35" i="4"/>
  <c r="DK35" i="4"/>
  <c r="DU35" i="4"/>
  <c r="BN36" i="4"/>
  <c r="BZ36" i="4" s="1"/>
  <c r="CL36" i="4" s="1"/>
  <c r="BO36" i="4"/>
  <c r="CA36" i="4" s="1"/>
  <c r="CM36" i="4" s="1"/>
  <c r="BP36" i="4"/>
  <c r="CB36" i="4" s="1"/>
  <c r="CN36" i="4" s="1"/>
  <c r="BQ36" i="4"/>
  <c r="BR36" i="4"/>
  <c r="CD36" i="4" s="1"/>
  <c r="CP36" i="4" s="1"/>
  <c r="BS36" i="4"/>
  <c r="CE36" i="4" s="1"/>
  <c r="CQ36" i="4" s="1"/>
  <c r="BT36" i="4"/>
  <c r="CF36" i="4" s="1"/>
  <c r="CR36" i="4" s="1"/>
  <c r="BU36" i="4"/>
  <c r="CG36" i="4" s="1"/>
  <c r="CS36" i="4" s="1"/>
  <c r="BV36" i="4"/>
  <c r="CH36" i="4" s="1"/>
  <c r="CT36" i="4" s="1"/>
  <c r="BW36" i="4"/>
  <c r="CI36" i="4" s="1"/>
  <c r="CU36" i="4" s="1"/>
  <c r="BX36" i="4"/>
  <c r="CJ36" i="4" s="1"/>
  <c r="CV36" i="4" s="1"/>
  <c r="BY36" i="4"/>
  <c r="CK36" i="4" s="1"/>
  <c r="CW36" i="4" s="1"/>
  <c r="DY36" i="4" s="1"/>
  <c r="CC36" i="4"/>
  <c r="CO36" i="4" s="1"/>
  <c r="CZ36" i="4"/>
  <c r="DA36" i="4"/>
  <c r="DB36" i="4"/>
  <c r="DC36" i="4"/>
  <c r="DD36" i="4"/>
  <c r="DE36" i="4"/>
  <c r="DF36" i="4"/>
  <c r="DG36" i="4"/>
  <c r="DH36" i="4"/>
  <c r="DI36" i="4"/>
  <c r="DJ36" i="4"/>
  <c r="DK36" i="4"/>
  <c r="DP36" i="4"/>
  <c r="BN37" i="4"/>
  <c r="BZ37" i="4" s="1"/>
  <c r="CL37" i="4" s="1"/>
  <c r="BO37" i="4"/>
  <c r="CA37" i="4" s="1"/>
  <c r="CM37" i="4" s="1"/>
  <c r="BP37" i="4"/>
  <c r="CB37" i="4" s="1"/>
  <c r="CN37" i="4" s="1"/>
  <c r="BQ37" i="4"/>
  <c r="CC37" i="4" s="1"/>
  <c r="CO37" i="4" s="1"/>
  <c r="BR37" i="4"/>
  <c r="CD37" i="4" s="1"/>
  <c r="CP37" i="4" s="1"/>
  <c r="BS37" i="4"/>
  <c r="CE37" i="4" s="1"/>
  <c r="CQ37" i="4" s="1"/>
  <c r="BT37" i="4"/>
  <c r="BU37" i="4"/>
  <c r="CG37" i="4" s="1"/>
  <c r="CS37" i="4" s="1"/>
  <c r="BV37" i="4"/>
  <c r="CH37" i="4" s="1"/>
  <c r="CT37" i="4" s="1"/>
  <c r="BW37" i="4"/>
  <c r="CI37" i="4" s="1"/>
  <c r="CU37" i="4" s="1"/>
  <c r="BX37" i="4"/>
  <c r="CJ37" i="4" s="1"/>
  <c r="CV37" i="4" s="1"/>
  <c r="BY37" i="4"/>
  <c r="CK37" i="4" s="1"/>
  <c r="CW37" i="4" s="1"/>
  <c r="CF37" i="4"/>
  <c r="CR37" i="4" s="1"/>
  <c r="CZ37" i="4"/>
  <c r="DA37" i="4"/>
  <c r="DB37" i="4"/>
  <c r="DP37" i="4" s="1"/>
  <c r="DC37" i="4"/>
  <c r="DD37" i="4"/>
  <c r="DE37" i="4"/>
  <c r="DF37" i="4"/>
  <c r="DG37" i="4"/>
  <c r="DH37" i="4"/>
  <c r="DI37" i="4"/>
  <c r="DJ37" i="4"/>
  <c r="DK37" i="4"/>
  <c r="BN38" i="4"/>
  <c r="BZ38" i="4" s="1"/>
  <c r="CL38" i="4" s="1"/>
  <c r="BO38" i="4"/>
  <c r="CA38" i="4" s="1"/>
  <c r="CM38" i="4" s="1"/>
  <c r="BP38" i="4"/>
  <c r="CB38" i="4" s="1"/>
  <c r="CN38" i="4" s="1"/>
  <c r="BQ38" i="4"/>
  <c r="BR38" i="4"/>
  <c r="CD38" i="4" s="1"/>
  <c r="CP38" i="4" s="1"/>
  <c r="BS38" i="4"/>
  <c r="CE38" i="4" s="1"/>
  <c r="CQ38" i="4" s="1"/>
  <c r="DS38" i="4" s="1"/>
  <c r="BT38" i="4"/>
  <c r="CF38" i="4" s="1"/>
  <c r="CR38" i="4" s="1"/>
  <c r="BU38" i="4"/>
  <c r="CG38" i="4" s="1"/>
  <c r="CS38" i="4" s="1"/>
  <c r="BV38" i="4"/>
  <c r="CH38" i="4" s="1"/>
  <c r="CT38" i="4" s="1"/>
  <c r="BW38" i="4"/>
  <c r="CI38" i="4" s="1"/>
  <c r="CU38" i="4" s="1"/>
  <c r="BX38" i="4"/>
  <c r="BY38" i="4"/>
  <c r="CK38" i="4" s="1"/>
  <c r="CW38" i="4" s="1"/>
  <c r="CC38" i="4"/>
  <c r="CO38" i="4" s="1"/>
  <c r="CJ38" i="4"/>
  <c r="CV38" i="4" s="1"/>
  <c r="CZ38" i="4"/>
  <c r="DA38" i="4"/>
  <c r="DB38" i="4"/>
  <c r="DC38" i="4"/>
  <c r="DD38" i="4"/>
  <c r="DE38" i="4"/>
  <c r="DF38" i="4"/>
  <c r="DG38" i="4"/>
  <c r="DU38" i="4" s="1"/>
  <c r="DH38" i="4"/>
  <c r="DI38" i="4"/>
  <c r="DJ38" i="4"/>
  <c r="DK38" i="4"/>
  <c r="BN39" i="4"/>
  <c r="BZ39" i="4" s="1"/>
  <c r="CL39" i="4" s="1"/>
  <c r="BO39" i="4"/>
  <c r="CA39" i="4" s="1"/>
  <c r="CM39" i="4" s="1"/>
  <c r="BP39" i="4"/>
  <c r="CB39" i="4" s="1"/>
  <c r="CN39" i="4" s="1"/>
  <c r="BQ39" i="4"/>
  <c r="CC39" i="4" s="1"/>
  <c r="CO39" i="4" s="1"/>
  <c r="BR39" i="4"/>
  <c r="CD39" i="4" s="1"/>
  <c r="BS39" i="4"/>
  <c r="CE39" i="4" s="1"/>
  <c r="CQ39" i="4" s="1"/>
  <c r="BT39" i="4"/>
  <c r="CF39" i="4" s="1"/>
  <c r="CR39" i="4" s="1"/>
  <c r="BU39" i="4"/>
  <c r="CG39" i="4" s="1"/>
  <c r="BV39" i="4"/>
  <c r="CH39" i="4" s="1"/>
  <c r="CT39" i="4" s="1"/>
  <c r="BW39" i="4"/>
  <c r="BX39" i="4"/>
  <c r="CJ39" i="4" s="1"/>
  <c r="CV39" i="4" s="1"/>
  <c r="BY39" i="4"/>
  <c r="CK39" i="4" s="1"/>
  <c r="CW39" i="4" s="1"/>
  <c r="CI39" i="4"/>
  <c r="CU39" i="4" s="1"/>
  <c r="CP39" i="4"/>
  <c r="CS39" i="4"/>
  <c r="CZ39" i="4"/>
  <c r="DA39" i="4"/>
  <c r="DB39" i="4"/>
  <c r="DC39" i="4"/>
  <c r="DD39" i="4"/>
  <c r="DE39" i="4"/>
  <c r="DF39" i="4"/>
  <c r="DG39" i="4"/>
  <c r="DH39" i="4"/>
  <c r="DI39" i="4"/>
  <c r="DJ39" i="4"/>
  <c r="DK39" i="4"/>
  <c r="BN40" i="4"/>
  <c r="BZ40" i="4" s="1"/>
  <c r="CL40" i="4" s="1"/>
  <c r="BO40" i="4"/>
  <c r="CA40" i="4" s="1"/>
  <c r="CM40" i="4" s="1"/>
  <c r="BP40" i="4"/>
  <c r="CB40" i="4" s="1"/>
  <c r="CN40" i="4" s="1"/>
  <c r="BQ40" i="4"/>
  <c r="CC40" i="4" s="1"/>
  <c r="CO40" i="4" s="1"/>
  <c r="BR40" i="4"/>
  <c r="CD40" i="4" s="1"/>
  <c r="CP40" i="4" s="1"/>
  <c r="BS40" i="4"/>
  <c r="CE40" i="4" s="1"/>
  <c r="CQ40" i="4" s="1"/>
  <c r="DS40" i="4" s="1"/>
  <c r="BT40" i="4"/>
  <c r="CF40" i="4" s="1"/>
  <c r="CR40" i="4" s="1"/>
  <c r="BU40" i="4"/>
  <c r="CG40" i="4" s="1"/>
  <c r="CS40" i="4" s="1"/>
  <c r="BV40" i="4"/>
  <c r="CH40" i="4" s="1"/>
  <c r="CT40" i="4" s="1"/>
  <c r="BW40" i="4"/>
  <c r="CI40" i="4" s="1"/>
  <c r="CU40" i="4" s="1"/>
  <c r="BX40" i="4"/>
  <c r="CJ40" i="4" s="1"/>
  <c r="CV40" i="4" s="1"/>
  <c r="BY40" i="4"/>
  <c r="CK40" i="4" s="1"/>
  <c r="CW40" i="4" s="1"/>
  <c r="CZ40" i="4"/>
  <c r="DA40" i="4"/>
  <c r="DB40" i="4"/>
  <c r="DC40" i="4"/>
  <c r="DD40" i="4"/>
  <c r="DE40" i="4"/>
  <c r="DF40" i="4"/>
  <c r="DG40" i="4"/>
  <c r="DH40" i="4"/>
  <c r="DI40" i="4"/>
  <c r="DJ40" i="4"/>
  <c r="DK40" i="4"/>
  <c r="BN41" i="4"/>
  <c r="BZ41" i="4" s="1"/>
  <c r="CL41" i="4" s="1"/>
  <c r="BO41" i="4"/>
  <c r="CA41" i="4" s="1"/>
  <c r="CM41" i="4" s="1"/>
  <c r="BP41" i="4"/>
  <c r="CB41" i="4" s="1"/>
  <c r="CN41" i="4" s="1"/>
  <c r="BQ41" i="4"/>
  <c r="CC41" i="4" s="1"/>
  <c r="CO41" i="4" s="1"/>
  <c r="BR41" i="4"/>
  <c r="CD41" i="4" s="1"/>
  <c r="CP41" i="4" s="1"/>
  <c r="DR41" i="4" s="1"/>
  <c r="BS41" i="4"/>
  <c r="CE41" i="4" s="1"/>
  <c r="CQ41" i="4" s="1"/>
  <c r="BT41" i="4"/>
  <c r="CF41" i="4" s="1"/>
  <c r="CR41" i="4" s="1"/>
  <c r="BU41" i="4"/>
  <c r="CG41" i="4" s="1"/>
  <c r="CS41" i="4" s="1"/>
  <c r="BV41" i="4"/>
  <c r="CH41" i="4" s="1"/>
  <c r="CT41" i="4" s="1"/>
  <c r="BW41" i="4"/>
  <c r="CI41" i="4" s="1"/>
  <c r="CU41" i="4" s="1"/>
  <c r="BX41" i="4"/>
  <c r="CJ41" i="4" s="1"/>
  <c r="CV41" i="4" s="1"/>
  <c r="BY41" i="4"/>
  <c r="CK41" i="4" s="1"/>
  <c r="CW41" i="4" s="1"/>
  <c r="CZ41" i="4"/>
  <c r="DA41" i="4"/>
  <c r="DO41" i="4" s="1"/>
  <c r="DB41" i="4"/>
  <c r="DC41" i="4"/>
  <c r="DQ41" i="4" s="1"/>
  <c r="DD41" i="4"/>
  <c r="DE41" i="4"/>
  <c r="DF41" i="4"/>
  <c r="DG41" i="4"/>
  <c r="DH41" i="4"/>
  <c r="DI41" i="4"/>
  <c r="DW41" i="4" s="1"/>
  <c r="DJ41" i="4"/>
  <c r="DK41" i="4"/>
  <c r="BN42" i="4"/>
  <c r="BZ42" i="4" s="1"/>
  <c r="CL42" i="4" s="1"/>
  <c r="BO42" i="4"/>
  <c r="CA42" i="4" s="1"/>
  <c r="CM42" i="4" s="1"/>
  <c r="BP42" i="4"/>
  <c r="CB42" i="4" s="1"/>
  <c r="CN42" i="4" s="1"/>
  <c r="BQ42" i="4"/>
  <c r="BR42" i="4"/>
  <c r="CD42" i="4" s="1"/>
  <c r="CP42" i="4" s="1"/>
  <c r="DR42" i="4" s="1"/>
  <c r="BS42" i="4"/>
  <c r="CE42" i="4" s="1"/>
  <c r="CQ42" i="4" s="1"/>
  <c r="BT42" i="4"/>
  <c r="CF42" i="4" s="1"/>
  <c r="CR42" i="4" s="1"/>
  <c r="BU42" i="4"/>
  <c r="CG42" i="4" s="1"/>
  <c r="CS42" i="4" s="1"/>
  <c r="BV42" i="4"/>
  <c r="CH42" i="4" s="1"/>
  <c r="BW42" i="4"/>
  <c r="CI42" i="4" s="1"/>
  <c r="CU42" i="4" s="1"/>
  <c r="BX42" i="4"/>
  <c r="CJ42" i="4" s="1"/>
  <c r="CV42" i="4" s="1"/>
  <c r="BY42" i="4"/>
  <c r="CK42" i="4" s="1"/>
  <c r="CW42" i="4" s="1"/>
  <c r="CC42" i="4"/>
  <c r="CO42" i="4" s="1"/>
  <c r="CT42" i="4"/>
  <c r="CZ42" i="4"/>
  <c r="DA42" i="4"/>
  <c r="DB42" i="4"/>
  <c r="DC42" i="4"/>
  <c r="DD42" i="4"/>
  <c r="DE42" i="4"/>
  <c r="DF42" i="4"/>
  <c r="DG42" i="4"/>
  <c r="DH42" i="4"/>
  <c r="DI42" i="4"/>
  <c r="DJ42" i="4"/>
  <c r="DK42" i="4"/>
  <c r="BN43" i="4"/>
  <c r="BZ43" i="4" s="1"/>
  <c r="CL43" i="4" s="1"/>
  <c r="BO43" i="4"/>
  <c r="CA43" i="4" s="1"/>
  <c r="CM43" i="4" s="1"/>
  <c r="BP43" i="4"/>
  <c r="CB43" i="4" s="1"/>
  <c r="CN43" i="4" s="1"/>
  <c r="BQ43" i="4"/>
  <c r="CC43" i="4" s="1"/>
  <c r="CO43" i="4" s="1"/>
  <c r="BR43" i="4"/>
  <c r="CD43" i="4" s="1"/>
  <c r="CP43" i="4" s="1"/>
  <c r="BS43" i="4"/>
  <c r="CE43" i="4" s="1"/>
  <c r="CQ43" i="4" s="1"/>
  <c r="BT43" i="4"/>
  <c r="CF43" i="4" s="1"/>
  <c r="CR43" i="4" s="1"/>
  <c r="BU43" i="4"/>
  <c r="CG43" i="4" s="1"/>
  <c r="CS43" i="4" s="1"/>
  <c r="BV43" i="4"/>
  <c r="CH43" i="4" s="1"/>
  <c r="CT43" i="4" s="1"/>
  <c r="BW43" i="4"/>
  <c r="CI43" i="4" s="1"/>
  <c r="CU43" i="4" s="1"/>
  <c r="BX43" i="4"/>
  <c r="CJ43" i="4" s="1"/>
  <c r="CV43" i="4" s="1"/>
  <c r="BY43" i="4"/>
  <c r="CK43" i="4" s="1"/>
  <c r="CW43" i="4" s="1"/>
  <c r="CZ43" i="4"/>
  <c r="DA43" i="4"/>
  <c r="DB43" i="4"/>
  <c r="DC43" i="4"/>
  <c r="DD43" i="4"/>
  <c r="DE43" i="4"/>
  <c r="DS43" i="4" s="1"/>
  <c r="DF43" i="4"/>
  <c r="DG43" i="4"/>
  <c r="DH43" i="4"/>
  <c r="DI43" i="4"/>
  <c r="DJ43" i="4"/>
  <c r="DK43" i="4"/>
  <c r="BN44" i="4"/>
  <c r="BZ44" i="4" s="1"/>
  <c r="CL44" i="4" s="1"/>
  <c r="BO44" i="4"/>
  <c r="CA44" i="4" s="1"/>
  <c r="CM44" i="4" s="1"/>
  <c r="BP44" i="4"/>
  <c r="CB44" i="4" s="1"/>
  <c r="BQ44" i="4"/>
  <c r="CC44" i="4" s="1"/>
  <c r="CO44" i="4" s="1"/>
  <c r="BR44" i="4"/>
  <c r="CD44" i="4" s="1"/>
  <c r="CP44" i="4" s="1"/>
  <c r="BS44" i="4"/>
  <c r="CE44" i="4" s="1"/>
  <c r="CQ44" i="4" s="1"/>
  <c r="BT44" i="4"/>
  <c r="CF44" i="4" s="1"/>
  <c r="CR44" i="4" s="1"/>
  <c r="BU44" i="4"/>
  <c r="CG44" i="4" s="1"/>
  <c r="CS44" i="4" s="1"/>
  <c r="BV44" i="4"/>
  <c r="CH44" i="4" s="1"/>
  <c r="CT44" i="4" s="1"/>
  <c r="BW44" i="4"/>
  <c r="CI44" i="4" s="1"/>
  <c r="CU44" i="4" s="1"/>
  <c r="BX44" i="4"/>
  <c r="CJ44" i="4" s="1"/>
  <c r="CV44" i="4" s="1"/>
  <c r="BY44" i="4"/>
  <c r="CK44" i="4" s="1"/>
  <c r="CW44" i="4" s="1"/>
  <c r="CN44" i="4"/>
  <c r="DP44" i="4" s="1"/>
  <c r="CZ44" i="4"/>
  <c r="DA44" i="4"/>
  <c r="DB44" i="4"/>
  <c r="DC44" i="4"/>
  <c r="DD44" i="4"/>
  <c r="DE44" i="4"/>
  <c r="DF44" i="4"/>
  <c r="DG44" i="4"/>
  <c r="DH44" i="4"/>
  <c r="DI44" i="4"/>
  <c r="DJ44" i="4"/>
  <c r="DK44" i="4"/>
  <c r="BN45" i="4"/>
  <c r="BZ45" i="4" s="1"/>
  <c r="CL45" i="4" s="1"/>
  <c r="BO45" i="4"/>
  <c r="CA45" i="4" s="1"/>
  <c r="CM45" i="4" s="1"/>
  <c r="BP45" i="4"/>
  <c r="CB45" i="4" s="1"/>
  <c r="CN45" i="4" s="1"/>
  <c r="BQ45" i="4"/>
  <c r="CC45" i="4" s="1"/>
  <c r="CO45" i="4" s="1"/>
  <c r="BR45" i="4"/>
  <c r="BS45" i="4"/>
  <c r="CE45" i="4" s="1"/>
  <c r="CQ45" i="4" s="1"/>
  <c r="BT45" i="4"/>
  <c r="CF45" i="4" s="1"/>
  <c r="CR45" i="4" s="1"/>
  <c r="BU45" i="4"/>
  <c r="CG45" i="4" s="1"/>
  <c r="CS45" i="4" s="1"/>
  <c r="BV45" i="4"/>
  <c r="BW45" i="4"/>
  <c r="CI45" i="4" s="1"/>
  <c r="CU45" i="4" s="1"/>
  <c r="BX45" i="4"/>
  <c r="CJ45" i="4" s="1"/>
  <c r="CV45" i="4" s="1"/>
  <c r="BY45" i="4"/>
  <c r="CK45" i="4" s="1"/>
  <c r="CW45" i="4" s="1"/>
  <c r="CD45" i="4"/>
  <c r="CP45" i="4" s="1"/>
  <c r="CH45" i="4"/>
  <c r="CT45" i="4" s="1"/>
  <c r="CZ45" i="4"/>
  <c r="DN45" i="4" s="1"/>
  <c r="DA45" i="4"/>
  <c r="DB45" i="4"/>
  <c r="DC45" i="4"/>
  <c r="DD45" i="4"/>
  <c r="DE45" i="4"/>
  <c r="DF45" i="4"/>
  <c r="DG45" i="4"/>
  <c r="DH45" i="4"/>
  <c r="DI45" i="4"/>
  <c r="DJ45" i="4"/>
  <c r="DK45" i="4"/>
  <c r="BN46" i="4"/>
  <c r="BZ46" i="4" s="1"/>
  <c r="CL46" i="4" s="1"/>
  <c r="BO46" i="4"/>
  <c r="CA46" i="4" s="1"/>
  <c r="CM46" i="4" s="1"/>
  <c r="BP46" i="4"/>
  <c r="CB46" i="4" s="1"/>
  <c r="CN46" i="4" s="1"/>
  <c r="BQ46" i="4"/>
  <c r="CC46" i="4" s="1"/>
  <c r="CO46" i="4" s="1"/>
  <c r="BR46" i="4"/>
  <c r="BS46" i="4"/>
  <c r="CE46" i="4" s="1"/>
  <c r="CQ46" i="4" s="1"/>
  <c r="BT46" i="4"/>
  <c r="CF46" i="4" s="1"/>
  <c r="CR46" i="4" s="1"/>
  <c r="DT46" i="4" s="1"/>
  <c r="BU46" i="4"/>
  <c r="CG46" i="4" s="1"/>
  <c r="CS46" i="4" s="1"/>
  <c r="BV46" i="4"/>
  <c r="CH46" i="4" s="1"/>
  <c r="CT46" i="4" s="1"/>
  <c r="BW46" i="4"/>
  <c r="CI46" i="4" s="1"/>
  <c r="CU46" i="4" s="1"/>
  <c r="BX46" i="4"/>
  <c r="CJ46" i="4" s="1"/>
  <c r="CV46" i="4" s="1"/>
  <c r="BY46" i="4"/>
  <c r="CK46" i="4" s="1"/>
  <c r="CW46" i="4" s="1"/>
  <c r="CD46" i="4"/>
  <c r="CP46" i="4" s="1"/>
  <c r="CZ46" i="4"/>
  <c r="DA46" i="4"/>
  <c r="DB46" i="4"/>
  <c r="DC46" i="4"/>
  <c r="DD46" i="4"/>
  <c r="DE46" i="4"/>
  <c r="DF46" i="4"/>
  <c r="DG46" i="4"/>
  <c r="DH46" i="4"/>
  <c r="DI46" i="4"/>
  <c r="DJ46" i="4"/>
  <c r="DK46" i="4"/>
  <c r="BN47" i="4"/>
  <c r="BZ47" i="4" s="1"/>
  <c r="CL47" i="4" s="1"/>
  <c r="DN47" i="4" s="1"/>
  <c r="BO47" i="4"/>
  <c r="CA47" i="4" s="1"/>
  <c r="CM47" i="4" s="1"/>
  <c r="BP47" i="4"/>
  <c r="CB47" i="4" s="1"/>
  <c r="CN47" i="4" s="1"/>
  <c r="BQ47" i="4"/>
  <c r="CC47" i="4" s="1"/>
  <c r="CO47" i="4" s="1"/>
  <c r="BR47" i="4"/>
  <c r="CD47" i="4" s="1"/>
  <c r="CP47" i="4" s="1"/>
  <c r="BS47" i="4"/>
  <c r="CE47" i="4" s="1"/>
  <c r="CQ47" i="4" s="1"/>
  <c r="BT47" i="4"/>
  <c r="CF47" i="4" s="1"/>
  <c r="CR47" i="4" s="1"/>
  <c r="BU47" i="4"/>
  <c r="CG47" i="4" s="1"/>
  <c r="CS47" i="4" s="1"/>
  <c r="BV47" i="4"/>
  <c r="CH47" i="4" s="1"/>
  <c r="CT47" i="4" s="1"/>
  <c r="DV47" i="4" s="1"/>
  <c r="BW47" i="4"/>
  <c r="CI47" i="4" s="1"/>
  <c r="CU47" i="4" s="1"/>
  <c r="BX47" i="4"/>
  <c r="CJ47" i="4" s="1"/>
  <c r="CV47" i="4" s="1"/>
  <c r="BY47" i="4"/>
  <c r="CK47" i="4" s="1"/>
  <c r="CW47" i="4" s="1"/>
  <c r="CZ47" i="4"/>
  <c r="DA47" i="4"/>
  <c r="DB47" i="4"/>
  <c r="DC47" i="4"/>
  <c r="DD47" i="4"/>
  <c r="DE47" i="4"/>
  <c r="DF47" i="4"/>
  <c r="DG47" i="4"/>
  <c r="DH47" i="4"/>
  <c r="DI47" i="4"/>
  <c r="DJ47" i="4"/>
  <c r="DX47" i="4" s="1"/>
  <c r="DK47" i="4"/>
  <c r="BN48" i="4"/>
  <c r="BZ48" i="4" s="1"/>
  <c r="CL48" i="4" s="1"/>
  <c r="BO48" i="4"/>
  <c r="CA48" i="4" s="1"/>
  <c r="CM48" i="4" s="1"/>
  <c r="BP48" i="4"/>
  <c r="CB48" i="4" s="1"/>
  <c r="CN48" i="4" s="1"/>
  <c r="BQ48" i="4"/>
  <c r="CC48" i="4" s="1"/>
  <c r="CO48" i="4" s="1"/>
  <c r="DQ48" i="4" s="1"/>
  <c r="BR48" i="4"/>
  <c r="CD48" i="4" s="1"/>
  <c r="CP48" i="4" s="1"/>
  <c r="BS48" i="4"/>
  <c r="CE48" i="4" s="1"/>
  <c r="CQ48" i="4" s="1"/>
  <c r="BT48" i="4"/>
  <c r="CF48" i="4" s="1"/>
  <c r="CR48" i="4" s="1"/>
  <c r="BU48" i="4"/>
  <c r="CG48" i="4" s="1"/>
  <c r="CS48" i="4" s="1"/>
  <c r="BV48" i="4"/>
  <c r="CH48" i="4" s="1"/>
  <c r="CT48" i="4" s="1"/>
  <c r="BW48" i="4"/>
  <c r="CI48" i="4" s="1"/>
  <c r="CU48" i="4" s="1"/>
  <c r="BX48" i="4"/>
  <c r="CJ48" i="4" s="1"/>
  <c r="CV48" i="4" s="1"/>
  <c r="BY48" i="4"/>
  <c r="CK48" i="4" s="1"/>
  <c r="CW48" i="4" s="1"/>
  <c r="CZ48" i="4"/>
  <c r="DA48" i="4"/>
  <c r="DB48" i="4"/>
  <c r="DC48" i="4"/>
  <c r="DD48" i="4"/>
  <c r="DE48" i="4"/>
  <c r="DF48" i="4"/>
  <c r="DG48" i="4"/>
  <c r="DH48" i="4"/>
  <c r="DI48" i="4"/>
  <c r="DJ48" i="4"/>
  <c r="DK48" i="4"/>
  <c r="BN49" i="4"/>
  <c r="BO49" i="4"/>
  <c r="CA49" i="4" s="1"/>
  <c r="CM49" i="4" s="1"/>
  <c r="BP49" i="4"/>
  <c r="CB49" i="4" s="1"/>
  <c r="CN49" i="4" s="1"/>
  <c r="BQ49" i="4"/>
  <c r="CC49" i="4" s="1"/>
  <c r="CO49" i="4" s="1"/>
  <c r="BR49" i="4"/>
  <c r="CD49" i="4" s="1"/>
  <c r="CP49" i="4" s="1"/>
  <c r="BS49" i="4"/>
  <c r="CE49" i="4" s="1"/>
  <c r="BT49" i="4"/>
  <c r="CF49" i="4" s="1"/>
  <c r="CR49" i="4" s="1"/>
  <c r="BU49" i="4"/>
  <c r="CG49" i="4" s="1"/>
  <c r="CS49" i="4" s="1"/>
  <c r="BV49" i="4"/>
  <c r="CH49" i="4" s="1"/>
  <c r="CT49" i="4" s="1"/>
  <c r="BW49" i="4"/>
  <c r="CI49" i="4" s="1"/>
  <c r="CU49" i="4" s="1"/>
  <c r="BX49" i="4"/>
  <c r="CJ49" i="4" s="1"/>
  <c r="CV49" i="4" s="1"/>
  <c r="BY49" i="4"/>
  <c r="CK49" i="4" s="1"/>
  <c r="CW49" i="4" s="1"/>
  <c r="BZ49" i="4"/>
  <c r="CL49" i="4" s="1"/>
  <c r="CQ49" i="4"/>
  <c r="CZ49" i="4"/>
  <c r="DA49" i="4"/>
  <c r="DB49" i="4"/>
  <c r="DC49" i="4"/>
  <c r="DD49" i="4"/>
  <c r="DR49" i="4" s="1"/>
  <c r="DE49" i="4"/>
  <c r="DF49" i="4"/>
  <c r="DG49" i="4"/>
  <c r="DH49" i="4"/>
  <c r="DI49" i="4"/>
  <c r="DJ49" i="4"/>
  <c r="DK49" i="4"/>
  <c r="BN50" i="4"/>
  <c r="BZ50" i="4" s="1"/>
  <c r="CL50" i="4" s="1"/>
  <c r="BO50" i="4"/>
  <c r="CA50" i="4" s="1"/>
  <c r="CM50" i="4" s="1"/>
  <c r="BP50" i="4"/>
  <c r="CB50" i="4" s="1"/>
  <c r="CN50" i="4" s="1"/>
  <c r="BQ50" i="4"/>
  <c r="CC50" i="4" s="1"/>
  <c r="BR50" i="4"/>
  <c r="CD50" i="4" s="1"/>
  <c r="CP50" i="4" s="1"/>
  <c r="BS50" i="4"/>
  <c r="CE50" i="4" s="1"/>
  <c r="CQ50" i="4" s="1"/>
  <c r="DS50" i="4" s="1"/>
  <c r="BT50" i="4"/>
  <c r="CF50" i="4" s="1"/>
  <c r="CR50" i="4" s="1"/>
  <c r="BU50" i="4"/>
  <c r="CG50" i="4" s="1"/>
  <c r="CS50" i="4" s="1"/>
  <c r="BV50" i="4"/>
  <c r="CH50" i="4" s="1"/>
  <c r="CT50" i="4" s="1"/>
  <c r="DV50" i="4" s="1"/>
  <c r="BW50" i="4"/>
  <c r="CI50" i="4" s="1"/>
  <c r="CU50" i="4" s="1"/>
  <c r="BX50" i="4"/>
  <c r="CJ50" i="4" s="1"/>
  <c r="CV50" i="4" s="1"/>
  <c r="BY50" i="4"/>
  <c r="CK50" i="4" s="1"/>
  <c r="CW50" i="4" s="1"/>
  <c r="CO50" i="4"/>
  <c r="CZ50" i="4"/>
  <c r="DA50" i="4"/>
  <c r="DB50" i="4"/>
  <c r="DC50" i="4"/>
  <c r="DD50" i="4"/>
  <c r="DE50" i="4"/>
  <c r="DF50" i="4"/>
  <c r="DG50" i="4"/>
  <c r="DH50" i="4"/>
  <c r="DI50" i="4"/>
  <c r="DJ50" i="4"/>
  <c r="DK50" i="4"/>
  <c r="BN51" i="4"/>
  <c r="BZ51" i="4" s="1"/>
  <c r="CL51" i="4" s="1"/>
  <c r="BO51" i="4"/>
  <c r="CA51" i="4" s="1"/>
  <c r="CM51" i="4" s="1"/>
  <c r="BP51" i="4"/>
  <c r="CB51" i="4" s="1"/>
  <c r="CN51" i="4" s="1"/>
  <c r="BQ51" i="4"/>
  <c r="CC51" i="4" s="1"/>
  <c r="CO51" i="4" s="1"/>
  <c r="BR51" i="4"/>
  <c r="CD51" i="4" s="1"/>
  <c r="CP51" i="4" s="1"/>
  <c r="BS51" i="4"/>
  <c r="CE51" i="4" s="1"/>
  <c r="CQ51" i="4" s="1"/>
  <c r="DS51" i="4" s="1"/>
  <c r="BT51" i="4"/>
  <c r="CF51" i="4" s="1"/>
  <c r="CR51" i="4" s="1"/>
  <c r="BU51" i="4"/>
  <c r="CG51" i="4" s="1"/>
  <c r="CS51" i="4" s="1"/>
  <c r="BV51" i="4"/>
  <c r="CH51" i="4" s="1"/>
  <c r="CT51" i="4" s="1"/>
  <c r="BW51" i="4"/>
  <c r="CI51" i="4" s="1"/>
  <c r="CU51" i="4" s="1"/>
  <c r="BX51" i="4"/>
  <c r="CJ51" i="4" s="1"/>
  <c r="CV51" i="4" s="1"/>
  <c r="BY51" i="4"/>
  <c r="CK51" i="4" s="1"/>
  <c r="CW51" i="4" s="1"/>
  <c r="CZ51" i="4"/>
  <c r="DA51" i="4"/>
  <c r="DB51" i="4"/>
  <c r="DC51" i="4"/>
  <c r="DD51" i="4"/>
  <c r="DE51" i="4"/>
  <c r="DF51" i="4"/>
  <c r="DG51" i="4"/>
  <c r="DH51" i="4"/>
  <c r="DI51" i="4"/>
  <c r="DJ51" i="4"/>
  <c r="DK51" i="4"/>
  <c r="BN52" i="4"/>
  <c r="BZ52" i="4" s="1"/>
  <c r="CL52" i="4" s="1"/>
  <c r="DN52" i="4" s="1"/>
  <c r="BO52" i="4"/>
  <c r="CA52" i="4" s="1"/>
  <c r="CM52" i="4" s="1"/>
  <c r="BP52" i="4"/>
  <c r="CB52" i="4" s="1"/>
  <c r="CN52" i="4" s="1"/>
  <c r="BQ52" i="4"/>
  <c r="BR52" i="4"/>
  <c r="CD52" i="4" s="1"/>
  <c r="CP52" i="4" s="1"/>
  <c r="BS52" i="4"/>
  <c r="CE52" i="4" s="1"/>
  <c r="CQ52" i="4" s="1"/>
  <c r="BT52" i="4"/>
  <c r="CF52" i="4" s="1"/>
  <c r="CR52" i="4" s="1"/>
  <c r="BU52" i="4"/>
  <c r="CG52" i="4" s="1"/>
  <c r="CS52" i="4" s="1"/>
  <c r="BV52" i="4"/>
  <c r="CH52" i="4" s="1"/>
  <c r="CT52" i="4" s="1"/>
  <c r="DV52" i="4" s="1"/>
  <c r="BW52" i="4"/>
  <c r="CI52" i="4" s="1"/>
  <c r="CU52" i="4" s="1"/>
  <c r="BX52" i="4"/>
  <c r="CJ52" i="4" s="1"/>
  <c r="CV52" i="4" s="1"/>
  <c r="BY52" i="4"/>
  <c r="CK52" i="4" s="1"/>
  <c r="CW52" i="4" s="1"/>
  <c r="CC52" i="4"/>
  <c r="CO52" i="4" s="1"/>
  <c r="CZ52" i="4"/>
  <c r="DA52" i="4"/>
  <c r="DB52" i="4"/>
  <c r="DC52" i="4"/>
  <c r="DD52" i="4"/>
  <c r="DE52" i="4"/>
  <c r="DS52" i="4" s="1"/>
  <c r="DF52" i="4"/>
  <c r="DG52" i="4"/>
  <c r="DH52" i="4"/>
  <c r="DI52" i="4"/>
  <c r="DJ52" i="4"/>
  <c r="DK52" i="4"/>
  <c r="BN53" i="4"/>
  <c r="BZ53" i="4" s="1"/>
  <c r="CL53" i="4" s="1"/>
  <c r="BO53" i="4"/>
  <c r="CA53" i="4" s="1"/>
  <c r="CM53" i="4" s="1"/>
  <c r="BP53" i="4"/>
  <c r="CB53" i="4" s="1"/>
  <c r="CN53" i="4" s="1"/>
  <c r="BQ53" i="4"/>
  <c r="CC53" i="4" s="1"/>
  <c r="CO53" i="4" s="1"/>
  <c r="BR53" i="4"/>
  <c r="BS53" i="4"/>
  <c r="CE53" i="4" s="1"/>
  <c r="CQ53" i="4" s="1"/>
  <c r="BT53" i="4"/>
  <c r="CF53" i="4" s="1"/>
  <c r="CR53" i="4" s="1"/>
  <c r="BU53" i="4"/>
  <c r="CG53" i="4" s="1"/>
  <c r="CS53" i="4" s="1"/>
  <c r="BV53" i="4"/>
  <c r="CH53" i="4" s="1"/>
  <c r="CT53" i="4" s="1"/>
  <c r="BW53" i="4"/>
  <c r="CI53" i="4" s="1"/>
  <c r="CU53" i="4" s="1"/>
  <c r="BX53" i="4"/>
  <c r="CJ53" i="4" s="1"/>
  <c r="CV53" i="4" s="1"/>
  <c r="BY53" i="4"/>
  <c r="CK53" i="4" s="1"/>
  <c r="CW53" i="4" s="1"/>
  <c r="CD53" i="4"/>
  <c r="CP53" i="4" s="1"/>
  <c r="CZ53" i="4"/>
  <c r="DA53" i="4"/>
  <c r="DB53" i="4"/>
  <c r="DC53" i="4"/>
  <c r="DD53" i="4"/>
  <c r="DE53" i="4"/>
  <c r="DF53" i="4"/>
  <c r="DG53" i="4"/>
  <c r="DH53" i="4"/>
  <c r="DI53" i="4"/>
  <c r="DJ53" i="4"/>
  <c r="DK53" i="4"/>
  <c r="BN54" i="4"/>
  <c r="BZ54" i="4" s="1"/>
  <c r="CL54" i="4" s="1"/>
  <c r="BO54" i="4"/>
  <c r="CA54" i="4" s="1"/>
  <c r="CM54" i="4" s="1"/>
  <c r="BP54" i="4"/>
  <c r="CB54" i="4" s="1"/>
  <c r="CN54" i="4" s="1"/>
  <c r="BQ54" i="4"/>
  <c r="CC54" i="4" s="1"/>
  <c r="CO54" i="4" s="1"/>
  <c r="BR54" i="4"/>
  <c r="CD54" i="4" s="1"/>
  <c r="CP54" i="4" s="1"/>
  <c r="BS54" i="4"/>
  <c r="CE54" i="4" s="1"/>
  <c r="CQ54" i="4" s="1"/>
  <c r="BT54" i="4"/>
  <c r="CF54" i="4" s="1"/>
  <c r="CR54" i="4" s="1"/>
  <c r="BU54" i="4"/>
  <c r="CG54" i="4" s="1"/>
  <c r="CS54" i="4" s="1"/>
  <c r="BV54" i="4"/>
  <c r="CH54" i="4" s="1"/>
  <c r="CT54" i="4" s="1"/>
  <c r="BW54" i="4"/>
  <c r="CI54" i="4" s="1"/>
  <c r="CU54" i="4" s="1"/>
  <c r="BX54" i="4"/>
  <c r="CJ54" i="4" s="1"/>
  <c r="CV54" i="4" s="1"/>
  <c r="BY54" i="4"/>
  <c r="CK54" i="4" s="1"/>
  <c r="CW54" i="4" s="1"/>
  <c r="CZ54" i="4"/>
  <c r="DA54" i="4"/>
  <c r="DB54" i="4"/>
  <c r="DC54" i="4"/>
  <c r="DD54" i="4"/>
  <c r="DE54" i="4"/>
  <c r="DF54" i="4"/>
  <c r="DG54" i="4"/>
  <c r="DH54" i="4"/>
  <c r="DI54" i="4"/>
  <c r="DJ54" i="4"/>
  <c r="DK54" i="4"/>
  <c r="BN55" i="4"/>
  <c r="BZ55" i="4" s="1"/>
  <c r="CL55" i="4" s="1"/>
  <c r="BO55" i="4"/>
  <c r="CA55" i="4" s="1"/>
  <c r="CM55" i="4" s="1"/>
  <c r="BP55" i="4"/>
  <c r="CB55" i="4" s="1"/>
  <c r="CN55" i="4" s="1"/>
  <c r="DP55" i="4" s="1"/>
  <c r="BQ55" i="4"/>
  <c r="CC55" i="4" s="1"/>
  <c r="CO55" i="4" s="1"/>
  <c r="BR55" i="4"/>
  <c r="CD55" i="4" s="1"/>
  <c r="CP55" i="4" s="1"/>
  <c r="BS55" i="4"/>
  <c r="CE55" i="4" s="1"/>
  <c r="CQ55" i="4" s="1"/>
  <c r="BT55" i="4"/>
  <c r="CF55" i="4" s="1"/>
  <c r="CR55" i="4" s="1"/>
  <c r="BU55" i="4"/>
  <c r="CG55" i="4" s="1"/>
  <c r="CS55" i="4" s="1"/>
  <c r="BV55" i="4"/>
  <c r="CH55" i="4" s="1"/>
  <c r="CT55" i="4" s="1"/>
  <c r="BW55" i="4"/>
  <c r="CI55" i="4" s="1"/>
  <c r="CU55" i="4" s="1"/>
  <c r="BX55" i="4"/>
  <c r="CJ55" i="4" s="1"/>
  <c r="CV55" i="4" s="1"/>
  <c r="DX55" i="4" s="1"/>
  <c r="BY55" i="4"/>
  <c r="CK55" i="4" s="1"/>
  <c r="CW55" i="4" s="1"/>
  <c r="CZ55" i="4"/>
  <c r="DA55" i="4"/>
  <c r="DB55" i="4"/>
  <c r="DC55" i="4"/>
  <c r="DD55" i="4"/>
  <c r="DE55" i="4"/>
  <c r="DF55" i="4"/>
  <c r="DG55" i="4"/>
  <c r="DH55" i="4"/>
  <c r="DI55" i="4"/>
  <c r="DJ55" i="4"/>
  <c r="DK55" i="4"/>
  <c r="BN56" i="4"/>
  <c r="BZ56" i="4" s="1"/>
  <c r="CL56" i="4" s="1"/>
  <c r="BO56" i="4"/>
  <c r="CA56" i="4" s="1"/>
  <c r="CM56" i="4" s="1"/>
  <c r="BP56" i="4"/>
  <c r="CB56" i="4" s="1"/>
  <c r="CN56" i="4" s="1"/>
  <c r="BQ56" i="4"/>
  <c r="CC56" i="4" s="1"/>
  <c r="CO56" i="4" s="1"/>
  <c r="BR56" i="4"/>
  <c r="CD56" i="4" s="1"/>
  <c r="CP56" i="4" s="1"/>
  <c r="BS56" i="4"/>
  <c r="CE56" i="4" s="1"/>
  <c r="CQ56" i="4" s="1"/>
  <c r="BT56" i="4"/>
  <c r="CF56" i="4" s="1"/>
  <c r="CR56" i="4" s="1"/>
  <c r="BU56" i="4"/>
  <c r="CG56" i="4" s="1"/>
  <c r="CS56" i="4" s="1"/>
  <c r="BV56" i="4"/>
  <c r="CH56" i="4" s="1"/>
  <c r="CT56" i="4" s="1"/>
  <c r="BW56" i="4"/>
  <c r="CI56" i="4" s="1"/>
  <c r="CU56" i="4" s="1"/>
  <c r="BX56" i="4"/>
  <c r="CJ56" i="4" s="1"/>
  <c r="CV56" i="4" s="1"/>
  <c r="BY56" i="4"/>
  <c r="CK56" i="4" s="1"/>
  <c r="CW56" i="4" s="1"/>
  <c r="CZ56" i="4"/>
  <c r="DA56" i="4"/>
  <c r="DB56" i="4"/>
  <c r="DC56" i="4"/>
  <c r="DD56" i="4"/>
  <c r="DE56" i="4"/>
  <c r="DF56" i="4"/>
  <c r="DG56" i="4"/>
  <c r="DH56" i="4"/>
  <c r="DI56" i="4"/>
  <c r="DJ56" i="4"/>
  <c r="DK56" i="4"/>
  <c r="BN57" i="4"/>
  <c r="BZ57" i="4" s="1"/>
  <c r="CL57" i="4" s="1"/>
  <c r="BO57" i="4"/>
  <c r="CA57" i="4" s="1"/>
  <c r="CM57" i="4" s="1"/>
  <c r="BP57" i="4"/>
  <c r="CB57" i="4" s="1"/>
  <c r="CN57" i="4" s="1"/>
  <c r="DP57" i="4" s="1"/>
  <c r="BQ57" i="4"/>
  <c r="CC57" i="4" s="1"/>
  <c r="CO57" i="4" s="1"/>
  <c r="BR57" i="4"/>
  <c r="CD57" i="4" s="1"/>
  <c r="CP57" i="4" s="1"/>
  <c r="BS57" i="4"/>
  <c r="CE57" i="4" s="1"/>
  <c r="CQ57" i="4" s="1"/>
  <c r="BT57" i="4"/>
  <c r="CF57" i="4" s="1"/>
  <c r="CR57" i="4" s="1"/>
  <c r="DT57" i="4" s="1"/>
  <c r="BU57" i="4"/>
  <c r="CG57" i="4" s="1"/>
  <c r="CS57" i="4" s="1"/>
  <c r="BV57" i="4"/>
  <c r="CH57" i="4" s="1"/>
  <c r="CT57" i="4" s="1"/>
  <c r="BW57" i="4"/>
  <c r="CI57" i="4" s="1"/>
  <c r="CU57" i="4" s="1"/>
  <c r="BX57" i="4"/>
  <c r="CJ57" i="4" s="1"/>
  <c r="CV57" i="4" s="1"/>
  <c r="BY57" i="4"/>
  <c r="CK57" i="4" s="1"/>
  <c r="CW57" i="4" s="1"/>
  <c r="CZ57" i="4"/>
  <c r="DA57" i="4"/>
  <c r="DB57" i="4"/>
  <c r="DC57" i="4"/>
  <c r="DD57" i="4"/>
  <c r="DE57" i="4"/>
  <c r="DF57" i="4"/>
  <c r="DG57" i="4"/>
  <c r="DH57" i="4"/>
  <c r="DI57" i="4"/>
  <c r="DJ57" i="4"/>
  <c r="DK57" i="4"/>
  <c r="BN58" i="4"/>
  <c r="BZ58" i="4" s="1"/>
  <c r="CL58" i="4" s="1"/>
  <c r="BO58" i="4"/>
  <c r="CA58" i="4" s="1"/>
  <c r="CM58" i="4" s="1"/>
  <c r="BP58" i="4"/>
  <c r="CB58" i="4" s="1"/>
  <c r="CN58" i="4" s="1"/>
  <c r="BQ58" i="4"/>
  <c r="CC58" i="4" s="1"/>
  <c r="CO58" i="4" s="1"/>
  <c r="BR58" i="4"/>
  <c r="CD58" i="4" s="1"/>
  <c r="CP58" i="4" s="1"/>
  <c r="BS58" i="4"/>
  <c r="CE58" i="4" s="1"/>
  <c r="CQ58" i="4" s="1"/>
  <c r="BT58" i="4"/>
  <c r="CF58" i="4" s="1"/>
  <c r="CR58" i="4" s="1"/>
  <c r="BU58" i="4"/>
  <c r="CG58" i="4" s="1"/>
  <c r="CS58" i="4" s="1"/>
  <c r="BV58" i="4"/>
  <c r="CH58" i="4" s="1"/>
  <c r="CT58" i="4" s="1"/>
  <c r="BW58" i="4"/>
  <c r="CI58" i="4" s="1"/>
  <c r="CU58" i="4" s="1"/>
  <c r="BX58" i="4"/>
  <c r="CJ58" i="4" s="1"/>
  <c r="CV58" i="4" s="1"/>
  <c r="BY58" i="4"/>
  <c r="CK58" i="4" s="1"/>
  <c r="CW58" i="4" s="1"/>
  <c r="CZ58" i="4"/>
  <c r="DA58" i="4"/>
  <c r="DB58" i="4"/>
  <c r="DC58" i="4"/>
  <c r="DD58" i="4"/>
  <c r="DE58" i="4"/>
  <c r="DF58" i="4"/>
  <c r="DG58" i="4"/>
  <c r="DH58" i="4"/>
  <c r="DI58" i="4"/>
  <c r="DJ58" i="4"/>
  <c r="DK58" i="4"/>
  <c r="BN59" i="4"/>
  <c r="BZ59" i="4" s="1"/>
  <c r="CL59" i="4" s="1"/>
  <c r="BO59" i="4"/>
  <c r="CA59" i="4" s="1"/>
  <c r="CM59" i="4" s="1"/>
  <c r="BP59" i="4"/>
  <c r="CB59" i="4" s="1"/>
  <c r="BQ59" i="4"/>
  <c r="BR59" i="4"/>
  <c r="CD59" i="4" s="1"/>
  <c r="CP59" i="4" s="1"/>
  <c r="BS59" i="4"/>
  <c r="CE59" i="4" s="1"/>
  <c r="CQ59" i="4" s="1"/>
  <c r="BT59" i="4"/>
  <c r="CF59" i="4" s="1"/>
  <c r="CR59" i="4" s="1"/>
  <c r="BU59" i="4"/>
  <c r="CG59" i="4" s="1"/>
  <c r="CS59" i="4" s="1"/>
  <c r="BV59" i="4"/>
  <c r="CH59" i="4" s="1"/>
  <c r="CT59" i="4" s="1"/>
  <c r="BW59" i="4"/>
  <c r="CI59" i="4" s="1"/>
  <c r="CU59" i="4" s="1"/>
  <c r="BX59" i="4"/>
  <c r="CJ59" i="4" s="1"/>
  <c r="CV59" i="4" s="1"/>
  <c r="BY59" i="4"/>
  <c r="CK59" i="4" s="1"/>
  <c r="CW59" i="4" s="1"/>
  <c r="CC59" i="4"/>
  <c r="CO59" i="4" s="1"/>
  <c r="DQ59" i="4" s="1"/>
  <c r="CN59" i="4"/>
  <c r="CZ59" i="4"/>
  <c r="DA59" i="4"/>
  <c r="DB59" i="4"/>
  <c r="DC59" i="4"/>
  <c r="DD59" i="4"/>
  <c r="DE59" i="4"/>
  <c r="DF59" i="4"/>
  <c r="DG59" i="4"/>
  <c r="DH59" i="4"/>
  <c r="DI59" i="4"/>
  <c r="DJ59" i="4"/>
  <c r="DK59" i="4"/>
  <c r="BN60" i="4"/>
  <c r="BZ60" i="4" s="1"/>
  <c r="CL60" i="4" s="1"/>
  <c r="DN60" i="4" s="1"/>
  <c r="BO60" i="4"/>
  <c r="CA60" i="4" s="1"/>
  <c r="CM60" i="4" s="1"/>
  <c r="BP60" i="4"/>
  <c r="CB60" i="4" s="1"/>
  <c r="CN60" i="4" s="1"/>
  <c r="BQ60" i="4"/>
  <c r="BR60" i="4"/>
  <c r="CD60" i="4" s="1"/>
  <c r="CP60" i="4" s="1"/>
  <c r="DR60" i="4" s="1"/>
  <c r="BS60" i="4"/>
  <c r="CE60" i="4" s="1"/>
  <c r="CQ60" i="4" s="1"/>
  <c r="BT60" i="4"/>
  <c r="CF60" i="4" s="1"/>
  <c r="CR60" i="4" s="1"/>
  <c r="BU60" i="4"/>
  <c r="CG60" i="4" s="1"/>
  <c r="CS60" i="4" s="1"/>
  <c r="BV60" i="4"/>
  <c r="CH60" i="4" s="1"/>
  <c r="CT60" i="4" s="1"/>
  <c r="DV60" i="4" s="1"/>
  <c r="BW60" i="4"/>
  <c r="CI60" i="4" s="1"/>
  <c r="CU60" i="4" s="1"/>
  <c r="BX60" i="4"/>
  <c r="CJ60" i="4" s="1"/>
  <c r="CV60" i="4" s="1"/>
  <c r="BY60" i="4"/>
  <c r="CK60" i="4" s="1"/>
  <c r="CW60" i="4" s="1"/>
  <c r="CC60" i="4"/>
  <c r="CO60" i="4" s="1"/>
  <c r="CZ60" i="4"/>
  <c r="DA60" i="4"/>
  <c r="DB60" i="4"/>
  <c r="DC60" i="4"/>
  <c r="DD60" i="4"/>
  <c r="DE60" i="4"/>
  <c r="DF60" i="4"/>
  <c r="DG60" i="4"/>
  <c r="DH60" i="4"/>
  <c r="DI60" i="4"/>
  <c r="DJ60" i="4"/>
  <c r="DK60" i="4"/>
  <c r="BN61" i="4"/>
  <c r="BZ61" i="4" s="1"/>
  <c r="CL61" i="4" s="1"/>
  <c r="BO61" i="4"/>
  <c r="CA61" i="4" s="1"/>
  <c r="CM61" i="4" s="1"/>
  <c r="BP61" i="4"/>
  <c r="CB61" i="4" s="1"/>
  <c r="CN61" i="4" s="1"/>
  <c r="BQ61" i="4"/>
  <c r="CC61" i="4" s="1"/>
  <c r="CO61" i="4" s="1"/>
  <c r="BR61" i="4"/>
  <c r="CD61" i="4" s="1"/>
  <c r="CP61" i="4" s="1"/>
  <c r="BS61" i="4"/>
  <c r="CE61" i="4" s="1"/>
  <c r="CQ61" i="4" s="1"/>
  <c r="BT61" i="4"/>
  <c r="CF61" i="4" s="1"/>
  <c r="CR61" i="4" s="1"/>
  <c r="BU61" i="4"/>
  <c r="CG61" i="4" s="1"/>
  <c r="CS61" i="4" s="1"/>
  <c r="BV61" i="4"/>
  <c r="CH61" i="4" s="1"/>
  <c r="CT61" i="4" s="1"/>
  <c r="BW61" i="4"/>
  <c r="CI61" i="4" s="1"/>
  <c r="CU61" i="4" s="1"/>
  <c r="BX61" i="4"/>
  <c r="CJ61" i="4" s="1"/>
  <c r="CV61" i="4" s="1"/>
  <c r="DX61" i="4" s="1"/>
  <c r="BY61" i="4"/>
  <c r="CK61" i="4" s="1"/>
  <c r="CW61" i="4" s="1"/>
  <c r="CZ61" i="4"/>
  <c r="DA61" i="4"/>
  <c r="DB61" i="4"/>
  <c r="DC61" i="4"/>
  <c r="DD61" i="4"/>
  <c r="DE61" i="4"/>
  <c r="DF61" i="4"/>
  <c r="DT61" i="4" s="1"/>
  <c r="DG61" i="4"/>
  <c r="DH61" i="4"/>
  <c r="DI61" i="4"/>
  <c r="DJ61" i="4"/>
  <c r="DK61" i="4"/>
  <c r="BN62" i="4"/>
  <c r="BZ62" i="4" s="1"/>
  <c r="CL62" i="4" s="1"/>
  <c r="BO62" i="4"/>
  <c r="CA62" i="4" s="1"/>
  <c r="CM62" i="4" s="1"/>
  <c r="BP62" i="4"/>
  <c r="CB62" i="4" s="1"/>
  <c r="CN62" i="4" s="1"/>
  <c r="BQ62" i="4"/>
  <c r="CC62" i="4" s="1"/>
  <c r="CO62" i="4" s="1"/>
  <c r="BR62" i="4"/>
  <c r="CD62" i="4" s="1"/>
  <c r="CP62" i="4" s="1"/>
  <c r="BS62" i="4"/>
  <c r="CE62" i="4" s="1"/>
  <c r="CQ62" i="4" s="1"/>
  <c r="BT62" i="4"/>
  <c r="CF62" i="4" s="1"/>
  <c r="CR62" i="4" s="1"/>
  <c r="BU62" i="4"/>
  <c r="CG62" i="4" s="1"/>
  <c r="CS62" i="4" s="1"/>
  <c r="BV62" i="4"/>
  <c r="CH62" i="4" s="1"/>
  <c r="CT62" i="4" s="1"/>
  <c r="BW62" i="4"/>
  <c r="CI62" i="4" s="1"/>
  <c r="CU62" i="4" s="1"/>
  <c r="BX62" i="4"/>
  <c r="BY62" i="4"/>
  <c r="CK62" i="4" s="1"/>
  <c r="CW62" i="4" s="1"/>
  <c r="CJ62" i="4"/>
  <c r="CV62" i="4" s="1"/>
  <c r="DX62" i="4" s="1"/>
  <c r="CZ62" i="4"/>
  <c r="DN62" i="4" s="1"/>
  <c r="DA62" i="4"/>
  <c r="DB62" i="4"/>
  <c r="DC62" i="4"/>
  <c r="DD62" i="4"/>
  <c r="DE62" i="4"/>
  <c r="DF62" i="4"/>
  <c r="DG62" i="4"/>
  <c r="DH62" i="4"/>
  <c r="DI62" i="4"/>
  <c r="DJ62" i="4"/>
  <c r="DK62" i="4"/>
  <c r="BN63" i="4"/>
  <c r="BZ63" i="4" s="1"/>
  <c r="CL63" i="4" s="1"/>
  <c r="DN63" i="4" s="1"/>
  <c r="BO63" i="4"/>
  <c r="CA63" i="4" s="1"/>
  <c r="CM63" i="4" s="1"/>
  <c r="BP63" i="4"/>
  <c r="CB63" i="4" s="1"/>
  <c r="CN63" i="4" s="1"/>
  <c r="BQ63" i="4"/>
  <c r="CC63" i="4" s="1"/>
  <c r="CO63" i="4" s="1"/>
  <c r="BR63" i="4"/>
  <c r="CD63" i="4" s="1"/>
  <c r="CP63" i="4" s="1"/>
  <c r="BS63" i="4"/>
  <c r="CE63" i="4" s="1"/>
  <c r="CQ63" i="4" s="1"/>
  <c r="BT63" i="4"/>
  <c r="CF63" i="4" s="1"/>
  <c r="CR63" i="4" s="1"/>
  <c r="BU63" i="4"/>
  <c r="CG63" i="4" s="1"/>
  <c r="CS63" i="4" s="1"/>
  <c r="BV63" i="4"/>
  <c r="CH63" i="4" s="1"/>
  <c r="CT63" i="4" s="1"/>
  <c r="DV63" i="4" s="1"/>
  <c r="BW63" i="4"/>
  <c r="CI63" i="4" s="1"/>
  <c r="CU63" i="4" s="1"/>
  <c r="BX63" i="4"/>
  <c r="CJ63" i="4" s="1"/>
  <c r="CV63" i="4" s="1"/>
  <c r="BY63" i="4"/>
  <c r="CK63" i="4" s="1"/>
  <c r="CW63" i="4" s="1"/>
  <c r="CZ63" i="4"/>
  <c r="DA63" i="4"/>
  <c r="DB63" i="4"/>
  <c r="DC63" i="4"/>
  <c r="DD63" i="4"/>
  <c r="DE63" i="4"/>
  <c r="DS63" i="4" s="1"/>
  <c r="DF63" i="4"/>
  <c r="DG63" i="4"/>
  <c r="DH63" i="4"/>
  <c r="DI63" i="4"/>
  <c r="DJ63" i="4"/>
  <c r="DK63" i="4"/>
  <c r="BN64" i="4"/>
  <c r="BO64" i="4"/>
  <c r="CA64" i="4" s="1"/>
  <c r="CM64" i="4" s="1"/>
  <c r="BP64" i="4"/>
  <c r="CB64" i="4" s="1"/>
  <c r="CN64" i="4" s="1"/>
  <c r="BQ64" i="4"/>
  <c r="BR64" i="4"/>
  <c r="CD64" i="4" s="1"/>
  <c r="CP64" i="4" s="1"/>
  <c r="BS64" i="4"/>
  <c r="CE64" i="4" s="1"/>
  <c r="CQ64" i="4" s="1"/>
  <c r="DS64" i="4" s="1"/>
  <c r="BT64" i="4"/>
  <c r="CF64" i="4" s="1"/>
  <c r="CR64" i="4" s="1"/>
  <c r="BU64" i="4"/>
  <c r="CG64" i="4" s="1"/>
  <c r="CS64" i="4" s="1"/>
  <c r="BV64" i="4"/>
  <c r="BW64" i="4"/>
  <c r="CI64" i="4" s="1"/>
  <c r="CU64" i="4" s="1"/>
  <c r="BX64" i="4"/>
  <c r="CJ64" i="4" s="1"/>
  <c r="CV64" i="4" s="1"/>
  <c r="BY64" i="4"/>
  <c r="CK64" i="4" s="1"/>
  <c r="CW64" i="4" s="1"/>
  <c r="BZ64" i="4"/>
  <c r="CL64" i="4" s="1"/>
  <c r="CC64" i="4"/>
  <c r="CO64" i="4" s="1"/>
  <c r="DQ64" i="4" s="1"/>
  <c r="CH64" i="4"/>
  <c r="CT64" i="4" s="1"/>
  <c r="CZ64" i="4"/>
  <c r="DA64" i="4"/>
  <c r="DB64" i="4"/>
  <c r="DC64" i="4"/>
  <c r="DD64" i="4"/>
  <c r="DE64" i="4"/>
  <c r="DF64" i="4"/>
  <c r="DG64" i="4"/>
  <c r="DH64" i="4"/>
  <c r="DI64" i="4"/>
  <c r="DJ64" i="4"/>
  <c r="DK64" i="4"/>
  <c r="BN65" i="4"/>
  <c r="BZ65" i="4" s="1"/>
  <c r="CL65" i="4" s="1"/>
  <c r="BO65" i="4"/>
  <c r="CA65" i="4" s="1"/>
  <c r="CM65" i="4" s="1"/>
  <c r="BP65" i="4"/>
  <c r="CB65" i="4" s="1"/>
  <c r="CN65" i="4" s="1"/>
  <c r="DP65" i="4" s="1"/>
  <c r="BQ65" i="4"/>
  <c r="BR65" i="4"/>
  <c r="CD65" i="4" s="1"/>
  <c r="CP65" i="4" s="1"/>
  <c r="BS65" i="4"/>
  <c r="CE65" i="4" s="1"/>
  <c r="CQ65" i="4" s="1"/>
  <c r="BT65" i="4"/>
  <c r="CF65" i="4" s="1"/>
  <c r="CR65" i="4" s="1"/>
  <c r="DT65" i="4" s="1"/>
  <c r="BU65" i="4"/>
  <c r="CG65" i="4" s="1"/>
  <c r="CS65" i="4" s="1"/>
  <c r="BV65" i="4"/>
  <c r="CH65" i="4" s="1"/>
  <c r="CT65" i="4" s="1"/>
  <c r="BW65" i="4"/>
  <c r="CI65" i="4" s="1"/>
  <c r="CU65" i="4" s="1"/>
  <c r="BX65" i="4"/>
  <c r="CJ65" i="4" s="1"/>
  <c r="CV65" i="4" s="1"/>
  <c r="BY65" i="4"/>
  <c r="CK65" i="4" s="1"/>
  <c r="CW65" i="4" s="1"/>
  <c r="CC65" i="4"/>
  <c r="CO65" i="4" s="1"/>
  <c r="CZ65" i="4"/>
  <c r="DA65" i="4"/>
  <c r="DO65" i="4" s="1"/>
  <c r="DB65" i="4"/>
  <c r="DC65" i="4"/>
  <c r="DD65" i="4"/>
  <c r="DE65" i="4"/>
  <c r="DF65" i="4"/>
  <c r="DG65" i="4"/>
  <c r="DH65" i="4"/>
  <c r="DI65" i="4"/>
  <c r="DJ65" i="4"/>
  <c r="DK65" i="4"/>
  <c r="BN66" i="4"/>
  <c r="BZ66" i="4" s="1"/>
  <c r="CL66" i="4" s="1"/>
  <c r="BO66" i="4"/>
  <c r="BP66" i="4"/>
  <c r="CB66" i="4" s="1"/>
  <c r="CN66" i="4" s="1"/>
  <c r="BQ66" i="4"/>
  <c r="CC66" i="4" s="1"/>
  <c r="CO66" i="4" s="1"/>
  <c r="BR66" i="4"/>
  <c r="CD66" i="4" s="1"/>
  <c r="CP66" i="4" s="1"/>
  <c r="BS66" i="4"/>
  <c r="CE66" i="4" s="1"/>
  <c r="CQ66" i="4" s="1"/>
  <c r="BT66" i="4"/>
  <c r="CF66" i="4" s="1"/>
  <c r="BU66" i="4"/>
  <c r="CG66" i="4" s="1"/>
  <c r="CS66" i="4" s="1"/>
  <c r="BV66" i="4"/>
  <c r="BW66" i="4"/>
  <c r="CI66" i="4" s="1"/>
  <c r="CU66" i="4" s="1"/>
  <c r="BX66" i="4"/>
  <c r="CJ66" i="4" s="1"/>
  <c r="CV66" i="4" s="1"/>
  <c r="DX66" i="4" s="1"/>
  <c r="BY66" i="4"/>
  <c r="CK66" i="4" s="1"/>
  <c r="CW66" i="4" s="1"/>
  <c r="CA66" i="4"/>
  <c r="CM66" i="4" s="1"/>
  <c r="CH66" i="4"/>
  <c r="CT66" i="4" s="1"/>
  <c r="CR66" i="4"/>
  <c r="CZ66" i="4"/>
  <c r="DA66" i="4"/>
  <c r="DB66" i="4"/>
  <c r="DC66" i="4"/>
  <c r="DD66" i="4"/>
  <c r="DE66" i="4"/>
  <c r="DF66" i="4"/>
  <c r="DG66" i="4"/>
  <c r="DH66" i="4"/>
  <c r="DI66" i="4"/>
  <c r="DJ66" i="4"/>
  <c r="DK66" i="4"/>
  <c r="BN67" i="4"/>
  <c r="BO67" i="4"/>
  <c r="CA67" i="4" s="1"/>
  <c r="CM67" i="4" s="1"/>
  <c r="BP67" i="4"/>
  <c r="BQ67" i="4"/>
  <c r="CC67" i="4" s="1"/>
  <c r="CO67" i="4" s="1"/>
  <c r="DQ67" i="4" s="1"/>
  <c r="BR67" i="4"/>
  <c r="CD67" i="4" s="1"/>
  <c r="CP67" i="4" s="1"/>
  <c r="BS67" i="4"/>
  <c r="CE67" i="4" s="1"/>
  <c r="CQ67" i="4" s="1"/>
  <c r="DS67" i="4" s="1"/>
  <c r="BT67" i="4"/>
  <c r="CF67" i="4" s="1"/>
  <c r="CR67" i="4" s="1"/>
  <c r="BU67" i="4"/>
  <c r="CG67" i="4" s="1"/>
  <c r="CS67" i="4" s="1"/>
  <c r="BV67" i="4"/>
  <c r="CH67" i="4" s="1"/>
  <c r="CT67" i="4" s="1"/>
  <c r="BW67" i="4"/>
  <c r="CI67" i="4" s="1"/>
  <c r="CU67" i="4" s="1"/>
  <c r="BX67" i="4"/>
  <c r="CJ67" i="4" s="1"/>
  <c r="CV67" i="4" s="1"/>
  <c r="BY67" i="4"/>
  <c r="CK67" i="4" s="1"/>
  <c r="CW67" i="4" s="1"/>
  <c r="BZ67" i="4"/>
  <c r="CL67" i="4" s="1"/>
  <c r="CB67" i="4"/>
  <c r="CN67" i="4" s="1"/>
  <c r="CZ67" i="4"/>
  <c r="DA67" i="4"/>
  <c r="DB67" i="4"/>
  <c r="DC67" i="4"/>
  <c r="DD67" i="4"/>
  <c r="DE67" i="4"/>
  <c r="DF67" i="4"/>
  <c r="DG67" i="4"/>
  <c r="DH67" i="4"/>
  <c r="DI67" i="4"/>
  <c r="DJ67" i="4"/>
  <c r="DK67" i="4"/>
  <c r="BN68" i="4"/>
  <c r="BZ68" i="4" s="1"/>
  <c r="CL68" i="4" s="1"/>
  <c r="BO68" i="4"/>
  <c r="CA68" i="4" s="1"/>
  <c r="CM68" i="4" s="1"/>
  <c r="BP68" i="4"/>
  <c r="CB68" i="4" s="1"/>
  <c r="CN68" i="4" s="1"/>
  <c r="BQ68" i="4"/>
  <c r="CC68" i="4" s="1"/>
  <c r="CO68" i="4" s="1"/>
  <c r="BR68" i="4"/>
  <c r="CD68" i="4" s="1"/>
  <c r="CP68" i="4" s="1"/>
  <c r="BS68" i="4"/>
  <c r="CE68" i="4" s="1"/>
  <c r="CQ68" i="4" s="1"/>
  <c r="BT68" i="4"/>
  <c r="CF68" i="4" s="1"/>
  <c r="CR68" i="4" s="1"/>
  <c r="BU68" i="4"/>
  <c r="CG68" i="4" s="1"/>
  <c r="CS68" i="4" s="1"/>
  <c r="BV68" i="4"/>
  <c r="CH68" i="4" s="1"/>
  <c r="CT68" i="4" s="1"/>
  <c r="DV68" i="4" s="1"/>
  <c r="BW68" i="4"/>
  <c r="CI68" i="4" s="1"/>
  <c r="CU68" i="4" s="1"/>
  <c r="BX68" i="4"/>
  <c r="CJ68" i="4" s="1"/>
  <c r="CV68" i="4" s="1"/>
  <c r="BY68" i="4"/>
  <c r="CK68" i="4" s="1"/>
  <c r="CW68" i="4" s="1"/>
  <c r="CZ68" i="4"/>
  <c r="DA68" i="4"/>
  <c r="DB68" i="4"/>
  <c r="DC68" i="4"/>
  <c r="DD68" i="4"/>
  <c r="DE68" i="4"/>
  <c r="DF68" i="4"/>
  <c r="DG68" i="4"/>
  <c r="DH68" i="4"/>
  <c r="DI68" i="4"/>
  <c r="DJ68" i="4"/>
  <c r="DK68" i="4"/>
  <c r="BN69" i="4"/>
  <c r="BZ69" i="4" s="1"/>
  <c r="CL69" i="4" s="1"/>
  <c r="BO69" i="4"/>
  <c r="CA69" i="4" s="1"/>
  <c r="CM69" i="4" s="1"/>
  <c r="BP69" i="4"/>
  <c r="BQ69" i="4"/>
  <c r="CC69" i="4" s="1"/>
  <c r="CO69" i="4" s="1"/>
  <c r="BR69" i="4"/>
  <c r="CD69" i="4" s="1"/>
  <c r="CP69" i="4" s="1"/>
  <c r="BS69" i="4"/>
  <c r="CE69" i="4" s="1"/>
  <c r="CQ69" i="4" s="1"/>
  <c r="BT69" i="4"/>
  <c r="CF69" i="4" s="1"/>
  <c r="CR69" i="4" s="1"/>
  <c r="DT69" i="4" s="1"/>
  <c r="BU69" i="4"/>
  <c r="CG69" i="4" s="1"/>
  <c r="CS69" i="4" s="1"/>
  <c r="BV69" i="4"/>
  <c r="CH69" i="4" s="1"/>
  <c r="CT69" i="4" s="1"/>
  <c r="BW69" i="4"/>
  <c r="CI69" i="4" s="1"/>
  <c r="CU69" i="4" s="1"/>
  <c r="BX69" i="4"/>
  <c r="CJ69" i="4" s="1"/>
  <c r="CV69" i="4" s="1"/>
  <c r="BY69" i="4"/>
  <c r="CK69" i="4" s="1"/>
  <c r="CW69" i="4" s="1"/>
  <c r="CB69" i="4"/>
  <c r="CN69" i="4" s="1"/>
  <c r="CZ69" i="4"/>
  <c r="DA69" i="4"/>
  <c r="DB69" i="4"/>
  <c r="DC69" i="4"/>
  <c r="DD69" i="4"/>
  <c r="DE69" i="4"/>
  <c r="DF69" i="4"/>
  <c r="DG69" i="4"/>
  <c r="DH69" i="4"/>
  <c r="DI69" i="4"/>
  <c r="DJ69" i="4"/>
  <c r="DK69" i="4"/>
  <c r="BN70" i="4"/>
  <c r="BZ70" i="4" s="1"/>
  <c r="CL70" i="4" s="1"/>
  <c r="BO70" i="4"/>
  <c r="CA70" i="4" s="1"/>
  <c r="CM70" i="4" s="1"/>
  <c r="BP70" i="4"/>
  <c r="CB70" i="4" s="1"/>
  <c r="CN70" i="4" s="1"/>
  <c r="BQ70" i="4"/>
  <c r="CC70" i="4" s="1"/>
  <c r="CO70" i="4" s="1"/>
  <c r="BR70" i="4"/>
  <c r="CD70" i="4" s="1"/>
  <c r="CP70" i="4" s="1"/>
  <c r="BS70" i="4"/>
  <c r="CE70" i="4" s="1"/>
  <c r="CQ70" i="4" s="1"/>
  <c r="DS70" i="4" s="1"/>
  <c r="BT70" i="4"/>
  <c r="CF70" i="4" s="1"/>
  <c r="CR70" i="4" s="1"/>
  <c r="BU70" i="4"/>
  <c r="CG70" i="4" s="1"/>
  <c r="CS70" i="4" s="1"/>
  <c r="BV70" i="4"/>
  <c r="CH70" i="4" s="1"/>
  <c r="CT70" i="4" s="1"/>
  <c r="DV70" i="4" s="1"/>
  <c r="BW70" i="4"/>
  <c r="CI70" i="4" s="1"/>
  <c r="CU70" i="4" s="1"/>
  <c r="BX70" i="4"/>
  <c r="CJ70" i="4" s="1"/>
  <c r="CV70" i="4" s="1"/>
  <c r="BY70" i="4"/>
  <c r="CK70" i="4" s="1"/>
  <c r="CW70" i="4" s="1"/>
  <c r="CZ70" i="4"/>
  <c r="DA70" i="4"/>
  <c r="DB70" i="4"/>
  <c r="DC70" i="4"/>
  <c r="DD70" i="4"/>
  <c r="DE70" i="4"/>
  <c r="DF70" i="4"/>
  <c r="DG70" i="4"/>
  <c r="DH70" i="4"/>
  <c r="DI70" i="4"/>
  <c r="DJ70" i="4"/>
  <c r="DK70" i="4"/>
  <c r="BN71" i="4"/>
  <c r="BZ71" i="4" s="1"/>
  <c r="CL71" i="4" s="1"/>
  <c r="BO71" i="4"/>
  <c r="CA71" i="4" s="1"/>
  <c r="CM71" i="4" s="1"/>
  <c r="BP71" i="4"/>
  <c r="CB71" i="4" s="1"/>
  <c r="CN71" i="4" s="1"/>
  <c r="BQ71" i="4"/>
  <c r="CC71" i="4" s="1"/>
  <c r="CO71" i="4" s="1"/>
  <c r="BR71" i="4"/>
  <c r="CD71" i="4" s="1"/>
  <c r="CP71" i="4" s="1"/>
  <c r="BS71" i="4"/>
  <c r="BT71" i="4"/>
  <c r="CF71" i="4" s="1"/>
  <c r="CR71" i="4" s="1"/>
  <c r="DT71" i="4" s="1"/>
  <c r="BU71" i="4"/>
  <c r="CG71" i="4" s="1"/>
  <c r="CS71" i="4" s="1"/>
  <c r="BV71" i="4"/>
  <c r="CH71" i="4" s="1"/>
  <c r="CT71" i="4" s="1"/>
  <c r="BW71" i="4"/>
  <c r="CI71" i="4" s="1"/>
  <c r="CU71" i="4" s="1"/>
  <c r="BX71" i="4"/>
  <c r="CJ71" i="4" s="1"/>
  <c r="CV71" i="4" s="1"/>
  <c r="BY71" i="4"/>
  <c r="CK71" i="4" s="1"/>
  <c r="CW71" i="4" s="1"/>
  <c r="CE71" i="4"/>
  <c r="CQ71" i="4" s="1"/>
  <c r="CZ71" i="4"/>
  <c r="DA71" i="4"/>
  <c r="DB71" i="4"/>
  <c r="DC71" i="4"/>
  <c r="DD71" i="4"/>
  <c r="DE71" i="4"/>
  <c r="DF71" i="4"/>
  <c r="DG71" i="4"/>
  <c r="DH71" i="4"/>
  <c r="DI71" i="4"/>
  <c r="DJ71" i="4"/>
  <c r="DK71" i="4"/>
  <c r="BN72" i="4"/>
  <c r="BZ72" i="4" s="1"/>
  <c r="CL72" i="4" s="1"/>
  <c r="BO72" i="4"/>
  <c r="CA72" i="4" s="1"/>
  <c r="CM72" i="4" s="1"/>
  <c r="BP72" i="4"/>
  <c r="CB72" i="4" s="1"/>
  <c r="CN72" i="4" s="1"/>
  <c r="BQ72" i="4"/>
  <c r="CC72" i="4" s="1"/>
  <c r="CO72" i="4" s="1"/>
  <c r="BR72" i="4"/>
  <c r="BS72" i="4"/>
  <c r="CE72" i="4" s="1"/>
  <c r="CQ72" i="4" s="1"/>
  <c r="BT72" i="4"/>
  <c r="CF72" i="4" s="1"/>
  <c r="CR72" i="4" s="1"/>
  <c r="BU72" i="4"/>
  <c r="CG72" i="4" s="1"/>
  <c r="CS72" i="4" s="1"/>
  <c r="BV72" i="4"/>
  <c r="CH72" i="4" s="1"/>
  <c r="CT72" i="4" s="1"/>
  <c r="BW72" i="4"/>
  <c r="CI72" i="4" s="1"/>
  <c r="CU72" i="4" s="1"/>
  <c r="BX72" i="4"/>
  <c r="CJ72" i="4" s="1"/>
  <c r="CV72" i="4" s="1"/>
  <c r="BY72" i="4"/>
  <c r="CK72" i="4" s="1"/>
  <c r="CW72" i="4" s="1"/>
  <c r="CD72" i="4"/>
  <c r="CP72" i="4" s="1"/>
  <c r="DR72" i="4" s="1"/>
  <c r="CZ72" i="4"/>
  <c r="DA72" i="4"/>
  <c r="DB72" i="4"/>
  <c r="DC72" i="4"/>
  <c r="DD72" i="4"/>
  <c r="DE72" i="4"/>
  <c r="DF72" i="4"/>
  <c r="DT72" i="4" s="1"/>
  <c r="DG72" i="4"/>
  <c r="DH72" i="4"/>
  <c r="DI72" i="4"/>
  <c r="DJ72" i="4"/>
  <c r="DK72" i="4"/>
  <c r="BN73" i="4"/>
  <c r="BZ73" i="4" s="1"/>
  <c r="BO73" i="4"/>
  <c r="CA73" i="4" s="1"/>
  <c r="CM73" i="4" s="1"/>
  <c r="BP73" i="4"/>
  <c r="CB73" i="4" s="1"/>
  <c r="CN73" i="4" s="1"/>
  <c r="BQ73" i="4"/>
  <c r="CC73" i="4" s="1"/>
  <c r="CO73" i="4" s="1"/>
  <c r="BR73" i="4"/>
  <c r="BS73" i="4"/>
  <c r="CE73" i="4" s="1"/>
  <c r="CQ73" i="4" s="1"/>
  <c r="BT73" i="4"/>
  <c r="CF73" i="4" s="1"/>
  <c r="CR73" i="4" s="1"/>
  <c r="BU73" i="4"/>
  <c r="CG73" i="4" s="1"/>
  <c r="CS73" i="4" s="1"/>
  <c r="BV73" i="4"/>
  <c r="CH73" i="4" s="1"/>
  <c r="BW73" i="4"/>
  <c r="CI73" i="4" s="1"/>
  <c r="CU73" i="4" s="1"/>
  <c r="BX73" i="4"/>
  <c r="CJ73" i="4" s="1"/>
  <c r="CV73" i="4" s="1"/>
  <c r="BY73" i="4"/>
  <c r="CK73" i="4" s="1"/>
  <c r="CW73" i="4" s="1"/>
  <c r="CD73" i="4"/>
  <c r="CP73" i="4" s="1"/>
  <c r="CL73" i="4"/>
  <c r="CT73" i="4"/>
  <c r="CZ73" i="4"/>
  <c r="DA73" i="4"/>
  <c r="DB73" i="4"/>
  <c r="DC73" i="4"/>
  <c r="DD73" i="4"/>
  <c r="DE73" i="4"/>
  <c r="DF73" i="4"/>
  <c r="DG73" i="4"/>
  <c r="DH73" i="4"/>
  <c r="DI73" i="4"/>
  <c r="DJ73" i="4"/>
  <c r="DK73" i="4"/>
  <c r="BN74" i="4"/>
  <c r="BZ74" i="4" s="1"/>
  <c r="CL74" i="4" s="1"/>
  <c r="BO74" i="4"/>
  <c r="CA74" i="4" s="1"/>
  <c r="CM74" i="4" s="1"/>
  <c r="BP74" i="4"/>
  <c r="CB74" i="4" s="1"/>
  <c r="CN74" i="4" s="1"/>
  <c r="BQ74" i="4"/>
  <c r="CC74" i="4" s="1"/>
  <c r="CO74" i="4" s="1"/>
  <c r="BR74" i="4"/>
  <c r="BS74" i="4"/>
  <c r="CE74" i="4" s="1"/>
  <c r="CQ74" i="4" s="1"/>
  <c r="BT74" i="4"/>
  <c r="CF74" i="4" s="1"/>
  <c r="CR74" i="4" s="1"/>
  <c r="BU74" i="4"/>
  <c r="CG74" i="4" s="1"/>
  <c r="CS74" i="4" s="1"/>
  <c r="BV74" i="4"/>
  <c r="CH74" i="4" s="1"/>
  <c r="CT74" i="4" s="1"/>
  <c r="BW74" i="4"/>
  <c r="CI74" i="4" s="1"/>
  <c r="CU74" i="4" s="1"/>
  <c r="DW74" i="4" s="1"/>
  <c r="BX74" i="4"/>
  <c r="CJ74" i="4" s="1"/>
  <c r="CV74" i="4" s="1"/>
  <c r="BY74" i="4"/>
  <c r="CK74" i="4" s="1"/>
  <c r="CW74" i="4" s="1"/>
  <c r="CD74" i="4"/>
  <c r="CP74" i="4" s="1"/>
  <c r="CZ74" i="4"/>
  <c r="DA74" i="4"/>
  <c r="DB74" i="4"/>
  <c r="DC74" i="4"/>
  <c r="DD74" i="4"/>
  <c r="DE74" i="4"/>
  <c r="DF74" i="4"/>
  <c r="DG74" i="4"/>
  <c r="DH74" i="4"/>
  <c r="DI74" i="4"/>
  <c r="DJ74" i="4"/>
  <c r="DK74" i="4"/>
  <c r="BN75" i="4"/>
  <c r="BZ75" i="4" s="1"/>
  <c r="CL75" i="4" s="1"/>
  <c r="BO75" i="4"/>
  <c r="CA75" i="4" s="1"/>
  <c r="CM75" i="4" s="1"/>
  <c r="BP75" i="4"/>
  <c r="BQ75" i="4"/>
  <c r="CC75" i="4" s="1"/>
  <c r="CO75" i="4" s="1"/>
  <c r="BR75" i="4"/>
  <c r="CD75" i="4" s="1"/>
  <c r="CP75" i="4" s="1"/>
  <c r="BS75" i="4"/>
  <c r="CE75" i="4" s="1"/>
  <c r="CQ75" i="4" s="1"/>
  <c r="BT75" i="4"/>
  <c r="CF75" i="4" s="1"/>
  <c r="CR75" i="4" s="1"/>
  <c r="BU75" i="4"/>
  <c r="CG75" i="4" s="1"/>
  <c r="CS75" i="4" s="1"/>
  <c r="BV75" i="4"/>
  <c r="CH75" i="4" s="1"/>
  <c r="CT75" i="4" s="1"/>
  <c r="BW75" i="4"/>
  <c r="CI75" i="4" s="1"/>
  <c r="CU75" i="4" s="1"/>
  <c r="BX75" i="4"/>
  <c r="BY75" i="4"/>
  <c r="CK75" i="4" s="1"/>
  <c r="CW75" i="4" s="1"/>
  <c r="CB75" i="4"/>
  <c r="CJ75" i="4"/>
  <c r="CV75" i="4" s="1"/>
  <c r="CN75" i="4"/>
  <c r="CZ75" i="4"/>
  <c r="DA75" i="4"/>
  <c r="DB75" i="4"/>
  <c r="DC75" i="4"/>
  <c r="DD75" i="4"/>
  <c r="DE75" i="4"/>
  <c r="DF75" i="4"/>
  <c r="DG75" i="4"/>
  <c r="DH75" i="4"/>
  <c r="DI75" i="4"/>
  <c r="DJ75" i="4"/>
  <c r="DK75" i="4"/>
  <c r="BN76" i="4"/>
  <c r="BZ76" i="4" s="1"/>
  <c r="CL76" i="4" s="1"/>
  <c r="BO76" i="4"/>
  <c r="CA76" i="4" s="1"/>
  <c r="CM76" i="4" s="1"/>
  <c r="BP76" i="4"/>
  <c r="CB76" i="4" s="1"/>
  <c r="CN76" i="4" s="1"/>
  <c r="BQ76" i="4"/>
  <c r="CC76" i="4" s="1"/>
  <c r="CO76" i="4" s="1"/>
  <c r="BR76" i="4"/>
  <c r="BS76" i="4"/>
  <c r="CE76" i="4" s="1"/>
  <c r="CQ76" i="4" s="1"/>
  <c r="BT76" i="4"/>
  <c r="CF76" i="4" s="1"/>
  <c r="CR76" i="4" s="1"/>
  <c r="BU76" i="4"/>
  <c r="CG76" i="4" s="1"/>
  <c r="CS76" i="4" s="1"/>
  <c r="BV76" i="4"/>
  <c r="CH76" i="4" s="1"/>
  <c r="CT76" i="4" s="1"/>
  <c r="BW76" i="4"/>
  <c r="CI76" i="4" s="1"/>
  <c r="CU76" i="4" s="1"/>
  <c r="BX76" i="4"/>
  <c r="CJ76" i="4" s="1"/>
  <c r="CV76" i="4" s="1"/>
  <c r="BY76" i="4"/>
  <c r="CK76" i="4" s="1"/>
  <c r="CW76" i="4" s="1"/>
  <c r="CD76" i="4"/>
  <c r="CP76" i="4" s="1"/>
  <c r="CZ76" i="4"/>
  <c r="DA76" i="4"/>
  <c r="DB76" i="4"/>
  <c r="DC76" i="4"/>
  <c r="DD76" i="4"/>
  <c r="DE76" i="4"/>
  <c r="DF76" i="4"/>
  <c r="DT76" i="4" s="1"/>
  <c r="DG76" i="4"/>
  <c r="DH76" i="4"/>
  <c r="DI76" i="4"/>
  <c r="DJ76" i="4"/>
  <c r="DK76" i="4"/>
  <c r="BN77" i="4"/>
  <c r="BZ77" i="4" s="1"/>
  <c r="BO77" i="4"/>
  <c r="CA77" i="4" s="1"/>
  <c r="CM77" i="4" s="1"/>
  <c r="DO77" i="4" s="1"/>
  <c r="BP77" i="4"/>
  <c r="CB77" i="4" s="1"/>
  <c r="CN77" i="4" s="1"/>
  <c r="BQ77" i="4"/>
  <c r="CC77" i="4" s="1"/>
  <c r="CO77" i="4" s="1"/>
  <c r="DQ77" i="4" s="1"/>
  <c r="BR77" i="4"/>
  <c r="CD77" i="4" s="1"/>
  <c r="CP77" i="4" s="1"/>
  <c r="BS77" i="4"/>
  <c r="CE77" i="4" s="1"/>
  <c r="CQ77" i="4" s="1"/>
  <c r="BT77" i="4"/>
  <c r="CF77" i="4" s="1"/>
  <c r="CR77" i="4" s="1"/>
  <c r="BU77" i="4"/>
  <c r="CG77" i="4" s="1"/>
  <c r="CS77" i="4" s="1"/>
  <c r="BV77" i="4"/>
  <c r="CH77" i="4" s="1"/>
  <c r="CT77" i="4" s="1"/>
  <c r="BW77" i="4"/>
  <c r="CI77" i="4" s="1"/>
  <c r="CU77" i="4" s="1"/>
  <c r="BX77" i="4"/>
  <c r="BY77" i="4"/>
  <c r="CK77" i="4" s="1"/>
  <c r="CW77" i="4" s="1"/>
  <c r="CJ77" i="4"/>
  <c r="CV77" i="4" s="1"/>
  <c r="DX77" i="4" s="1"/>
  <c r="CL77" i="4"/>
  <c r="DN77" i="4" s="1"/>
  <c r="CZ77" i="4"/>
  <c r="DA77" i="4"/>
  <c r="DB77" i="4"/>
  <c r="DC77" i="4"/>
  <c r="DD77" i="4"/>
  <c r="DE77" i="4"/>
  <c r="DF77" i="4"/>
  <c r="DG77" i="4"/>
  <c r="DH77" i="4"/>
  <c r="DI77" i="4"/>
  <c r="DJ77" i="4"/>
  <c r="DK77" i="4"/>
  <c r="BN78" i="4"/>
  <c r="BZ78" i="4" s="1"/>
  <c r="CL78" i="4" s="1"/>
  <c r="DN78" i="4" s="1"/>
  <c r="BO78" i="4"/>
  <c r="CA78" i="4" s="1"/>
  <c r="CM78" i="4" s="1"/>
  <c r="DO78" i="4" s="1"/>
  <c r="BP78" i="4"/>
  <c r="CB78" i="4" s="1"/>
  <c r="CN78" i="4" s="1"/>
  <c r="BQ78" i="4"/>
  <c r="CC78" i="4" s="1"/>
  <c r="CO78" i="4" s="1"/>
  <c r="BR78" i="4"/>
  <c r="CD78" i="4" s="1"/>
  <c r="CP78" i="4" s="1"/>
  <c r="BS78" i="4"/>
  <c r="CE78" i="4" s="1"/>
  <c r="CQ78" i="4" s="1"/>
  <c r="BT78" i="4"/>
  <c r="CF78" i="4" s="1"/>
  <c r="BU78" i="4"/>
  <c r="CG78" i="4" s="1"/>
  <c r="CS78" i="4" s="1"/>
  <c r="BV78" i="4"/>
  <c r="CH78" i="4" s="1"/>
  <c r="CT78" i="4" s="1"/>
  <c r="DV78" i="4" s="1"/>
  <c r="BW78" i="4"/>
  <c r="CI78" i="4" s="1"/>
  <c r="CU78" i="4" s="1"/>
  <c r="DW78" i="4" s="1"/>
  <c r="BX78" i="4"/>
  <c r="CJ78" i="4" s="1"/>
  <c r="CV78" i="4" s="1"/>
  <c r="BY78" i="4"/>
  <c r="CK78" i="4" s="1"/>
  <c r="CW78" i="4" s="1"/>
  <c r="CR78" i="4"/>
  <c r="CZ78" i="4"/>
  <c r="DA78" i="4"/>
  <c r="DB78" i="4"/>
  <c r="DC78" i="4"/>
  <c r="DD78" i="4"/>
  <c r="DE78" i="4"/>
  <c r="DF78" i="4"/>
  <c r="DG78" i="4"/>
  <c r="DH78" i="4"/>
  <c r="DI78" i="4"/>
  <c r="DJ78" i="4"/>
  <c r="DK78" i="4"/>
  <c r="BN79" i="4"/>
  <c r="BZ79" i="4" s="1"/>
  <c r="CL79" i="4" s="1"/>
  <c r="BO79" i="4"/>
  <c r="CA79" i="4" s="1"/>
  <c r="CM79" i="4" s="1"/>
  <c r="BP79" i="4"/>
  <c r="BQ79" i="4"/>
  <c r="CC79" i="4" s="1"/>
  <c r="CO79" i="4" s="1"/>
  <c r="BR79" i="4"/>
  <c r="BS79" i="4"/>
  <c r="CE79" i="4" s="1"/>
  <c r="CQ79" i="4" s="1"/>
  <c r="BT79" i="4"/>
  <c r="CF79" i="4" s="1"/>
  <c r="CR79" i="4" s="1"/>
  <c r="BU79" i="4"/>
  <c r="CG79" i="4" s="1"/>
  <c r="CS79" i="4" s="1"/>
  <c r="BV79" i="4"/>
  <c r="CH79" i="4" s="1"/>
  <c r="CT79" i="4" s="1"/>
  <c r="BW79" i="4"/>
  <c r="CI79" i="4" s="1"/>
  <c r="CU79" i="4" s="1"/>
  <c r="BX79" i="4"/>
  <c r="BY79" i="4"/>
  <c r="CK79" i="4" s="1"/>
  <c r="CW79" i="4" s="1"/>
  <c r="CB79" i="4"/>
  <c r="CN79" i="4" s="1"/>
  <c r="CD79" i="4"/>
  <c r="CP79" i="4" s="1"/>
  <c r="DR79" i="4" s="1"/>
  <c r="CJ79" i="4"/>
  <c r="CV79" i="4" s="1"/>
  <c r="DX79" i="4" s="1"/>
  <c r="CZ79" i="4"/>
  <c r="DN79" i="4" s="1"/>
  <c r="DA79" i="4"/>
  <c r="DB79" i="4"/>
  <c r="DC79" i="4"/>
  <c r="DD79" i="4"/>
  <c r="DE79" i="4"/>
  <c r="DF79" i="4"/>
  <c r="DG79" i="4"/>
  <c r="DH79" i="4"/>
  <c r="DI79" i="4"/>
  <c r="DJ79" i="4"/>
  <c r="DK79" i="4"/>
  <c r="DY79" i="4" s="1"/>
  <c r="BN80" i="4"/>
  <c r="BO80" i="4"/>
  <c r="CA80" i="4" s="1"/>
  <c r="CM80" i="4" s="1"/>
  <c r="BP80" i="4"/>
  <c r="CB80" i="4" s="1"/>
  <c r="CN80" i="4" s="1"/>
  <c r="BQ80" i="4"/>
  <c r="BR80" i="4"/>
  <c r="CD80" i="4" s="1"/>
  <c r="CP80" i="4" s="1"/>
  <c r="BS80" i="4"/>
  <c r="CE80" i="4" s="1"/>
  <c r="CQ80" i="4" s="1"/>
  <c r="BT80" i="4"/>
  <c r="BU80" i="4"/>
  <c r="CG80" i="4" s="1"/>
  <c r="BV80" i="4"/>
  <c r="CH80" i="4" s="1"/>
  <c r="CT80" i="4" s="1"/>
  <c r="BW80" i="4"/>
  <c r="BX80" i="4"/>
  <c r="CJ80" i="4" s="1"/>
  <c r="CV80" i="4" s="1"/>
  <c r="BY80" i="4"/>
  <c r="BZ80" i="4"/>
  <c r="CL80" i="4" s="1"/>
  <c r="CC80" i="4"/>
  <c r="CO80" i="4" s="1"/>
  <c r="CF80" i="4"/>
  <c r="CI80" i="4"/>
  <c r="CU80" i="4" s="1"/>
  <c r="CK80" i="4"/>
  <c r="CW80" i="4" s="1"/>
  <c r="CR80" i="4"/>
  <c r="CS80" i="4"/>
  <c r="CZ80" i="4"/>
  <c r="DA80" i="4"/>
  <c r="DB80" i="4"/>
  <c r="DC80" i="4"/>
  <c r="DD80" i="4"/>
  <c r="DE80" i="4"/>
  <c r="DF80" i="4"/>
  <c r="DG80" i="4"/>
  <c r="DH80" i="4"/>
  <c r="DI80" i="4"/>
  <c r="DJ80" i="4"/>
  <c r="DK80" i="4"/>
  <c r="BN81" i="4"/>
  <c r="BZ81" i="4" s="1"/>
  <c r="CL81" i="4" s="1"/>
  <c r="BO81" i="4"/>
  <c r="CA81" i="4" s="1"/>
  <c r="CM81" i="4" s="1"/>
  <c r="DO81" i="4" s="1"/>
  <c r="BP81" i="4"/>
  <c r="CB81" i="4" s="1"/>
  <c r="CN81" i="4" s="1"/>
  <c r="DP81" i="4" s="1"/>
  <c r="BQ81" i="4"/>
  <c r="BR81" i="4"/>
  <c r="CD81" i="4" s="1"/>
  <c r="CP81" i="4" s="1"/>
  <c r="BS81" i="4"/>
  <c r="CE81" i="4" s="1"/>
  <c r="BT81" i="4"/>
  <c r="CF81" i="4" s="1"/>
  <c r="CR81" i="4" s="1"/>
  <c r="DT81" i="4" s="1"/>
  <c r="BU81" i="4"/>
  <c r="BV81" i="4"/>
  <c r="CH81" i="4" s="1"/>
  <c r="CT81" i="4" s="1"/>
  <c r="BW81" i="4"/>
  <c r="CI81" i="4" s="1"/>
  <c r="CU81" i="4" s="1"/>
  <c r="BX81" i="4"/>
  <c r="CJ81" i="4" s="1"/>
  <c r="CV81" i="4" s="1"/>
  <c r="DX81" i="4" s="1"/>
  <c r="BY81" i="4"/>
  <c r="CC81" i="4"/>
  <c r="CO81" i="4" s="1"/>
  <c r="DQ81" i="4" s="1"/>
  <c r="CG81" i="4"/>
  <c r="CS81" i="4" s="1"/>
  <c r="DU81" i="4" s="1"/>
  <c r="CK81" i="4"/>
  <c r="CW81" i="4" s="1"/>
  <c r="DY81" i="4" s="1"/>
  <c r="CQ81" i="4"/>
  <c r="CZ81" i="4"/>
  <c r="DA81" i="4"/>
  <c r="DB81" i="4"/>
  <c r="DC81" i="4"/>
  <c r="DD81" i="4"/>
  <c r="DE81" i="4"/>
  <c r="DF81" i="4"/>
  <c r="DG81" i="4"/>
  <c r="DH81" i="4"/>
  <c r="DI81" i="4"/>
  <c r="DJ81" i="4"/>
  <c r="DK81" i="4"/>
  <c r="BN82" i="4"/>
  <c r="BZ82" i="4" s="1"/>
  <c r="CL82" i="4" s="1"/>
  <c r="BO82" i="4"/>
  <c r="CA82" i="4" s="1"/>
  <c r="CM82" i="4" s="1"/>
  <c r="BP82" i="4"/>
  <c r="CB82" i="4" s="1"/>
  <c r="CN82" i="4" s="1"/>
  <c r="BQ82" i="4"/>
  <c r="CC82" i="4" s="1"/>
  <c r="CO82" i="4" s="1"/>
  <c r="BR82" i="4"/>
  <c r="BS82" i="4"/>
  <c r="CE82" i="4" s="1"/>
  <c r="BT82" i="4"/>
  <c r="BU82" i="4"/>
  <c r="CG82" i="4" s="1"/>
  <c r="CS82" i="4" s="1"/>
  <c r="DU82" i="4" s="1"/>
  <c r="BV82" i="4"/>
  <c r="BW82" i="4"/>
  <c r="CI82" i="4" s="1"/>
  <c r="CU82" i="4" s="1"/>
  <c r="BX82" i="4"/>
  <c r="CJ82" i="4" s="1"/>
  <c r="BY82" i="4"/>
  <c r="CK82" i="4" s="1"/>
  <c r="CW82" i="4" s="1"/>
  <c r="CD82" i="4"/>
  <c r="CP82" i="4" s="1"/>
  <c r="CF82" i="4"/>
  <c r="CR82" i="4" s="1"/>
  <c r="CH82" i="4"/>
  <c r="CT82" i="4" s="1"/>
  <c r="CQ82" i="4"/>
  <c r="DS82" i="4" s="1"/>
  <c r="CV82" i="4"/>
  <c r="CZ82" i="4"/>
  <c r="DN82" i="4" s="1"/>
  <c r="DA82" i="4"/>
  <c r="DB82" i="4"/>
  <c r="DP82" i="4" s="1"/>
  <c r="DC82" i="4"/>
  <c r="DD82" i="4"/>
  <c r="DE82" i="4"/>
  <c r="DF82" i="4"/>
  <c r="DT82" i="4" s="1"/>
  <c r="DG82" i="4"/>
  <c r="DH82" i="4"/>
  <c r="DI82" i="4"/>
  <c r="DJ82" i="4"/>
  <c r="DK82" i="4"/>
  <c r="BN83" i="4"/>
  <c r="BZ83" i="4" s="1"/>
  <c r="CL83" i="4" s="1"/>
  <c r="BO83" i="4"/>
  <c r="CA83" i="4" s="1"/>
  <c r="CM83" i="4" s="1"/>
  <c r="BP83" i="4"/>
  <c r="CB83" i="4" s="1"/>
  <c r="CN83" i="4" s="1"/>
  <c r="DP83" i="4" s="1"/>
  <c r="BQ83" i="4"/>
  <c r="CC83" i="4" s="1"/>
  <c r="CO83" i="4" s="1"/>
  <c r="BR83" i="4"/>
  <c r="CD83" i="4" s="1"/>
  <c r="BS83" i="4"/>
  <c r="CE83" i="4" s="1"/>
  <c r="CQ83" i="4" s="1"/>
  <c r="DS83" i="4" s="1"/>
  <c r="BT83" i="4"/>
  <c r="BU83" i="4"/>
  <c r="CG83" i="4" s="1"/>
  <c r="BV83" i="4"/>
  <c r="CH83" i="4" s="1"/>
  <c r="CT83" i="4" s="1"/>
  <c r="BW83" i="4"/>
  <c r="CI83" i="4" s="1"/>
  <c r="CU83" i="4" s="1"/>
  <c r="BX83" i="4"/>
  <c r="CJ83" i="4" s="1"/>
  <c r="CV83" i="4" s="1"/>
  <c r="BY83" i="4"/>
  <c r="CF83" i="4"/>
  <c r="CR83" i="4" s="1"/>
  <c r="CK83" i="4"/>
  <c r="CW83" i="4" s="1"/>
  <c r="CP83" i="4"/>
  <c r="CS83" i="4"/>
  <c r="DU83" i="4" s="1"/>
  <c r="CZ83" i="4"/>
  <c r="DA83" i="4"/>
  <c r="DB83" i="4"/>
  <c r="DC83" i="4"/>
  <c r="DD83" i="4"/>
  <c r="DE83" i="4"/>
  <c r="DF83" i="4"/>
  <c r="DT83" i="4" s="1"/>
  <c r="DG83" i="4"/>
  <c r="DH83" i="4"/>
  <c r="DI83" i="4"/>
  <c r="DJ83" i="4"/>
  <c r="DK83" i="4"/>
  <c r="BN84" i="4"/>
  <c r="BO84" i="4"/>
  <c r="CA84" i="4" s="1"/>
  <c r="CM84" i="4" s="1"/>
  <c r="DO84" i="4" s="1"/>
  <c r="BP84" i="4"/>
  <c r="CB84" i="4" s="1"/>
  <c r="BQ84" i="4"/>
  <c r="CC84" i="4" s="1"/>
  <c r="CO84" i="4" s="1"/>
  <c r="BR84" i="4"/>
  <c r="CD84" i="4" s="1"/>
  <c r="CP84" i="4" s="1"/>
  <c r="BS84" i="4"/>
  <c r="CE84" i="4" s="1"/>
  <c r="CQ84" i="4" s="1"/>
  <c r="BT84" i="4"/>
  <c r="BU84" i="4"/>
  <c r="CG84" i="4" s="1"/>
  <c r="CS84" i="4" s="1"/>
  <c r="BV84" i="4"/>
  <c r="CH84" i="4" s="1"/>
  <c r="BW84" i="4"/>
  <c r="CI84" i="4" s="1"/>
  <c r="CU84" i="4" s="1"/>
  <c r="DW84" i="4" s="1"/>
  <c r="BX84" i="4"/>
  <c r="BY84" i="4"/>
  <c r="BZ84" i="4"/>
  <c r="CL84" i="4" s="1"/>
  <c r="CF84" i="4"/>
  <c r="CJ84" i="4"/>
  <c r="CV84" i="4" s="1"/>
  <c r="CK84" i="4"/>
  <c r="CW84" i="4" s="1"/>
  <c r="CN84" i="4"/>
  <c r="CR84" i="4"/>
  <c r="CT84" i="4"/>
  <c r="CZ84" i="4"/>
  <c r="DA84" i="4"/>
  <c r="DB84" i="4"/>
  <c r="DC84" i="4"/>
  <c r="DD84" i="4"/>
  <c r="DE84" i="4"/>
  <c r="DF84" i="4"/>
  <c r="DG84" i="4"/>
  <c r="DH84" i="4"/>
  <c r="DI84" i="4"/>
  <c r="DJ84" i="4"/>
  <c r="DX84" i="4" s="1"/>
  <c r="DK84" i="4"/>
  <c r="DY84" i="4"/>
  <c r="BN85" i="4"/>
  <c r="BZ85" i="4" s="1"/>
  <c r="CL85" i="4" s="1"/>
  <c r="DN85" i="4" s="1"/>
  <c r="BO85" i="4"/>
  <c r="CA85" i="4" s="1"/>
  <c r="CM85" i="4" s="1"/>
  <c r="BP85" i="4"/>
  <c r="CB85" i="4" s="1"/>
  <c r="BQ85" i="4"/>
  <c r="CC85" i="4" s="1"/>
  <c r="CO85" i="4" s="1"/>
  <c r="BR85" i="4"/>
  <c r="BS85" i="4"/>
  <c r="CE85" i="4" s="1"/>
  <c r="BT85" i="4"/>
  <c r="BU85" i="4"/>
  <c r="CG85" i="4" s="1"/>
  <c r="CS85" i="4" s="1"/>
  <c r="DU85" i="4" s="1"/>
  <c r="BV85" i="4"/>
  <c r="CH85" i="4" s="1"/>
  <c r="CT85" i="4" s="1"/>
  <c r="DV85" i="4" s="1"/>
  <c r="BW85" i="4"/>
  <c r="BX85" i="4"/>
  <c r="CJ85" i="4" s="1"/>
  <c r="BY85" i="4"/>
  <c r="CK85" i="4" s="1"/>
  <c r="CW85" i="4" s="1"/>
  <c r="CD85" i="4"/>
  <c r="CP85" i="4" s="1"/>
  <c r="CF85" i="4"/>
  <c r="CR85" i="4" s="1"/>
  <c r="CI85" i="4"/>
  <c r="CU85" i="4" s="1"/>
  <c r="CN85" i="4"/>
  <c r="CQ85" i="4"/>
  <c r="CV85" i="4"/>
  <c r="CZ85" i="4"/>
  <c r="DA85" i="4"/>
  <c r="DB85" i="4"/>
  <c r="DC85" i="4"/>
  <c r="DD85" i="4"/>
  <c r="DE85" i="4"/>
  <c r="DF85" i="4"/>
  <c r="DG85" i="4"/>
  <c r="DH85" i="4"/>
  <c r="DI85" i="4"/>
  <c r="DJ85" i="4"/>
  <c r="DX85" i="4" s="1"/>
  <c r="DK85" i="4"/>
  <c r="DY85" i="4"/>
  <c r="BN86" i="4"/>
  <c r="BZ86" i="4" s="1"/>
  <c r="BO86" i="4"/>
  <c r="CA86" i="4" s="1"/>
  <c r="CM86" i="4" s="1"/>
  <c r="BP86" i="4"/>
  <c r="CB86" i="4" s="1"/>
  <c r="CN86" i="4" s="1"/>
  <c r="BQ86" i="4"/>
  <c r="CC86" i="4" s="1"/>
  <c r="CO86" i="4" s="1"/>
  <c r="BR86" i="4"/>
  <c r="BS86" i="4"/>
  <c r="CE86" i="4" s="1"/>
  <c r="CQ86" i="4" s="1"/>
  <c r="BT86" i="4"/>
  <c r="CF86" i="4" s="1"/>
  <c r="CR86" i="4" s="1"/>
  <c r="BU86" i="4"/>
  <c r="CG86" i="4" s="1"/>
  <c r="CS86" i="4" s="1"/>
  <c r="BV86" i="4"/>
  <c r="BW86" i="4"/>
  <c r="CI86" i="4" s="1"/>
  <c r="CU86" i="4" s="1"/>
  <c r="DW86" i="4" s="1"/>
  <c r="BX86" i="4"/>
  <c r="CJ86" i="4" s="1"/>
  <c r="BY86" i="4"/>
  <c r="CK86" i="4" s="1"/>
  <c r="CW86" i="4" s="1"/>
  <c r="CD86" i="4"/>
  <c r="CH86" i="4"/>
  <c r="CL86" i="4"/>
  <c r="CP86" i="4"/>
  <c r="DR86" i="4" s="1"/>
  <c r="CT86" i="4"/>
  <c r="CV86" i="4"/>
  <c r="DX86" i="4" s="1"/>
  <c r="CZ86" i="4"/>
  <c r="DA86" i="4"/>
  <c r="DB86" i="4"/>
  <c r="DC86" i="4"/>
  <c r="DD86" i="4"/>
  <c r="DE86" i="4"/>
  <c r="DS86" i="4" s="1"/>
  <c r="DF86" i="4"/>
  <c r="DG86" i="4"/>
  <c r="DU86" i="4" s="1"/>
  <c r="DH86" i="4"/>
  <c r="DI86" i="4"/>
  <c r="DJ86" i="4"/>
  <c r="DK86" i="4"/>
  <c r="BN87" i="4"/>
  <c r="BZ87" i="4" s="1"/>
  <c r="CL87" i="4" s="1"/>
  <c r="BO87" i="4"/>
  <c r="CA87" i="4" s="1"/>
  <c r="BP87" i="4"/>
  <c r="CB87" i="4" s="1"/>
  <c r="CN87" i="4" s="1"/>
  <c r="BQ87" i="4"/>
  <c r="CC87" i="4" s="1"/>
  <c r="CO87" i="4" s="1"/>
  <c r="BR87" i="4"/>
  <c r="BS87" i="4"/>
  <c r="BT87" i="4"/>
  <c r="CF87" i="4" s="1"/>
  <c r="CR87" i="4" s="1"/>
  <c r="BU87" i="4"/>
  <c r="CG87" i="4" s="1"/>
  <c r="CS87" i="4" s="1"/>
  <c r="BV87" i="4"/>
  <c r="BW87" i="4"/>
  <c r="CI87" i="4" s="1"/>
  <c r="CU87" i="4" s="1"/>
  <c r="BX87" i="4"/>
  <c r="CJ87" i="4" s="1"/>
  <c r="CV87" i="4" s="1"/>
  <c r="BY87" i="4"/>
  <c r="CK87" i="4" s="1"/>
  <c r="CD87" i="4"/>
  <c r="CP87" i="4" s="1"/>
  <c r="CE87" i="4"/>
  <c r="CQ87" i="4" s="1"/>
  <c r="CH87" i="4"/>
  <c r="CT87" i="4" s="1"/>
  <c r="DV87" i="4" s="1"/>
  <c r="CM87" i="4"/>
  <c r="CW87" i="4"/>
  <c r="CZ87" i="4"/>
  <c r="DA87" i="4"/>
  <c r="DB87" i="4"/>
  <c r="DP87" i="4" s="1"/>
  <c r="DC87" i="4"/>
  <c r="DQ87" i="4" s="1"/>
  <c r="DD87" i="4"/>
  <c r="DE87" i="4"/>
  <c r="DF87" i="4"/>
  <c r="DG87" i="4"/>
  <c r="DH87" i="4"/>
  <c r="DI87" i="4"/>
  <c r="DJ87" i="4"/>
  <c r="DK87" i="4"/>
  <c r="DY87" i="4" s="1"/>
  <c r="BN88" i="4"/>
  <c r="BO88" i="4"/>
  <c r="BP88" i="4"/>
  <c r="CB88" i="4" s="1"/>
  <c r="CN88" i="4" s="1"/>
  <c r="BQ88" i="4"/>
  <c r="CC88" i="4" s="1"/>
  <c r="CO88" i="4" s="1"/>
  <c r="BR88" i="4"/>
  <c r="CD88" i="4" s="1"/>
  <c r="CP88" i="4" s="1"/>
  <c r="DR88" i="4" s="1"/>
  <c r="BS88" i="4"/>
  <c r="CE88" i="4" s="1"/>
  <c r="CQ88" i="4" s="1"/>
  <c r="BT88" i="4"/>
  <c r="CF88" i="4" s="1"/>
  <c r="CR88" i="4" s="1"/>
  <c r="BU88" i="4"/>
  <c r="CG88" i="4" s="1"/>
  <c r="BV88" i="4"/>
  <c r="CH88" i="4" s="1"/>
  <c r="CT88" i="4" s="1"/>
  <c r="DV88" i="4" s="1"/>
  <c r="BW88" i="4"/>
  <c r="BX88" i="4"/>
  <c r="CJ88" i="4" s="1"/>
  <c r="CV88" i="4" s="1"/>
  <c r="BY88" i="4"/>
  <c r="CK88" i="4" s="1"/>
  <c r="CW88" i="4" s="1"/>
  <c r="BZ88" i="4"/>
  <c r="CA88" i="4"/>
  <c r="CM88" i="4" s="1"/>
  <c r="DO88" i="4" s="1"/>
  <c r="CI88" i="4"/>
  <c r="CU88" i="4" s="1"/>
  <c r="CL88" i="4"/>
  <c r="CS88" i="4"/>
  <c r="CZ88" i="4"/>
  <c r="DA88" i="4"/>
  <c r="DB88" i="4"/>
  <c r="DC88" i="4"/>
  <c r="DD88" i="4"/>
  <c r="DE88" i="4"/>
  <c r="DF88" i="4"/>
  <c r="DG88" i="4"/>
  <c r="DH88" i="4"/>
  <c r="DI88" i="4"/>
  <c r="DJ88" i="4"/>
  <c r="DK88" i="4"/>
  <c r="DT88" i="4"/>
  <c r="BN89" i="4"/>
  <c r="BZ89" i="4" s="1"/>
  <c r="CL89" i="4" s="1"/>
  <c r="BO89" i="4"/>
  <c r="BP89" i="4"/>
  <c r="BQ89" i="4"/>
  <c r="BR89" i="4"/>
  <c r="BS89" i="4"/>
  <c r="CE89" i="4" s="1"/>
  <c r="CQ89" i="4" s="1"/>
  <c r="BT89" i="4"/>
  <c r="CF89" i="4" s="1"/>
  <c r="CR89" i="4" s="1"/>
  <c r="BU89" i="4"/>
  <c r="CG89" i="4" s="1"/>
  <c r="CS89" i="4" s="1"/>
  <c r="DU89" i="4" s="1"/>
  <c r="BV89" i="4"/>
  <c r="CH89" i="4" s="1"/>
  <c r="CT89" i="4" s="1"/>
  <c r="BW89" i="4"/>
  <c r="BX89" i="4"/>
  <c r="CJ89" i="4" s="1"/>
  <c r="CV89" i="4" s="1"/>
  <c r="BY89" i="4"/>
  <c r="CK89" i="4" s="1"/>
  <c r="CW89" i="4" s="1"/>
  <c r="CA89" i="4"/>
  <c r="CM89" i="4" s="1"/>
  <c r="CB89" i="4"/>
  <c r="CN89" i="4" s="1"/>
  <c r="CC89" i="4"/>
  <c r="CO89" i="4" s="1"/>
  <c r="CD89" i="4"/>
  <c r="CP89" i="4" s="1"/>
  <c r="CI89" i="4"/>
  <c r="CU89" i="4"/>
  <c r="CZ89" i="4"/>
  <c r="DA89" i="4"/>
  <c r="DB89" i="4"/>
  <c r="DC89" i="4"/>
  <c r="DQ89" i="4" s="1"/>
  <c r="DD89" i="4"/>
  <c r="DE89" i="4"/>
  <c r="DF89" i="4"/>
  <c r="DT89" i="4" s="1"/>
  <c r="DG89" i="4"/>
  <c r="DH89" i="4"/>
  <c r="DI89" i="4"/>
  <c r="DJ89" i="4"/>
  <c r="DK89" i="4"/>
  <c r="BN90" i="4"/>
  <c r="BO90" i="4"/>
  <c r="CA90" i="4" s="1"/>
  <c r="CM90" i="4" s="1"/>
  <c r="BP90" i="4"/>
  <c r="CB90" i="4" s="1"/>
  <c r="CN90" i="4" s="1"/>
  <c r="BQ90" i="4"/>
  <c r="CC90" i="4" s="1"/>
  <c r="CO90" i="4" s="1"/>
  <c r="BR90" i="4"/>
  <c r="CD90" i="4" s="1"/>
  <c r="CP90" i="4" s="1"/>
  <c r="DR90" i="4" s="1"/>
  <c r="BS90" i="4"/>
  <c r="BT90" i="4"/>
  <c r="CF90" i="4" s="1"/>
  <c r="CR90" i="4" s="1"/>
  <c r="BU90" i="4"/>
  <c r="CG90" i="4" s="1"/>
  <c r="CS90" i="4" s="1"/>
  <c r="BV90" i="4"/>
  <c r="CH90" i="4" s="1"/>
  <c r="CT90" i="4" s="1"/>
  <c r="BW90" i="4"/>
  <c r="CI90" i="4" s="1"/>
  <c r="CU90" i="4" s="1"/>
  <c r="BX90" i="4"/>
  <c r="BY90" i="4"/>
  <c r="BZ90" i="4"/>
  <c r="CL90" i="4" s="1"/>
  <c r="CE90" i="4"/>
  <c r="CQ90" i="4" s="1"/>
  <c r="CJ90" i="4"/>
  <c r="CV90" i="4" s="1"/>
  <c r="CK90" i="4"/>
  <c r="CW90" i="4" s="1"/>
  <c r="CZ90" i="4"/>
  <c r="DA90" i="4"/>
  <c r="DB90" i="4"/>
  <c r="DC90" i="4"/>
  <c r="DD90" i="4"/>
  <c r="DE90" i="4"/>
  <c r="DF90" i="4"/>
  <c r="DG90" i="4"/>
  <c r="DH90" i="4"/>
  <c r="DI90" i="4"/>
  <c r="DW90" i="4" s="1"/>
  <c r="DJ90" i="4"/>
  <c r="DK90" i="4"/>
  <c r="DU90" i="4"/>
  <c r="DX90" i="4"/>
  <c r="BN91" i="4"/>
  <c r="BO91" i="4"/>
  <c r="CA91" i="4" s="1"/>
  <c r="CM91" i="4" s="1"/>
  <c r="BP91" i="4"/>
  <c r="CB91" i="4" s="1"/>
  <c r="CN91" i="4" s="1"/>
  <c r="DP91" i="4" s="1"/>
  <c r="BQ91" i="4"/>
  <c r="BR91" i="4"/>
  <c r="CD91" i="4" s="1"/>
  <c r="BS91" i="4"/>
  <c r="CE91" i="4" s="1"/>
  <c r="CQ91" i="4" s="1"/>
  <c r="BT91" i="4"/>
  <c r="BU91" i="4"/>
  <c r="BV91" i="4"/>
  <c r="BW91" i="4"/>
  <c r="CI91" i="4" s="1"/>
  <c r="CU91" i="4" s="1"/>
  <c r="DW91" i="4" s="1"/>
  <c r="BX91" i="4"/>
  <c r="CJ91" i="4" s="1"/>
  <c r="CV91" i="4" s="1"/>
  <c r="DX91" i="4" s="1"/>
  <c r="BY91" i="4"/>
  <c r="BZ91" i="4"/>
  <c r="CL91" i="4" s="1"/>
  <c r="DN91" i="4" s="1"/>
  <c r="CC91" i="4"/>
  <c r="CO91" i="4" s="1"/>
  <c r="CF91" i="4"/>
  <c r="CR91" i="4" s="1"/>
  <c r="CG91" i="4"/>
  <c r="CH91" i="4"/>
  <c r="CT91" i="4" s="1"/>
  <c r="CK91" i="4"/>
  <c r="CW91" i="4" s="1"/>
  <c r="CP91" i="4"/>
  <c r="CS91" i="4"/>
  <c r="CZ91" i="4"/>
  <c r="DA91" i="4"/>
  <c r="DB91" i="4"/>
  <c r="DC91" i="4"/>
  <c r="DQ91" i="4" s="1"/>
  <c r="DD91" i="4"/>
  <c r="DE91" i="4"/>
  <c r="DF91" i="4"/>
  <c r="DG91" i="4"/>
  <c r="DH91" i="4"/>
  <c r="DI91" i="4"/>
  <c r="DJ91" i="4"/>
  <c r="DK91" i="4"/>
  <c r="DS91" i="4"/>
  <c r="DV91" i="4"/>
  <c r="BN92" i="4"/>
  <c r="BZ92" i="4" s="1"/>
  <c r="CL92" i="4" s="1"/>
  <c r="DN92" i="4" s="1"/>
  <c r="BO92" i="4"/>
  <c r="CA92" i="4" s="1"/>
  <c r="CM92" i="4" s="1"/>
  <c r="BP92" i="4"/>
  <c r="CB92" i="4" s="1"/>
  <c r="CN92" i="4" s="1"/>
  <c r="BQ92" i="4"/>
  <c r="CC92" i="4" s="1"/>
  <c r="CO92" i="4" s="1"/>
  <c r="BR92" i="4"/>
  <c r="CD92" i="4" s="1"/>
  <c r="CP92" i="4" s="1"/>
  <c r="BS92" i="4"/>
  <c r="CE92" i="4" s="1"/>
  <c r="CQ92" i="4" s="1"/>
  <c r="BT92" i="4"/>
  <c r="BU92" i="4"/>
  <c r="CG92" i="4" s="1"/>
  <c r="BV92" i="4"/>
  <c r="CH92" i="4" s="1"/>
  <c r="CT92" i="4" s="1"/>
  <c r="DV92" i="4" s="1"/>
  <c r="BW92" i="4"/>
  <c r="CI92" i="4" s="1"/>
  <c r="CU92" i="4" s="1"/>
  <c r="BX92" i="4"/>
  <c r="CJ92" i="4" s="1"/>
  <c r="CV92" i="4" s="1"/>
  <c r="BY92" i="4"/>
  <c r="CF92" i="4"/>
  <c r="CR92" i="4" s="1"/>
  <c r="CK92" i="4"/>
  <c r="CW92" i="4" s="1"/>
  <c r="DY92" i="4" s="1"/>
  <c r="CS92" i="4"/>
  <c r="DU92" i="4" s="1"/>
  <c r="CZ92" i="4"/>
  <c r="DA92" i="4"/>
  <c r="DB92" i="4"/>
  <c r="DC92" i="4"/>
  <c r="DD92" i="4"/>
  <c r="DE92" i="4"/>
  <c r="DF92" i="4"/>
  <c r="DG92" i="4"/>
  <c r="DH92" i="4"/>
  <c r="DI92" i="4"/>
  <c r="DJ92" i="4"/>
  <c r="DK92" i="4"/>
  <c r="DL92" i="4"/>
  <c r="BN93" i="4"/>
  <c r="BZ93" i="4" s="1"/>
  <c r="CL93" i="4" s="1"/>
  <c r="BO93" i="4"/>
  <c r="BP93" i="4"/>
  <c r="CB93" i="4" s="1"/>
  <c r="BQ93" i="4"/>
  <c r="CC93" i="4" s="1"/>
  <c r="CO93" i="4" s="1"/>
  <c r="DQ93" i="4" s="1"/>
  <c r="BR93" i="4"/>
  <c r="CD93" i="4" s="1"/>
  <c r="CP93" i="4" s="1"/>
  <c r="DR93" i="4" s="1"/>
  <c r="BS93" i="4"/>
  <c r="BT93" i="4"/>
  <c r="CF93" i="4" s="1"/>
  <c r="CR93" i="4" s="1"/>
  <c r="BU93" i="4"/>
  <c r="CG93" i="4" s="1"/>
  <c r="CS93" i="4" s="1"/>
  <c r="DU93" i="4" s="1"/>
  <c r="BV93" i="4"/>
  <c r="CH93" i="4" s="1"/>
  <c r="CT93" i="4" s="1"/>
  <c r="BW93" i="4"/>
  <c r="BX93" i="4"/>
  <c r="CJ93" i="4" s="1"/>
  <c r="CV93" i="4" s="1"/>
  <c r="BY93" i="4"/>
  <c r="CK93" i="4" s="1"/>
  <c r="CW93" i="4" s="1"/>
  <c r="CA93" i="4"/>
  <c r="CM93" i="4" s="1"/>
  <c r="CE93" i="4"/>
  <c r="CQ93" i="4" s="1"/>
  <c r="CI93" i="4"/>
  <c r="CU93" i="4" s="1"/>
  <c r="CN93" i="4"/>
  <c r="CZ93" i="4"/>
  <c r="DA93" i="4"/>
  <c r="DB93" i="4"/>
  <c r="DP93" i="4" s="1"/>
  <c r="DC93" i="4"/>
  <c r="DD93" i="4"/>
  <c r="DE93" i="4"/>
  <c r="DF93" i="4"/>
  <c r="DG93" i="4"/>
  <c r="DH93" i="4"/>
  <c r="DI93" i="4"/>
  <c r="DW93" i="4" s="1"/>
  <c r="DJ93" i="4"/>
  <c r="DX93" i="4" s="1"/>
  <c r="DK93" i="4"/>
  <c r="BN94" i="4"/>
  <c r="BO94" i="4"/>
  <c r="CA94" i="4" s="1"/>
  <c r="CM94" i="4" s="1"/>
  <c r="BP94" i="4"/>
  <c r="CB94" i="4" s="1"/>
  <c r="CN94" i="4" s="1"/>
  <c r="DP94" i="4" s="1"/>
  <c r="BQ94" i="4"/>
  <c r="CC94" i="4" s="1"/>
  <c r="CO94" i="4" s="1"/>
  <c r="BR94" i="4"/>
  <c r="CD94" i="4" s="1"/>
  <c r="CP94" i="4" s="1"/>
  <c r="DR94" i="4" s="1"/>
  <c r="BS94" i="4"/>
  <c r="BT94" i="4"/>
  <c r="CF94" i="4" s="1"/>
  <c r="BU94" i="4"/>
  <c r="CG94" i="4" s="1"/>
  <c r="CS94" i="4" s="1"/>
  <c r="BV94" i="4"/>
  <c r="BW94" i="4"/>
  <c r="BX94" i="4"/>
  <c r="CJ94" i="4" s="1"/>
  <c r="CV94" i="4" s="1"/>
  <c r="DX94" i="4" s="1"/>
  <c r="BY94" i="4"/>
  <c r="BZ94" i="4"/>
  <c r="CE94" i="4"/>
  <c r="CQ94" i="4" s="1"/>
  <c r="CH94" i="4"/>
  <c r="CT94" i="4" s="1"/>
  <c r="CI94" i="4"/>
  <c r="CU94" i="4" s="1"/>
  <c r="CK94" i="4"/>
  <c r="CW94" i="4" s="1"/>
  <c r="CL94" i="4"/>
  <c r="CR94" i="4"/>
  <c r="CZ94" i="4"/>
  <c r="DA94" i="4"/>
  <c r="DB94" i="4"/>
  <c r="DC94" i="4"/>
  <c r="DD94" i="4"/>
  <c r="DE94" i="4"/>
  <c r="DF94" i="4"/>
  <c r="DG94" i="4"/>
  <c r="DH94" i="4"/>
  <c r="DI94" i="4"/>
  <c r="DJ94" i="4"/>
  <c r="DK94" i="4"/>
  <c r="DU94" i="4"/>
  <c r="BN95" i="4"/>
  <c r="BO95" i="4"/>
  <c r="CA95" i="4" s="1"/>
  <c r="CM95" i="4" s="1"/>
  <c r="BP95" i="4"/>
  <c r="CB95" i="4" s="1"/>
  <c r="CN95" i="4" s="1"/>
  <c r="DP95" i="4" s="1"/>
  <c r="BQ95" i="4"/>
  <c r="BR95" i="4"/>
  <c r="CD95" i="4" s="1"/>
  <c r="CP95" i="4" s="1"/>
  <c r="BS95" i="4"/>
  <c r="CE95" i="4" s="1"/>
  <c r="CQ95" i="4" s="1"/>
  <c r="DS95" i="4" s="1"/>
  <c r="BT95" i="4"/>
  <c r="CF95" i="4" s="1"/>
  <c r="CR95" i="4" s="1"/>
  <c r="BU95" i="4"/>
  <c r="BV95" i="4"/>
  <c r="BW95" i="4"/>
  <c r="CI95" i="4" s="1"/>
  <c r="CU95" i="4" s="1"/>
  <c r="BX95" i="4"/>
  <c r="CJ95" i="4" s="1"/>
  <c r="BY95" i="4"/>
  <c r="BZ95" i="4"/>
  <c r="CL95" i="4" s="1"/>
  <c r="CC95" i="4"/>
  <c r="CG95" i="4"/>
  <c r="CS95" i="4" s="1"/>
  <c r="CH95" i="4"/>
  <c r="CT95" i="4" s="1"/>
  <c r="CK95" i="4"/>
  <c r="CW95" i="4" s="1"/>
  <c r="CO95" i="4"/>
  <c r="CV95" i="4"/>
  <c r="DX95" i="4" s="1"/>
  <c r="CZ95" i="4"/>
  <c r="DA95" i="4"/>
  <c r="DB95" i="4"/>
  <c r="DC95" i="4"/>
  <c r="DD95" i="4"/>
  <c r="DE95" i="4"/>
  <c r="DF95" i="4"/>
  <c r="DG95" i="4"/>
  <c r="DU95" i="4" s="1"/>
  <c r="DH95" i="4"/>
  <c r="DV95" i="4" s="1"/>
  <c r="DI95" i="4"/>
  <c r="DW95" i="4" s="1"/>
  <c r="DJ95" i="4"/>
  <c r="DK95" i="4"/>
  <c r="DT95" i="4"/>
  <c r="BN96" i="4"/>
  <c r="BZ96" i="4" s="1"/>
  <c r="CL96" i="4" s="1"/>
  <c r="DN96" i="4" s="1"/>
  <c r="BO96" i="4"/>
  <c r="CA96" i="4" s="1"/>
  <c r="CM96" i="4" s="1"/>
  <c r="BP96" i="4"/>
  <c r="CB96" i="4" s="1"/>
  <c r="CN96" i="4" s="1"/>
  <c r="BQ96" i="4"/>
  <c r="BR96" i="4"/>
  <c r="CD96" i="4" s="1"/>
  <c r="CP96" i="4" s="1"/>
  <c r="BS96" i="4"/>
  <c r="CE96" i="4" s="1"/>
  <c r="CQ96" i="4" s="1"/>
  <c r="BT96" i="4"/>
  <c r="BU96" i="4"/>
  <c r="BV96" i="4"/>
  <c r="CH96" i="4" s="1"/>
  <c r="CT96" i="4" s="1"/>
  <c r="DV96" i="4" s="1"/>
  <c r="BW96" i="4"/>
  <c r="CI96" i="4" s="1"/>
  <c r="CU96" i="4" s="1"/>
  <c r="BX96" i="4"/>
  <c r="CJ96" i="4" s="1"/>
  <c r="CV96" i="4" s="1"/>
  <c r="BY96" i="4"/>
  <c r="CC96" i="4"/>
  <c r="CO96" i="4" s="1"/>
  <c r="CF96" i="4"/>
  <c r="CR96" i="4" s="1"/>
  <c r="CG96" i="4"/>
  <c r="CS96" i="4" s="1"/>
  <c r="CK96" i="4"/>
  <c r="CW96" i="4" s="1"/>
  <c r="CZ96" i="4"/>
  <c r="DA96" i="4"/>
  <c r="DO96" i="4" s="1"/>
  <c r="DB96" i="4"/>
  <c r="DC96" i="4"/>
  <c r="DD96" i="4"/>
  <c r="DE96" i="4"/>
  <c r="DS96" i="4" s="1"/>
  <c r="DF96" i="4"/>
  <c r="DG96" i="4"/>
  <c r="DH96" i="4"/>
  <c r="DI96" i="4"/>
  <c r="DW96" i="4" s="1"/>
  <c r="DJ96" i="4"/>
  <c r="DK96" i="4"/>
  <c r="BN97" i="4"/>
  <c r="BZ97" i="4" s="1"/>
  <c r="CL97" i="4" s="1"/>
  <c r="BO97" i="4"/>
  <c r="CA97" i="4" s="1"/>
  <c r="CM97" i="4" s="1"/>
  <c r="DO97" i="4" s="1"/>
  <c r="BP97" i="4"/>
  <c r="BQ97" i="4"/>
  <c r="CC97" i="4" s="1"/>
  <c r="CO97" i="4" s="1"/>
  <c r="BR97" i="4"/>
  <c r="CD97" i="4" s="1"/>
  <c r="CP97" i="4" s="1"/>
  <c r="BS97" i="4"/>
  <c r="CE97" i="4" s="1"/>
  <c r="CQ97" i="4" s="1"/>
  <c r="DS97" i="4" s="1"/>
  <c r="BT97" i="4"/>
  <c r="BU97" i="4"/>
  <c r="CG97" i="4" s="1"/>
  <c r="CS97" i="4" s="1"/>
  <c r="BV97" i="4"/>
  <c r="CH97" i="4" s="1"/>
  <c r="CT97" i="4" s="1"/>
  <c r="BW97" i="4"/>
  <c r="CI97" i="4" s="1"/>
  <c r="CU97" i="4" s="1"/>
  <c r="BX97" i="4"/>
  <c r="BY97" i="4"/>
  <c r="CK97" i="4" s="1"/>
  <c r="CW97" i="4" s="1"/>
  <c r="CB97" i="4"/>
  <c r="CN97" i="4" s="1"/>
  <c r="CF97" i="4"/>
  <c r="CR97" i="4" s="1"/>
  <c r="CJ97" i="4"/>
  <c r="CV97" i="4"/>
  <c r="CZ97" i="4"/>
  <c r="DA97" i="4"/>
  <c r="DB97" i="4"/>
  <c r="DC97" i="4"/>
  <c r="DD97" i="4"/>
  <c r="DE97" i="4"/>
  <c r="DF97" i="4"/>
  <c r="DG97" i="4"/>
  <c r="DM97" i="4" s="1"/>
  <c r="DH97" i="4"/>
  <c r="DI97" i="4"/>
  <c r="DW97" i="4" s="1"/>
  <c r="DJ97" i="4"/>
  <c r="DK97" i="4"/>
  <c r="DX97" i="4"/>
  <c r="BN98" i="4"/>
  <c r="BZ98" i="4" s="1"/>
  <c r="CL98" i="4" s="1"/>
  <c r="BO98" i="4"/>
  <c r="CA98" i="4" s="1"/>
  <c r="CM98" i="4" s="1"/>
  <c r="BP98" i="4"/>
  <c r="BQ98" i="4"/>
  <c r="CC98" i="4" s="1"/>
  <c r="BR98" i="4"/>
  <c r="CD98" i="4" s="1"/>
  <c r="CP98" i="4" s="1"/>
  <c r="BS98" i="4"/>
  <c r="BT98" i="4"/>
  <c r="CF98" i="4" s="1"/>
  <c r="BU98" i="4"/>
  <c r="CG98" i="4" s="1"/>
  <c r="CS98" i="4" s="1"/>
  <c r="DU98" i="4" s="1"/>
  <c r="BV98" i="4"/>
  <c r="CH98" i="4" s="1"/>
  <c r="CT98" i="4" s="1"/>
  <c r="BW98" i="4"/>
  <c r="CI98" i="4" s="1"/>
  <c r="CU98" i="4" s="1"/>
  <c r="BX98" i="4"/>
  <c r="BY98" i="4"/>
  <c r="CK98" i="4" s="1"/>
  <c r="CB98" i="4"/>
  <c r="CN98" i="4" s="1"/>
  <c r="CE98" i="4"/>
  <c r="CQ98" i="4" s="1"/>
  <c r="CJ98" i="4"/>
  <c r="CV98" i="4" s="1"/>
  <c r="CO98" i="4"/>
  <c r="CR98" i="4"/>
  <c r="CW98" i="4"/>
  <c r="CZ98" i="4"/>
  <c r="DA98" i="4"/>
  <c r="DB98" i="4"/>
  <c r="DP98" i="4" s="1"/>
  <c r="DC98" i="4"/>
  <c r="DQ98" i="4" s="1"/>
  <c r="DD98" i="4"/>
  <c r="DR98" i="4" s="1"/>
  <c r="DE98" i="4"/>
  <c r="DF98" i="4"/>
  <c r="DT98" i="4" s="1"/>
  <c r="DG98" i="4"/>
  <c r="DH98" i="4"/>
  <c r="DI98" i="4"/>
  <c r="DJ98" i="4"/>
  <c r="DK98" i="4"/>
  <c r="DN98" i="4"/>
  <c r="BN99" i="4"/>
  <c r="BO99" i="4"/>
  <c r="CA99" i="4" s="1"/>
  <c r="BP99" i="4"/>
  <c r="CB99" i="4" s="1"/>
  <c r="CN99" i="4" s="1"/>
  <c r="BQ99" i="4"/>
  <c r="CC99" i="4" s="1"/>
  <c r="CO99" i="4" s="1"/>
  <c r="DQ99" i="4" s="1"/>
  <c r="BR99" i="4"/>
  <c r="CD99" i="4" s="1"/>
  <c r="CP99" i="4" s="1"/>
  <c r="BS99" i="4"/>
  <c r="BT99" i="4"/>
  <c r="CF99" i="4" s="1"/>
  <c r="BU99" i="4"/>
  <c r="CG99" i="4" s="1"/>
  <c r="CS99" i="4" s="1"/>
  <c r="DU99" i="4" s="1"/>
  <c r="BV99" i="4"/>
  <c r="CH99" i="4" s="1"/>
  <c r="CT99" i="4" s="1"/>
  <c r="BW99" i="4"/>
  <c r="BX99" i="4"/>
  <c r="CJ99" i="4" s="1"/>
  <c r="CV99" i="4" s="1"/>
  <c r="DX99" i="4" s="1"/>
  <c r="BY99" i="4"/>
  <c r="CK99" i="4" s="1"/>
  <c r="CW99" i="4" s="1"/>
  <c r="DY99" i="4" s="1"/>
  <c r="BZ99" i="4"/>
  <c r="CL99" i="4" s="1"/>
  <c r="DN99" i="4" s="1"/>
  <c r="CE99" i="4"/>
  <c r="CI99" i="4"/>
  <c r="CM99" i="4"/>
  <c r="CQ99" i="4"/>
  <c r="CR99" i="4"/>
  <c r="CU99" i="4"/>
  <c r="CZ99" i="4"/>
  <c r="DA99" i="4"/>
  <c r="DB99" i="4"/>
  <c r="DC99" i="4"/>
  <c r="DD99" i="4"/>
  <c r="DR99" i="4" s="1"/>
  <c r="DE99" i="4"/>
  <c r="DF99" i="4"/>
  <c r="DG99" i="4"/>
  <c r="DH99" i="4"/>
  <c r="DI99" i="4"/>
  <c r="DJ99" i="4"/>
  <c r="DK99" i="4"/>
  <c r="DP99" i="4"/>
  <c r="BN100" i="4"/>
  <c r="BZ100" i="4" s="1"/>
  <c r="CL100" i="4" s="1"/>
  <c r="BO100" i="4"/>
  <c r="CA100" i="4" s="1"/>
  <c r="BP100" i="4"/>
  <c r="CB100" i="4" s="1"/>
  <c r="CN100" i="4" s="1"/>
  <c r="BQ100" i="4"/>
  <c r="BR100" i="4"/>
  <c r="CD100" i="4" s="1"/>
  <c r="CP100" i="4" s="1"/>
  <c r="BS100" i="4"/>
  <c r="CE100" i="4" s="1"/>
  <c r="CQ100" i="4" s="1"/>
  <c r="BT100" i="4"/>
  <c r="BU100" i="4"/>
  <c r="CG100" i="4" s="1"/>
  <c r="CS100" i="4" s="1"/>
  <c r="DU100" i="4" s="1"/>
  <c r="BV100" i="4"/>
  <c r="BW100" i="4"/>
  <c r="CI100" i="4" s="1"/>
  <c r="CU100" i="4" s="1"/>
  <c r="BX100" i="4"/>
  <c r="CJ100" i="4" s="1"/>
  <c r="BY100" i="4"/>
  <c r="CK100" i="4" s="1"/>
  <c r="CW100" i="4" s="1"/>
  <c r="CC100" i="4"/>
  <c r="CO100" i="4" s="1"/>
  <c r="CF100" i="4"/>
  <c r="CR100" i="4" s="1"/>
  <c r="CH100" i="4"/>
  <c r="CT100" i="4" s="1"/>
  <c r="DV100" i="4" s="1"/>
  <c r="CM100" i="4"/>
  <c r="CV100" i="4"/>
  <c r="CZ100" i="4"/>
  <c r="DN100" i="4" s="1"/>
  <c r="DA100" i="4"/>
  <c r="DB100" i="4"/>
  <c r="DC100" i="4"/>
  <c r="DD100" i="4"/>
  <c r="DE100" i="4"/>
  <c r="DF100" i="4"/>
  <c r="DG100" i="4"/>
  <c r="DH100" i="4"/>
  <c r="DI100" i="4"/>
  <c r="DJ100" i="4"/>
  <c r="DK100" i="4"/>
  <c r="DY100" i="4" s="1"/>
  <c r="BN101" i="4"/>
  <c r="BZ101" i="4" s="1"/>
  <c r="CL101" i="4" s="1"/>
  <c r="BO101" i="4"/>
  <c r="CA101" i="4" s="1"/>
  <c r="CM101" i="4" s="1"/>
  <c r="BP101" i="4"/>
  <c r="BQ101" i="4"/>
  <c r="BR101" i="4"/>
  <c r="CD101" i="4" s="1"/>
  <c r="CP101" i="4" s="1"/>
  <c r="BS101" i="4"/>
  <c r="CE101" i="4" s="1"/>
  <c r="CQ101" i="4" s="1"/>
  <c r="BT101" i="4"/>
  <c r="BU101" i="4"/>
  <c r="BV101" i="4"/>
  <c r="CH101" i="4" s="1"/>
  <c r="BW101" i="4"/>
  <c r="CI101" i="4" s="1"/>
  <c r="CU101" i="4" s="1"/>
  <c r="BX101" i="4"/>
  <c r="BY101" i="4"/>
  <c r="CK101" i="4" s="1"/>
  <c r="CW101" i="4" s="1"/>
  <c r="DY101" i="4" s="1"/>
  <c r="CB101" i="4"/>
  <c r="CN101" i="4" s="1"/>
  <c r="CC101" i="4"/>
  <c r="CO101" i="4" s="1"/>
  <c r="CF101" i="4"/>
  <c r="CR101" i="4" s="1"/>
  <c r="CG101" i="4"/>
  <c r="CS101" i="4" s="1"/>
  <c r="CJ101" i="4"/>
  <c r="CV101" i="4" s="1"/>
  <c r="CT101" i="4"/>
  <c r="CZ101" i="4"/>
  <c r="DA101" i="4"/>
  <c r="DB101" i="4"/>
  <c r="DP101" i="4" s="1"/>
  <c r="DC101" i="4"/>
  <c r="DD101" i="4"/>
  <c r="DE101" i="4"/>
  <c r="DF101" i="4"/>
  <c r="DT101" i="4" s="1"/>
  <c r="DG101" i="4"/>
  <c r="DH101" i="4"/>
  <c r="DI101" i="4"/>
  <c r="DJ101" i="4"/>
  <c r="DX101" i="4" s="1"/>
  <c r="DK101" i="4"/>
  <c r="BN102" i="4"/>
  <c r="BZ102" i="4" s="1"/>
  <c r="CL102" i="4" s="1"/>
  <c r="BO102" i="4"/>
  <c r="CA102" i="4" s="1"/>
  <c r="BP102" i="4"/>
  <c r="CB102" i="4" s="1"/>
  <c r="CN102" i="4" s="1"/>
  <c r="BQ102" i="4"/>
  <c r="CC102" i="4" s="1"/>
  <c r="CO102" i="4" s="1"/>
  <c r="DQ102" i="4" s="1"/>
  <c r="BR102" i="4"/>
  <c r="CD102" i="4" s="1"/>
  <c r="CP102" i="4" s="1"/>
  <c r="DR102" i="4" s="1"/>
  <c r="BS102" i="4"/>
  <c r="CE102" i="4" s="1"/>
  <c r="CQ102" i="4" s="1"/>
  <c r="BT102" i="4"/>
  <c r="CF102" i="4" s="1"/>
  <c r="CR102" i="4" s="1"/>
  <c r="BU102" i="4"/>
  <c r="CG102" i="4" s="1"/>
  <c r="CS102" i="4" s="1"/>
  <c r="BV102" i="4"/>
  <c r="CH102" i="4" s="1"/>
  <c r="CT102" i="4" s="1"/>
  <c r="BW102" i="4"/>
  <c r="CI102" i="4" s="1"/>
  <c r="CU102" i="4" s="1"/>
  <c r="BX102" i="4"/>
  <c r="BY102" i="4"/>
  <c r="CK102" i="4" s="1"/>
  <c r="CW102" i="4" s="1"/>
  <c r="CJ102" i="4"/>
  <c r="CV102" i="4" s="1"/>
  <c r="DX102" i="4" s="1"/>
  <c r="CM102" i="4"/>
  <c r="CZ102" i="4"/>
  <c r="DA102" i="4"/>
  <c r="DB102" i="4"/>
  <c r="DC102" i="4"/>
  <c r="DD102" i="4"/>
  <c r="DE102" i="4"/>
  <c r="DF102" i="4"/>
  <c r="DG102" i="4"/>
  <c r="DH102" i="4"/>
  <c r="DV102" i="4" s="1"/>
  <c r="DI102" i="4"/>
  <c r="DJ102" i="4"/>
  <c r="DK102" i="4"/>
  <c r="BN103" i="4"/>
  <c r="BO103" i="4"/>
  <c r="CA103" i="4" s="1"/>
  <c r="CM103" i="4" s="1"/>
  <c r="BP103" i="4"/>
  <c r="CB103" i="4" s="1"/>
  <c r="CN103" i="4" s="1"/>
  <c r="DP103" i="4" s="1"/>
  <c r="BQ103" i="4"/>
  <c r="CC103" i="4" s="1"/>
  <c r="CO103" i="4" s="1"/>
  <c r="BR103" i="4"/>
  <c r="CD103" i="4" s="1"/>
  <c r="CP103" i="4" s="1"/>
  <c r="BS103" i="4"/>
  <c r="BT103" i="4"/>
  <c r="BU103" i="4"/>
  <c r="CG103" i="4" s="1"/>
  <c r="CS103" i="4" s="1"/>
  <c r="BV103" i="4"/>
  <c r="BW103" i="4"/>
  <c r="BX103" i="4"/>
  <c r="CJ103" i="4" s="1"/>
  <c r="CV103" i="4" s="1"/>
  <c r="DX103" i="4" s="1"/>
  <c r="BY103" i="4"/>
  <c r="BZ103" i="4"/>
  <c r="CL103" i="4" s="1"/>
  <c r="DN103" i="4" s="1"/>
  <c r="CE103" i="4"/>
  <c r="CQ103" i="4" s="1"/>
  <c r="CF103" i="4"/>
  <c r="CR103" i="4" s="1"/>
  <c r="CH103" i="4"/>
  <c r="CT103" i="4" s="1"/>
  <c r="CI103" i="4"/>
  <c r="CU103" i="4" s="1"/>
  <c r="CK103" i="4"/>
  <c r="CW103" i="4" s="1"/>
  <c r="DY103" i="4" s="1"/>
  <c r="CZ103" i="4"/>
  <c r="DA103" i="4"/>
  <c r="DB103" i="4"/>
  <c r="DC103" i="4"/>
  <c r="DD103" i="4"/>
  <c r="DE103" i="4"/>
  <c r="DF103" i="4"/>
  <c r="DG103" i="4"/>
  <c r="DH103" i="4"/>
  <c r="DI103" i="4"/>
  <c r="DJ103" i="4"/>
  <c r="DK103" i="4"/>
  <c r="DV103" i="4"/>
  <c r="BN104" i="4"/>
  <c r="BZ104" i="4" s="1"/>
  <c r="CL104" i="4" s="1"/>
  <c r="DN104" i="4" s="1"/>
  <c r="BO104" i="4"/>
  <c r="CA104" i="4" s="1"/>
  <c r="CM104" i="4" s="1"/>
  <c r="BP104" i="4"/>
  <c r="CB104" i="4" s="1"/>
  <c r="BQ104" i="4"/>
  <c r="CC104" i="4" s="1"/>
  <c r="CO104" i="4" s="1"/>
  <c r="BR104" i="4"/>
  <c r="CD104" i="4" s="1"/>
  <c r="CP104" i="4" s="1"/>
  <c r="BS104" i="4"/>
  <c r="BT104" i="4"/>
  <c r="BU104" i="4"/>
  <c r="CG104" i="4" s="1"/>
  <c r="CS104" i="4" s="1"/>
  <c r="DU104" i="4" s="1"/>
  <c r="BV104" i="4"/>
  <c r="BW104" i="4"/>
  <c r="BX104" i="4"/>
  <c r="CJ104" i="4" s="1"/>
  <c r="CV104" i="4" s="1"/>
  <c r="BY104" i="4"/>
  <c r="CK104" i="4" s="1"/>
  <c r="CW104" i="4" s="1"/>
  <c r="CE104" i="4"/>
  <c r="CF104" i="4"/>
  <c r="CR104" i="4" s="1"/>
  <c r="CH104" i="4"/>
  <c r="CT104" i="4" s="1"/>
  <c r="DV104" i="4" s="1"/>
  <c r="CI104" i="4"/>
  <c r="CU104" i="4" s="1"/>
  <c r="CN104" i="4"/>
  <c r="CQ104" i="4"/>
  <c r="CZ104" i="4"/>
  <c r="DA104" i="4"/>
  <c r="DB104" i="4"/>
  <c r="DC104" i="4"/>
  <c r="DD104" i="4"/>
  <c r="DR104" i="4" s="1"/>
  <c r="DE104" i="4"/>
  <c r="DS104" i="4" s="1"/>
  <c r="DF104" i="4"/>
  <c r="DT104" i="4" s="1"/>
  <c r="DG104" i="4"/>
  <c r="DH104" i="4"/>
  <c r="DI104" i="4"/>
  <c r="DJ104" i="4"/>
  <c r="DK104" i="4"/>
  <c r="DL104" i="4"/>
  <c r="DM104" i="4"/>
  <c r="DQ104" i="4"/>
  <c r="BN105" i="4"/>
  <c r="BZ105" i="4" s="1"/>
  <c r="BO105" i="4"/>
  <c r="CA105" i="4" s="1"/>
  <c r="CM105" i="4" s="1"/>
  <c r="BP105" i="4"/>
  <c r="CB105" i="4" s="1"/>
  <c r="CN105" i="4" s="1"/>
  <c r="BQ105" i="4"/>
  <c r="BR105" i="4"/>
  <c r="BS105" i="4"/>
  <c r="CE105" i="4" s="1"/>
  <c r="CQ105" i="4" s="1"/>
  <c r="DS105" i="4" s="1"/>
  <c r="BT105" i="4"/>
  <c r="CF105" i="4" s="1"/>
  <c r="CR105" i="4" s="1"/>
  <c r="DT105" i="4" s="1"/>
  <c r="BU105" i="4"/>
  <c r="BV105" i="4"/>
  <c r="CH105" i="4" s="1"/>
  <c r="CT105" i="4" s="1"/>
  <c r="BW105" i="4"/>
  <c r="CI105" i="4" s="1"/>
  <c r="CU105" i="4" s="1"/>
  <c r="BX105" i="4"/>
  <c r="CJ105" i="4" s="1"/>
  <c r="CV105" i="4" s="1"/>
  <c r="BY105" i="4"/>
  <c r="CK105" i="4" s="1"/>
  <c r="CW105" i="4" s="1"/>
  <c r="CC105" i="4"/>
  <c r="CO105" i="4" s="1"/>
  <c r="DQ105" i="4" s="1"/>
  <c r="CD105" i="4"/>
  <c r="CP105" i="4" s="1"/>
  <c r="CG105" i="4"/>
  <c r="CS105" i="4" s="1"/>
  <c r="CL105" i="4"/>
  <c r="CZ105" i="4"/>
  <c r="DA105" i="4"/>
  <c r="DB105" i="4"/>
  <c r="DC105" i="4"/>
  <c r="DD105" i="4"/>
  <c r="DE105" i="4"/>
  <c r="DF105" i="4"/>
  <c r="DG105" i="4"/>
  <c r="DH105" i="4"/>
  <c r="DV105" i="4" s="1"/>
  <c r="DI105" i="4"/>
  <c r="DJ105" i="4"/>
  <c r="DK105" i="4"/>
  <c r="DY105" i="4" s="1"/>
  <c r="DP105" i="4"/>
  <c r="BN106" i="4"/>
  <c r="BZ106" i="4" s="1"/>
  <c r="CL106" i="4" s="1"/>
  <c r="BO106" i="4"/>
  <c r="CA106" i="4" s="1"/>
  <c r="CM106" i="4" s="1"/>
  <c r="DO106" i="4" s="1"/>
  <c r="BP106" i="4"/>
  <c r="CB106" i="4" s="1"/>
  <c r="CN106" i="4" s="1"/>
  <c r="BQ106" i="4"/>
  <c r="BR106" i="4"/>
  <c r="CD106" i="4" s="1"/>
  <c r="CP106" i="4" s="1"/>
  <c r="BS106" i="4"/>
  <c r="CE106" i="4" s="1"/>
  <c r="CQ106" i="4" s="1"/>
  <c r="DS106" i="4" s="1"/>
  <c r="BT106" i="4"/>
  <c r="CF106" i="4" s="1"/>
  <c r="CR106" i="4" s="1"/>
  <c r="BU106" i="4"/>
  <c r="CG106" i="4" s="1"/>
  <c r="CS106" i="4" s="1"/>
  <c r="BV106" i="4"/>
  <c r="BW106" i="4"/>
  <c r="CI106" i="4" s="1"/>
  <c r="CU106" i="4" s="1"/>
  <c r="DW106" i="4" s="1"/>
  <c r="BX106" i="4"/>
  <c r="BY106" i="4"/>
  <c r="CC106" i="4"/>
  <c r="CO106" i="4" s="1"/>
  <c r="CH106" i="4"/>
  <c r="CT106" i="4" s="1"/>
  <c r="CJ106" i="4"/>
  <c r="CV106" i="4" s="1"/>
  <c r="CK106" i="4"/>
  <c r="CW106" i="4" s="1"/>
  <c r="CZ106" i="4"/>
  <c r="DA106" i="4"/>
  <c r="DB106" i="4"/>
  <c r="DC106" i="4"/>
  <c r="DQ106" i="4" s="1"/>
  <c r="DD106" i="4"/>
  <c r="DE106" i="4"/>
  <c r="DF106" i="4"/>
  <c r="DG106" i="4"/>
  <c r="DU106" i="4" s="1"/>
  <c r="DH106" i="4"/>
  <c r="DI106" i="4"/>
  <c r="DJ106" i="4"/>
  <c r="DK106" i="4"/>
  <c r="DY106" i="4" s="1"/>
  <c r="BN107" i="4"/>
  <c r="BO107" i="4"/>
  <c r="CA107" i="4" s="1"/>
  <c r="CM107" i="4" s="1"/>
  <c r="DO107" i="4" s="1"/>
  <c r="BP107" i="4"/>
  <c r="BQ107" i="4"/>
  <c r="CC107" i="4" s="1"/>
  <c r="CO107" i="4" s="1"/>
  <c r="BR107" i="4"/>
  <c r="CD107" i="4" s="1"/>
  <c r="BS107" i="4"/>
  <c r="CE107" i="4" s="1"/>
  <c r="CQ107" i="4" s="1"/>
  <c r="DS107" i="4" s="1"/>
  <c r="BT107" i="4"/>
  <c r="CF107" i="4" s="1"/>
  <c r="CR107" i="4" s="1"/>
  <c r="BU107" i="4"/>
  <c r="BV107" i="4"/>
  <c r="BW107" i="4"/>
  <c r="CI107" i="4" s="1"/>
  <c r="BX107" i="4"/>
  <c r="CJ107" i="4" s="1"/>
  <c r="CV107" i="4" s="1"/>
  <c r="BY107" i="4"/>
  <c r="BZ107" i="4"/>
  <c r="CL107" i="4" s="1"/>
  <c r="CB107" i="4"/>
  <c r="CN107" i="4" s="1"/>
  <c r="DP107" i="4" s="1"/>
  <c r="CG107" i="4"/>
  <c r="CS107" i="4" s="1"/>
  <c r="CH107" i="4"/>
  <c r="CT107" i="4" s="1"/>
  <c r="CK107" i="4"/>
  <c r="CW107" i="4" s="1"/>
  <c r="CP107" i="4"/>
  <c r="CU107" i="4"/>
  <c r="DW107" i="4" s="1"/>
  <c r="CZ107" i="4"/>
  <c r="DA107" i="4"/>
  <c r="DB107" i="4"/>
  <c r="DC107" i="4"/>
  <c r="DD107" i="4"/>
  <c r="DE107" i="4"/>
  <c r="DF107" i="4"/>
  <c r="DG107" i="4"/>
  <c r="DH107" i="4"/>
  <c r="DV107" i="4" s="1"/>
  <c r="DI107" i="4"/>
  <c r="DJ107" i="4"/>
  <c r="DK107" i="4"/>
  <c r="DX107" i="4"/>
  <c r="BN108" i="4"/>
  <c r="BZ108" i="4" s="1"/>
  <c r="CL108" i="4" s="1"/>
  <c r="BO108" i="4"/>
  <c r="CA108" i="4" s="1"/>
  <c r="CM108" i="4" s="1"/>
  <c r="BP108" i="4"/>
  <c r="CB108" i="4" s="1"/>
  <c r="CN108" i="4" s="1"/>
  <c r="BQ108" i="4"/>
  <c r="CC108" i="4" s="1"/>
  <c r="CO108" i="4" s="1"/>
  <c r="DQ108" i="4" s="1"/>
  <c r="BR108" i="4"/>
  <c r="CD108" i="4" s="1"/>
  <c r="CP108" i="4" s="1"/>
  <c r="BS108" i="4"/>
  <c r="CE108" i="4" s="1"/>
  <c r="CQ108" i="4" s="1"/>
  <c r="BT108" i="4"/>
  <c r="BU108" i="4"/>
  <c r="CG108" i="4" s="1"/>
  <c r="BV108" i="4"/>
  <c r="CH108" i="4" s="1"/>
  <c r="CT108" i="4" s="1"/>
  <c r="BW108" i="4"/>
  <c r="CI108" i="4" s="1"/>
  <c r="CU108" i="4" s="1"/>
  <c r="BX108" i="4"/>
  <c r="CJ108" i="4" s="1"/>
  <c r="CV108" i="4" s="1"/>
  <c r="BY108" i="4"/>
  <c r="CK108" i="4" s="1"/>
  <c r="CW108" i="4" s="1"/>
  <c r="DY108" i="4" s="1"/>
  <c r="CF108" i="4"/>
  <c r="CR108" i="4" s="1"/>
  <c r="CS108" i="4"/>
  <c r="CZ108" i="4"/>
  <c r="DA108" i="4"/>
  <c r="DB108" i="4"/>
  <c r="DC108" i="4"/>
  <c r="DD108" i="4"/>
  <c r="DE108" i="4"/>
  <c r="DS108" i="4" s="1"/>
  <c r="DF108" i="4"/>
  <c r="DG108" i="4"/>
  <c r="DH108" i="4"/>
  <c r="DV108" i="4" s="1"/>
  <c r="DI108" i="4"/>
  <c r="DJ108" i="4"/>
  <c r="DK108" i="4"/>
  <c r="DR108" i="4"/>
  <c r="DU108" i="4"/>
  <c r="BN109" i="4"/>
  <c r="BZ109" i="4" s="1"/>
  <c r="CL109" i="4" s="1"/>
  <c r="BO109" i="4"/>
  <c r="BP109" i="4"/>
  <c r="CB109" i="4" s="1"/>
  <c r="BQ109" i="4"/>
  <c r="BR109" i="4"/>
  <c r="CD109" i="4" s="1"/>
  <c r="CP109" i="4" s="1"/>
  <c r="BS109" i="4"/>
  <c r="CE109" i="4" s="1"/>
  <c r="CQ109" i="4" s="1"/>
  <c r="DS109" i="4" s="1"/>
  <c r="BT109" i="4"/>
  <c r="BU109" i="4"/>
  <c r="CG109" i="4" s="1"/>
  <c r="CS109" i="4" s="1"/>
  <c r="BV109" i="4"/>
  <c r="BW109" i="4"/>
  <c r="CI109" i="4" s="1"/>
  <c r="BX109" i="4"/>
  <c r="CJ109" i="4" s="1"/>
  <c r="CV109" i="4" s="1"/>
  <c r="BY109" i="4"/>
  <c r="CK109" i="4" s="1"/>
  <c r="CW109" i="4" s="1"/>
  <c r="DY109" i="4" s="1"/>
  <c r="CA109" i="4"/>
  <c r="CM109" i="4" s="1"/>
  <c r="CC109" i="4"/>
  <c r="CO109" i="4" s="1"/>
  <c r="CF109" i="4"/>
  <c r="CR109" i="4" s="1"/>
  <c r="DT109" i="4" s="1"/>
  <c r="CH109" i="4"/>
  <c r="CT109" i="4" s="1"/>
  <c r="CN109" i="4"/>
  <c r="DP109" i="4" s="1"/>
  <c r="CU109" i="4"/>
  <c r="CZ109" i="4"/>
  <c r="DA109" i="4"/>
  <c r="DB109" i="4"/>
  <c r="DC109" i="4"/>
  <c r="DD109" i="4"/>
  <c r="DE109" i="4"/>
  <c r="DF109" i="4"/>
  <c r="DG109" i="4"/>
  <c r="DH109" i="4"/>
  <c r="DV109" i="4" s="1"/>
  <c r="DI109" i="4"/>
  <c r="DW109" i="4" s="1"/>
  <c r="DJ109" i="4"/>
  <c r="DK109" i="4"/>
  <c r="DQ109" i="4"/>
  <c r="BN110" i="4"/>
  <c r="BZ110" i="4" s="1"/>
  <c r="CL110" i="4" s="1"/>
  <c r="BO110" i="4"/>
  <c r="CA110" i="4" s="1"/>
  <c r="CM110" i="4" s="1"/>
  <c r="BP110" i="4"/>
  <c r="BQ110" i="4"/>
  <c r="CC110" i="4" s="1"/>
  <c r="CO110" i="4" s="1"/>
  <c r="DQ110" i="4" s="1"/>
  <c r="BR110" i="4"/>
  <c r="CD110" i="4" s="1"/>
  <c r="CP110" i="4" s="1"/>
  <c r="BS110" i="4"/>
  <c r="CE110" i="4" s="1"/>
  <c r="BT110" i="4"/>
  <c r="CF110" i="4" s="1"/>
  <c r="CR110" i="4" s="1"/>
  <c r="BU110" i="4"/>
  <c r="BV110" i="4"/>
  <c r="CH110" i="4" s="1"/>
  <c r="CT110" i="4" s="1"/>
  <c r="BW110" i="4"/>
  <c r="CI110" i="4" s="1"/>
  <c r="CU110" i="4" s="1"/>
  <c r="BX110" i="4"/>
  <c r="BY110" i="4"/>
  <c r="CB110" i="4"/>
  <c r="CN110" i="4" s="1"/>
  <c r="CG110" i="4"/>
  <c r="CS110" i="4" s="1"/>
  <c r="CJ110" i="4"/>
  <c r="CV110" i="4" s="1"/>
  <c r="CK110" i="4"/>
  <c r="CW110" i="4" s="1"/>
  <c r="CQ110" i="4"/>
  <c r="CZ110" i="4"/>
  <c r="DA110" i="4"/>
  <c r="DB110" i="4"/>
  <c r="DP110" i="4" s="1"/>
  <c r="DC110" i="4"/>
  <c r="DD110" i="4"/>
  <c r="DE110" i="4"/>
  <c r="DF110" i="4"/>
  <c r="DG110" i="4"/>
  <c r="DH110" i="4"/>
  <c r="DI110" i="4"/>
  <c r="DJ110" i="4"/>
  <c r="DX110" i="4" s="1"/>
  <c r="DK110" i="4"/>
  <c r="DR110" i="4"/>
  <c r="DY110" i="4"/>
  <c r="BN111" i="4"/>
  <c r="BZ111" i="4" s="1"/>
  <c r="CL111" i="4" s="1"/>
  <c r="DN111" i="4" s="1"/>
  <c r="BO111" i="4"/>
  <c r="CA111" i="4" s="1"/>
  <c r="CM111" i="4" s="1"/>
  <c r="BP111" i="4"/>
  <c r="BQ111" i="4"/>
  <c r="CC111" i="4" s="1"/>
  <c r="BR111" i="4"/>
  <c r="CD111" i="4" s="1"/>
  <c r="CP111" i="4" s="1"/>
  <c r="DR111" i="4" s="1"/>
  <c r="BS111" i="4"/>
  <c r="CE111" i="4" s="1"/>
  <c r="CQ111" i="4" s="1"/>
  <c r="BT111" i="4"/>
  <c r="BU111" i="4"/>
  <c r="CG111" i="4" s="1"/>
  <c r="CS111" i="4" s="1"/>
  <c r="BV111" i="4"/>
  <c r="CH111" i="4" s="1"/>
  <c r="CT111" i="4" s="1"/>
  <c r="DV111" i="4" s="1"/>
  <c r="BW111" i="4"/>
  <c r="CI111" i="4" s="1"/>
  <c r="CU111" i="4" s="1"/>
  <c r="BX111" i="4"/>
  <c r="BY111" i="4"/>
  <c r="CK111" i="4" s="1"/>
  <c r="CB111" i="4"/>
  <c r="CN111" i="4" s="1"/>
  <c r="CF111" i="4"/>
  <c r="CR111" i="4" s="1"/>
  <c r="CJ111" i="4"/>
  <c r="CV111" i="4" s="1"/>
  <c r="CO111" i="4"/>
  <c r="CW111" i="4"/>
  <c r="CZ111" i="4"/>
  <c r="DA111" i="4"/>
  <c r="DB111" i="4"/>
  <c r="DC111" i="4"/>
  <c r="DD111" i="4"/>
  <c r="DE111" i="4"/>
  <c r="DM111" i="4" s="1"/>
  <c r="DF111" i="4"/>
  <c r="DG111" i="4"/>
  <c r="DH111" i="4"/>
  <c r="DI111" i="4"/>
  <c r="DJ111" i="4"/>
  <c r="DK111" i="4"/>
  <c r="BN112" i="4"/>
  <c r="BZ112" i="4" s="1"/>
  <c r="CL112" i="4" s="1"/>
  <c r="BO112" i="4"/>
  <c r="CA112" i="4" s="1"/>
  <c r="CM112" i="4" s="1"/>
  <c r="BP112" i="4"/>
  <c r="CB112" i="4" s="1"/>
  <c r="CN112" i="4" s="1"/>
  <c r="BQ112" i="4"/>
  <c r="CC112" i="4" s="1"/>
  <c r="BR112" i="4"/>
  <c r="CD112" i="4" s="1"/>
  <c r="CP112" i="4" s="1"/>
  <c r="BS112" i="4"/>
  <c r="BT112" i="4"/>
  <c r="CF112" i="4" s="1"/>
  <c r="CR112" i="4" s="1"/>
  <c r="BU112" i="4"/>
  <c r="CG112" i="4" s="1"/>
  <c r="CS112" i="4" s="1"/>
  <c r="BV112" i="4"/>
  <c r="CH112" i="4" s="1"/>
  <c r="CT112" i="4" s="1"/>
  <c r="BW112" i="4"/>
  <c r="CI112" i="4" s="1"/>
  <c r="CU112" i="4" s="1"/>
  <c r="BX112" i="4"/>
  <c r="BY112" i="4"/>
  <c r="CK112" i="4" s="1"/>
  <c r="CE112" i="4"/>
  <c r="CQ112" i="4" s="1"/>
  <c r="DS112" i="4" s="1"/>
  <c r="CJ112" i="4"/>
  <c r="CV112" i="4" s="1"/>
  <c r="CO112" i="4"/>
  <c r="CW112" i="4"/>
  <c r="CZ112" i="4"/>
  <c r="DA112" i="4"/>
  <c r="DB112" i="4"/>
  <c r="DC112" i="4"/>
  <c r="DQ112" i="4" s="1"/>
  <c r="DD112" i="4"/>
  <c r="DE112" i="4"/>
  <c r="DF112" i="4"/>
  <c r="DG112" i="4"/>
  <c r="DH112" i="4"/>
  <c r="DI112" i="4"/>
  <c r="DJ112" i="4"/>
  <c r="DK112" i="4"/>
  <c r="DR112" i="4"/>
  <c r="BN113" i="4"/>
  <c r="BZ113" i="4" s="1"/>
  <c r="CL113" i="4" s="1"/>
  <c r="BO113" i="4"/>
  <c r="CA113" i="4" s="1"/>
  <c r="CM113" i="4" s="1"/>
  <c r="BP113" i="4"/>
  <c r="CB113" i="4" s="1"/>
  <c r="CN113" i="4" s="1"/>
  <c r="BQ113" i="4"/>
  <c r="BR113" i="4"/>
  <c r="CD113" i="4" s="1"/>
  <c r="CP113" i="4" s="1"/>
  <c r="BS113" i="4"/>
  <c r="CE113" i="4" s="1"/>
  <c r="CQ113" i="4" s="1"/>
  <c r="BT113" i="4"/>
  <c r="CF113" i="4" s="1"/>
  <c r="CR113" i="4" s="1"/>
  <c r="BU113" i="4"/>
  <c r="CG113" i="4" s="1"/>
  <c r="BV113" i="4"/>
  <c r="CH113" i="4" s="1"/>
  <c r="CT113" i="4" s="1"/>
  <c r="BW113" i="4"/>
  <c r="BX113" i="4"/>
  <c r="BY113" i="4"/>
  <c r="CC113" i="4"/>
  <c r="CO113" i="4" s="1"/>
  <c r="DQ113" i="4" s="1"/>
  <c r="CI113" i="4"/>
  <c r="CU113" i="4" s="1"/>
  <c r="CJ113" i="4"/>
  <c r="CV113" i="4" s="1"/>
  <c r="CK113" i="4"/>
  <c r="CW113" i="4" s="1"/>
  <c r="CS113" i="4"/>
  <c r="CZ113" i="4"/>
  <c r="DN113" i="4" s="1"/>
  <c r="DA113" i="4"/>
  <c r="DB113" i="4"/>
  <c r="DC113" i="4"/>
  <c r="DD113" i="4"/>
  <c r="DE113" i="4"/>
  <c r="DF113" i="4"/>
  <c r="DG113" i="4"/>
  <c r="DH113" i="4"/>
  <c r="DV113" i="4" s="1"/>
  <c r="DI113" i="4"/>
  <c r="DJ113" i="4"/>
  <c r="DK113" i="4"/>
  <c r="DY113" i="4"/>
  <c r="BN114" i="4"/>
  <c r="BZ114" i="4" s="1"/>
  <c r="CL114" i="4" s="1"/>
  <c r="BO114" i="4"/>
  <c r="CA114" i="4" s="1"/>
  <c r="CM114" i="4" s="1"/>
  <c r="DO114" i="4" s="1"/>
  <c r="BP114" i="4"/>
  <c r="CB114" i="4" s="1"/>
  <c r="BQ114" i="4"/>
  <c r="CC114" i="4" s="1"/>
  <c r="CO114" i="4" s="1"/>
  <c r="DQ114" i="4" s="1"/>
  <c r="BR114" i="4"/>
  <c r="CD114" i="4" s="1"/>
  <c r="CP114" i="4" s="1"/>
  <c r="BS114" i="4"/>
  <c r="CE114" i="4" s="1"/>
  <c r="BT114" i="4"/>
  <c r="CF114" i="4" s="1"/>
  <c r="CR114" i="4" s="1"/>
  <c r="BU114" i="4"/>
  <c r="CG114" i="4" s="1"/>
  <c r="CS114" i="4" s="1"/>
  <c r="BV114" i="4"/>
  <c r="BW114" i="4"/>
  <c r="CI114" i="4" s="1"/>
  <c r="CU114" i="4" s="1"/>
  <c r="BX114" i="4"/>
  <c r="CJ114" i="4" s="1"/>
  <c r="BY114" i="4"/>
  <c r="CK114" i="4" s="1"/>
  <c r="CW114" i="4" s="1"/>
  <c r="DY114" i="4" s="1"/>
  <c r="CH114" i="4"/>
  <c r="CT114" i="4" s="1"/>
  <c r="CN114" i="4"/>
  <c r="DP114" i="4" s="1"/>
  <c r="CQ114" i="4"/>
  <c r="CV114" i="4"/>
  <c r="DX114" i="4" s="1"/>
  <c r="CZ114" i="4"/>
  <c r="DA114" i="4"/>
  <c r="DM114" i="4" s="1"/>
  <c r="DB114" i="4"/>
  <c r="DC114" i="4"/>
  <c r="DD114" i="4"/>
  <c r="DE114" i="4"/>
  <c r="DS114" i="4" s="1"/>
  <c r="DF114" i="4"/>
  <c r="DG114" i="4"/>
  <c r="DH114" i="4"/>
  <c r="DI114" i="4"/>
  <c r="DJ114" i="4"/>
  <c r="DK114" i="4"/>
  <c r="DU114" i="4"/>
  <c r="BN115" i="4"/>
  <c r="BZ115" i="4" s="1"/>
  <c r="CL115" i="4" s="1"/>
  <c r="BO115" i="4"/>
  <c r="CA115" i="4" s="1"/>
  <c r="CM115" i="4" s="1"/>
  <c r="BP115" i="4"/>
  <c r="CB115" i="4" s="1"/>
  <c r="CN115" i="4" s="1"/>
  <c r="BQ115" i="4"/>
  <c r="CC115" i="4" s="1"/>
  <c r="CO115" i="4" s="1"/>
  <c r="BR115" i="4"/>
  <c r="BS115" i="4"/>
  <c r="CE115" i="4" s="1"/>
  <c r="BT115" i="4"/>
  <c r="CF115" i="4" s="1"/>
  <c r="CR115" i="4" s="1"/>
  <c r="DT115" i="4" s="1"/>
  <c r="BU115" i="4"/>
  <c r="CG115" i="4" s="1"/>
  <c r="CS115" i="4" s="1"/>
  <c r="BV115" i="4"/>
  <c r="BW115" i="4"/>
  <c r="CI115" i="4" s="1"/>
  <c r="CU115" i="4" s="1"/>
  <c r="BX115" i="4"/>
  <c r="CJ115" i="4" s="1"/>
  <c r="CV115" i="4" s="1"/>
  <c r="BY115" i="4"/>
  <c r="CK115" i="4" s="1"/>
  <c r="CW115" i="4" s="1"/>
  <c r="CD115" i="4"/>
  <c r="CP115" i="4" s="1"/>
  <c r="CH115" i="4"/>
  <c r="CT115" i="4" s="1"/>
  <c r="CQ115" i="4"/>
  <c r="DS115" i="4" s="1"/>
  <c r="CZ115" i="4"/>
  <c r="DA115" i="4"/>
  <c r="DB115" i="4"/>
  <c r="DC115" i="4"/>
  <c r="DD115" i="4"/>
  <c r="DR115" i="4" s="1"/>
  <c r="DE115" i="4"/>
  <c r="DF115" i="4"/>
  <c r="DG115" i="4"/>
  <c r="DH115" i="4"/>
  <c r="DI115" i="4"/>
  <c r="DJ115" i="4"/>
  <c r="DK115" i="4"/>
  <c r="DY115" i="4" s="1"/>
  <c r="DO115" i="4"/>
  <c r="BN116" i="4"/>
  <c r="BZ116" i="4" s="1"/>
  <c r="CL116" i="4" s="1"/>
  <c r="DN116" i="4" s="1"/>
  <c r="BO116" i="4"/>
  <c r="CA116" i="4" s="1"/>
  <c r="CM116" i="4" s="1"/>
  <c r="BP116" i="4"/>
  <c r="CB116" i="4" s="1"/>
  <c r="CN116" i="4" s="1"/>
  <c r="BQ116" i="4"/>
  <c r="CC116" i="4" s="1"/>
  <c r="CO116" i="4" s="1"/>
  <c r="BR116" i="4"/>
  <c r="CD116" i="4" s="1"/>
  <c r="CP116" i="4" s="1"/>
  <c r="BS116" i="4"/>
  <c r="BT116" i="4"/>
  <c r="BU116" i="4"/>
  <c r="CG116" i="4" s="1"/>
  <c r="CS116" i="4" s="1"/>
  <c r="DU116" i="4" s="1"/>
  <c r="BV116" i="4"/>
  <c r="CH116" i="4" s="1"/>
  <c r="CT116" i="4" s="1"/>
  <c r="BW116" i="4"/>
  <c r="CI116" i="4" s="1"/>
  <c r="BX116" i="4"/>
  <c r="CJ116" i="4" s="1"/>
  <c r="CV116" i="4" s="1"/>
  <c r="DX116" i="4" s="1"/>
  <c r="BY116" i="4"/>
  <c r="CK116" i="4" s="1"/>
  <c r="CW116" i="4" s="1"/>
  <c r="CE116" i="4"/>
  <c r="CQ116" i="4" s="1"/>
  <c r="DS116" i="4" s="1"/>
  <c r="CF116" i="4"/>
  <c r="CR116" i="4" s="1"/>
  <c r="CU116" i="4"/>
  <c r="CZ116" i="4"/>
  <c r="DA116" i="4"/>
  <c r="DB116" i="4"/>
  <c r="DC116" i="4"/>
  <c r="DD116" i="4"/>
  <c r="DE116" i="4"/>
  <c r="DF116" i="4"/>
  <c r="DG116" i="4"/>
  <c r="DH116" i="4"/>
  <c r="DI116" i="4"/>
  <c r="DJ116" i="4"/>
  <c r="DK116" i="4"/>
  <c r="DP116" i="4"/>
  <c r="BN117" i="4"/>
  <c r="BZ117" i="4" s="1"/>
  <c r="CL117" i="4" s="1"/>
  <c r="DN117" i="4" s="1"/>
  <c r="BO117" i="4"/>
  <c r="CA117" i="4" s="1"/>
  <c r="CM117" i="4" s="1"/>
  <c r="BP117" i="4"/>
  <c r="CB117" i="4" s="1"/>
  <c r="CN117" i="4" s="1"/>
  <c r="BQ117" i="4"/>
  <c r="CC117" i="4" s="1"/>
  <c r="CO117" i="4" s="1"/>
  <c r="BR117" i="4"/>
  <c r="CD117" i="4" s="1"/>
  <c r="BS117" i="4"/>
  <c r="BT117" i="4"/>
  <c r="BU117" i="4"/>
  <c r="CG117" i="4" s="1"/>
  <c r="BV117" i="4"/>
  <c r="CH117" i="4" s="1"/>
  <c r="CT117" i="4" s="1"/>
  <c r="DV117" i="4" s="1"/>
  <c r="BW117" i="4"/>
  <c r="BX117" i="4"/>
  <c r="CJ117" i="4" s="1"/>
  <c r="CV117" i="4" s="1"/>
  <c r="BY117" i="4"/>
  <c r="CK117" i="4" s="1"/>
  <c r="CW117" i="4" s="1"/>
  <c r="CE117" i="4"/>
  <c r="CQ117" i="4" s="1"/>
  <c r="CF117" i="4"/>
  <c r="CR117" i="4" s="1"/>
  <c r="CI117" i="4"/>
  <c r="CP117" i="4"/>
  <c r="DR117" i="4" s="1"/>
  <c r="CS117" i="4"/>
  <c r="CU117" i="4"/>
  <c r="CZ117" i="4"/>
  <c r="DA117" i="4"/>
  <c r="DB117" i="4"/>
  <c r="DC117" i="4"/>
  <c r="DQ117" i="4" s="1"/>
  <c r="DD117" i="4"/>
  <c r="DE117" i="4"/>
  <c r="DS117" i="4" s="1"/>
  <c r="DF117" i="4"/>
  <c r="DT117" i="4" s="1"/>
  <c r="DG117" i="4"/>
  <c r="DH117" i="4"/>
  <c r="DI117" i="4"/>
  <c r="DJ117" i="4"/>
  <c r="DK117" i="4"/>
  <c r="DY117" i="4" s="1"/>
  <c r="DX117" i="4"/>
  <c r="BN118" i="4"/>
  <c r="BZ118" i="4" s="1"/>
  <c r="CL118" i="4" s="1"/>
  <c r="DN118" i="4" s="1"/>
  <c r="BO118" i="4"/>
  <c r="BP118" i="4"/>
  <c r="CB118" i="4" s="1"/>
  <c r="CN118" i="4" s="1"/>
  <c r="BQ118" i="4"/>
  <c r="BR118" i="4"/>
  <c r="CD118" i="4" s="1"/>
  <c r="CP118" i="4" s="1"/>
  <c r="BS118" i="4"/>
  <c r="CE118" i="4" s="1"/>
  <c r="CQ118" i="4" s="1"/>
  <c r="BT118" i="4"/>
  <c r="BU118" i="4"/>
  <c r="BV118" i="4"/>
  <c r="CH118" i="4" s="1"/>
  <c r="CT118" i="4" s="1"/>
  <c r="BW118" i="4"/>
  <c r="BX118" i="4"/>
  <c r="BY118" i="4"/>
  <c r="CK118" i="4" s="1"/>
  <c r="CW118" i="4" s="1"/>
  <c r="CA118" i="4"/>
  <c r="CM118" i="4" s="1"/>
  <c r="CC118" i="4"/>
  <c r="CO118" i="4" s="1"/>
  <c r="CF118" i="4"/>
  <c r="CR118" i="4" s="1"/>
  <c r="CG118" i="4"/>
  <c r="CS118" i="4" s="1"/>
  <c r="DU118" i="4" s="1"/>
  <c r="CI118" i="4"/>
  <c r="CU118" i="4" s="1"/>
  <c r="CJ118" i="4"/>
  <c r="CV118" i="4" s="1"/>
  <c r="DX118" i="4" s="1"/>
  <c r="CZ118" i="4"/>
  <c r="DA118" i="4"/>
  <c r="DB118" i="4"/>
  <c r="DC118" i="4"/>
  <c r="DD118" i="4"/>
  <c r="DE118" i="4"/>
  <c r="DS118" i="4" s="1"/>
  <c r="DF118" i="4"/>
  <c r="DG118" i="4"/>
  <c r="DH118" i="4"/>
  <c r="DI118" i="4"/>
  <c r="DW118" i="4" s="1"/>
  <c r="DJ118" i="4"/>
  <c r="DK118" i="4"/>
  <c r="DL118" i="4"/>
  <c r="DQ118" i="4"/>
  <c r="BN119" i="4"/>
  <c r="BZ119" i="4" s="1"/>
  <c r="CL119" i="4" s="1"/>
  <c r="BO119" i="4"/>
  <c r="BP119" i="4"/>
  <c r="CB119" i="4" s="1"/>
  <c r="CN119" i="4" s="1"/>
  <c r="BQ119" i="4"/>
  <c r="CC119" i="4" s="1"/>
  <c r="CO119" i="4" s="1"/>
  <c r="BR119" i="4"/>
  <c r="CD119" i="4" s="1"/>
  <c r="CP119" i="4" s="1"/>
  <c r="BS119" i="4"/>
  <c r="BT119" i="4"/>
  <c r="CF119" i="4" s="1"/>
  <c r="CR119" i="4" s="1"/>
  <c r="DT119" i="4" s="1"/>
  <c r="BU119" i="4"/>
  <c r="BV119" i="4"/>
  <c r="BW119" i="4"/>
  <c r="BX119" i="4"/>
  <c r="BY119" i="4"/>
  <c r="CK119" i="4" s="1"/>
  <c r="CA119" i="4"/>
  <c r="CM119" i="4" s="1"/>
  <c r="DO119" i="4" s="1"/>
  <c r="CE119" i="4"/>
  <c r="CQ119" i="4" s="1"/>
  <c r="CG119" i="4"/>
  <c r="CS119" i="4" s="1"/>
  <c r="CH119" i="4"/>
  <c r="CT119" i="4" s="1"/>
  <c r="CI119" i="4"/>
  <c r="CU119" i="4" s="1"/>
  <c r="DW119" i="4" s="1"/>
  <c r="CJ119" i="4"/>
  <c r="CV119" i="4" s="1"/>
  <c r="DX119" i="4" s="1"/>
  <c r="CW119" i="4"/>
  <c r="CZ119" i="4"/>
  <c r="DA119" i="4"/>
  <c r="DB119" i="4"/>
  <c r="DP119" i="4" s="1"/>
  <c r="DC119" i="4"/>
  <c r="DD119" i="4"/>
  <c r="DE119" i="4"/>
  <c r="DF119" i="4"/>
  <c r="DL119" i="4" s="1"/>
  <c r="DG119" i="4"/>
  <c r="DH119" i="4"/>
  <c r="DI119" i="4"/>
  <c r="DJ119" i="4"/>
  <c r="DK119" i="4"/>
  <c r="BN120" i="4"/>
  <c r="BZ120" i="4" s="1"/>
  <c r="CL120" i="4" s="1"/>
  <c r="DN120" i="4" s="1"/>
  <c r="BO120" i="4"/>
  <c r="CA120" i="4" s="1"/>
  <c r="CM120" i="4" s="1"/>
  <c r="BP120" i="4"/>
  <c r="CB120" i="4" s="1"/>
  <c r="CN120" i="4" s="1"/>
  <c r="BQ120" i="4"/>
  <c r="BR120" i="4"/>
  <c r="BS120" i="4"/>
  <c r="CE120" i="4" s="1"/>
  <c r="CQ120" i="4" s="1"/>
  <c r="BT120" i="4"/>
  <c r="CF120" i="4" s="1"/>
  <c r="CR120" i="4" s="1"/>
  <c r="BU120" i="4"/>
  <c r="CG120" i="4" s="1"/>
  <c r="CS120" i="4" s="1"/>
  <c r="BV120" i="4"/>
  <c r="CH120" i="4" s="1"/>
  <c r="CT120" i="4" s="1"/>
  <c r="BW120" i="4"/>
  <c r="CI120" i="4" s="1"/>
  <c r="CU120" i="4" s="1"/>
  <c r="BX120" i="4"/>
  <c r="CJ120" i="4" s="1"/>
  <c r="CV120" i="4" s="1"/>
  <c r="BY120" i="4"/>
  <c r="CC120" i="4"/>
  <c r="CO120" i="4" s="1"/>
  <c r="CD120" i="4"/>
  <c r="CP120" i="4" s="1"/>
  <c r="CK120" i="4"/>
  <c r="CW120" i="4" s="1"/>
  <c r="CZ120" i="4"/>
  <c r="DA120" i="4"/>
  <c r="DB120" i="4"/>
  <c r="DC120" i="4"/>
  <c r="DD120" i="4"/>
  <c r="DE120" i="4"/>
  <c r="DF120" i="4"/>
  <c r="DG120" i="4"/>
  <c r="DH120" i="4"/>
  <c r="DI120" i="4"/>
  <c r="DJ120" i="4"/>
  <c r="DK120" i="4"/>
  <c r="DQ120" i="4"/>
  <c r="BN121" i="4"/>
  <c r="BO121" i="4"/>
  <c r="CA121" i="4" s="1"/>
  <c r="CM121" i="4" s="1"/>
  <c r="BP121" i="4"/>
  <c r="CB121" i="4" s="1"/>
  <c r="CN121" i="4" s="1"/>
  <c r="DP121" i="4" s="1"/>
  <c r="BQ121" i="4"/>
  <c r="CC121" i="4" s="1"/>
  <c r="CO121" i="4" s="1"/>
  <c r="BR121" i="4"/>
  <c r="CD121" i="4" s="1"/>
  <c r="CP121" i="4" s="1"/>
  <c r="BS121" i="4"/>
  <c r="BT121" i="4"/>
  <c r="CF121" i="4" s="1"/>
  <c r="CR121" i="4" s="1"/>
  <c r="DT121" i="4" s="1"/>
  <c r="BU121" i="4"/>
  <c r="CG121" i="4" s="1"/>
  <c r="CS121" i="4" s="1"/>
  <c r="BV121" i="4"/>
  <c r="BW121" i="4"/>
  <c r="BX121" i="4"/>
  <c r="CJ121" i="4" s="1"/>
  <c r="CV121" i="4" s="1"/>
  <c r="DX121" i="4" s="1"/>
  <c r="BY121" i="4"/>
  <c r="CK121" i="4" s="1"/>
  <c r="CW121" i="4" s="1"/>
  <c r="BZ121" i="4"/>
  <c r="CL121" i="4" s="1"/>
  <c r="CE121" i="4"/>
  <c r="CQ121" i="4" s="1"/>
  <c r="DS121" i="4" s="1"/>
  <c r="CH121" i="4"/>
  <c r="CT121" i="4" s="1"/>
  <c r="DV121" i="4" s="1"/>
  <c r="CI121" i="4"/>
  <c r="CU121" i="4" s="1"/>
  <c r="CZ121" i="4"/>
  <c r="DA121" i="4"/>
  <c r="DB121" i="4"/>
  <c r="DC121" i="4"/>
  <c r="DD121" i="4"/>
  <c r="DE121" i="4"/>
  <c r="DF121" i="4"/>
  <c r="DG121" i="4"/>
  <c r="DH121" i="4"/>
  <c r="DI121" i="4"/>
  <c r="DJ121" i="4"/>
  <c r="DK121" i="4"/>
  <c r="DY121" i="4" s="1"/>
  <c r="DL121" i="4"/>
  <c r="DO121" i="4"/>
  <c r="BN122" i="4"/>
  <c r="BO122" i="4"/>
  <c r="CA122" i="4" s="1"/>
  <c r="CM122" i="4" s="1"/>
  <c r="BP122" i="4"/>
  <c r="CB122" i="4" s="1"/>
  <c r="CN122" i="4" s="1"/>
  <c r="BQ122" i="4"/>
  <c r="BR122" i="4"/>
  <c r="CD122" i="4" s="1"/>
  <c r="CP122" i="4" s="1"/>
  <c r="BS122" i="4"/>
  <c r="CE122" i="4" s="1"/>
  <c r="CQ122" i="4" s="1"/>
  <c r="BT122" i="4"/>
  <c r="CF122" i="4" s="1"/>
  <c r="CR122" i="4" s="1"/>
  <c r="BU122" i="4"/>
  <c r="CG122" i="4" s="1"/>
  <c r="CS122" i="4" s="1"/>
  <c r="BV122" i="4"/>
  <c r="CH122" i="4" s="1"/>
  <c r="CT122" i="4" s="1"/>
  <c r="DV122" i="4" s="1"/>
  <c r="BW122" i="4"/>
  <c r="CI122" i="4" s="1"/>
  <c r="CU122" i="4" s="1"/>
  <c r="BX122" i="4"/>
  <c r="BY122" i="4"/>
  <c r="BZ122" i="4"/>
  <c r="CL122" i="4" s="1"/>
  <c r="DN122" i="4" s="1"/>
  <c r="CC122" i="4"/>
  <c r="CJ122" i="4"/>
  <c r="CV122" i="4" s="1"/>
  <c r="CK122" i="4"/>
  <c r="CW122" i="4" s="1"/>
  <c r="DY122" i="4" s="1"/>
  <c r="CO122" i="4"/>
  <c r="CZ122" i="4"/>
  <c r="DA122" i="4"/>
  <c r="DB122" i="4"/>
  <c r="DC122" i="4"/>
  <c r="DD122" i="4"/>
  <c r="DE122" i="4"/>
  <c r="DF122" i="4"/>
  <c r="DG122" i="4"/>
  <c r="DH122" i="4"/>
  <c r="DI122" i="4"/>
  <c r="DJ122" i="4"/>
  <c r="DK122" i="4"/>
  <c r="DQ122" i="4"/>
  <c r="BN123" i="4"/>
  <c r="BZ123" i="4" s="1"/>
  <c r="CL123" i="4" s="1"/>
  <c r="DN123" i="4" s="1"/>
  <c r="BP123" i="4"/>
  <c r="CB123" i="4" s="1"/>
  <c r="CN123" i="4" s="1"/>
  <c r="BR123" i="4"/>
  <c r="BT123" i="4"/>
  <c r="BU123" i="4"/>
  <c r="BV123" i="4"/>
  <c r="CH123" i="4" s="1"/>
  <c r="CT123" i="4" s="1"/>
  <c r="DV123" i="4" s="1"/>
  <c r="BX123" i="4"/>
  <c r="CJ123" i="4" s="1"/>
  <c r="CV123" i="4" s="1"/>
  <c r="BY123" i="4"/>
  <c r="CK123" i="4" s="1"/>
  <c r="CW123" i="4" s="1"/>
  <c r="CD123" i="4"/>
  <c r="CP123" i="4" s="1"/>
  <c r="CF123" i="4"/>
  <c r="CR123" i="4" s="1"/>
  <c r="CG123" i="4"/>
  <c r="CS123" i="4" s="1"/>
  <c r="CZ123" i="4"/>
  <c r="DB123" i="4"/>
  <c r="DD123" i="4"/>
  <c r="DF123" i="4"/>
  <c r="DG123" i="4"/>
  <c r="DU123" i="4" s="1"/>
  <c r="DH123" i="4"/>
  <c r="DJ123" i="4"/>
  <c r="DX123" i="4" s="1"/>
  <c r="DK123" i="4"/>
  <c r="BN124" i="4"/>
  <c r="BZ124" i="4" s="1"/>
  <c r="CL124" i="4" s="1"/>
  <c r="BP124" i="4"/>
  <c r="BR124" i="4"/>
  <c r="BT124" i="4"/>
  <c r="CF124" i="4" s="1"/>
  <c r="CR124" i="4" s="1"/>
  <c r="BV124" i="4"/>
  <c r="BX124" i="4"/>
  <c r="CJ124" i="4" s="1"/>
  <c r="BY124" i="4"/>
  <c r="CK124" i="4" s="1"/>
  <c r="CW124" i="4" s="1"/>
  <c r="CB124" i="4"/>
  <c r="CN124" i="4" s="1"/>
  <c r="CD124" i="4"/>
  <c r="CP124" i="4" s="1"/>
  <c r="DR124" i="4" s="1"/>
  <c r="CH124" i="4"/>
  <c r="CT124" i="4" s="1"/>
  <c r="CV124" i="4"/>
  <c r="DX124" i="4" s="1"/>
  <c r="CZ124" i="4"/>
  <c r="DN124" i="4" s="1"/>
  <c r="DB124" i="4"/>
  <c r="DD124" i="4"/>
  <c r="DF124" i="4"/>
  <c r="DH124" i="4"/>
  <c r="DJ124" i="4"/>
  <c r="DK124" i="4"/>
  <c r="BN125" i="4"/>
  <c r="BZ125" i="4" s="1"/>
  <c r="CL125" i="4" s="1"/>
  <c r="BP125" i="4"/>
  <c r="CB125" i="4" s="1"/>
  <c r="CN125" i="4" s="1"/>
  <c r="DP125" i="4" s="1"/>
  <c r="BR125" i="4"/>
  <c r="CD125" i="4" s="1"/>
  <c r="CP125" i="4" s="1"/>
  <c r="BT125" i="4"/>
  <c r="CF125" i="4" s="1"/>
  <c r="CR125" i="4" s="1"/>
  <c r="BU125" i="4"/>
  <c r="CG125" i="4" s="1"/>
  <c r="CS125" i="4" s="1"/>
  <c r="BV125" i="4"/>
  <c r="CH125" i="4" s="1"/>
  <c r="CT125" i="4" s="1"/>
  <c r="BX125" i="4"/>
  <c r="CJ125" i="4" s="1"/>
  <c r="CV125" i="4" s="1"/>
  <c r="BY125" i="4"/>
  <c r="CK125" i="4" s="1"/>
  <c r="CW125" i="4" s="1"/>
  <c r="CZ125" i="4"/>
  <c r="DB125" i="4"/>
  <c r="DD125" i="4"/>
  <c r="DF125" i="4"/>
  <c r="DT125" i="4" s="1"/>
  <c r="DG125" i="4"/>
  <c r="DH125" i="4"/>
  <c r="DJ125" i="4"/>
  <c r="DK125" i="4"/>
  <c r="DX125" i="4"/>
  <c r="BN126" i="4"/>
  <c r="BZ126" i="4" s="1"/>
  <c r="CL126" i="4" s="1"/>
  <c r="DN126" i="4" s="1"/>
  <c r="BP126" i="4"/>
  <c r="CB126" i="4" s="1"/>
  <c r="CN126" i="4" s="1"/>
  <c r="BR126" i="4"/>
  <c r="CD126" i="4" s="1"/>
  <c r="CP126" i="4" s="1"/>
  <c r="BT126" i="4"/>
  <c r="BV126" i="4"/>
  <c r="BW126" i="4"/>
  <c r="BX126" i="4"/>
  <c r="CJ126" i="4" s="1"/>
  <c r="BY126" i="4"/>
  <c r="CK126" i="4" s="1"/>
  <c r="CW126" i="4" s="1"/>
  <c r="DY126" i="4" s="1"/>
  <c r="CF126" i="4"/>
  <c r="CH126" i="4"/>
  <c r="CT126" i="4" s="1"/>
  <c r="CI126" i="4"/>
  <c r="CU126" i="4" s="1"/>
  <c r="DW126" i="4" s="1"/>
  <c r="CR126" i="4"/>
  <c r="DT126" i="4" s="1"/>
  <c r="CV126" i="4"/>
  <c r="CZ126" i="4"/>
  <c r="DB126" i="4"/>
  <c r="DP126" i="4" s="1"/>
  <c r="DD126" i="4"/>
  <c r="DF126" i="4"/>
  <c r="DH126" i="4"/>
  <c r="DI126" i="4"/>
  <c r="DJ126" i="4"/>
  <c r="DK126" i="4"/>
  <c r="BN127" i="4"/>
  <c r="BZ127" i="4" s="1"/>
  <c r="CL127" i="4" s="1"/>
  <c r="BP127" i="4"/>
  <c r="BR127" i="4"/>
  <c r="CD127" i="4" s="1"/>
  <c r="CP127" i="4" s="1"/>
  <c r="BT127" i="4"/>
  <c r="CF127" i="4" s="1"/>
  <c r="BV127" i="4"/>
  <c r="CH127" i="4" s="1"/>
  <c r="CT127" i="4" s="1"/>
  <c r="DV127" i="4" s="1"/>
  <c r="BW127" i="4"/>
  <c r="BX127" i="4"/>
  <c r="CJ127" i="4" s="1"/>
  <c r="CV127" i="4" s="1"/>
  <c r="BY127" i="4"/>
  <c r="CK127" i="4" s="1"/>
  <c r="CW127" i="4" s="1"/>
  <c r="CB127" i="4"/>
  <c r="CN127" i="4" s="1"/>
  <c r="CR127" i="4"/>
  <c r="CZ127" i="4"/>
  <c r="DN127" i="4" s="1"/>
  <c r="DB127" i="4"/>
  <c r="DD127" i="4"/>
  <c r="DF127" i="4"/>
  <c r="DH127" i="4"/>
  <c r="DI127" i="4"/>
  <c r="DJ127" i="4"/>
  <c r="DK127" i="4"/>
  <c r="BN128" i="4"/>
  <c r="BZ128" i="4" s="1"/>
  <c r="CL128" i="4" s="1"/>
  <c r="DN128" i="4" s="1"/>
  <c r="BP128" i="4"/>
  <c r="CB128" i="4" s="1"/>
  <c r="CN128" i="4" s="1"/>
  <c r="BQ128" i="4"/>
  <c r="BR128" i="4"/>
  <c r="BT128" i="4"/>
  <c r="CF128" i="4" s="1"/>
  <c r="CR128" i="4" s="1"/>
  <c r="BU128" i="4"/>
  <c r="CG128" i="4" s="1"/>
  <c r="CS128" i="4" s="1"/>
  <c r="BV128" i="4"/>
  <c r="CH128" i="4" s="1"/>
  <c r="CT128" i="4" s="1"/>
  <c r="BW128" i="4"/>
  <c r="CI128" i="4" s="1"/>
  <c r="CU128" i="4" s="1"/>
  <c r="BX128" i="4"/>
  <c r="CJ128" i="4" s="1"/>
  <c r="BY128" i="4"/>
  <c r="CC128" i="4"/>
  <c r="CO128" i="4" s="1"/>
  <c r="DQ128" i="4" s="1"/>
  <c r="CD128" i="4"/>
  <c r="CP128" i="4" s="1"/>
  <c r="DR128" i="4" s="1"/>
  <c r="CK128" i="4"/>
  <c r="CW128" i="4" s="1"/>
  <c r="CV128" i="4"/>
  <c r="CZ128" i="4"/>
  <c r="DB128" i="4"/>
  <c r="DC128" i="4"/>
  <c r="DD128" i="4"/>
  <c r="DF128" i="4"/>
  <c r="DG128" i="4"/>
  <c r="DU128" i="4" s="1"/>
  <c r="DH128" i="4"/>
  <c r="DI128" i="4"/>
  <c r="DJ128" i="4"/>
  <c r="DK128" i="4"/>
  <c r="DY128" i="4" s="1"/>
  <c r="BN129" i="4"/>
  <c r="BZ129" i="4" s="1"/>
  <c r="CL129" i="4" s="1"/>
  <c r="BO129" i="4"/>
  <c r="CA129" i="4" s="1"/>
  <c r="CM129" i="4" s="1"/>
  <c r="BP129" i="4"/>
  <c r="BR129" i="4"/>
  <c r="BS129" i="4"/>
  <c r="CE129" i="4" s="1"/>
  <c r="BT129" i="4"/>
  <c r="BU129" i="4"/>
  <c r="CG129" i="4" s="1"/>
  <c r="CS129" i="4" s="1"/>
  <c r="BV129" i="4"/>
  <c r="CH129" i="4" s="1"/>
  <c r="CT129" i="4" s="1"/>
  <c r="BW129" i="4"/>
  <c r="BX129" i="4"/>
  <c r="CJ129" i="4" s="1"/>
  <c r="CV129" i="4" s="1"/>
  <c r="BY129" i="4"/>
  <c r="CK129" i="4" s="1"/>
  <c r="CW129" i="4" s="1"/>
  <c r="DY129" i="4" s="1"/>
  <c r="CB129" i="4"/>
  <c r="CN129" i="4" s="1"/>
  <c r="CD129" i="4"/>
  <c r="CP129" i="4" s="1"/>
  <c r="CF129" i="4"/>
  <c r="CR129" i="4" s="1"/>
  <c r="DT129" i="4" s="1"/>
  <c r="CI129" i="4"/>
  <c r="CU129" i="4" s="1"/>
  <c r="CQ129" i="4"/>
  <c r="CZ129" i="4"/>
  <c r="DA129" i="4"/>
  <c r="DB129" i="4"/>
  <c r="DD129" i="4"/>
  <c r="DR129" i="4" s="1"/>
  <c r="DE129" i="4"/>
  <c r="DF129" i="4"/>
  <c r="DG129" i="4"/>
  <c r="DH129" i="4"/>
  <c r="DI129" i="4"/>
  <c r="DJ129" i="4"/>
  <c r="DX129" i="4" s="1"/>
  <c r="DK129" i="4"/>
  <c r="DL129" i="4"/>
  <c r="DW129" i="4"/>
  <c r="BN130" i="4"/>
  <c r="BZ130" i="4" s="1"/>
  <c r="CL130" i="4" s="1"/>
  <c r="BO130" i="4"/>
  <c r="CA130" i="4" s="1"/>
  <c r="CM130" i="4" s="1"/>
  <c r="DO130" i="4" s="1"/>
  <c r="BP130" i="4"/>
  <c r="CB130" i="4" s="1"/>
  <c r="CN130" i="4" s="1"/>
  <c r="BR130" i="4"/>
  <c r="CD130" i="4" s="1"/>
  <c r="BS130" i="4"/>
  <c r="BT130" i="4"/>
  <c r="CF130" i="4" s="1"/>
  <c r="BU130" i="4"/>
  <c r="BV130" i="4"/>
  <c r="BW130" i="4"/>
  <c r="CI130" i="4" s="1"/>
  <c r="CU130" i="4" s="1"/>
  <c r="DW130" i="4" s="1"/>
  <c r="BX130" i="4"/>
  <c r="CJ130" i="4" s="1"/>
  <c r="CV130" i="4" s="1"/>
  <c r="BY130" i="4"/>
  <c r="CK130" i="4" s="1"/>
  <c r="CW130" i="4" s="1"/>
  <c r="CE130" i="4"/>
  <c r="CG130" i="4"/>
  <c r="CS130" i="4" s="1"/>
  <c r="DU130" i="4" s="1"/>
  <c r="CH130" i="4"/>
  <c r="CT130" i="4" s="1"/>
  <c r="CP130" i="4"/>
  <c r="CQ130" i="4"/>
  <c r="CR130" i="4"/>
  <c r="CZ130" i="4"/>
  <c r="DA130" i="4"/>
  <c r="DB130" i="4"/>
  <c r="DD130" i="4"/>
  <c r="DE130" i="4"/>
  <c r="DF130" i="4"/>
  <c r="DG130" i="4"/>
  <c r="DH130" i="4"/>
  <c r="DV130" i="4" s="1"/>
  <c r="DI130" i="4"/>
  <c r="DJ130" i="4"/>
  <c r="DK130" i="4"/>
  <c r="DY130" i="4"/>
  <c r="BN131" i="4"/>
  <c r="BO131" i="4"/>
  <c r="CA131" i="4" s="1"/>
  <c r="CM131" i="4" s="1"/>
  <c r="BP131" i="4"/>
  <c r="CB131" i="4" s="1"/>
  <c r="CN131" i="4" s="1"/>
  <c r="DP131" i="4" s="1"/>
  <c r="BR131" i="4"/>
  <c r="CD131" i="4" s="1"/>
  <c r="CP131" i="4" s="1"/>
  <c r="BT131" i="4"/>
  <c r="CF131" i="4" s="1"/>
  <c r="CR131" i="4" s="1"/>
  <c r="BU131" i="4"/>
  <c r="CG131" i="4" s="1"/>
  <c r="CS131" i="4" s="1"/>
  <c r="BV131" i="4"/>
  <c r="CH131" i="4" s="1"/>
  <c r="CT131" i="4" s="1"/>
  <c r="BW131" i="4"/>
  <c r="CI131" i="4" s="1"/>
  <c r="CU131" i="4" s="1"/>
  <c r="BX131" i="4"/>
  <c r="BY131" i="4"/>
  <c r="CK131" i="4" s="1"/>
  <c r="CW131" i="4" s="1"/>
  <c r="DY131" i="4" s="1"/>
  <c r="BZ131" i="4"/>
  <c r="CL131" i="4" s="1"/>
  <c r="CJ131" i="4"/>
  <c r="CV131" i="4" s="1"/>
  <c r="DX131" i="4" s="1"/>
  <c r="CZ131" i="4"/>
  <c r="DA131" i="4"/>
  <c r="DB131" i="4"/>
  <c r="DD131" i="4"/>
  <c r="DR131" i="4" s="1"/>
  <c r="DF131" i="4"/>
  <c r="DG131" i="4"/>
  <c r="DU131" i="4" s="1"/>
  <c r="DH131" i="4"/>
  <c r="DV131" i="4" s="1"/>
  <c r="DI131" i="4"/>
  <c r="DJ131" i="4"/>
  <c r="DK131" i="4"/>
  <c r="DW131" i="4"/>
  <c r="BN132" i="4"/>
  <c r="BO132" i="4"/>
  <c r="CA132" i="4" s="1"/>
  <c r="CM132" i="4" s="1"/>
  <c r="BP132" i="4"/>
  <c r="CB132" i="4" s="1"/>
  <c r="CN132" i="4" s="1"/>
  <c r="BR132" i="4"/>
  <c r="CD132" i="4" s="1"/>
  <c r="BT132" i="4"/>
  <c r="CF132" i="4" s="1"/>
  <c r="CR132" i="4" s="1"/>
  <c r="BU132" i="4"/>
  <c r="CG132" i="4" s="1"/>
  <c r="CS132" i="4" s="1"/>
  <c r="BV132" i="4"/>
  <c r="BW132" i="4"/>
  <c r="CI132" i="4" s="1"/>
  <c r="CU132" i="4" s="1"/>
  <c r="BX132" i="4"/>
  <c r="CJ132" i="4" s="1"/>
  <c r="CV132" i="4" s="1"/>
  <c r="BY132" i="4"/>
  <c r="CK132" i="4" s="1"/>
  <c r="CW132" i="4" s="1"/>
  <c r="BZ132" i="4"/>
  <c r="CL132" i="4" s="1"/>
  <c r="CH132" i="4"/>
  <c r="CT132" i="4" s="1"/>
  <c r="CP132" i="4"/>
  <c r="DR132" i="4" s="1"/>
  <c r="CZ132" i="4"/>
  <c r="DA132" i="4"/>
  <c r="DB132" i="4"/>
  <c r="DD132" i="4"/>
  <c r="DF132" i="4"/>
  <c r="DL132" i="4" s="1"/>
  <c r="DG132" i="4"/>
  <c r="DH132" i="4"/>
  <c r="DI132" i="4"/>
  <c r="DJ132" i="4"/>
  <c r="DK132" i="4"/>
  <c r="DT132" i="4"/>
  <c r="BN133" i="4"/>
  <c r="BZ133" i="4" s="1"/>
  <c r="CL133" i="4" s="1"/>
  <c r="BO133" i="4"/>
  <c r="CA133" i="4" s="1"/>
  <c r="BP133" i="4"/>
  <c r="CB133" i="4" s="1"/>
  <c r="CN133" i="4" s="1"/>
  <c r="BR133" i="4"/>
  <c r="BT133" i="4"/>
  <c r="CF133" i="4" s="1"/>
  <c r="CR133" i="4" s="1"/>
  <c r="DT133" i="4" s="1"/>
  <c r="BU133" i="4"/>
  <c r="CG133" i="4" s="1"/>
  <c r="CS133" i="4" s="1"/>
  <c r="BV133" i="4"/>
  <c r="CH133" i="4" s="1"/>
  <c r="CT133" i="4" s="1"/>
  <c r="BW133" i="4"/>
  <c r="CI133" i="4" s="1"/>
  <c r="BX133" i="4"/>
  <c r="BY133" i="4"/>
  <c r="CD133" i="4"/>
  <c r="CP133" i="4" s="1"/>
  <c r="CJ133" i="4"/>
  <c r="CK133" i="4"/>
  <c r="CW133" i="4" s="1"/>
  <c r="CM133" i="4"/>
  <c r="CU133" i="4"/>
  <c r="CV133" i="4"/>
  <c r="CZ133" i="4"/>
  <c r="DA133" i="4"/>
  <c r="DO133" i="4" s="1"/>
  <c r="DB133" i="4"/>
  <c r="DD133" i="4"/>
  <c r="DF133" i="4"/>
  <c r="DG133" i="4"/>
  <c r="DU133" i="4" s="1"/>
  <c r="DH133" i="4"/>
  <c r="DL133" i="4" s="1"/>
  <c r="DI133" i="4"/>
  <c r="DJ133" i="4"/>
  <c r="DK133" i="4"/>
  <c r="BN134" i="4"/>
  <c r="BZ134" i="4" s="1"/>
  <c r="CL134" i="4" s="1"/>
  <c r="BP134" i="4"/>
  <c r="BR134" i="4"/>
  <c r="BT134" i="4"/>
  <c r="CF134" i="4" s="1"/>
  <c r="CR134" i="4" s="1"/>
  <c r="BU134" i="4"/>
  <c r="CG134" i="4" s="1"/>
  <c r="CS134" i="4" s="1"/>
  <c r="BV134" i="4"/>
  <c r="CH134" i="4" s="1"/>
  <c r="CT134" i="4" s="1"/>
  <c r="BX134" i="4"/>
  <c r="BY134" i="4"/>
  <c r="CK134" i="4" s="1"/>
  <c r="CW134" i="4" s="1"/>
  <c r="DY134" i="4" s="1"/>
  <c r="CB134" i="4"/>
  <c r="CN134" i="4" s="1"/>
  <c r="CD134" i="4"/>
  <c r="CP134" i="4" s="1"/>
  <c r="DR134" i="4" s="1"/>
  <c r="CJ134" i="4"/>
  <c r="CV134" i="4" s="1"/>
  <c r="CZ134" i="4"/>
  <c r="DB134" i="4"/>
  <c r="DD134" i="4"/>
  <c r="DF134" i="4"/>
  <c r="DG134" i="4"/>
  <c r="DH134" i="4"/>
  <c r="DJ134" i="4"/>
  <c r="DK134" i="4"/>
  <c r="BN135" i="4"/>
  <c r="BO135" i="4"/>
  <c r="CA135" i="4" s="1"/>
  <c r="CM135" i="4" s="1"/>
  <c r="BP135" i="4"/>
  <c r="CB135" i="4" s="1"/>
  <c r="CN135" i="4" s="1"/>
  <c r="DP135" i="4" s="1"/>
  <c r="BR135" i="4"/>
  <c r="CD135" i="4" s="1"/>
  <c r="CP135" i="4" s="1"/>
  <c r="BT135" i="4"/>
  <c r="CF135" i="4" s="1"/>
  <c r="CR135" i="4" s="1"/>
  <c r="DT135" i="4" s="1"/>
  <c r="BU135" i="4"/>
  <c r="CG135" i="4" s="1"/>
  <c r="CS135" i="4" s="1"/>
  <c r="BV135" i="4"/>
  <c r="BW135" i="4"/>
  <c r="BX135" i="4"/>
  <c r="CJ135" i="4" s="1"/>
  <c r="CV135" i="4" s="1"/>
  <c r="BY135" i="4"/>
  <c r="CK135" i="4" s="1"/>
  <c r="CW135" i="4" s="1"/>
  <c r="BZ135" i="4"/>
  <c r="CL135" i="4" s="1"/>
  <c r="CH135" i="4"/>
  <c r="CT135" i="4" s="1"/>
  <c r="CI135" i="4"/>
  <c r="CU135" i="4" s="1"/>
  <c r="CZ135" i="4"/>
  <c r="DN135" i="4" s="1"/>
  <c r="DA135" i="4"/>
  <c r="DB135" i="4"/>
  <c r="DD135" i="4"/>
  <c r="DF135" i="4"/>
  <c r="DG135" i="4"/>
  <c r="DH135" i="4"/>
  <c r="DI135" i="4"/>
  <c r="DJ135" i="4"/>
  <c r="DK135" i="4"/>
  <c r="DV135" i="4"/>
  <c r="BN136" i="4"/>
  <c r="BZ136" i="4" s="1"/>
  <c r="CL136" i="4" s="1"/>
  <c r="DN136" i="4" s="1"/>
  <c r="BO136" i="4"/>
  <c r="CA136" i="4" s="1"/>
  <c r="BP136" i="4"/>
  <c r="CB136" i="4" s="1"/>
  <c r="CN136" i="4" s="1"/>
  <c r="BQ136" i="4"/>
  <c r="CC136" i="4" s="1"/>
  <c r="BR136" i="4"/>
  <c r="BS136" i="4"/>
  <c r="BT136" i="4"/>
  <c r="BU136" i="4"/>
  <c r="CG136" i="4" s="1"/>
  <c r="CS136" i="4" s="1"/>
  <c r="BV136" i="4"/>
  <c r="CH136" i="4" s="1"/>
  <c r="CT136" i="4" s="1"/>
  <c r="DV136" i="4" s="1"/>
  <c r="BW136" i="4"/>
  <c r="CI136" i="4" s="1"/>
  <c r="CU136" i="4" s="1"/>
  <c r="BX136" i="4"/>
  <c r="CJ136" i="4" s="1"/>
  <c r="CV136" i="4" s="1"/>
  <c r="BY136" i="4"/>
  <c r="CK136" i="4" s="1"/>
  <c r="CW136" i="4" s="1"/>
  <c r="CD136" i="4"/>
  <c r="CP136" i="4" s="1"/>
  <c r="CE136" i="4"/>
  <c r="CQ136" i="4" s="1"/>
  <c r="CF136" i="4"/>
  <c r="CR136" i="4" s="1"/>
  <c r="CM136" i="4"/>
  <c r="CO136" i="4"/>
  <c r="DQ136" i="4" s="1"/>
  <c r="CZ136" i="4"/>
  <c r="DA136" i="4"/>
  <c r="DB136" i="4"/>
  <c r="DC136" i="4"/>
  <c r="DD136" i="4"/>
  <c r="DR136" i="4" s="1"/>
  <c r="DE136" i="4"/>
  <c r="DF136" i="4"/>
  <c r="DG136" i="4"/>
  <c r="DH136" i="4"/>
  <c r="DI136" i="4"/>
  <c r="DW136" i="4" s="1"/>
  <c r="DJ136" i="4"/>
  <c r="DK136" i="4"/>
  <c r="DL136" i="4"/>
  <c r="DM136" i="4"/>
  <c r="BN137" i="4"/>
  <c r="BZ137" i="4" s="1"/>
  <c r="CL137" i="4" s="1"/>
  <c r="BO137" i="4"/>
  <c r="BP137" i="4"/>
  <c r="CB137" i="4" s="1"/>
  <c r="CN137" i="4" s="1"/>
  <c r="BQ137" i="4"/>
  <c r="BR137" i="4"/>
  <c r="CD137" i="4" s="1"/>
  <c r="CP137" i="4" s="1"/>
  <c r="BS137" i="4"/>
  <c r="CE137" i="4" s="1"/>
  <c r="CQ137" i="4" s="1"/>
  <c r="DS137" i="4" s="1"/>
  <c r="BT137" i="4"/>
  <c r="CF137" i="4" s="1"/>
  <c r="BU137" i="4"/>
  <c r="BV137" i="4"/>
  <c r="CH137" i="4" s="1"/>
  <c r="CT137" i="4" s="1"/>
  <c r="BW137" i="4"/>
  <c r="CI137" i="4" s="1"/>
  <c r="CU137" i="4" s="1"/>
  <c r="BX137" i="4"/>
  <c r="CJ137" i="4" s="1"/>
  <c r="CV137" i="4" s="1"/>
  <c r="BY137" i="4"/>
  <c r="CK137" i="4" s="1"/>
  <c r="CW137" i="4" s="1"/>
  <c r="CA137" i="4"/>
  <c r="CM137" i="4" s="1"/>
  <c r="CC137" i="4"/>
  <c r="CO137" i="4" s="1"/>
  <c r="DQ137" i="4" s="1"/>
  <c r="CG137" i="4"/>
  <c r="CS137" i="4" s="1"/>
  <c r="DU137" i="4" s="1"/>
  <c r="CR137" i="4"/>
  <c r="CZ137" i="4"/>
  <c r="DA137" i="4"/>
  <c r="DB137" i="4"/>
  <c r="DP137" i="4" s="1"/>
  <c r="DC137" i="4"/>
  <c r="DD137" i="4"/>
  <c r="DE137" i="4"/>
  <c r="DF137" i="4"/>
  <c r="DG137" i="4"/>
  <c r="DH137" i="4"/>
  <c r="DV137" i="4" s="1"/>
  <c r="DI137" i="4"/>
  <c r="DJ137" i="4"/>
  <c r="DX137" i="4" s="1"/>
  <c r="DK137" i="4"/>
  <c r="BN138" i="4"/>
  <c r="BZ138" i="4" s="1"/>
  <c r="BO138" i="4"/>
  <c r="BP138" i="4"/>
  <c r="BQ138" i="4"/>
  <c r="CC138" i="4" s="1"/>
  <c r="CO138" i="4" s="1"/>
  <c r="BR138" i="4"/>
  <c r="CD138" i="4" s="1"/>
  <c r="CP138" i="4" s="1"/>
  <c r="BS138" i="4"/>
  <c r="CE138" i="4" s="1"/>
  <c r="CQ138" i="4" s="1"/>
  <c r="BT138" i="4"/>
  <c r="CF138" i="4" s="1"/>
  <c r="CR138" i="4" s="1"/>
  <c r="BU138" i="4"/>
  <c r="BV138" i="4"/>
  <c r="CH138" i="4" s="1"/>
  <c r="CT138" i="4" s="1"/>
  <c r="DV138" i="4" s="1"/>
  <c r="BW138" i="4"/>
  <c r="BX138" i="4"/>
  <c r="BY138" i="4"/>
  <c r="CK138" i="4" s="1"/>
  <c r="CW138" i="4" s="1"/>
  <c r="DY138" i="4" s="1"/>
  <c r="CA138" i="4"/>
  <c r="CB138" i="4"/>
  <c r="CN138" i="4" s="1"/>
  <c r="CG138" i="4"/>
  <c r="CS138" i="4" s="1"/>
  <c r="CI138" i="4"/>
  <c r="CJ138" i="4"/>
  <c r="CV138" i="4" s="1"/>
  <c r="CL138" i="4"/>
  <c r="DN138" i="4" s="1"/>
  <c r="CM138" i="4"/>
  <c r="CU138" i="4"/>
  <c r="DW138" i="4" s="1"/>
  <c r="CZ138" i="4"/>
  <c r="DA138" i="4"/>
  <c r="DB138" i="4"/>
  <c r="DC138" i="4"/>
  <c r="DD138" i="4"/>
  <c r="DE138" i="4"/>
  <c r="DF138" i="4"/>
  <c r="DG138" i="4"/>
  <c r="DH138" i="4"/>
  <c r="DI138" i="4"/>
  <c r="DJ138" i="4"/>
  <c r="DX138" i="4" s="1"/>
  <c r="DK138" i="4"/>
  <c r="DU138" i="4"/>
  <c r="BN139" i="4"/>
  <c r="BZ139" i="4" s="1"/>
  <c r="CL139" i="4" s="1"/>
  <c r="DN139" i="4" s="1"/>
  <c r="BO139" i="4"/>
  <c r="CA139" i="4" s="1"/>
  <c r="CM139" i="4" s="1"/>
  <c r="BP139" i="4"/>
  <c r="CB139" i="4" s="1"/>
  <c r="CN139" i="4" s="1"/>
  <c r="BR139" i="4"/>
  <c r="CD139" i="4" s="1"/>
  <c r="CP139" i="4" s="1"/>
  <c r="BT139" i="4"/>
  <c r="CF139" i="4" s="1"/>
  <c r="CR139" i="4" s="1"/>
  <c r="BU139" i="4"/>
  <c r="CG139" i="4" s="1"/>
  <c r="CS139" i="4" s="1"/>
  <c r="BV139" i="4"/>
  <c r="BW139" i="4"/>
  <c r="CI139" i="4" s="1"/>
  <c r="CU139" i="4" s="1"/>
  <c r="BX139" i="4"/>
  <c r="CJ139" i="4" s="1"/>
  <c r="CV139" i="4" s="1"/>
  <c r="BY139" i="4"/>
  <c r="CK139" i="4" s="1"/>
  <c r="CW139" i="4" s="1"/>
  <c r="CH139" i="4"/>
  <c r="CT139" i="4" s="1"/>
  <c r="CZ139" i="4"/>
  <c r="DA139" i="4"/>
  <c r="DB139" i="4"/>
  <c r="DP139" i="4" s="1"/>
  <c r="DD139" i="4"/>
  <c r="DF139" i="4"/>
  <c r="DG139" i="4"/>
  <c r="DH139" i="4"/>
  <c r="DI139" i="4"/>
  <c r="DW139" i="4" s="1"/>
  <c r="DJ139" i="4"/>
  <c r="DK139" i="4"/>
  <c r="DY139" i="4"/>
  <c r="BN140" i="4"/>
  <c r="BZ140" i="4" s="1"/>
  <c r="CL140" i="4" s="1"/>
  <c r="BO140" i="4"/>
  <c r="CA140" i="4" s="1"/>
  <c r="CM140" i="4" s="1"/>
  <c r="BP140" i="4"/>
  <c r="CB140" i="4" s="1"/>
  <c r="BR140" i="4"/>
  <c r="CD140" i="4" s="1"/>
  <c r="CP140" i="4" s="1"/>
  <c r="BT140" i="4"/>
  <c r="BU140" i="4"/>
  <c r="CG140" i="4" s="1"/>
  <c r="CS140" i="4" s="1"/>
  <c r="BV140" i="4"/>
  <c r="CH140" i="4" s="1"/>
  <c r="CT140" i="4" s="1"/>
  <c r="BW140" i="4"/>
  <c r="CI140" i="4" s="1"/>
  <c r="CU140" i="4" s="1"/>
  <c r="BX140" i="4"/>
  <c r="CJ140" i="4" s="1"/>
  <c r="CV140" i="4" s="1"/>
  <c r="BY140" i="4"/>
  <c r="CK140" i="4" s="1"/>
  <c r="CW140" i="4" s="1"/>
  <c r="CF140" i="4"/>
  <c r="CR140" i="4" s="1"/>
  <c r="CN140" i="4"/>
  <c r="CZ140" i="4"/>
  <c r="DA140" i="4"/>
  <c r="DB140" i="4"/>
  <c r="DD140" i="4"/>
  <c r="DF140" i="4"/>
  <c r="DT140" i="4" s="1"/>
  <c r="DG140" i="4"/>
  <c r="DH140" i="4"/>
  <c r="DI140" i="4"/>
  <c r="DJ140" i="4"/>
  <c r="DX140" i="4" s="1"/>
  <c r="DK140" i="4"/>
  <c r="DR140" i="4"/>
  <c r="BN141" i="4"/>
  <c r="BZ141" i="4" s="1"/>
  <c r="CL141" i="4" s="1"/>
  <c r="BO141" i="4"/>
  <c r="CA141" i="4" s="1"/>
  <c r="CM141" i="4" s="1"/>
  <c r="BP141" i="4"/>
  <c r="BQ141" i="4"/>
  <c r="CC141" i="4" s="1"/>
  <c r="BR141" i="4"/>
  <c r="CD141" i="4" s="1"/>
  <c r="CP141" i="4" s="1"/>
  <c r="BS141" i="4"/>
  <c r="BT141" i="4"/>
  <c r="BU141" i="4"/>
  <c r="CG141" i="4" s="1"/>
  <c r="CS141" i="4" s="1"/>
  <c r="BV141" i="4"/>
  <c r="CH141" i="4" s="1"/>
  <c r="CT141" i="4" s="1"/>
  <c r="BW141" i="4"/>
  <c r="BX141" i="4"/>
  <c r="CJ141" i="4" s="1"/>
  <c r="BY141" i="4"/>
  <c r="CK141" i="4" s="1"/>
  <c r="CW141" i="4" s="1"/>
  <c r="DY141" i="4" s="1"/>
  <c r="CB141" i="4"/>
  <c r="CN141" i="4" s="1"/>
  <c r="DP141" i="4" s="1"/>
  <c r="CE141" i="4"/>
  <c r="CQ141" i="4" s="1"/>
  <c r="CF141" i="4"/>
  <c r="CI141" i="4"/>
  <c r="CU141" i="4" s="1"/>
  <c r="DW141" i="4" s="1"/>
  <c r="CO141" i="4"/>
  <c r="CR141" i="4"/>
  <c r="CV141" i="4"/>
  <c r="CZ141" i="4"/>
  <c r="DA141" i="4"/>
  <c r="DB141" i="4"/>
  <c r="DC141" i="4"/>
  <c r="DD141" i="4"/>
  <c r="DE141" i="4"/>
  <c r="DS141" i="4" s="1"/>
  <c r="DF141" i="4"/>
  <c r="DL141" i="4" s="1"/>
  <c r="DG141" i="4"/>
  <c r="DH141" i="4"/>
  <c r="DI141" i="4"/>
  <c r="DJ141" i="4"/>
  <c r="DK141" i="4"/>
  <c r="DO141" i="4"/>
  <c r="DX141" i="4"/>
  <c r="BN142" i="4"/>
  <c r="BO142" i="4"/>
  <c r="BP142" i="4"/>
  <c r="BR142" i="4"/>
  <c r="CD142" i="4" s="1"/>
  <c r="CP142" i="4" s="1"/>
  <c r="BT142" i="4"/>
  <c r="CF142" i="4" s="1"/>
  <c r="CR142" i="4" s="1"/>
  <c r="BU142" i="4"/>
  <c r="CG142" i="4" s="1"/>
  <c r="BV142" i="4"/>
  <c r="BW142" i="4"/>
  <c r="BX142" i="4"/>
  <c r="BY142" i="4"/>
  <c r="CK142" i="4" s="1"/>
  <c r="CW142" i="4" s="1"/>
  <c r="DY142" i="4" s="1"/>
  <c r="BZ142" i="4"/>
  <c r="CL142" i="4" s="1"/>
  <c r="CA142" i="4"/>
  <c r="CM142" i="4" s="1"/>
  <c r="CB142" i="4"/>
  <c r="CN142" i="4" s="1"/>
  <c r="CH142" i="4"/>
  <c r="CT142" i="4" s="1"/>
  <c r="CI142" i="4"/>
  <c r="CJ142" i="4"/>
  <c r="CV142" i="4" s="1"/>
  <c r="CS142" i="4"/>
  <c r="CU142" i="4"/>
  <c r="CZ142" i="4"/>
  <c r="DA142" i="4"/>
  <c r="DB142" i="4"/>
  <c r="DD142" i="4"/>
  <c r="DF142" i="4"/>
  <c r="DG142" i="4"/>
  <c r="DH142" i="4"/>
  <c r="DV142" i="4" s="1"/>
  <c r="DI142" i="4"/>
  <c r="DJ142" i="4"/>
  <c r="DX142" i="4" s="1"/>
  <c r="DK142" i="4"/>
  <c r="BN143" i="4"/>
  <c r="BO143" i="4"/>
  <c r="CA143" i="4" s="1"/>
  <c r="BP143" i="4"/>
  <c r="BQ143" i="4"/>
  <c r="BR143" i="4"/>
  <c r="CD143" i="4" s="1"/>
  <c r="CP143" i="4" s="1"/>
  <c r="BS143" i="4"/>
  <c r="BT143" i="4"/>
  <c r="CF143" i="4" s="1"/>
  <c r="CR143" i="4" s="1"/>
  <c r="DT143" i="4" s="1"/>
  <c r="BU143" i="4"/>
  <c r="CG143" i="4" s="1"/>
  <c r="CS143" i="4" s="1"/>
  <c r="BV143" i="4"/>
  <c r="CH143" i="4" s="1"/>
  <c r="CT143" i="4" s="1"/>
  <c r="BW143" i="4"/>
  <c r="BX143" i="4"/>
  <c r="CJ143" i="4" s="1"/>
  <c r="CV143" i="4" s="1"/>
  <c r="BY143" i="4"/>
  <c r="BZ143" i="4"/>
  <c r="CL143" i="4" s="1"/>
  <c r="CB143" i="4"/>
  <c r="CN143" i="4" s="1"/>
  <c r="DP143" i="4" s="1"/>
  <c r="CC143" i="4"/>
  <c r="CO143" i="4" s="1"/>
  <c r="DQ143" i="4" s="1"/>
  <c r="CE143" i="4"/>
  <c r="CQ143" i="4" s="1"/>
  <c r="CI143" i="4"/>
  <c r="CK143" i="4"/>
  <c r="CM143" i="4"/>
  <c r="CU143" i="4"/>
  <c r="DW143" i="4" s="1"/>
  <c r="CW143" i="4"/>
  <c r="CZ143" i="4"/>
  <c r="DA143" i="4"/>
  <c r="DO143" i="4" s="1"/>
  <c r="DB143" i="4"/>
  <c r="DC143" i="4"/>
  <c r="DD143" i="4"/>
  <c r="DE143" i="4"/>
  <c r="DF143" i="4"/>
  <c r="DG143" i="4"/>
  <c r="DU143" i="4" s="1"/>
  <c r="DH143" i="4"/>
  <c r="DV143" i="4" s="1"/>
  <c r="DI143" i="4"/>
  <c r="DJ143" i="4"/>
  <c r="DK143" i="4"/>
  <c r="DS143" i="4"/>
  <c r="BN144" i="4"/>
  <c r="BZ144" i="4" s="1"/>
  <c r="CL144" i="4" s="1"/>
  <c r="BO144" i="4"/>
  <c r="CA144" i="4" s="1"/>
  <c r="CM144" i="4" s="1"/>
  <c r="BP144" i="4"/>
  <c r="BR144" i="4"/>
  <c r="BS144" i="4"/>
  <c r="CE144" i="4" s="1"/>
  <c r="CQ144" i="4" s="1"/>
  <c r="BT144" i="4"/>
  <c r="CF144" i="4" s="1"/>
  <c r="CR144" i="4" s="1"/>
  <c r="BU144" i="4"/>
  <c r="BV144" i="4"/>
  <c r="CH144" i="4" s="1"/>
  <c r="CT144" i="4" s="1"/>
  <c r="BW144" i="4"/>
  <c r="BX144" i="4"/>
  <c r="CJ144" i="4" s="1"/>
  <c r="CV144" i="4" s="1"/>
  <c r="BY144" i="4"/>
  <c r="CB144" i="4"/>
  <c r="CN144" i="4" s="1"/>
  <c r="CD144" i="4"/>
  <c r="CP144" i="4" s="1"/>
  <c r="DR144" i="4" s="1"/>
  <c r="CG144" i="4"/>
  <c r="CS144" i="4" s="1"/>
  <c r="CI144" i="4"/>
  <c r="CU144" i="4" s="1"/>
  <c r="CK144" i="4"/>
  <c r="CW144" i="4"/>
  <c r="CZ144" i="4"/>
  <c r="DA144" i="4"/>
  <c r="DB144" i="4"/>
  <c r="DD144" i="4"/>
  <c r="DE144" i="4"/>
  <c r="DF144" i="4"/>
  <c r="DG144" i="4"/>
  <c r="DU144" i="4" s="1"/>
  <c r="DH144" i="4"/>
  <c r="DI144" i="4"/>
  <c r="DJ144" i="4"/>
  <c r="DK144" i="4"/>
  <c r="BN145" i="4"/>
  <c r="BO145" i="4"/>
  <c r="CA145" i="4" s="1"/>
  <c r="CM145" i="4" s="1"/>
  <c r="BP145" i="4"/>
  <c r="BR145" i="4"/>
  <c r="CD145" i="4" s="1"/>
  <c r="CP145" i="4" s="1"/>
  <c r="BT145" i="4"/>
  <c r="CF145" i="4" s="1"/>
  <c r="CR145" i="4" s="1"/>
  <c r="BV145" i="4"/>
  <c r="CH145" i="4" s="1"/>
  <c r="CT145" i="4" s="1"/>
  <c r="BW145" i="4"/>
  <c r="CI145" i="4" s="1"/>
  <c r="CU145" i="4" s="1"/>
  <c r="BX145" i="4"/>
  <c r="CJ145" i="4" s="1"/>
  <c r="CV145" i="4" s="1"/>
  <c r="DX145" i="4" s="1"/>
  <c r="BY145" i="4"/>
  <c r="BZ145" i="4"/>
  <c r="CL145" i="4" s="1"/>
  <c r="CB145" i="4"/>
  <c r="CN145" i="4" s="1"/>
  <c r="DP145" i="4" s="1"/>
  <c r="CK145" i="4"/>
  <c r="CW145" i="4" s="1"/>
  <c r="CZ145" i="4"/>
  <c r="DA145" i="4"/>
  <c r="DB145" i="4"/>
  <c r="DD145" i="4"/>
  <c r="DF145" i="4"/>
  <c r="DH145" i="4"/>
  <c r="DI145" i="4"/>
  <c r="DW145" i="4" s="1"/>
  <c r="DJ145" i="4"/>
  <c r="DK145" i="4"/>
  <c r="BN146" i="4"/>
  <c r="BZ146" i="4" s="1"/>
  <c r="CL146" i="4" s="1"/>
  <c r="DN146" i="4" s="1"/>
  <c r="BO146" i="4"/>
  <c r="CA146" i="4" s="1"/>
  <c r="CM146" i="4" s="1"/>
  <c r="DO146" i="4" s="1"/>
  <c r="BP146" i="4"/>
  <c r="CB146" i="4" s="1"/>
  <c r="CN146" i="4" s="1"/>
  <c r="BQ146" i="4"/>
  <c r="BR146" i="4"/>
  <c r="CD146" i="4" s="1"/>
  <c r="CP146" i="4" s="1"/>
  <c r="BS146" i="4"/>
  <c r="CE146" i="4" s="1"/>
  <c r="CQ146" i="4" s="1"/>
  <c r="BT146" i="4"/>
  <c r="CF146" i="4" s="1"/>
  <c r="CR146" i="4" s="1"/>
  <c r="BU146" i="4"/>
  <c r="CG146" i="4" s="1"/>
  <c r="CS146" i="4" s="1"/>
  <c r="BV146" i="4"/>
  <c r="CH146" i="4" s="1"/>
  <c r="CT146" i="4" s="1"/>
  <c r="BW146" i="4"/>
  <c r="CI146" i="4" s="1"/>
  <c r="CU146" i="4" s="1"/>
  <c r="DW146" i="4" s="1"/>
  <c r="BX146" i="4"/>
  <c r="CJ146" i="4" s="1"/>
  <c r="CV146" i="4" s="1"/>
  <c r="BY146" i="4"/>
  <c r="CC146" i="4"/>
  <c r="CO146" i="4" s="1"/>
  <c r="CK146" i="4"/>
  <c r="CW146" i="4" s="1"/>
  <c r="DY146" i="4" s="1"/>
  <c r="CZ146" i="4"/>
  <c r="DA146" i="4"/>
  <c r="DB146" i="4"/>
  <c r="DC146" i="4"/>
  <c r="DD146" i="4"/>
  <c r="DE146" i="4"/>
  <c r="DM146" i="4" s="1"/>
  <c r="DF146" i="4"/>
  <c r="DG146" i="4"/>
  <c r="DH146" i="4"/>
  <c r="DI146" i="4"/>
  <c r="DJ146" i="4"/>
  <c r="DX146" i="4" s="1"/>
  <c r="DK146" i="4"/>
  <c r="BN147" i="4"/>
  <c r="BZ147" i="4" s="1"/>
  <c r="CL147" i="4" s="1"/>
  <c r="BO147" i="4"/>
  <c r="BP147" i="4"/>
  <c r="CB147" i="4" s="1"/>
  <c r="CN147" i="4" s="1"/>
  <c r="BQ147" i="4"/>
  <c r="BR147" i="4"/>
  <c r="CD147" i="4" s="1"/>
  <c r="CP147" i="4" s="1"/>
  <c r="BS147" i="4"/>
  <c r="CE147" i="4" s="1"/>
  <c r="CQ147" i="4" s="1"/>
  <c r="BT147" i="4"/>
  <c r="BU147" i="4"/>
  <c r="BV147" i="4"/>
  <c r="CH147" i="4" s="1"/>
  <c r="CT147" i="4" s="1"/>
  <c r="BW147" i="4"/>
  <c r="CI147" i="4" s="1"/>
  <c r="CU147" i="4" s="1"/>
  <c r="BX147" i="4"/>
  <c r="CJ147" i="4" s="1"/>
  <c r="CV147" i="4" s="1"/>
  <c r="BY147" i="4"/>
  <c r="CA147" i="4"/>
  <c r="CM147" i="4" s="1"/>
  <c r="CC147" i="4"/>
  <c r="CO147" i="4" s="1"/>
  <c r="CF147" i="4"/>
  <c r="CR147" i="4" s="1"/>
  <c r="CG147" i="4"/>
  <c r="CS147" i="4" s="1"/>
  <c r="CK147" i="4"/>
  <c r="CW147" i="4"/>
  <c r="CZ147" i="4"/>
  <c r="DA147" i="4"/>
  <c r="DB147" i="4"/>
  <c r="DC147" i="4"/>
  <c r="DD147" i="4"/>
  <c r="DE147" i="4"/>
  <c r="DF147" i="4"/>
  <c r="DG147" i="4"/>
  <c r="DH147" i="4"/>
  <c r="DI147" i="4"/>
  <c r="DJ147" i="4"/>
  <c r="DK147" i="4"/>
  <c r="DQ147" i="4"/>
  <c r="DS147" i="4"/>
  <c r="BN148" i="4"/>
  <c r="BZ148" i="4" s="1"/>
  <c r="BO148" i="4"/>
  <c r="CA148" i="4" s="1"/>
  <c r="CM148" i="4" s="1"/>
  <c r="BP148" i="4"/>
  <c r="BQ148" i="4"/>
  <c r="CC148" i="4" s="1"/>
  <c r="CO148" i="4" s="1"/>
  <c r="BR148" i="4"/>
  <c r="CD148" i="4" s="1"/>
  <c r="CP148" i="4" s="1"/>
  <c r="BS148" i="4"/>
  <c r="CE148" i="4" s="1"/>
  <c r="CQ148" i="4" s="1"/>
  <c r="BT148" i="4"/>
  <c r="CF148" i="4" s="1"/>
  <c r="CR148" i="4" s="1"/>
  <c r="BU148" i="4"/>
  <c r="CG148" i="4" s="1"/>
  <c r="CS148" i="4" s="1"/>
  <c r="BV148" i="4"/>
  <c r="CH148" i="4" s="1"/>
  <c r="CT148" i="4" s="1"/>
  <c r="DV148" i="4" s="1"/>
  <c r="BW148" i="4"/>
  <c r="BX148" i="4"/>
  <c r="BY148" i="4"/>
  <c r="CK148" i="4" s="1"/>
  <c r="CW148" i="4" s="1"/>
  <c r="CB148" i="4"/>
  <c r="CN148" i="4" s="1"/>
  <c r="CI148" i="4"/>
  <c r="CU148" i="4" s="1"/>
  <c r="CJ148" i="4"/>
  <c r="CV148" i="4" s="1"/>
  <c r="CL148" i="4"/>
  <c r="DN148" i="4" s="1"/>
  <c r="CZ148" i="4"/>
  <c r="DA148" i="4"/>
  <c r="DB148" i="4"/>
  <c r="DC148" i="4"/>
  <c r="DD148" i="4"/>
  <c r="DR148" i="4" s="1"/>
  <c r="DE148" i="4"/>
  <c r="DF148" i="4"/>
  <c r="DG148" i="4"/>
  <c r="DH148" i="4"/>
  <c r="DI148" i="4"/>
  <c r="DJ148" i="4"/>
  <c r="DK148" i="4"/>
  <c r="DO148" i="4"/>
  <c r="BN149" i="4"/>
  <c r="BZ149" i="4" s="1"/>
  <c r="CL149" i="4" s="1"/>
  <c r="BO149" i="4"/>
  <c r="BP149" i="4"/>
  <c r="BQ149" i="4"/>
  <c r="BR149" i="4"/>
  <c r="CD149" i="4" s="1"/>
  <c r="CP149" i="4" s="1"/>
  <c r="BS149" i="4"/>
  <c r="CE149" i="4" s="1"/>
  <c r="CQ149" i="4" s="1"/>
  <c r="BT149" i="4"/>
  <c r="CF149" i="4" s="1"/>
  <c r="CR149" i="4" s="1"/>
  <c r="DT149" i="4" s="1"/>
  <c r="BU149" i="4"/>
  <c r="CG149" i="4" s="1"/>
  <c r="CS149" i="4" s="1"/>
  <c r="BV149" i="4"/>
  <c r="BW149" i="4"/>
  <c r="CI149" i="4" s="1"/>
  <c r="CU149" i="4" s="1"/>
  <c r="BX149" i="4"/>
  <c r="CJ149" i="4" s="1"/>
  <c r="CV149" i="4" s="1"/>
  <c r="BY149" i="4"/>
  <c r="CA149" i="4"/>
  <c r="CM149" i="4" s="1"/>
  <c r="CB149" i="4"/>
  <c r="CN149" i="4" s="1"/>
  <c r="DP149" i="4" s="1"/>
  <c r="CC149" i="4"/>
  <c r="CO149" i="4" s="1"/>
  <c r="CH149" i="4"/>
  <c r="CT149" i="4" s="1"/>
  <c r="CK149" i="4"/>
  <c r="CW149" i="4" s="1"/>
  <c r="CZ149" i="4"/>
  <c r="DA149" i="4"/>
  <c r="DB149" i="4"/>
  <c r="DC149" i="4"/>
  <c r="DD149" i="4"/>
  <c r="DR149" i="4" s="1"/>
  <c r="DE149" i="4"/>
  <c r="DF149" i="4"/>
  <c r="DG149" i="4"/>
  <c r="DH149" i="4"/>
  <c r="DV149" i="4" s="1"/>
  <c r="DI149" i="4"/>
  <c r="DJ149" i="4"/>
  <c r="DX149" i="4" s="1"/>
  <c r="DK149" i="4"/>
  <c r="DY149" i="4" s="1"/>
  <c r="DS149" i="4"/>
  <c r="BN150" i="4"/>
  <c r="BO150" i="4"/>
  <c r="BP150" i="4"/>
  <c r="CB150" i="4" s="1"/>
  <c r="CN150" i="4" s="1"/>
  <c r="BQ150" i="4"/>
  <c r="CC150" i="4" s="1"/>
  <c r="CO150" i="4" s="1"/>
  <c r="BR150" i="4"/>
  <c r="CD150" i="4" s="1"/>
  <c r="CP150" i="4" s="1"/>
  <c r="BS150" i="4"/>
  <c r="CE150" i="4" s="1"/>
  <c r="CQ150" i="4" s="1"/>
  <c r="BT150" i="4"/>
  <c r="BU150" i="4"/>
  <c r="BV150" i="4"/>
  <c r="BW150" i="4"/>
  <c r="BX150" i="4"/>
  <c r="CJ150" i="4" s="1"/>
  <c r="CV150" i="4" s="1"/>
  <c r="BY150" i="4"/>
  <c r="CK150" i="4" s="1"/>
  <c r="CW150" i="4" s="1"/>
  <c r="BZ150" i="4"/>
  <c r="CL150" i="4" s="1"/>
  <c r="CA150" i="4"/>
  <c r="CM150" i="4" s="1"/>
  <c r="CF150" i="4"/>
  <c r="CR150" i="4" s="1"/>
  <c r="CG150" i="4"/>
  <c r="CS150" i="4" s="1"/>
  <c r="CH150" i="4"/>
  <c r="CT150" i="4" s="1"/>
  <c r="CI150" i="4"/>
  <c r="CU150" i="4"/>
  <c r="CZ150" i="4"/>
  <c r="DA150" i="4"/>
  <c r="DO150" i="4" s="1"/>
  <c r="DB150" i="4"/>
  <c r="DC150" i="4"/>
  <c r="DD150" i="4"/>
  <c r="DE150" i="4"/>
  <c r="DF150" i="4"/>
  <c r="DG150" i="4"/>
  <c r="DH150" i="4"/>
  <c r="DI150" i="4"/>
  <c r="DJ150" i="4"/>
  <c r="DK150" i="4"/>
  <c r="DY150" i="4" s="1"/>
  <c r="DT150" i="4"/>
  <c r="BN151" i="4"/>
  <c r="BZ151" i="4" s="1"/>
  <c r="BO151" i="4"/>
  <c r="CA151" i="4" s="1"/>
  <c r="CM151" i="4" s="1"/>
  <c r="BP151" i="4"/>
  <c r="CB151" i="4" s="1"/>
  <c r="CN151" i="4" s="1"/>
  <c r="BQ151" i="4"/>
  <c r="CC151" i="4" s="1"/>
  <c r="BR151" i="4"/>
  <c r="CD151" i="4" s="1"/>
  <c r="CP151" i="4" s="1"/>
  <c r="BS151" i="4"/>
  <c r="CE151" i="4" s="1"/>
  <c r="CQ151" i="4" s="1"/>
  <c r="BT151" i="4"/>
  <c r="CF151" i="4" s="1"/>
  <c r="CR151" i="4" s="1"/>
  <c r="DT151" i="4" s="1"/>
  <c r="BU151" i="4"/>
  <c r="CG151" i="4" s="1"/>
  <c r="CS151" i="4" s="1"/>
  <c r="BV151" i="4"/>
  <c r="CH151" i="4" s="1"/>
  <c r="BW151" i="4"/>
  <c r="CI151" i="4" s="1"/>
  <c r="CU151" i="4" s="1"/>
  <c r="BX151" i="4"/>
  <c r="CJ151" i="4" s="1"/>
  <c r="CV151" i="4" s="1"/>
  <c r="DX151" i="4" s="1"/>
  <c r="BY151" i="4"/>
  <c r="CK151" i="4"/>
  <c r="CW151" i="4" s="1"/>
  <c r="CL151" i="4"/>
  <c r="CO151" i="4"/>
  <c r="CT151" i="4"/>
  <c r="CZ151" i="4"/>
  <c r="DA151" i="4"/>
  <c r="DB151" i="4"/>
  <c r="DC151" i="4"/>
  <c r="DQ151" i="4" s="1"/>
  <c r="DD151" i="4"/>
  <c r="DE151" i="4"/>
  <c r="DF151" i="4"/>
  <c r="DG151" i="4"/>
  <c r="DU151" i="4" s="1"/>
  <c r="DH151" i="4"/>
  <c r="DI151" i="4"/>
  <c r="DJ151" i="4"/>
  <c r="DK151" i="4"/>
  <c r="DY151" i="4" s="1"/>
  <c r="DR151" i="4"/>
  <c r="BN152" i="4"/>
  <c r="BZ152" i="4" s="1"/>
  <c r="CL152" i="4" s="1"/>
  <c r="BO152" i="4"/>
  <c r="BP152" i="4"/>
  <c r="BQ152" i="4"/>
  <c r="BR152" i="4"/>
  <c r="CD152" i="4" s="1"/>
  <c r="CP152" i="4" s="1"/>
  <c r="DR152" i="4" s="1"/>
  <c r="BT152" i="4"/>
  <c r="CF152" i="4" s="1"/>
  <c r="CR152" i="4" s="1"/>
  <c r="BU152" i="4"/>
  <c r="CG152" i="4" s="1"/>
  <c r="BV152" i="4"/>
  <c r="CH152" i="4" s="1"/>
  <c r="CT152" i="4" s="1"/>
  <c r="BW152" i="4"/>
  <c r="CI152" i="4" s="1"/>
  <c r="BX152" i="4"/>
  <c r="CJ152" i="4" s="1"/>
  <c r="CV152" i="4" s="1"/>
  <c r="BY152" i="4"/>
  <c r="CK152" i="4" s="1"/>
  <c r="CW152" i="4" s="1"/>
  <c r="CA152" i="4"/>
  <c r="CM152" i="4" s="1"/>
  <c r="DO152" i="4" s="1"/>
  <c r="CB152" i="4"/>
  <c r="CN152" i="4" s="1"/>
  <c r="CC152" i="4"/>
  <c r="CO152" i="4" s="1"/>
  <c r="CS152" i="4"/>
  <c r="DU152" i="4" s="1"/>
  <c r="CU152" i="4"/>
  <c r="CZ152" i="4"/>
  <c r="DA152" i="4"/>
  <c r="DB152" i="4"/>
  <c r="DC152" i="4"/>
  <c r="DD152" i="4"/>
  <c r="DF152" i="4"/>
  <c r="DG152" i="4"/>
  <c r="DH152" i="4"/>
  <c r="DI152" i="4"/>
  <c r="DJ152" i="4"/>
  <c r="DK152" i="4"/>
  <c r="BN153" i="4"/>
  <c r="BZ153" i="4" s="1"/>
  <c r="CL153" i="4" s="1"/>
  <c r="BO153" i="4"/>
  <c r="CA153" i="4" s="1"/>
  <c r="CM153" i="4" s="1"/>
  <c r="BP153" i="4"/>
  <c r="CB153" i="4" s="1"/>
  <c r="CN153" i="4" s="1"/>
  <c r="DP153" i="4" s="1"/>
  <c r="BQ153" i="4"/>
  <c r="CC153" i="4" s="1"/>
  <c r="CO153" i="4" s="1"/>
  <c r="BR153" i="4"/>
  <c r="CD153" i="4" s="1"/>
  <c r="CP153" i="4" s="1"/>
  <c r="BS153" i="4"/>
  <c r="BT153" i="4"/>
  <c r="BU153" i="4"/>
  <c r="BV153" i="4"/>
  <c r="BW153" i="4"/>
  <c r="BX153" i="4"/>
  <c r="CJ153" i="4" s="1"/>
  <c r="CV153" i="4" s="1"/>
  <c r="DX153" i="4" s="1"/>
  <c r="BY153" i="4"/>
  <c r="CK153" i="4" s="1"/>
  <c r="CW153" i="4" s="1"/>
  <c r="CE153" i="4"/>
  <c r="CQ153" i="4" s="1"/>
  <c r="CF153" i="4"/>
  <c r="CG153" i="4"/>
  <c r="CS153" i="4" s="1"/>
  <c r="CH153" i="4"/>
  <c r="CT153" i="4" s="1"/>
  <c r="CI153" i="4"/>
  <c r="CU153" i="4" s="1"/>
  <c r="CR153" i="4"/>
  <c r="CZ153" i="4"/>
  <c r="DN153" i="4" s="1"/>
  <c r="DA153" i="4"/>
  <c r="DO153" i="4" s="1"/>
  <c r="DB153" i="4"/>
  <c r="DC153" i="4"/>
  <c r="DD153" i="4"/>
  <c r="DE153" i="4"/>
  <c r="DF153" i="4"/>
  <c r="DG153" i="4"/>
  <c r="DU153" i="4" s="1"/>
  <c r="DH153" i="4"/>
  <c r="DI153" i="4"/>
  <c r="DJ153" i="4"/>
  <c r="DK153" i="4"/>
  <c r="DQ153" i="4"/>
  <c r="DV153" i="4"/>
  <c r="DW153" i="4"/>
  <c r="BN154" i="4"/>
  <c r="BZ154" i="4" s="1"/>
  <c r="CL154" i="4" s="1"/>
  <c r="BO154" i="4"/>
  <c r="CA154" i="4" s="1"/>
  <c r="CM154" i="4" s="1"/>
  <c r="BP154" i="4"/>
  <c r="CB154" i="4" s="1"/>
  <c r="BQ154" i="4"/>
  <c r="CC154" i="4" s="1"/>
  <c r="CO154" i="4" s="1"/>
  <c r="DQ154" i="4" s="1"/>
  <c r="BR154" i="4"/>
  <c r="BS154" i="4"/>
  <c r="CE154" i="4" s="1"/>
  <c r="CQ154" i="4" s="1"/>
  <c r="DS154" i="4" s="1"/>
  <c r="BT154" i="4"/>
  <c r="BU154" i="4"/>
  <c r="CG154" i="4" s="1"/>
  <c r="CS154" i="4" s="1"/>
  <c r="DU154" i="4" s="1"/>
  <c r="BV154" i="4"/>
  <c r="BW154" i="4"/>
  <c r="CI154" i="4" s="1"/>
  <c r="CU154" i="4" s="1"/>
  <c r="BX154" i="4"/>
  <c r="CJ154" i="4" s="1"/>
  <c r="CV154" i="4" s="1"/>
  <c r="BY154" i="4"/>
  <c r="CK154" i="4" s="1"/>
  <c r="CW154" i="4" s="1"/>
  <c r="DY154" i="4" s="1"/>
  <c r="CD154" i="4"/>
  <c r="CP154" i="4" s="1"/>
  <c r="CF154" i="4"/>
  <c r="CR154" i="4" s="1"/>
  <c r="CH154" i="4"/>
  <c r="CT154" i="4" s="1"/>
  <c r="DV154" i="4" s="1"/>
  <c r="CN154" i="4"/>
  <c r="CZ154" i="4"/>
  <c r="DA154" i="4"/>
  <c r="DB154" i="4"/>
  <c r="DP154" i="4" s="1"/>
  <c r="DC154" i="4"/>
  <c r="DD154" i="4"/>
  <c r="DE154" i="4"/>
  <c r="DF154" i="4"/>
  <c r="DG154" i="4"/>
  <c r="DH154" i="4"/>
  <c r="DI154" i="4"/>
  <c r="DJ154" i="4"/>
  <c r="DX154" i="4" s="1"/>
  <c r="DK154" i="4"/>
  <c r="BN155" i="4"/>
  <c r="BZ155" i="4" s="1"/>
  <c r="BO155" i="4"/>
  <c r="CA155" i="4" s="1"/>
  <c r="CM155" i="4" s="1"/>
  <c r="DO155" i="4" s="1"/>
  <c r="BP155" i="4"/>
  <c r="CB155" i="4" s="1"/>
  <c r="CN155" i="4" s="1"/>
  <c r="BQ155" i="4"/>
  <c r="BR155" i="4"/>
  <c r="CD155" i="4" s="1"/>
  <c r="CP155" i="4" s="1"/>
  <c r="BS155" i="4"/>
  <c r="CE155" i="4" s="1"/>
  <c r="CQ155" i="4" s="1"/>
  <c r="BT155" i="4"/>
  <c r="CF155" i="4" s="1"/>
  <c r="CR155" i="4" s="1"/>
  <c r="BU155" i="4"/>
  <c r="CG155" i="4" s="1"/>
  <c r="CS155" i="4" s="1"/>
  <c r="BV155" i="4"/>
  <c r="CH155" i="4" s="1"/>
  <c r="CT155" i="4" s="1"/>
  <c r="BW155" i="4"/>
  <c r="CI155" i="4" s="1"/>
  <c r="BX155" i="4"/>
  <c r="CJ155" i="4" s="1"/>
  <c r="BY155" i="4"/>
  <c r="CK155" i="4" s="1"/>
  <c r="CW155" i="4" s="1"/>
  <c r="CC155" i="4"/>
  <c r="CO155" i="4" s="1"/>
  <c r="DQ155" i="4" s="1"/>
  <c r="CL155" i="4"/>
  <c r="CU155" i="4"/>
  <c r="DW155" i="4" s="1"/>
  <c r="CV155" i="4"/>
  <c r="DX155" i="4" s="1"/>
  <c r="CZ155" i="4"/>
  <c r="DA155" i="4"/>
  <c r="DB155" i="4"/>
  <c r="DC155" i="4"/>
  <c r="DD155" i="4"/>
  <c r="DE155" i="4"/>
  <c r="DF155" i="4"/>
  <c r="DG155" i="4"/>
  <c r="DH155" i="4"/>
  <c r="DV155" i="4" s="1"/>
  <c r="DI155" i="4"/>
  <c r="DJ155" i="4"/>
  <c r="DK155" i="4"/>
  <c r="BN156" i="4"/>
  <c r="BO156" i="4"/>
  <c r="CA156" i="4" s="1"/>
  <c r="CM156" i="4" s="1"/>
  <c r="BP156" i="4"/>
  <c r="CB156" i="4" s="1"/>
  <c r="CN156" i="4" s="1"/>
  <c r="DP156" i="4" s="1"/>
  <c r="BQ156" i="4"/>
  <c r="CC156" i="4" s="1"/>
  <c r="CO156" i="4" s="1"/>
  <c r="BR156" i="4"/>
  <c r="CD156" i="4" s="1"/>
  <c r="BS156" i="4"/>
  <c r="BT156" i="4"/>
  <c r="CF156" i="4" s="1"/>
  <c r="CR156" i="4" s="1"/>
  <c r="BU156" i="4"/>
  <c r="CG156" i="4" s="1"/>
  <c r="CS156" i="4" s="1"/>
  <c r="BV156" i="4"/>
  <c r="BW156" i="4"/>
  <c r="CI156" i="4" s="1"/>
  <c r="CU156" i="4" s="1"/>
  <c r="BX156" i="4"/>
  <c r="BY156" i="4"/>
  <c r="CK156" i="4" s="1"/>
  <c r="CW156" i="4" s="1"/>
  <c r="BZ156" i="4"/>
  <c r="CL156" i="4" s="1"/>
  <c r="CE156" i="4"/>
  <c r="CQ156" i="4" s="1"/>
  <c r="CH156" i="4"/>
  <c r="CT156" i="4" s="1"/>
  <c r="CJ156" i="4"/>
  <c r="CV156" i="4" s="1"/>
  <c r="CP156" i="4"/>
  <c r="DR156" i="4" s="1"/>
  <c r="CZ156" i="4"/>
  <c r="DA156" i="4"/>
  <c r="DB156" i="4"/>
  <c r="DC156" i="4"/>
  <c r="DD156" i="4"/>
  <c r="DE156" i="4"/>
  <c r="DS156" i="4" s="1"/>
  <c r="DF156" i="4"/>
  <c r="DG156" i="4"/>
  <c r="DH156" i="4"/>
  <c r="DI156" i="4"/>
  <c r="DJ156" i="4"/>
  <c r="DK156" i="4"/>
  <c r="DU156" i="4"/>
  <c r="BN157" i="4"/>
  <c r="BZ157" i="4" s="1"/>
  <c r="CL157" i="4" s="1"/>
  <c r="BO157" i="4"/>
  <c r="CA157" i="4" s="1"/>
  <c r="CM157" i="4" s="1"/>
  <c r="DO157" i="4" s="1"/>
  <c r="BP157" i="4"/>
  <c r="BQ157" i="4"/>
  <c r="CC157" i="4" s="1"/>
  <c r="CO157" i="4" s="1"/>
  <c r="BR157" i="4"/>
  <c r="CD157" i="4" s="1"/>
  <c r="BS157" i="4"/>
  <c r="CE157" i="4" s="1"/>
  <c r="CQ157" i="4" s="1"/>
  <c r="BT157" i="4"/>
  <c r="BU157" i="4"/>
  <c r="CG157" i="4" s="1"/>
  <c r="BV157" i="4"/>
  <c r="BW157" i="4"/>
  <c r="CI157" i="4" s="1"/>
  <c r="CU157" i="4" s="1"/>
  <c r="BX157" i="4"/>
  <c r="CJ157" i="4" s="1"/>
  <c r="CV157" i="4" s="1"/>
  <c r="DX157" i="4" s="1"/>
  <c r="BY157" i="4"/>
  <c r="CK157" i="4" s="1"/>
  <c r="CW157" i="4" s="1"/>
  <c r="CB157" i="4"/>
  <c r="CN157" i="4" s="1"/>
  <c r="CF157" i="4"/>
  <c r="CR157" i="4" s="1"/>
  <c r="CH157" i="4"/>
  <c r="CT157" i="4" s="1"/>
  <c r="CP157" i="4"/>
  <c r="CS157" i="4"/>
  <c r="CZ157" i="4"/>
  <c r="DA157" i="4"/>
  <c r="DB157" i="4"/>
  <c r="DC157" i="4"/>
  <c r="DD157" i="4"/>
  <c r="DE157" i="4"/>
  <c r="DF157" i="4"/>
  <c r="DT157" i="4" s="1"/>
  <c r="DG157" i="4"/>
  <c r="DH157" i="4"/>
  <c r="DI157" i="4"/>
  <c r="DW157" i="4" s="1"/>
  <c r="DJ157" i="4"/>
  <c r="DK157" i="4"/>
  <c r="DN157" i="4"/>
  <c r="DU157" i="4"/>
  <c r="BN158" i="4"/>
  <c r="BZ158" i="4" s="1"/>
  <c r="CL158" i="4" s="1"/>
  <c r="BO158" i="4"/>
  <c r="CA158" i="4" s="1"/>
  <c r="CM158" i="4" s="1"/>
  <c r="DO158" i="4" s="1"/>
  <c r="BP158" i="4"/>
  <c r="CB158" i="4" s="1"/>
  <c r="CN158" i="4" s="1"/>
  <c r="BQ158" i="4"/>
  <c r="CC158" i="4" s="1"/>
  <c r="BR158" i="4"/>
  <c r="CD158" i="4" s="1"/>
  <c r="CP158" i="4" s="1"/>
  <c r="DR158" i="4" s="1"/>
  <c r="BS158" i="4"/>
  <c r="BT158" i="4"/>
  <c r="CF158" i="4" s="1"/>
  <c r="CR158" i="4" s="1"/>
  <c r="BU158" i="4"/>
  <c r="BV158" i="4"/>
  <c r="CH158" i="4" s="1"/>
  <c r="CT158" i="4" s="1"/>
  <c r="BW158" i="4"/>
  <c r="CI158" i="4" s="1"/>
  <c r="CU158" i="4" s="1"/>
  <c r="DW158" i="4" s="1"/>
  <c r="BX158" i="4"/>
  <c r="CJ158" i="4" s="1"/>
  <c r="CV158" i="4" s="1"/>
  <c r="BY158" i="4"/>
  <c r="CE158" i="4"/>
  <c r="CQ158" i="4" s="1"/>
  <c r="CG158" i="4"/>
  <c r="CS158" i="4" s="1"/>
  <c r="CK158" i="4"/>
  <c r="CO158" i="4"/>
  <c r="CW158" i="4"/>
  <c r="DY158" i="4" s="1"/>
  <c r="CZ158" i="4"/>
  <c r="DN158" i="4" s="1"/>
  <c r="DA158" i="4"/>
  <c r="DB158" i="4"/>
  <c r="DC158" i="4"/>
  <c r="DD158" i="4"/>
  <c r="DE158" i="4"/>
  <c r="DF158" i="4"/>
  <c r="DG158" i="4"/>
  <c r="DH158" i="4"/>
  <c r="DI158" i="4"/>
  <c r="DJ158" i="4"/>
  <c r="DK158" i="4"/>
  <c r="BN159" i="4"/>
  <c r="BZ159" i="4" s="1"/>
  <c r="CL159" i="4" s="1"/>
  <c r="BO159" i="4"/>
  <c r="CA159" i="4" s="1"/>
  <c r="CM159" i="4" s="1"/>
  <c r="BP159" i="4"/>
  <c r="BQ159" i="4"/>
  <c r="CC159" i="4" s="1"/>
  <c r="CO159" i="4" s="1"/>
  <c r="BR159" i="4"/>
  <c r="BS159" i="4"/>
  <c r="CE159" i="4" s="1"/>
  <c r="CQ159" i="4" s="1"/>
  <c r="BT159" i="4"/>
  <c r="BU159" i="4"/>
  <c r="CG159" i="4" s="1"/>
  <c r="CS159" i="4" s="1"/>
  <c r="BV159" i="4"/>
  <c r="CH159" i="4" s="1"/>
  <c r="CT159" i="4" s="1"/>
  <c r="BW159" i="4"/>
  <c r="BX159" i="4"/>
  <c r="BY159" i="4"/>
  <c r="CK159" i="4" s="1"/>
  <c r="CW159" i="4" s="1"/>
  <c r="CB159" i="4"/>
  <c r="CN159" i="4" s="1"/>
  <c r="CD159" i="4"/>
  <c r="CP159" i="4" s="1"/>
  <c r="CF159" i="4"/>
  <c r="CR159" i="4" s="1"/>
  <c r="DT159" i="4" s="1"/>
  <c r="CI159" i="4"/>
  <c r="CU159" i="4" s="1"/>
  <c r="DW159" i="4" s="1"/>
  <c r="CJ159" i="4"/>
  <c r="CV159" i="4" s="1"/>
  <c r="CZ159" i="4"/>
  <c r="DA159" i="4"/>
  <c r="DB159" i="4"/>
  <c r="DP159" i="4" s="1"/>
  <c r="DC159" i="4"/>
  <c r="DQ159" i="4" s="1"/>
  <c r="DD159" i="4"/>
  <c r="DE159" i="4"/>
  <c r="DF159" i="4"/>
  <c r="DG159" i="4"/>
  <c r="DH159" i="4"/>
  <c r="DI159" i="4"/>
  <c r="DJ159" i="4"/>
  <c r="DK159" i="4"/>
  <c r="DS159" i="4"/>
  <c r="BN160" i="4"/>
  <c r="BZ160" i="4" s="1"/>
  <c r="CL160" i="4" s="1"/>
  <c r="BO160" i="4"/>
  <c r="CA160" i="4" s="1"/>
  <c r="BP160" i="4"/>
  <c r="CB160" i="4" s="1"/>
  <c r="CN160" i="4" s="1"/>
  <c r="BQ160" i="4"/>
  <c r="CC160" i="4" s="1"/>
  <c r="CO160" i="4" s="1"/>
  <c r="DQ160" i="4" s="1"/>
  <c r="BR160" i="4"/>
  <c r="BS160" i="4"/>
  <c r="BT160" i="4"/>
  <c r="CF160" i="4" s="1"/>
  <c r="CR160" i="4" s="1"/>
  <c r="BU160" i="4"/>
  <c r="CG160" i="4" s="1"/>
  <c r="CS160" i="4" s="1"/>
  <c r="DU160" i="4" s="1"/>
  <c r="BV160" i="4"/>
  <c r="BW160" i="4"/>
  <c r="CI160" i="4" s="1"/>
  <c r="BX160" i="4"/>
  <c r="CJ160" i="4" s="1"/>
  <c r="CV160" i="4" s="1"/>
  <c r="DX160" i="4" s="1"/>
  <c r="BY160" i="4"/>
  <c r="CK160" i="4" s="1"/>
  <c r="CW160" i="4" s="1"/>
  <c r="CD160" i="4"/>
  <c r="CP160" i="4" s="1"/>
  <c r="DR160" i="4" s="1"/>
  <c r="CE160" i="4"/>
  <c r="CQ160" i="4" s="1"/>
  <c r="CH160" i="4"/>
  <c r="CT160" i="4" s="1"/>
  <c r="CM160" i="4"/>
  <c r="CU160" i="4"/>
  <c r="CZ160" i="4"/>
  <c r="DA160" i="4"/>
  <c r="DB160" i="4"/>
  <c r="DC160" i="4"/>
  <c r="DD160" i="4"/>
  <c r="DE160" i="4"/>
  <c r="DF160" i="4"/>
  <c r="DG160" i="4"/>
  <c r="DH160" i="4"/>
  <c r="DV160" i="4" s="1"/>
  <c r="DI160" i="4"/>
  <c r="DJ160" i="4"/>
  <c r="DK160" i="4"/>
  <c r="BN161" i="4"/>
  <c r="BZ161" i="4" s="1"/>
  <c r="CL161" i="4" s="1"/>
  <c r="BO161" i="4"/>
  <c r="CA161" i="4" s="1"/>
  <c r="CM161" i="4" s="1"/>
  <c r="BP161" i="4"/>
  <c r="CB161" i="4" s="1"/>
  <c r="CN161" i="4" s="1"/>
  <c r="DP161" i="4" s="1"/>
  <c r="BQ161" i="4"/>
  <c r="CC161" i="4" s="1"/>
  <c r="CO161" i="4" s="1"/>
  <c r="DQ161" i="4" s="1"/>
  <c r="BR161" i="4"/>
  <c r="CD161" i="4" s="1"/>
  <c r="CP161" i="4" s="1"/>
  <c r="BS161" i="4"/>
  <c r="CE161" i="4" s="1"/>
  <c r="CQ161" i="4" s="1"/>
  <c r="BT161" i="4"/>
  <c r="CF161" i="4" s="1"/>
  <c r="CR161" i="4" s="1"/>
  <c r="DT161" i="4" s="1"/>
  <c r="BU161" i="4"/>
  <c r="CG161" i="4" s="1"/>
  <c r="CS161" i="4" s="1"/>
  <c r="BV161" i="4"/>
  <c r="BW161" i="4"/>
  <c r="CI161" i="4" s="1"/>
  <c r="CU161" i="4" s="1"/>
  <c r="BX161" i="4"/>
  <c r="CJ161" i="4" s="1"/>
  <c r="CV161" i="4" s="1"/>
  <c r="DX161" i="4" s="1"/>
  <c r="BY161" i="4"/>
  <c r="CK161" i="4" s="1"/>
  <c r="CW161" i="4" s="1"/>
  <c r="CH161" i="4"/>
  <c r="CT161" i="4" s="1"/>
  <c r="CZ161" i="4"/>
  <c r="DA161" i="4"/>
  <c r="DB161" i="4"/>
  <c r="DC161" i="4"/>
  <c r="DD161" i="4"/>
  <c r="DE161" i="4"/>
  <c r="DF161" i="4"/>
  <c r="DG161" i="4"/>
  <c r="DH161" i="4"/>
  <c r="DI161" i="4"/>
  <c r="DJ161" i="4"/>
  <c r="DK161" i="4"/>
  <c r="DO161" i="4"/>
  <c r="BN162" i="4"/>
  <c r="BZ162" i="4" s="1"/>
  <c r="CL162" i="4" s="1"/>
  <c r="BO162" i="4"/>
  <c r="CA162" i="4" s="1"/>
  <c r="CM162" i="4" s="1"/>
  <c r="DO162" i="4" s="1"/>
  <c r="BP162" i="4"/>
  <c r="CB162" i="4" s="1"/>
  <c r="CN162" i="4" s="1"/>
  <c r="BQ162" i="4"/>
  <c r="BR162" i="4"/>
  <c r="BS162" i="4"/>
  <c r="CE162" i="4" s="1"/>
  <c r="CQ162" i="4" s="1"/>
  <c r="DS162" i="4" s="1"/>
  <c r="BT162" i="4"/>
  <c r="CF162" i="4" s="1"/>
  <c r="CR162" i="4" s="1"/>
  <c r="DT162" i="4" s="1"/>
  <c r="BU162" i="4"/>
  <c r="CG162" i="4" s="1"/>
  <c r="CS162" i="4" s="1"/>
  <c r="BV162" i="4"/>
  <c r="BW162" i="4"/>
  <c r="CI162" i="4" s="1"/>
  <c r="CU162" i="4" s="1"/>
  <c r="DW162" i="4" s="1"/>
  <c r="BX162" i="4"/>
  <c r="CJ162" i="4" s="1"/>
  <c r="BY162" i="4"/>
  <c r="CC162" i="4"/>
  <c r="CO162" i="4" s="1"/>
  <c r="CD162" i="4"/>
  <c r="CP162" i="4" s="1"/>
  <c r="CH162" i="4"/>
  <c r="CT162" i="4" s="1"/>
  <c r="CK162" i="4"/>
  <c r="CW162" i="4" s="1"/>
  <c r="CV162" i="4"/>
  <c r="CZ162" i="4"/>
  <c r="DA162" i="4"/>
  <c r="DB162" i="4"/>
  <c r="DC162" i="4"/>
  <c r="DD162" i="4"/>
  <c r="DE162" i="4"/>
  <c r="DF162" i="4"/>
  <c r="DG162" i="4"/>
  <c r="DH162" i="4"/>
  <c r="DI162" i="4"/>
  <c r="DJ162" i="4"/>
  <c r="DX162" i="4" s="1"/>
  <c r="DK162" i="4"/>
  <c r="BN163" i="4"/>
  <c r="BZ163" i="4" s="1"/>
  <c r="CL163" i="4" s="1"/>
  <c r="BO163" i="4"/>
  <c r="CA163" i="4" s="1"/>
  <c r="CM163" i="4" s="1"/>
  <c r="DO163" i="4" s="1"/>
  <c r="BP163" i="4"/>
  <c r="CB163" i="4" s="1"/>
  <c r="CN163" i="4" s="1"/>
  <c r="BQ163" i="4"/>
  <c r="CC163" i="4" s="1"/>
  <c r="CO163" i="4" s="1"/>
  <c r="DQ163" i="4" s="1"/>
  <c r="BR163" i="4"/>
  <c r="BS163" i="4"/>
  <c r="BT163" i="4"/>
  <c r="BU163" i="4"/>
  <c r="BV163" i="4"/>
  <c r="CH163" i="4" s="1"/>
  <c r="CT163" i="4" s="1"/>
  <c r="BW163" i="4"/>
  <c r="CI163" i="4" s="1"/>
  <c r="CU163" i="4" s="1"/>
  <c r="DW163" i="4" s="1"/>
  <c r="BX163" i="4"/>
  <c r="BY163" i="4"/>
  <c r="CK163" i="4" s="1"/>
  <c r="CW163" i="4" s="1"/>
  <c r="CD163" i="4"/>
  <c r="CP163" i="4" s="1"/>
  <c r="CE163" i="4"/>
  <c r="CQ163" i="4" s="1"/>
  <c r="DS163" i="4" s="1"/>
  <c r="CF163" i="4"/>
  <c r="CR163" i="4" s="1"/>
  <c r="DT163" i="4" s="1"/>
  <c r="CG163" i="4"/>
  <c r="CS163" i="4" s="1"/>
  <c r="CJ163" i="4"/>
  <c r="CV163" i="4" s="1"/>
  <c r="CZ163" i="4"/>
  <c r="DA163" i="4"/>
  <c r="DB163" i="4"/>
  <c r="DC163" i="4"/>
  <c r="DD163" i="4"/>
  <c r="DR163" i="4" s="1"/>
  <c r="DE163" i="4"/>
  <c r="DF163" i="4"/>
  <c r="DG163" i="4"/>
  <c r="DH163" i="4"/>
  <c r="DV163" i="4" s="1"/>
  <c r="DI163" i="4"/>
  <c r="DJ163" i="4"/>
  <c r="DK163" i="4"/>
  <c r="DY163" i="4" s="1"/>
  <c r="DX163" i="4"/>
  <c r="BN164" i="4"/>
  <c r="BO164" i="4"/>
  <c r="BP164" i="4"/>
  <c r="BQ164" i="4"/>
  <c r="CC164" i="4" s="1"/>
  <c r="CO164" i="4" s="1"/>
  <c r="BR164" i="4"/>
  <c r="CD164" i="4" s="1"/>
  <c r="CP164" i="4" s="1"/>
  <c r="BS164" i="4"/>
  <c r="CE164" i="4" s="1"/>
  <c r="CQ164" i="4" s="1"/>
  <c r="BT164" i="4"/>
  <c r="CF164" i="4" s="1"/>
  <c r="CR164" i="4" s="1"/>
  <c r="BU164" i="4"/>
  <c r="BV164" i="4"/>
  <c r="CH164" i="4" s="1"/>
  <c r="CT164" i="4" s="1"/>
  <c r="BW164" i="4"/>
  <c r="CI164" i="4" s="1"/>
  <c r="CU164" i="4" s="1"/>
  <c r="BX164" i="4"/>
  <c r="CJ164" i="4" s="1"/>
  <c r="CV164" i="4" s="1"/>
  <c r="BY164" i="4"/>
  <c r="BZ164" i="4"/>
  <c r="CL164" i="4" s="1"/>
  <c r="CA164" i="4"/>
  <c r="CM164" i="4" s="1"/>
  <c r="CB164" i="4"/>
  <c r="CN164" i="4" s="1"/>
  <c r="CG164" i="4"/>
  <c r="CK164" i="4"/>
  <c r="CW164" i="4" s="1"/>
  <c r="CS164" i="4"/>
  <c r="DU164" i="4" s="1"/>
  <c r="CZ164" i="4"/>
  <c r="DA164" i="4"/>
  <c r="DB164" i="4"/>
  <c r="DC164" i="4"/>
  <c r="DD164" i="4"/>
  <c r="DE164" i="4"/>
  <c r="DF164" i="4"/>
  <c r="DG164" i="4"/>
  <c r="DH164" i="4"/>
  <c r="DI164" i="4"/>
  <c r="DW164" i="4" s="1"/>
  <c r="DJ164" i="4"/>
  <c r="DK164" i="4"/>
  <c r="DR164" i="4"/>
  <c r="BN165" i="4"/>
  <c r="BO165" i="4"/>
  <c r="CA165" i="4" s="1"/>
  <c r="CM165" i="4" s="1"/>
  <c r="BP165" i="4"/>
  <c r="CB165" i="4" s="1"/>
  <c r="BQ165" i="4"/>
  <c r="CC165" i="4" s="1"/>
  <c r="CO165" i="4" s="1"/>
  <c r="DQ165" i="4" s="1"/>
  <c r="BR165" i="4"/>
  <c r="CD165" i="4" s="1"/>
  <c r="CP165" i="4" s="1"/>
  <c r="BS165" i="4"/>
  <c r="BT165" i="4"/>
  <c r="BU165" i="4"/>
  <c r="CG165" i="4" s="1"/>
  <c r="CS165" i="4" s="1"/>
  <c r="DU165" i="4" s="1"/>
  <c r="BV165" i="4"/>
  <c r="BW165" i="4"/>
  <c r="CI165" i="4" s="1"/>
  <c r="CU165" i="4" s="1"/>
  <c r="BX165" i="4"/>
  <c r="CJ165" i="4" s="1"/>
  <c r="BY165" i="4"/>
  <c r="CK165" i="4" s="1"/>
  <c r="CW165" i="4" s="1"/>
  <c r="DY165" i="4" s="1"/>
  <c r="BZ165" i="4"/>
  <c r="CL165" i="4" s="1"/>
  <c r="CE165" i="4"/>
  <c r="CQ165" i="4" s="1"/>
  <c r="CF165" i="4"/>
  <c r="CR165" i="4" s="1"/>
  <c r="CH165" i="4"/>
  <c r="CT165" i="4" s="1"/>
  <c r="DV165" i="4" s="1"/>
  <c r="CN165" i="4"/>
  <c r="CV165" i="4"/>
  <c r="CZ165" i="4"/>
  <c r="DA165" i="4"/>
  <c r="DB165" i="4"/>
  <c r="DP165" i="4" s="1"/>
  <c r="DC165" i="4"/>
  <c r="DD165" i="4"/>
  <c r="DE165" i="4"/>
  <c r="DF165" i="4"/>
  <c r="DT165" i="4" s="1"/>
  <c r="DG165" i="4"/>
  <c r="DH165" i="4"/>
  <c r="DI165" i="4"/>
  <c r="DJ165" i="4"/>
  <c r="DK165" i="4"/>
  <c r="BN166" i="4"/>
  <c r="BZ166" i="4" s="1"/>
  <c r="CL166" i="4" s="1"/>
  <c r="DN166" i="4" s="1"/>
  <c r="BO166" i="4"/>
  <c r="CA166" i="4" s="1"/>
  <c r="CM166" i="4" s="1"/>
  <c r="BP166" i="4"/>
  <c r="CB166" i="4" s="1"/>
  <c r="CN166" i="4" s="1"/>
  <c r="BQ166" i="4"/>
  <c r="CC166" i="4" s="1"/>
  <c r="CO166" i="4" s="1"/>
  <c r="BR166" i="4"/>
  <c r="CD166" i="4" s="1"/>
  <c r="CP166" i="4" s="1"/>
  <c r="DR166" i="4" s="1"/>
  <c r="BS166" i="4"/>
  <c r="BT166" i="4"/>
  <c r="BU166" i="4"/>
  <c r="BV166" i="4"/>
  <c r="BW166" i="4"/>
  <c r="BX166" i="4"/>
  <c r="CJ166" i="4" s="1"/>
  <c r="CV166" i="4" s="1"/>
  <c r="BY166" i="4"/>
  <c r="CK166" i="4" s="1"/>
  <c r="CW166" i="4" s="1"/>
  <c r="CE166" i="4"/>
  <c r="CF166" i="4"/>
  <c r="CR166" i="4" s="1"/>
  <c r="CG166" i="4"/>
  <c r="CS166" i="4" s="1"/>
  <c r="CH166" i="4"/>
  <c r="CT166" i="4" s="1"/>
  <c r="DV166" i="4" s="1"/>
  <c r="CI166" i="4"/>
  <c r="CQ166" i="4"/>
  <c r="CU166" i="4"/>
  <c r="CZ166" i="4"/>
  <c r="DA166" i="4"/>
  <c r="DO166" i="4" s="1"/>
  <c r="DB166" i="4"/>
  <c r="DC166" i="4"/>
  <c r="DD166" i="4"/>
  <c r="DE166" i="4"/>
  <c r="DF166" i="4"/>
  <c r="DT166" i="4" s="1"/>
  <c r="DG166" i="4"/>
  <c r="DH166" i="4"/>
  <c r="DI166" i="4"/>
  <c r="DJ166" i="4"/>
  <c r="DK166" i="4"/>
  <c r="BN167" i="4"/>
  <c r="BZ167" i="4" s="1"/>
  <c r="CL167" i="4" s="1"/>
  <c r="BO167" i="4"/>
  <c r="CA167" i="4" s="1"/>
  <c r="BP167" i="4"/>
  <c r="BQ167" i="4"/>
  <c r="BR167" i="4"/>
  <c r="CD167" i="4" s="1"/>
  <c r="CP167" i="4" s="1"/>
  <c r="BS167" i="4"/>
  <c r="CE167" i="4" s="1"/>
  <c r="CQ167" i="4" s="1"/>
  <c r="BT167" i="4"/>
  <c r="CF167" i="4" s="1"/>
  <c r="CR167" i="4" s="1"/>
  <c r="BU167" i="4"/>
  <c r="CG167" i="4" s="1"/>
  <c r="CS167" i="4" s="1"/>
  <c r="BV167" i="4"/>
  <c r="CH167" i="4" s="1"/>
  <c r="BW167" i="4"/>
  <c r="CI167" i="4" s="1"/>
  <c r="BX167" i="4"/>
  <c r="CJ167" i="4" s="1"/>
  <c r="BY167" i="4"/>
  <c r="CB167" i="4"/>
  <c r="CN167" i="4" s="1"/>
  <c r="CC167" i="4"/>
  <c r="CO167" i="4" s="1"/>
  <c r="CK167" i="4"/>
  <c r="CW167" i="4" s="1"/>
  <c r="DY167" i="4" s="1"/>
  <c r="CM167" i="4"/>
  <c r="CT167" i="4"/>
  <c r="CU167" i="4"/>
  <c r="DW167" i="4" s="1"/>
  <c r="CV167" i="4"/>
  <c r="CZ167" i="4"/>
  <c r="DA167" i="4"/>
  <c r="DB167" i="4"/>
  <c r="DC167" i="4"/>
  <c r="DD167" i="4"/>
  <c r="DE167" i="4"/>
  <c r="DS167" i="4" s="1"/>
  <c r="DF167" i="4"/>
  <c r="DG167" i="4"/>
  <c r="DH167" i="4"/>
  <c r="DI167" i="4"/>
  <c r="DJ167" i="4"/>
  <c r="DK167" i="4"/>
  <c r="DP167" i="4"/>
  <c r="DU167" i="4"/>
  <c r="BN168" i="4"/>
  <c r="BZ168" i="4" s="1"/>
  <c r="CL168" i="4" s="1"/>
  <c r="BO168" i="4"/>
  <c r="BP168" i="4"/>
  <c r="CB168" i="4" s="1"/>
  <c r="CN168" i="4" s="1"/>
  <c r="BQ168" i="4"/>
  <c r="CC168" i="4" s="1"/>
  <c r="CO168" i="4" s="1"/>
  <c r="BR168" i="4"/>
  <c r="CD168" i="4" s="1"/>
  <c r="CP168" i="4" s="1"/>
  <c r="DR168" i="4" s="1"/>
  <c r="BS168" i="4"/>
  <c r="BT168" i="4"/>
  <c r="CF168" i="4" s="1"/>
  <c r="CR168" i="4" s="1"/>
  <c r="BU168" i="4"/>
  <c r="CG168" i="4" s="1"/>
  <c r="CS168" i="4" s="1"/>
  <c r="BV168" i="4"/>
  <c r="CH168" i="4" s="1"/>
  <c r="CT168" i="4" s="1"/>
  <c r="BW168" i="4"/>
  <c r="CI168" i="4" s="1"/>
  <c r="CU168" i="4" s="1"/>
  <c r="BX168" i="4"/>
  <c r="BY168" i="4"/>
  <c r="CK168" i="4" s="1"/>
  <c r="CW168" i="4" s="1"/>
  <c r="CA168" i="4"/>
  <c r="CM168" i="4" s="1"/>
  <c r="CE168" i="4"/>
  <c r="CQ168" i="4" s="1"/>
  <c r="CJ168" i="4"/>
  <c r="CV168" i="4" s="1"/>
  <c r="CZ168" i="4"/>
  <c r="DA168" i="4"/>
  <c r="DO168" i="4" s="1"/>
  <c r="DB168" i="4"/>
  <c r="DC168" i="4"/>
  <c r="DD168" i="4"/>
  <c r="DE168" i="4"/>
  <c r="DF168" i="4"/>
  <c r="DG168" i="4"/>
  <c r="DH168" i="4"/>
  <c r="DI168" i="4"/>
  <c r="DJ168" i="4"/>
  <c r="DK168" i="4"/>
  <c r="BN169" i="4"/>
  <c r="BZ169" i="4" s="1"/>
  <c r="CL169" i="4" s="1"/>
  <c r="BO169" i="4"/>
  <c r="CA169" i="4" s="1"/>
  <c r="CM169" i="4" s="1"/>
  <c r="DO169" i="4" s="1"/>
  <c r="BP169" i="4"/>
  <c r="CB169" i="4" s="1"/>
  <c r="CN169" i="4" s="1"/>
  <c r="DP169" i="4" s="1"/>
  <c r="BQ169" i="4"/>
  <c r="CC169" i="4" s="1"/>
  <c r="CO169" i="4" s="1"/>
  <c r="BR169" i="4"/>
  <c r="CD169" i="4" s="1"/>
  <c r="CP169" i="4" s="1"/>
  <c r="BS169" i="4"/>
  <c r="CE169" i="4" s="1"/>
  <c r="CQ169" i="4" s="1"/>
  <c r="DS169" i="4" s="1"/>
  <c r="BT169" i="4"/>
  <c r="CF169" i="4" s="1"/>
  <c r="BU169" i="4"/>
  <c r="BV169" i="4"/>
  <c r="BW169" i="4"/>
  <c r="BX169" i="4"/>
  <c r="CJ169" i="4" s="1"/>
  <c r="CV169" i="4" s="1"/>
  <c r="DX169" i="4" s="1"/>
  <c r="BY169" i="4"/>
  <c r="CK169" i="4" s="1"/>
  <c r="CW169" i="4" s="1"/>
  <c r="CG169" i="4"/>
  <c r="CS169" i="4" s="1"/>
  <c r="CH169" i="4"/>
  <c r="CT169" i="4" s="1"/>
  <c r="DV169" i="4" s="1"/>
  <c r="CI169" i="4"/>
  <c r="CU169" i="4" s="1"/>
  <c r="DW169" i="4" s="1"/>
  <c r="CR169" i="4"/>
  <c r="CZ169" i="4"/>
  <c r="DA169" i="4"/>
  <c r="DB169" i="4"/>
  <c r="DC169" i="4"/>
  <c r="DD169" i="4"/>
  <c r="DE169" i="4"/>
  <c r="DF169" i="4"/>
  <c r="DG169" i="4"/>
  <c r="DH169" i="4"/>
  <c r="DI169" i="4"/>
  <c r="DJ169" i="4"/>
  <c r="DK169" i="4"/>
  <c r="DN169" i="4"/>
  <c r="BN170" i="4"/>
  <c r="BO170" i="4"/>
  <c r="CA170" i="4" s="1"/>
  <c r="CM170" i="4" s="1"/>
  <c r="BP170" i="4"/>
  <c r="CB170" i="4" s="1"/>
  <c r="CN170" i="4" s="1"/>
  <c r="BQ170" i="4"/>
  <c r="CC170" i="4" s="1"/>
  <c r="CO170" i="4" s="1"/>
  <c r="BR170" i="4"/>
  <c r="CD170" i="4" s="1"/>
  <c r="CP170" i="4" s="1"/>
  <c r="BS170" i="4"/>
  <c r="BT170" i="4"/>
  <c r="CF170" i="4" s="1"/>
  <c r="CR170" i="4" s="1"/>
  <c r="DT170" i="4" s="1"/>
  <c r="BU170" i="4"/>
  <c r="BV170" i="4"/>
  <c r="CH170" i="4" s="1"/>
  <c r="CT170" i="4" s="1"/>
  <c r="BW170" i="4"/>
  <c r="CI170" i="4" s="1"/>
  <c r="CU170" i="4" s="1"/>
  <c r="BX170" i="4"/>
  <c r="CJ170" i="4" s="1"/>
  <c r="CV170" i="4" s="1"/>
  <c r="DX170" i="4" s="1"/>
  <c r="BY170" i="4"/>
  <c r="CK170" i="4" s="1"/>
  <c r="BZ170" i="4"/>
  <c r="CL170" i="4" s="1"/>
  <c r="CE170" i="4"/>
  <c r="CQ170" i="4" s="1"/>
  <c r="CG170" i="4"/>
  <c r="CS170" i="4" s="1"/>
  <c r="DU170" i="4" s="1"/>
  <c r="CW170" i="4"/>
  <c r="CZ170" i="4"/>
  <c r="DN170" i="4" s="1"/>
  <c r="DA170" i="4"/>
  <c r="DB170" i="4"/>
  <c r="DP170" i="4" s="1"/>
  <c r="DC170" i="4"/>
  <c r="DD170" i="4"/>
  <c r="DE170" i="4"/>
  <c r="DF170" i="4"/>
  <c r="DG170" i="4"/>
  <c r="DH170" i="4"/>
  <c r="DV170" i="4" s="1"/>
  <c r="DI170" i="4"/>
  <c r="DJ170" i="4"/>
  <c r="DK170" i="4"/>
  <c r="DM170" i="4"/>
  <c r="BN171" i="4"/>
  <c r="BZ171" i="4" s="1"/>
  <c r="CL171" i="4" s="1"/>
  <c r="BO171" i="4"/>
  <c r="CA171" i="4" s="1"/>
  <c r="BP171" i="4"/>
  <c r="CB171" i="4" s="1"/>
  <c r="CN171" i="4" s="1"/>
  <c r="BQ171" i="4"/>
  <c r="CC171" i="4" s="1"/>
  <c r="CO171" i="4" s="1"/>
  <c r="BR171" i="4"/>
  <c r="CD171" i="4" s="1"/>
  <c r="CP171" i="4" s="1"/>
  <c r="BS171" i="4"/>
  <c r="BT171" i="4"/>
  <c r="BU171" i="4"/>
  <c r="CG171" i="4" s="1"/>
  <c r="CS171" i="4" s="1"/>
  <c r="BV171" i="4"/>
  <c r="CH171" i="4" s="1"/>
  <c r="CT171" i="4" s="1"/>
  <c r="BW171" i="4"/>
  <c r="CI171" i="4" s="1"/>
  <c r="BX171" i="4"/>
  <c r="CJ171" i="4" s="1"/>
  <c r="CV171" i="4" s="1"/>
  <c r="BY171" i="4"/>
  <c r="CK171" i="4" s="1"/>
  <c r="CW171" i="4" s="1"/>
  <c r="CE171" i="4"/>
  <c r="CQ171" i="4" s="1"/>
  <c r="DS171" i="4" s="1"/>
  <c r="CF171" i="4"/>
  <c r="CR171" i="4" s="1"/>
  <c r="CM171" i="4"/>
  <c r="DO171" i="4" s="1"/>
  <c r="CU171" i="4"/>
  <c r="DW171" i="4" s="1"/>
  <c r="CZ171" i="4"/>
  <c r="DA171" i="4"/>
  <c r="DB171" i="4"/>
  <c r="DC171" i="4"/>
  <c r="DD171" i="4"/>
  <c r="DE171" i="4"/>
  <c r="DF171" i="4"/>
  <c r="DG171" i="4"/>
  <c r="DU171" i="4" s="1"/>
  <c r="DH171" i="4"/>
  <c r="DV171" i="4" s="1"/>
  <c r="DI171" i="4"/>
  <c r="DJ171" i="4"/>
  <c r="DK171" i="4"/>
  <c r="DT171" i="4"/>
  <c r="BN172" i="4"/>
  <c r="BZ172" i="4" s="1"/>
  <c r="CL172" i="4" s="1"/>
  <c r="BO172" i="4"/>
  <c r="BP172" i="4"/>
  <c r="CB172" i="4" s="1"/>
  <c r="CN172" i="4" s="1"/>
  <c r="BQ172" i="4"/>
  <c r="BR172" i="4"/>
  <c r="CD172" i="4" s="1"/>
  <c r="CP172" i="4" s="1"/>
  <c r="DR172" i="4" s="1"/>
  <c r="BS172" i="4"/>
  <c r="CE172" i="4" s="1"/>
  <c r="CQ172" i="4" s="1"/>
  <c r="BT172" i="4"/>
  <c r="BU172" i="4"/>
  <c r="CG172" i="4" s="1"/>
  <c r="CS172" i="4" s="1"/>
  <c r="BV172" i="4"/>
  <c r="CH172" i="4" s="1"/>
  <c r="CT172" i="4" s="1"/>
  <c r="BW172" i="4"/>
  <c r="BX172" i="4"/>
  <c r="BY172" i="4"/>
  <c r="CA172" i="4"/>
  <c r="CM172" i="4" s="1"/>
  <c r="CC172" i="4"/>
  <c r="CO172" i="4" s="1"/>
  <c r="DQ172" i="4" s="1"/>
  <c r="CF172" i="4"/>
  <c r="CR172" i="4" s="1"/>
  <c r="CI172" i="4"/>
  <c r="CU172" i="4" s="1"/>
  <c r="CJ172" i="4"/>
  <c r="CV172" i="4" s="1"/>
  <c r="CK172" i="4"/>
  <c r="CW172" i="4" s="1"/>
  <c r="CZ172" i="4"/>
  <c r="DA172" i="4"/>
  <c r="DB172" i="4"/>
  <c r="DP172" i="4" s="1"/>
  <c r="DC172" i="4"/>
  <c r="DD172" i="4"/>
  <c r="DE172" i="4"/>
  <c r="DS172" i="4" s="1"/>
  <c r="DF172" i="4"/>
  <c r="DG172" i="4"/>
  <c r="DH172" i="4"/>
  <c r="DI172" i="4"/>
  <c r="DW172" i="4" s="1"/>
  <c r="DJ172" i="4"/>
  <c r="DK172" i="4"/>
  <c r="BN173" i="4"/>
  <c r="BZ173" i="4" s="1"/>
  <c r="CL173" i="4" s="1"/>
  <c r="BO173" i="4"/>
  <c r="BP173" i="4"/>
  <c r="CB173" i="4" s="1"/>
  <c r="CN173" i="4" s="1"/>
  <c r="DP173" i="4" s="1"/>
  <c r="BQ173" i="4"/>
  <c r="CC173" i="4" s="1"/>
  <c r="CO173" i="4" s="1"/>
  <c r="BR173" i="4"/>
  <c r="CD173" i="4" s="1"/>
  <c r="BS173" i="4"/>
  <c r="CE173" i="4" s="1"/>
  <c r="CQ173" i="4" s="1"/>
  <c r="BT173" i="4"/>
  <c r="CF173" i="4" s="1"/>
  <c r="CR173" i="4" s="1"/>
  <c r="BU173" i="4"/>
  <c r="BV173" i="4"/>
  <c r="CH173" i="4" s="1"/>
  <c r="CT173" i="4" s="1"/>
  <c r="DV173" i="4" s="1"/>
  <c r="BW173" i="4"/>
  <c r="BX173" i="4"/>
  <c r="CJ173" i="4" s="1"/>
  <c r="CV173" i="4" s="1"/>
  <c r="BY173" i="4"/>
  <c r="CK173" i="4" s="1"/>
  <c r="CW173" i="4" s="1"/>
  <c r="CA173" i="4"/>
  <c r="CM173" i="4" s="1"/>
  <c r="CG173" i="4"/>
  <c r="CS173" i="4" s="1"/>
  <c r="CI173" i="4"/>
  <c r="CU173" i="4" s="1"/>
  <c r="DW173" i="4" s="1"/>
  <c r="CP173" i="4"/>
  <c r="DR173" i="4" s="1"/>
  <c r="CZ173" i="4"/>
  <c r="DA173" i="4"/>
  <c r="DB173" i="4"/>
  <c r="DC173" i="4"/>
  <c r="DD173" i="4"/>
  <c r="DE173" i="4"/>
  <c r="DF173" i="4"/>
  <c r="DG173" i="4"/>
  <c r="DH173" i="4"/>
  <c r="DI173" i="4"/>
  <c r="DJ173" i="4"/>
  <c r="DK173" i="4"/>
  <c r="DY173" i="4" s="1"/>
  <c r="BN174" i="4"/>
  <c r="BZ174" i="4" s="1"/>
  <c r="CL174" i="4" s="1"/>
  <c r="DN174" i="4" s="1"/>
  <c r="BO174" i="4"/>
  <c r="CA174" i="4" s="1"/>
  <c r="CM174" i="4" s="1"/>
  <c r="BP174" i="4"/>
  <c r="CB174" i="4" s="1"/>
  <c r="CN174" i="4" s="1"/>
  <c r="BQ174" i="4"/>
  <c r="CC174" i="4" s="1"/>
  <c r="BR174" i="4"/>
  <c r="CD174" i="4" s="1"/>
  <c r="CP174" i="4" s="1"/>
  <c r="BS174" i="4"/>
  <c r="BT174" i="4"/>
  <c r="CF174" i="4" s="1"/>
  <c r="CR174" i="4" s="1"/>
  <c r="BU174" i="4"/>
  <c r="BV174" i="4"/>
  <c r="CH174" i="4" s="1"/>
  <c r="CT174" i="4" s="1"/>
  <c r="BW174" i="4"/>
  <c r="CI174" i="4" s="1"/>
  <c r="CU174" i="4" s="1"/>
  <c r="BX174" i="4"/>
  <c r="CJ174" i="4" s="1"/>
  <c r="CV174" i="4" s="1"/>
  <c r="DX174" i="4" s="1"/>
  <c r="BY174" i="4"/>
  <c r="CK174" i="4" s="1"/>
  <c r="CW174" i="4" s="1"/>
  <c r="CE174" i="4"/>
  <c r="CQ174" i="4" s="1"/>
  <c r="CG174" i="4"/>
  <c r="CS174" i="4" s="1"/>
  <c r="DU174" i="4" s="1"/>
  <c r="CO174" i="4"/>
  <c r="CZ174" i="4"/>
  <c r="DA174" i="4"/>
  <c r="DB174" i="4"/>
  <c r="DC174" i="4"/>
  <c r="DD174" i="4"/>
  <c r="DE174" i="4"/>
  <c r="DS174" i="4" s="1"/>
  <c r="DF174" i="4"/>
  <c r="DG174" i="4"/>
  <c r="DH174" i="4"/>
  <c r="DI174" i="4"/>
  <c r="DW174" i="4" s="1"/>
  <c r="DJ174" i="4"/>
  <c r="DK174" i="4"/>
  <c r="BN175" i="4"/>
  <c r="BZ175" i="4" s="1"/>
  <c r="CL175" i="4" s="1"/>
  <c r="DN175" i="4" s="1"/>
  <c r="BO175" i="4"/>
  <c r="CA175" i="4" s="1"/>
  <c r="CM175" i="4" s="1"/>
  <c r="BP175" i="4"/>
  <c r="CB175" i="4" s="1"/>
  <c r="CN175" i="4" s="1"/>
  <c r="BQ175" i="4"/>
  <c r="CC175" i="4" s="1"/>
  <c r="CO175" i="4" s="1"/>
  <c r="BR175" i="4"/>
  <c r="CD175" i="4" s="1"/>
  <c r="CP175" i="4" s="1"/>
  <c r="DR175" i="4" s="1"/>
  <c r="BS175" i="4"/>
  <c r="BT175" i="4"/>
  <c r="BU175" i="4"/>
  <c r="CG175" i="4" s="1"/>
  <c r="CS175" i="4" s="1"/>
  <c r="BV175" i="4"/>
  <c r="BW175" i="4"/>
  <c r="CI175" i="4" s="1"/>
  <c r="CU175" i="4" s="1"/>
  <c r="BX175" i="4"/>
  <c r="CJ175" i="4" s="1"/>
  <c r="BY175" i="4"/>
  <c r="CK175" i="4" s="1"/>
  <c r="CW175" i="4" s="1"/>
  <c r="CE175" i="4"/>
  <c r="CQ175" i="4" s="1"/>
  <c r="DS175" i="4" s="1"/>
  <c r="CF175" i="4"/>
  <c r="CR175" i="4" s="1"/>
  <c r="CH175" i="4"/>
  <c r="CT175" i="4" s="1"/>
  <c r="DV175" i="4" s="1"/>
  <c r="CV175" i="4"/>
  <c r="CZ175" i="4"/>
  <c r="DA175" i="4"/>
  <c r="DB175" i="4"/>
  <c r="DC175" i="4"/>
  <c r="DD175" i="4"/>
  <c r="DE175" i="4"/>
  <c r="DF175" i="4"/>
  <c r="DG175" i="4"/>
  <c r="DU175" i="4" s="1"/>
  <c r="DH175" i="4"/>
  <c r="DI175" i="4"/>
  <c r="DW175" i="4" s="1"/>
  <c r="DJ175" i="4"/>
  <c r="DK175" i="4"/>
  <c r="DT175" i="4"/>
  <c r="BN176" i="4"/>
  <c r="BZ176" i="4" s="1"/>
  <c r="BO176" i="4"/>
  <c r="CA176" i="4" s="1"/>
  <c r="CM176" i="4" s="1"/>
  <c r="BP176" i="4"/>
  <c r="BQ176" i="4"/>
  <c r="CC176" i="4" s="1"/>
  <c r="CO176" i="4" s="1"/>
  <c r="BR176" i="4"/>
  <c r="CD176" i="4" s="1"/>
  <c r="CP176" i="4" s="1"/>
  <c r="DR176" i="4" s="1"/>
  <c r="BS176" i="4"/>
  <c r="CE176" i="4" s="1"/>
  <c r="CQ176" i="4" s="1"/>
  <c r="BT176" i="4"/>
  <c r="CF176" i="4" s="1"/>
  <c r="BU176" i="4"/>
  <c r="CG176" i="4" s="1"/>
  <c r="CS176" i="4" s="1"/>
  <c r="BV176" i="4"/>
  <c r="CH176" i="4" s="1"/>
  <c r="CT176" i="4" s="1"/>
  <c r="BW176" i="4"/>
  <c r="CI176" i="4" s="1"/>
  <c r="CU176" i="4" s="1"/>
  <c r="BX176" i="4"/>
  <c r="BY176" i="4"/>
  <c r="CK176" i="4" s="1"/>
  <c r="CW176" i="4" s="1"/>
  <c r="DY176" i="4" s="1"/>
  <c r="CB176" i="4"/>
  <c r="CN176" i="4" s="1"/>
  <c r="CJ176" i="4"/>
  <c r="CL176" i="4"/>
  <c r="CR176" i="4"/>
  <c r="CV176" i="4"/>
  <c r="CZ176" i="4"/>
  <c r="DA176" i="4"/>
  <c r="DB176" i="4"/>
  <c r="DC176" i="4"/>
  <c r="DQ176" i="4" s="1"/>
  <c r="DD176" i="4"/>
  <c r="DE176" i="4"/>
  <c r="DF176" i="4"/>
  <c r="DG176" i="4"/>
  <c r="DM176" i="4" s="1"/>
  <c r="DH176" i="4"/>
  <c r="DV176" i="4" s="1"/>
  <c r="DI176" i="4"/>
  <c r="DJ176" i="4"/>
  <c r="DK176" i="4"/>
  <c r="BN177" i="4"/>
  <c r="BZ177" i="4" s="1"/>
  <c r="CL177" i="4" s="1"/>
  <c r="BO177" i="4"/>
  <c r="CA177" i="4" s="1"/>
  <c r="CM177" i="4" s="1"/>
  <c r="DO177" i="4" s="1"/>
  <c r="BP177" i="4"/>
  <c r="CB177" i="4" s="1"/>
  <c r="CN177" i="4" s="1"/>
  <c r="BQ177" i="4"/>
  <c r="CC177" i="4" s="1"/>
  <c r="BR177" i="4"/>
  <c r="CD177" i="4" s="1"/>
  <c r="BS177" i="4"/>
  <c r="CE177" i="4" s="1"/>
  <c r="CQ177" i="4" s="1"/>
  <c r="BT177" i="4"/>
  <c r="BU177" i="4"/>
  <c r="CG177" i="4" s="1"/>
  <c r="CS177" i="4" s="1"/>
  <c r="BV177" i="4"/>
  <c r="CH177" i="4" s="1"/>
  <c r="CT177" i="4" s="1"/>
  <c r="BW177" i="4"/>
  <c r="CI177" i="4" s="1"/>
  <c r="CU177" i="4" s="1"/>
  <c r="DW177" i="4" s="1"/>
  <c r="BX177" i="4"/>
  <c r="CJ177" i="4" s="1"/>
  <c r="CV177" i="4" s="1"/>
  <c r="BY177" i="4"/>
  <c r="CK177" i="4" s="1"/>
  <c r="CW177" i="4" s="1"/>
  <c r="CF177" i="4"/>
  <c r="CR177" i="4" s="1"/>
  <c r="CO177" i="4"/>
  <c r="CP177" i="4"/>
  <c r="DR177" i="4" s="1"/>
  <c r="CZ177" i="4"/>
  <c r="DN177" i="4" s="1"/>
  <c r="DA177" i="4"/>
  <c r="DB177" i="4"/>
  <c r="DC177" i="4"/>
  <c r="DD177" i="4"/>
  <c r="DE177" i="4"/>
  <c r="DF177" i="4"/>
  <c r="DG177" i="4"/>
  <c r="DH177" i="4"/>
  <c r="DI177" i="4"/>
  <c r="DJ177" i="4"/>
  <c r="DK177" i="4"/>
  <c r="DV177" i="4"/>
  <c r="BN178" i="4"/>
  <c r="BO178" i="4"/>
  <c r="CA178" i="4" s="1"/>
  <c r="BP178" i="4"/>
  <c r="CB178" i="4" s="1"/>
  <c r="CN178" i="4" s="1"/>
  <c r="BQ178" i="4"/>
  <c r="CC178" i="4" s="1"/>
  <c r="CO178" i="4" s="1"/>
  <c r="BR178" i="4"/>
  <c r="BS178" i="4"/>
  <c r="BT178" i="4"/>
  <c r="CF178" i="4" s="1"/>
  <c r="CR178" i="4" s="1"/>
  <c r="DT178" i="4" s="1"/>
  <c r="BU178" i="4"/>
  <c r="CG178" i="4" s="1"/>
  <c r="CS178" i="4" s="1"/>
  <c r="DU178" i="4" s="1"/>
  <c r="BV178" i="4"/>
  <c r="BW178" i="4"/>
  <c r="CI178" i="4" s="1"/>
  <c r="CU178" i="4" s="1"/>
  <c r="BX178" i="4"/>
  <c r="CJ178" i="4" s="1"/>
  <c r="CV178" i="4" s="1"/>
  <c r="BY178" i="4"/>
  <c r="BZ178" i="4"/>
  <c r="CL178" i="4" s="1"/>
  <c r="DN178" i="4" s="1"/>
  <c r="CD178" i="4"/>
  <c r="CP178" i="4" s="1"/>
  <c r="DR178" i="4" s="1"/>
  <c r="CE178" i="4"/>
  <c r="CQ178" i="4" s="1"/>
  <c r="DS178" i="4" s="1"/>
  <c r="CH178" i="4"/>
  <c r="CT178" i="4" s="1"/>
  <c r="DV178" i="4" s="1"/>
  <c r="CK178" i="4"/>
  <c r="CW178" i="4" s="1"/>
  <c r="CM178" i="4"/>
  <c r="CZ178" i="4"/>
  <c r="DA178" i="4"/>
  <c r="DB178" i="4"/>
  <c r="DC178" i="4"/>
  <c r="DQ178" i="4" s="1"/>
  <c r="DD178" i="4"/>
  <c r="DE178" i="4"/>
  <c r="DF178" i="4"/>
  <c r="DG178" i="4"/>
  <c r="DH178" i="4"/>
  <c r="DI178" i="4"/>
  <c r="DW178" i="4" s="1"/>
  <c r="DJ178" i="4"/>
  <c r="DK178" i="4"/>
  <c r="DY178" i="4" s="1"/>
  <c r="BN179" i="4"/>
  <c r="BZ179" i="4" s="1"/>
  <c r="CL179" i="4" s="1"/>
  <c r="BO179" i="4"/>
  <c r="CA179" i="4" s="1"/>
  <c r="CM179" i="4" s="1"/>
  <c r="DO179" i="4" s="1"/>
  <c r="BP179" i="4"/>
  <c r="CB179" i="4" s="1"/>
  <c r="BQ179" i="4"/>
  <c r="BR179" i="4"/>
  <c r="BS179" i="4"/>
  <c r="CE179" i="4" s="1"/>
  <c r="CQ179" i="4" s="1"/>
  <c r="BT179" i="4"/>
  <c r="CF179" i="4" s="1"/>
  <c r="CR179" i="4" s="1"/>
  <c r="BU179" i="4"/>
  <c r="CG179" i="4" s="1"/>
  <c r="CS179" i="4" s="1"/>
  <c r="BV179" i="4"/>
  <c r="BW179" i="4"/>
  <c r="CI179" i="4" s="1"/>
  <c r="BX179" i="4"/>
  <c r="BY179" i="4"/>
  <c r="CC179" i="4"/>
  <c r="CO179" i="4" s="1"/>
  <c r="CD179" i="4"/>
  <c r="CP179" i="4" s="1"/>
  <c r="CH179" i="4"/>
  <c r="CT179" i="4" s="1"/>
  <c r="CJ179" i="4"/>
  <c r="CK179" i="4"/>
  <c r="CW179" i="4" s="1"/>
  <c r="CN179" i="4"/>
  <c r="CU179" i="4"/>
  <c r="CV179" i="4"/>
  <c r="CZ179" i="4"/>
  <c r="DA179" i="4"/>
  <c r="DB179" i="4"/>
  <c r="DC179" i="4"/>
  <c r="DQ179" i="4" s="1"/>
  <c r="DD179" i="4"/>
  <c r="DE179" i="4"/>
  <c r="DF179" i="4"/>
  <c r="DG179" i="4"/>
  <c r="DH179" i="4"/>
  <c r="DI179" i="4"/>
  <c r="DJ179" i="4"/>
  <c r="DX179" i="4" s="1"/>
  <c r="DK179" i="4"/>
  <c r="DY179" i="4" s="1"/>
  <c r="DV179" i="4"/>
  <c r="DW179" i="4"/>
  <c r="BN180" i="4"/>
  <c r="BO180" i="4"/>
  <c r="BP180" i="4"/>
  <c r="BQ180" i="4"/>
  <c r="CC180" i="4" s="1"/>
  <c r="CO180" i="4" s="1"/>
  <c r="BR180" i="4"/>
  <c r="CD180" i="4" s="1"/>
  <c r="CP180" i="4" s="1"/>
  <c r="BS180" i="4"/>
  <c r="CE180" i="4" s="1"/>
  <c r="CQ180" i="4" s="1"/>
  <c r="BT180" i="4"/>
  <c r="CF180" i="4" s="1"/>
  <c r="CR180" i="4" s="1"/>
  <c r="BU180" i="4"/>
  <c r="BV180" i="4"/>
  <c r="BW180" i="4"/>
  <c r="BX180" i="4"/>
  <c r="CJ180" i="4" s="1"/>
  <c r="CV180" i="4" s="1"/>
  <c r="BY180" i="4"/>
  <c r="CK180" i="4" s="1"/>
  <c r="CW180" i="4" s="1"/>
  <c r="BZ180" i="4"/>
  <c r="CL180" i="4" s="1"/>
  <c r="CA180" i="4"/>
  <c r="CM180" i="4" s="1"/>
  <c r="CB180" i="4"/>
  <c r="CN180" i="4" s="1"/>
  <c r="CG180" i="4"/>
  <c r="CS180" i="4" s="1"/>
  <c r="CH180" i="4"/>
  <c r="CT180" i="4" s="1"/>
  <c r="CI180" i="4"/>
  <c r="CU180" i="4" s="1"/>
  <c r="CZ180" i="4"/>
  <c r="DA180" i="4"/>
  <c r="DB180" i="4"/>
  <c r="DP180" i="4" s="1"/>
  <c r="DC180" i="4"/>
  <c r="DQ180" i="4" s="1"/>
  <c r="DD180" i="4"/>
  <c r="DE180" i="4"/>
  <c r="DF180" i="4"/>
  <c r="DG180" i="4"/>
  <c r="DH180" i="4"/>
  <c r="DV180" i="4" s="1"/>
  <c r="DI180" i="4"/>
  <c r="DJ180" i="4"/>
  <c r="DX180" i="4" s="1"/>
  <c r="DK180" i="4"/>
  <c r="DY180" i="4"/>
  <c r="BN181" i="4"/>
  <c r="BP181" i="4"/>
  <c r="CB181" i="4" s="1"/>
  <c r="CN181" i="4" s="1"/>
  <c r="BR181" i="4"/>
  <c r="BT181" i="4"/>
  <c r="CF181" i="4" s="1"/>
  <c r="CR181" i="4" s="1"/>
  <c r="BU181" i="4"/>
  <c r="BV181" i="4"/>
  <c r="BX181" i="4"/>
  <c r="CJ181" i="4" s="1"/>
  <c r="CV181" i="4" s="1"/>
  <c r="BY181" i="4"/>
  <c r="CK181" i="4" s="1"/>
  <c r="CW181" i="4" s="1"/>
  <c r="BZ181" i="4"/>
  <c r="CD181" i="4"/>
  <c r="CP181" i="4" s="1"/>
  <c r="CG181" i="4"/>
  <c r="CS181" i="4" s="1"/>
  <c r="CH181" i="4"/>
  <c r="CT181" i="4" s="1"/>
  <c r="CL181" i="4"/>
  <c r="CZ181" i="4"/>
  <c r="DN181" i="4" s="1"/>
  <c r="DB181" i="4"/>
  <c r="DD181" i="4"/>
  <c r="DR181" i="4" s="1"/>
  <c r="DF181" i="4"/>
  <c r="DT181" i="4" s="1"/>
  <c r="DG181" i="4"/>
  <c r="DU181" i="4" s="1"/>
  <c r="DH181" i="4"/>
  <c r="DJ181" i="4"/>
  <c r="DK181" i="4"/>
  <c r="BN182" i="4"/>
  <c r="BZ182" i="4" s="1"/>
  <c r="CL182" i="4" s="1"/>
  <c r="BP182" i="4"/>
  <c r="CB182" i="4" s="1"/>
  <c r="BR182" i="4"/>
  <c r="CD182" i="4" s="1"/>
  <c r="BT182" i="4"/>
  <c r="BV182" i="4"/>
  <c r="CH182" i="4" s="1"/>
  <c r="CT182" i="4" s="1"/>
  <c r="BW182" i="4"/>
  <c r="BX182" i="4"/>
  <c r="BY182" i="4"/>
  <c r="CF182" i="4"/>
  <c r="CR182" i="4" s="1"/>
  <c r="CJ182" i="4"/>
  <c r="CV182" i="4" s="1"/>
  <c r="CK182" i="4"/>
  <c r="CW182" i="4" s="1"/>
  <c r="CN182" i="4"/>
  <c r="CP182" i="4"/>
  <c r="CZ182" i="4"/>
  <c r="DB182" i="4"/>
  <c r="DD182" i="4"/>
  <c r="DF182" i="4"/>
  <c r="DT182" i="4" s="1"/>
  <c r="DH182" i="4"/>
  <c r="DI182" i="4"/>
  <c r="DJ182" i="4"/>
  <c r="DK182" i="4"/>
  <c r="DP182" i="4"/>
  <c r="BN183" i="4"/>
  <c r="BP183" i="4"/>
  <c r="BR183" i="4"/>
  <c r="CD183" i="4" s="1"/>
  <c r="CP183" i="4" s="1"/>
  <c r="BT183" i="4"/>
  <c r="CF183" i="4" s="1"/>
  <c r="BV183" i="4"/>
  <c r="CH183" i="4" s="1"/>
  <c r="BX183" i="4"/>
  <c r="BY183" i="4"/>
  <c r="BZ183" i="4"/>
  <c r="CL183" i="4" s="1"/>
  <c r="DN183" i="4" s="1"/>
  <c r="CB183" i="4"/>
  <c r="CN183" i="4" s="1"/>
  <c r="CJ183" i="4"/>
  <c r="CV183" i="4" s="1"/>
  <c r="CK183" i="4"/>
  <c r="CW183" i="4" s="1"/>
  <c r="CR183" i="4"/>
  <c r="DT183" i="4" s="1"/>
  <c r="CT183" i="4"/>
  <c r="CZ183" i="4"/>
  <c r="DB183" i="4"/>
  <c r="DD183" i="4"/>
  <c r="DF183" i="4"/>
  <c r="DH183" i="4"/>
  <c r="DV183" i="4" s="1"/>
  <c r="DJ183" i="4"/>
  <c r="DK183" i="4"/>
  <c r="BN184" i="4"/>
  <c r="BZ184" i="4" s="1"/>
  <c r="CL184" i="4" s="1"/>
  <c r="BP184" i="4"/>
  <c r="BR184" i="4"/>
  <c r="BT184" i="4"/>
  <c r="CF184" i="4" s="1"/>
  <c r="CR184" i="4" s="1"/>
  <c r="BV184" i="4"/>
  <c r="CH184" i="4" s="1"/>
  <c r="CT184" i="4" s="1"/>
  <c r="DV184" i="4" s="1"/>
  <c r="BW184" i="4"/>
  <c r="BX184" i="4"/>
  <c r="BY184" i="4"/>
  <c r="CK184" i="4" s="1"/>
  <c r="CW184" i="4" s="1"/>
  <c r="CB184" i="4"/>
  <c r="CN184" i="4" s="1"/>
  <c r="DP184" i="4" s="1"/>
  <c r="CD184" i="4"/>
  <c r="CP184" i="4" s="1"/>
  <c r="CI184" i="4"/>
  <c r="CU184" i="4" s="1"/>
  <c r="CJ184" i="4"/>
  <c r="CV184" i="4" s="1"/>
  <c r="CZ184" i="4"/>
  <c r="DN184" i="4" s="1"/>
  <c r="DB184" i="4"/>
  <c r="DD184" i="4"/>
  <c r="DR184" i="4" s="1"/>
  <c r="DF184" i="4"/>
  <c r="DH184" i="4"/>
  <c r="DI184" i="4"/>
  <c r="DJ184" i="4"/>
  <c r="DK184" i="4"/>
  <c r="DW184" i="4"/>
  <c r="BN185" i="4"/>
  <c r="BP185" i="4"/>
  <c r="CB185" i="4" s="1"/>
  <c r="CN185" i="4" s="1"/>
  <c r="BR185" i="4"/>
  <c r="CD185" i="4" s="1"/>
  <c r="CP185" i="4" s="1"/>
  <c r="DR185" i="4" s="1"/>
  <c r="BT185" i="4"/>
  <c r="CF185" i="4" s="1"/>
  <c r="BU185" i="4"/>
  <c r="BV185" i="4"/>
  <c r="CH185" i="4" s="1"/>
  <c r="CT185" i="4" s="1"/>
  <c r="BX185" i="4"/>
  <c r="CJ185" i="4" s="1"/>
  <c r="CV185" i="4" s="1"/>
  <c r="BY185" i="4"/>
  <c r="CK185" i="4" s="1"/>
  <c r="CW185" i="4" s="1"/>
  <c r="BZ185" i="4"/>
  <c r="CL185" i="4" s="1"/>
  <c r="CG185" i="4"/>
  <c r="CS185" i="4" s="1"/>
  <c r="CR185" i="4"/>
  <c r="CZ185" i="4"/>
  <c r="DB185" i="4"/>
  <c r="DD185" i="4"/>
  <c r="DF185" i="4"/>
  <c r="DG185" i="4"/>
  <c r="DU185" i="4" s="1"/>
  <c r="DH185" i="4"/>
  <c r="DJ185" i="4"/>
  <c r="DK185" i="4"/>
  <c r="DY185" i="4" s="1"/>
  <c r="DX185" i="4"/>
  <c r="BN186" i="4"/>
  <c r="BZ186" i="4" s="1"/>
  <c r="CL186" i="4" s="1"/>
  <c r="BP186" i="4"/>
  <c r="CB186" i="4" s="1"/>
  <c r="CN186" i="4" s="1"/>
  <c r="BR186" i="4"/>
  <c r="BT186" i="4"/>
  <c r="CF186" i="4" s="1"/>
  <c r="CR186" i="4" s="1"/>
  <c r="DT186" i="4" s="1"/>
  <c r="BV186" i="4"/>
  <c r="BW186" i="4"/>
  <c r="BX186" i="4"/>
  <c r="CJ186" i="4" s="1"/>
  <c r="CV186" i="4" s="1"/>
  <c r="BY186" i="4"/>
  <c r="CD186" i="4"/>
  <c r="CP186" i="4" s="1"/>
  <c r="CH186" i="4"/>
  <c r="CT186" i="4" s="1"/>
  <c r="DV186" i="4" s="1"/>
  <c r="CK186" i="4"/>
  <c r="CW186" i="4" s="1"/>
  <c r="DY186" i="4" s="1"/>
  <c r="CZ186" i="4"/>
  <c r="DB186" i="4"/>
  <c r="DD186" i="4"/>
  <c r="DF186" i="4"/>
  <c r="DH186" i="4"/>
  <c r="DI186" i="4"/>
  <c r="DJ186" i="4"/>
  <c r="DX186" i="4" s="1"/>
  <c r="DK186" i="4"/>
  <c r="BN187" i="4"/>
  <c r="BZ187" i="4" s="1"/>
  <c r="CL187" i="4" s="1"/>
  <c r="BO187" i="4"/>
  <c r="BP187" i="4"/>
  <c r="CB187" i="4" s="1"/>
  <c r="CN187" i="4" s="1"/>
  <c r="BR187" i="4"/>
  <c r="CD187" i="4" s="1"/>
  <c r="CP187" i="4" s="1"/>
  <c r="BT187" i="4"/>
  <c r="CF187" i="4" s="1"/>
  <c r="CR187" i="4" s="1"/>
  <c r="BU187" i="4"/>
  <c r="BV187" i="4"/>
  <c r="BW187" i="4"/>
  <c r="CI187" i="4" s="1"/>
  <c r="CU187" i="4" s="1"/>
  <c r="BX187" i="4"/>
  <c r="CJ187" i="4" s="1"/>
  <c r="CV187" i="4" s="1"/>
  <c r="BY187" i="4"/>
  <c r="CH187" i="4"/>
  <c r="CT187" i="4" s="1"/>
  <c r="CK187" i="4"/>
  <c r="CW187" i="4" s="1"/>
  <c r="CZ187" i="4"/>
  <c r="DA187" i="4"/>
  <c r="DB187" i="4"/>
  <c r="DD187" i="4"/>
  <c r="DF187" i="4"/>
  <c r="DT187" i="4" s="1"/>
  <c r="DG187" i="4"/>
  <c r="DH187" i="4"/>
  <c r="DI187" i="4"/>
  <c r="DJ187" i="4"/>
  <c r="DK187" i="4"/>
  <c r="DX187" i="4"/>
  <c r="DY187" i="4"/>
  <c r="BN188" i="4"/>
  <c r="BZ188" i="4" s="1"/>
  <c r="CL188" i="4" s="1"/>
  <c r="BP188" i="4"/>
  <c r="CB188" i="4" s="1"/>
  <c r="CN188" i="4" s="1"/>
  <c r="BR188" i="4"/>
  <c r="CD188" i="4" s="1"/>
  <c r="CP188" i="4" s="1"/>
  <c r="BT188" i="4"/>
  <c r="CF188" i="4" s="1"/>
  <c r="CR188" i="4" s="1"/>
  <c r="BU188" i="4"/>
  <c r="BV188" i="4"/>
  <c r="CH188" i="4" s="1"/>
  <c r="BX188" i="4"/>
  <c r="BY188" i="4"/>
  <c r="CK188" i="4" s="1"/>
  <c r="CW188" i="4" s="1"/>
  <c r="DY188" i="4" s="1"/>
  <c r="CJ188" i="4"/>
  <c r="CV188" i="4" s="1"/>
  <c r="CT188" i="4"/>
  <c r="CZ188" i="4"/>
  <c r="DB188" i="4"/>
  <c r="DD188" i="4"/>
  <c r="DF188" i="4"/>
  <c r="DG188" i="4"/>
  <c r="DH188" i="4"/>
  <c r="DJ188" i="4"/>
  <c r="DK188" i="4"/>
  <c r="BN189" i="4"/>
  <c r="BZ189" i="4" s="1"/>
  <c r="CL189" i="4" s="1"/>
  <c r="BP189" i="4"/>
  <c r="BR189" i="4"/>
  <c r="BS189" i="4"/>
  <c r="BT189" i="4"/>
  <c r="BU189" i="4"/>
  <c r="BV189" i="4"/>
  <c r="BW189" i="4"/>
  <c r="CI189" i="4" s="1"/>
  <c r="CU189" i="4" s="1"/>
  <c r="DW189" i="4" s="1"/>
  <c r="BX189" i="4"/>
  <c r="BY189" i="4"/>
  <c r="CK189" i="4" s="1"/>
  <c r="CW189" i="4" s="1"/>
  <c r="CB189" i="4"/>
  <c r="CN189" i="4" s="1"/>
  <c r="CD189" i="4"/>
  <c r="CP189" i="4" s="1"/>
  <c r="CF189" i="4"/>
  <c r="CR189" i="4" s="1"/>
  <c r="CH189" i="4"/>
  <c r="CT189" i="4" s="1"/>
  <c r="CJ189" i="4"/>
  <c r="CV189" i="4" s="1"/>
  <c r="CZ189" i="4"/>
  <c r="DN189" i="4" s="1"/>
  <c r="DB189" i="4"/>
  <c r="DD189" i="4"/>
  <c r="DR189" i="4" s="1"/>
  <c r="DE189" i="4"/>
  <c r="DF189" i="4"/>
  <c r="DG189" i="4"/>
  <c r="DH189" i="4"/>
  <c r="DV189" i="4" s="1"/>
  <c r="DI189" i="4"/>
  <c r="DJ189" i="4"/>
  <c r="DK189" i="4"/>
  <c r="DP189" i="4"/>
  <c r="BN190" i="4"/>
  <c r="BZ190" i="4" s="1"/>
  <c r="CL190" i="4" s="1"/>
  <c r="BO190" i="4"/>
  <c r="BP190" i="4"/>
  <c r="CB190" i="4" s="1"/>
  <c r="CN190" i="4" s="1"/>
  <c r="BQ190" i="4"/>
  <c r="BR190" i="4"/>
  <c r="CD190" i="4" s="1"/>
  <c r="BS190" i="4"/>
  <c r="BT190" i="4"/>
  <c r="CF190" i="4" s="1"/>
  <c r="CR190" i="4" s="1"/>
  <c r="BU190" i="4"/>
  <c r="BV190" i="4"/>
  <c r="CH190" i="4" s="1"/>
  <c r="CT190" i="4" s="1"/>
  <c r="BW190" i="4"/>
  <c r="BX190" i="4"/>
  <c r="BY190" i="4"/>
  <c r="CK190" i="4" s="1"/>
  <c r="CW190" i="4" s="1"/>
  <c r="DY190" i="4" s="1"/>
  <c r="CJ190" i="4"/>
  <c r="CV190" i="4" s="1"/>
  <c r="CP190" i="4"/>
  <c r="CZ190" i="4"/>
  <c r="DA190" i="4"/>
  <c r="DB190" i="4"/>
  <c r="DP190" i="4" s="1"/>
  <c r="DC190" i="4"/>
  <c r="DD190" i="4"/>
  <c r="DE190" i="4"/>
  <c r="DF190" i="4"/>
  <c r="DG190" i="4"/>
  <c r="DH190" i="4"/>
  <c r="DI190" i="4"/>
  <c r="DJ190" i="4"/>
  <c r="DK190" i="4"/>
  <c r="BN191" i="4"/>
  <c r="BZ191" i="4" s="1"/>
  <c r="CL191" i="4" s="1"/>
  <c r="DN191" i="4" s="1"/>
  <c r="BO191" i="4"/>
  <c r="BP191" i="4"/>
  <c r="BQ191" i="4"/>
  <c r="BR191" i="4"/>
  <c r="CD191" i="4" s="1"/>
  <c r="CP191" i="4" s="1"/>
  <c r="BS191" i="4"/>
  <c r="BT191" i="4"/>
  <c r="CF191" i="4" s="1"/>
  <c r="CR191" i="4" s="1"/>
  <c r="BU191" i="4"/>
  <c r="BV191" i="4"/>
  <c r="CH191" i="4" s="1"/>
  <c r="CT191" i="4" s="1"/>
  <c r="DV191" i="4" s="1"/>
  <c r="BW191" i="4"/>
  <c r="BX191" i="4"/>
  <c r="CJ191" i="4" s="1"/>
  <c r="BY191" i="4"/>
  <c r="CB191" i="4"/>
  <c r="CN191" i="4" s="1"/>
  <c r="CK191" i="4"/>
  <c r="CW191" i="4" s="1"/>
  <c r="CV191" i="4"/>
  <c r="CZ191" i="4"/>
  <c r="DA191" i="4"/>
  <c r="DB191" i="4"/>
  <c r="DC191" i="4"/>
  <c r="DD191" i="4"/>
  <c r="DE191" i="4"/>
  <c r="DF191" i="4"/>
  <c r="DG191" i="4"/>
  <c r="DH191" i="4"/>
  <c r="DI191" i="4"/>
  <c r="DJ191" i="4"/>
  <c r="DK191" i="4"/>
  <c r="DY191" i="4" s="1"/>
  <c r="BN192" i="4"/>
  <c r="BZ192" i="4" s="1"/>
  <c r="CL192" i="4" s="1"/>
  <c r="BP192" i="4"/>
  <c r="CB192" i="4" s="1"/>
  <c r="CN192" i="4" s="1"/>
  <c r="BR192" i="4"/>
  <c r="CD192" i="4" s="1"/>
  <c r="CP192" i="4" s="1"/>
  <c r="DR192" i="4" s="1"/>
  <c r="BS192" i="4"/>
  <c r="BT192" i="4"/>
  <c r="CF192" i="4" s="1"/>
  <c r="CR192" i="4" s="1"/>
  <c r="BU192" i="4"/>
  <c r="BV192" i="4"/>
  <c r="BW192" i="4"/>
  <c r="BX192" i="4"/>
  <c r="CJ192" i="4" s="1"/>
  <c r="CV192" i="4" s="1"/>
  <c r="BY192" i="4"/>
  <c r="CK192" i="4" s="1"/>
  <c r="CW192" i="4" s="1"/>
  <c r="CH192" i="4"/>
  <c r="CT192" i="4" s="1"/>
  <c r="CI192" i="4"/>
  <c r="CU192" i="4" s="1"/>
  <c r="CZ192" i="4"/>
  <c r="DB192" i="4"/>
  <c r="DD192" i="4"/>
  <c r="DE192" i="4"/>
  <c r="DF192" i="4"/>
  <c r="DG192" i="4"/>
  <c r="DH192" i="4"/>
  <c r="DI192" i="4"/>
  <c r="DJ192" i="4"/>
  <c r="DK192" i="4"/>
  <c r="DW192" i="4"/>
  <c r="BN193" i="4"/>
  <c r="BZ193" i="4" s="1"/>
  <c r="CL193" i="4" s="1"/>
  <c r="BO193" i="4"/>
  <c r="BP193" i="4"/>
  <c r="BQ193" i="4"/>
  <c r="BR193" i="4"/>
  <c r="CD193" i="4" s="1"/>
  <c r="CP193" i="4" s="1"/>
  <c r="BS193" i="4"/>
  <c r="BT193" i="4"/>
  <c r="CF193" i="4" s="1"/>
  <c r="BU193" i="4"/>
  <c r="BV193" i="4"/>
  <c r="CH193" i="4" s="1"/>
  <c r="CT193" i="4" s="1"/>
  <c r="DV193" i="4" s="1"/>
  <c r="BW193" i="4"/>
  <c r="BX193" i="4"/>
  <c r="BY193" i="4"/>
  <c r="CK193" i="4" s="1"/>
  <c r="CB193" i="4"/>
  <c r="CJ193" i="4"/>
  <c r="CV193" i="4" s="1"/>
  <c r="CN193" i="4"/>
  <c r="CR193" i="4"/>
  <c r="CW193" i="4"/>
  <c r="CZ193" i="4"/>
  <c r="DA193" i="4"/>
  <c r="DB193" i="4"/>
  <c r="DC193" i="4"/>
  <c r="DD193" i="4"/>
  <c r="DE193" i="4"/>
  <c r="DF193" i="4"/>
  <c r="DG193" i="4"/>
  <c r="DH193" i="4"/>
  <c r="DI193" i="4"/>
  <c r="DJ193" i="4"/>
  <c r="DK193" i="4"/>
  <c r="DY193" i="4" s="1"/>
  <c r="DR193" i="4"/>
  <c r="DT193" i="4"/>
  <c r="BN194" i="4"/>
  <c r="BZ194" i="4" s="1"/>
  <c r="CL194" i="4" s="1"/>
  <c r="BP194" i="4"/>
  <c r="CB194" i="4" s="1"/>
  <c r="CN194" i="4" s="1"/>
  <c r="DP194" i="4" s="1"/>
  <c r="BQ194" i="4"/>
  <c r="BR194" i="4"/>
  <c r="BS194" i="4"/>
  <c r="BT194" i="4"/>
  <c r="CF194" i="4" s="1"/>
  <c r="CR194" i="4" s="1"/>
  <c r="BU194" i="4"/>
  <c r="BV194" i="4"/>
  <c r="BW194" i="4"/>
  <c r="CI194" i="4" s="1"/>
  <c r="CU194" i="4" s="1"/>
  <c r="BX194" i="4"/>
  <c r="BY194" i="4"/>
  <c r="CK194" i="4" s="1"/>
  <c r="CW194" i="4" s="1"/>
  <c r="DY194" i="4" s="1"/>
  <c r="CD194" i="4"/>
  <c r="CP194" i="4" s="1"/>
  <c r="DR194" i="4" s="1"/>
  <c r="CH194" i="4"/>
  <c r="CT194" i="4" s="1"/>
  <c r="CJ194" i="4"/>
  <c r="CV194" i="4" s="1"/>
  <c r="DX194" i="4" s="1"/>
  <c r="CZ194" i="4"/>
  <c r="DB194" i="4"/>
  <c r="DC194" i="4"/>
  <c r="DD194" i="4"/>
  <c r="DE194" i="4"/>
  <c r="DF194" i="4"/>
  <c r="DG194" i="4"/>
  <c r="DH194" i="4"/>
  <c r="DI194" i="4"/>
  <c r="DJ194" i="4"/>
  <c r="DK194" i="4"/>
  <c r="BN195" i="4"/>
  <c r="BO195" i="4"/>
  <c r="BP195" i="4"/>
  <c r="CB195" i="4" s="1"/>
  <c r="CN195" i="4" s="1"/>
  <c r="BQ195" i="4"/>
  <c r="BR195" i="4"/>
  <c r="CD195" i="4" s="1"/>
  <c r="CP195" i="4" s="1"/>
  <c r="DR195" i="4" s="1"/>
  <c r="BS195" i="4"/>
  <c r="BT195" i="4"/>
  <c r="BU195" i="4"/>
  <c r="BV195" i="4"/>
  <c r="BW195" i="4"/>
  <c r="CI195" i="4" s="1"/>
  <c r="CU195" i="4" s="1"/>
  <c r="BX195" i="4"/>
  <c r="BY195" i="4"/>
  <c r="CK195" i="4" s="1"/>
  <c r="CW195" i="4" s="1"/>
  <c r="BZ195" i="4"/>
  <c r="CF195" i="4"/>
  <c r="CR195" i="4" s="1"/>
  <c r="CH195" i="4"/>
  <c r="CT195" i="4" s="1"/>
  <c r="CJ195" i="4"/>
  <c r="CV195" i="4" s="1"/>
  <c r="CL195" i="4"/>
  <c r="CZ195" i="4"/>
  <c r="DA195" i="4"/>
  <c r="DB195" i="4"/>
  <c r="DP195" i="4" s="1"/>
  <c r="DC195" i="4"/>
  <c r="DD195" i="4"/>
  <c r="DE195" i="4"/>
  <c r="DF195" i="4"/>
  <c r="DG195" i="4"/>
  <c r="DH195" i="4"/>
  <c r="DI195" i="4"/>
  <c r="DJ195" i="4"/>
  <c r="DK195" i="4"/>
  <c r="DY195" i="4"/>
  <c r="BN196" i="4"/>
  <c r="BZ196" i="4" s="1"/>
  <c r="BO196" i="4"/>
  <c r="BP196" i="4"/>
  <c r="CB196" i="4" s="1"/>
  <c r="CN196" i="4" s="1"/>
  <c r="BQ196" i="4"/>
  <c r="BR196" i="4"/>
  <c r="CD196" i="4" s="1"/>
  <c r="CP196" i="4" s="1"/>
  <c r="BS196" i="4"/>
  <c r="BT196" i="4"/>
  <c r="CF196" i="4" s="1"/>
  <c r="CR196" i="4" s="1"/>
  <c r="BU196" i="4"/>
  <c r="BV196" i="4"/>
  <c r="CH196" i="4" s="1"/>
  <c r="CT196" i="4" s="1"/>
  <c r="DV196" i="4" s="1"/>
  <c r="BW196" i="4"/>
  <c r="BX196" i="4"/>
  <c r="CJ196" i="4" s="1"/>
  <c r="CV196" i="4" s="1"/>
  <c r="BY196" i="4"/>
  <c r="CI196" i="4"/>
  <c r="CU196" i="4" s="1"/>
  <c r="CK196" i="4"/>
  <c r="CW196" i="4" s="1"/>
  <c r="DY196" i="4" s="1"/>
  <c r="CL196" i="4"/>
  <c r="CZ196" i="4"/>
  <c r="DA196" i="4"/>
  <c r="DB196" i="4"/>
  <c r="DL196" i="4" s="1"/>
  <c r="DC196" i="4"/>
  <c r="DD196" i="4"/>
  <c r="DR196" i="4" s="1"/>
  <c r="DE196" i="4"/>
  <c r="DF196" i="4"/>
  <c r="DT196" i="4" s="1"/>
  <c r="DG196" i="4"/>
  <c r="DH196" i="4"/>
  <c r="DI196" i="4"/>
  <c r="DJ196" i="4"/>
  <c r="DK196" i="4"/>
  <c r="BN197" i="4"/>
  <c r="BZ197" i="4" s="1"/>
  <c r="CL197" i="4" s="1"/>
  <c r="DN197" i="4" s="1"/>
  <c r="BO197" i="4"/>
  <c r="BP197" i="4"/>
  <c r="CB197" i="4" s="1"/>
  <c r="CN197" i="4" s="1"/>
  <c r="BQ197" i="4"/>
  <c r="BR197" i="4"/>
  <c r="BS197" i="4"/>
  <c r="BT197" i="4"/>
  <c r="CF197" i="4" s="1"/>
  <c r="CR197" i="4" s="1"/>
  <c r="BU197" i="4"/>
  <c r="BV197" i="4"/>
  <c r="CH197" i="4" s="1"/>
  <c r="CT197" i="4" s="1"/>
  <c r="BW197" i="4"/>
  <c r="BX197" i="4"/>
  <c r="CJ197" i="4" s="1"/>
  <c r="CV197" i="4" s="1"/>
  <c r="BY197" i="4"/>
  <c r="CK197" i="4" s="1"/>
  <c r="CW197" i="4" s="1"/>
  <c r="CD197" i="4"/>
  <c r="CP197" i="4" s="1"/>
  <c r="CZ197" i="4"/>
  <c r="DA197" i="4"/>
  <c r="DB197" i="4"/>
  <c r="DC197" i="4"/>
  <c r="DD197" i="4"/>
  <c r="DE197" i="4"/>
  <c r="DF197" i="4"/>
  <c r="DG197" i="4"/>
  <c r="DH197" i="4"/>
  <c r="DI197" i="4"/>
  <c r="DJ197" i="4"/>
  <c r="DK197" i="4"/>
  <c r="BN198" i="4"/>
  <c r="BO198" i="4"/>
  <c r="BP198" i="4"/>
  <c r="BQ198" i="4"/>
  <c r="BR198" i="4"/>
  <c r="CD198" i="4" s="1"/>
  <c r="CP198" i="4" s="1"/>
  <c r="BS198" i="4"/>
  <c r="BT198" i="4"/>
  <c r="CF198" i="4" s="1"/>
  <c r="CR198" i="4" s="1"/>
  <c r="BU198" i="4"/>
  <c r="BV198" i="4"/>
  <c r="CH198" i="4" s="1"/>
  <c r="CT198" i="4" s="1"/>
  <c r="BW198" i="4"/>
  <c r="CI198" i="4" s="1"/>
  <c r="BX198" i="4"/>
  <c r="BY198" i="4"/>
  <c r="CK198" i="4" s="1"/>
  <c r="CW198" i="4" s="1"/>
  <c r="BZ198" i="4"/>
  <c r="CL198" i="4" s="1"/>
  <c r="CB198" i="4"/>
  <c r="CN198" i="4" s="1"/>
  <c r="CJ198" i="4"/>
  <c r="CV198" i="4" s="1"/>
  <c r="DX198" i="4" s="1"/>
  <c r="CU198" i="4"/>
  <c r="CZ198" i="4"/>
  <c r="DA198" i="4"/>
  <c r="DB198" i="4"/>
  <c r="DC198" i="4"/>
  <c r="DD198" i="4"/>
  <c r="DE198" i="4"/>
  <c r="DF198" i="4"/>
  <c r="DG198" i="4"/>
  <c r="DH198" i="4"/>
  <c r="DI198" i="4"/>
  <c r="DJ198" i="4"/>
  <c r="DK198" i="4"/>
  <c r="BN199" i="4"/>
  <c r="BO199" i="4"/>
  <c r="BP199" i="4"/>
  <c r="CB199" i="4" s="1"/>
  <c r="CN199" i="4" s="1"/>
  <c r="BQ199" i="4"/>
  <c r="BR199" i="4"/>
  <c r="CD199" i="4" s="1"/>
  <c r="CP199" i="4" s="1"/>
  <c r="BS199" i="4"/>
  <c r="BT199" i="4"/>
  <c r="BU199" i="4"/>
  <c r="BV199" i="4"/>
  <c r="CH199" i="4" s="1"/>
  <c r="CT199" i="4" s="1"/>
  <c r="DV199" i="4" s="1"/>
  <c r="BW199" i="4"/>
  <c r="BX199" i="4"/>
  <c r="CJ199" i="4" s="1"/>
  <c r="CV199" i="4" s="1"/>
  <c r="BY199" i="4"/>
  <c r="CK199" i="4" s="1"/>
  <c r="CW199" i="4" s="1"/>
  <c r="BZ199" i="4"/>
  <c r="CL199" i="4" s="1"/>
  <c r="CF199" i="4"/>
  <c r="CI199" i="4"/>
  <c r="CU199" i="4" s="1"/>
  <c r="CR199" i="4"/>
  <c r="CZ199" i="4"/>
  <c r="DA199" i="4"/>
  <c r="DB199" i="4"/>
  <c r="DC199" i="4"/>
  <c r="DD199" i="4"/>
  <c r="DE199" i="4"/>
  <c r="DF199" i="4"/>
  <c r="DG199" i="4"/>
  <c r="DH199" i="4"/>
  <c r="DI199" i="4"/>
  <c r="DJ199" i="4"/>
  <c r="DX199" i="4" s="1"/>
  <c r="DK199" i="4"/>
  <c r="DN199" i="4"/>
  <c r="DY199" i="4"/>
  <c r="BN200" i="4"/>
  <c r="BZ200" i="4" s="1"/>
  <c r="CL200" i="4" s="1"/>
  <c r="BO200" i="4"/>
  <c r="BP200" i="4"/>
  <c r="CB200" i="4" s="1"/>
  <c r="CN200" i="4" s="1"/>
  <c r="BQ200" i="4"/>
  <c r="BR200" i="4"/>
  <c r="CD200" i="4" s="1"/>
  <c r="CP200" i="4" s="1"/>
  <c r="BS200" i="4"/>
  <c r="BT200" i="4"/>
  <c r="BU200" i="4"/>
  <c r="BV200" i="4"/>
  <c r="BW200" i="4"/>
  <c r="BX200" i="4"/>
  <c r="BY200" i="4"/>
  <c r="CK200" i="4" s="1"/>
  <c r="CW200" i="4" s="1"/>
  <c r="CF200" i="4"/>
  <c r="CR200" i="4" s="1"/>
  <c r="CH200" i="4"/>
  <c r="CT200" i="4" s="1"/>
  <c r="CI200" i="4"/>
  <c r="CU200" i="4" s="1"/>
  <c r="CJ200" i="4"/>
  <c r="CV200" i="4" s="1"/>
  <c r="CZ200" i="4"/>
  <c r="DA200" i="4"/>
  <c r="DB200" i="4"/>
  <c r="DC200" i="4"/>
  <c r="DD200" i="4"/>
  <c r="DR200" i="4" s="1"/>
  <c r="DE200" i="4"/>
  <c r="DF200" i="4"/>
  <c r="DG200" i="4"/>
  <c r="DH200" i="4"/>
  <c r="DV200" i="4" s="1"/>
  <c r="DI200" i="4"/>
  <c r="DW200" i="4" s="1"/>
  <c r="DJ200" i="4"/>
  <c r="DK200" i="4"/>
  <c r="DP200" i="4"/>
  <c r="BN201" i="4"/>
  <c r="BZ201" i="4" s="1"/>
  <c r="BO201" i="4"/>
  <c r="BP201" i="4"/>
  <c r="CB201" i="4" s="1"/>
  <c r="CN201" i="4" s="1"/>
  <c r="BQ201" i="4"/>
  <c r="BR201" i="4"/>
  <c r="BS201" i="4"/>
  <c r="BT201" i="4"/>
  <c r="CF201" i="4" s="1"/>
  <c r="CR201" i="4" s="1"/>
  <c r="DT201" i="4" s="1"/>
  <c r="BU201" i="4"/>
  <c r="BV201" i="4"/>
  <c r="CH201" i="4" s="1"/>
  <c r="CT201" i="4" s="1"/>
  <c r="BW201" i="4"/>
  <c r="CI201" i="4" s="1"/>
  <c r="CU201" i="4" s="1"/>
  <c r="DW201" i="4" s="1"/>
  <c r="BX201" i="4"/>
  <c r="CJ201" i="4" s="1"/>
  <c r="CV201" i="4" s="1"/>
  <c r="BY201" i="4"/>
  <c r="CK201" i="4" s="1"/>
  <c r="CD201" i="4"/>
  <c r="CP201" i="4" s="1"/>
  <c r="CL201" i="4"/>
  <c r="CW201" i="4"/>
  <c r="CZ201" i="4"/>
  <c r="DA201" i="4"/>
  <c r="DB201" i="4"/>
  <c r="DC201" i="4"/>
  <c r="DD201" i="4"/>
  <c r="DE201" i="4"/>
  <c r="DF201" i="4"/>
  <c r="DG201" i="4"/>
  <c r="DH201" i="4"/>
  <c r="DV201" i="4" s="1"/>
  <c r="DI201" i="4"/>
  <c r="DJ201" i="4"/>
  <c r="DK201" i="4"/>
  <c r="DY201" i="4" s="1"/>
  <c r="BN202" i="4"/>
  <c r="BZ202" i="4" s="1"/>
  <c r="CL202" i="4" s="1"/>
  <c r="BO202" i="4"/>
  <c r="BP202" i="4"/>
  <c r="BQ202" i="4"/>
  <c r="BR202" i="4"/>
  <c r="CD202" i="4" s="1"/>
  <c r="CP202" i="4" s="1"/>
  <c r="DR202" i="4" s="1"/>
  <c r="BS202" i="4"/>
  <c r="BT202" i="4"/>
  <c r="BU202" i="4"/>
  <c r="BV202" i="4"/>
  <c r="BW202" i="4"/>
  <c r="CI202" i="4" s="1"/>
  <c r="CU202" i="4" s="1"/>
  <c r="BX202" i="4"/>
  <c r="CJ202" i="4" s="1"/>
  <c r="CV202" i="4" s="1"/>
  <c r="BY202" i="4"/>
  <c r="CK202" i="4" s="1"/>
  <c r="CW202" i="4" s="1"/>
  <c r="DY202" i="4" s="1"/>
  <c r="CB202" i="4"/>
  <c r="CN202" i="4" s="1"/>
  <c r="CF202" i="4"/>
  <c r="CH202" i="4"/>
  <c r="CT202" i="4" s="1"/>
  <c r="CR202" i="4"/>
  <c r="DT202" i="4" s="1"/>
  <c r="CZ202" i="4"/>
  <c r="DA202" i="4"/>
  <c r="DB202" i="4"/>
  <c r="DP202" i="4" s="1"/>
  <c r="DC202" i="4"/>
  <c r="DD202" i="4"/>
  <c r="DE202" i="4"/>
  <c r="DF202" i="4"/>
  <c r="DG202" i="4"/>
  <c r="DH202" i="4"/>
  <c r="DI202" i="4"/>
  <c r="DJ202" i="4"/>
  <c r="DK202" i="4"/>
  <c r="BN203" i="4"/>
  <c r="BZ203" i="4" s="1"/>
  <c r="CL203" i="4" s="1"/>
  <c r="BO203" i="4"/>
  <c r="BP203" i="4"/>
  <c r="BQ203" i="4"/>
  <c r="BR203" i="4"/>
  <c r="CD203" i="4" s="1"/>
  <c r="CP203" i="4" s="1"/>
  <c r="BS203" i="4"/>
  <c r="BT203" i="4"/>
  <c r="CF203" i="4" s="1"/>
  <c r="CR203" i="4" s="1"/>
  <c r="BU203" i="4"/>
  <c r="BV203" i="4"/>
  <c r="CH203" i="4" s="1"/>
  <c r="CT203" i="4" s="1"/>
  <c r="BW203" i="4"/>
  <c r="BX203" i="4"/>
  <c r="BY203" i="4"/>
  <c r="CB203" i="4"/>
  <c r="CN203" i="4" s="1"/>
  <c r="DP203" i="4" s="1"/>
  <c r="CI203" i="4"/>
  <c r="CU203" i="4" s="1"/>
  <c r="CJ203" i="4"/>
  <c r="CV203" i="4" s="1"/>
  <c r="DX203" i="4" s="1"/>
  <c r="CK203" i="4"/>
  <c r="CW203" i="4" s="1"/>
  <c r="CZ203" i="4"/>
  <c r="DA203" i="4"/>
  <c r="DB203" i="4"/>
  <c r="DC203" i="4"/>
  <c r="DD203" i="4"/>
  <c r="DE203" i="4"/>
  <c r="DF203" i="4"/>
  <c r="DG203" i="4"/>
  <c r="DH203" i="4"/>
  <c r="DI203" i="4"/>
  <c r="DJ203" i="4"/>
  <c r="DK203" i="4"/>
  <c r="DY203" i="4" s="1"/>
  <c r="BN204" i="4"/>
  <c r="BO204" i="4"/>
  <c r="BP204" i="4"/>
  <c r="CB204" i="4" s="1"/>
  <c r="CN204" i="4" s="1"/>
  <c r="BQ204" i="4"/>
  <c r="BR204" i="4"/>
  <c r="CD204" i="4" s="1"/>
  <c r="CP204" i="4" s="1"/>
  <c r="BS204" i="4"/>
  <c r="BT204" i="4"/>
  <c r="BU204" i="4"/>
  <c r="BV204" i="4"/>
  <c r="CH204" i="4" s="1"/>
  <c r="CT204" i="4" s="1"/>
  <c r="BW204" i="4"/>
  <c r="BX204" i="4"/>
  <c r="CJ204" i="4" s="1"/>
  <c r="CV204" i="4" s="1"/>
  <c r="BY204" i="4"/>
  <c r="CK204" i="4" s="1"/>
  <c r="CW204" i="4" s="1"/>
  <c r="DY204" i="4" s="1"/>
  <c r="BZ204" i="4"/>
  <c r="CL204" i="4" s="1"/>
  <c r="DN204" i="4" s="1"/>
  <c r="CF204" i="4"/>
  <c r="CR204" i="4" s="1"/>
  <c r="CI204" i="4"/>
  <c r="CU204" i="4" s="1"/>
  <c r="CZ204" i="4"/>
  <c r="DA204" i="4"/>
  <c r="DB204" i="4"/>
  <c r="DC204" i="4"/>
  <c r="DD204" i="4"/>
  <c r="DE204" i="4"/>
  <c r="DF204" i="4"/>
  <c r="DG204" i="4"/>
  <c r="DH204" i="4"/>
  <c r="DI204" i="4"/>
  <c r="DW204" i="4" s="1"/>
  <c r="DJ204" i="4"/>
  <c r="DK204" i="4"/>
  <c r="DV204" i="4"/>
  <c r="BN205" i="4"/>
  <c r="BZ205" i="4" s="1"/>
  <c r="CL205" i="4" s="1"/>
  <c r="BO205" i="4"/>
  <c r="CA205" i="4" s="1"/>
  <c r="CM205" i="4" s="1"/>
  <c r="BP205" i="4"/>
  <c r="CB205" i="4" s="1"/>
  <c r="CN205" i="4" s="1"/>
  <c r="BQ205" i="4"/>
  <c r="CC205" i="4" s="1"/>
  <c r="BR205" i="4"/>
  <c r="BS205" i="4"/>
  <c r="CE205" i="4" s="1"/>
  <c r="CQ205" i="4" s="1"/>
  <c r="BT205" i="4"/>
  <c r="BU205" i="4"/>
  <c r="BV205" i="4"/>
  <c r="CH205" i="4" s="1"/>
  <c r="CT205" i="4" s="1"/>
  <c r="BW205" i="4"/>
  <c r="CI205" i="4" s="1"/>
  <c r="CU205" i="4" s="1"/>
  <c r="DW205" i="4" s="1"/>
  <c r="BX205" i="4"/>
  <c r="CJ205" i="4" s="1"/>
  <c r="CV205" i="4" s="1"/>
  <c r="BY205" i="4"/>
  <c r="CK205" i="4" s="1"/>
  <c r="CD205" i="4"/>
  <c r="CP205" i="4" s="1"/>
  <c r="CF205" i="4"/>
  <c r="CR205" i="4" s="1"/>
  <c r="CG205" i="4"/>
  <c r="CS205" i="4" s="1"/>
  <c r="DU205" i="4" s="1"/>
  <c r="CO205" i="4"/>
  <c r="CW205" i="4"/>
  <c r="CZ205" i="4"/>
  <c r="DL205" i="4" s="1"/>
  <c r="DA205" i="4"/>
  <c r="DB205" i="4"/>
  <c r="DC205" i="4"/>
  <c r="DQ205" i="4" s="1"/>
  <c r="DD205" i="4"/>
  <c r="DE205" i="4"/>
  <c r="DF205" i="4"/>
  <c r="DG205" i="4"/>
  <c r="DH205" i="4"/>
  <c r="DI205" i="4"/>
  <c r="DJ205" i="4"/>
  <c r="DK205" i="4"/>
  <c r="DY205" i="4" s="1"/>
  <c r="DM205" i="4"/>
  <c r="DO205" i="4"/>
  <c r="BN206" i="4"/>
  <c r="BZ206" i="4" s="1"/>
  <c r="CL206" i="4" s="1"/>
  <c r="BO206" i="4"/>
  <c r="CA206" i="4" s="1"/>
  <c r="BP206" i="4"/>
  <c r="CB206" i="4" s="1"/>
  <c r="CN206" i="4" s="1"/>
  <c r="BQ206" i="4"/>
  <c r="BR206" i="4"/>
  <c r="BS206" i="4"/>
  <c r="CE206" i="4" s="1"/>
  <c r="CQ206" i="4" s="1"/>
  <c r="DS206" i="4" s="1"/>
  <c r="BT206" i="4"/>
  <c r="CF206" i="4" s="1"/>
  <c r="CR206" i="4" s="1"/>
  <c r="BU206" i="4"/>
  <c r="CG206" i="4" s="1"/>
  <c r="CS206" i="4" s="1"/>
  <c r="BV206" i="4"/>
  <c r="CH206" i="4" s="1"/>
  <c r="CT206" i="4" s="1"/>
  <c r="BW206" i="4"/>
  <c r="CI206" i="4" s="1"/>
  <c r="CU206" i="4" s="1"/>
  <c r="DW206" i="4" s="1"/>
  <c r="BX206" i="4"/>
  <c r="CJ206" i="4" s="1"/>
  <c r="CV206" i="4" s="1"/>
  <c r="BY206" i="4"/>
  <c r="CK206" i="4" s="1"/>
  <c r="CW206" i="4" s="1"/>
  <c r="CC206" i="4"/>
  <c r="CO206" i="4" s="1"/>
  <c r="CD206" i="4"/>
  <c r="CP206" i="4" s="1"/>
  <c r="CM206" i="4"/>
  <c r="DO206" i="4" s="1"/>
  <c r="CZ206" i="4"/>
  <c r="DA206" i="4"/>
  <c r="DB206" i="4"/>
  <c r="DC206" i="4"/>
  <c r="DD206" i="4"/>
  <c r="DE206" i="4"/>
  <c r="DF206" i="4"/>
  <c r="DG206" i="4"/>
  <c r="DH206" i="4"/>
  <c r="DI206" i="4"/>
  <c r="DJ206" i="4"/>
  <c r="DX206" i="4" s="1"/>
  <c r="DK206" i="4"/>
  <c r="DY206" i="4" s="1"/>
  <c r="DR206" i="4"/>
  <c r="BN207" i="4"/>
  <c r="BO207" i="4"/>
  <c r="BP207" i="4"/>
  <c r="BQ207" i="4"/>
  <c r="BR207" i="4"/>
  <c r="CD207" i="4" s="1"/>
  <c r="CP207" i="4" s="1"/>
  <c r="BS207" i="4"/>
  <c r="CE207" i="4" s="1"/>
  <c r="CQ207" i="4" s="1"/>
  <c r="DS207" i="4" s="1"/>
  <c r="BT207" i="4"/>
  <c r="CF207" i="4" s="1"/>
  <c r="CR207" i="4" s="1"/>
  <c r="BU207" i="4"/>
  <c r="BV207" i="4"/>
  <c r="CH207" i="4" s="1"/>
  <c r="CT207" i="4" s="1"/>
  <c r="BW207" i="4"/>
  <c r="CI207" i="4" s="1"/>
  <c r="CU207" i="4" s="1"/>
  <c r="BX207" i="4"/>
  <c r="CJ207" i="4" s="1"/>
  <c r="CV207" i="4" s="1"/>
  <c r="BY207" i="4"/>
  <c r="BZ207" i="4"/>
  <c r="CL207" i="4" s="1"/>
  <c r="CA207" i="4"/>
  <c r="CM207" i="4" s="1"/>
  <c r="CB207" i="4"/>
  <c r="CN207" i="4" s="1"/>
  <c r="DP207" i="4" s="1"/>
  <c r="CC207" i="4"/>
  <c r="CG207" i="4"/>
  <c r="CS207" i="4" s="1"/>
  <c r="CK207" i="4"/>
  <c r="CW207" i="4" s="1"/>
  <c r="CO207" i="4"/>
  <c r="CZ207" i="4"/>
  <c r="DA207" i="4"/>
  <c r="DB207" i="4"/>
  <c r="DC207" i="4"/>
  <c r="DD207" i="4"/>
  <c r="DE207" i="4"/>
  <c r="DF207" i="4"/>
  <c r="DG207" i="4"/>
  <c r="DH207" i="4"/>
  <c r="DI207" i="4"/>
  <c r="DJ207" i="4"/>
  <c r="DX207" i="4" s="1"/>
  <c r="DK207" i="4"/>
  <c r="DY207" i="4"/>
  <c r="BN208" i="4"/>
  <c r="BZ208" i="4" s="1"/>
  <c r="CL208" i="4" s="1"/>
  <c r="BO208" i="4"/>
  <c r="CA208" i="4" s="1"/>
  <c r="CM208" i="4" s="1"/>
  <c r="DO208" i="4" s="1"/>
  <c r="BP208" i="4"/>
  <c r="CB208" i="4" s="1"/>
  <c r="CN208" i="4" s="1"/>
  <c r="BQ208" i="4"/>
  <c r="BR208" i="4"/>
  <c r="CD208" i="4" s="1"/>
  <c r="CP208" i="4" s="1"/>
  <c r="BS208" i="4"/>
  <c r="CE208" i="4" s="1"/>
  <c r="CQ208" i="4" s="1"/>
  <c r="DS208" i="4" s="1"/>
  <c r="BT208" i="4"/>
  <c r="BU208" i="4"/>
  <c r="CG208" i="4" s="1"/>
  <c r="CS208" i="4" s="1"/>
  <c r="BV208" i="4"/>
  <c r="BW208" i="4"/>
  <c r="CI208" i="4" s="1"/>
  <c r="CU208" i="4" s="1"/>
  <c r="DW208" i="4" s="1"/>
  <c r="BX208" i="4"/>
  <c r="CJ208" i="4" s="1"/>
  <c r="CV208" i="4" s="1"/>
  <c r="BY208" i="4"/>
  <c r="CK208" i="4" s="1"/>
  <c r="CW208" i="4" s="1"/>
  <c r="CC208" i="4"/>
  <c r="CO208" i="4" s="1"/>
  <c r="CF208" i="4"/>
  <c r="CR208" i="4" s="1"/>
  <c r="CH208" i="4"/>
  <c r="CT208" i="4" s="1"/>
  <c r="CZ208" i="4"/>
  <c r="DN208" i="4" s="1"/>
  <c r="DA208" i="4"/>
  <c r="DB208" i="4"/>
  <c r="DP208" i="4" s="1"/>
  <c r="DC208" i="4"/>
  <c r="DD208" i="4"/>
  <c r="DE208" i="4"/>
  <c r="DF208" i="4"/>
  <c r="DG208" i="4"/>
  <c r="DH208" i="4"/>
  <c r="DI208" i="4"/>
  <c r="DJ208" i="4"/>
  <c r="DX208" i="4" s="1"/>
  <c r="DK208" i="4"/>
  <c r="DV208" i="4"/>
  <c r="BN209" i="4"/>
  <c r="BZ209" i="4" s="1"/>
  <c r="CL209" i="4" s="1"/>
  <c r="BO209" i="4"/>
  <c r="BP209" i="4"/>
  <c r="CB209" i="4" s="1"/>
  <c r="BQ209" i="4"/>
  <c r="CC209" i="4" s="1"/>
  <c r="CO209" i="4" s="1"/>
  <c r="BR209" i="4"/>
  <c r="BS209" i="4"/>
  <c r="CE209" i="4" s="1"/>
  <c r="CQ209" i="4" s="1"/>
  <c r="BT209" i="4"/>
  <c r="BU209" i="4"/>
  <c r="BV209" i="4"/>
  <c r="CH209" i="4" s="1"/>
  <c r="CT209" i="4" s="1"/>
  <c r="BW209" i="4"/>
  <c r="BX209" i="4"/>
  <c r="CJ209" i="4" s="1"/>
  <c r="CV209" i="4" s="1"/>
  <c r="BY209" i="4"/>
  <c r="CA209" i="4"/>
  <c r="CM209" i="4" s="1"/>
  <c r="CD209" i="4"/>
  <c r="CP209" i="4" s="1"/>
  <c r="CF209" i="4"/>
  <c r="CR209" i="4" s="1"/>
  <c r="DT209" i="4" s="1"/>
  <c r="CG209" i="4"/>
  <c r="CS209" i="4" s="1"/>
  <c r="CI209" i="4"/>
  <c r="CU209" i="4" s="1"/>
  <c r="CK209" i="4"/>
  <c r="CN209" i="4"/>
  <c r="CW209" i="4"/>
  <c r="CZ209" i="4"/>
  <c r="DA209" i="4"/>
  <c r="DB209" i="4"/>
  <c r="DC209" i="4"/>
  <c r="DQ209" i="4" s="1"/>
  <c r="DD209" i="4"/>
  <c r="DE209" i="4"/>
  <c r="DS209" i="4" s="1"/>
  <c r="DF209" i="4"/>
  <c r="DG209" i="4"/>
  <c r="DH209" i="4"/>
  <c r="DV209" i="4" s="1"/>
  <c r="DI209" i="4"/>
  <c r="DJ209" i="4"/>
  <c r="DK209" i="4"/>
  <c r="DY209" i="4"/>
  <c r="BN210" i="4"/>
  <c r="BZ210" i="4" s="1"/>
  <c r="CL210" i="4" s="1"/>
  <c r="BO210" i="4"/>
  <c r="CA210" i="4" s="1"/>
  <c r="CM210" i="4" s="1"/>
  <c r="BP210" i="4"/>
  <c r="BQ210" i="4"/>
  <c r="BR210" i="4"/>
  <c r="CD210" i="4" s="1"/>
  <c r="CP210" i="4" s="1"/>
  <c r="DR210" i="4" s="1"/>
  <c r="BS210" i="4"/>
  <c r="CE210" i="4" s="1"/>
  <c r="CQ210" i="4" s="1"/>
  <c r="BT210" i="4"/>
  <c r="CF210" i="4" s="1"/>
  <c r="CR210" i="4" s="1"/>
  <c r="BU210" i="4"/>
  <c r="BV210" i="4"/>
  <c r="CH210" i="4" s="1"/>
  <c r="CT210" i="4" s="1"/>
  <c r="BW210" i="4"/>
  <c r="CI210" i="4" s="1"/>
  <c r="CU210" i="4" s="1"/>
  <c r="BX210" i="4"/>
  <c r="BY210" i="4"/>
  <c r="CB210" i="4"/>
  <c r="CN210" i="4" s="1"/>
  <c r="CC210" i="4"/>
  <c r="CO210" i="4" s="1"/>
  <c r="CG210" i="4"/>
  <c r="CS210" i="4" s="1"/>
  <c r="CJ210" i="4"/>
  <c r="CV210" i="4" s="1"/>
  <c r="CK210" i="4"/>
  <c r="CW210" i="4"/>
  <c r="CZ210" i="4"/>
  <c r="DA210" i="4"/>
  <c r="DB210" i="4"/>
  <c r="DC210" i="4"/>
  <c r="DD210" i="4"/>
  <c r="DE210" i="4"/>
  <c r="DS210" i="4" s="1"/>
  <c r="DF210" i="4"/>
  <c r="DG210" i="4"/>
  <c r="DH210" i="4"/>
  <c r="DI210" i="4"/>
  <c r="DJ210" i="4"/>
  <c r="DK210" i="4"/>
  <c r="BN211" i="4"/>
  <c r="BO211" i="4"/>
  <c r="BP211" i="4"/>
  <c r="CB211" i="4" s="1"/>
  <c r="CN211" i="4" s="1"/>
  <c r="BQ211" i="4"/>
  <c r="CC211" i="4" s="1"/>
  <c r="CO211" i="4" s="1"/>
  <c r="BR211" i="4"/>
  <c r="CD211" i="4" s="1"/>
  <c r="CP211" i="4" s="1"/>
  <c r="BS211" i="4"/>
  <c r="CE211" i="4" s="1"/>
  <c r="CQ211" i="4" s="1"/>
  <c r="BT211" i="4"/>
  <c r="CF211" i="4" s="1"/>
  <c r="CR211" i="4" s="1"/>
  <c r="BU211" i="4"/>
  <c r="BV211" i="4"/>
  <c r="BW211" i="4"/>
  <c r="BX211" i="4"/>
  <c r="BY211" i="4"/>
  <c r="CK211" i="4" s="1"/>
  <c r="CW211" i="4" s="1"/>
  <c r="BZ211" i="4"/>
  <c r="CL211" i="4" s="1"/>
  <c r="CA211" i="4"/>
  <c r="CG211" i="4"/>
  <c r="CS211" i="4" s="1"/>
  <c r="CH211" i="4"/>
  <c r="CT211" i="4" s="1"/>
  <c r="DV211" i="4" s="1"/>
  <c r="CI211" i="4"/>
  <c r="CU211" i="4" s="1"/>
  <c r="CJ211" i="4"/>
  <c r="CV211" i="4" s="1"/>
  <c r="CM211" i="4"/>
  <c r="DO211" i="4" s="1"/>
  <c r="CZ211" i="4"/>
  <c r="DA211" i="4"/>
  <c r="DB211" i="4"/>
  <c r="DC211" i="4"/>
  <c r="DD211" i="4"/>
  <c r="DE211" i="4"/>
  <c r="DF211" i="4"/>
  <c r="DT211" i="4" s="1"/>
  <c r="DG211" i="4"/>
  <c r="DH211" i="4"/>
  <c r="DI211" i="4"/>
  <c r="DJ211" i="4"/>
  <c r="DK211" i="4"/>
  <c r="DP211" i="4"/>
  <c r="BN212" i="4"/>
  <c r="BO212" i="4"/>
  <c r="CA212" i="4" s="1"/>
  <c r="CM212" i="4" s="1"/>
  <c r="DO212" i="4" s="1"/>
  <c r="BP212" i="4"/>
  <c r="CB212" i="4" s="1"/>
  <c r="CN212" i="4" s="1"/>
  <c r="BQ212" i="4"/>
  <c r="BR212" i="4"/>
  <c r="CD212" i="4" s="1"/>
  <c r="CP212" i="4" s="1"/>
  <c r="BS212" i="4"/>
  <c r="BT212" i="4"/>
  <c r="CF212" i="4" s="1"/>
  <c r="CR212" i="4" s="1"/>
  <c r="BU212" i="4"/>
  <c r="CG212" i="4" s="1"/>
  <c r="CS212" i="4" s="1"/>
  <c r="BV212" i="4"/>
  <c r="BW212" i="4"/>
  <c r="BX212" i="4"/>
  <c r="CJ212" i="4" s="1"/>
  <c r="CV212" i="4" s="1"/>
  <c r="BY212" i="4"/>
  <c r="BZ212" i="4"/>
  <c r="CL212" i="4" s="1"/>
  <c r="CC212" i="4"/>
  <c r="CE212" i="4"/>
  <c r="CQ212" i="4" s="1"/>
  <c r="DS212" i="4" s="1"/>
  <c r="CH212" i="4"/>
  <c r="CT212" i="4" s="1"/>
  <c r="CI212" i="4"/>
  <c r="CU212" i="4" s="1"/>
  <c r="DW212" i="4" s="1"/>
  <c r="CK212" i="4"/>
  <c r="CW212" i="4" s="1"/>
  <c r="CO212" i="4"/>
  <c r="CZ212" i="4"/>
  <c r="DA212" i="4"/>
  <c r="DB212" i="4"/>
  <c r="DC212" i="4"/>
  <c r="DD212" i="4"/>
  <c r="DE212" i="4"/>
  <c r="DF212" i="4"/>
  <c r="DG212" i="4"/>
  <c r="DU212" i="4" s="1"/>
  <c r="DH212" i="4"/>
  <c r="DI212" i="4"/>
  <c r="DJ212" i="4"/>
  <c r="DK212" i="4"/>
  <c r="DL212" i="4"/>
  <c r="BN213" i="4"/>
  <c r="BZ213" i="4" s="1"/>
  <c r="CL213" i="4" s="1"/>
  <c r="BO213" i="4"/>
  <c r="CA213" i="4" s="1"/>
  <c r="CM213" i="4" s="1"/>
  <c r="DO213" i="4" s="1"/>
  <c r="BP213" i="4"/>
  <c r="CB213" i="4" s="1"/>
  <c r="CN213" i="4" s="1"/>
  <c r="BQ213" i="4"/>
  <c r="BR213" i="4"/>
  <c r="BS213" i="4"/>
  <c r="CE213" i="4" s="1"/>
  <c r="CQ213" i="4" s="1"/>
  <c r="DS213" i="4" s="1"/>
  <c r="BT213" i="4"/>
  <c r="CF213" i="4" s="1"/>
  <c r="CR213" i="4" s="1"/>
  <c r="DT213" i="4" s="1"/>
  <c r="BU213" i="4"/>
  <c r="BV213" i="4"/>
  <c r="CH213" i="4" s="1"/>
  <c r="CT213" i="4" s="1"/>
  <c r="BW213" i="4"/>
  <c r="CI213" i="4" s="1"/>
  <c r="CU213" i="4" s="1"/>
  <c r="DW213" i="4" s="1"/>
  <c r="BX213" i="4"/>
  <c r="BY213" i="4"/>
  <c r="CC213" i="4"/>
  <c r="CO213" i="4" s="1"/>
  <c r="CD213" i="4"/>
  <c r="CP213" i="4" s="1"/>
  <c r="CG213" i="4"/>
  <c r="CS213" i="4" s="1"/>
  <c r="CJ213" i="4"/>
  <c r="CV213" i="4" s="1"/>
  <c r="CK213" i="4"/>
  <c r="CW213" i="4" s="1"/>
  <c r="CZ213" i="4"/>
  <c r="DA213" i="4"/>
  <c r="DB213" i="4"/>
  <c r="DC213" i="4"/>
  <c r="DQ213" i="4" s="1"/>
  <c r="DD213" i="4"/>
  <c r="DR213" i="4" s="1"/>
  <c r="DE213" i="4"/>
  <c r="DF213" i="4"/>
  <c r="DG213" i="4"/>
  <c r="DH213" i="4"/>
  <c r="DI213" i="4"/>
  <c r="DJ213" i="4"/>
  <c r="DK213" i="4"/>
  <c r="DP213" i="4"/>
  <c r="BN214" i="4"/>
  <c r="BZ214" i="4" s="1"/>
  <c r="CL214" i="4" s="1"/>
  <c r="BO214" i="4"/>
  <c r="CA214" i="4" s="1"/>
  <c r="BP214" i="4"/>
  <c r="CB214" i="4" s="1"/>
  <c r="CN214" i="4" s="1"/>
  <c r="BQ214" i="4"/>
  <c r="CC214" i="4" s="1"/>
  <c r="CO214" i="4" s="1"/>
  <c r="BR214" i="4"/>
  <c r="CD214" i="4" s="1"/>
  <c r="CP214" i="4" s="1"/>
  <c r="BS214" i="4"/>
  <c r="CE214" i="4" s="1"/>
  <c r="CQ214" i="4" s="1"/>
  <c r="BT214" i="4"/>
  <c r="CF214" i="4" s="1"/>
  <c r="CR214" i="4" s="1"/>
  <c r="BU214" i="4"/>
  <c r="BV214" i="4"/>
  <c r="CH214" i="4" s="1"/>
  <c r="BW214" i="4"/>
  <c r="CI214" i="4" s="1"/>
  <c r="CU214" i="4" s="1"/>
  <c r="BX214" i="4"/>
  <c r="CJ214" i="4" s="1"/>
  <c r="CV214" i="4" s="1"/>
  <c r="DX214" i="4" s="1"/>
  <c r="BY214" i="4"/>
  <c r="CK214" i="4" s="1"/>
  <c r="CW214" i="4" s="1"/>
  <c r="CG214" i="4"/>
  <c r="CM214" i="4"/>
  <c r="CS214" i="4"/>
  <c r="CT214" i="4"/>
  <c r="CZ214" i="4"/>
  <c r="DN214" i="4" s="1"/>
  <c r="DA214" i="4"/>
  <c r="DO214" i="4" s="1"/>
  <c r="DB214" i="4"/>
  <c r="DC214" i="4"/>
  <c r="DD214" i="4"/>
  <c r="DE214" i="4"/>
  <c r="DF214" i="4"/>
  <c r="DG214" i="4"/>
  <c r="DH214" i="4"/>
  <c r="DI214" i="4"/>
  <c r="DJ214" i="4"/>
  <c r="DK214" i="4"/>
  <c r="DW214" i="4"/>
  <c r="BN215" i="4"/>
  <c r="BZ215" i="4" s="1"/>
  <c r="CL215" i="4" s="1"/>
  <c r="BO215" i="4"/>
  <c r="CA215" i="4" s="1"/>
  <c r="CM215" i="4" s="1"/>
  <c r="BP215" i="4"/>
  <c r="CB215" i="4" s="1"/>
  <c r="CN215" i="4" s="1"/>
  <c r="DP215" i="4" s="1"/>
  <c r="BQ215" i="4"/>
  <c r="CC215" i="4" s="1"/>
  <c r="CO215" i="4" s="1"/>
  <c r="BR215" i="4"/>
  <c r="CD215" i="4" s="1"/>
  <c r="CP215" i="4" s="1"/>
  <c r="BS215" i="4"/>
  <c r="BT215" i="4"/>
  <c r="BU215" i="4"/>
  <c r="CG215" i="4" s="1"/>
  <c r="CS215" i="4" s="1"/>
  <c r="BV215" i="4"/>
  <c r="CH215" i="4" s="1"/>
  <c r="CT215" i="4" s="1"/>
  <c r="BW215" i="4"/>
  <c r="BX215" i="4"/>
  <c r="BY215" i="4"/>
  <c r="CK215" i="4" s="1"/>
  <c r="CE215" i="4"/>
  <c r="CF215" i="4"/>
  <c r="CR215" i="4" s="1"/>
  <c r="CI215" i="4"/>
  <c r="CU215" i="4" s="1"/>
  <c r="CJ215" i="4"/>
  <c r="CV215" i="4" s="1"/>
  <c r="DX215" i="4" s="1"/>
  <c r="CQ215" i="4"/>
  <c r="CW215" i="4"/>
  <c r="DY215" i="4" s="1"/>
  <c r="CZ215" i="4"/>
  <c r="DA215" i="4"/>
  <c r="DB215" i="4"/>
  <c r="DC215" i="4"/>
  <c r="DD215" i="4"/>
  <c r="DE215" i="4"/>
  <c r="DF215" i="4"/>
  <c r="DG215" i="4"/>
  <c r="DH215" i="4"/>
  <c r="DI215" i="4"/>
  <c r="DW215" i="4" s="1"/>
  <c r="DJ215" i="4"/>
  <c r="DK215" i="4"/>
  <c r="BN216" i="4"/>
  <c r="BZ216" i="4" s="1"/>
  <c r="CL216" i="4" s="1"/>
  <c r="DN216" i="4" s="1"/>
  <c r="BO216" i="4"/>
  <c r="CA216" i="4" s="1"/>
  <c r="BP216" i="4"/>
  <c r="CB216" i="4" s="1"/>
  <c r="CN216" i="4" s="1"/>
  <c r="BQ216" i="4"/>
  <c r="CC216" i="4" s="1"/>
  <c r="CO216" i="4" s="1"/>
  <c r="BR216" i="4"/>
  <c r="CD216" i="4" s="1"/>
  <c r="CP216" i="4" s="1"/>
  <c r="BS216" i="4"/>
  <c r="BT216" i="4"/>
  <c r="CF216" i="4" s="1"/>
  <c r="CR216" i="4" s="1"/>
  <c r="BU216" i="4"/>
  <c r="CG216" i="4" s="1"/>
  <c r="CS216" i="4" s="1"/>
  <c r="BV216" i="4"/>
  <c r="BW216" i="4"/>
  <c r="BX216" i="4"/>
  <c r="CJ216" i="4" s="1"/>
  <c r="CV216" i="4" s="1"/>
  <c r="BY216" i="4"/>
  <c r="CK216" i="4" s="1"/>
  <c r="CW216" i="4" s="1"/>
  <c r="CE216" i="4"/>
  <c r="CH216" i="4"/>
  <c r="CT216" i="4" s="1"/>
  <c r="DV216" i="4" s="1"/>
  <c r="CI216" i="4"/>
  <c r="CU216" i="4" s="1"/>
  <c r="CM216" i="4"/>
  <c r="CQ216" i="4"/>
  <c r="CZ216" i="4"/>
  <c r="DA216" i="4"/>
  <c r="DB216" i="4"/>
  <c r="DC216" i="4"/>
  <c r="DQ216" i="4" s="1"/>
  <c r="DD216" i="4"/>
  <c r="DE216" i="4"/>
  <c r="DF216" i="4"/>
  <c r="DG216" i="4"/>
  <c r="DU216" i="4" s="1"/>
  <c r="DH216" i="4"/>
  <c r="DI216" i="4"/>
  <c r="DW216" i="4" s="1"/>
  <c r="DJ216" i="4"/>
  <c r="DK216" i="4"/>
  <c r="DY216" i="4" s="1"/>
  <c r="BN217" i="4"/>
  <c r="BZ217" i="4" s="1"/>
  <c r="CL217" i="4" s="1"/>
  <c r="BO217" i="4"/>
  <c r="CA217" i="4" s="1"/>
  <c r="CM217" i="4" s="1"/>
  <c r="BP217" i="4"/>
  <c r="CB217" i="4" s="1"/>
  <c r="CN217" i="4" s="1"/>
  <c r="BQ217" i="4"/>
  <c r="BR217" i="4"/>
  <c r="CD217" i="4" s="1"/>
  <c r="CP217" i="4" s="1"/>
  <c r="BS217" i="4"/>
  <c r="CE217" i="4" s="1"/>
  <c r="CQ217" i="4" s="1"/>
  <c r="BT217" i="4"/>
  <c r="BU217" i="4"/>
  <c r="CG217" i="4" s="1"/>
  <c r="CS217" i="4" s="1"/>
  <c r="DU217" i="4" s="1"/>
  <c r="BV217" i="4"/>
  <c r="CH217" i="4" s="1"/>
  <c r="CT217" i="4" s="1"/>
  <c r="BW217" i="4"/>
  <c r="CI217" i="4" s="1"/>
  <c r="CU217" i="4" s="1"/>
  <c r="DW217" i="4" s="1"/>
  <c r="BX217" i="4"/>
  <c r="CJ217" i="4" s="1"/>
  <c r="CV217" i="4" s="1"/>
  <c r="BY217" i="4"/>
  <c r="CC217" i="4"/>
  <c r="CO217" i="4" s="1"/>
  <c r="CF217" i="4"/>
  <c r="CR217" i="4" s="1"/>
  <c r="DT217" i="4" s="1"/>
  <c r="CK217" i="4"/>
  <c r="CW217" i="4" s="1"/>
  <c r="DY217" i="4" s="1"/>
  <c r="CZ217" i="4"/>
  <c r="DA217" i="4"/>
  <c r="DB217" i="4"/>
  <c r="DC217" i="4"/>
  <c r="DD217" i="4"/>
  <c r="DR217" i="4" s="1"/>
  <c r="DE217" i="4"/>
  <c r="DS217" i="4" s="1"/>
  <c r="DF217" i="4"/>
  <c r="DG217" i="4"/>
  <c r="DH217" i="4"/>
  <c r="DI217" i="4"/>
  <c r="DJ217" i="4"/>
  <c r="DK217" i="4"/>
  <c r="BN218" i="4"/>
  <c r="BZ218" i="4" s="1"/>
  <c r="CL218" i="4" s="1"/>
  <c r="BO218" i="4"/>
  <c r="BP218" i="4"/>
  <c r="CB218" i="4" s="1"/>
  <c r="CN218" i="4" s="1"/>
  <c r="DP218" i="4" s="1"/>
  <c r="BQ218" i="4"/>
  <c r="CC218" i="4" s="1"/>
  <c r="CO218" i="4" s="1"/>
  <c r="BR218" i="4"/>
  <c r="CD218" i="4" s="1"/>
  <c r="CP218" i="4" s="1"/>
  <c r="DR218" i="4" s="1"/>
  <c r="BS218" i="4"/>
  <c r="CE218" i="4" s="1"/>
  <c r="BT218" i="4"/>
  <c r="CF218" i="4" s="1"/>
  <c r="CR218" i="4" s="1"/>
  <c r="BU218" i="4"/>
  <c r="BV218" i="4"/>
  <c r="CH218" i="4" s="1"/>
  <c r="CT218" i="4" s="1"/>
  <c r="BW218" i="4"/>
  <c r="CI218" i="4" s="1"/>
  <c r="CU218" i="4" s="1"/>
  <c r="BX218" i="4"/>
  <c r="CJ218" i="4" s="1"/>
  <c r="CV218" i="4" s="1"/>
  <c r="BY218" i="4"/>
  <c r="CK218" i="4" s="1"/>
  <c r="CW218" i="4" s="1"/>
  <c r="CA218" i="4"/>
  <c r="CM218" i="4" s="1"/>
  <c r="DO218" i="4" s="1"/>
  <c r="CG218" i="4"/>
  <c r="CS218" i="4" s="1"/>
  <c r="CQ218" i="4"/>
  <c r="DS218" i="4" s="1"/>
  <c r="CZ218" i="4"/>
  <c r="DA218" i="4"/>
  <c r="DB218" i="4"/>
  <c r="DC218" i="4"/>
  <c r="DD218" i="4"/>
  <c r="DE218" i="4"/>
  <c r="DF218" i="4"/>
  <c r="DG218" i="4"/>
  <c r="DH218" i="4"/>
  <c r="DI218" i="4"/>
  <c r="DJ218" i="4"/>
  <c r="DK218" i="4"/>
  <c r="BN219" i="4"/>
  <c r="BO219" i="4"/>
  <c r="CA219" i="4" s="1"/>
  <c r="CM219" i="4" s="1"/>
  <c r="BP219" i="4"/>
  <c r="CB219" i="4" s="1"/>
  <c r="CN219" i="4" s="1"/>
  <c r="DP219" i="4" s="1"/>
  <c r="BQ219" i="4"/>
  <c r="CC219" i="4" s="1"/>
  <c r="BR219" i="4"/>
  <c r="CD219" i="4" s="1"/>
  <c r="CP219" i="4" s="1"/>
  <c r="BS219" i="4"/>
  <c r="CE219" i="4" s="1"/>
  <c r="CQ219" i="4" s="1"/>
  <c r="DS219" i="4" s="1"/>
  <c r="BT219" i="4"/>
  <c r="CF219" i="4" s="1"/>
  <c r="CR219" i="4" s="1"/>
  <c r="BU219" i="4"/>
  <c r="BV219" i="4"/>
  <c r="BW219" i="4"/>
  <c r="CI219" i="4" s="1"/>
  <c r="CU219" i="4" s="1"/>
  <c r="DW219" i="4" s="1"/>
  <c r="BX219" i="4"/>
  <c r="CJ219" i="4" s="1"/>
  <c r="CV219" i="4" s="1"/>
  <c r="DX219" i="4" s="1"/>
  <c r="BY219" i="4"/>
  <c r="BZ219" i="4"/>
  <c r="CL219" i="4" s="1"/>
  <c r="CG219" i="4"/>
  <c r="CS219" i="4" s="1"/>
  <c r="CH219" i="4"/>
  <c r="CT219" i="4" s="1"/>
  <c r="CK219" i="4"/>
  <c r="CW219" i="4" s="1"/>
  <c r="CO219" i="4"/>
  <c r="CZ219" i="4"/>
  <c r="DA219" i="4"/>
  <c r="DB219" i="4"/>
  <c r="DC219" i="4"/>
  <c r="DD219" i="4"/>
  <c r="DE219" i="4"/>
  <c r="DF219" i="4"/>
  <c r="DG219" i="4"/>
  <c r="DH219" i="4"/>
  <c r="DV219" i="4" s="1"/>
  <c r="DI219" i="4"/>
  <c r="DJ219" i="4"/>
  <c r="DK219" i="4"/>
  <c r="DY219" i="4" s="1"/>
  <c r="DN219" i="4"/>
  <c r="BN220" i="4"/>
  <c r="BO220" i="4"/>
  <c r="CA220" i="4" s="1"/>
  <c r="CM220" i="4" s="1"/>
  <c r="BP220" i="4"/>
  <c r="CB220" i="4" s="1"/>
  <c r="CN220" i="4" s="1"/>
  <c r="BQ220" i="4"/>
  <c r="CC220" i="4" s="1"/>
  <c r="BR220" i="4"/>
  <c r="CD220" i="4" s="1"/>
  <c r="CP220" i="4" s="1"/>
  <c r="DR220" i="4" s="1"/>
  <c r="BS220" i="4"/>
  <c r="BT220" i="4"/>
  <c r="BU220" i="4"/>
  <c r="CG220" i="4" s="1"/>
  <c r="BV220" i="4"/>
  <c r="CH220" i="4" s="1"/>
  <c r="CT220" i="4" s="1"/>
  <c r="BW220" i="4"/>
  <c r="CI220" i="4" s="1"/>
  <c r="CU220" i="4" s="1"/>
  <c r="BX220" i="4"/>
  <c r="CJ220" i="4" s="1"/>
  <c r="CV220" i="4" s="1"/>
  <c r="BY220" i="4"/>
  <c r="CK220" i="4" s="1"/>
  <c r="BZ220" i="4"/>
  <c r="CL220" i="4" s="1"/>
  <c r="DN220" i="4" s="1"/>
  <c r="CE220" i="4"/>
  <c r="CQ220" i="4" s="1"/>
  <c r="CF220" i="4"/>
  <c r="CR220" i="4" s="1"/>
  <c r="CO220" i="4"/>
  <c r="CS220" i="4"/>
  <c r="DU220" i="4" s="1"/>
  <c r="CW220" i="4"/>
  <c r="CZ220" i="4"/>
  <c r="DA220" i="4"/>
  <c r="DB220" i="4"/>
  <c r="DC220" i="4"/>
  <c r="DD220" i="4"/>
  <c r="DE220" i="4"/>
  <c r="DF220" i="4"/>
  <c r="DG220" i="4"/>
  <c r="DH220" i="4"/>
  <c r="DI220" i="4"/>
  <c r="DW220" i="4" s="1"/>
  <c r="DJ220" i="4"/>
  <c r="DK220" i="4"/>
  <c r="BN221" i="4"/>
  <c r="BZ221" i="4" s="1"/>
  <c r="CL221" i="4" s="1"/>
  <c r="BO221" i="4"/>
  <c r="BP221" i="4"/>
  <c r="CB221" i="4" s="1"/>
  <c r="CN221" i="4" s="1"/>
  <c r="BQ221" i="4"/>
  <c r="CC221" i="4" s="1"/>
  <c r="CO221" i="4" s="1"/>
  <c r="BR221" i="4"/>
  <c r="CD221" i="4" s="1"/>
  <c r="CP221" i="4" s="1"/>
  <c r="BS221" i="4"/>
  <c r="BT221" i="4"/>
  <c r="CF221" i="4" s="1"/>
  <c r="CR221" i="4" s="1"/>
  <c r="DT221" i="4" s="1"/>
  <c r="BU221" i="4"/>
  <c r="CG221" i="4" s="1"/>
  <c r="BV221" i="4"/>
  <c r="CH221" i="4" s="1"/>
  <c r="CT221" i="4" s="1"/>
  <c r="BW221" i="4"/>
  <c r="BX221" i="4"/>
  <c r="CJ221" i="4" s="1"/>
  <c r="CV221" i="4" s="1"/>
  <c r="BY221" i="4"/>
  <c r="CK221" i="4" s="1"/>
  <c r="CW221" i="4" s="1"/>
  <c r="CA221" i="4"/>
  <c r="CE221" i="4"/>
  <c r="CI221" i="4"/>
  <c r="CU221" i="4" s="1"/>
  <c r="DW221" i="4" s="1"/>
  <c r="CM221" i="4"/>
  <c r="CQ221" i="4"/>
  <c r="CS221" i="4"/>
  <c r="CZ221" i="4"/>
  <c r="DA221" i="4"/>
  <c r="DB221" i="4"/>
  <c r="DC221" i="4"/>
  <c r="DD221" i="4"/>
  <c r="DE221" i="4"/>
  <c r="DF221" i="4"/>
  <c r="DG221" i="4"/>
  <c r="DH221" i="4"/>
  <c r="DI221" i="4"/>
  <c r="DJ221" i="4"/>
  <c r="DK221" i="4"/>
  <c r="DL221" i="4"/>
  <c r="DU221" i="4"/>
  <c r="BN222" i="4"/>
  <c r="BZ222" i="4" s="1"/>
  <c r="BO222" i="4"/>
  <c r="CA222" i="4" s="1"/>
  <c r="CM222" i="4" s="1"/>
  <c r="BP222" i="4"/>
  <c r="BQ222" i="4"/>
  <c r="CC222" i="4" s="1"/>
  <c r="CO222" i="4" s="1"/>
  <c r="DQ222" i="4" s="1"/>
  <c r="BR222" i="4"/>
  <c r="CD222" i="4" s="1"/>
  <c r="CP222" i="4" s="1"/>
  <c r="BS222" i="4"/>
  <c r="CE222" i="4" s="1"/>
  <c r="CQ222" i="4" s="1"/>
  <c r="BT222" i="4"/>
  <c r="CF222" i="4" s="1"/>
  <c r="CR222" i="4" s="1"/>
  <c r="BU222" i="4"/>
  <c r="CG222" i="4" s="1"/>
  <c r="CS222" i="4" s="1"/>
  <c r="BV222" i="4"/>
  <c r="BW222" i="4"/>
  <c r="BX222" i="4"/>
  <c r="BY222" i="4"/>
  <c r="CK222" i="4" s="1"/>
  <c r="CW222" i="4" s="1"/>
  <c r="DY222" i="4" s="1"/>
  <c r="CB222" i="4"/>
  <c r="CN222" i="4" s="1"/>
  <c r="CH222" i="4"/>
  <c r="CT222" i="4" s="1"/>
  <c r="CI222" i="4"/>
  <c r="CJ222" i="4"/>
  <c r="CV222" i="4" s="1"/>
  <c r="CL222" i="4"/>
  <c r="DN222" i="4" s="1"/>
  <c r="CU222" i="4"/>
  <c r="DW222" i="4" s="1"/>
  <c r="CZ222" i="4"/>
  <c r="DA222" i="4"/>
  <c r="DB222" i="4"/>
  <c r="DP222" i="4" s="1"/>
  <c r="DC222" i="4"/>
  <c r="DD222" i="4"/>
  <c r="DE222" i="4"/>
  <c r="DF222" i="4"/>
  <c r="DG222" i="4"/>
  <c r="DH222" i="4"/>
  <c r="DI222" i="4"/>
  <c r="DJ222" i="4"/>
  <c r="DX222" i="4" s="1"/>
  <c r="DK222" i="4"/>
  <c r="BN223" i="4"/>
  <c r="BO223" i="4"/>
  <c r="BP223" i="4"/>
  <c r="CB223" i="4" s="1"/>
  <c r="CN223" i="4" s="1"/>
  <c r="BQ223" i="4"/>
  <c r="CC223" i="4" s="1"/>
  <c r="CO223" i="4" s="1"/>
  <c r="BR223" i="4"/>
  <c r="CD223" i="4" s="1"/>
  <c r="CP223" i="4" s="1"/>
  <c r="BS223" i="4"/>
  <c r="CE223" i="4" s="1"/>
  <c r="CQ223" i="4" s="1"/>
  <c r="BT223" i="4"/>
  <c r="CF223" i="4" s="1"/>
  <c r="CR223" i="4" s="1"/>
  <c r="DT223" i="4" s="1"/>
  <c r="BU223" i="4"/>
  <c r="BV223" i="4"/>
  <c r="CH223" i="4" s="1"/>
  <c r="CT223" i="4" s="1"/>
  <c r="BW223" i="4"/>
  <c r="CI223" i="4" s="1"/>
  <c r="CU223" i="4" s="1"/>
  <c r="BX223" i="4"/>
  <c r="CJ223" i="4" s="1"/>
  <c r="CV223" i="4" s="1"/>
  <c r="BY223" i="4"/>
  <c r="BZ223" i="4"/>
  <c r="CL223" i="4" s="1"/>
  <c r="CA223" i="4"/>
  <c r="CM223" i="4" s="1"/>
  <c r="CG223" i="4"/>
  <c r="CS223" i="4" s="1"/>
  <c r="CK223" i="4"/>
  <c r="CW223" i="4" s="1"/>
  <c r="CZ223" i="4"/>
  <c r="DA223" i="4"/>
  <c r="DB223" i="4"/>
  <c r="DC223" i="4"/>
  <c r="DD223" i="4"/>
  <c r="DE223" i="4"/>
  <c r="DF223" i="4"/>
  <c r="DG223" i="4"/>
  <c r="DH223" i="4"/>
  <c r="DI223" i="4"/>
  <c r="DJ223" i="4"/>
  <c r="DK223" i="4"/>
  <c r="BN224" i="4"/>
  <c r="BZ224" i="4" s="1"/>
  <c r="CL224" i="4" s="1"/>
  <c r="BO224" i="4"/>
  <c r="BP224" i="4"/>
  <c r="CB224" i="4" s="1"/>
  <c r="BQ224" i="4"/>
  <c r="BR224" i="4"/>
  <c r="CD224" i="4" s="1"/>
  <c r="CP224" i="4" s="1"/>
  <c r="DR224" i="4" s="1"/>
  <c r="BS224" i="4"/>
  <c r="BT224" i="4"/>
  <c r="CF224" i="4" s="1"/>
  <c r="CR224" i="4" s="1"/>
  <c r="DT224" i="4" s="1"/>
  <c r="BU224" i="4"/>
  <c r="CG224" i="4" s="1"/>
  <c r="CS224" i="4" s="1"/>
  <c r="BV224" i="4"/>
  <c r="CH224" i="4" s="1"/>
  <c r="CT224" i="4" s="1"/>
  <c r="BW224" i="4"/>
  <c r="CI224" i="4" s="1"/>
  <c r="CU224" i="4" s="1"/>
  <c r="BX224" i="4"/>
  <c r="CJ224" i="4" s="1"/>
  <c r="CV224" i="4" s="1"/>
  <c r="BY224" i="4"/>
  <c r="CA224" i="4"/>
  <c r="CM224" i="4" s="1"/>
  <c r="CC224" i="4"/>
  <c r="CO224" i="4" s="1"/>
  <c r="CE224" i="4"/>
  <c r="CQ224" i="4" s="1"/>
  <c r="CK224" i="4"/>
  <c r="CW224" i="4" s="1"/>
  <c r="CN224" i="4"/>
  <c r="CZ224" i="4"/>
  <c r="DA224" i="4"/>
  <c r="DB224" i="4"/>
  <c r="DC224" i="4"/>
  <c r="DD224" i="4"/>
  <c r="DE224" i="4"/>
  <c r="DF224" i="4"/>
  <c r="DG224" i="4"/>
  <c r="DH224" i="4"/>
  <c r="DI224" i="4"/>
  <c r="DJ224" i="4"/>
  <c r="DK224" i="4"/>
  <c r="BN225" i="4"/>
  <c r="BZ225" i="4" s="1"/>
  <c r="CL225" i="4" s="1"/>
  <c r="BO225" i="4"/>
  <c r="CA225" i="4" s="1"/>
  <c r="CM225" i="4" s="1"/>
  <c r="BP225" i="4"/>
  <c r="CB225" i="4" s="1"/>
  <c r="CN225" i="4" s="1"/>
  <c r="BQ225" i="4"/>
  <c r="CC225" i="4" s="1"/>
  <c r="BR225" i="4"/>
  <c r="BS225" i="4"/>
  <c r="CE225" i="4" s="1"/>
  <c r="CQ225" i="4" s="1"/>
  <c r="BT225" i="4"/>
  <c r="CF225" i="4" s="1"/>
  <c r="CR225" i="4" s="1"/>
  <c r="DT225" i="4" s="1"/>
  <c r="BU225" i="4"/>
  <c r="CG225" i="4" s="1"/>
  <c r="CS225" i="4" s="1"/>
  <c r="BV225" i="4"/>
  <c r="CH225" i="4" s="1"/>
  <c r="CT225" i="4" s="1"/>
  <c r="BW225" i="4"/>
  <c r="BX225" i="4"/>
  <c r="BY225" i="4"/>
  <c r="CK225" i="4" s="1"/>
  <c r="CD225" i="4"/>
  <c r="CP225" i="4" s="1"/>
  <c r="DR225" i="4" s="1"/>
  <c r="CI225" i="4"/>
  <c r="CU225" i="4" s="1"/>
  <c r="CJ225" i="4"/>
  <c r="CV225" i="4" s="1"/>
  <c r="CO225" i="4"/>
  <c r="CW225" i="4"/>
  <c r="CZ225" i="4"/>
  <c r="DA225" i="4"/>
  <c r="DO225" i="4" s="1"/>
  <c r="DB225" i="4"/>
  <c r="DC225" i="4"/>
  <c r="DQ225" i="4" s="1"/>
  <c r="DD225" i="4"/>
  <c r="DE225" i="4"/>
  <c r="DF225" i="4"/>
  <c r="DG225" i="4"/>
  <c r="DU225" i="4" s="1"/>
  <c r="DH225" i="4"/>
  <c r="DI225" i="4"/>
  <c r="DJ225" i="4"/>
  <c r="DK225" i="4"/>
  <c r="BN226" i="4"/>
  <c r="BZ226" i="4" s="1"/>
  <c r="BO226" i="4"/>
  <c r="BP226" i="4"/>
  <c r="CB226" i="4" s="1"/>
  <c r="CN226" i="4" s="1"/>
  <c r="BQ226" i="4"/>
  <c r="CC226" i="4" s="1"/>
  <c r="CO226" i="4" s="1"/>
  <c r="BR226" i="4"/>
  <c r="CD226" i="4" s="1"/>
  <c r="CP226" i="4" s="1"/>
  <c r="DR226" i="4" s="1"/>
  <c r="BS226" i="4"/>
  <c r="CE226" i="4" s="1"/>
  <c r="CQ226" i="4" s="1"/>
  <c r="BT226" i="4"/>
  <c r="CF226" i="4" s="1"/>
  <c r="BU226" i="4"/>
  <c r="CG226" i="4" s="1"/>
  <c r="CS226" i="4" s="1"/>
  <c r="BV226" i="4"/>
  <c r="CH226" i="4" s="1"/>
  <c r="CT226" i="4" s="1"/>
  <c r="DV226" i="4" s="1"/>
  <c r="BW226" i="4"/>
  <c r="BX226" i="4"/>
  <c r="CJ226" i="4" s="1"/>
  <c r="CV226" i="4" s="1"/>
  <c r="BY226" i="4"/>
  <c r="CK226" i="4" s="1"/>
  <c r="CW226" i="4" s="1"/>
  <c r="CA226" i="4"/>
  <c r="CI226" i="4"/>
  <c r="CU226" i="4" s="1"/>
  <c r="CL226" i="4"/>
  <c r="DN226" i="4" s="1"/>
  <c r="CM226" i="4"/>
  <c r="CR226" i="4"/>
  <c r="CZ226" i="4"/>
  <c r="DA226" i="4"/>
  <c r="DB226" i="4"/>
  <c r="DC226" i="4"/>
  <c r="DD226" i="4"/>
  <c r="DE226" i="4"/>
  <c r="DF226" i="4"/>
  <c r="DG226" i="4"/>
  <c r="DH226" i="4"/>
  <c r="DI226" i="4"/>
  <c r="DJ226" i="4"/>
  <c r="DK226" i="4"/>
  <c r="BN227" i="4"/>
  <c r="BZ227" i="4" s="1"/>
  <c r="CL227" i="4" s="1"/>
  <c r="BO227" i="4"/>
  <c r="CA227" i="4" s="1"/>
  <c r="CM227" i="4" s="1"/>
  <c r="DO227" i="4" s="1"/>
  <c r="BP227" i="4"/>
  <c r="CB227" i="4" s="1"/>
  <c r="CN227" i="4" s="1"/>
  <c r="DP227" i="4" s="1"/>
  <c r="BQ227" i="4"/>
  <c r="CC227" i="4" s="1"/>
  <c r="CO227" i="4" s="1"/>
  <c r="BR227" i="4"/>
  <c r="CD227" i="4" s="1"/>
  <c r="BS227" i="4"/>
  <c r="CE227" i="4" s="1"/>
  <c r="CQ227" i="4" s="1"/>
  <c r="BT227" i="4"/>
  <c r="CF227" i="4" s="1"/>
  <c r="CR227" i="4" s="1"/>
  <c r="DT227" i="4" s="1"/>
  <c r="BU227" i="4"/>
  <c r="CG227" i="4" s="1"/>
  <c r="CS227" i="4" s="1"/>
  <c r="BV227" i="4"/>
  <c r="CH227" i="4" s="1"/>
  <c r="CT227" i="4" s="1"/>
  <c r="BW227" i="4"/>
  <c r="BX227" i="4"/>
  <c r="CJ227" i="4" s="1"/>
  <c r="BY227" i="4"/>
  <c r="CK227" i="4" s="1"/>
  <c r="CW227" i="4" s="1"/>
  <c r="CI227" i="4"/>
  <c r="CU227" i="4" s="1"/>
  <c r="CP227" i="4"/>
  <c r="CV227" i="4"/>
  <c r="CZ227" i="4"/>
  <c r="DA227" i="4"/>
  <c r="DB227" i="4"/>
  <c r="DC227" i="4"/>
  <c r="DD227" i="4"/>
  <c r="DE227" i="4"/>
  <c r="DF227" i="4"/>
  <c r="DG227" i="4"/>
  <c r="DH227" i="4"/>
  <c r="DI227" i="4"/>
  <c r="DJ227" i="4"/>
  <c r="DK227" i="4"/>
  <c r="DX227" i="4"/>
  <c r="BN228" i="4"/>
  <c r="BZ228" i="4" s="1"/>
  <c r="CL228" i="4" s="1"/>
  <c r="DN228" i="4" s="1"/>
  <c r="BO228" i="4"/>
  <c r="CA228" i="4" s="1"/>
  <c r="CM228" i="4" s="1"/>
  <c r="DO228" i="4" s="1"/>
  <c r="BP228" i="4"/>
  <c r="CB228" i="4" s="1"/>
  <c r="CN228" i="4" s="1"/>
  <c r="BQ228" i="4"/>
  <c r="BR228" i="4"/>
  <c r="CD228" i="4" s="1"/>
  <c r="CP228" i="4" s="1"/>
  <c r="BS228" i="4"/>
  <c r="CE228" i="4" s="1"/>
  <c r="CQ228" i="4" s="1"/>
  <c r="BT228" i="4"/>
  <c r="BU228" i="4"/>
  <c r="CG228" i="4" s="1"/>
  <c r="CS228" i="4" s="1"/>
  <c r="BV228" i="4"/>
  <c r="CH228" i="4" s="1"/>
  <c r="CT228" i="4" s="1"/>
  <c r="DV228" i="4" s="1"/>
  <c r="BW228" i="4"/>
  <c r="CI228" i="4" s="1"/>
  <c r="CU228" i="4" s="1"/>
  <c r="DW228" i="4" s="1"/>
  <c r="BX228" i="4"/>
  <c r="CJ228" i="4" s="1"/>
  <c r="CV228" i="4" s="1"/>
  <c r="BY228" i="4"/>
  <c r="CK228" i="4" s="1"/>
  <c r="CW228" i="4" s="1"/>
  <c r="CC228" i="4"/>
  <c r="CO228" i="4" s="1"/>
  <c r="DQ228" i="4" s="1"/>
  <c r="CF228" i="4"/>
  <c r="CR228" i="4" s="1"/>
  <c r="CZ228" i="4"/>
  <c r="DA228" i="4"/>
  <c r="DB228" i="4"/>
  <c r="DC228" i="4"/>
  <c r="DD228" i="4"/>
  <c r="DR228" i="4" s="1"/>
  <c r="DE228" i="4"/>
  <c r="DF228" i="4"/>
  <c r="DG228" i="4"/>
  <c r="DH228" i="4"/>
  <c r="DI228" i="4"/>
  <c r="DJ228" i="4"/>
  <c r="DX228" i="4" s="1"/>
  <c r="DK228" i="4"/>
  <c r="DT228" i="4"/>
  <c r="DY228" i="4"/>
  <c r="BN229" i="4"/>
  <c r="BZ229" i="4" s="1"/>
  <c r="CL229" i="4" s="1"/>
  <c r="BO229" i="4"/>
  <c r="CA229" i="4" s="1"/>
  <c r="CM229" i="4" s="1"/>
  <c r="BP229" i="4"/>
  <c r="CB229" i="4" s="1"/>
  <c r="CN229" i="4" s="1"/>
  <c r="BQ229" i="4"/>
  <c r="BR229" i="4"/>
  <c r="BS229" i="4"/>
  <c r="CE229" i="4" s="1"/>
  <c r="CQ229" i="4" s="1"/>
  <c r="BT229" i="4"/>
  <c r="CF229" i="4" s="1"/>
  <c r="CR229" i="4" s="1"/>
  <c r="DT229" i="4" s="1"/>
  <c r="BU229" i="4"/>
  <c r="CG229" i="4" s="1"/>
  <c r="CS229" i="4" s="1"/>
  <c r="BV229" i="4"/>
  <c r="CH229" i="4" s="1"/>
  <c r="BW229" i="4"/>
  <c r="CI229" i="4" s="1"/>
  <c r="CU229" i="4" s="1"/>
  <c r="BX229" i="4"/>
  <c r="CJ229" i="4" s="1"/>
  <c r="CV229" i="4" s="1"/>
  <c r="DX229" i="4" s="1"/>
  <c r="BY229" i="4"/>
  <c r="CK229" i="4" s="1"/>
  <c r="CC229" i="4"/>
  <c r="CO229" i="4" s="1"/>
  <c r="CD229" i="4"/>
  <c r="CP229" i="4" s="1"/>
  <c r="CT229" i="4"/>
  <c r="CW229" i="4"/>
  <c r="DY229" i="4" s="1"/>
  <c r="CZ229" i="4"/>
  <c r="DA229" i="4"/>
  <c r="DB229" i="4"/>
  <c r="DC229" i="4"/>
  <c r="DD229" i="4"/>
  <c r="DE229" i="4"/>
  <c r="DF229" i="4"/>
  <c r="DG229" i="4"/>
  <c r="DH229" i="4"/>
  <c r="DI229" i="4"/>
  <c r="DJ229" i="4"/>
  <c r="DK229" i="4"/>
  <c r="DO229" i="4"/>
  <c r="DP229" i="4"/>
  <c r="BN230" i="4"/>
  <c r="BZ230" i="4" s="1"/>
  <c r="CL230" i="4" s="1"/>
  <c r="BO230" i="4"/>
  <c r="CA230" i="4" s="1"/>
  <c r="CM230" i="4" s="1"/>
  <c r="DO230" i="4" s="1"/>
  <c r="BP230" i="4"/>
  <c r="BQ230" i="4"/>
  <c r="CC230" i="4" s="1"/>
  <c r="BR230" i="4"/>
  <c r="CD230" i="4" s="1"/>
  <c r="BS230" i="4"/>
  <c r="CE230" i="4" s="1"/>
  <c r="CQ230" i="4" s="1"/>
  <c r="DS230" i="4" s="1"/>
  <c r="BT230" i="4"/>
  <c r="CF230" i="4" s="1"/>
  <c r="CR230" i="4" s="1"/>
  <c r="BU230" i="4"/>
  <c r="CG230" i="4" s="1"/>
  <c r="CS230" i="4" s="1"/>
  <c r="BV230" i="4"/>
  <c r="CH230" i="4" s="1"/>
  <c r="CT230" i="4" s="1"/>
  <c r="BW230" i="4"/>
  <c r="CI230" i="4" s="1"/>
  <c r="CU230" i="4" s="1"/>
  <c r="BX230" i="4"/>
  <c r="BY230" i="4"/>
  <c r="CK230" i="4" s="1"/>
  <c r="CB230" i="4"/>
  <c r="CN230" i="4" s="1"/>
  <c r="CJ230" i="4"/>
  <c r="CV230" i="4" s="1"/>
  <c r="CO230" i="4"/>
  <c r="CP230" i="4"/>
  <c r="CW230" i="4"/>
  <c r="CZ230" i="4"/>
  <c r="DA230" i="4"/>
  <c r="DB230" i="4"/>
  <c r="DC230" i="4"/>
  <c r="DD230" i="4"/>
  <c r="DE230" i="4"/>
  <c r="DF230" i="4"/>
  <c r="DG230" i="4"/>
  <c r="DH230" i="4"/>
  <c r="DI230" i="4"/>
  <c r="DW230" i="4" s="1"/>
  <c r="DJ230" i="4"/>
  <c r="DK230" i="4"/>
  <c r="BN231" i="4"/>
  <c r="BZ231" i="4" s="1"/>
  <c r="CL231" i="4" s="1"/>
  <c r="DN231" i="4" s="1"/>
  <c r="BO231" i="4"/>
  <c r="CA231" i="4" s="1"/>
  <c r="CM231" i="4" s="1"/>
  <c r="BP231" i="4"/>
  <c r="CB231" i="4" s="1"/>
  <c r="CN231" i="4" s="1"/>
  <c r="BQ231" i="4"/>
  <c r="CC231" i="4" s="1"/>
  <c r="CO231" i="4" s="1"/>
  <c r="BR231" i="4"/>
  <c r="CD231" i="4" s="1"/>
  <c r="CP231" i="4" s="1"/>
  <c r="BS231" i="4"/>
  <c r="CE231" i="4" s="1"/>
  <c r="CQ231" i="4" s="1"/>
  <c r="BT231" i="4"/>
  <c r="CF231" i="4" s="1"/>
  <c r="BU231" i="4"/>
  <c r="CG231" i="4" s="1"/>
  <c r="CS231" i="4" s="1"/>
  <c r="BV231" i="4"/>
  <c r="CH231" i="4" s="1"/>
  <c r="CT231" i="4" s="1"/>
  <c r="DV231" i="4" s="1"/>
  <c r="BW231" i="4"/>
  <c r="CI231" i="4" s="1"/>
  <c r="CU231" i="4" s="1"/>
  <c r="BX231" i="4"/>
  <c r="BY231" i="4"/>
  <c r="CK231" i="4" s="1"/>
  <c r="CW231" i="4" s="1"/>
  <c r="CJ231" i="4"/>
  <c r="CV231" i="4" s="1"/>
  <c r="CR231" i="4"/>
  <c r="CZ231" i="4"/>
  <c r="DA231" i="4"/>
  <c r="DB231" i="4"/>
  <c r="DP231" i="4" s="1"/>
  <c r="DC231" i="4"/>
  <c r="DD231" i="4"/>
  <c r="DE231" i="4"/>
  <c r="DF231" i="4"/>
  <c r="DG231" i="4"/>
  <c r="DH231" i="4"/>
  <c r="DI231" i="4"/>
  <c r="DJ231" i="4"/>
  <c r="DK231" i="4"/>
  <c r="DX231" i="4"/>
  <c r="BN232" i="4"/>
  <c r="BZ232" i="4" s="1"/>
  <c r="CL232" i="4" s="1"/>
  <c r="BO232" i="4"/>
  <c r="CA232" i="4" s="1"/>
  <c r="CM232" i="4" s="1"/>
  <c r="DO232" i="4" s="1"/>
  <c r="BP232" i="4"/>
  <c r="CB232" i="4" s="1"/>
  <c r="CN232" i="4" s="1"/>
  <c r="BQ232" i="4"/>
  <c r="CC232" i="4" s="1"/>
  <c r="CO232" i="4" s="1"/>
  <c r="BR232" i="4"/>
  <c r="CD232" i="4" s="1"/>
  <c r="CP232" i="4" s="1"/>
  <c r="BS232" i="4"/>
  <c r="CE232" i="4" s="1"/>
  <c r="CQ232" i="4" s="1"/>
  <c r="BT232" i="4"/>
  <c r="BU232" i="4"/>
  <c r="CG232" i="4" s="1"/>
  <c r="CS232" i="4" s="1"/>
  <c r="BV232" i="4"/>
  <c r="CH232" i="4" s="1"/>
  <c r="CT232" i="4" s="1"/>
  <c r="BW232" i="4"/>
  <c r="CI232" i="4" s="1"/>
  <c r="CU232" i="4" s="1"/>
  <c r="BX232" i="4"/>
  <c r="CJ232" i="4" s="1"/>
  <c r="CV232" i="4" s="1"/>
  <c r="BY232" i="4"/>
  <c r="CF232" i="4"/>
  <c r="CR232" i="4" s="1"/>
  <c r="DT232" i="4" s="1"/>
  <c r="CK232" i="4"/>
  <c r="CW232" i="4" s="1"/>
  <c r="CZ232" i="4"/>
  <c r="DA232" i="4"/>
  <c r="DB232" i="4"/>
  <c r="DP232" i="4" s="1"/>
  <c r="DC232" i="4"/>
  <c r="DD232" i="4"/>
  <c r="DR232" i="4" s="1"/>
  <c r="DE232" i="4"/>
  <c r="DF232" i="4"/>
  <c r="DG232" i="4"/>
  <c r="DH232" i="4"/>
  <c r="DI232" i="4"/>
  <c r="DJ232" i="4"/>
  <c r="DX232" i="4" s="1"/>
  <c r="DK232" i="4"/>
  <c r="DW232" i="4"/>
  <c r="BN233" i="4"/>
  <c r="BZ233" i="4" s="1"/>
  <c r="CL233" i="4" s="1"/>
  <c r="BO233" i="4"/>
  <c r="CA233" i="4" s="1"/>
  <c r="CM233" i="4" s="1"/>
  <c r="BP233" i="4"/>
  <c r="CB233" i="4" s="1"/>
  <c r="BQ233" i="4"/>
  <c r="CC233" i="4" s="1"/>
  <c r="BR233" i="4"/>
  <c r="CD233" i="4" s="1"/>
  <c r="CP233" i="4" s="1"/>
  <c r="BS233" i="4"/>
  <c r="CE233" i="4" s="1"/>
  <c r="CQ233" i="4" s="1"/>
  <c r="BT233" i="4"/>
  <c r="BU233" i="4"/>
  <c r="CG233" i="4" s="1"/>
  <c r="CS233" i="4" s="1"/>
  <c r="BV233" i="4"/>
  <c r="CH233" i="4" s="1"/>
  <c r="CT233" i="4" s="1"/>
  <c r="BW233" i="4"/>
  <c r="CI233" i="4" s="1"/>
  <c r="CU233" i="4" s="1"/>
  <c r="BX233" i="4"/>
  <c r="CJ233" i="4" s="1"/>
  <c r="BY233" i="4"/>
  <c r="CK233" i="4" s="1"/>
  <c r="CW233" i="4" s="1"/>
  <c r="DY233" i="4" s="1"/>
  <c r="CF233" i="4"/>
  <c r="CR233" i="4" s="1"/>
  <c r="CN233" i="4"/>
  <c r="CO233" i="4"/>
  <c r="DQ233" i="4" s="1"/>
  <c r="CV233" i="4"/>
  <c r="CZ233" i="4"/>
  <c r="DA233" i="4"/>
  <c r="DB233" i="4"/>
  <c r="DP233" i="4" s="1"/>
  <c r="DC233" i="4"/>
  <c r="DD233" i="4"/>
  <c r="DR233" i="4" s="1"/>
  <c r="DE233" i="4"/>
  <c r="DF233" i="4"/>
  <c r="DT233" i="4" s="1"/>
  <c r="DG233" i="4"/>
  <c r="DH233" i="4"/>
  <c r="DI233" i="4"/>
  <c r="DJ233" i="4"/>
  <c r="DK233" i="4"/>
  <c r="BN234" i="4"/>
  <c r="BZ234" i="4" s="1"/>
  <c r="CL234" i="4" s="1"/>
  <c r="BO234" i="4"/>
  <c r="CA234" i="4" s="1"/>
  <c r="CM234" i="4" s="1"/>
  <c r="BP234" i="4"/>
  <c r="CB234" i="4" s="1"/>
  <c r="CN234" i="4" s="1"/>
  <c r="DP234" i="4" s="1"/>
  <c r="BQ234" i="4"/>
  <c r="CC234" i="4" s="1"/>
  <c r="CO234" i="4" s="1"/>
  <c r="BR234" i="4"/>
  <c r="BS234" i="4"/>
  <c r="CE234" i="4" s="1"/>
  <c r="CQ234" i="4" s="1"/>
  <c r="BT234" i="4"/>
  <c r="CF234" i="4" s="1"/>
  <c r="CR234" i="4" s="1"/>
  <c r="BU234" i="4"/>
  <c r="BV234" i="4"/>
  <c r="CH234" i="4" s="1"/>
  <c r="CT234" i="4" s="1"/>
  <c r="BW234" i="4"/>
  <c r="CI234" i="4" s="1"/>
  <c r="CU234" i="4" s="1"/>
  <c r="BX234" i="4"/>
  <c r="CJ234" i="4" s="1"/>
  <c r="CV234" i="4" s="1"/>
  <c r="BY234" i="4"/>
  <c r="CK234" i="4" s="1"/>
  <c r="CW234" i="4" s="1"/>
  <c r="CD234" i="4"/>
  <c r="CP234" i="4" s="1"/>
  <c r="DR234" i="4" s="1"/>
  <c r="CG234" i="4"/>
  <c r="CS234" i="4" s="1"/>
  <c r="CZ234" i="4"/>
  <c r="DA234" i="4"/>
  <c r="DB234" i="4"/>
  <c r="DC234" i="4"/>
  <c r="DD234" i="4"/>
  <c r="DE234" i="4"/>
  <c r="DF234" i="4"/>
  <c r="DG234" i="4"/>
  <c r="DH234" i="4"/>
  <c r="DI234" i="4"/>
  <c r="DJ234" i="4"/>
  <c r="DK234" i="4"/>
  <c r="BN235" i="4"/>
  <c r="BZ235" i="4" s="1"/>
  <c r="CL235" i="4" s="1"/>
  <c r="BO235" i="4"/>
  <c r="CA235" i="4" s="1"/>
  <c r="CM235" i="4" s="1"/>
  <c r="BP235" i="4"/>
  <c r="CB235" i="4" s="1"/>
  <c r="CN235" i="4" s="1"/>
  <c r="DP235" i="4" s="1"/>
  <c r="BQ235" i="4"/>
  <c r="BR235" i="4"/>
  <c r="CD235" i="4" s="1"/>
  <c r="BS235" i="4"/>
  <c r="CE235" i="4" s="1"/>
  <c r="CQ235" i="4" s="1"/>
  <c r="BT235" i="4"/>
  <c r="CF235" i="4" s="1"/>
  <c r="CR235" i="4" s="1"/>
  <c r="BU235" i="4"/>
  <c r="CG235" i="4" s="1"/>
  <c r="CS235" i="4" s="1"/>
  <c r="BV235" i="4"/>
  <c r="CH235" i="4" s="1"/>
  <c r="CT235" i="4" s="1"/>
  <c r="BW235" i="4"/>
  <c r="CI235" i="4" s="1"/>
  <c r="CU235" i="4" s="1"/>
  <c r="BX235" i="4"/>
  <c r="CJ235" i="4" s="1"/>
  <c r="CV235" i="4" s="1"/>
  <c r="BY235" i="4"/>
  <c r="CC235" i="4"/>
  <c r="CO235" i="4" s="1"/>
  <c r="CK235" i="4"/>
  <c r="CP235" i="4"/>
  <c r="CW235" i="4"/>
  <c r="CZ235" i="4"/>
  <c r="DA235" i="4"/>
  <c r="DB235" i="4"/>
  <c r="DC235" i="4"/>
  <c r="DD235" i="4"/>
  <c r="DE235" i="4"/>
  <c r="DS235" i="4" s="1"/>
  <c r="DF235" i="4"/>
  <c r="DG235" i="4"/>
  <c r="DH235" i="4"/>
  <c r="DI235" i="4"/>
  <c r="DJ235" i="4"/>
  <c r="DK235" i="4"/>
  <c r="DY235" i="4" s="1"/>
  <c r="BN236" i="4"/>
  <c r="BO236" i="4"/>
  <c r="CA236" i="4" s="1"/>
  <c r="CM236" i="4" s="1"/>
  <c r="DO236" i="4" s="1"/>
  <c r="BP236" i="4"/>
  <c r="CB236" i="4" s="1"/>
  <c r="CN236" i="4" s="1"/>
  <c r="BQ236" i="4"/>
  <c r="BR236" i="4"/>
  <c r="CD236" i="4" s="1"/>
  <c r="CP236" i="4" s="1"/>
  <c r="BS236" i="4"/>
  <c r="CE236" i="4" s="1"/>
  <c r="CQ236" i="4" s="1"/>
  <c r="DS236" i="4" s="1"/>
  <c r="BT236" i="4"/>
  <c r="BU236" i="4"/>
  <c r="CG236" i="4" s="1"/>
  <c r="CS236" i="4" s="1"/>
  <c r="BV236" i="4"/>
  <c r="BW236" i="4"/>
  <c r="CI236" i="4" s="1"/>
  <c r="CU236" i="4" s="1"/>
  <c r="DW236" i="4" s="1"/>
  <c r="BX236" i="4"/>
  <c r="CJ236" i="4" s="1"/>
  <c r="BY236" i="4"/>
  <c r="BZ236" i="4"/>
  <c r="CL236" i="4" s="1"/>
  <c r="CC236" i="4"/>
  <c r="CO236" i="4" s="1"/>
  <c r="CF236" i="4"/>
  <c r="CR236" i="4" s="1"/>
  <c r="DT236" i="4" s="1"/>
  <c r="CH236" i="4"/>
  <c r="CT236" i="4" s="1"/>
  <c r="CK236" i="4"/>
  <c r="CW236" i="4" s="1"/>
  <c r="CV236" i="4"/>
  <c r="CZ236" i="4"/>
  <c r="DA236" i="4"/>
  <c r="DB236" i="4"/>
  <c r="DP236" i="4" s="1"/>
  <c r="DC236" i="4"/>
  <c r="DQ236" i="4" s="1"/>
  <c r="DD236" i="4"/>
  <c r="DE236" i="4"/>
  <c r="DF236" i="4"/>
  <c r="DG236" i="4"/>
  <c r="DU236" i="4" s="1"/>
  <c r="DH236" i="4"/>
  <c r="DI236" i="4"/>
  <c r="DJ236" i="4"/>
  <c r="DK236" i="4"/>
  <c r="BN237" i="4"/>
  <c r="BZ237" i="4" s="1"/>
  <c r="CL237" i="4" s="1"/>
  <c r="BO237" i="4"/>
  <c r="BP237" i="4"/>
  <c r="CB237" i="4" s="1"/>
  <c r="CN237" i="4" s="1"/>
  <c r="BQ237" i="4"/>
  <c r="CC237" i="4" s="1"/>
  <c r="CO237" i="4" s="1"/>
  <c r="DQ237" i="4" s="1"/>
  <c r="BR237" i="4"/>
  <c r="CD237" i="4" s="1"/>
  <c r="CP237" i="4" s="1"/>
  <c r="BS237" i="4"/>
  <c r="CE237" i="4" s="1"/>
  <c r="CQ237" i="4" s="1"/>
  <c r="BT237" i="4"/>
  <c r="CF237" i="4" s="1"/>
  <c r="CR237" i="4" s="1"/>
  <c r="BU237" i="4"/>
  <c r="CG237" i="4" s="1"/>
  <c r="BV237" i="4"/>
  <c r="CH237" i="4" s="1"/>
  <c r="CT237" i="4" s="1"/>
  <c r="BW237" i="4"/>
  <c r="BX237" i="4"/>
  <c r="CJ237" i="4" s="1"/>
  <c r="CV237" i="4" s="1"/>
  <c r="BY237" i="4"/>
  <c r="CK237" i="4" s="1"/>
  <c r="CW237" i="4" s="1"/>
  <c r="DY237" i="4" s="1"/>
  <c r="CA237" i="4"/>
  <c r="CM237" i="4" s="1"/>
  <c r="CI237" i="4"/>
  <c r="CU237" i="4" s="1"/>
  <c r="CS237" i="4"/>
  <c r="DU237" i="4" s="1"/>
  <c r="CZ237" i="4"/>
  <c r="DA237" i="4"/>
  <c r="DB237" i="4"/>
  <c r="DP237" i="4" s="1"/>
  <c r="DC237" i="4"/>
  <c r="DD237" i="4"/>
  <c r="DE237" i="4"/>
  <c r="DF237" i="4"/>
  <c r="DT237" i="4" s="1"/>
  <c r="DG237" i="4"/>
  <c r="DH237" i="4"/>
  <c r="DI237" i="4"/>
  <c r="DJ237" i="4"/>
  <c r="DK237" i="4"/>
  <c r="BN238" i="4"/>
  <c r="BZ238" i="4" s="1"/>
  <c r="CL238" i="4" s="1"/>
  <c r="BO238" i="4"/>
  <c r="CA238" i="4" s="1"/>
  <c r="CM238" i="4" s="1"/>
  <c r="BP238" i="4"/>
  <c r="BQ238" i="4"/>
  <c r="CC238" i="4" s="1"/>
  <c r="CO238" i="4" s="1"/>
  <c r="BR238" i="4"/>
  <c r="CD238" i="4" s="1"/>
  <c r="CP238" i="4" s="1"/>
  <c r="DR238" i="4" s="1"/>
  <c r="BS238" i="4"/>
  <c r="CE238" i="4" s="1"/>
  <c r="CQ238" i="4" s="1"/>
  <c r="BT238" i="4"/>
  <c r="CF238" i="4" s="1"/>
  <c r="CR238" i="4" s="1"/>
  <c r="BU238" i="4"/>
  <c r="CG238" i="4" s="1"/>
  <c r="CS238" i="4" s="1"/>
  <c r="BV238" i="4"/>
  <c r="CH238" i="4" s="1"/>
  <c r="CT238" i="4" s="1"/>
  <c r="DV238" i="4" s="1"/>
  <c r="BW238" i="4"/>
  <c r="BX238" i="4"/>
  <c r="BY238" i="4"/>
  <c r="CK238" i="4" s="1"/>
  <c r="CW238" i="4" s="1"/>
  <c r="CB238" i="4"/>
  <c r="CN238" i="4" s="1"/>
  <c r="CI238" i="4"/>
  <c r="CU238" i="4" s="1"/>
  <c r="CJ238" i="4"/>
  <c r="CV238" i="4" s="1"/>
  <c r="CZ238" i="4"/>
  <c r="DA238" i="4"/>
  <c r="DB238" i="4"/>
  <c r="DC238" i="4"/>
  <c r="DD238" i="4"/>
  <c r="DE238" i="4"/>
  <c r="DS238" i="4" s="1"/>
  <c r="DF238" i="4"/>
  <c r="DT238" i="4" s="1"/>
  <c r="DG238" i="4"/>
  <c r="DU238" i="4" s="1"/>
  <c r="DH238" i="4"/>
  <c r="DI238" i="4"/>
  <c r="DJ238" i="4"/>
  <c r="DX238" i="4" s="1"/>
  <c r="DK238" i="4"/>
  <c r="BN239" i="4"/>
  <c r="BO239" i="4"/>
  <c r="CA239" i="4" s="1"/>
  <c r="CM239" i="4" s="1"/>
  <c r="BP239" i="4"/>
  <c r="CB239" i="4" s="1"/>
  <c r="BQ239" i="4"/>
  <c r="CC239" i="4" s="1"/>
  <c r="CO239" i="4" s="1"/>
  <c r="DQ239" i="4" s="1"/>
  <c r="BR239" i="4"/>
  <c r="CD239" i="4" s="1"/>
  <c r="CP239" i="4" s="1"/>
  <c r="BS239" i="4"/>
  <c r="CE239" i="4" s="1"/>
  <c r="CQ239" i="4" s="1"/>
  <c r="BT239" i="4"/>
  <c r="CF239" i="4" s="1"/>
  <c r="CR239" i="4" s="1"/>
  <c r="BU239" i="4"/>
  <c r="CG239" i="4" s="1"/>
  <c r="CS239" i="4" s="1"/>
  <c r="BV239" i="4"/>
  <c r="BW239" i="4"/>
  <c r="CI239" i="4" s="1"/>
  <c r="CU239" i="4" s="1"/>
  <c r="BX239" i="4"/>
  <c r="BY239" i="4"/>
  <c r="CK239" i="4" s="1"/>
  <c r="CW239" i="4" s="1"/>
  <c r="BZ239" i="4"/>
  <c r="CL239" i="4" s="1"/>
  <c r="CH239" i="4"/>
  <c r="CT239" i="4" s="1"/>
  <c r="CJ239" i="4"/>
  <c r="CN239" i="4"/>
  <c r="DP239" i="4" s="1"/>
  <c r="CV239" i="4"/>
  <c r="CZ239" i="4"/>
  <c r="DA239" i="4"/>
  <c r="DB239" i="4"/>
  <c r="DC239" i="4"/>
  <c r="DD239" i="4"/>
  <c r="DE239" i="4"/>
  <c r="DF239" i="4"/>
  <c r="DG239" i="4"/>
  <c r="DH239" i="4"/>
  <c r="DI239" i="4"/>
  <c r="DJ239" i="4"/>
  <c r="DK239" i="4"/>
  <c r="DV239" i="4"/>
  <c r="BN240" i="4"/>
  <c r="BZ240" i="4" s="1"/>
  <c r="CL240" i="4" s="1"/>
  <c r="DN240" i="4" s="1"/>
  <c r="BO240" i="4"/>
  <c r="CA240" i="4" s="1"/>
  <c r="CM240" i="4" s="1"/>
  <c r="BP240" i="4"/>
  <c r="CB240" i="4" s="1"/>
  <c r="BQ240" i="4"/>
  <c r="CC240" i="4" s="1"/>
  <c r="CO240" i="4" s="1"/>
  <c r="BR240" i="4"/>
  <c r="CD240" i="4" s="1"/>
  <c r="CP240" i="4" s="1"/>
  <c r="BS240" i="4"/>
  <c r="BT240" i="4"/>
  <c r="BU240" i="4"/>
  <c r="CG240" i="4" s="1"/>
  <c r="CS240" i="4" s="1"/>
  <c r="BV240" i="4"/>
  <c r="CH240" i="4" s="1"/>
  <c r="CT240" i="4" s="1"/>
  <c r="DV240" i="4" s="1"/>
  <c r="BW240" i="4"/>
  <c r="CI240" i="4" s="1"/>
  <c r="CU240" i="4" s="1"/>
  <c r="BX240" i="4"/>
  <c r="CJ240" i="4" s="1"/>
  <c r="BY240" i="4"/>
  <c r="CK240" i="4" s="1"/>
  <c r="CW240" i="4" s="1"/>
  <c r="DY240" i="4" s="1"/>
  <c r="CE240" i="4"/>
  <c r="CQ240" i="4" s="1"/>
  <c r="CF240" i="4"/>
  <c r="CR240" i="4" s="1"/>
  <c r="DT240" i="4" s="1"/>
  <c r="CN240" i="4"/>
  <c r="CV240" i="4"/>
  <c r="CZ240" i="4"/>
  <c r="DA240" i="4"/>
  <c r="DO240" i="4" s="1"/>
  <c r="DB240" i="4"/>
  <c r="DC240" i="4"/>
  <c r="DD240" i="4"/>
  <c r="DE240" i="4"/>
  <c r="DF240" i="4"/>
  <c r="DG240" i="4"/>
  <c r="DH240" i="4"/>
  <c r="DI240" i="4"/>
  <c r="DW240" i="4" s="1"/>
  <c r="DJ240" i="4"/>
  <c r="DK240" i="4"/>
  <c r="DR240" i="4"/>
  <c r="BN241" i="4"/>
  <c r="BZ241" i="4" s="1"/>
  <c r="CL241" i="4" s="1"/>
  <c r="BO241" i="4"/>
  <c r="CA241" i="4" s="1"/>
  <c r="CM241" i="4" s="1"/>
  <c r="BP241" i="4"/>
  <c r="BQ241" i="4"/>
  <c r="CC241" i="4" s="1"/>
  <c r="BR241" i="4"/>
  <c r="CD241" i="4" s="1"/>
  <c r="CP241" i="4" s="1"/>
  <c r="DR241" i="4" s="1"/>
  <c r="BS241" i="4"/>
  <c r="CE241" i="4" s="1"/>
  <c r="CQ241" i="4" s="1"/>
  <c r="BT241" i="4"/>
  <c r="BU241" i="4"/>
  <c r="CG241" i="4" s="1"/>
  <c r="CS241" i="4" s="1"/>
  <c r="DU241" i="4" s="1"/>
  <c r="BV241" i="4"/>
  <c r="CH241" i="4" s="1"/>
  <c r="CT241" i="4" s="1"/>
  <c r="BW241" i="4"/>
  <c r="CI241" i="4" s="1"/>
  <c r="CU241" i="4" s="1"/>
  <c r="BX241" i="4"/>
  <c r="CJ241" i="4" s="1"/>
  <c r="BY241" i="4"/>
  <c r="CB241" i="4"/>
  <c r="CN241" i="4" s="1"/>
  <c r="CF241" i="4"/>
  <c r="CR241" i="4" s="1"/>
  <c r="DT241" i="4" s="1"/>
  <c r="CK241" i="4"/>
  <c r="CW241" i="4" s="1"/>
  <c r="DY241" i="4" s="1"/>
  <c r="CO241" i="4"/>
  <c r="DQ241" i="4" s="1"/>
  <c r="CV241" i="4"/>
  <c r="CZ241" i="4"/>
  <c r="DA241" i="4"/>
  <c r="DB241" i="4"/>
  <c r="DC241" i="4"/>
  <c r="DD241" i="4"/>
  <c r="DE241" i="4"/>
  <c r="DF241" i="4"/>
  <c r="DG241" i="4"/>
  <c r="DH241" i="4"/>
  <c r="DI241" i="4"/>
  <c r="DJ241" i="4"/>
  <c r="DK241" i="4"/>
  <c r="BN242" i="4"/>
  <c r="BZ242" i="4" s="1"/>
  <c r="CL242" i="4" s="1"/>
  <c r="BO242" i="4"/>
  <c r="BP242" i="4"/>
  <c r="CB242" i="4" s="1"/>
  <c r="CN242" i="4" s="1"/>
  <c r="BQ242" i="4"/>
  <c r="CC242" i="4" s="1"/>
  <c r="CO242" i="4" s="1"/>
  <c r="BR242" i="4"/>
  <c r="CD242" i="4" s="1"/>
  <c r="CP242" i="4" s="1"/>
  <c r="BS242" i="4"/>
  <c r="CE242" i="4" s="1"/>
  <c r="CQ242" i="4" s="1"/>
  <c r="BT242" i="4"/>
  <c r="CF242" i="4" s="1"/>
  <c r="CR242" i="4" s="1"/>
  <c r="BU242" i="4"/>
  <c r="BV242" i="4"/>
  <c r="CH242" i="4" s="1"/>
  <c r="BW242" i="4"/>
  <c r="CI242" i="4" s="1"/>
  <c r="CU242" i="4" s="1"/>
  <c r="BX242" i="4"/>
  <c r="CJ242" i="4" s="1"/>
  <c r="CV242" i="4" s="1"/>
  <c r="BY242" i="4"/>
  <c r="CK242" i="4" s="1"/>
  <c r="CA242" i="4"/>
  <c r="CM242" i="4" s="1"/>
  <c r="DO242" i="4" s="1"/>
  <c r="CG242" i="4"/>
  <c r="CS242" i="4" s="1"/>
  <c r="CT242" i="4"/>
  <c r="DV242" i="4" s="1"/>
  <c r="CW242" i="4"/>
  <c r="CZ242" i="4"/>
  <c r="DA242" i="4"/>
  <c r="DB242" i="4"/>
  <c r="DC242" i="4"/>
  <c r="DD242" i="4"/>
  <c r="DE242" i="4"/>
  <c r="DF242" i="4"/>
  <c r="DG242" i="4"/>
  <c r="DH242" i="4"/>
  <c r="DI242" i="4"/>
  <c r="DW242" i="4" s="1"/>
  <c r="DJ242" i="4"/>
  <c r="DK242" i="4"/>
  <c r="DM242" i="4"/>
  <c r="BN243" i="4"/>
  <c r="BO243" i="4"/>
  <c r="CA243" i="4" s="1"/>
  <c r="CM243" i="4" s="1"/>
  <c r="BP243" i="4"/>
  <c r="CB243" i="4" s="1"/>
  <c r="CN243" i="4" s="1"/>
  <c r="BQ243" i="4"/>
  <c r="CC243" i="4" s="1"/>
  <c r="BR243" i="4"/>
  <c r="CD243" i="4" s="1"/>
  <c r="CP243" i="4" s="1"/>
  <c r="BS243" i="4"/>
  <c r="CE243" i="4" s="1"/>
  <c r="CQ243" i="4" s="1"/>
  <c r="BT243" i="4"/>
  <c r="CF243" i="4" s="1"/>
  <c r="CR243" i="4" s="1"/>
  <c r="BU243" i="4"/>
  <c r="CG243" i="4" s="1"/>
  <c r="CS243" i="4" s="1"/>
  <c r="BV243" i="4"/>
  <c r="BW243" i="4"/>
  <c r="CI243" i="4" s="1"/>
  <c r="CU243" i="4" s="1"/>
  <c r="BX243" i="4"/>
  <c r="CJ243" i="4" s="1"/>
  <c r="CV243" i="4" s="1"/>
  <c r="BY243" i="4"/>
  <c r="CK243" i="4" s="1"/>
  <c r="BZ243" i="4"/>
  <c r="CL243" i="4" s="1"/>
  <c r="CH243" i="4"/>
  <c r="CT243" i="4" s="1"/>
  <c r="DV243" i="4" s="1"/>
  <c r="CO243" i="4"/>
  <c r="CW243" i="4"/>
  <c r="CZ243" i="4"/>
  <c r="DN243" i="4" s="1"/>
  <c r="DA243" i="4"/>
  <c r="DB243" i="4"/>
  <c r="DC243" i="4"/>
  <c r="DQ243" i="4" s="1"/>
  <c r="DD243" i="4"/>
  <c r="DE243" i="4"/>
  <c r="DF243" i="4"/>
  <c r="DG243" i="4"/>
  <c r="DH243" i="4"/>
  <c r="DI243" i="4"/>
  <c r="DJ243" i="4"/>
  <c r="DK243" i="4"/>
  <c r="DR243" i="4"/>
  <c r="BN244" i="4"/>
  <c r="BZ244" i="4" s="1"/>
  <c r="CL244" i="4" s="1"/>
  <c r="DN244" i="4" s="1"/>
  <c r="BO244" i="4"/>
  <c r="CA244" i="4" s="1"/>
  <c r="CM244" i="4" s="1"/>
  <c r="BP244" i="4"/>
  <c r="CB244" i="4" s="1"/>
  <c r="CN244" i="4" s="1"/>
  <c r="BQ244" i="4"/>
  <c r="CC244" i="4" s="1"/>
  <c r="CO244" i="4" s="1"/>
  <c r="BR244" i="4"/>
  <c r="CD244" i="4" s="1"/>
  <c r="CP244" i="4" s="1"/>
  <c r="BS244" i="4"/>
  <c r="CE244" i="4" s="1"/>
  <c r="CQ244" i="4" s="1"/>
  <c r="BT244" i="4"/>
  <c r="BU244" i="4"/>
  <c r="CG244" i="4" s="1"/>
  <c r="CS244" i="4" s="1"/>
  <c r="BV244" i="4"/>
  <c r="CH244" i="4" s="1"/>
  <c r="CT244" i="4" s="1"/>
  <c r="DV244" i="4" s="1"/>
  <c r="BW244" i="4"/>
  <c r="BX244" i="4"/>
  <c r="BY244" i="4"/>
  <c r="CK244" i="4" s="1"/>
  <c r="CW244" i="4" s="1"/>
  <c r="CF244" i="4"/>
  <c r="CR244" i="4" s="1"/>
  <c r="CI244" i="4"/>
  <c r="CJ244" i="4"/>
  <c r="CV244" i="4" s="1"/>
  <c r="CU244" i="4"/>
  <c r="CZ244" i="4"/>
  <c r="DA244" i="4"/>
  <c r="DB244" i="4"/>
  <c r="DP244" i="4" s="1"/>
  <c r="DC244" i="4"/>
  <c r="DD244" i="4"/>
  <c r="DE244" i="4"/>
  <c r="DS244" i="4" s="1"/>
  <c r="DF244" i="4"/>
  <c r="DG244" i="4"/>
  <c r="DH244" i="4"/>
  <c r="DI244" i="4"/>
  <c r="DJ244" i="4"/>
  <c r="DK244" i="4"/>
  <c r="DL244" i="4"/>
  <c r="DY244" i="4"/>
  <c r="BN245" i="4"/>
  <c r="BZ245" i="4" s="1"/>
  <c r="CL245" i="4" s="1"/>
  <c r="BO245" i="4"/>
  <c r="BP245" i="4"/>
  <c r="CB245" i="4" s="1"/>
  <c r="CN245" i="4" s="1"/>
  <c r="BQ245" i="4"/>
  <c r="CC245" i="4" s="1"/>
  <c r="CO245" i="4" s="1"/>
  <c r="DQ245" i="4" s="1"/>
  <c r="BR245" i="4"/>
  <c r="BS245" i="4"/>
  <c r="CE245" i="4" s="1"/>
  <c r="BT245" i="4"/>
  <c r="CF245" i="4" s="1"/>
  <c r="CR245" i="4" s="1"/>
  <c r="BU245" i="4"/>
  <c r="CG245" i="4" s="1"/>
  <c r="CS245" i="4" s="1"/>
  <c r="BV245" i="4"/>
  <c r="BW245" i="4"/>
  <c r="BX245" i="4"/>
  <c r="CJ245" i="4" s="1"/>
  <c r="CV245" i="4" s="1"/>
  <c r="DX245" i="4" s="1"/>
  <c r="BY245" i="4"/>
  <c r="CK245" i="4" s="1"/>
  <c r="CW245" i="4" s="1"/>
  <c r="DY245" i="4" s="1"/>
  <c r="CA245" i="4"/>
  <c r="CM245" i="4" s="1"/>
  <c r="CD245" i="4"/>
  <c r="CP245" i="4" s="1"/>
  <c r="CH245" i="4"/>
  <c r="CT245" i="4" s="1"/>
  <c r="CI245" i="4"/>
  <c r="CU245" i="4" s="1"/>
  <c r="CQ245" i="4"/>
  <c r="CZ245" i="4"/>
  <c r="DA245" i="4"/>
  <c r="DO245" i="4" s="1"/>
  <c r="DB245" i="4"/>
  <c r="DC245" i="4"/>
  <c r="DD245" i="4"/>
  <c r="DE245" i="4"/>
  <c r="DF245" i="4"/>
  <c r="DG245" i="4"/>
  <c r="DH245" i="4"/>
  <c r="DI245" i="4"/>
  <c r="DW245" i="4" s="1"/>
  <c r="DJ245" i="4"/>
  <c r="DK245" i="4"/>
  <c r="BN246" i="4"/>
  <c r="BZ246" i="4" s="1"/>
  <c r="CL246" i="4" s="1"/>
  <c r="BO246" i="4"/>
  <c r="CA246" i="4" s="1"/>
  <c r="CM246" i="4" s="1"/>
  <c r="BP246" i="4"/>
  <c r="BQ246" i="4"/>
  <c r="CC246" i="4" s="1"/>
  <c r="CO246" i="4" s="1"/>
  <c r="BR246" i="4"/>
  <c r="CD246" i="4" s="1"/>
  <c r="CP246" i="4" s="1"/>
  <c r="BS246" i="4"/>
  <c r="CE246" i="4" s="1"/>
  <c r="BT246" i="4"/>
  <c r="CF246" i="4" s="1"/>
  <c r="CR246" i="4" s="1"/>
  <c r="BU246" i="4"/>
  <c r="BV246" i="4"/>
  <c r="CH246" i="4" s="1"/>
  <c r="CT246" i="4" s="1"/>
  <c r="BW246" i="4"/>
  <c r="CI246" i="4" s="1"/>
  <c r="CU246" i="4" s="1"/>
  <c r="DW246" i="4" s="1"/>
  <c r="BX246" i="4"/>
  <c r="BY246" i="4"/>
  <c r="CK246" i="4" s="1"/>
  <c r="CW246" i="4" s="1"/>
  <c r="CB246" i="4"/>
  <c r="CN246" i="4" s="1"/>
  <c r="DP246" i="4" s="1"/>
  <c r="CG246" i="4"/>
  <c r="CS246" i="4" s="1"/>
  <c r="CJ246" i="4"/>
  <c r="CV246" i="4" s="1"/>
  <c r="DX246" i="4" s="1"/>
  <c r="CQ246" i="4"/>
  <c r="DS246" i="4" s="1"/>
  <c r="CZ246" i="4"/>
  <c r="DA246" i="4"/>
  <c r="DB246" i="4"/>
  <c r="DC246" i="4"/>
  <c r="DD246" i="4"/>
  <c r="DR246" i="4" s="1"/>
  <c r="DE246" i="4"/>
  <c r="DF246" i="4"/>
  <c r="DG246" i="4"/>
  <c r="DU246" i="4" s="1"/>
  <c r="DH246" i="4"/>
  <c r="DI246" i="4"/>
  <c r="DJ246" i="4"/>
  <c r="DK246" i="4"/>
  <c r="DO246" i="4"/>
  <c r="DT246" i="4"/>
  <c r="BN247" i="4"/>
  <c r="BZ247" i="4" s="1"/>
  <c r="CL247" i="4" s="1"/>
  <c r="DN247" i="4" s="1"/>
  <c r="BO247" i="4"/>
  <c r="CA247" i="4" s="1"/>
  <c r="CM247" i="4" s="1"/>
  <c r="BP247" i="4"/>
  <c r="BQ247" i="4"/>
  <c r="BR247" i="4"/>
  <c r="CD247" i="4" s="1"/>
  <c r="CP247" i="4" s="1"/>
  <c r="BS247" i="4"/>
  <c r="CE247" i="4" s="1"/>
  <c r="CQ247" i="4" s="1"/>
  <c r="DS247" i="4" s="1"/>
  <c r="BT247" i="4"/>
  <c r="CF247" i="4" s="1"/>
  <c r="CR247" i="4" s="1"/>
  <c r="BU247" i="4"/>
  <c r="BV247" i="4"/>
  <c r="CH247" i="4" s="1"/>
  <c r="BW247" i="4"/>
  <c r="CI247" i="4" s="1"/>
  <c r="CU247" i="4" s="1"/>
  <c r="BX247" i="4"/>
  <c r="BY247" i="4"/>
  <c r="CB247" i="4"/>
  <c r="CN247" i="4" s="1"/>
  <c r="CC247" i="4"/>
  <c r="CO247" i="4" s="1"/>
  <c r="CG247" i="4"/>
  <c r="CJ247" i="4"/>
  <c r="CV247" i="4" s="1"/>
  <c r="DX247" i="4" s="1"/>
  <c r="CK247" i="4"/>
  <c r="CW247" i="4" s="1"/>
  <c r="CS247" i="4"/>
  <c r="CT247" i="4"/>
  <c r="CZ247" i="4"/>
  <c r="DA247" i="4"/>
  <c r="DB247" i="4"/>
  <c r="DC247" i="4"/>
  <c r="DD247" i="4"/>
  <c r="DR247" i="4" s="1"/>
  <c r="DE247" i="4"/>
  <c r="DF247" i="4"/>
  <c r="DG247" i="4"/>
  <c r="DH247" i="4"/>
  <c r="DI247" i="4"/>
  <c r="DJ247" i="4"/>
  <c r="DK247" i="4"/>
  <c r="DP247" i="4"/>
  <c r="DU247" i="4"/>
  <c r="BN248" i="4"/>
  <c r="BZ248" i="4" s="1"/>
  <c r="CL248" i="4" s="1"/>
  <c r="DN248" i="4" s="1"/>
  <c r="BO248" i="4"/>
  <c r="CA248" i="4" s="1"/>
  <c r="CM248" i="4" s="1"/>
  <c r="BP248" i="4"/>
  <c r="CB248" i="4" s="1"/>
  <c r="BQ248" i="4"/>
  <c r="BR248" i="4"/>
  <c r="CD248" i="4" s="1"/>
  <c r="CP248" i="4" s="1"/>
  <c r="BS248" i="4"/>
  <c r="CE248" i="4" s="1"/>
  <c r="CQ248" i="4" s="1"/>
  <c r="BT248" i="4"/>
  <c r="CF248" i="4" s="1"/>
  <c r="CR248" i="4" s="1"/>
  <c r="BU248" i="4"/>
  <c r="CG248" i="4" s="1"/>
  <c r="CS248" i="4" s="1"/>
  <c r="BV248" i="4"/>
  <c r="CH248" i="4" s="1"/>
  <c r="CT248" i="4" s="1"/>
  <c r="BW248" i="4"/>
  <c r="CI248" i="4" s="1"/>
  <c r="CU248" i="4" s="1"/>
  <c r="BX248" i="4"/>
  <c r="CJ248" i="4" s="1"/>
  <c r="CV248" i="4" s="1"/>
  <c r="BY248" i="4"/>
  <c r="CK248" i="4" s="1"/>
  <c r="CW248" i="4" s="1"/>
  <c r="CC248" i="4"/>
  <c r="CO248" i="4" s="1"/>
  <c r="CN248" i="4"/>
  <c r="CZ248" i="4"/>
  <c r="DA248" i="4"/>
  <c r="DB248" i="4"/>
  <c r="DC248" i="4"/>
  <c r="DD248" i="4"/>
  <c r="DE248" i="4"/>
  <c r="DF248" i="4"/>
  <c r="DG248" i="4"/>
  <c r="DH248" i="4"/>
  <c r="DI248" i="4"/>
  <c r="DJ248" i="4"/>
  <c r="DX248" i="4" s="1"/>
  <c r="DK248" i="4"/>
  <c r="DR248" i="4"/>
  <c r="DS248" i="4"/>
  <c r="DY248" i="4"/>
  <c r="BN249" i="4"/>
  <c r="BO249" i="4"/>
  <c r="CA249" i="4" s="1"/>
  <c r="CM249" i="4" s="1"/>
  <c r="BP249" i="4"/>
  <c r="CB249" i="4" s="1"/>
  <c r="BQ249" i="4"/>
  <c r="CC249" i="4" s="1"/>
  <c r="CO249" i="4" s="1"/>
  <c r="DQ249" i="4" s="1"/>
  <c r="BR249" i="4"/>
  <c r="CD249" i="4" s="1"/>
  <c r="CP249" i="4" s="1"/>
  <c r="BS249" i="4"/>
  <c r="CE249" i="4" s="1"/>
  <c r="CQ249" i="4" s="1"/>
  <c r="BT249" i="4"/>
  <c r="BU249" i="4"/>
  <c r="CG249" i="4" s="1"/>
  <c r="CS249" i="4" s="1"/>
  <c r="DU249" i="4" s="1"/>
  <c r="BV249" i="4"/>
  <c r="CH249" i="4" s="1"/>
  <c r="CT249" i="4" s="1"/>
  <c r="BW249" i="4"/>
  <c r="CI249" i="4" s="1"/>
  <c r="CU249" i="4" s="1"/>
  <c r="BX249" i="4"/>
  <c r="BY249" i="4"/>
  <c r="CK249" i="4" s="1"/>
  <c r="CW249" i="4" s="1"/>
  <c r="DY249" i="4" s="1"/>
  <c r="BZ249" i="4"/>
  <c r="CL249" i="4" s="1"/>
  <c r="CF249" i="4"/>
  <c r="CJ249" i="4"/>
  <c r="CV249" i="4" s="1"/>
  <c r="CN249" i="4"/>
  <c r="CR249" i="4"/>
  <c r="CZ249" i="4"/>
  <c r="DA249" i="4"/>
  <c r="DO249" i="4" s="1"/>
  <c r="DB249" i="4"/>
  <c r="DC249" i="4"/>
  <c r="DD249" i="4"/>
  <c r="DE249" i="4"/>
  <c r="DS249" i="4" s="1"/>
  <c r="DF249" i="4"/>
  <c r="DG249" i="4"/>
  <c r="DH249" i="4"/>
  <c r="DI249" i="4"/>
  <c r="DW249" i="4" s="1"/>
  <c r="DJ249" i="4"/>
  <c r="DK249" i="4"/>
  <c r="BN250" i="4"/>
  <c r="BZ250" i="4" s="1"/>
  <c r="CL250" i="4" s="1"/>
  <c r="BO250" i="4"/>
  <c r="BP250" i="4"/>
  <c r="CB250" i="4" s="1"/>
  <c r="CN250" i="4" s="1"/>
  <c r="BQ250" i="4"/>
  <c r="CC250" i="4" s="1"/>
  <c r="CO250" i="4" s="1"/>
  <c r="BR250" i="4"/>
  <c r="CD250" i="4" s="1"/>
  <c r="CP250" i="4" s="1"/>
  <c r="BS250" i="4"/>
  <c r="CE250" i="4" s="1"/>
  <c r="CQ250" i="4" s="1"/>
  <c r="BT250" i="4"/>
  <c r="CF250" i="4" s="1"/>
  <c r="CR250" i="4" s="1"/>
  <c r="BU250" i="4"/>
  <c r="BV250" i="4"/>
  <c r="BW250" i="4"/>
  <c r="BX250" i="4"/>
  <c r="CJ250" i="4" s="1"/>
  <c r="CV250" i="4" s="1"/>
  <c r="BY250" i="4"/>
  <c r="CK250" i="4" s="1"/>
  <c r="CA250" i="4"/>
  <c r="CM250" i="4" s="1"/>
  <c r="CG250" i="4"/>
  <c r="CS250" i="4" s="1"/>
  <c r="CH250" i="4"/>
  <c r="CT250" i="4" s="1"/>
  <c r="DV250" i="4" s="1"/>
  <c r="CI250" i="4"/>
  <c r="CU250" i="4" s="1"/>
  <c r="CW250" i="4"/>
  <c r="CZ250" i="4"/>
  <c r="DA250" i="4"/>
  <c r="DO250" i="4" s="1"/>
  <c r="DB250" i="4"/>
  <c r="DC250" i="4"/>
  <c r="DD250" i="4"/>
  <c r="DE250" i="4"/>
  <c r="DS250" i="4" s="1"/>
  <c r="DF250" i="4"/>
  <c r="DG250" i="4"/>
  <c r="DH250" i="4"/>
  <c r="DI250" i="4"/>
  <c r="DJ250" i="4"/>
  <c r="DK250" i="4"/>
  <c r="BN251" i="4"/>
  <c r="BZ251" i="4" s="1"/>
  <c r="CL251" i="4" s="1"/>
  <c r="BO251" i="4"/>
  <c r="CA251" i="4" s="1"/>
  <c r="CM251" i="4" s="1"/>
  <c r="BP251" i="4"/>
  <c r="BQ251" i="4"/>
  <c r="BR251" i="4"/>
  <c r="CD251" i="4" s="1"/>
  <c r="CP251" i="4" s="1"/>
  <c r="BS251" i="4"/>
  <c r="CE251" i="4" s="1"/>
  <c r="CQ251" i="4" s="1"/>
  <c r="BT251" i="4"/>
  <c r="CF251" i="4" s="1"/>
  <c r="BU251" i="4"/>
  <c r="CG251" i="4" s="1"/>
  <c r="CS251" i="4" s="1"/>
  <c r="BV251" i="4"/>
  <c r="BW251" i="4"/>
  <c r="CI251" i="4" s="1"/>
  <c r="CU251" i="4" s="1"/>
  <c r="BX251" i="4"/>
  <c r="CJ251" i="4" s="1"/>
  <c r="CV251" i="4" s="1"/>
  <c r="BY251" i="4"/>
  <c r="CK251" i="4" s="1"/>
  <c r="CW251" i="4" s="1"/>
  <c r="CB251" i="4"/>
  <c r="CN251" i="4" s="1"/>
  <c r="DP251" i="4" s="1"/>
  <c r="CC251" i="4"/>
  <c r="CO251" i="4" s="1"/>
  <c r="DQ251" i="4" s="1"/>
  <c r="CH251" i="4"/>
  <c r="CT251" i="4" s="1"/>
  <c r="CR251" i="4"/>
  <c r="CZ251" i="4"/>
  <c r="DA251" i="4"/>
  <c r="DB251" i="4"/>
  <c r="DC251" i="4"/>
  <c r="DD251" i="4"/>
  <c r="DE251" i="4"/>
  <c r="DF251" i="4"/>
  <c r="DG251" i="4"/>
  <c r="DH251" i="4"/>
  <c r="DI251" i="4"/>
  <c r="DJ251" i="4"/>
  <c r="DK251" i="4"/>
  <c r="DU251" i="4"/>
  <c r="BN252" i="4"/>
  <c r="BO252" i="4"/>
  <c r="CA252" i="4" s="1"/>
  <c r="CM252" i="4" s="1"/>
  <c r="BP252" i="4"/>
  <c r="CB252" i="4" s="1"/>
  <c r="CN252" i="4" s="1"/>
  <c r="DP252" i="4" s="1"/>
  <c r="BQ252" i="4"/>
  <c r="CC252" i="4" s="1"/>
  <c r="CO252" i="4" s="1"/>
  <c r="BR252" i="4"/>
  <c r="CD252" i="4" s="1"/>
  <c r="BS252" i="4"/>
  <c r="CE252" i="4" s="1"/>
  <c r="CQ252" i="4" s="1"/>
  <c r="DS252" i="4" s="1"/>
  <c r="BT252" i="4"/>
  <c r="CF252" i="4" s="1"/>
  <c r="CR252" i="4" s="1"/>
  <c r="BU252" i="4"/>
  <c r="CG252" i="4" s="1"/>
  <c r="CS252" i="4" s="1"/>
  <c r="BV252" i="4"/>
  <c r="BW252" i="4"/>
  <c r="CI252" i="4" s="1"/>
  <c r="CU252" i="4" s="1"/>
  <c r="BX252" i="4"/>
  <c r="CJ252" i="4" s="1"/>
  <c r="CV252" i="4" s="1"/>
  <c r="DX252" i="4" s="1"/>
  <c r="BY252" i="4"/>
  <c r="CK252" i="4" s="1"/>
  <c r="CW252" i="4" s="1"/>
  <c r="BZ252" i="4"/>
  <c r="CL252" i="4" s="1"/>
  <c r="CH252" i="4"/>
  <c r="CP252" i="4"/>
  <c r="CT252" i="4"/>
  <c r="CZ252" i="4"/>
  <c r="DN252" i="4" s="1"/>
  <c r="DA252" i="4"/>
  <c r="DB252" i="4"/>
  <c r="DC252" i="4"/>
  <c r="DD252" i="4"/>
  <c r="DR252" i="4" s="1"/>
  <c r="DE252" i="4"/>
  <c r="DF252" i="4"/>
  <c r="DG252" i="4"/>
  <c r="DH252" i="4"/>
  <c r="DI252" i="4"/>
  <c r="DJ252" i="4"/>
  <c r="DK252" i="4"/>
  <c r="DL252" i="4"/>
  <c r="DV252" i="4"/>
  <c r="BN253" i="4"/>
  <c r="BZ253" i="4" s="1"/>
  <c r="CL253" i="4" s="1"/>
  <c r="BO253" i="4"/>
  <c r="BP253" i="4"/>
  <c r="CB253" i="4" s="1"/>
  <c r="CN253" i="4" s="1"/>
  <c r="BQ253" i="4"/>
  <c r="BR253" i="4"/>
  <c r="CD253" i="4" s="1"/>
  <c r="BS253" i="4"/>
  <c r="CE253" i="4" s="1"/>
  <c r="CQ253" i="4" s="1"/>
  <c r="BT253" i="4"/>
  <c r="BU253" i="4"/>
  <c r="BV253" i="4"/>
  <c r="CH253" i="4" s="1"/>
  <c r="CT253" i="4" s="1"/>
  <c r="BW253" i="4"/>
  <c r="BX253" i="4"/>
  <c r="BY253" i="4"/>
  <c r="CA253" i="4"/>
  <c r="CM253" i="4" s="1"/>
  <c r="CC253" i="4"/>
  <c r="CF253" i="4"/>
  <c r="CR253" i="4" s="1"/>
  <c r="CG253" i="4"/>
  <c r="CS253" i="4" s="1"/>
  <c r="CI253" i="4"/>
  <c r="CU253" i="4" s="1"/>
  <c r="CJ253" i="4"/>
  <c r="CV253" i="4" s="1"/>
  <c r="CK253" i="4"/>
  <c r="CO253" i="4"/>
  <c r="DQ253" i="4" s="1"/>
  <c r="CP253" i="4"/>
  <c r="DR253" i="4" s="1"/>
  <c r="CW253" i="4"/>
  <c r="DY253" i="4" s="1"/>
  <c r="CZ253" i="4"/>
  <c r="DA253" i="4"/>
  <c r="DB253" i="4"/>
  <c r="DC253" i="4"/>
  <c r="DD253" i="4"/>
  <c r="DE253" i="4"/>
  <c r="DF253" i="4"/>
  <c r="DG253" i="4"/>
  <c r="DH253" i="4"/>
  <c r="DI253" i="4"/>
  <c r="DJ253" i="4"/>
  <c r="DK253" i="4"/>
  <c r="DX253" i="4"/>
  <c r="BN254" i="4"/>
  <c r="BO254" i="4"/>
  <c r="CA254" i="4" s="1"/>
  <c r="CM254" i="4" s="1"/>
  <c r="DO254" i="4" s="1"/>
  <c r="BP254" i="4"/>
  <c r="CB254" i="4" s="1"/>
  <c r="CN254" i="4" s="1"/>
  <c r="BQ254" i="4"/>
  <c r="CC254" i="4" s="1"/>
  <c r="CO254" i="4" s="1"/>
  <c r="BR254" i="4"/>
  <c r="BS254" i="4"/>
  <c r="BT254" i="4"/>
  <c r="BU254" i="4"/>
  <c r="CG254" i="4" s="1"/>
  <c r="CS254" i="4" s="1"/>
  <c r="DU254" i="4" s="1"/>
  <c r="BV254" i="4"/>
  <c r="CH254" i="4" s="1"/>
  <c r="BW254" i="4"/>
  <c r="CI254" i="4" s="1"/>
  <c r="CU254" i="4" s="1"/>
  <c r="DW254" i="4" s="1"/>
  <c r="BX254" i="4"/>
  <c r="BY254" i="4"/>
  <c r="CK254" i="4" s="1"/>
  <c r="CW254" i="4" s="1"/>
  <c r="BZ254" i="4"/>
  <c r="CL254" i="4" s="1"/>
  <c r="CD254" i="4"/>
  <c r="CP254" i="4" s="1"/>
  <c r="CE254" i="4"/>
  <c r="CQ254" i="4" s="1"/>
  <c r="CF254" i="4"/>
  <c r="CR254" i="4" s="1"/>
  <c r="CJ254" i="4"/>
  <c r="CV254" i="4" s="1"/>
  <c r="CT254" i="4"/>
  <c r="CZ254" i="4"/>
  <c r="DA254" i="4"/>
  <c r="DB254" i="4"/>
  <c r="DC254" i="4"/>
  <c r="DD254" i="4"/>
  <c r="DE254" i="4"/>
  <c r="DF254" i="4"/>
  <c r="DG254" i="4"/>
  <c r="DH254" i="4"/>
  <c r="DI254" i="4"/>
  <c r="DJ254" i="4"/>
  <c r="DK254" i="4"/>
  <c r="BN255" i="4"/>
  <c r="BZ255" i="4" s="1"/>
  <c r="CL255" i="4" s="1"/>
  <c r="BO255" i="4"/>
  <c r="CA255" i="4" s="1"/>
  <c r="BP255" i="4"/>
  <c r="CB255" i="4" s="1"/>
  <c r="CN255" i="4" s="1"/>
  <c r="BQ255" i="4"/>
  <c r="CC255" i="4" s="1"/>
  <c r="CO255" i="4" s="1"/>
  <c r="BR255" i="4"/>
  <c r="BS255" i="4"/>
  <c r="BT255" i="4"/>
  <c r="CF255" i="4" s="1"/>
  <c r="CR255" i="4" s="1"/>
  <c r="BU255" i="4"/>
  <c r="CG255" i="4" s="1"/>
  <c r="CS255" i="4" s="1"/>
  <c r="DU255" i="4" s="1"/>
  <c r="BV255" i="4"/>
  <c r="BW255" i="4"/>
  <c r="CI255" i="4" s="1"/>
  <c r="BX255" i="4"/>
  <c r="CJ255" i="4" s="1"/>
  <c r="CV255" i="4" s="1"/>
  <c r="DX255" i="4" s="1"/>
  <c r="BY255" i="4"/>
  <c r="CK255" i="4" s="1"/>
  <c r="CD255" i="4"/>
  <c r="CP255" i="4" s="1"/>
  <c r="DR255" i="4" s="1"/>
  <c r="CE255" i="4"/>
  <c r="CQ255" i="4" s="1"/>
  <c r="CH255" i="4"/>
  <c r="CT255" i="4" s="1"/>
  <c r="CM255" i="4"/>
  <c r="CU255" i="4"/>
  <c r="CW255" i="4"/>
  <c r="CZ255" i="4"/>
  <c r="DA255" i="4"/>
  <c r="DB255" i="4"/>
  <c r="DC255" i="4"/>
  <c r="DD255" i="4"/>
  <c r="DE255" i="4"/>
  <c r="DF255" i="4"/>
  <c r="DG255" i="4"/>
  <c r="DH255" i="4"/>
  <c r="DI255" i="4"/>
  <c r="DW255" i="4" s="1"/>
  <c r="DJ255" i="4"/>
  <c r="DK255" i="4"/>
  <c r="BN256" i="4"/>
  <c r="BO256" i="4"/>
  <c r="CA256" i="4" s="1"/>
  <c r="CM256" i="4" s="1"/>
  <c r="BP256" i="4"/>
  <c r="CB256" i="4" s="1"/>
  <c r="CN256" i="4" s="1"/>
  <c r="BQ256" i="4"/>
  <c r="CC256" i="4" s="1"/>
  <c r="CO256" i="4" s="1"/>
  <c r="BR256" i="4"/>
  <c r="CD256" i="4" s="1"/>
  <c r="CP256" i="4" s="1"/>
  <c r="DR256" i="4" s="1"/>
  <c r="BS256" i="4"/>
  <c r="BT256" i="4"/>
  <c r="CF256" i="4" s="1"/>
  <c r="CR256" i="4" s="1"/>
  <c r="BU256" i="4"/>
  <c r="CG256" i="4" s="1"/>
  <c r="CS256" i="4" s="1"/>
  <c r="BV256" i="4"/>
  <c r="CH256" i="4" s="1"/>
  <c r="CT256" i="4" s="1"/>
  <c r="DV256" i="4" s="1"/>
  <c r="BW256" i="4"/>
  <c r="BX256" i="4"/>
  <c r="CJ256" i="4" s="1"/>
  <c r="CV256" i="4" s="1"/>
  <c r="BY256" i="4"/>
  <c r="CK256" i="4" s="1"/>
  <c r="CW256" i="4" s="1"/>
  <c r="BZ256" i="4"/>
  <c r="CL256" i="4" s="1"/>
  <c r="DN256" i="4" s="1"/>
  <c r="CE256" i="4"/>
  <c r="CI256" i="4"/>
  <c r="CU256" i="4" s="1"/>
  <c r="CQ256" i="4"/>
  <c r="CZ256" i="4"/>
  <c r="DA256" i="4"/>
  <c r="DO256" i="4" s="1"/>
  <c r="DB256" i="4"/>
  <c r="DC256" i="4"/>
  <c r="DD256" i="4"/>
  <c r="DE256" i="4"/>
  <c r="DF256" i="4"/>
  <c r="DG256" i="4"/>
  <c r="DH256" i="4"/>
  <c r="DI256" i="4"/>
  <c r="DW256" i="4" s="1"/>
  <c r="DJ256" i="4"/>
  <c r="DX256" i="4" s="1"/>
  <c r="DK256" i="4"/>
  <c r="DY256" i="4" s="1"/>
  <c r="BN257" i="4"/>
  <c r="BZ257" i="4" s="1"/>
  <c r="CL257" i="4" s="1"/>
  <c r="BO257" i="4"/>
  <c r="BP257" i="4"/>
  <c r="CB257" i="4" s="1"/>
  <c r="CN257" i="4" s="1"/>
  <c r="BQ257" i="4"/>
  <c r="CC257" i="4" s="1"/>
  <c r="CO257" i="4" s="1"/>
  <c r="BR257" i="4"/>
  <c r="CD257" i="4" s="1"/>
  <c r="CP257" i="4" s="1"/>
  <c r="BS257" i="4"/>
  <c r="CE257" i="4" s="1"/>
  <c r="BT257" i="4"/>
  <c r="CF257" i="4" s="1"/>
  <c r="CR257" i="4" s="1"/>
  <c r="BU257" i="4"/>
  <c r="BV257" i="4"/>
  <c r="CH257" i="4" s="1"/>
  <c r="CT257" i="4" s="1"/>
  <c r="BW257" i="4"/>
  <c r="CI257" i="4" s="1"/>
  <c r="CU257" i="4" s="1"/>
  <c r="BX257" i="4"/>
  <c r="BY257" i="4"/>
  <c r="CK257" i="4" s="1"/>
  <c r="CW257" i="4" s="1"/>
  <c r="CA257" i="4"/>
  <c r="CM257" i="4" s="1"/>
  <c r="CG257" i="4"/>
  <c r="CS257" i="4" s="1"/>
  <c r="CJ257" i="4"/>
  <c r="CV257" i="4" s="1"/>
  <c r="DX257" i="4" s="1"/>
  <c r="CQ257" i="4"/>
  <c r="CZ257" i="4"/>
  <c r="DA257" i="4"/>
  <c r="DO257" i="4" s="1"/>
  <c r="DB257" i="4"/>
  <c r="DC257" i="4"/>
  <c r="DD257" i="4"/>
  <c r="DE257" i="4"/>
  <c r="DF257" i="4"/>
  <c r="DL257" i="4" s="1"/>
  <c r="DG257" i="4"/>
  <c r="DH257" i="4"/>
  <c r="DI257" i="4"/>
  <c r="DJ257" i="4"/>
  <c r="DK257" i="4"/>
  <c r="DP257" i="4"/>
  <c r="BN258" i="4"/>
  <c r="BZ258" i="4" s="1"/>
  <c r="BO258" i="4"/>
  <c r="CA258" i="4" s="1"/>
  <c r="BP258" i="4"/>
  <c r="BQ258" i="4"/>
  <c r="CC258" i="4" s="1"/>
  <c r="CO258" i="4" s="1"/>
  <c r="BR258" i="4"/>
  <c r="CD258" i="4" s="1"/>
  <c r="CP258" i="4" s="1"/>
  <c r="BS258" i="4"/>
  <c r="BT258" i="4"/>
  <c r="CF258" i="4" s="1"/>
  <c r="CR258" i="4" s="1"/>
  <c r="BU258" i="4"/>
  <c r="CG258" i="4" s="1"/>
  <c r="CS258" i="4" s="1"/>
  <c r="DU258" i="4" s="1"/>
  <c r="BV258" i="4"/>
  <c r="CH258" i="4" s="1"/>
  <c r="CT258" i="4" s="1"/>
  <c r="DV258" i="4" s="1"/>
  <c r="BW258" i="4"/>
  <c r="CI258" i="4" s="1"/>
  <c r="BX258" i="4"/>
  <c r="BY258" i="4"/>
  <c r="CK258" i="4" s="1"/>
  <c r="CW258" i="4" s="1"/>
  <c r="CB258" i="4"/>
  <c r="CN258" i="4" s="1"/>
  <c r="CE258" i="4"/>
  <c r="CQ258" i="4" s="1"/>
  <c r="CJ258" i="4"/>
  <c r="CV258" i="4" s="1"/>
  <c r="CL258" i="4"/>
  <c r="DN258" i="4" s="1"/>
  <c r="CM258" i="4"/>
  <c r="CU258" i="4"/>
  <c r="CZ258" i="4"/>
  <c r="DA258" i="4"/>
  <c r="DO258" i="4" s="1"/>
  <c r="DB258" i="4"/>
  <c r="DC258" i="4"/>
  <c r="DD258" i="4"/>
  <c r="DE258" i="4"/>
  <c r="DF258" i="4"/>
  <c r="DG258" i="4"/>
  <c r="DH258" i="4"/>
  <c r="DI258" i="4"/>
  <c r="DJ258" i="4"/>
  <c r="DK258" i="4"/>
  <c r="BN259" i="4"/>
  <c r="BZ259" i="4" s="1"/>
  <c r="CL259" i="4" s="1"/>
  <c r="BO259" i="4"/>
  <c r="CA259" i="4" s="1"/>
  <c r="BP259" i="4"/>
  <c r="CB259" i="4" s="1"/>
  <c r="CN259" i="4" s="1"/>
  <c r="DP259" i="4" s="1"/>
  <c r="BQ259" i="4"/>
  <c r="BR259" i="4"/>
  <c r="CD259" i="4" s="1"/>
  <c r="CP259" i="4" s="1"/>
  <c r="BS259" i="4"/>
  <c r="BT259" i="4"/>
  <c r="BU259" i="4"/>
  <c r="CG259" i="4" s="1"/>
  <c r="BV259" i="4"/>
  <c r="CH259" i="4" s="1"/>
  <c r="CT259" i="4" s="1"/>
  <c r="BW259" i="4"/>
  <c r="CI259" i="4" s="1"/>
  <c r="BX259" i="4"/>
  <c r="BY259" i="4"/>
  <c r="CC259" i="4"/>
  <c r="CO259" i="4" s="1"/>
  <c r="CE259" i="4"/>
  <c r="CQ259" i="4" s="1"/>
  <c r="CF259" i="4"/>
  <c r="CR259" i="4" s="1"/>
  <c r="DT259" i="4" s="1"/>
  <c r="CJ259" i="4"/>
  <c r="CK259" i="4"/>
  <c r="CW259" i="4" s="1"/>
  <c r="CM259" i="4"/>
  <c r="CS259" i="4"/>
  <c r="CU259" i="4"/>
  <c r="CV259" i="4"/>
  <c r="DX259" i="4" s="1"/>
  <c r="CZ259" i="4"/>
  <c r="DL259" i="4" s="1"/>
  <c r="DA259" i="4"/>
  <c r="DB259" i="4"/>
  <c r="DC259" i="4"/>
  <c r="DD259" i="4"/>
  <c r="DE259" i="4"/>
  <c r="DS259" i="4" s="1"/>
  <c r="DF259" i="4"/>
  <c r="DG259" i="4"/>
  <c r="DH259" i="4"/>
  <c r="DI259" i="4"/>
  <c r="DJ259" i="4"/>
  <c r="DK259" i="4"/>
  <c r="BN260" i="4"/>
  <c r="BZ260" i="4" s="1"/>
  <c r="CL260" i="4" s="1"/>
  <c r="DN260" i="4" s="1"/>
  <c r="BO260" i="4"/>
  <c r="CA260" i="4" s="1"/>
  <c r="CM260" i="4" s="1"/>
  <c r="DO260" i="4" s="1"/>
  <c r="BP260" i="4"/>
  <c r="CB260" i="4" s="1"/>
  <c r="CN260" i="4" s="1"/>
  <c r="BQ260" i="4"/>
  <c r="BR260" i="4"/>
  <c r="BS260" i="4"/>
  <c r="CE260" i="4" s="1"/>
  <c r="CQ260" i="4" s="1"/>
  <c r="BT260" i="4"/>
  <c r="BU260" i="4"/>
  <c r="CG260" i="4" s="1"/>
  <c r="BV260" i="4"/>
  <c r="BW260" i="4"/>
  <c r="BX260" i="4"/>
  <c r="CJ260" i="4" s="1"/>
  <c r="CV260" i="4" s="1"/>
  <c r="BY260" i="4"/>
  <c r="CK260" i="4" s="1"/>
  <c r="CW260" i="4" s="1"/>
  <c r="CC260" i="4"/>
  <c r="CO260" i="4" s="1"/>
  <c r="DQ260" i="4" s="1"/>
  <c r="CD260" i="4"/>
  <c r="CP260" i="4" s="1"/>
  <c r="DR260" i="4" s="1"/>
  <c r="CF260" i="4"/>
  <c r="CR260" i="4" s="1"/>
  <c r="CH260" i="4"/>
  <c r="CT260" i="4" s="1"/>
  <c r="DV260" i="4" s="1"/>
  <c r="CI260" i="4"/>
  <c r="CU260" i="4" s="1"/>
  <c r="CS260" i="4"/>
  <c r="CZ260" i="4"/>
  <c r="DA260" i="4"/>
  <c r="DB260" i="4"/>
  <c r="DC260" i="4"/>
  <c r="DD260" i="4"/>
  <c r="DE260" i="4"/>
  <c r="DF260" i="4"/>
  <c r="DG260" i="4"/>
  <c r="DU260" i="4" s="1"/>
  <c r="DH260" i="4"/>
  <c r="DI260" i="4"/>
  <c r="DJ260" i="4"/>
  <c r="DX260" i="4" s="1"/>
  <c r="DK260" i="4"/>
  <c r="DY260" i="4" s="1"/>
  <c r="BN261" i="4"/>
  <c r="BZ261" i="4" s="1"/>
  <c r="CL261" i="4" s="1"/>
  <c r="BO261" i="4"/>
  <c r="BP261" i="4"/>
  <c r="CB261" i="4" s="1"/>
  <c r="CN261" i="4" s="1"/>
  <c r="DP261" i="4" s="1"/>
  <c r="BQ261" i="4"/>
  <c r="CC261" i="4" s="1"/>
  <c r="BR261" i="4"/>
  <c r="CD261" i="4" s="1"/>
  <c r="CP261" i="4" s="1"/>
  <c r="BS261" i="4"/>
  <c r="CE261" i="4" s="1"/>
  <c r="BT261" i="4"/>
  <c r="BU261" i="4"/>
  <c r="BV261" i="4"/>
  <c r="CH261" i="4" s="1"/>
  <c r="CT261" i="4" s="1"/>
  <c r="BW261" i="4"/>
  <c r="BX261" i="4"/>
  <c r="CJ261" i="4" s="1"/>
  <c r="BY261" i="4"/>
  <c r="CK261" i="4" s="1"/>
  <c r="CW261" i="4" s="1"/>
  <c r="CA261" i="4"/>
  <c r="CM261" i="4" s="1"/>
  <c r="DO261" i="4" s="1"/>
  <c r="CF261" i="4"/>
  <c r="CR261" i="4" s="1"/>
  <c r="CG261" i="4"/>
  <c r="CS261" i="4" s="1"/>
  <c r="CI261" i="4"/>
  <c r="CU261" i="4" s="1"/>
  <c r="CO261" i="4"/>
  <c r="CQ261" i="4"/>
  <c r="CV261" i="4"/>
  <c r="DX261" i="4" s="1"/>
  <c r="CZ261" i="4"/>
  <c r="DA261" i="4"/>
  <c r="DB261" i="4"/>
  <c r="DC261" i="4"/>
  <c r="DD261" i="4"/>
  <c r="DE261" i="4"/>
  <c r="DF261" i="4"/>
  <c r="DG261" i="4"/>
  <c r="DU261" i="4" s="1"/>
  <c r="DH261" i="4"/>
  <c r="DI261" i="4"/>
  <c r="DJ261" i="4"/>
  <c r="DK261" i="4"/>
  <c r="DW261" i="4"/>
  <c r="BN262" i="4"/>
  <c r="BZ262" i="4" s="1"/>
  <c r="CL262" i="4" s="1"/>
  <c r="DN262" i="4" s="1"/>
  <c r="BO262" i="4"/>
  <c r="CA262" i="4" s="1"/>
  <c r="CM262" i="4" s="1"/>
  <c r="BP262" i="4"/>
  <c r="BQ262" i="4"/>
  <c r="CC262" i="4" s="1"/>
  <c r="CO262" i="4" s="1"/>
  <c r="BR262" i="4"/>
  <c r="CD262" i="4" s="1"/>
  <c r="CP262" i="4" s="1"/>
  <c r="DR262" i="4" s="1"/>
  <c r="BS262" i="4"/>
  <c r="BT262" i="4"/>
  <c r="CF262" i="4" s="1"/>
  <c r="CR262" i="4" s="1"/>
  <c r="BU262" i="4"/>
  <c r="BV262" i="4"/>
  <c r="CH262" i="4" s="1"/>
  <c r="CT262" i="4" s="1"/>
  <c r="DV262" i="4" s="1"/>
  <c r="BW262" i="4"/>
  <c r="CI262" i="4" s="1"/>
  <c r="BX262" i="4"/>
  <c r="CJ262" i="4" s="1"/>
  <c r="CV262" i="4" s="1"/>
  <c r="BY262" i="4"/>
  <c r="CK262" i="4" s="1"/>
  <c r="CB262" i="4"/>
  <c r="CN262" i="4" s="1"/>
  <c r="CE262" i="4"/>
  <c r="CQ262" i="4" s="1"/>
  <c r="CG262" i="4"/>
  <c r="CS262" i="4" s="1"/>
  <c r="DU262" i="4" s="1"/>
  <c r="CU262" i="4"/>
  <c r="CW262" i="4"/>
  <c r="CZ262" i="4"/>
  <c r="DA262" i="4"/>
  <c r="DB262" i="4"/>
  <c r="DP262" i="4" s="1"/>
  <c r="DC262" i="4"/>
  <c r="DD262" i="4"/>
  <c r="DE262" i="4"/>
  <c r="DF262" i="4"/>
  <c r="DG262" i="4"/>
  <c r="DH262" i="4"/>
  <c r="DI262" i="4"/>
  <c r="DJ262" i="4"/>
  <c r="DX262" i="4" s="1"/>
  <c r="DK262" i="4"/>
  <c r="BN263" i="4"/>
  <c r="BO263" i="4"/>
  <c r="CA263" i="4" s="1"/>
  <c r="CM263" i="4" s="1"/>
  <c r="BP263" i="4"/>
  <c r="CB263" i="4" s="1"/>
  <c r="CN263" i="4" s="1"/>
  <c r="BQ263" i="4"/>
  <c r="CC263" i="4" s="1"/>
  <c r="CO263" i="4" s="1"/>
  <c r="BR263" i="4"/>
  <c r="CD263" i="4" s="1"/>
  <c r="CP263" i="4" s="1"/>
  <c r="BS263" i="4"/>
  <c r="BT263" i="4"/>
  <c r="CF263" i="4" s="1"/>
  <c r="BU263" i="4"/>
  <c r="CG263" i="4" s="1"/>
  <c r="CS263" i="4" s="1"/>
  <c r="BV263" i="4"/>
  <c r="CH263" i="4" s="1"/>
  <c r="CT263" i="4" s="1"/>
  <c r="BW263" i="4"/>
  <c r="CI263" i="4" s="1"/>
  <c r="CU263" i="4" s="1"/>
  <c r="BX263" i="4"/>
  <c r="CJ263" i="4" s="1"/>
  <c r="BY263" i="4"/>
  <c r="CK263" i="4" s="1"/>
  <c r="CW263" i="4" s="1"/>
  <c r="BZ263" i="4"/>
  <c r="CL263" i="4" s="1"/>
  <c r="CE263" i="4"/>
  <c r="CQ263" i="4" s="1"/>
  <c r="DS263" i="4" s="1"/>
  <c r="CR263" i="4"/>
  <c r="CV263" i="4"/>
  <c r="CZ263" i="4"/>
  <c r="DA263" i="4"/>
  <c r="DB263" i="4"/>
  <c r="DP263" i="4" s="1"/>
  <c r="DC263" i="4"/>
  <c r="DD263" i="4"/>
  <c r="DE263" i="4"/>
  <c r="DF263" i="4"/>
  <c r="DG263" i="4"/>
  <c r="DU263" i="4" s="1"/>
  <c r="DH263" i="4"/>
  <c r="DI263" i="4"/>
  <c r="DJ263" i="4"/>
  <c r="DK263" i="4"/>
  <c r="DY263" i="4" s="1"/>
  <c r="DT263" i="4"/>
  <c r="BN264" i="4"/>
  <c r="BO264" i="4"/>
  <c r="BP264" i="4"/>
  <c r="CB264" i="4" s="1"/>
  <c r="CN264" i="4" s="1"/>
  <c r="BQ264" i="4"/>
  <c r="CC264" i="4" s="1"/>
  <c r="CO264" i="4" s="1"/>
  <c r="DQ264" i="4" s="1"/>
  <c r="BR264" i="4"/>
  <c r="CD264" i="4" s="1"/>
  <c r="CP264" i="4" s="1"/>
  <c r="DR264" i="4" s="1"/>
  <c r="BS264" i="4"/>
  <c r="CE264" i="4" s="1"/>
  <c r="CQ264" i="4" s="1"/>
  <c r="BT264" i="4"/>
  <c r="BU264" i="4"/>
  <c r="CG264" i="4" s="1"/>
  <c r="BV264" i="4"/>
  <c r="BW264" i="4"/>
  <c r="CI264" i="4" s="1"/>
  <c r="CU264" i="4" s="1"/>
  <c r="BX264" i="4"/>
  <c r="CJ264" i="4" s="1"/>
  <c r="CV264" i="4" s="1"/>
  <c r="BY264" i="4"/>
  <c r="CK264" i="4" s="1"/>
  <c r="CW264" i="4" s="1"/>
  <c r="DY264" i="4" s="1"/>
  <c r="BZ264" i="4"/>
  <c r="CL264" i="4" s="1"/>
  <c r="CA264" i="4"/>
  <c r="CM264" i="4" s="1"/>
  <c r="CF264" i="4"/>
  <c r="CR264" i="4" s="1"/>
  <c r="CH264" i="4"/>
  <c r="CS264" i="4"/>
  <c r="CT264" i="4"/>
  <c r="CZ264" i="4"/>
  <c r="DA264" i="4"/>
  <c r="DB264" i="4"/>
  <c r="DC264" i="4"/>
  <c r="DD264" i="4"/>
  <c r="DE264" i="4"/>
  <c r="DF264" i="4"/>
  <c r="DT264" i="4" s="1"/>
  <c r="DG264" i="4"/>
  <c r="DH264" i="4"/>
  <c r="DI264" i="4"/>
  <c r="DJ264" i="4"/>
  <c r="DX264" i="4" s="1"/>
  <c r="DK264" i="4"/>
  <c r="BN265" i="4"/>
  <c r="BZ265" i="4" s="1"/>
  <c r="CL265" i="4" s="1"/>
  <c r="BO265" i="4"/>
  <c r="CA265" i="4" s="1"/>
  <c r="CM265" i="4" s="1"/>
  <c r="DO265" i="4" s="1"/>
  <c r="BP265" i="4"/>
  <c r="CB265" i="4" s="1"/>
  <c r="CN265" i="4" s="1"/>
  <c r="DP265" i="4" s="1"/>
  <c r="BQ265" i="4"/>
  <c r="CC265" i="4" s="1"/>
  <c r="CO265" i="4" s="1"/>
  <c r="BR265" i="4"/>
  <c r="BS265" i="4"/>
  <c r="CE265" i="4" s="1"/>
  <c r="CQ265" i="4" s="1"/>
  <c r="BT265" i="4"/>
  <c r="CF265" i="4" s="1"/>
  <c r="CR265" i="4" s="1"/>
  <c r="BU265" i="4"/>
  <c r="BV265" i="4"/>
  <c r="CH265" i="4" s="1"/>
  <c r="CT265" i="4" s="1"/>
  <c r="BW265" i="4"/>
  <c r="CI265" i="4" s="1"/>
  <c r="CU265" i="4" s="1"/>
  <c r="DW265" i="4" s="1"/>
  <c r="BX265" i="4"/>
  <c r="BY265" i="4"/>
  <c r="CK265" i="4" s="1"/>
  <c r="CW265" i="4" s="1"/>
  <c r="CD265" i="4"/>
  <c r="CP265" i="4" s="1"/>
  <c r="CG265" i="4"/>
  <c r="CS265" i="4" s="1"/>
  <c r="CJ265" i="4"/>
  <c r="CV265" i="4" s="1"/>
  <c r="DX265" i="4" s="1"/>
  <c r="CZ265" i="4"/>
  <c r="DA265" i="4"/>
  <c r="DB265" i="4"/>
  <c r="DC265" i="4"/>
  <c r="DD265" i="4"/>
  <c r="DE265" i="4"/>
  <c r="DF265" i="4"/>
  <c r="DG265" i="4"/>
  <c r="DH265" i="4"/>
  <c r="DV265" i="4" s="1"/>
  <c r="DI265" i="4"/>
  <c r="DJ265" i="4"/>
  <c r="DK265" i="4"/>
  <c r="BN266" i="4"/>
  <c r="BO266" i="4"/>
  <c r="CA266" i="4" s="1"/>
  <c r="BP266" i="4"/>
  <c r="CB266" i="4" s="1"/>
  <c r="CN266" i="4" s="1"/>
  <c r="BQ266" i="4"/>
  <c r="CC266" i="4" s="1"/>
  <c r="CO266" i="4" s="1"/>
  <c r="BR266" i="4"/>
  <c r="CD266" i="4" s="1"/>
  <c r="CP266" i="4" s="1"/>
  <c r="DR266" i="4" s="1"/>
  <c r="BS266" i="4"/>
  <c r="CE266" i="4" s="1"/>
  <c r="CQ266" i="4" s="1"/>
  <c r="BT266" i="4"/>
  <c r="CF266" i="4" s="1"/>
  <c r="CR266" i="4" s="1"/>
  <c r="BU266" i="4"/>
  <c r="CG266" i="4" s="1"/>
  <c r="CS266" i="4" s="1"/>
  <c r="BV266" i="4"/>
  <c r="CH266" i="4" s="1"/>
  <c r="CT266" i="4" s="1"/>
  <c r="BW266" i="4"/>
  <c r="CI266" i="4" s="1"/>
  <c r="BX266" i="4"/>
  <c r="CJ266" i="4" s="1"/>
  <c r="CV266" i="4" s="1"/>
  <c r="BY266" i="4"/>
  <c r="CK266" i="4" s="1"/>
  <c r="CW266" i="4" s="1"/>
  <c r="BZ266" i="4"/>
  <c r="CL266" i="4"/>
  <c r="DN266" i="4" s="1"/>
  <c r="CM266" i="4"/>
  <c r="CU266" i="4"/>
  <c r="CZ266" i="4"/>
  <c r="DA266" i="4"/>
  <c r="DB266" i="4"/>
  <c r="DC266" i="4"/>
  <c r="DD266" i="4"/>
  <c r="DE266" i="4"/>
  <c r="DF266" i="4"/>
  <c r="DG266" i="4"/>
  <c r="DU266" i="4" s="1"/>
  <c r="DH266" i="4"/>
  <c r="DI266" i="4"/>
  <c r="DJ266" i="4"/>
  <c r="DK266" i="4"/>
  <c r="DY266" i="4" s="1"/>
  <c r="BN267" i="4"/>
  <c r="BZ267" i="4" s="1"/>
  <c r="CL267" i="4" s="1"/>
  <c r="BO267" i="4"/>
  <c r="CA267" i="4" s="1"/>
  <c r="CM267" i="4" s="1"/>
  <c r="BP267" i="4"/>
  <c r="CB267" i="4" s="1"/>
  <c r="CN267" i="4" s="1"/>
  <c r="DP267" i="4" s="1"/>
  <c r="BQ267" i="4"/>
  <c r="BR267" i="4"/>
  <c r="CD267" i="4" s="1"/>
  <c r="CP267" i="4" s="1"/>
  <c r="BS267" i="4"/>
  <c r="CE267" i="4" s="1"/>
  <c r="CQ267" i="4" s="1"/>
  <c r="DS267" i="4" s="1"/>
  <c r="BT267" i="4"/>
  <c r="BU267" i="4"/>
  <c r="CG267" i="4" s="1"/>
  <c r="BV267" i="4"/>
  <c r="BW267" i="4"/>
  <c r="CI267" i="4" s="1"/>
  <c r="CU267" i="4" s="1"/>
  <c r="BX267" i="4"/>
  <c r="CJ267" i="4" s="1"/>
  <c r="CV267" i="4" s="1"/>
  <c r="DX267" i="4" s="1"/>
  <c r="BY267" i="4"/>
  <c r="CC267" i="4"/>
  <c r="CO267" i="4" s="1"/>
  <c r="CF267" i="4"/>
  <c r="CR267" i="4" s="1"/>
  <c r="DT267" i="4" s="1"/>
  <c r="CH267" i="4"/>
  <c r="CT267" i="4" s="1"/>
  <c r="CK267" i="4"/>
  <c r="CW267" i="4" s="1"/>
  <c r="CS267" i="4"/>
  <c r="CZ267" i="4"/>
  <c r="DA267" i="4"/>
  <c r="DB267" i="4"/>
  <c r="DC267" i="4"/>
  <c r="DD267" i="4"/>
  <c r="DE267" i="4"/>
  <c r="DF267" i="4"/>
  <c r="DG267" i="4"/>
  <c r="DH267" i="4"/>
  <c r="DI267" i="4"/>
  <c r="DJ267" i="4"/>
  <c r="DK267" i="4"/>
  <c r="DY267" i="4" s="1"/>
  <c r="BN268" i="4"/>
  <c r="BO268" i="4"/>
  <c r="BP268" i="4"/>
  <c r="CB268" i="4" s="1"/>
  <c r="CN268" i="4" s="1"/>
  <c r="BQ268" i="4"/>
  <c r="CC268" i="4" s="1"/>
  <c r="CO268" i="4" s="1"/>
  <c r="DQ268" i="4" s="1"/>
  <c r="BR268" i="4"/>
  <c r="CD268" i="4" s="1"/>
  <c r="CP268" i="4" s="1"/>
  <c r="BS268" i="4"/>
  <c r="CE268" i="4" s="1"/>
  <c r="BT268" i="4"/>
  <c r="BU268" i="4"/>
  <c r="CG268" i="4" s="1"/>
  <c r="CS268" i="4" s="1"/>
  <c r="BV268" i="4"/>
  <c r="CH268" i="4" s="1"/>
  <c r="CT268" i="4" s="1"/>
  <c r="DV268" i="4" s="1"/>
  <c r="BW268" i="4"/>
  <c r="BX268" i="4"/>
  <c r="CJ268" i="4" s="1"/>
  <c r="CV268" i="4" s="1"/>
  <c r="BY268" i="4"/>
  <c r="CK268" i="4" s="1"/>
  <c r="CW268" i="4" s="1"/>
  <c r="DY268" i="4" s="1"/>
  <c r="BZ268" i="4"/>
  <c r="CL268" i="4" s="1"/>
  <c r="DN268" i="4" s="1"/>
  <c r="CA268" i="4"/>
  <c r="CM268" i="4" s="1"/>
  <c r="CF268" i="4"/>
  <c r="CR268" i="4" s="1"/>
  <c r="CI268" i="4"/>
  <c r="CU268" i="4" s="1"/>
  <c r="DW268" i="4" s="1"/>
  <c r="CQ268" i="4"/>
  <c r="CZ268" i="4"/>
  <c r="DA268" i="4"/>
  <c r="DO268" i="4" s="1"/>
  <c r="DB268" i="4"/>
  <c r="DC268" i="4"/>
  <c r="DD268" i="4"/>
  <c r="DR268" i="4" s="1"/>
  <c r="DE268" i="4"/>
  <c r="DF268" i="4"/>
  <c r="DG268" i="4"/>
  <c r="DH268" i="4"/>
  <c r="DI268" i="4"/>
  <c r="DJ268" i="4"/>
  <c r="DK268" i="4"/>
  <c r="BN269" i="4"/>
  <c r="BZ269" i="4" s="1"/>
  <c r="CL269" i="4" s="1"/>
  <c r="BO269" i="4"/>
  <c r="CA269" i="4" s="1"/>
  <c r="CM269" i="4" s="1"/>
  <c r="DO269" i="4" s="1"/>
  <c r="BP269" i="4"/>
  <c r="CB269" i="4" s="1"/>
  <c r="BQ269" i="4"/>
  <c r="CC269" i="4" s="1"/>
  <c r="CO269" i="4" s="1"/>
  <c r="BR269" i="4"/>
  <c r="BS269" i="4"/>
  <c r="CE269" i="4" s="1"/>
  <c r="CQ269" i="4" s="1"/>
  <c r="BT269" i="4"/>
  <c r="CF269" i="4" s="1"/>
  <c r="CR269" i="4" s="1"/>
  <c r="DT269" i="4" s="1"/>
  <c r="BU269" i="4"/>
  <c r="BV269" i="4"/>
  <c r="CH269" i="4" s="1"/>
  <c r="CT269" i="4" s="1"/>
  <c r="BW269" i="4"/>
  <c r="CI269" i="4" s="1"/>
  <c r="CU269" i="4" s="1"/>
  <c r="DW269" i="4" s="1"/>
  <c r="BX269" i="4"/>
  <c r="CJ269" i="4" s="1"/>
  <c r="CV269" i="4" s="1"/>
  <c r="BY269" i="4"/>
  <c r="CK269" i="4" s="1"/>
  <c r="CW269" i="4" s="1"/>
  <c r="CD269" i="4"/>
  <c r="CP269" i="4" s="1"/>
  <c r="CG269" i="4"/>
  <c r="CS269" i="4" s="1"/>
  <c r="DU269" i="4" s="1"/>
  <c r="CN269" i="4"/>
  <c r="CZ269" i="4"/>
  <c r="DA269" i="4"/>
  <c r="DB269" i="4"/>
  <c r="DC269" i="4"/>
  <c r="DD269" i="4"/>
  <c r="DR269" i="4" s="1"/>
  <c r="DE269" i="4"/>
  <c r="DF269" i="4"/>
  <c r="DG269" i="4"/>
  <c r="DH269" i="4"/>
  <c r="DV269" i="4" s="1"/>
  <c r="DI269" i="4"/>
  <c r="DJ269" i="4"/>
  <c r="DK269" i="4"/>
  <c r="DM269" i="4"/>
  <c r="BN270" i="4"/>
  <c r="BO270" i="4"/>
  <c r="CA270" i="4" s="1"/>
  <c r="CM270" i="4" s="1"/>
  <c r="BP270" i="4"/>
  <c r="BQ270" i="4"/>
  <c r="CC270" i="4" s="1"/>
  <c r="BR270" i="4"/>
  <c r="CD270" i="4" s="1"/>
  <c r="CP270" i="4" s="1"/>
  <c r="DR270" i="4" s="1"/>
  <c r="BS270" i="4"/>
  <c r="CE270" i="4" s="1"/>
  <c r="CQ270" i="4" s="1"/>
  <c r="DS270" i="4" s="1"/>
  <c r="BT270" i="4"/>
  <c r="CF270" i="4" s="1"/>
  <c r="CR270" i="4" s="1"/>
  <c r="BU270" i="4"/>
  <c r="BV270" i="4"/>
  <c r="BW270" i="4"/>
  <c r="CI270" i="4" s="1"/>
  <c r="CU270" i="4" s="1"/>
  <c r="BX270" i="4"/>
  <c r="BY270" i="4"/>
  <c r="CK270" i="4" s="1"/>
  <c r="CW270" i="4" s="1"/>
  <c r="BZ270" i="4"/>
  <c r="CL270" i="4" s="1"/>
  <c r="DN270" i="4" s="1"/>
  <c r="CB270" i="4"/>
  <c r="CN270" i="4" s="1"/>
  <c r="CG270" i="4"/>
  <c r="CS270" i="4" s="1"/>
  <c r="CH270" i="4"/>
  <c r="CT270" i="4" s="1"/>
  <c r="CJ270" i="4"/>
  <c r="CV270" i="4" s="1"/>
  <c r="CO270" i="4"/>
  <c r="CZ270" i="4"/>
  <c r="DA270" i="4"/>
  <c r="DB270" i="4"/>
  <c r="DC270" i="4"/>
  <c r="DD270" i="4"/>
  <c r="DE270" i="4"/>
  <c r="DF270" i="4"/>
  <c r="DT270" i="4" s="1"/>
  <c r="DG270" i="4"/>
  <c r="DH270" i="4"/>
  <c r="DI270" i="4"/>
  <c r="DJ270" i="4"/>
  <c r="DK270" i="4"/>
  <c r="BN271" i="4"/>
  <c r="BZ271" i="4" s="1"/>
  <c r="CL271" i="4" s="1"/>
  <c r="BO271" i="4"/>
  <c r="CA271" i="4" s="1"/>
  <c r="CM271" i="4" s="1"/>
  <c r="BP271" i="4"/>
  <c r="CB271" i="4" s="1"/>
  <c r="CN271" i="4" s="1"/>
  <c r="DP271" i="4" s="1"/>
  <c r="BQ271" i="4"/>
  <c r="BR271" i="4"/>
  <c r="CD271" i="4" s="1"/>
  <c r="CP271" i="4" s="1"/>
  <c r="BS271" i="4"/>
  <c r="BT271" i="4"/>
  <c r="CF271" i="4" s="1"/>
  <c r="BU271" i="4"/>
  <c r="CG271" i="4" s="1"/>
  <c r="BV271" i="4"/>
  <c r="CH271" i="4" s="1"/>
  <c r="CT271" i="4" s="1"/>
  <c r="BW271" i="4"/>
  <c r="CI271" i="4" s="1"/>
  <c r="CU271" i="4" s="1"/>
  <c r="BX271" i="4"/>
  <c r="CJ271" i="4" s="1"/>
  <c r="CV271" i="4" s="1"/>
  <c r="DX271" i="4" s="1"/>
  <c r="BY271" i="4"/>
  <c r="CC271" i="4"/>
  <c r="CO271" i="4" s="1"/>
  <c r="CE271" i="4"/>
  <c r="CQ271" i="4" s="1"/>
  <c r="DS271" i="4" s="1"/>
  <c r="CK271" i="4"/>
  <c r="CW271" i="4" s="1"/>
  <c r="CR271" i="4"/>
  <c r="CS271" i="4"/>
  <c r="CZ271" i="4"/>
  <c r="DL271" i="4" s="1"/>
  <c r="DA271" i="4"/>
  <c r="DB271" i="4"/>
  <c r="DC271" i="4"/>
  <c r="DQ271" i="4" s="1"/>
  <c r="DD271" i="4"/>
  <c r="DE271" i="4"/>
  <c r="DF271" i="4"/>
  <c r="DG271" i="4"/>
  <c r="DH271" i="4"/>
  <c r="DI271" i="4"/>
  <c r="DJ271" i="4"/>
  <c r="DK271" i="4"/>
  <c r="BN272" i="4"/>
  <c r="BZ272" i="4" s="1"/>
  <c r="CL272" i="4" s="1"/>
  <c r="DN272" i="4" s="1"/>
  <c r="BO272" i="4"/>
  <c r="CA272" i="4" s="1"/>
  <c r="CM272" i="4" s="1"/>
  <c r="BP272" i="4"/>
  <c r="CB272" i="4" s="1"/>
  <c r="CN272" i="4" s="1"/>
  <c r="BQ272" i="4"/>
  <c r="BR272" i="4"/>
  <c r="CD272" i="4" s="1"/>
  <c r="CP272" i="4" s="1"/>
  <c r="DR272" i="4" s="1"/>
  <c r="BS272" i="4"/>
  <c r="CE272" i="4" s="1"/>
  <c r="BT272" i="4"/>
  <c r="CF272" i="4" s="1"/>
  <c r="CR272" i="4" s="1"/>
  <c r="BU272" i="4"/>
  <c r="CG272" i="4" s="1"/>
  <c r="BV272" i="4"/>
  <c r="CH272" i="4" s="1"/>
  <c r="CT272" i="4" s="1"/>
  <c r="DV272" i="4" s="1"/>
  <c r="BW272" i="4"/>
  <c r="CI272" i="4" s="1"/>
  <c r="CU272" i="4" s="1"/>
  <c r="BX272" i="4"/>
  <c r="CJ272" i="4" s="1"/>
  <c r="BY272" i="4"/>
  <c r="CC272" i="4"/>
  <c r="CO272" i="4" s="1"/>
  <c r="CK272" i="4"/>
  <c r="CW272" i="4" s="1"/>
  <c r="CQ272" i="4"/>
  <c r="CS272" i="4"/>
  <c r="CV272" i="4"/>
  <c r="CZ272" i="4"/>
  <c r="DA272" i="4"/>
  <c r="DB272" i="4"/>
  <c r="DC272" i="4"/>
  <c r="DQ272" i="4" s="1"/>
  <c r="DD272" i="4"/>
  <c r="DE272" i="4"/>
  <c r="DF272" i="4"/>
  <c r="DG272" i="4"/>
  <c r="DH272" i="4"/>
  <c r="DI272" i="4"/>
  <c r="DW272" i="4" s="1"/>
  <c r="DJ272" i="4"/>
  <c r="DK272" i="4"/>
  <c r="DY272" i="4" s="1"/>
  <c r="BN273" i="4"/>
  <c r="BZ273" i="4" s="1"/>
  <c r="CL273" i="4" s="1"/>
  <c r="BO273" i="4"/>
  <c r="CA273" i="4" s="1"/>
  <c r="CM273" i="4" s="1"/>
  <c r="BP273" i="4"/>
  <c r="CB273" i="4" s="1"/>
  <c r="CN273" i="4" s="1"/>
  <c r="BQ273" i="4"/>
  <c r="CC273" i="4" s="1"/>
  <c r="CO273" i="4" s="1"/>
  <c r="BR273" i="4"/>
  <c r="BS273" i="4"/>
  <c r="CE273" i="4" s="1"/>
  <c r="CQ273" i="4" s="1"/>
  <c r="BT273" i="4"/>
  <c r="CF273" i="4" s="1"/>
  <c r="CR273" i="4" s="1"/>
  <c r="BU273" i="4"/>
  <c r="CG273" i="4" s="1"/>
  <c r="CS273" i="4" s="1"/>
  <c r="BV273" i="4"/>
  <c r="CH273" i="4" s="1"/>
  <c r="BW273" i="4"/>
  <c r="CI273" i="4" s="1"/>
  <c r="CU273" i="4" s="1"/>
  <c r="DW273" i="4" s="1"/>
  <c r="BX273" i="4"/>
  <c r="CJ273" i="4" s="1"/>
  <c r="CV273" i="4" s="1"/>
  <c r="BY273" i="4"/>
  <c r="CK273" i="4" s="1"/>
  <c r="CD273" i="4"/>
  <c r="CP273" i="4" s="1"/>
  <c r="CT273" i="4"/>
  <c r="CW273" i="4"/>
  <c r="CZ273" i="4"/>
  <c r="DA273" i="4"/>
  <c r="DB273" i="4"/>
  <c r="DC273" i="4"/>
  <c r="DD273" i="4"/>
  <c r="DR273" i="4" s="1"/>
  <c r="DE273" i="4"/>
  <c r="DF273" i="4"/>
  <c r="DT273" i="4" s="1"/>
  <c r="DG273" i="4"/>
  <c r="DU273" i="4" s="1"/>
  <c r="DH273" i="4"/>
  <c r="DI273" i="4"/>
  <c r="DJ273" i="4"/>
  <c r="DK273" i="4"/>
  <c r="DO273" i="4"/>
  <c r="BN274" i="4"/>
  <c r="BZ274" i="4" s="1"/>
  <c r="CL274" i="4" s="1"/>
  <c r="BO274" i="4"/>
  <c r="CA274" i="4" s="1"/>
  <c r="BP274" i="4"/>
  <c r="BQ274" i="4"/>
  <c r="CC274" i="4" s="1"/>
  <c r="CO274" i="4" s="1"/>
  <c r="BR274" i="4"/>
  <c r="CD274" i="4" s="1"/>
  <c r="CP274" i="4" s="1"/>
  <c r="DR274" i="4" s="1"/>
  <c r="BS274" i="4"/>
  <c r="BT274" i="4"/>
  <c r="CF274" i="4" s="1"/>
  <c r="CR274" i="4" s="1"/>
  <c r="BU274" i="4"/>
  <c r="CG274" i="4" s="1"/>
  <c r="CS274" i="4" s="1"/>
  <c r="DU274" i="4" s="1"/>
  <c r="BV274" i="4"/>
  <c r="CH274" i="4" s="1"/>
  <c r="CT274" i="4" s="1"/>
  <c r="BW274" i="4"/>
  <c r="CI274" i="4" s="1"/>
  <c r="BX274" i="4"/>
  <c r="BY274" i="4"/>
  <c r="CK274" i="4" s="1"/>
  <c r="CW274" i="4" s="1"/>
  <c r="CB274" i="4"/>
  <c r="CN274" i="4" s="1"/>
  <c r="CE274" i="4"/>
  <c r="CQ274" i="4" s="1"/>
  <c r="CJ274" i="4"/>
  <c r="CV274" i="4" s="1"/>
  <c r="CM274" i="4"/>
  <c r="CU274" i="4"/>
  <c r="CZ274" i="4"/>
  <c r="DA274" i="4"/>
  <c r="DB274" i="4"/>
  <c r="DP274" i="4" s="1"/>
  <c r="DC274" i="4"/>
  <c r="DD274" i="4"/>
  <c r="DE274" i="4"/>
  <c r="DF274" i="4"/>
  <c r="DG274" i="4"/>
  <c r="DH274" i="4"/>
  <c r="DI274" i="4"/>
  <c r="DW274" i="4" s="1"/>
  <c r="DJ274" i="4"/>
  <c r="DX274" i="4" s="1"/>
  <c r="DK274" i="4"/>
  <c r="BN275" i="4"/>
  <c r="BZ275" i="4" s="1"/>
  <c r="CL275" i="4" s="1"/>
  <c r="BO275" i="4"/>
  <c r="CA275" i="4" s="1"/>
  <c r="CM275" i="4" s="1"/>
  <c r="BP275" i="4"/>
  <c r="CB275" i="4" s="1"/>
  <c r="CN275" i="4" s="1"/>
  <c r="DP275" i="4" s="1"/>
  <c r="BQ275" i="4"/>
  <c r="CC275" i="4" s="1"/>
  <c r="CO275" i="4" s="1"/>
  <c r="BR275" i="4"/>
  <c r="CD275" i="4" s="1"/>
  <c r="CP275" i="4" s="1"/>
  <c r="BS275" i="4"/>
  <c r="BT275" i="4"/>
  <c r="BU275" i="4"/>
  <c r="CG275" i="4" s="1"/>
  <c r="BV275" i="4"/>
  <c r="CH275" i="4" s="1"/>
  <c r="CT275" i="4" s="1"/>
  <c r="BW275" i="4"/>
  <c r="CI275" i="4" s="1"/>
  <c r="CU275" i="4" s="1"/>
  <c r="BX275" i="4"/>
  <c r="CJ275" i="4" s="1"/>
  <c r="CV275" i="4" s="1"/>
  <c r="DX275" i="4" s="1"/>
  <c r="BY275" i="4"/>
  <c r="CE275" i="4"/>
  <c r="CQ275" i="4" s="1"/>
  <c r="CF275" i="4"/>
  <c r="CR275" i="4" s="1"/>
  <c r="CK275" i="4"/>
  <c r="CW275" i="4" s="1"/>
  <c r="CS275" i="4"/>
  <c r="CZ275" i="4"/>
  <c r="DL275" i="4" s="1"/>
  <c r="DA275" i="4"/>
  <c r="DB275" i="4"/>
  <c r="DC275" i="4"/>
  <c r="DD275" i="4"/>
  <c r="DE275" i="4"/>
  <c r="DF275" i="4"/>
  <c r="DT275" i="4" s="1"/>
  <c r="DG275" i="4"/>
  <c r="DH275" i="4"/>
  <c r="DI275" i="4"/>
  <c r="DJ275" i="4"/>
  <c r="DK275" i="4"/>
  <c r="DS275" i="4"/>
  <c r="DV275" i="4"/>
  <c r="BN276" i="4"/>
  <c r="BZ276" i="4" s="1"/>
  <c r="CL276" i="4" s="1"/>
  <c r="DN276" i="4" s="1"/>
  <c r="BO276" i="4"/>
  <c r="CA276" i="4" s="1"/>
  <c r="CM276" i="4" s="1"/>
  <c r="BP276" i="4"/>
  <c r="CB276" i="4" s="1"/>
  <c r="CN276" i="4" s="1"/>
  <c r="BQ276" i="4"/>
  <c r="BR276" i="4"/>
  <c r="CD276" i="4" s="1"/>
  <c r="CP276" i="4" s="1"/>
  <c r="BS276" i="4"/>
  <c r="CE276" i="4" s="1"/>
  <c r="BT276" i="4"/>
  <c r="CF276" i="4" s="1"/>
  <c r="CR276" i="4" s="1"/>
  <c r="BU276" i="4"/>
  <c r="CG276" i="4" s="1"/>
  <c r="CS276" i="4" s="1"/>
  <c r="BV276" i="4"/>
  <c r="CH276" i="4" s="1"/>
  <c r="CT276" i="4" s="1"/>
  <c r="BW276" i="4"/>
  <c r="CI276" i="4" s="1"/>
  <c r="CU276" i="4" s="1"/>
  <c r="BX276" i="4"/>
  <c r="CJ276" i="4" s="1"/>
  <c r="CV276" i="4" s="1"/>
  <c r="BY276" i="4"/>
  <c r="CC276" i="4"/>
  <c r="CO276" i="4" s="1"/>
  <c r="DQ276" i="4" s="1"/>
  <c r="CK276" i="4"/>
  <c r="CW276" i="4" s="1"/>
  <c r="DY276" i="4" s="1"/>
  <c r="CQ276" i="4"/>
  <c r="CZ276" i="4"/>
  <c r="DA276" i="4"/>
  <c r="DB276" i="4"/>
  <c r="DC276" i="4"/>
  <c r="DD276" i="4"/>
  <c r="DE276" i="4"/>
  <c r="DF276" i="4"/>
  <c r="DG276" i="4"/>
  <c r="DH276" i="4"/>
  <c r="DI276" i="4"/>
  <c r="DJ276" i="4"/>
  <c r="DX276" i="4" s="1"/>
  <c r="DK276" i="4"/>
  <c r="DO276" i="4"/>
  <c r="DT276" i="4"/>
  <c r="BN277" i="4"/>
  <c r="BZ277" i="4" s="1"/>
  <c r="CL277" i="4" s="1"/>
  <c r="BO277" i="4"/>
  <c r="BP277" i="4"/>
  <c r="BQ277" i="4"/>
  <c r="CC277" i="4" s="1"/>
  <c r="CO277" i="4" s="1"/>
  <c r="BR277" i="4"/>
  <c r="CD277" i="4" s="1"/>
  <c r="CP277" i="4" s="1"/>
  <c r="BS277" i="4"/>
  <c r="CE277" i="4" s="1"/>
  <c r="CQ277" i="4" s="1"/>
  <c r="BT277" i="4"/>
  <c r="CF277" i="4" s="1"/>
  <c r="BU277" i="4"/>
  <c r="BV277" i="4"/>
  <c r="CH277" i="4" s="1"/>
  <c r="BW277" i="4"/>
  <c r="BX277" i="4"/>
  <c r="BY277" i="4"/>
  <c r="CK277" i="4" s="1"/>
  <c r="CW277" i="4" s="1"/>
  <c r="CA277" i="4"/>
  <c r="CM277" i="4" s="1"/>
  <c r="DO277" i="4" s="1"/>
  <c r="CB277" i="4"/>
  <c r="CN277" i="4" s="1"/>
  <c r="CG277" i="4"/>
  <c r="CS277" i="4" s="1"/>
  <c r="CI277" i="4"/>
  <c r="CU277" i="4" s="1"/>
  <c r="CJ277" i="4"/>
  <c r="CV277" i="4" s="1"/>
  <c r="CR277" i="4"/>
  <c r="CT277" i="4"/>
  <c r="CZ277" i="4"/>
  <c r="DA277" i="4"/>
  <c r="DB277" i="4"/>
  <c r="DC277" i="4"/>
  <c r="DD277" i="4"/>
  <c r="DR277" i="4" s="1"/>
  <c r="DE277" i="4"/>
  <c r="DF277" i="4"/>
  <c r="DG277" i="4"/>
  <c r="DH277" i="4"/>
  <c r="DI277" i="4"/>
  <c r="DJ277" i="4"/>
  <c r="DK277" i="4"/>
  <c r="DP277" i="4"/>
  <c r="DT277" i="4"/>
  <c r="BN278" i="4"/>
  <c r="BZ278" i="4" s="1"/>
  <c r="BO278" i="4"/>
  <c r="CA278" i="4" s="1"/>
  <c r="CM278" i="4" s="1"/>
  <c r="BP278" i="4"/>
  <c r="BQ278" i="4"/>
  <c r="CC278" i="4" s="1"/>
  <c r="CO278" i="4" s="1"/>
  <c r="BR278" i="4"/>
  <c r="BS278" i="4"/>
  <c r="CE278" i="4" s="1"/>
  <c r="CQ278" i="4" s="1"/>
  <c r="BT278" i="4"/>
  <c r="CF278" i="4" s="1"/>
  <c r="CR278" i="4" s="1"/>
  <c r="BU278" i="4"/>
  <c r="CG278" i="4" s="1"/>
  <c r="CS278" i="4" s="1"/>
  <c r="BV278" i="4"/>
  <c r="BW278" i="4"/>
  <c r="CI278" i="4" s="1"/>
  <c r="BX278" i="4"/>
  <c r="BY278" i="4"/>
  <c r="CK278" i="4" s="1"/>
  <c r="CB278" i="4"/>
  <c r="CN278" i="4" s="1"/>
  <c r="CD278" i="4"/>
  <c r="CP278" i="4" s="1"/>
  <c r="DR278" i="4" s="1"/>
  <c r="CH278" i="4"/>
  <c r="CT278" i="4" s="1"/>
  <c r="CJ278" i="4"/>
  <c r="CV278" i="4" s="1"/>
  <c r="CL278" i="4"/>
  <c r="CU278" i="4"/>
  <c r="CW278" i="4"/>
  <c r="CZ278" i="4"/>
  <c r="DA278" i="4"/>
  <c r="DB278" i="4"/>
  <c r="DC278" i="4"/>
  <c r="DD278" i="4"/>
  <c r="DE278" i="4"/>
  <c r="DF278" i="4"/>
  <c r="DG278" i="4"/>
  <c r="DU278" i="4" s="1"/>
  <c r="DH278" i="4"/>
  <c r="DI278" i="4"/>
  <c r="DJ278" i="4"/>
  <c r="DX278" i="4" s="1"/>
  <c r="DK278" i="4"/>
  <c r="DV278" i="4"/>
  <c r="BN279" i="4"/>
  <c r="BZ279" i="4" s="1"/>
  <c r="CL279" i="4" s="1"/>
  <c r="BO279" i="4"/>
  <c r="CA279" i="4" s="1"/>
  <c r="BP279" i="4"/>
  <c r="CB279" i="4" s="1"/>
  <c r="CN279" i="4" s="1"/>
  <c r="BQ279" i="4"/>
  <c r="BR279" i="4"/>
  <c r="CD279" i="4" s="1"/>
  <c r="CP279" i="4" s="1"/>
  <c r="BS279" i="4"/>
  <c r="BT279" i="4"/>
  <c r="CF279" i="4" s="1"/>
  <c r="CR279" i="4" s="1"/>
  <c r="DT279" i="4" s="1"/>
  <c r="BU279" i="4"/>
  <c r="CG279" i="4" s="1"/>
  <c r="BV279" i="4"/>
  <c r="CH279" i="4" s="1"/>
  <c r="CT279" i="4" s="1"/>
  <c r="BW279" i="4"/>
  <c r="CI279" i="4" s="1"/>
  <c r="BX279" i="4"/>
  <c r="BY279" i="4"/>
  <c r="CC279" i="4"/>
  <c r="CO279" i="4" s="1"/>
  <c r="CE279" i="4"/>
  <c r="CQ279" i="4" s="1"/>
  <c r="DS279" i="4" s="1"/>
  <c r="CJ279" i="4"/>
  <c r="CV279" i="4" s="1"/>
  <c r="CK279" i="4"/>
  <c r="CW279" i="4" s="1"/>
  <c r="CM279" i="4"/>
  <c r="CS279" i="4"/>
  <c r="CU279" i="4"/>
  <c r="CZ279" i="4"/>
  <c r="DA279" i="4"/>
  <c r="DB279" i="4"/>
  <c r="DC279" i="4"/>
  <c r="DD279" i="4"/>
  <c r="DR279" i="4" s="1"/>
  <c r="DE279" i="4"/>
  <c r="DF279" i="4"/>
  <c r="DG279" i="4"/>
  <c r="DH279" i="4"/>
  <c r="DI279" i="4"/>
  <c r="DJ279" i="4"/>
  <c r="DX279" i="4" s="1"/>
  <c r="DK279" i="4"/>
  <c r="BN280" i="4"/>
  <c r="BZ280" i="4" s="1"/>
  <c r="CL280" i="4" s="1"/>
  <c r="DN280" i="4" s="1"/>
  <c r="BO280" i="4"/>
  <c r="BP280" i="4"/>
  <c r="CB280" i="4" s="1"/>
  <c r="CN280" i="4" s="1"/>
  <c r="BQ280" i="4"/>
  <c r="CC280" i="4" s="1"/>
  <c r="CO280" i="4" s="1"/>
  <c r="BR280" i="4"/>
  <c r="CD280" i="4" s="1"/>
  <c r="CP280" i="4" s="1"/>
  <c r="DR280" i="4" s="1"/>
  <c r="BS280" i="4"/>
  <c r="CE280" i="4" s="1"/>
  <c r="CQ280" i="4" s="1"/>
  <c r="BT280" i="4"/>
  <c r="BU280" i="4"/>
  <c r="CG280" i="4" s="1"/>
  <c r="CS280" i="4" s="1"/>
  <c r="BV280" i="4"/>
  <c r="CH280" i="4" s="1"/>
  <c r="BW280" i="4"/>
  <c r="BX280" i="4"/>
  <c r="CJ280" i="4" s="1"/>
  <c r="CV280" i="4" s="1"/>
  <c r="BY280" i="4"/>
  <c r="CA280" i="4"/>
  <c r="CM280" i="4" s="1"/>
  <c r="CF280" i="4"/>
  <c r="CR280" i="4" s="1"/>
  <c r="CI280" i="4"/>
  <c r="CU280" i="4" s="1"/>
  <c r="CK280" i="4"/>
  <c r="CW280" i="4" s="1"/>
  <c r="CT280" i="4"/>
  <c r="DV280" i="4" s="1"/>
  <c r="CZ280" i="4"/>
  <c r="DA280" i="4"/>
  <c r="DB280" i="4"/>
  <c r="DC280" i="4"/>
  <c r="DD280" i="4"/>
  <c r="DE280" i="4"/>
  <c r="DS280" i="4" s="1"/>
  <c r="DF280" i="4"/>
  <c r="DG280" i="4"/>
  <c r="DH280" i="4"/>
  <c r="DI280" i="4"/>
  <c r="DW280" i="4" s="1"/>
  <c r="DJ280" i="4"/>
  <c r="DK280" i="4"/>
  <c r="BN281" i="4"/>
  <c r="BZ281" i="4" s="1"/>
  <c r="CL281" i="4" s="1"/>
  <c r="BO281" i="4"/>
  <c r="BP281" i="4"/>
  <c r="CB281" i="4" s="1"/>
  <c r="CN281" i="4" s="1"/>
  <c r="BQ281" i="4"/>
  <c r="CC281" i="4" s="1"/>
  <c r="CO281" i="4" s="1"/>
  <c r="BR281" i="4"/>
  <c r="CD281" i="4" s="1"/>
  <c r="CP281" i="4" s="1"/>
  <c r="BS281" i="4"/>
  <c r="CE281" i="4" s="1"/>
  <c r="BT281" i="4"/>
  <c r="BU281" i="4"/>
  <c r="BV281" i="4"/>
  <c r="CH281" i="4" s="1"/>
  <c r="CT281" i="4" s="1"/>
  <c r="BW281" i="4"/>
  <c r="BX281" i="4"/>
  <c r="CJ281" i="4" s="1"/>
  <c r="CV281" i="4" s="1"/>
  <c r="BY281" i="4"/>
  <c r="CK281" i="4" s="1"/>
  <c r="CW281" i="4" s="1"/>
  <c r="CA281" i="4"/>
  <c r="CM281" i="4" s="1"/>
  <c r="CF281" i="4"/>
  <c r="CG281" i="4"/>
  <c r="CS281" i="4" s="1"/>
  <c r="CI281" i="4"/>
  <c r="CU281" i="4" s="1"/>
  <c r="DW281" i="4" s="1"/>
  <c r="CQ281" i="4"/>
  <c r="CR281" i="4"/>
  <c r="DT281" i="4" s="1"/>
  <c r="CZ281" i="4"/>
  <c r="DA281" i="4"/>
  <c r="DO281" i="4" s="1"/>
  <c r="DB281" i="4"/>
  <c r="DC281" i="4"/>
  <c r="DD281" i="4"/>
  <c r="DR281" i="4" s="1"/>
  <c r="DE281" i="4"/>
  <c r="DF281" i="4"/>
  <c r="DG281" i="4"/>
  <c r="DH281" i="4"/>
  <c r="DI281" i="4"/>
  <c r="DJ281" i="4"/>
  <c r="DK281" i="4"/>
  <c r="DL281" i="4"/>
  <c r="DP281" i="4"/>
  <c r="DX281" i="4"/>
  <c r="BN282" i="4"/>
  <c r="BZ282" i="4" s="1"/>
  <c r="CL282" i="4" s="1"/>
  <c r="BO282" i="4"/>
  <c r="CA282" i="4" s="1"/>
  <c r="CM282" i="4" s="1"/>
  <c r="BP282" i="4"/>
  <c r="CB282" i="4" s="1"/>
  <c r="CN282" i="4" s="1"/>
  <c r="BQ282" i="4"/>
  <c r="CC282" i="4" s="1"/>
  <c r="CO282" i="4" s="1"/>
  <c r="BR282" i="4"/>
  <c r="BS282" i="4"/>
  <c r="BT282" i="4"/>
  <c r="CF282" i="4" s="1"/>
  <c r="CR282" i="4" s="1"/>
  <c r="BU282" i="4"/>
  <c r="CG282" i="4" s="1"/>
  <c r="CS282" i="4" s="1"/>
  <c r="DU282" i="4" s="1"/>
  <c r="BV282" i="4"/>
  <c r="BW282" i="4"/>
  <c r="CI282" i="4" s="1"/>
  <c r="CU282" i="4" s="1"/>
  <c r="BX282" i="4"/>
  <c r="BY282" i="4"/>
  <c r="CK282" i="4" s="1"/>
  <c r="CW282" i="4" s="1"/>
  <c r="CD282" i="4"/>
  <c r="CP282" i="4" s="1"/>
  <c r="DR282" i="4" s="1"/>
  <c r="CE282" i="4"/>
  <c r="CQ282" i="4" s="1"/>
  <c r="CH282" i="4"/>
  <c r="CT282" i="4" s="1"/>
  <c r="CJ282" i="4"/>
  <c r="CV282" i="4" s="1"/>
  <c r="CZ282" i="4"/>
  <c r="DA282" i="4"/>
  <c r="DB282" i="4"/>
  <c r="DC282" i="4"/>
  <c r="DD282" i="4"/>
  <c r="DE282" i="4"/>
  <c r="DF282" i="4"/>
  <c r="DG282" i="4"/>
  <c r="DH282" i="4"/>
  <c r="DI282" i="4"/>
  <c r="DW282" i="4" s="1"/>
  <c r="DJ282" i="4"/>
  <c r="DK282" i="4"/>
  <c r="BN283" i="4"/>
  <c r="BO283" i="4"/>
  <c r="CA283" i="4" s="1"/>
  <c r="BP283" i="4"/>
  <c r="CB283" i="4" s="1"/>
  <c r="CN283" i="4" s="1"/>
  <c r="DP283" i="4" s="1"/>
  <c r="BQ283" i="4"/>
  <c r="CC283" i="4" s="1"/>
  <c r="CO283" i="4" s="1"/>
  <c r="BR283" i="4"/>
  <c r="CD283" i="4" s="1"/>
  <c r="CP283" i="4" s="1"/>
  <c r="BS283" i="4"/>
  <c r="BT283" i="4"/>
  <c r="CF283" i="4" s="1"/>
  <c r="CR283" i="4" s="1"/>
  <c r="BU283" i="4"/>
  <c r="CG283" i="4" s="1"/>
  <c r="CS283" i="4" s="1"/>
  <c r="BV283" i="4"/>
  <c r="CH283" i="4" s="1"/>
  <c r="CT283" i="4" s="1"/>
  <c r="BW283" i="4"/>
  <c r="CI283" i="4" s="1"/>
  <c r="BX283" i="4"/>
  <c r="CJ283" i="4" s="1"/>
  <c r="CV283" i="4" s="1"/>
  <c r="BY283" i="4"/>
  <c r="CK283" i="4" s="1"/>
  <c r="CW283" i="4" s="1"/>
  <c r="BZ283" i="4"/>
  <c r="CL283" i="4" s="1"/>
  <c r="CE283" i="4"/>
  <c r="CQ283" i="4" s="1"/>
  <c r="CM283" i="4"/>
  <c r="CU283" i="4"/>
  <c r="CZ283" i="4"/>
  <c r="DA283" i="4"/>
  <c r="DB283" i="4"/>
  <c r="DC283" i="4"/>
  <c r="DD283" i="4"/>
  <c r="DE283" i="4"/>
  <c r="DF283" i="4"/>
  <c r="DG283" i="4"/>
  <c r="DH283" i="4"/>
  <c r="DI283" i="4"/>
  <c r="DJ283" i="4"/>
  <c r="DK283" i="4"/>
  <c r="DV283" i="4"/>
  <c r="BN284" i="4"/>
  <c r="BO284" i="4"/>
  <c r="CA284" i="4" s="1"/>
  <c r="CM284" i="4" s="1"/>
  <c r="BP284" i="4"/>
  <c r="CB284" i="4" s="1"/>
  <c r="CN284" i="4" s="1"/>
  <c r="BQ284" i="4"/>
  <c r="BR284" i="4"/>
  <c r="CD284" i="4" s="1"/>
  <c r="CP284" i="4" s="1"/>
  <c r="BS284" i="4"/>
  <c r="CE284" i="4" s="1"/>
  <c r="CQ284" i="4" s="1"/>
  <c r="BT284" i="4"/>
  <c r="BU284" i="4"/>
  <c r="CG284" i="4" s="1"/>
  <c r="BV284" i="4"/>
  <c r="CH284" i="4" s="1"/>
  <c r="CT284" i="4" s="1"/>
  <c r="DV284" i="4" s="1"/>
  <c r="BW284" i="4"/>
  <c r="BX284" i="4"/>
  <c r="CJ284" i="4" s="1"/>
  <c r="CV284" i="4" s="1"/>
  <c r="BY284" i="4"/>
  <c r="BZ284" i="4"/>
  <c r="CL284" i="4" s="1"/>
  <c r="CC284" i="4"/>
  <c r="CO284" i="4" s="1"/>
  <c r="DQ284" i="4" s="1"/>
  <c r="CF284" i="4"/>
  <c r="CR284" i="4" s="1"/>
  <c r="CI284" i="4"/>
  <c r="CU284" i="4" s="1"/>
  <c r="CK284" i="4"/>
  <c r="CW284" i="4" s="1"/>
  <c r="CS284" i="4"/>
  <c r="CZ284" i="4"/>
  <c r="DA284" i="4"/>
  <c r="DO284" i="4" s="1"/>
  <c r="DB284" i="4"/>
  <c r="DC284" i="4"/>
  <c r="DD284" i="4"/>
  <c r="DE284" i="4"/>
  <c r="DS284" i="4" s="1"/>
  <c r="DF284" i="4"/>
  <c r="DG284" i="4"/>
  <c r="DH284" i="4"/>
  <c r="DI284" i="4"/>
  <c r="DJ284" i="4"/>
  <c r="DK284" i="4"/>
  <c r="DY284" i="4"/>
  <c r="BN285" i="4"/>
  <c r="BZ285" i="4" s="1"/>
  <c r="BO285" i="4"/>
  <c r="CA285" i="4" s="1"/>
  <c r="CM285" i="4" s="1"/>
  <c r="BP285" i="4"/>
  <c r="CB285" i="4" s="1"/>
  <c r="CN285" i="4" s="1"/>
  <c r="BQ285" i="4"/>
  <c r="CC285" i="4" s="1"/>
  <c r="CO285" i="4" s="1"/>
  <c r="BR285" i="4"/>
  <c r="BS285" i="4"/>
  <c r="CE285" i="4" s="1"/>
  <c r="CQ285" i="4" s="1"/>
  <c r="BT285" i="4"/>
  <c r="BU285" i="4"/>
  <c r="CG285" i="4" s="1"/>
  <c r="CS285" i="4" s="1"/>
  <c r="BV285" i="4"/>
  <c r="CH285" i="4" s="1"/>
  <c r="CT285" i="4" s="1"/>
  <c r="BW285" i="4"/>
  <c r="CI285" i="4" s="1"/>
  <c r="CU285" i="4" s="1"/>
  <c r="BX285" i="4"/>
  <c r="CJ285" i="4" s="1"/>
  <c r="BY285" i="4"/>
  <c r="CK285" i="4" s="1"/>
  <c r="CD285" i="4"/>
  <c r="CP285" i="4" s="1"/>
  <c r="DR285" i="4" s="1"/>
  <c r="CF285" i="4"/>
  <c r="CR285" i="4" s="1"/>
  <c r="CL285" i="4"/>
  <c r="CV285" i="4"/>
  <c r="CW285" i="4"/>
  <c r="CZ285" i="4"/>
  <c r="DA285" i="4"/>
  <c r="DO285" i="4" s="1"/>
  <c r="DB285" i="4"/>
  <c r="DC285" i="4"/>
  <c r="DD285" i="4"/>
  <c r="DE285" i="4"/>
  <c r="DF285" i="4"/>
  <c r="DG285" i="4"/>
  <c r="DH285" i="4"/>
  <c r="DI285" i="4"/>
  <c r="DW285" i="4" s="1"/>
  <c r="DJ285" i="4"/>
  <c r="DK285" i="4"/>
  <c r="DY285" i="4" s="1"/>
  <c r="BN286" i="4"/>
  <c r="BO286" i="4"/>
  <c r="CA286" i="4" s="1"/>
  <c r="BP286" i="4"/>
  <c r="CB286" i="4" s="1"/>
  <c r="CN286" i="4" s="1"/>
  <c r="DP286" i="4" s="1"/>
  <c r="BQ286" i="4"/>
  <c r="CC286" i="4" s="1"/>
  <c r="BR286" i="4"/>
  <c r="CD286" i="4" s="1"/>
  <c r="CP286" i="4" s="1"/>
  <c r="DR286" i="4" s="1"/>
  <c r="BS286" i="4"/>
  <c r="BT286" i="4"/>
  <c r="CF286" i="4" s="1"/>
  <c r="BU286" i="4"/>
  <c r="BV286" i="4"/>
  <c r="CH286" i="4" s="1"/>
  <c r="CT286" i="4" s="1"/>
  <c r="BW286" i="4"/>
  <c r="CI286" i="4" s="1"/>
  <c r="BX286" i="4"/>
  <c r="CJ286" i="4" s="1"/>
  <c r="CV286" i="4" s="1"/>
  <c r="BY286" i="4"/>
  <c r="CK286" i="4" s="1"/>
  <c r="CW286" i="4" s="1"/>
  <c r="BZ286" i="4"/>
  <c r="CL286" i="4" s="1"/>
  <c r="CE286" i="4"/>
  <c r="CQ286" i="4" s="1"/>
  <c r="CG286" i="4"/>
  <c r="CS286" i="4" s="1"/>
  <c r="CM286" i="4"/>
  <c r="CO286" i="4"/>
  <c r="CR286" i="4"/>
  <c r="CU286" i="4"/>
  <c r="CZ286" i="4"/>
  <c r="DA286" i="4"/>
  <c r="DB286" i="4"/>
  <c r="DC286" i="4"/>
  <c r="DD286" i="4"/>
  <c r="DE286" i="4"/>
  <c r="DM286" i="4" s="1"/>
  <c r="DF286" i="4"/>
  <c r="DG286" i="4"/>
  <c r="DH286" i="4"/>
  <c r="DI286" i="4"/>
  <c r="DW286" i="4" s="1"/>
  <c r="DJ286" i="4"/>
  <c r="DX286" i="4" s="1"/>
  <c r="DK286" i="4"/>
  <c r="DU286" i="4"/>
  <c r="BN287" i="4"/>
  <c r="BZ287" i="4" s="1"/>
  <c r="CL287" i="4" s="1"/>
  <c r="BO287" i="4"/>
  <c r="CA287" i="4" s="1"/>
  <c r="CM287" i="4" s="1"/>
  <c r="BP287" i="4"/>
  <c r="BQ287" i="4"/>
  <c r="BR287" i="4"/>
  <c r="CD287" i="4" s="1"/>
  <c r="BS287" i="4"/>
  <c r="BT287" i="4"/>
  <c r="CF287" i="4" s="1"/>
  <c r="CR287" i="4" s="1"/>
  <c r="BU287" i="4"/>
  <c r="CG287" i="4" s="1"/>
  <c r="CS287" i="4" s="1"/>
  <c r="BV287" i="4"/>
  <c r="BW287" i="4"/>
  <c r="CI287" i="4" s="1"/>
  <c r="BX287" i="4"/>
  <c r="CJ287" i="4" s="1"/>
  <c r="CV287" i="4" s="1"/>
  <c r="DX287" i="4" s="1"/>
  <c r="BY287" i="4"/>
  <c r="CK287" i="4" s="1"/>
  <c r="CW287" i="4" s="1"/>
  <c r="CB287" i="4"/>
  <c r="CN287" i="4" s="1"/>
  <c r="CC287" i="4"/>
  <c r="CO287" i="4" s="1"/>
  <c r="DQ287" i="4" s="1"/>
  <c r="CE287" i="4"/>
  <c r="CQ287" i="4" s="1"/>
  <c r="DS287" i="4" s="1"/>
  <c r="CH287" i="4"/>
  <c r="CT287" i="4" s="1"/>
  <c r="CP287" i="4"/>
  <c r="CU287" i="4"/>
  <c r="CZ287" i="4"/>
  <c r="DA287" i="4"/>
  <c r="DB287" i="4"/>
  <c r="DC287" i="4"/>
  <c r="DD287" i="4"/>
  <c r="DE287" i="4"/>
  <c r="DF287" i="4"/>
  <c r="DG287" i="4"/>
  <c r="DH287" i="4"/>
  <c r="DV287" i="4" s="1"/>
  <c r="DI287" i="4"/>
  <c r="DJ287" i="4"/>
  <c r="DK287" i="4"/>
  <c r="BN288" i="4"/>
  <c r="BZ288" i="4" s="1"/>
  <c r="CL288" i="4" s="1"/>
  <c r="DN288" i="4" s="1"/>
  <c r="BO288" i="4"/>
  <c r="BP288" i="4"/>
  <c r="CB288" i="4" s="1"/>
  <c r="CN288" i="4" s="1"/>
  <c r="BQ288" i="4"/>
  <c r="CC288" i="4" s="1"/>
  <c r="CO288" i="4" s="1"/>
  <c r="BR288" i="4"/>
  <c r="CD288" i="4" s="1"/>
  <c r="CP288" i="4" s="1"/>
  <c r="BS288" i="4"/>
  <c r="CE288" i="4" s="1"/>
  <c r="CQ288" i="4" s="1"/>
  <c r="BT288" i="4"/>
  <c r="CF288" i="4" s="1"/>
  <c r="CR288" i="4" s="1"/>
  <c r="BU288" i="4"/>
  <c r="CG288" i="4" s="1"/>
  <c r="BV288" i="4"/>
  <c r="CH288" i="4" s="1"/>
  <c r="CT288" i="4" s="1"/>
  <c r="DV288" i="4" s="1"/>
  <c r="BW288" i="4"/>
  <c r="BX288" i="4"/>
  <c r="CJ288" i="4" s="1"/>
  <c r="CV288" i="4" s="1"/>
  <c r="BY288" i="4"/>
  <c r="CA288" i="4"/>
  <c r="CM288" i="4" s="1"/>
  <c r="CI288" i="4"/>
  <c r="CU288" i="4" s="1"/>
  <c r="CK288" i="4"/>
  <c r="CW288" i="4" s="1"/>
  <c r="DY288" i="4" s="1"/>
  <c r="CS288" i="4"/>
  <c r="CZ288" i="4"/>
  <c r="DA288" i="4"/>
  <c r="DO288" i="4" s="1"/>
  <c r="DB288" i="4"/>
  <c r="DC288" i="4"/>
  <c r="DD288" i="4"/>
  <c r="DE288" i="4"/>
  <c r="DF288" i="4"/>
  <c r="DG288" i="4"/>
  <c r="DH288" i="4"/>
  <c r="DI288" i="4"/>
  <c r="DW288" i="4" s="1"/>
  <c r="DJ288" i="4"/>
  <c r="DK288" i="4"/>
  <c r="DL288" i="4"/>
  <c r="BN289" i="4"/>
  <c r="BZ289" i="4" s="1"/>
  <c r="CL289" i="4" s="1"/>
  <c r="BO289" i="4"/>
  <c r="CA289" i="4" s="1"/>
  <c r="CM289" i="4" s="1"/>
  <c r="DO289" i="4" s="1"/>
  <c r="BP289" i="4"/>
  <c r="BQ289" i="4"/>
  <c r="CC289" i="4" s="1"/>
  <c r="CO289" i="4" s="1"/>
  <c r="BR289" i="4"/>
  <c r="CD289" i="4" s="1"/>
  <c r="CP289" i="4" s="1"/>
  <c r="BS289" i="4"/>
  <c r="CE289" i="4" s="1"/>
  <c r="CQ289" i="4" s="1"/>
  <c r="BT289" i="4"/>
  <c r="CF289" i="4" s="1"/>
  <c r="CR289" i="4" s="1"/>
  <c r="BU289" i="4"/>
  <c r="BV289" i="4"/>
  <c r="CH289" i="4" s="1"/>
  <c r="BW289" i="4"/>
  <c r="CI289" i="4" s="1"/>
  <c r="CU289" i="4" s="1"/>
  <c r="DW289" i="4" s="1"/>
  <c r="BX289" i="4"/>
  <c r="BY289" i="4"/>
  <c r="CK289" i="4" s="1"/>
  <c r="CW289" i="4" s="1"/>
  <c r="CB289" i="4"/>
  <c r="CN289" i="4" s="1"/>
  <c r="CG289" i="4"/>
  <c r="CS289" i="4" s="1"/>
  <c r="CJ289" i="4"/>
  <c r="CV289" i="4" s="1"/>
  <c r="CT289" i="4"/>
  <c r="CZ289" i="4"/>
  <c r="DA289" i="4"/>
  <c r="DB289" i="4"/>
  <c r="DP289" i="4" s="1"/>
  <c r="DC289" i="4"/>
  <c r="DD289" i="4"/>
  <c r="DE289" i="4"/>
  <c r="DF289" i="4"/>
  <c r="DG289" i="4"/>
  <c r="DH289" i="4"/>
  <c r="DI289" i="4"/>
  <c r="DJ289" i="4"/>
  <c r="DK289" i="4"/>
  <c r="DU289" i="4"/>
  <c r="BN290" i="4"/>
  <c r="BZ290" i="4" s="1"/>
  <c r="CL290" i="4" s="1"/>
  <c r="BO290" i="4"/>
  <c r="CA290" i="4" s="1"/>
  <c r="BP290" i="4"/>
  <c r="CB290" i="4" s="1"/>
  <c r="CN290" i="4" s="1"/>
  <c r="BQ290" i="4"/>
  <c r="CC290" i="4" s="1"/>
  <c r="CO290" i="4" s="1"/>
  <c r="BR290" i="4"/>
  <c r="BS290" i="4"/>
  <c r="BT290" i="4"/>
  <c r="CF290" i="4" s="1"/>
  <c r="CR290" i="4" s="1"/>
  <c r="BU290" i="4"/>
  <c r="CG290" i="4" s="1"/>
  <c r="CS290" i="4" s="1"/>
  <c r="DU290" i="4" s="1"/>
  <c r="BV290" i="4"/>
  <c r="BW290" i="4"/>
  <c r="CI290" i="4" s="1"/>
  <c r="CU290" i="4" s="1"/>
  <c r="BX290" i="4"/>
  <c r="CJ290" i="4" s="1"/>
  <c r="CV290" i="4" s="1"/>
  <c r="BY290" i="4"/>
  <c r="CK290" i="4" s="1"/>
  <c r="CW290" i="4" s="1"/>
  <c r="CD290" i="4"/>
  <c r="CP290" i="4" s="1"/>
  <c r="DR290" i="4" s="1"/>
  <c r="CE290" i="4"/>
  <c r="CQ290" i="4" s="1"/>
  <c r="DS290" i="4" s="1"/>
  <c r="CH290" i="4"/>
  <c r="CT290" i="4" s="1"/>
  <c r="CM290" i="4"/>
  <c r="CZ290" i="4"/>
  <c r="DA290" i="4"/>
  <c r="DB290" i="4"/>
  <c r="DP290" i="4" s="1"/>
  <c r="DC290" i="4"/>
  <c r="DD290" i="4"/>
  <c r="DE290" i="4"/>
  <c r="DF290" i="4"/>
  <c r="DG290" i="4"/>
  <c r="DH290" i="4"/>
  <c r="DV290" i="4" s="1"/>
  <c r="DI290" i="4"/>
  <c r="DJ290" i="4"/>
  <c r="DX290" i="4" s="1"/>
  <c r="DK290" i="4"/>
  <c r="BN291" i="4"/>
  <c r="BZ291" i="4" s="1"/>
  <c r="CL291" i="4" s="1"/>
  <c r="BO291" i="4"/>
  <c r="CA291" i="4" s="1"/>
  <c r="CM291" i="4" s="1"/>
  <c r="BP291" i="4"/>
  <c r="CB291" i="4" s="1"/>
  <c r="CN291" i="4" s="1"/>
  <c r="DP291" i="4" s="1"/>
  <c r="BQ291" i="4"/>
  <c r="BR291" i="4"/>
  <c r="CD291" i="4" s="1"/>
  <c r="CP291" i="4" s="1"/>
  <c r="BS291" i="4"/>
  <c r="CE291" i="4" s="1"/>
  <c r="CQ291" i="4" s="1"/>
  <c r="DS291" i="4" s="1"/>
  <c r="BT291" i="4"/>
  <c r="BU291" i="4"/>
  <c r="CG291" i="4" s="1"/>
  <c r="BV291" i="4"/>
  <c r="BW291" i="4"/>
  <c r="CI291" i="4" s="1"/>
  <c r="CU291" i="4" s="1"/>
  <c r="BX291" i="4"/>
  <c r="CJ291" i="4" s="1"/>
  <c r="CV291" i="4" s="1"/>
  <c r="BY291" i="4"/>
  <c r="CC291" i="4"/>
  <c r="CF291" i="4"/>
  <c r="CH291" i="4"/>
  <c r="CT291" i="4" s="1"/>
  <c r="CK291" i="4"/>
  <c r="CW291" i="4" s="1"/>
  <c r="CO291" i="4"/>
  <c r="DQ291" i="4" s="1"/>
  <c r="CR291" i="4"/>
  <c r="CS291" i="4"/>
  <c r="CZ291" i="4"/>
  <c r="DN291" i="4" s="1"/>
  <c r="DA291" i="4"/>
  <c r="DB291" i="4"/>
  <c r="DC291" i="4"/>
  <c r="DD291" i="4"/>
  <c r="DE291" i="4"/>
  <c r="DF291" i="4"/>
  <c r="DG291" i="4"/>
  <c r="DU291" i="4" s="1"/>
  <c r="DH291" i="4"/>
  <c r="DI291" i="4"/>
  <c r="DJ291" i="4"/>
  <c r="DK291" i="4"/>
  <c r="DV291" i="4"/>
  <c r="DW291" i="4"/>
  <c r="DX291" i="4"/>
  <c r="BN292" i="4"/>
  <c r="BZ292" i="4" s="1"/>
  <c r="CL292" i="4" s="1"/>
  <c r="BO292" i="4"/>
  <c r="CA292" i="4" s="1"/>
  <c r="CM292" i="4" s="1"/>
  <c r="BP292" i="4"/>
  <c r="CB292" i="4" s="1"/>
  <c r="BQ292" i="4"/>
  <c r="CC292" i="4" s="1"/>
  <c r="CO292" i="4" s="1"/>
  <c r="DQ292" i="4" s="1"/>
  <c r="BR292" i="4"/>
  <c r="BS292" i="4"/>
  <c r="CE292" i="4" s="1"/>
  <c r="CQ292" i="4" s="1"/>
  <c r="BT292" i="4"/>
  <c r="CF292" i="4" s="1"/>
  <c r="CR292" i="4" s="1"/>
  <c r="BU292" i="4"/>
  <c r="CG292" i="4" s="1"/>
  <c r="CS292" i="4" s="1"/>
  <c r="DU292" i="4" s="1"/>
  <c r="BV292" i="4"/>
  <c r="CH292" i="4" s="1"/>
  <c r="BW292" i="4"/>
  <c r="BX292" i="4"/>
  <c r="CJ292" i="4" s="1"/>
  <c r="CV292" i="4" s="1"/>
  <c r="BY292" i="4"/>
  <c r="CK292" i="4" s="1"/>
  <c r="CW292" i="4" s="1"/>
  <c r="DY292" i="4" s="1"/>
  <c r="CD292" i="4"/>
  <c r="CP292" i="4" s="1"/>
  <c r="CI292" i="4"/>
  <c r="CU292" i="4" s="1"/>
  <c r="CN292" i="4"/>
  <c r="CT292" i="4"/>
  <c r="CZ292" i="4"/>
  <c r="DA292" i="4"/>
  <c r="DB292" i="4"/>
  <c r="DP292" i="4" s="1"/>
  <c r="DC292" i="4"/>
  <c r="DD292" i="4"/>
  <c r="DE292" i="4"/>
  <c r="DF292" i="4"/>
  <c r="DG292" i="4"/>
  <c r="DH292" i="4"/>
  <c r="DV292" i="4" s="1"/>
  <c r="DI292" i="4"/>
  <c r="DJ292" i="4"/>
  <c r="DX292" i="4" s="1"/>
  <c r="DK292" i="4"/>
  <c r="BN293" i="4"/>
  <c r="BZ293" i="4" s="1"/>
  <c r="CL293" i="4" s="1"/>
  <c r="BO293" i="4"/>
  <c r="BP293" i="4"/>
  <c r="CB293" i="4" s="1"/>
  <c r="BQ293" i="4"/>
  <c r="CC293" i="4" s="1"/>
  <c r="CO293" i="4" s="1"/>
  <c r="DQ293" i="4" s="1"/>
  <c r="BR293" i="4"/>
  <c r="CD293" i="4" s="1"/>
  <c r="CP293" i="4" s="1"/>
  <c r="BS293" i="4"/>
  <c r="BT293" i="4"/>
  <c r="CF293" i="4" s="1"/>
  <c r="CR293" i="4" s="1"/>
  <c r="BU293" i="4"/>
  <c r="BV293" i="4"/>
  <c r="CH293" i="4" s="1"/>
  <c r="CT293" i="4" s="1"/>
  <c r="BW293" i="4"/>
  <c r="BX293" i="4"/>
  <c r="CJ293" i="4" s="1"/>
  <c r="CV293" i="4" s="1"/>
  <c r="DX293" i="4" s="1"/>
  <c r="BY293" i="4"/>
  <c r="CK293" i="4" s="1"/>
  <c r="CA293" i="4"/>
  <c r="CM293" i="4" s="1"/>
  <c r="DO293" i="4" s="1"/>
  <c r="CE293" i="4"/>
  <c r="CQ293" i="4" s="1"/>
  <c r="CG293" i="4"/>
  <c r="CS293" i="4" s="1"/>
  <c r="CI293" i="4"/>
  <c r="CU293" i="4" s="1"/>
  <c r="CN293" i="4"/>
  <c r="CW293" i="4"/>
  <c r="CZ293" i="4"/>
  <c r="DA293" i="4"/>
  <c r="DB293" i="4"/>
  <c r="DC293" i="4"/>
  <c r="DD293" i="4"/>
  <c r="DR293" i="4" s="1"/>
  <c r="DE293" i="4"/>
  <c r="DF293" i="4"/>
  <c r="DG293" i="4"/>
  <c r="DM293" i="4" s="1"/>
  <c r="DH293" i="4"/>
  <c r="DI293" i="4"/>
  <c r="DJ293" i="4"/>
  <c r="DK293" i="4"/>
  <c r="DW293" i="4"/>
  <c r="BN294" i="4"/>
  <c r="BZ294" i="4" s="1"/>
  <c r="CL294" i="4" s="1"/>
  <c r="BO294" i="4"/>
  <c r="CA294" i="4" s="1"/>
  <c r="CM294" i="4" s="1"/>
  <c r="BP294" i="4"/>
  <c r="BQ294" i="4"/>
  <c r="CC294" i="4" s="1"/>
  <c r="CO294" i="4" s="1"/>
  <c r="BR294" i="4"/>
  <c r="CD294" i="4" s="1"/>
  <c r="CP294" i="4" s="1"/>
  <c r="BS294" i="4"/>
  <c r="CE294" i="4" s="1"/>
  <c r="CQ294" i="4" s="1"/>
  <c r="BT294" i="4"/>
  <c r="CF294" i="4" s="1"/>
  <c r="BU294" i="4"/>
  <c r="CG294" i="4" s="1"/>
  <c r="CS294" i="4" s="1"/>
  <c r="DU294" i="4" s="1"/>
  <c r="BV294" i="4"/>
  <c r="CH294" i="4" s="1"/>
  <c r="BW294" i="4"/>
  <c r="CI294" i="4" s="1"/>
  <c r="CU294" i="4" s="1"/>
  <c r="BX294" i="4"/>
  <c r="BY294" i="4"/>
  <c r="CK294" i="4" s="1"/>
  <c r="CW294" i="4" s="1"/>
  <c r="CB294" i="4"/>
  <c r="CN294" i="4" s="1"/>
  <c r="CJ294" i="4"/>
  <c r="CV294" i="4" s="1"/>
  <c r="CR294" i="4"/>
  <c r="CT294" i="4"/>
  <c r="CZ294" i="4"/>
  <c r="DA294" i="4"/>
  <c r="DB294" i="4"/>
  <c r="DC294" i="4"/>
  <c r="DD294" i="4"/>
  <c r="DE294" i="4"/>
  <c r="DF294" i="4"/>
  <c r="DG294" i="4"/>
  <c r="DH294" i="4"/>
  <c r="DI294" i="4"/>
  <c r="DJ294" i="4"/>
  <c r="DX294" i="4" s="1"/>
  <c r="DK294" i="4"/>
  <c r="DQ294" i="4"/>
  <c r="BN295" i="4"/>
  <c r="BO295" i="4"/>
  <c r="CA295" i="4" s="1"/>
  <c r="CM295" i="4" s="1"/>
  <c r="BP295" i="4"/>
  <c r="CB295" i="4" s="1"/>
  <c r="CN295" i="4" s="1"/>
  <c r="DP295" i="4" s="1"/>
  <c r="BQ295" i="4"/>
  <c r="CC295" i="4" s="1"/>
  <c r="CO295" i="4" s="1"/>
  <c r="BR295" i="4"/>
  <c r="CD295" i="4" s="1"/>
  <c r="CP295" i="4" s="1"/>
  <c r="BS295" i="4"/>
  <c r="CE295" i="4" s="1"/>
  <c r="CQ295" i="4" s="1"/>
  <c r="BT295" i="4"/>
  <c r="BU295" i="4"/>
  <c r="CG295" i="4" s="1"/>
  <c r="CS295" i="4" s="1"/>
  <c r="BV295" i="4"/>
  <c r="CH295" i="4" s="1"/>
  <c r="CT295" i="4" s="1"/>
  <c r="BW295" i="4"/>
  <c r="CI295" i="4" s="1"/>
  <c r="CU295" i="4" s="1"/>
  <c r="BX295" i="4"/>
  <c r="CJ295" i="4" s="1"/>
  <c r="BY295" i="4"/>
  <c r="CK295" i="4" s="1"/>
  <c r="CW295" i="4" s="1"/>
  <c r="BZ295" i="4"/>
  <c r="CL295" i="4" s="1"/>
  <c r="CF295" i="4"/>
  <c r="CR295" i="4" s="1"/>
  <c r="DT295" i="4" s="1"/>
  <c r="CV295" i="4"/>
  <c r="DX295" i="4" s="1"/>
  <c r="CZ295" i="4"/>
  <c r="DA295" i="4"/>
  <c r="DB295" i="4"/>
  <c r="DC295" i="4"/>
  <c r="DD295" i="4"/>
  <c r="DE295" i="4"/>
  <c r="DF295" i="4"/>
  <c r="DG295" i="4"/>
  <c r="DH295" i="4"/>
  <c r="DV295" i="4" s="1"/>
  <c r="DI295" i="4"/>
  <c r="DJ295" i="4"/>
  <c r="DK295" i="4"/>
  <c r="DN295" i="4"/>
  <c r="BN296" i="4"/>
  <c r="BZ296" i="4" s="1"/>
  <c r="CL296" i="4" s="1"/>
  <c r="DN296" i="4" s="1"/>
  <c r="BO296" i="4"/>
  <c r="CA296" i="4" s="1"/>
  <c r="CM296" i="4" s="1"/>
  <c r="BP296" i="4"/>
  <c r="CB296" i="4" s="1"/>
  <c r="CN296" i="4" s="1"/>
  <c r="BQ296" i="4"/>
  <c r="BR296" i="4"/>
  <c r="CD296" i="4" s="1"/>
  <c r="BS296" i="4"/>
  <c r="CE296" i="4" s="1"/>
  <c r="CQ296" i="4" s="1"/>
  <c r="BT296" i="4"/>
  <c r="CF296" i="4" s="1"/>
  <c r="CR296" i="4" s="1"/>
  <c r="BU296" i="4"/>
  <c r="BV296" i="4"/>
  <c r="CH296" i="4" s="1"/>
  <c r="CT296" i="4" s="1"/>
  <c r="DV296" i="4" s="1"/>
  <c r="BW296" i="4"/>
  <c r="BX296" i="4"/>
  <c r="CJ296" i="4" s="1"/>
  <c r="CV296" i="4" s="1"/>
  <c r="BY296" i="4"/>
  <c r="CC296" i="4"/>
  <c r="CO296" i="4" s="1"/>
  <c r="CG296" i="4"/>
  <c r="CS296" i="4" s="1"/>
  <c r="CI296" i="4"/>
  <c r="CU296" i="4" s="1"/>
  <c r="CK296" i="4"/>
  <c r="CW296" i="4" s="1"/>
  <c r="CP296" i="4"/>
  <c r="DR296" i="4" s="1"/>
  <c r="CZ296" i="4"/>
  <c r="DA296" i="4"/>
  <c r="DB296" i="4"/>
  <c r="DC296" i="4"/>
  <c r="DQ296" i="4" s="1"/>
  <c r="DD296" i="4"/>
  <c r="DE296" i="4"/>
  <c r="DF296" i="4"/>
  <c r="DG296" i="4"/>
  <c r="DH296" i="4"/>
  <c r="DI296" i="4"/>
  <c r="DJ296" i="4"/>
  <c r="DK296" i="4"/>
  <c r="DY296" i="4" s="1"/>
  <c r="BN297" i="4"/>
  <c r="BZ297" i="4" s="1"/>
  <c r="CL297" i="4" s="1"/>
  <c r="BO297" i="4"/>
  <c r="BP297" i="4"/>
  <c r="CB297" i="4" s="1"/>
  <c r="CN297" i="4" s="1"/>
  <c r="BQ297" i="4"/>
  <c r="CC297" i="4" s="1"/>
  <c r="CO297" i="4" s="1"/>
  <c r="BR297" i="4"/>
  <c r="CD297" i="4" s="1"/>
  <c r="CP297" i="4" s="1"/>
  <c r="DR297" i="4" s="1"/>
  <c r="BS297" i="4"/>
  <c r="CE297" i="4" s="1"/>
  <c r="CQ297" i="4" s="1"/>
  <c r="BT297" i="4"/>
  <c r="CF297" i="4" s="1"/>
  <c r="CR297" i="4" s="1"/>
  <c r="DT297" i="4" s="1"/>
  <c r="BU297" i="4"/>
  <c r="CG297" i="4" s="1"/>
  <c r="CS297" i="4" s="1"/>
  <c r="BV297" i="4"/>
  <c r="CH297" i="4" s="1"/>
  <c r="CT297" i="4" s="1"/>
  <c r="BW297" i="4"/>
  <c r="CI297" i="4" s="1"/>
  <c r="CU297" i="4" s="1"/>
  <c r="BX297" i="4"/>
  <c r="CJ297" i="4" s="1"/>
  <c r="CV297" i="4" s="1"/>
  <c r="DX297" i="4" s="1"/>
  <c r="BY297" i="4"/>
  <c r="CA297" i="4"/>
  <c r="CM297" i="4" s="1"/>
  <c r="DO297" i="4" s="1"/>
  <c r="CK297" i="4"/>
  <c r="CW297" i="4"/>
  <c r="CZ297" i="4"/>
  <c r="DA297" i="4"/>
  <c r="DB297" i="4"/>
  <c r="DC297" i="4"/>
  <c r="DD297" i="4"/>
  <c r="DE297" i="4"/>
  <c r="DF297" i="4"/>
  <c r="DG297" i="4"/>
  <c r="DH297" i="4"/>
  <c r="DI297" i="4"/>
  <c r="DW297" i="4" s="1"/>
  <c r="DJ297" i="4"/>
  <c r="DK297" i="4"/>
  <c r="BN298" i="4"/>
  <c r="BZ298" i="4" s="1"/>
  <c r="CL298" i="4" s="1"/>
  <c r="DN298" i="4" s="1"/>
  <c r="BO298" i="4"/>
  <c r="CA298" i="4" s="1"/>
  <c r="BP298" i="4"/>
  <c r="CB298" i="4" s="1"/>
  <c r="CN298" i="4" s="1"/>
  <c r="BQ298" i="4"/>
  <c r="CC298" i="4" s="1"/>
  <c r="CO298" i="4" s="1"/>
  <c r="BR298" i="4"/>
  <c r="CD298" i="4" s="1"/>
  <c r="CP298" i="4" s="1"/>
  <c r="BS298" i="4"/>
  <c r="BT298" i="4"/>
  <c r="CF298" i="4" s="1"/>
  <c r="CR298" i="4" s="1"/>
  <c r="BU298" i="4"/>
  <c r="CG298" i="4" s="1"/>
  <c r="CS298" i="4" s="1"/>
  <c r="BV298" i="4"/>
  <c r="CH298" i="4" s="1"/>
  <c r="CT298" i="4" s="1"/>
  <c r="BW298" i="4"/>
  <c r="CI298" i="4" s="1"/>
  <c r="CU298" i="4" s="1"/>
  <c r="BX298" i="4"/>
  <c r="CJ298" i="4" s="1"/>
  <c r="CV298" i="4" s="1"/>
  <c r="BY298" i="4"/>
  <c r="CK298" i="4" s="1"/>
  <c r="CW298" i="4" s="1"/>
  <c r="CE298" i="4"/>
  <c r="CQ298" i="4" s="1"/>
  <c r="CM298" i="4"/>
  <c r="CZ298" i="4"/>
  <c r="DA298" i="4"/>
  <c r="DB298" i="4"/>
  <c r="DC298" i="4"/>
  <c r="DD298" i="4"/>
  <c r="DE298" i="4"/>
  <c r="DS298" i="4" s="1"/>
  <c r="DF298" i="4"/>
  <c r="DG298" i="4"/>
  <c r="DH298" i="4"/>
  <c r="DI298" i="4"/>
  <c r="DW298" i="4" s="1"/>
  <c r="DJ298" i="4"/>
  <c r="DK298" i="4"/>
  <c r="DX298" i="4"/>
  <c r="BN299" i="4"/>
  <c r="BZ299" i="4" s="1"/>
  <c r="CL299" i="4" s="1"/>
  <c r="BO299" i="4"/>
  <c r="CA299" i="4" s="1"/>
  <c r="CM299" i="4" s="1"/>
  <c r="BP299" i="4"/>
  <c r="BQ299" i="4"/>
  <c r="CC299" i="4" s="1"/>
  <c r="CO299" i="4" s="1"/>
  <c r="BR299" i="4"/>
  <c r="CD299" i="4" s="1"/>
  <c r="CP299" i="4" s="1"/>
  <c r="BS299" i="4"/>
  <c r="CE299" i="4" s="1"/>
  <c r="CQ299" i="4" s="1"/>
  <c r="BT299" i="4"/>
  <c r="CF299" i="4" s="1"/>
  <c r="CR299" i="4" s="1"/>
  <c r="DT299" i="4" s="1"/>
  <c r="BU299" i="4"/>
  <c r="CG299" i="4" s="1"/>
  <c r="CS299" i="4" s="1"/>
  <c r="BV299" i="4"/>
  <c r="BW299" i="4"/>
  <c r="CI299" i="4" s="1"/>
  <c r="BX299" i="4"/>
  <c r="CJ299" i="4" s="1"/>
  <c r="CV299" i="4" s="1"/>
  <c r="DX299" i="4" s="1"/>
  <c r="BY299" i="4"/>
  <c r="CK299" i="4" s="1"/>
  <c r="CW299" i="4" s="1"/>
  <c r="CB299" i="4"/>
  <c r="CN299" i="4" s="1"/>
  <c r="DP299" i="4" s="1"/>
  <c r="CH299" i="4"/>
  <c r="CT299" i="4" s="1"/>
  <c r="CU299" i="4"/>
  <c r="CZ299" i="4"/>
  <c r="DA299" i="4"/>
  <c r="DB299" i="4"/>
  <c r="DC299" i="4"/>
  <c r="DD299" i="4"/>
  <c r="DR299" i="4" s="1"/>
  <c r="DE299" i="4"/>
  <c r="DF299" i="4"/>
  <c r="DG299" i="4"/>
  <c r="DH299" i="4"/>
  <c r="DI299" i="4"/>
  <c r="DJ299" i="4"/>
  <c r="DK299" i="4"/>
  <c r="DU299" i="4"/>
  <c r="BN300" i="4"/>
  <c r="BO300" i="4"/>
  <c r="CA300" i="4" s="1"/>
  <c r="BP300" i="4"/>
  <c r="CB300" i="4" s="1"/>
  <c r="CN300" i="4" s="1"/>
  <c r="BQ300" i="4"/>
  <c r="BR300" i="4"/>
  <c r="BS300" i="4"/>
  <c r="CE300" i="4" s="1"/>
  <c r="CQ300" i="4" s="1"/>
  <c r="BT300" i="4"/>
  <c r="CF300" i="4" s="1"/>
  <c r="CR300" i="4" s="1"/>
  <c r="DT300" i="4" s="1"/>
  <c r="BU300" i="4"/>
  <c r="CG300" i="4" s="1"/>
  <c r="CS300" i="4" s="1"/>
  <c r="BV300" i="4"/>
  <c r="BW300" i="4"/>
  <c r="CI300" i="4" s="1"/>
  <c r="CU300" i="4" s="1"/>
  <c r="BX300" i="4"/>
  <c r="CJ300" i="4" s="1"/>
  <c r="CV300" i="4" s="1"/>
  <c r="BY300" i="4"/>
  <c r="CK300" i="4" s="1"/>
  <c r="CW300" i="4" s="1"/>
  <c r="BZ300" i="4"/>
  <c r="CL300" i="4" s="1"/>
  <c r="CC300" i="4"/>
  <c r="CO300" i="4" s="1"/>
  <c r="CD300" i="4"/>
  <c r="CP300" i="4" s="1"/>
  <c r="CH300" i="4"/>
  <c r="CT300" i="4" s="1"/>
  <c r="DV300" i="4" s="1"/>
  <c r="CM300" i="4"/>
  <c r="DO300" i="4" s="1"/>
  <c r="CZ300" i="4"/>
  <c r="DA300" i="4"/>
  <c r="DB300" i="4"/>
  <c r="DC300" i="4"/>
  <c r="DD300" i="4"/>
  <c r="DE300" i="4"/>
  <c r="DF300" i="4"/>
  <c r="DG300" i="4"/>
  <c r="DH300" i="4"/>
  <c r="DI300" i="4"/>
  <c r="DJ300" i="4"/>
  <c r="DK300" i="4"/>
  <c r="DW300" i="4"/>
  <c r="BN301" i="4"/>
  <c r="BZ301" i="4" s="1"/>
  <c r="CL301" i="4" s="1"/>
  <c r="BO301" i="4"/>
  <c r="CA301" i="4" s="1"/>
  <c r="CM301" i="4" s="1"/>
  <c r="BP301" i="4"/>
  <c r="CB301" i="4" s="1"/>
  <c r="CN301" i="4" s="1"/>
  <c r="DP301" i="4" s="1"/>
  <c r="BQ301" i="4"/>
  <c r="CC301" i="4" s="1"/>
  <c r="BR301" i="4"/>
  <c r="BS301" i="4"/>
  <c r="CE301" i="4" s="1"/>
  <c r="BT301" i="4"/>
  <c r="BU301" i="4"/>
  <c r="CG301" i="4" s="1"/>
  <c r="CS301" i="4" s="1"/>
  <c r="BV301" i="4"/>
  <c r="CH301" i="4" s="1"/>
  <c r="BW301" i="4"/>
  <c r="CI301" i="4" s="1"/>
  <c r="CU301" i="4" s="1"/>
  <c r="BX301" i="4"/>
  <c r="CJ301" i="4" s="1"/>
  <c r="CV301" i="4" s="1"/>
  <c r="BY301" i="4"/>
  <c r="CD301" i="4"/>
  <c r="CP301" i="4" s="1"/>
  <c r="CF301" i="4"/>
  <c r="CR301" i="4" s="1"/>
  <c r="DT301" i="4" s="1"/>
  <c r="CK301" i="4"/>
  <c r="CW301" i="4" s="1"/>
  <c r="CO301" i="4"/>
  <c r="CQ301" i="4"/>
  <c r="CT301" i="4"/>
  <c r="CZ301" i="4"/>
  <c r="DA301" i="4"/>
  <c r="DB301" i="4"/>
  <c r="DC301" i="4"/>
  <c r="DD301" i="4"/>
  <c r="DE301" i="4"/>
  <c r="DS301" i="4" s="1"/>
  <c r="DF301" i="4"/>
  <c r="DG301" i="4"/>
  <c r="DH301" i="4"/>
  <c r="DI301" i="4"/>
  <c r="DJ301" i="4"/>
  <c r="DK301" i="4"/>
  <c r="DY301" i="4" s="1"/>
  <c r="BN302" i="4"/>
  <c r="BZ302" i="4" s="1"/>
  <c r="CL302" i="4" s="1"/>
  <c r="BO302" i="4"/>
  <c r="CA302" i="4" s="1"/>
  <c r="CM302" i="4" s="1"/>
  <c r="DO302" i="4" s="1"/>
  <c r="BP302" i="4"/>
  <c r="CB302" i="4" s="1"/>
  <c r="CN302" i="4" s="1"/>
  <c r="BQ302" i="4"/>
  <c r="CC302" i="4" s="1"/>
  <c r="BR302" i="4"/>
  <c r="BS302" i="4"/>
  <c r="CE302" i="4" s="1"/>
  <c r="CQ302" i="4" s="1"/>
  <c r="BT302" i="4"/>
  <c r="CF302" i="4" s="1"/>
  <c r="CR302" i="4" s="1"/>
  <c r="BU302" i="4"/>
  <c r="BV302" i="4"/>
  <c r="CH302" i="4" s="1"/>
  <c r="BW302" i="4"/>
  <c r="CI302" i="4" s="1"/>
  <c r="CU302" i="4" s="1"/>
  <c r="DW302" i="4" s="1"/>
  <c r="BX302" i="4"/>
  <c r="CJ302" i="4" s="1"/>
  <c r="CV302" i="4" s="1"/>
  <c r="DX302" i="4" s="1"/>
  <c r="BY302" i="4"/>
  <c r="CK302" i="4" s="1"/>
  <c r="CW302" i="4" s="1"/>
  <c r="CD302" i="4"/>
  <c r="CP302" i="4" s="1"/>
  <c r="CG302" i="4"/>
  <c r="CS302" i="4" s="1"/>
  <c r="DU302" i="4" s="1"/>
  <c r="CO302" i="4"/>
  <c r="CT302" i="4"/>
  <c r="CZ302" i="4"/>
  <c r="DN302" i="4" s="1"/>
  <c r="DA302" i="4"/>
  <c r="DB302" i="4"/>
  <c r="DC302" i="4"/>
  <c r="DD302" i="4"/>
  <c r="DE302" i="4"/>
  <c r="DS302" i="4" s="1"/>
  <c r="DF302" i="4"/>
  <c r="DG302" i="4"/>
  <c r="DH302" i="4"/>
  <c r="DV302" i="4" s="1"/>
  <c r="DI302" i="4"/>
  <c r="DJ302" i="4"/>
  <c r="DK302" i="4"/>
  <c r="BN303" i="4"/>
  <c r="BZ303" i="4" s="1"/>
  <c r="CL303" i="4" s="1"/>
  <c r="BO303" i="4"/>
  <c r="CA303" i="4" s="1"/>
  <c r="CM303" i="4" s="1"/>
  <c r="BP303" i="4"/>
  <c r="BQ303" i="4"/>
  <c r="CC303" i="4" s="1"/>
  <c r="CO303" i="4" s="1"/>
  <c r="DQ303" i="4" s="1"/>
  <c r="BR303" i="4"/>
  <c r="CD303" i="4" s="1"/>
  <c r="CP303" i="4" s="1"/>
  <c r="BS303" i="4"/>
  <c r="BT303" i="4"/>
  <c r="BU303" i="4"/>
  <c r="CG303" i="4" s="1"/>
  <c r="CS303" i="4" s="1"/>
  <c r="DU303" i="4" s="1"/>
  <c r="BV303" i="4"/>
  <c r="BW303" i="4"/>
  <c r="BX303" i="4"/>
  <c r="BY303" i="4"/>
  <c r="CK303" i="4" s="1"/>
  <c r="CW303" i="4" s="1"/>
  <c r="DY303" i="4" s="1"/>
  <c r="CB303" i="4"/>
  <c r="CN303" i="4" s="1"/>
  <c r="DP303" i="4" s="1"/>
  <c r="CE303" i="4"/>
  <c r="CQ303" i="4" s="1"/>
  <c r="CF303" i="4"/>
  <c r="CR303" i="4" s="1"/>
  <c r="CH303" i="4"/>
  <c r="CT303" i="4" s="1"/>
  <c r="CI303" i="4"/>
  <c r="CU303" i="4" s="1"/>
  <c r="CJ303" i="4"/>
  <c r="CV303" i="4" s="1"/>
  <c r="CZ303" i="4"/>
  <c r="DA303" i="4"/>
  <c r="DB303" i="4"/>
  <c r="DC303" i="4"/>
  <c r="DD303" i="4"/>
  <c r="DE303" i="4"/>
  <c r="DF303" i="4"/>
  <c r="DG303" i="4"/>
  <c r="DH303" i="4"/>
  <c r="DV303" i="4" s="1"/>
  <c r="DI303" i="4"/>
  <c r="DW303" i="4" s="1"/>
  <c r="DJ303" i="4"/>
  <c r="DK303" i="4"/>
  <c r="BN304" i="4"/>
  <c r="BO304" i="4"/>
  <c r="CA304" i="4" s="1"/>
  <c r="CM304" i="4" s="1"/>
  <c r="BP304" i="4"/>
  <c r="CB304" i="4" s="1"/>
  <c r="BQ304" i="4"/>
  <c r="CC304" i="4" s="1"/>
  <c r="CO304" i="4" s="1"/>
  <c r="BR304" i="4"/>
  <c r="CD304" i="4" s="1"/>
  <c r="CP304" i="4" s="1"/>
  <c r="BS304" i="4"/>
  <c r="CE304" i="4" s="1"/>
  <c r="BT304" i="4"/>
  <c r="BU304" i="4"/>
  <c r="CG304" i="4" s="1"/>
  <c r="CS304" i="4" s="1"/>
  <c r="DU304" i="4" s="1"/>
  <c r="BV304" i="4"/>
  <c r="BW304" i="4"/>
  <c r="BX304" i="4"/>
  <c r="CJ304" i="4" s="1"/>
  <c r="BY304" i="4"/>
  <c r="CK304" i="4" s="1"/>
  <c r="CW304" i="4" s="1"/>
  <c r="BZ304" i="4"/>
  <c r="CL304" i="4" s="1"/>
  <c r="DN304" i="4" s="1"/>
  <c r="CF304" i="4"/>
  <c r="CR304" i="4" s="1"/>
  <c r="DT304" i="4" s="1"/>
  <c r="CH304" i="4"/>
  <c r="CT304" i="4" s="1"/>
  <c r="CI304" i="4"/>
  <c r="CU304" i="4" s="1"/>
  <c r="CN304" i="4"/>
  <c r="CQ304" i="4"/>
  <c r="CV304" i="4"/>
  <c r="CZ304" i="4"/>
  <c r="DA304" i="4"/>
  <c r="DB304" i="4"/>
  <c r="DC304" i="4"/>
  <c r="DD304" i="4"/>
  <c r="DE304" i="4"/>
  <c r="DF304" i="4"/>
  <c r="DG304" i="4"/>
  <c r="DH304" i="4"/>
  <c r="DI304" i="4"/>
  <c r="DJ304" i="4"/>
  <c r="DK304" i="4"/>
  <c r="BN305" i="4"/>
  <c r="BZ305" i="4" s="1"/>
  <c r="BO305" i="4"/>
  <c r="CA305" i="4" s="1"/>
  <c r="BP305" i="4"/>
  <c r="CB305" i="4" s="1"/>
  <c r="CN305" i="4" s="1"/>
  <c r="BQ305" i="4"/>
  <c r="CC305" i="4" s="1"/>
  <c r="CO305" i="4" s="1"/>
  <c r="BR305" i="4"/>
  <c r="BS305" i="4"/>
  <c r="CE305" i="4" s="1"/>
  <c r="CQ305" i="4" s="1"/>
  <c r="BT305" i="4"/>
  <c r="CF305" i="4" s="1"/>
  <c r="CR305" i="4" s="1"/>
  <c r="DT305" i="4" s="1"/>
  <c r="BU305" i="4"/>
  <c r="CG305" i="4" s="1"/>
  <c r="CS305" i="4" s="1"/>
  <c r="BV305" i="4"/>
  <c r="CH305" i="4" s="1"/>
  <c r="BW305" i="4"/>
  <c r="CI305" i="4" s="1"/>
  <c r="BX305" i="4"/>
  <c r="CJ305" i="4" s="1"/>
  <c r="CV305" i="4" s="1"/>
  <c r="BY305" i="4"/>
  <c r="CK305" i="4" s="1"/>
  <c r="CW305" i="4" s="1"/>
  <c r="CD305" i="4"/>
  <c r="CP305" i="4" s="1"/>
  <c r="CL305" i="4"/>
  <c r="CM305" i="4"/>
  <c r="CT305" i="4"/>
  <c r="CU305" i="4"/>
  <c r="DW305" i="4" s="1"/>
  <c r="CZ305" i="4"/>
  <c r="DA305" i="4"/>
  <c r="DB305" i="4"/>
  <c r="DC305" i="4"/>
  <c r="DQ305" i="4" s="1"/>
  <c r="DD305" i="4"/>
  <c r="DE305" i="4"/>
  <c r="DS305" i="4" s="1"/>
  <c r="DF305" i="4"/>
  <c r="DG305" i="4"/>
  <c r="DH305" i="4"/>
  <c r="DI305" i="4"/>
  <c r="DJ305" i="4"/>
  <c r="DK305" i="4"/>
  <c r="BN306" i="4"/>
  <c r="BZ306" i="4" s="1"/>
  <c r="CL306" i="4" s="1"/>
  <c r="BO306" i="4"/>
  <c r="BP306" i="4"/>
  <c r="CB306" i="4" s="1"/>
  <c r="CN306" i="4" s="1"/>
  <c r="BQ306" i="4"/>
  <c r="CC306" i="4" s="1"/>
  <c r="CO306" i="4" s="1"/>
  <c r="BR306" i="4"/>
  <c r="CD306" i="4" s="1"/>
  <c r="BS306" i="4"/>
  <c r="CE306" i="4" s="1"/>
  <c r="BT306" i="4"/>
  <c r="CF306" i="4" s="1"/>
  <c r="CR306" i="4" s="1"/>
  <c r="BU306" i="4"/>
  <c r="CG306" i="4" s="1"/>
  <c r="CS306" i="4" s="1"/>
  <c r="BV306" i="4"/>
  <c r="CH306" i="4" s="1"/>
  <c r="CT306" i="4" s="1"/>
  <c r="BW306" i="4"/>
  <c r="CI306" i="4" s="1"/>
  <c r="CU306" i="4" s="1"/>
  <c r="BX306" i="4"/>
  <c r="CJ306" i="4" s="1"/>
  <c r="CV306" i="4" s="1"/>
  <c r="BY306" i="4"/>
  <c r="CK306" i="4" s="1"/>
  <c r="CW306" i="4" s="1"/>
  <c r="CA306" i="4"/>
  <c r="CM306" i="4" s="1"/>
  <c r="CP306" i="4"/>
  <c r="DR306" i="4" s="1"/>
  <c r="CQ306" i="4"/>
  <c r="CZ306" i="4"/>
  <c r="DA306" i="4"/>
  <c r="DB306" i="4"/>
  <c r="DC306" i="4"/>
  <c r="DD306" i="4"/>
  <c r="DE306" i="4"/>
  <c r="DF306" i="4"/>
  <c r="DG306" i="4"/>
  <c r="DH306" i="4"/>
  <c r="DI306" i="4"/>
  <c r="DJ306" i="4"/>
  <c r="DK306" i="4"/>
  <c r="BN307" i="4"/>
  <c r="BO307" i="4"/>
  <c r="CA307" i="4" s="1"/>
  <c r="CM307" i="4" s="1"/>
  <c r="DO307" i="4" s="1"/>
  <c r="BP307" i="4"/>
  <c r="CB307" i="4" s="1"/>
  <c r="CN307" i="4" s="1"/>
  <c r="BQ307" i="4"/>
  <c r="CC307" i="4" s="1"/>
  <c r="BR307" i="4"/>
  <c r="CD307" i="4" s="1"/>
  <c r="BS307" i="4"/>
  <c r="BT307" i="4"/>
  <c r="CF307" i="4" s="1"/>
  <c r="CR307" i="4" s="1"/>
  <c r="BU307" i="4"/>
  <c r="BV307" i="4"/>
  <c r="BW307" i="4"/>
  <c r="CI307" i="4" s="1"/>
  <c r="CU307" i="4" s="1"/>
  <c r="DW307" i="4" s="1"/>
  <c r="BX307" i="4"/>
  <c r="BY307" i="4"/>
  <c r="BZ307" i="4"/>
  <c r="CL307" i="4" s="1"/>
  <c r="DN307" i="4" s="1"/>
  <c r="CE307" i="4"/>
  <c r="CQ307" i="4" s="1"/>
  <c r="CG307" i="4"/>
  <c r="CH307" i="4"/>
  <c r="CT307" i="4" s="1"/>
  <c r="DV307" i="4" s="1"/>
  <c r="CJ307" i="4"/>
  <c r="CV307" i="4" s="1"/>
  <c r="CK307" i="4"/>
  <c r="CW307" i="4" s="1"/>
  <c r="CO307" i="4"/>
  <c r="CP307" i="4"/>
  <c r="CS307" i="4"/>
  <c r="CZ307" i="4"/>
  <c r="DA307" i="4"/>
  <c r="DB307" i="4"/>
  <c r="DC307" i="4"/>
  <c r="DD307" i="4"/>
  <c r="DE307" i="4"/>
  <c r="DS307" i="4" s="1"/>
  <c r="DF307" i="4"/>
  <c r="DG307" i="4"/>
  <c r="DU307" i="4" s="1"/>
  <c r="DH307" i="4"/>
  <c r="DI307" i="4"/>
  <c r="DJ307" i="4"/>
  <c r="DK307" i="4"/>
  <c r="BN308" i="4"/>
  <c r="BZ308" i="4" s="1"/>
  <c r="CL308" i="4" s="1"/>
  <c r="DN308" i="4" s="1"/>
  <c r="BO308" i="4"/>
  <c r="CA308" i="4" s="1"/>
  <c r="CM308" i="4" s="1"/>
  <c r="BP308" i="4"/>
  <c r="CB308" i="4" s="1"/>
  <c r="CN308" i="4" s="1"/>
  <c r="BQ308" i="4"/>
  <c r="CC308" i="4" s="1"/>
  <c r="CO308" i="4" s="1"/>
  <c r="BR308" i="4"/>
  <c r="CD308" i="4" s="1"/>
  <c r="CP308" i="4" s="1"/>
  <c r="DR308" i="4" s="1"/>
  <c r="BS308" i="4"/>
  <c r="BT308" i="4"/>
  <c r="CF308" i="4" s="1"/>
  <c r="CR308" i="4" s="1"/>
  <c r="BU308" i="4"/>
  <c r="CG308" i="4" s="1"/>
  <c r="CS308" i="4" s="1"/>
  <c r="BV308" i="4"/>
  <c r="CH308" i="4" s="1"/>
  <c r="CT308" i="4" s="1"/>
  <c r="BW308" i="4"/>
  <c r="CI308" i="4" s="1"/>
  <c r="CU308" i="4" s="1"/>
  <c r="BX308" i="4"/>
  <c r="CJ308" i="4" s="1"/>
  <c r="BY308" i="4"/>
  <c r="CK308" i="4" s="1"/>
  <c r="CW308" i="4" s="1"/>
  <c r="CE308" i="4"/>
  <c r="CQ308" i="4"/>
  <c r="CV308" i="4"/>
  <c r="CZ308" i="4"/>
  <c r="DA308" i="4"/>
  <c r="DB308" i="4"/>
  <c r="DC308" i="4"/>
  <c r="DD308" i="4"/>
  <c r="DE308" i="4"/>
  <c r="DF308" i="4"/>
  <c r="DG308" i="4"/>
  <c r="DH308" i="4"/>
  <c r="DI308" i="4"/>
  <c r="DW308" i="4" s="1"/>
  <c r="DJ308" i="4"/>
  <c r="DK308" i="4"/>
  <c r="DY308" i="4" s="1"/>
  <c r="BN309" i="4"/>
  <c r="BZ309" i="4" s="1"/>
  <c r="CL309" i="4" s="1"/>
  <c r="DN309" i="4" s="1"/>
  <c r="BO309" i="4"/>
  <c r="BP309" i="4"/>
  <c r="CB309" i="4" s="1"/>
  <c r="CN309" i="4" s="1"/>
  <c r="BQ309" i="4"/>
  <c r="BR309" i="4"/>
  <c r="CD309" i="4" s="1"/>
  <c r="CP309" i="4" s="1"/>
  <c r="DR309" i="4" s="1"/>
  <c r="BS309" i="4"/>
  <c r="CE309" i="4" s="1"/>
  <c r="CQ309" i="4" s="1"/>
  <c r="BT309" i="4"/>
  <c r="CF309" i="4" s="1"/>
  <c r="CR309" i="4" s="1"/>
  <c r="BU309" i="4"/>
  <c r="CG309" i="4" s="1"/>
  <c r="BV309" i="4"/>
  <c r="CH309" i="4" s="1"/>
  <c r="CT309" i="4" s="1"/>
  <c r="DV309" i="4" s="1"/>
  <c r="BW309" i="4"/>
  <c r="BX309" i="4"/>
  <c r="CJ309" i="4" s="1"/>
  <c r="CV309" i="4" s="1"/>
  <c r="BY309" i="4"/>
  <c r="CK309" i="4" s="1"/>
  <c r="CW309" i="4" s="1"/>
  <c r="CA309" i="4"/>
  <c r="CM309" i="4" s="1"/>
  <c r="CC309" i="4"/>
  <c r="CO309" i="4" s="1"/>
  <c r="CI309" i="4"/>
  <c r="CU309" i="4" s="1"/>
  <c r="CS309" i="4"/>
  <c r="DU309" i="4" s="1"/>
  <c r="CZ309" i="4"/>
  <c r="DA309" i="4"/>
  <c r="DB309" i="4"/>
  <c r="DC309" i="4"/>
  <c r="DD309" i="4"/>
  <c r="DE309" i="4"/>
  <c r="DF309" i="4"/>
  <c r="DG309" i="4"/>
  <c r="DH309" i="4"/>
  <c r="DI309" i="4"/>
  <c r="DJ309" i="4"/>
  <c r="DK309" i="4"/>
  <c r="DY309" i="4" s="1"/>
  <c r="BN310" i="4"/>
  <c r="BZ310" i="4" s="1"/>
  <c r="BO310" i="4"/>
  <c r="CA310" i="4" s="1"/>
  <c r="CM310" i="4" s="1"/>
  <c r="DO310" i="4" s="1"/>
  <c r="BP310" i="4"/>
  <c r="CB310" i="4" s="1"/>
  <c r="CN310" i="4" s="1"/>
  <c r="BQ310" i="4"/>
  <c r="CC310" i="4" s="1"/>
  <c r="CO310" i="4" s="1"/>
  <c r="BR310" i="4"/>
  <c r="BS310" i="4"/>
  <c r="CE310" i="4" s="1"/>
  <c r="CQ310" i="4" s="1"/>
  <c r="BT310" i="4"/>
  <c r="CF310" i="4" s="1"/>
  <c r="BU310" i="4"/>
  <c r="CG310" i="4" s="1"/>
  <c r="CS310" i="4" s="1"/>
  <c r="BV310" i="4"/>
  <c r="CH310" i="4" s="1"/>
  <c r="CT310" i="4" s="1"/>
  <c r="BW310" i="4"/>
  <c r="CI310" i="4" s="1"/>
  <c r="CU310" i="4" s="1"/>
  <c r="DW310" i="4" s="1"/>
  <c r="BX310" i="4"/>
  <c r="CJ310" i="4" s="1"/>
  <c r="CV310" i="4" s="1"/>
  <c r="DX310" i="4" s="1"/>
  <c r="BY310" i="4"/>
  <c r="CK310" i="4" s="1"/>
  <c r="CW310" i="4" s="1"/>
  <c r="CD310" i="4"/>
  <c r="CP310" i="4" s="1"/>
  <c r="DR310" i="4" s="1"/>
  <c r="CL310" i="4"/>
  <c r="CR310" i="4"/>
  <c r="DT310" i="4" s="1"/>
  <c r="CZ310" i="4"/>
  <c r="DA310" i="4"/>
  <c r="DB310" i="4"/>
  <c r="DC310" i="4"/>
  <c r="DD310" i="4"/>
  <c r="DE310" i="4"/>
  <c r="DF310" i="4"/>
  <c r="DG310" i="4"/>
  <c r="DU310" i="4" s="1"/>
  <c r="DH310" i="4"/>
  <c r="DI310" i="4"/>
  <c r="DJ310" i="4"/>
  <c r="DK310" i="4"/>
  <c r="BN311" i="4"/>
  <c r="BO311" i="4"/>
  <c r="CA311" i="4" s="1"/>
  <c r="CM311" i="4" s="1"/>
  <c r="BP311" i="4"/>
  <c r="BQ311" i="4"/>
  <c r="CC311" i="4" s="1"/>
  <c r="CO311" i="4" s="1"/>
  <c r="DQ311" i="4" s="1"/>
  <c r="BR311" i="4"/>
  <c r="CD311" i="4" s="1"/>
  <c r="BS311" i="4"/>
  <c r="CE311" i="4" s="1"/>
  <c r="CQ311" i="4" s="1"/>
  <c r="BT311" i="4"/>
  <c r="CF311" i="4" s="1"/>
  <c r="CR311" i="4" s="1"/>
  <c r="BU311" i="4"/>
  <c r="CG311" i="4" s="1"/>
  <c r="CS311" i="4" s="1"/>
  <c r="BV311" i="4"/>
  <c r="BW311" i="4"/>
  <c r="CI311" i="4" s="1"/>
  <c r="CU311" i="4" s="1"/>
  <c r="BX311" i="4"/>
  <c r="BY311" i="4"/>
  <c r="CK311" i="4" s="1"/>
  <c r="CW311" i="4" s="1"/>
  <c r="DY311" i="4" s="1"/>
  <c r="BZ311" i="4"/>
  <c r="CL311" i="4" s="1"/>
  <c r="CB311" i="4"/>
  <c r="CN311" i="4" s="1"/>
  <c r="DP311" i="4" s="1"/>
  <c r="CH311" i="4"/>
  <c r="CT311" i="4" s="1"/>
  <c r="CJ311" i="4"/>
  <c r="CV311" i="4" s="1"/>
  <c r="DX311" i="4" s="1"/>
  <c r="CP311" i="4"/>
  <c r="DR311" i="4" s="1"/>
  <c r="CZ311" i="4"/>
  <c r="DA311" i="4"/>
  <c r="DB311" i="4"/>
  <c r="DC311" i="4"/>
  <c r="DD311" i="4"/>
  <c r="DE311" i="4"/>
  <c r="DF311" i="4"/>
  <c r="DG311" i="4"/>
  <c r="DH311" i="4"/>
  <c r="DI311" i="4"/>
  <c r="DW311" i="4" s="1"/>
  <c r="DJ311" i="4"/>
  <c r="DK311" i="4"/>
  <c r="DV311" i="4"/>
  <c r="BN312" i="4"/>
  <c r="BZ312" i="4" s="1"/>
  <c r="CL312" i="4" s="1"/>
  <c r="DN312" i="4" s="1"/>
  <c r="BO312" i="4"/>
  <c r="BP312" i="4"/>
  <c r="CB312" i="4" s="1"/>
  <c r="BQ312" i="4"/>
  <c r="CC312" i="4" s="1"/>
  <c r="CO312" i="4" s="1"/>
  <c r="BR312" i="4"/>
  <c r="CD312" i="4" s="1"/>
  <c r="CP312" i="4" s="1"/>
  <c r="BS312" i="4"/>
  <c r="CE312" i="4" s="1"/>
  <c r="CQ312" i="4" s="1"/>
  <c r="DS312" i="4" s="1"/>
  <c r="BT312" i="4"/>
  <c r="BU312" i="4"/>
  <c r="CG312" i="4" s="1"/>
  <c r="CS312" i="4" s="1"/>
  <c r="BV312" i="4"/>
  <c r="CH312" i="4" s="1"/>
  <c r="CT312" i="4" s="1"/>
  <c r="DV312" i="4" s="1"/>
  <c r="BW312" i="4"/>
  <c r="CI312" i="4" s="1"/>
  <c r="CU312" i="4" s="1"/>
  <c r="BX312" i="4"/>
  <c r="CJ312" i="4" s="1"/>
  <c r="BY312" i="4"/>
  <c r="CK312" i="4" s="1"/>
  <c r="CW312" i="4" s="1"/>
  <c r="CA312" i="4"/>
  <c r="CM312" i="4" s="1"/>
  <c r="DO312" i="4" s="1"/>
  <c r="CF312" i="4"/>
  <c r="CR312" i="4" s="1"/>
  <c r="CN312" i="4"/>
  <c r="CV312" i="4"/>
  <c r="CZ312" i="4"/>
  <c r="DA312" i="4"/>
  <c r="DB312" i="4"/>
  <c r="DC312" i="4"/>
  <c r="DQ312" i="4" s="1"/>
  <c r="DD312" i="4"/>
  <c r="DE312" i="4"/>
  <c r="DF312" i="4"/>
  <c r="DG312" i="4"/>
  <c r="DH312" i="4"/>
  <c r="DI312" i="4"/>
  <c r="DJ312" i="4"/>
  <c r="DK312" i="4"/>
  <c r="DY312" i="4" s="1"/>
  <c r="BN313" i="4"/>
  <c r="BZ313" i="4" s="1"/>
  <c r="CL313" i="4" s="1"/>
  <c r="BO313" i="4"/>
  <c r="BP313" i="4"/>
  <c r="CB313" i="4" s="1"/>
  <c r="BQ313" i="4"/>
  <c r="CC313" i="4" s="1"/>
  <c r="CO313" i="4" s="1"/>
  <c r="DQ313" i="4" s="1"/>
  <c r="BR313" i="4"/>
  <c r="CD313" i="4" s="1"/>
  <c r="CP313" i="4" s="1"/>
  <c r="BS313" i="4"/>
  <c r="CE313" i="4" s="1"/>
  <c r="CQ313" i="4" s="1"/>
  <c r="BT313" i="4"/>
  <c r="CF313" i="4" s="1"/>
  <c r="CR313" i="4" s="1"/>
  <c r="BU313" i="4"/>
  <c r="CG313" i="4" s="1"/>
  <c r="CS313" i="4" s="1"/>
  <c r="BV313" i="4"/>
  <c r="CH313" i="4" s="1"/>
  <c r="BW313" i="4"/>
  <c r="BX313" i="4"/>
  <c r="CJ313" i="4" s="1"/>
  <c r="CV313" i="4" s="1"/>
  <c r="BY313" i="4"/>
  <c r="CK313" i="4" s="1"/>
  <c r="CW313" i="4" s="1"/>
  <c r="DY313" i="4" s="1"/>
  <c r="CA313" i="4"/>
  <c r="CM313" i="4" s="1"/>
  <c r="CI313" i="4"/>
  <c r="CU313" i="4" s="1"/>
  <c r="CN313" i="4"/>
  <c r="CT313" i="4"/>
  <c r="DV313" i="4" s="1"/>
  <c r="CZ313" i="4"/>
  <c r="DA313" i="4"/>
  <c r="DB313" i="4"/>
  <c r="DC313" i="4"/>
  <c r="DD313" i="4"/>
  <c r="DR313" i="4" s="1"/>
  <c r="DE313" i="4"/>
  <c r="DF313" i="4"/>
  <c r="DG313" i="4"/>
  <c r="DH313" i="4"/>
  <c r="DI313" i="4"/>
  <c r="DJ313" i="4"/>
  <c r="DK313" i="4"/>
  <c r="BN314" i="4"/>
  <c r="BZ314" i="4" s="1"/>
  <c r="BO314" i="4"/>
  <c r="CA314" i="4" s="1"/>
  <c r="CM314" i="4" s="1"/>
  <c r="DO314" i="4" s="1"/>
  <c r="BP314" i="4"/>
  <c r="CB314" i="4" s="1"/>
  <c r="CN314" i="4" s="1"/>
  <c r="DP314" i="4" s="1"/>
  <c r="BQ314" i="4"/>
  <c r="CC314" i="4" s="1"/>
  <c r="CO314" i="4" s="1"/>
  <c r="BR314" i="4"/>
  <c r="BS314" i="4"/>
  <c r="BT314" i="4"/>
  <c r="CF314" i="4" s="1"/>
  <c r="CR314" i="4" s="1"/>
  <c r="DT314" i="4" s="1"/>
  <c r="BU314" i="4"/>
  <c r="CG314" i="4" s="1"/>
  <c r="CS314" i="4" s="1"/>
  <c r="BV314" i="4"/>
  <c r="CH314" i="4" s="1"/>
  <c r="BW314" i="4"/>
  <c r="CI314" i="4" s="1"/>
  <c r="CU314" i="4" s="1"/>
  <c r="DW314" i="4" s="1"/>
  <c r="BX314" i="4"/>
  <c r="BY314" i="4"/>
  <c r="CK314" i="4" s="1"/>
  <c r="CW314" i="4" s="1"/>
  <c r="CD314" i="4"/>
  <c r="CP314" i="4" s="1"/>
  <c r="CE314" i="4"/>
  <c r="CQ314" i="4" s="1"/>
  <c r="CJ314" i="4"/>
  <c r="CV314" i="4" s="1"/>
  <c r="DX314" i="4" s="1"/>
  <c r="CL314" i="4"/>
  <c r="CT314" i="4"/>
  <c r="CZ314" i="4"/>
  <c r="DA314" i="4"/>
  <c r="DB314" i="4"/>
  <c r="DC314" i="4"/>
  <c r="DD314" i="4"/>
  <c r="DE314" i="4"/>
  <c r="DS314" i="4" s="1"/>
  <c r="DF314" i="4"/>
  <c r="DG314" i="4"/>
  <c r="DH314" i="4"/>
  <c r="DI314" i="4"/>
  <c r="DJ314" i="4"/>
  <c r="DK314" i="4"/>
  <c r="BN315" i="4"/>
  <c r="BO315" i="4"/>
  <c r="CA315" i="4" s="1"/>
  <c r="CM315" i="4" s="1"/>
  <c r="BP315" i="4"/>
  <c r="CB315" i="4" s="1"/>
  <c r="CN315" i="4" s="1"/>
  <c r="BQ315" i="4"/>
  <c r="CC315" i="4" s="1"/>
  <c r="BR315" i="4"/>
  <c r="CD315" i="4" s="1"/>
  <c r="CP315" i="4" s="1"/>
  <c r="BS315" i="4"/>
  <c r="CE315" i="4" s="1"/>
  <c r="CQ315" i="4" s="1"/>
  <c r="BT315" i="4"/>
  <c r="CF315" i="4" s="1"/>
  <c r="CR315" i="4" s="1"/>
  <c r="BU315" i="4"/>
  <c r="BV315" i="4"/>
  <c r="BW315" i="4"/>
  <c r="CI315" i="4" s="1"/>
  <c r="CU315" i="4" s="1"/>
  <c r="BX315" i="4"/>
  <c r="CJ315" i="4" s="1"/>
  <c r="CV315" i="4" s="1"/>
  <c r="BY315" i="4"/>
  <c r="BZ315" i="4"/>
  <c r="CL315" i="4" s="1"/>
  <c r="CG315" i="4"/>
  <c r="CS315" i="4" s="1"/>
  <c r="DU315" i="4" s="1"/>
  <c r="CH315" i="4"/>
  <c r="CT315" i="4" s="1"/>
  <c r="CK315" i="4"/>
  <c r="CW315" i="4" s="1"/>
  <c r="DY315" i="4" s="1"/>
  <c r="CO315" i="4"/>
  <c r="CZ315" i="4"/>
  <c r="DA315" i="4"/>
  <c r="DB315" i="4"/>
  <c r="DC315" i="4"/>
  <c r="DD315" i="4"/>
  <c r="DE315" i="4"/>
  <c r="DF315" i="4"/>
  <c r="DG315" i="4"/>
  <c r="DH315" i="4"/>
  <c r="DI315" i="4"/>
  <c r="DJ315" i="4"/>
  <c r="DK315" i="4"/>
  <c r="DP315" i="4"/>
  <c r="DQ315" i="4"/>
  <c r="BN316" i="4"/>
  <c r="BZ316" i="4" s="1"/>
  <c r="CL316" i="4" s="1"/>
  <c r="BO316" i="4"/>
  <c r="CA316" i="4" s="1"/>
  <c r="CM316" i="4" s="1"/>
  <c r="DO316" i="4" s="1"/>
  <c r="BP316" i="4"/>
  <c r="CB316" i="4" s="1"/>
  <c r="BQ316" i="4"/>
  <c r="BR316" i="4"/>
  <c r="CD316" i="4" s="1"/>
  <c r="CP316" i="4" s="1"/>
  <c r="BS316" i="4"/>
  <c r="CE316" i="4" s="1"/>
  <c r="CQ316" i="4" s="1"/>
  <c r="BT316" i="4"/>
  <c r="CF316" i="4" s="1"/>
  <c r="CR316" i="4" s="1"/>
  <c r="BU316" i="4"/>
  <c r="CG316" i="4" s="1"/>
  <c r="CS316" i="4" s="1"/>
  <c r="BV316" i="4"/>
  <c r="BW316" i="4"/>
  <c r="BX316" i="4"/>
  <c r="CJ316" i="4" s="1"/>
  <c r="CV316" i="4" s="1"/>
  <c r="DX316" i="4" s="1"/>
  <c r="BY316" i="4"/>
  <c r="CK316" i="4" s="1"/>
  <c r="CW316" i="4" s="1"/>
  <c r="CC316" i="4"/>
  <c r="CO316" i="4" s="1"/>
  <c r="CH316" i="4"/>
  <c r="CT316" i="4" s="1"/>
  <c r="CI316" i="4"/>
  <c r="CU316" i="4" s="1"/>
  <c r="DW316" i="4" s="1"/>
  <c r="CN316" i="4"/>
  <c r="DP316" i="4" s="1"/>
  <c r="CZ316" i="4"/>
  <c r="DN316" i="4" s="1"/>
  <c r="DA316" i="4"/>
  <c r="DB316" i="4"/>
  <c r="DC316" i="4"/>
  <c r="DD316" i="4"/>
  <c r="DE316" i="4"/>
  <c r="DF316" i="4"/>
  <c r="DG316" i="4"/>
  <c r="DU316" i="4" s="1"/>
  <c r="DH316" i="4"/>
  <c r="DI316" i="4"/>
  <c r="DJ316" i="4"/>
  <c r="DK316" i="4"/>
  <c r="BN317" i="4"/>
  <c r="BZ317" i="4" s="1"/>
  <c r="BO317" i="4"/>
  <c r="BP317" i="4"/>
  <c r="CB317" i="4" s="1"/>
  <c r="CN317" i="4" s="1"/>
  <c r="BQ317" i="4"/>
  <c r="CC317" i="4" s="1"/>
  <c r="CO317" i="4" s="1"/>
  <c r="BR317" i="4"/>
  <c r="CD317" i="4" s="1"/>
  <c r="CP317" i="4" s="1"/>
  <c r="BS317" i="4"/>
  <c r="CE317" i="4" s="1"/>
  <c r="CQ317" i="4" s="1"/>
  <c r="BT317" i="4"/>
  <c r="BU317" i="4"/>
  <c r="CG317" i="4" s="1"/>
  <c r="BV317" i="4"/>
  <c r="CH317" i="4" s="1"/>
  <c r="CT317" i="4" s="1"/>
  <c r="DV317" i="4" s="1"/>
  <c r="BW317" i="4"/>
  <c r="CI317" i="4" s="1"/>
  <c r="CU317" i="4" s="1"/>
  <c r="BX317" i="4"/>
  <c r="CJ317" i="4" s="1"/>
  <c r="CV317" i="4" s="1"/>
  <c r="BY317" i="4"/>
  <c r="CK317" i="4" s="1"/>
  <c r="CW317" i="4" s="1"/>
  <c r="CA317" i="4"/>
  <c r="CM317" i="4" s="1"/>
  <c r="CF317" i="4"/>
  <c r="CR317" i="4" s="1"/>
  <c r="CL317" i="4"/>
  <c r="DN317" i="4" s="1"/>
  <c r="CS317" i="4"/>
  <c r="DU317" i="4" s="1"/>
  <c r="CZ317" i="4"/>
  <c r="DA317" i="4"/>
  <c r="DB317" i="4"/>
  <c r="DC317" i="4"/>
  <c r="DD317" i="4"/>
  <c r="DE317" i="4"/>
  <c r="DF317" i="4"/>
  <c r="DT317" i="4" s="1"/>
  <c r="DG317" i="4"/>
  <c r="DH317" i="4"/>
  <c r="DI317" i="4"/>
  <c r="DW317" i="4" s="1"/>
  <c r="DJ317" i="4"/>
  <c r="DK317" i="4"/>
  <c r="BN318" i="4"/>
  <c r="BZ318" i="4" s="1"/>
  <c r="CL318" i="4" s="1"/>
  <c r="BO318" i="4"/>
  <c r="BP318" i="4"/>
  <c r="CB318" i="4" s="1"/>
  <c r="CN318" i="4" s="1"/>
  <c r="BQ318" i="4"/>
  <c r="CC318" i="4" s="1"/>
  <c r="CO318" i="4" s="1"/>
  <c r="BR318" i="4"/>
  <c r="BS318" i="4"/>
  <c r="CE318" i="4" s="1"/>
  <c r="CQ318" i="4" s="1"/>
  <c r="BT318" i="4"/>
  <c r="CF318" i="4" s="1"/>
  <c r="BU318" i="4"/>
  <c r="CG318" i="4" s="1"/>
  <c r="CS318" i="4" s="1"/>
  <c r="BV318" i="4"/>
  <c r="CH318" i="4" s="1"/>
  <c r="BW318" i="4"/>
  <c r="BX318" i="4"/>
  <c r="CJ318" i="4" s="1"/>
  <c r="CV318" i="4" s="1"/>
  <c r="BY318" i="4"/>
  <c r="CK318" i="4" s="1"/>
  <c r="CW318" i="4" s="1"/>
  <c r="CA318" i="4"/>
  <c r="CD318" i="4"/>
  <c r="CP318" i="4" s="1"/>
  <c r="CI318" i="4"/>
  <c r="CM318" i="4"/>
  <c r="DO318" i="4" s="1"/>
  <c r="CR318" i="4"/>
  <c r="CT318" i="4"/>
  <c r="CU318" i="4"/>
  <c r="CZ318" i="4"/>
  <c r="DA318" i="4"/>
  <c r="DB318" i="4"/>
  <c r="DC318" i="4"/>
  <c r="DD318" i="4"/>
  <c r="DE318" i="4"/>
  <c r="DF318" i="4"/>
  <c r="DG318" i="4"/>
  <c r="DH318" i="4"/>
  <c r="DI318" i="4"/>
  <c r="DJ318" i="4"/>
  <c r="DX318" i="4" s="1"/>
  <c r="DK318" i="4"/>
  <c r="DR318" i="4"/>
  <c r="BN319" i="4"/>
  <c r="BZ319" i="4" s="1"/>
  <c r="CL319" i="4" s="1"/>
  <c r="BO319" i="4"/>
  <c r="CA319" i="4" s="1"/>
  <c r="CM319" i="4" s="1"/>
  <c r="BP319" i="4"/>
  <c r="BQ319" i="4"/>
  <c r="CC319" i="4" s="1"/>
  <c r="CO319" i="4" s="1"/>
  <c r="DQ319" i="4" s="1"/>
  <c r="BR319" i="4"/>
  <c r="CD319" i="4" s="1"/>
  <c r="CP319" i="4" s="1"/>
  <c r="DR319" i="4" s="1"/>
  <c r="BS319" i="4"/>
  <c r="CE319" i="4" s="1"/>
  <c r="CQ319" i="4" s="1"/>
  <c r="BT319" i="4"/>
  <c r="CF319" i="4" s="1"/>
  <c r="CR319" i="4" s="1"/>
  <c r="BU319" i="4"/>
  <c r="CG319" i="4" s="1"/>
  <c r="CS319" i="4" s="1"/>
  <c r="BV319" i="4"/>
  <c r="BW319" i="4"/>
  <c r="CI319" i="4" s="1"/>
  <c r="CU319" i="4" s="1"/>
  <c r="BX319" i="4"/>
  <c r="BY319" i="4"/>
  <c r="CK319" i="4" s="1"/>
  <c r="CW319" i="4" s="1"/>
  <c r="DY319" i="4" s="1"/>
  <c r="CB319" i="4"/>
  <c r="CN319" i="4" s="1"/>
  <c r="DP319" i="4" s="1"/>
  <c r="CH319" i="4"/>
  <c r="CT319" i="4" s="1"/>
  <c r="CJ319" i="4"/>
  <c r="CV319" i="4" s="1"/>
  <c r="DX319" i="4" s="1"/>
  <c r="CZ319" i="4"/>
  <c r="DA319" i="4"/>
  <c r="DB319" i="4"/>
  <c r="DC319" i="4"/>
  <c r="DD319" i="4"/>
  <c r="DE319" i="4"/>
  <c r="DF319" i="4"/>
  <c r="DG319" i="4"/>
  <c r="DH319" i="4"/>
  <c r="DI319" i="4"/>
  <c r="DJ319" i="4"/>
  <c r="DK319" i="4"/>
  <c r="BN320" i="4"/>
  <c r="BZ320" i="4" s="1"/>
  <c r="CL320" i="4" s="1"/>
  <c r="DN320" i="4" s="1"/>
  <c r="BO320" i="4"/>
  <c r="CA320" i="4" s="1"/>
  <c r="CM320" i="4" s="1"/>
  <c r="DO320" i="4" s="1"/>
  <c r="BP320" i="4"/>
  <c r="CB320" i="4" s="1"/>
  <c r="BQ320" i="4"/>
  <c r="BR320" i="4"/>
  <c r="CD320" i="4" s="1"/>
  <c r="CP320" i="4" s="1"/>
  <c r="BS320" i="4"/>
  <c r="CE320" i="4" s="1"/>
  <c r="CQ320" i="4" s="1"/>
  <c r="BT320" i="4"/>
  <c r="BU320" i="4"/>
  <c r="CG320" i="4" s="1"/>
  <c r="CS320" i="4" s="1"/>
  <c r="BV320" i="4"/>
  <c r="CH320" i="4" s="1"/>
  <c r="CT320" i="4" s="1"/>
  <c r="DV320" i="4" s="1"/>
  <c r="BW320" i="4"/>
  <c r="CI320" i="4" s="1"/>
  <c r="CU320" i="4" s="1"/>
  <c r="DW320" i="4" s="1"/>
  <c r="BX320" i="4"/>
  <c r="CJ320" i="4" s="1"/>
  <c r="CV320" i="4" s="1"/>
  <c r="DX320" i="4" s="1"/>
  <c r="BY320" i="4"/>
  <c r="CC320" i="4"/>
  <c r="CO320" i="4" s="1"/>
  <c r="CF320" i="4"/>
  <c r="CR320" i="4" s="1"/>
  <c r="CK320" i="4"/>
  <c r="CW320" i="4" s="1"/>
  <c r="CN320" i="4"/>
  <c r="DP320" i="4" s="1"/>
  <c r="CZ320" i="4"/>
  <c r="DA320" i="4"/>
  <c r="DB320" i="4"/>
  <c r="DC320" i="4"/>
  <c r="DD320" i="4"/>
  <c r="DE320" i="4"/>
  <c r="DF320" i="4"/>
  <c r="DG320" i="4"/>
  <c r="DU320" i="4" s="1"/>
  <c r="DH320" i="4"/>
  <c r="DI320" i="4"/>
  <c r="DJ320" i="4"/>
  <c r="DK320" i="4"/>
  <c r="DL320" i="4"/>
  <c r="DT320" i="4"/>
  <c r="BN321" i="4"/>
  <c r="BZ321" i="4" s="1"/>
  <c r="BO321" i="4"/>
  <c r="CA321" i="4" s="1"/>
  <c r="CM321" i="4" s="1"/>
  <c r="BP321" i="4"/>
  <c r="CB321" i="4" s="1"/>
  <c r="BQ321" i="4"/>
  <c r="CC321" i="4" s="1"/>
  <c r="CO321" i="4" s="1"/>
  <c r="BR321" i="4"/>
  <c r="BS321" i="4"/>
  <c r="CE321" i="4" s="1"/>
  <c r="CQ321" i="4" s="1"/>
  <c r="BT321" i="4"/>
  <c r="BU321" i="4"/>
  <c r="CG321" i="4" s="1"/>
  <c r="CS321" i="4" s="1"/>
  <c r="BV321" i="4"/>
  <c r="CH321" i="4" s="1"/>
  <c r="CT321" i="4" s="1"/>
  <c r="BW321" i="4"/>
  <c r="CI321" i="4" s="1"/>
  <c r="CU321" i="4" s="1"/>
  <c r="BX321" i="4"/>
  <c r="CJ321" i="4" s="1"/>
  <c r="CV321" i="4" s="1"/>
  <c r="BY321" i="4"/>
  <c r="CK321" i="4" s="1"/>
  <c r="CW321" i="4" s="1"/>
  <c r="CD321" i="4"/>
  <c r="CP321" i="4" s="1"/>
  <c r="CF321" i="4"/>
  <c r="CR321" i="4" s="1"/>
  <c r="DT321" i="4" s="1"/>
  <c r="CL321" i="4"/>
  <c r="CN321" i="4"/>
  <c r="CZ321" i="4"/>
  <c r="DA321" i="4"/>
  <c r="DB321" i="4"/>
  <c r="DC321" i="4"/>
  <c r="DD321" i="4"/>
  <c r="DE321" i="4"/>
  <c r="DF321" i="4"/>
  <c r="DG321" i="4"/>
  <c r="DH321" i="4"/>
  <c r="DI321" i="4"/>
  <c r="DJ321" i="4"/>
  <c r="DK321" i="4"/>
  <c r="DR321" i="4"/>
  <c r="BN322" i="4"/>
  <c r="BZ322" i="4" s="1"/>
  <c r="CL322" i="4" s="1"/>
  <c r="BO322" i="4"/>
  <c r="CA322" i="4" s="1"/>
  <c r="CM322" i="4" s="1"/>
  <c r="BP322" i="4"/>
  <c r="CB322" i="4" s="1"/>
  <c r="CN322" i="4" s="1"/>
  <c r="DP322" i="4" s="1"/>
  <c r="BQ322" i="4"/>
  <c r="CC322" i="4" s="1"/>
  <c r="CO322" i="4" s="1"/>
  <c r="BR322" i="4"/>
  <c r="CD322" i="4" s="1"/>
  <c r="CP322" i="4" s="1"/>
  <c r="DR322" i="4" s="1"/>
  <c r="BS322" i="4"/>
  <c r="CE322" i="4" s="1"/>
  <c r="CQ322" i="4" s="1"/>
  <c r="DS322" i="4" s="1"/>
  <c r="BT322" i="4"/>
  <c r="CF322" i="4" s="1"/>
  <c r="CR322" i="4" s="1"/>
  <c r="BU322" i="4"/>
  <c r="BV322" i="4"/>
  <c r="CH322" i="4" s="1"/>
  <c r="CT322" i="4" s="1"/>
  <c r="BW322" i="4"/>
  <c r="BX322" i="4"/>
  <c r="CJ322" i="4" s="1"/>
  <c r="CV322" i="4" s="1"/>
  <c r="DX322" i="4" s="1"/>
  <c r="BY322" i="4"/>
  <c r="CK322" i="4" s="1"/>
  <c r="CW322" i="4" s="1"/>
  <c r="CG322" i="4"/>
  <c r="CS322" i="4" s="1"/>
  <c r="CI322" i="4"/>
  <c r="CU322" i="4"/>
  <c r="CZ322" i="4"/>
  <c r="DA322" i="4"/>
  <c r="DB322" i="4"/>
  <c r="DC322" i="4"/>
  <c r="DD322" i="4"/>
  <c r="DE322" i="4"/>
  <c r="DF322" i="4"/>
  <c r="DT322" i="4" s="1"/>
  <c r="DG322" i="4"/>
  <c r="DH322" i="4"/>
  <c r="DI322" i="4"/>
  <c r="DJ322" i="4"/>
  <c r="DK322" i="4"/>
  <c r="DY322" i="4" s="1"/>
  <c r="BN323" i="4"/>
  <c r="BZ323" i="4" s="1"/>
  <c r="BO323" i="4"/>
  <c r="CA323" i="4" s="1"/>
  <c r="CM323" i="4" s="1"/>
  <c r="BP323" i="4"/>
  <c r="CB323" i="4" s="1"/>
  <c r="CN323" i="4" s="1"/>
  <c r="DP323" i="4" s="1"/>
  <c r="BQ323" i="4"/>
  <c r="BR323" i="4"/>
  <c r="BS323" i="4"/>
  <c r="CE323" i="4" s="1"/>
  <c r="CQ323" i="4" s="1"/>
  <c r="BT323" i="4"/>
  <c r="CF323" i="4" s="1"/>
  <c r="CR323" i="4" s="1"/>
  <c r="BU323" i="4"/>
  <c r="CG323" i="4" s="1"/>
  <c r="CS323" i="4" s="1"/>
  <c r="BV323" i="4"/>
  <c r="BW323" i="4"/>
  <c r="CI323" i="4" s="1"/>
  <c r="CU323" i="4" s="1"/>
  <c r="BX323" i="4"/>
  <c r="CJ323" i="4" s="1"/>
  <c r="CV323" i="4" s="1"/>
  <c r="BY323" i="4"/>
  <c r="CK323" i="4" s="1"/>
  <c r="CC323" i="4"/>
  <c r="CO323" i="4" s="1"/>
  <c r="DQ323" i="4" s="1"/>
  <c r="CD323" i="4"/>
  <c r="CP323" i="4" s="1"/>
  <c r="CH323" i="4"/>
  <c r="CL323" i="4"/>
  <c r="CT323" i="4"/>
  <c r="CW323" i="4"/>
  <c r="DY323" i="4" s="1"/>
  <c r="CZ323" i="4"/>
  <c r="DA323" i="4"/>
  <c r="DB323" i="4"/>
  <c r="DC323" i="4"/>
  <c r="DD323" i="4"/>
  <c r="DE323" i="4"/>
  <c r="DF323" i="4"/>
  <c r="DG323" i="4"/>
  <c r="DH323" i="4"/>
  <c r="DI323" i="4"/>
  <c r="DJ323" i="4"/>
  <c r="DK323" i="4"/>
  <c r="BN324" i="4"/>
  <c r="BZ324" i="4" s="1"/>
  <c r="CL324" i="4" s="1"/>
  <c r="BO324" i="4"/>
  <c r="CA324" i="4" s="1"/>
  <c r="CM324" i="4" s="1"/>
  <c r="DO324" i="4" s="1"/>
  <c r="BP324" i="4"/>
  <c r="CB324" i="4" s="1"/>
  <c r="CN324" i="4" s="1"/>
  <c r="DP324" i="4" s="1"/>
  <c r="BQ324" i="4"/>
  <c r="BR324" i="4"/>
  <c r="CD324" i="4" s="1"/>
  <c r="BS324" i="4"/>
  <c r="BT324" i="4"/>
  <c r="CF324" i="4" s="1"/>
  <c r="CR324" i="4" s="1"/>
  <c r="DT324" i="4" s="1"/>
  <c r="BU324" i="4"/>
  <c r="CG324" i="4" s="1"/>
  <c r="CS324" i="4" s="1"/>
  <c r="BV324" i="4"/>
  <c r="CH324" i="4" s="1"/>
  <c r="CT324" i="4" s="1"/>
  <c r="BW324" i="4"/>
  <c r="BX324" i="4"/>
  <c r="CJ324" i="4" s="1"/>
  <c r="CV324" i="4" s="1"/>
  <c r="DX324" i="4" s="1"/>
  <c r="BY324" i="4"/>
  <c r="CK324" i="4" s="1"/>
  <c r="CW324" i="4" s="1"/>
  <c r="CC324" i="4"/>
  <c r="CO324" i="4" s="1"/>
  <c r="CE324" i="4"/>
  <c r="CQ324" i="4" s="1"/>
  <c r="DS324" i="4" s="1"/>
  <c r="CI324" i="4"/>
  <c r="CU324" i="4" s="1"/>
  <c r="DW324" i="4" s="1"/>
  <c r="CP324" i="4"/>
  <c r="CZ324" i="4"/>
  <c r="DA324" i="4"/>
  <c r="DB324" i="4"/>
  <c r="DC324" i="4"/>
  <c r="DD324" i="4"/>
  <c r="DR324" i="4" s="1"/>
  <c r="DE324" i="4"/>
  <c r="DF324" i="4"/>
  <c r="DG324" i="4"/>
  <c r="DH324" i="4"/>
  <c r="DI324" i="4"/>
  <c r="DJ324" i="4"/>
  <c r="DK324" i="4"/>
  <c r="BN325" i="4"/>
  <c r="BZ325" i="4" s="1"/>
  <c r="CL325" i="4" s="1"/>
  <c r="BO325" i="4"/>
  <c r="BP325" i="4"/>
  <c r="CB325" i="4" s="1"/>
  <c r="CN325" i="4" s="1"/>
  <c r="BQ325" i="4"/>
  <c r="CC325" i="4" s="1"/>
  <c r="CO325" i="4" s="1"/>
  <c r="BR325" i="4"/>
  <c r="BS325" i="4"/>
  <c r="CE325" i="4" s="1"/>
  <c r="CQ325" i="4" s="1"/>
  <c r="BT325" i="4"/>
  <c r="BU325" i="4"/>
  <c r="CG325" i="4" s="1"/>
  <c r="CS325" i="4" s="1"/>
  <c r="DU325" i="4" s="1"/>
  <c r="BV325" i="4"/>
  <c r="BW325" i="4"/>
  <c r="BX325" i="4"/>
  <c r="CJ325" i="4" s="1"/>
  <c r="CV325" i="4" s="1"/>
  <c r="BY325" i="4"/>
  <c r="CK325" i="4" s="1"/>
  <c r="CW325" i="4" s="1"/>
  <c r="CA325" i="4"/>
  <c r="CM325" i="4" s="1"/>
  <c r="CD325" i="4"/>
  <c r="CP325" i="4" s="1"/>
  <c r="DR325" i="4" s="1"/>
  <c r="CF325" i="4"/>
  <c r="CR325" i="4" s="1"/>
  <c r="DT325" i="4" s="1"/>
  <c r="CH325" i="4"/>
  <c r="CT325" i="4" s="1"/>
  <c r="CI325" i="4"/>
  <c r="CU325" i="4" s="1"/>
  <c r="CZ325" i="4"/>
  <c r="DA325" i="4"/>
  <c r="DB325" i="4"/>
  <c r="DC325" i="4"/>
  <c r="DQ325" i="4" s="1"/>
  <c r="DD325" i="4"/>
  <c r="DE325" i="4"/>
  <c r="DF325" i="4"/>
  <c r="DG325" i="4"/>
  <c r="DH325" i="4"/>
  <c r="DI325" i="4"/>
  <c r="DJ325" i="4"/>
  <c r="DK325" i="4"/>
  <c r="DM325" i="4"/>
  <c r="BN326" i="4"/>
  <c r="BZ326" i="4" s="1"/>
  <c r="BO326" i="4"/>
  <c r="CA326" i="4" s="1"/>
  <c r="CM326" i="4" s="1"/>
  <c r="BP326" i="4"/>
  <c r="CB326" i="4" s="1"/>
  <c r="BQ326" i="4"/>
  <c r="CC326" i="4" s="1"/>
  <c r="CO326" i="4" s="1"/>
  <c r="BR326" i="4"/>
  <c r="BS326" i="4"/>
  <c r="BT326" i="4"/>
  <c r="CF326" i="4" s="1"/>
  <c r="CR326" i="4" s="1"/>
  <c r="BU326" i="4"/>
  <c r="CG326" i="4" s="1"/>
  <c r="CS326" i="4" s="1"/>
  <c r="BV326" i="4"/>
  <c r="CH326" i="4" s="1"/>
  <c r="BW326" i="4"/>
  <c r="BX326" i="4"/>
  <c r="CJ326" i="4" s="1"/>
  <c r="CV326" i="4" s="1"/>
  <c r="BY326" i="4"/>
  <c r="CK326" i="4" s="1"/>
  <c r="CW326" i="4" s="1"/>
  <c r="CD326" i="4"/>
  <c r="CP326" i="4" s="1"/>
  <c r="CE326" i="4"/>
  <c r="CQ326" i="4" s="1"/>
  <c r="DS326" i="4" s="1"/>
  <c r="CI326" i="4"/>
  <c r="CL326" i="4"/>
  <c r="CN326" i="4"/>
  <c r="CT326" i="4"/>
  <c r="CU326" i="4"/>
  <c r="DW326" i="4" s="1"/>
  <c r="CZ326" i="4"/>
  <c r="DA326" i="4"/>
  <c r="DB326" i="4"/>
  <c r="DC326" i="4"/>
  <c r="DD326" i="4"/>
  <c r="DE326" i="4"/>
  <c r="DF326" i="4"/>
  <c r="DG326" i="4"/>
  <c r="DH326" i="4"/>
  <c r="DI326" i="4"/>
  <c r="DJ326" i="4"/>
  <c r="DX326" i="4" s="1"/>
  <c r="DK326" i="4"/>
  <c r="BN327" i="4"/>
  <c r="BZ327" i="4" s="1"/>
  <c r="CL327" i="4" s="1"/>
  <c r="DN327" i="4" s="1"/>
  <c r="BO327" i="4"/>
  <c r="CA327" i="4" s="1"/>
  <c r="CM327" i="4" s="1"/>
  <c r="BP327" i="4"/>
  <c r="BQ327" i="4"/>
  <c r="CC327" i="4" s="1"/>
  <c r="CO327" i="4" s="1"/>
  <c r="BR327" i="4"/>
  <c r="CD327" i="4" s="1"/>
  <c r="CP327" i="4" s="1"/>
  <c r="DR327" i="4" s="1"/>
  <c r="BS327" i="4"/>
  <c r="CE327" i="4" s="1"/>
  <c r="CQ327" i="4" s="1"/>
  <c r="BT327" i="4"/>
  <c r="CF327" i="4" s="1"/>
  <c r="CR327" i="4" s="1"/>
  <c r="BU327" i="4"/>
  <c r="CG327" i="4" s="1"/>
  <c r="CS327" i="4" s="1"/>
  <c r="BV327" i="4"/>
  <c r="CH327" i="4" s="1"/>
  <c r="CT327" i="4" s="1"/>
  <c r="BW327" i="4"/>
  <c r="CI327" i="4" s="1"/>
  <c r="CU327" i="4" s="1"/>
  <c r="BX327" i="4"/>
  <c r="BY327" i="4"/>
  <c r="CK327" i="4" s="1"/>
  <c r="CW327" i="4" s="1"/>
  <c r="CB327" i="4"/>
  <c r="CN327" i="4" s="1"/>
  <c r="CJ327" i="4"/>
  <c r="CV327" i="4" s="1"/>
  <c r="CZ327" i="4"/>
  <c r="DA327" i="4"/>
  <c r="DB327" i="4"/>
  <c r="DC327" i="4"/>
  <c r="DQ327" i="4" s="1"/>
  <c r="DD327" i="4"/>
  <c r="DE327" i="4"/>
  <c r="DF327" i="4"/>
  <c r="DG327" i="4"/>
  <c r="DU327" i="4" s="1"/>
  <c r="DH327" i="4"/>
  <c r="DI327" i="4"/>
  <c r="DW327" i="4" s="1"/>
  <c r="DJ327" i="4"/>
  <c r="DK327" i="4"/>
  <c r="BN328" i="4"/>
  <c r="BO328" i="4"/>
  <c r="CA328" i="4" s="1"/>
  <c r="CM328" i="4" s="1"/>
  <c r="DO328" i="4" s="1"/>
  <c r="BP328" i="4"/>
  <c r="CB328" i="4" s="1"/>
  <c r="CN328" i="4" s="1"/>
  <c r="BQ328" i="4"/>
  <c r="CC328" i="4" s="1"/>
  <c r="CO328" i="4" s="1"/>
  <c r="BR328" i="4"/>
  <c r="CD328" i="4" s="1"/>
  <c r="CP328" i="4" s="1"/>
  <c r="BS328" i="4"/>
  <c r="BT328" i="4"/>
  <c r="BU328" i="4"/>
  <c r="CG328" i="4" s="1"/>
  <c r="CS328" i="4" s="1"/>
  <c r="BV328" i="4"/>
  <c r="CH328" i="4" s="1"/>
  <c r="CT328" i="4" s="1"/>
  <c r="BW328" i="4"/>
  <c r="CI328" i="4" s="1"/>
  <c r="CU328" i="4" s="1"/>
  <c r="DW328" i="4" s="1"/>
  <c r="BX328" i="4"/>
  <c r="CJ328" i="4" s="1"/>
  <c r="CV328" i="4" s="1"/>
  <c r="BY328" i="4"/>
  <c r="CK328" i="4" s="1"/>
  <c r="CW328" i="4" s="1"/>
  <c r="BZ328" i="4"/>
  <c r="CL328" i="4" s="1"/>
  <c r="CE328" i="4"/>
  <c r="CQ328" i="4" s="1"/>
  <c r="DS328" i="4" s="1"/>
  <c r="CF328" i="4"/>
  <c r="CR328" i="4" s="1"/>
  <c r="DT328" i="4" s="1"/>
  <c r="CZ328" i="4"/>
  <c r="DL328" i="4" s="1"/>
  <c r="DA328" i="4"/>
  <c r="DB328" i="4"/>
  <c r="DC328" i="4"/>
  <c r="DD328" i="4"/>
  <c r="DE328" i="4"/>
  <c r="DF328" i="4"/>
  <c r="DG328" i="4"/>
  <c r="DH328" i="4"/>
  <c r="DI328" i="4"/>
  <c r="DJ328" i="4"/>
  <c r="DK328" i="4"/>
  <c r="DX328" i="4"/>
  <c r="BN329" i="4"/>
  <c r="BO329" i="4"/>
  <c r="CA329" i="4" s="1"/>
  <c r="CM329" i="4" s="1"/>
  <c r="BP329" i="4"/>
  <c r="CB329" i="4" s="1"/>
  <c r="CN329" i="4" s="1"/>
  <c r="BQ329" i="4"/>
  <c r="CC329" i="4" s="1"/>
  <c r="CO329" i="4" s="1"/>
  <c r="DQ329" i="4" s="1"/>
  <c r="BR329" i="4"/>
  <c r="CD329" i="4" s="1"/>
  <c r="CP329" i="4" s="1"/>
  <c r="BS329" i="4"/>
  <c r="CE329" i="4" s="1"/>
  <c r="CQ329" i="4" s="1"/>
  <c r="BT329" i="4"/>
  <c r="BU329" i="4"/>
  <c r="CG329" i="4" s="1"/>
  <c r="CS329" i="4" s="1"/>
  <c r="DU329" i="4" s="1"/>
  <c r="BV329" i="4"/>
  <c r="CH329" i="4" s="1"/>
  <c r="CT329" i="4" s="1"/>
  <c r="BW329" i="4"/>
  <c r="CI329" i="4" s="1"/>
  <c r="CU329" i="4" s="1"/>
  <c r="BX329" i="4"/>
  <c r="CJ329" i="4" s="1"/>
  <c r="BY329" i="4"/>
  <c r="CK329" i="4" s="1"/>
  <c r="CW329" i="4" s="1"/>
  <c r="DY329" i="4" s="1"/>
  <c r="BZ329" i="4"/>
  <c r="CL329" i="4" s="1"/>
  <c r="CF329" i="4"/>
  <c r="CR329" i="4" s="1"/>
  <c r="CV329" i="4"/>
  <c r="CZ329" i="4"/>
  <c r="DA329" i="4"/>
  <c r="DO329" i="4" s="1"/>
  <c r="DB329" i="4"/>
  <c r="DC329" i="4"/>
  <c r="DD329" i="4"/>
  <c r="DE329" i="4"/>
  <c r="DF329" i="4"/>
  <c r="DG329" i="4"/>
  <c r="DH329" i="4"/>
  <c r="DI329" i="4"/>
  <c r="DW329" i="4" s="1"/>
  <c r="DJ329" i="4"/>
  <c r="DK329" i="4"/>
  <c r="DT329" i="4"/>
  <c r="BN330" i="4"/>
  <c r="BZ330" i="4" s="1"/>
  <c r="CL330" i="4" s="1"/>
  <c r="BO330" i="4"/>
  <c r="BP330" i="4"/>
  <c r="CB330" i="4" s="1"/>
  <c r="CN330" i="4" s="1"/>
  <c r="DP330" i="4" s="1"/>
  <c r="BQ330" i="4"/>
  <c r="CC330" i="4" s="1"/>
  <c r="CO330" i="4" s="1"/>
  <c r="BR330" i="4"/>
  <c r="CD330" i="4" s="1"/>
  <c r="CP330" i="4" s="1"/>
  <c r="BS330" i="4"/>
  <c r="BT330" i="4"/>
  <c r="CF330" i="4" s="1"/>
  <c r="BU330" i="4"/>
  <c r="CG330" i="4" s="1"/>
  <c r="CS330" i="4" s="1"/>
  <c r="BV330" i="4"/>
  <c r="CH330" i="4" s="1"/>
  <c r="CT330" i="4" s="1"/>
  <c r="BW330" i="4"/>
  <c r="BX330" i="4"/>
  <c r="CJ330" i="4" s="1"/>
  <c r="CV330" i="4" s="1"/>
  <c r="BY330" i="4"/>
  <c r="CK330" i="4" s="1"/>
  <c r="CW330" i="4" s="1"/>
  <c r="CA330" i="4"/>
  <c r="CM330" i="4" s="1"/>
  <c r="DO330" i="4" s="1"/>
  <c r="CE330" i="4"/>
  <c r="CI330" i="4"/>
  <c r="CU330" i="4" s="1"/>
  <c r="DW330" i="4" s="1"/>
  <c r="CQ330" i="4"/>
  <c r="DS330" i="4" s="1"/>
  <c r="CR330" i="4"/>
  <c r="DT330" i="4" s="1"/>
  <c r="CZ330" i="4"/>
  <c r="DA330" i="4"/>
  <c r="DB330" i="4"/>
  <c r="DC330" i="4"/>
  <c r="DD330" i="4"/>
  <c r="DE330" i="4"/>
  <c r="DF330" i="4"/>
  <c r="DG330" i="4"/>
  <c r="DU330" i="4" s="1"/>
  <c r="DH330" i="4"/>
  <c r="DI330" i="4"/>
  <c r="DJ330" i="4"/>
  <c r="DK330" i="4"/>
  <c r="DV330" i="4"/>
  <c r="BN331" i="4"/>
  <c r="BZ331" i="4" s="1"/>
  <c r="BO331" i="4"/>
  <c r="CA331" i="4" s="1"/>
  <c r="CM331" i="4" s="1"/>
  <c r="BP331" i="4"/>
  <c r="CB331" i="4" s="1"/>
  <c r="CN331" i="4" s="1"/>
  <c r="BQ331" i="4"/>
  <c r="CC331" i="4" s="1"/>
  <c r="CO331" i="4" s="1"/>
  <c r="DQ331" i="4" s="1"/>
  <c r="BR331" i="4"/>
  <c r="CD331" i="4" s="1"/>
  <c r="CP331" i="4" s="1"/>
  <c r="BS331" i="4"/>
  <c r="CE331" i="4" s="1"/>
  <c r="CQ331" i="4" s="1"/>
  <c r="BT331" i="4"/>
  <c r="CF331" i="4" s="1"/>
  <c r="CR331" i="4" s="1"/>
  <c r="BU331" i="4"/>
  <c r="CG331" i="4" s="1"/>
  <c r="BV331" i="4"/>
  <c r="CH331" i="4" s="1"/>
  <c r="CT331" i="4" s="1"/>
  <c r="BW331" i="4"/>
  <c r="CI331" i="4" s="1"/>
  <c r="CU331" i="4" s="1"/>
  <c r="BX331" i="4"/>
  <c r="BY331" i="4"/>
  <c r="CK331" i="4" s="1"/>
  <c r="CW331" i="4" s="1"/>
  <c r="DY331" i="4" s="1"/>
  <c r="CJ331" i="4"/>
  <c r="CV331" i="4" s="1"/>
  <c r="CL331" i="4"/>
  <c r="DN331" i="4" s="1"/>
  <c r="CS331" i="4"/>
  <c r="DU331" i="4" s="1"/>
  <c r="CZ331" i="4"/>
  <c r="DA331" i="4"/>
  <c r="DB331" i="4"/>
  <c r="DC331" i="4"/>
  <c r="DD331" i="4"/>
  <c r="DR331" i="4" s="1"/>
  <c r="DE331" i="4"/>
  <c r="DF331" i="4"/>
  <c r="DT331" i="4" s="1"/>
  <c r="DG331" i="4"/>
  <c r="DH331" i="4"/>
  <c r="DI331" i="4"/>
  <c r="DJ331" i="4"/>
  <c r="DK331" i="4"/>
  <c r="DL331" i="4"/>
  <c r="DV331" i="4"/>
  <c r="BN332" i="4"/>
  <c r="BZ332" i="4" s="1"/>
  <c r="BO332" i="4"/>
  <c r="CA332" i="4" s="1"/>
  <c r="CM332" i="4" s="1"/>
  <c r="BP332" i="4"/>
  <c r="BQ332" i="4"/>
  <c r="BR332" i="4"/>
  <c r="CD332" i="4" s="1"/>
  <c r="CP332" i="4" s="1"/>
  <c r="BS332" i="4"/>
  <c r="BT332" i="4"/>
  <c r="CF332" i="4" s="1"/>
  <c r="CR332" i="4" s="1"/>
  <c r="DT332" i="4" s="1"/>
  <c r="BU332" i="4"/>
  <c r="CG332" i="4" s="1"/>
  <c r="CS332" i="4" s="1"/>
  <c r="BV332" i="4"/>
  <c r="BW332" i="4"/>
  <c r="BX332" i="4"/>
  <c r="CJ332" i="4" s="1"/>
  <c r="BY332" i="4"/>
  <c r="CK332" i="4" s="1"/>
  <c r="CW332" i="4" s="1"/>
  <c r="CB332" i="4"/>
  <c r="CN332" i="4" s="1"/>
  <c r="CC332" i="4"/>
  <c r="CO332" i="4" s="1"/>
  <c r="CE332" i="4"/>
  <c r="CQ332" i="4" s="1"/>
  <c r="DS332" i="4" s="1"/>
  <c r="CH332" i="4"/>
  <c r="CT332" i="4" s="1"/>
  <c r="CI332" i="4"/>
  <c r="CU332" i="4" s="1"/>
  <c r="CL332" i="4"/>
  <c r="CV332" i="4"/>
  <c r="DX332" i="4" s="1"/>
  <c r="CZ332" i="4"/>
  <c r="DA332" i="4"/>
  <c r="DB332" i="4"/>
  <c r="DC332" i="4"/>
  <c r="DD332" i="4"/>
  <c r="DR332" i="4" s="1"/>
  <c r="DE332" i="4"/>
  <c r="DF332" i="4"/>
  <c r="DG332" i="4"/>
  <c r="DH332" i="4"/>
  <c r="DV332" i="4" s="1"/>
  <c r="DI332" i="4"/>
  <c r="DJ332" i="4"/>
  <c r="DK332" i="4"/>
  <c r="BN333" i="4"/>
  <c r="BZ333" i="4" s="1"/>
  <c r="CL333" i="4" s="1"/>
  <c r="BO333" i="4"/>
  <c r="BP333" i="4"/>
  <c r="CB333" i="4" s="1"/>
  <c r="CN333" i="4" s="1"/>
  <c r="BQ333" i="4"/>
  <c r="BR333" i="4"/>
  <c r="CD333" i="4" s="1"/>
  <c r="CP333" i="4" s="1"/>
  <c r="BS333" i="4"/>
  <c r="CE333" i="4" s="1"/>
  <c r="CQ333" i="4" s="1"/>
  <c r="BT333" i="4"/>
  <c r="BU333" i="4"/>
  <c r="BV333" i="4"/>
  <c r="CH333" i="4" s="1"/>
  <c r="BW333" i="4"/>
  <c r="BX333" i="4"/>
  <c r="BY333" i="4"/>
  <c r="CA333" i="4"/>
  <c r="CM333" i="4" s="1"/>
  <c r="CC333" i="4"/>
  <c r="CF333" i="4"/>
  <c r="CR333" i="4" s="1"/>
  <c r="CG333" i="4"/>
  <c r="CS333" i="4" s="1"/>
  <c r="CI333" i="4"/>
  <c r="CU333" i="4" s="1"/>
  <c r="CJ333" i="4"/>
  <c r="CV333" i="4" s="1"/>
  <c r="CK333" i="4"/>
  <c r="CW333" i="4" s="1"/>
  <c r="CO333" i="4"/>
  <c r="CT333" i="4"/>
  <c r="DV333" i="4" s="1"/>
  <c r="CZ333" i="4"/>
  <c r="DA333" i="4"/>
  <c r="DB333" i="4"/>
  <c r="DC333" i="4"/>
  <c r="DQ333" i="4" s="1"/>
  <c r="DD333" i="4"/>
  <c r="DE333" i="4"/>
  <c r="DF333" i="4"/>
  <c r="DG333" i="4"/>
  <c r="DH333" i="4"/>
  <c r="DI333" i="4"/>
  <c r="DJ333" i="4"/>
  <c r="DK333" i="4"/>
  <c r="BN334" i="4"/>
  <c r="BO334" i="4"/>
  <c r="CA334" i="4" s="1"/>
  <c r="CM334" i="4" s="1"/>
  <c r="BP334" i="4"/>
  <c r="CB334" i="4" s="1"/>
  <c r="CN334" i="4" s="1"/>
  <c r="BQ334" i="4"/>
  <c r="CC334" i="4" s="1"/>
  <c r="CO334" i="4" s="1"/>
  <c r="BR334" i="4"/>
  <c r="CD334" i="4" s="1"/>
  <c r="CP334" i="4" s="1"/>
  <c r="DR334" i="4" s="1"/>
  <c r="BS334" i="4"/>
  <c r="BT334" i="4"/>
  <c r="CF334" i="4" s="1"/>
  <c r="CR334" i="4" s="1"/>
  <c r="DT334" i="4" s="1"/>
  <c r="BU334" i="4"/>
  <c r="CG334" i="4" s="1"/>
  <c r="CS334" i="4" s="1"/>
  <c r="BV334" i="4"/>
  <c r="CH334" i="4" s="1"/>
  <c r="CT334" i="4" s="1"/>
  <c r="BW334" i="4"/>
  <c r="BX334" i="4"/>
  <c r="CJ334" i="4" s="1"/>
  <c r="CV334" i="4" s="1"/>
  <c r="BY334" i="4"/>
  <c r="CK334" i="4" s="1"/>
  <c r="CW334" i="4" s="1"/>
  <c r="BZ334" i="4"/>
  <c r="CL334" i="4" s="1"/>
  <c r="CE334" i="4"/>
  <c r="CQ334" i="4" s="1"/>
  <c r="DS334" i="4" s="1"/>
  <c r="CI334" i="4"/>
  <c r="CU334" i="4" s="1"/>
  <c r="CZ334" i="4"/>
  <c r="DA334" i="4"/>
  <c r="DB334" i="4"/>
  <c r="DC334" i="4"/>
  <c r="DD334" i="4"/>
  <c r="DE334" i="4"/>
  <c r="DF334" i="4"/>
  <c r="DG334" i="4"/>
  <c r="DH334" i="4"/>
  <c r="DI334" i="4"/>
  <c r="DJ334" i="4"/>
  <c r="DK334" i="4"/>
  <c r="BN335" i="4"/>
  <c r="BZ335" i="4" s="1"/>
  <c r="CL335" i="4" s="1"/>
  <c r="BO335" i="4"/>
  <c r="CA335" i="4" s="1"/>
  <c r="CM335" i="4" s="1"/>
  <c r="BP335" i="4"/>
  <c r="CB335" i="4" s="1"/>
  <c r="BQ335" i="4"/>
  <c r="CC335" i="4" s="1"/>
  <c r="CO335" i="4" s="1"/>
  <c r="DQ335" i="4" s="1"/>
  <c r="BR335" i="4"/>
  <c r="BS335" i="4"/>
  <c r="BT335" i="4"/>
  <c r="CF335" i="4" s="1"/>
  <c r="BU335" i="4"/>
  <c r="CG335" i="4" s="1"/>
  <c r="CS335" i="4" s="1"/>
  <c r="BV335" i="4"/>
  <c r="CH335" i="4" s="1"/>
  <c r="CT335" i="4" s="1"/>
  <c r="BW335" i="4"/>
  <c r="CI335" i="4" s="1"/>
  <c r="CU335" i="4" s="1"/>
  <c r="BX335" i="4"/>
  <c r="CJ335" i="4" s="1"/>
  <c r="CV335" i="4" s="1"/>
  <c r="BY335" i="4"/>
  <c r="CK335" i="4" s="1"/>
  <c r="CW335" i="4" s="1"/>
  <c r="DY335" i="4" s="1"/>
  <c r="CD335" i="4"/>
  <c r="CP335" i="4" s="1"/>
  <c r="CE335" i="4"/>
  <c r="CQ335" i="4" s="1"/>
  <c r="CN335" i="4"/>
  <c r="CR335" i="4"/>
  <c r="DT335" i="4" s="1"/>
  <c r="CZ335" i="4"/>
  <c r="DA335" i="4"/>
  <c r="DB335" i="4"/>
  <c r="DP335" i="4" s="1"/>
  <c r="DC335" i="4"/>
  <c r="DD335" i="4"/>
  <c r="DE335" i="4"/>
  <c r="DS335" i="4" s="1"/>
  <c r="DF335" i="4"/>
  <c r="DG335" i="4"/>
  <c r="DH335" i="4"/>
  <c r="DI335" i="4"/>
  <c r="DW335" i="4" s="1"/>
  <c r="DJ335" i="4"/>
  <c r="DK335" i="4"/>
  <c r="BN336" i="4"/>
  <c r="BZ336" i="4" s="1"/>
  <c r="CL336" i="4" s="1"/>
  <c r="BO336" i="4"/>
  <c r="CA336" i="4" s="1"/>
  <c r="CM336" i="4" s="1"/>
  <c r="DO336" i="4" s="1"/>
  <c r="BP336" i="4"/>
  <c r="CB336" i="4" s="1"/>
  <c r="BQ336" i="4"/>
  <c r="BR336" i="4"/>
  <c r="BS336" i="4"/>
  <c r="BT336" i="4"/>
  <c r="CF336" i="4" s="1"/>
  <c r="CR336" i="4" s="1"/>
  <c r="BU336" i="4"/>
  <c r="CG336" i="4" s="1"/>
  <c r="CS336" i="4" s="1"/>
  <c r="BV336" i="4"/>
  <c r="CH336" i="4" s="1"/>
  <c r="CT336" i="4" s="1"/>
  <c r="BW336" i="4"/>
  <c r="CI336" i="4" s="1"/>
  <c r="CU336" i="4" s="1"/>
  <c r="DW336" i="4" s="1"/>
  <c r="BX336" i="4"/>
  <c r="CJ336" i="4" s="1"/>
  <c r="CV336" i="4" s="1"/>
  <c r="DX336" i="4" s="1"/>
  <c r="BY336" i="4"/>
  <c r="CC336" i="4"/>
  <c r="CO336" i="4" s="1"/>
  <c r="CD336" i="4"/>
  <c r="CP336" i="4" s="1"/>
  <c r="CE336" i="4"/>
  <c r="CQ336" i="4" s="1"/>
  <c r="DS336" i="4" s="1"/>
  <c r="CK336" i="4"/>
  <c r="CW336" i="4" s="1"/>
  <c r="CN336" i="4"/>
  <c r="CZ336" i="4"/>
  <c r="DA336" i="4"/>
  <c r="DB336" i="4"/>
  <c r="DC336" i="4"/>
  <c r="DD336" i="4"/>
  <c r="DE336" i="4"/>
  <c r="DF336" i="4"/>
  <c r="DT336" i="4" s="1"/>
  <c r="DG336" i="4"/>
  <c r="DH336" i="4"/>
  <c r="DI336" i="4"/>
  <c r="DJ336" i="4"/>
  <c r="DK336" i="4"/>
  <c r="BN337" i="4"/>
  <c r="BO337" i="4"/>
  <c r="CA337" i="4" s="1"/>
  <c r="CM337" i="4" s="1"/>
  <c r="BP337" i="4"/>
  <c r="BQ337" i="4"/>
  <c r="CC337" i="4" s="1"/>
  <c r="CO337" i="4" s="1"/>
  <c r="BR337" i="4"/>
  <c r="BS337" i="4"/>
  <c r="CE337" i="4" s="1"/>
  <c r="BT337" i="4"/>
  <c r="CF337" i="4" s="1"/>
  <c r="CR337" i="4" s="1"/>
  <c r="BU337" i="4"/>
  <c r="CG337" i="4" s="1"/>
  <c r="CS337" i="4" s="1"/>
  <c r="BV337" i="4"/>
  <c r="BW337" i="4"/>
  <c r="CI337" i="4" s="1"/>
  <c r="CU337" i="4" s="1"/>
  <c r="DW337" i="4" s="1"/>
  <c r="BX337" i="4"/>
  <c r="BY337" i="4"/>
  <c r="CK337" i="4" s="1"/>
  <c r="CW337" i="4" s="1"/>
  <c r="BZ337" i="4"/>
  <c r="CL337" i="4" s="1"/>
  <c r="CB337" i="4"/>
  <c r="CD337" i="4"/>
  <c r="CP337" i="4" s="1"/>
  <c r="DR337" i="4" s="1"/>
  <c r="CH337" i="4"/>
  <c r="CT337" i="4" s="1"/>
  <c r="CJ337" i="4"/>
  <c r="CV337" i="4" s="1"/>
  <c r="CN337" i="4"/>
  <c r="DP337" i="4" s="1"/>
  <c r="CQ337" i="4"/>
  <c r="CZ337" i="4"/>
  <c r="DN337" i="4" s="1"/>
  <c r="DA337" i="4"/>
  <c r="DB337" i="4"/>
  <c r="DC337" i="4"/>
  <c r="DQ337" i="4" s="1"/>
  <c r="DD337" i="4"/>
  <c r="DE337" i="4"/>
  <c r="DF337" i="4"/>
  <c r="DG337" i="4"/>
  <c r="DH337" i="4"/>
  <c r="DI337" i="4"/>
  <c r="DJ337" i="4"/>
  <c r="DK337" i="4"/>
  <c r="BN338" i="4"/>
  <c r="BO338" i="4"/>
  <c r="CA338" i="4" s="1"/>
  <c r="CM338" i="4" s="1"/>
  <c r="DO338" i="4" s="1"/>
  <c r="BP338" i="4"/>
  <c r="BQ338" i="4"/>
  <c r="CC338" i="4" s="1"/>
  <c r="CO338" i="4" s="1"/>
  <c r="BR338" i="4"/>
  <c r="CD338" i="4" s="1"/>
  <c r="CP338" i="4" s="1"/>
  <c r="DR338" i="4" s="1"/>
  <c r="BS338" i="4"/>
  <c r="CE338" i="4" s="1"/>
  <c r="CQ338" i="4" s="1"/>
  <c r="BT338" i="4"/>
  <c r="CF338" i="4" s="1"/>
  <c r="BU338" i="4"/>
  <c r="CG338" i="4" s="1"/>
  <c r="CS338" i="4" s="1"/>
  <c r="BV338" i="4"/>
  <c r="BW338" i="4"/>
  <c r="CI338" i="4" s="1"/>
  <c r="CU338" i="4" s="1"/>
  <c r="DW338" i="4" s="1"/>
  <c r="BX338" i="4"/>
  <c r="CJ338" i="4" s="1"/>
  <c r="BY338" i="4"/>
  <c r="CK338" i="4" s="1"/>
  <c r="CW338" i="4" s="1"/>
  <c r="BZ338" i="4"/>
  <c r="CL338" i="4" s="1"/>
  <c r="CB338" i="4"/>
  <c r="CN338" i="4" s="1"/>
  <c r="CH338" i="4"/>
  <c r="CT338" i="4" s="1"/>
  <c r="CR338" i="4"/>
  <c r="CV338" i="4"/>
  <c r="CZ338" i="4"/>
  <c r="DA338" i="4"/>
  <c r="DB338" i="4"/>
  <c r="DC338" i="4"/>
  <c r="DD338" i="4"/>
  <c r="DE338" i="4"/>
  <c r="DF338" i="4"/>
  <c r="DG338" i="4"/>
  <c r="DH338" i="4"/>
  <c r="DI338" i="4"/>
  <c r="DJ338" i="4"/>
  <c r="DK338" i="4"/>
  <c r="DU338" i="4"/>
  <c r="BN339" i="4"/>
  <c r="BZ339" i="4" s="1"/>
  <c r="BO339" i="4"/>
  <c r="CA339" i="4" s="1"/>
  <c r="CM339" i="4" s="1"/>
  <c r="BP339" i="4"/>
  <c r="CB339" i="4" s="1"/>
  <c r="CN339" i="4" s="1"/>
  <c r="BQ339" i="4"/>
  <c r="CC339" i="4" s="1"/>
  <c r="CO339" i="4" s="1"/>
  <c r="DQ339" i="4" s="1"/>
  <c r="BR339" i="4"/>
  <c r="BS339" i="4"/>
  <c r="BT339" i="4"/>
  <c r="BU339" i="4"/>
  <c r="CG339" i="4" s="1"/>
  <c r="CS339" i="4" s="1"/>
  <c r="DU339" i="4" s="1"/>
  <c r="BV339" i="4"/>
  <c r="BW339" i="4"/>
  <c r="CI339" i="4" s="1"/>
  <c r="CU339" i="4" s="1"/>
  <c r="BX339" i="4"/>
  <c r="CJ339" i="4" s="1"/>
  <c r="CV339" i="4" s="1"/>
  <c r="BY339" i="4"/>
  <c r="CK339" i="4" s="1"/>
  <c r="CW339" i="4" s="1"/>
  <c r="CD339" i="4"/>
  <c r="CP339" i="4" s="1"/>
  <c r="CE339" i="4"/>
  <c r="CQ339" i="4" s="1"/>
  <c r="CF339" i="4"/>
  <c r="CR339" i="4" s="1"/>
  <c r="CH339" i="4"/>
  <c r="CT339" i="4" s="1"/>
  <c r="CL339" i="4"/>
  <c r="CZ339" i="4"/>
  <c r="DA339" i="4"/>
  <c r="DB339" i="4"/>
  <c r="DC339" i="4"/>
  <c r="DD339" i="4"/>
  <c r="DE339" i="4"/>
  <c r="DF339" i="4"/>
  <c r="DG339" i="4"/>
  <c r="DH339" i="4"/>
  <c r="DV339" i="4" s="1"/>
  <c r="DI339" i="4"/>
  <c r="DJ339" i="4"/>
  <c r="DX339" i="4" s="1"/>
  <c r="DK339" i="4"/>
  <c r="BN340" i="4"/>
  <c r="BZ340" i="4" s="1"/>
  <c r="CL340" i="4" s="1"/>
  <c r="BO340" i="4"/>
  <c r="CA340" i="4" s="1"/>
  <c r="CM340" i="4" s="1"/>
  <c r="DO340" i="4" s="1"/>
  <c r="BP340" i="4"/>
  <c r="BQ340" i="4"/>
  <c r="CC340" i="4" s="1"/>
  <c r="CO340" i="4" s="1"/>
  <c r="BR340" i="4"/>
  <c r="CD340" i="4" s="1"/>
  <c r="CP340" i="4" s="1"/>
  <c r="BS340" i="4"/>
  <c r="CE340" i="4" s="1"/>
  <c r="CQ340" i="4" s="1"/>
  <c r="DS340" i="4" s="1"/>
  <c r="BT340" i="4"/>
  <c r="CF340" i="4" s="1"/>
  <c r="CR340" i="4" s="1"/>
  <c r="DT340" i="4" s="1"/>
  <c r="BU340" i="4"/>
  <c r="CG340" i="4" s="1"/>
  <c r="BV340" i="4"/>
  <c r="BW340" i="4"/>
  <c r="CI340" i="4" s="1"/>
  <c r="CU340" i="4" s="1"/>
  <c r="DW340" i="4" s="1"/>
  <c r="BX340" i="4"/>
  <c r="BY340" i="4"/>
  <c r="CB340" i="4"/>
  <c r="CN340" i="4" s="1"/>
  <c r="DP340" i="4" s="1"/>
  <c r="CH340" i="4"/>
  <c r="CT340" i="4" s="1"/>
  <c r="CJ340" i="4"/>
  <c r="CV340" i="4" s="1"/>
  <c r="CK340" i="4"/>
  <c r="CW340" i="4" s="1"/>
  <c r="CS340" i="4"/>
  <c r="CZ340" i="4"/>
  <c r="DA340" i="4"/>
  <c r="DB340" i="4"/>
  <c r="DC340" i="4"/>
  <c r="DD340" i="4"/>
  <c r="DE340" i="4"/>
  <c r="DF340" i="4"/>
  <c r="DG340" i="4"/>
  <c r="DH340" i="4"/>
  <c r="DV340" i="4" s="1"/>
  <c r="DI340" i="4"/>
  <c r="DJ340" i="4"/>
  <c r="DK340" i="4"/>
  <c r="DQ340" i="4"/>
  <c r="BN341" i="4"/>
  <c r="BZ341" i="4" s="1"/>
  <c r="CL341" i="4" s="1"/>
  <c r="DN341" i="4" s="1"/>
  <c r="BO341" i="4"/>
  <c r="CA341" i="4" s="1"/>
  <c r="CM341" i="4" s="1"/>
  <c r="DO341" i="4" s="1"/>
  <c r="BP341" i="4"/>
  <c r="CB341" i="4" s="1"/>
  <c r="CN341" i="4" s="1"/>
  <c r="BQ341" i="4"/>
  <c r="CC341" i="4" s="1"/>
  <c r="CO341" i="4" s="1"/>
  <c r="BR341" i="4"/>
  <c r="BS341" i="4"/>
  <c r="CE341" i="4" s="1"/>
  <c r="CQ341" i="4" s="1"/>
  <c r="BT341" i="4"/>
  <c r="CF341" i="4" s="1"/>
  <c r="CR341" i="4" s="1"/>
  <c r="BU341" i="4"/>
  <c r="BV341" i="4"/>
  <c r="CH341" i="4" s="1"/>
  <c r="CT341" i="4" s="1"/>
  <c r="DV341" i="4" s="1"/>
  <c r="BW341" i="4"/>
  <c r="CI341" i="4" s="1"/>
  <c r="CU341" i="4" s="1"/>
  <c r="BX341" i="4"/>
  <c r="CJ341" i="4" s="1"/>
  <c r="CV341" i="4" s="1"/>
  <c r="BY341" i="4"/>
  <c r="CD341" i="4"/>
  <c r="CP341" i="4" s="1"/>
  <c r="DR341" i="4" s="1"/>
  <c r="CG341" i="4"/>
  <c r="CK341" i="4"/>
  <c r="CW341" i="4" s="1"/>
  <c r="DY341" i="4" s="1"/>
  <c r="CS341" i="4"/>
  <c r="CZ341" i="4"/>
  <c r="DA341" i="4"/>
  <c r="DB341" i="4"/>
  <c r="DC341" i="4"/>
  <c r="DD341" i="4"/>
  <c r="DE341" i="4"/>
  <c r="DF341" i="4"/>
  <c r="DG341" i="4"/>
  <c r="DH341" i="4"/>
  <c r="DI341" i="4"/>
  <c r="DJ341" i="4"/>
  <c r="DK341" i="4"/>
  <c r="DW341" i="4"/>
  <c r="BN342" i="4"/>
  <c r="BZ342" i="4" s="1"/>
  <c r="CL342" i="4" s="1"/>
  <c r="BO342" i="4"/>
  <c r="CA342" i="4" s="1"/>
  <c r="CM342" i="4" s="1"/>
  <c r="DO342" i="4" s="1"/>
  <c r="BP342" i="4"/>
  <c r="BQ342" i="4"/>
  <c r="CC342" i="4" s="1"/>
  <c r="BR342" i="4"/>
  <c r="CD342" i="4" s="1"/>
  <c r="CP342" i="4" s="1"/>
  <c r="DR342" i="4" s="1"/>
  <c r="BS342" i="4"/>
  <c r="BT342" i="4"/>
  <c r="BU342" i="4"/>
  <c r="BV342" i="4"/>
  <c r="CH342" i="4" s="1"/>
  <c r="CT342" i="4" s="1"/>
  <c r="BW342" i="4"/>
  <c r="CI342" i="4" s="1"/>
  <c r="CU342" i="4" s="1"/>
  <c r="DW342" i="4" s="1"/>
  <c r="BX342" i="4"/>
  <c r="BY342" i="4"/>
  <c r="CK342" i="4" s="1"/>
  <c r="CW342" i="4" s="1"/>
  <c r="CB342" i="4"/>
  <c r="CN342" i="4" s="1"/>
  <c r="CE342" i="4"/>
  <c r="CF342" i="4"/>
  <c r="CG342" i="4"/>
  <c r="CS342" i="4" s="1"/>
  <c r="DU342" i="4" s="1"/>
  <c r="CJ342" i="4"/>
  <c r="CV342" i="4" s="1"/>
  <c r="CO342" i="4"/>
  <c r="CQ342" i="4"/>
  <c r="CR342" i="4"/>
  <c r="CZ342" i="4"/>
  <c r="DN342" i="4" s="1"/>
  <c r="DA342" i="4"/>
  <c r="DB342" i="4"/>
  <c r="DC342" i="4"/>
  <c r="DD342" i="4"/>
  <c r="DE342" i="4"/>
  <c r="DF342" i="4"/>
  <c r="DG342" i="4"/>
  <c r="DH342" i="4"/>
  <c r="DI342" i="4"/>
  <c r="DJ342" i="4"/>
  <c r="DX342" i="4" s="1"/>
  <c r="DK342" i="4"/>
  <c r="BN343" i="4"/>
  <c r="BO343" i="4"/>
  <c r="CA343" i="4" s="1"/>
  <c r="BP343" i="4"/>
  <c r="CB343" i="4" s="1"/>
  <c r="CN343" i="4" s="1"/>
  <c r="BQ343" i="4"/>
  <c r="CC343" i="4" s="1"/>
  <c r="CO343" i="4" s="1"/>
  <c r="DQ343" i="4" s="1"/>
  <c r="BR343" i="4"/>
  <c r="BS343" i="4"/>
  <c r="CE343" i="4" s="1"/>
  <c r="CQ343" i="4" s="1"/>
  <c r="BT343" i="4"/>
  <c r="CF343" i="4" s="1"/>
  <c r="CR343" i="4" s="1"/>
  <c r="BU343" i="4"/>
  <c r="CG343" i="4" s="1"/>
  <c r="CS343" i="4" s="1"/>
  <c r="DU343" i="4" s="1"/>
  <c r="BV343" i="4"/>
  <c r="BW343" i="4"/>
  <c r="CI343" i="4" s="1"/>
  <c r="CU343" i="4" s="1"/>
  <c r="BX343" i="4"/>
  <c r="BY343" i="4"/>
  <c r="CK343" i="4" s="1"/>
  <c r="CW343" i="4" s="1"/>
  <c r="DY343" i="4" s="1"/>
  <c r="BZ343" i="4"/>
  <c r="CL343" i="4" s="1"/>
  <c r="CD343" i="4"/>
  <c r="CP343" i="4" s="1"/>
  <c r="CH343" i="4"/>
  <c r="CT343" i="4" s="1"/>
  <c r="DV343" i="4" s="1"/>
  <c r="CJ343" i="4"/>
  <c r="CV343" i="4" s="1"/>
  <c r="CM343" i="4"/>
  <c r="CZ343" i="4"/>
  <c r="DA343" i="4"/>
  <c r="DB343" i="4"/>
  <c r="DP343" i="4" s="1"/>
  <c r="DC343" i="4"/>
  <c r="DD343" i="4"/>
  <c r="DE343" i="4"/>
  <c r="DS343" i="4" s="1"/>
  <c r="DF343" i="4"/>
  <c r="DG343" i="4"/>
  <c r="DH343" i="4"/>
  <c r="DI343" i="4"/>
  <c r="DJ343" i="4"/>
  <c r="DK343" i="4"/>
  <c r="DR343" i="4"/>
  <c r="BN344" i="4"/>
  <c r="BZ344" i="4" s="1"/>
  <c r="CL344" i="4" s="1"/>
  <c r="BO344" i="4"/>
  <c r="CA344" i="4" s="1"/>
  <c r="CM344" i="4" s="1"/>
  <c r="BP344" i="4"/>
  <c r="CB344" i="4" s="1"/>
  <c r="CN344" i="4" s="1"/>
  <c r="BQ344" i="4"/>
  <c r="BR344" i="4"/>
  <c r="BS344" i="4"/>
  <c r="CE344" i="4" s="1"/>
  <c r="BT344" i="4"/>
  <c r="CF344" i="4" s="1"/>
  <c r="CR344" i="4" s="1"/>
  <c r="DT344" i="4" s="1"/>
  <c r="BU344" i="4"/>
  <c r="CG344" i="4" s="1"/>
  <c r="CS344" i="4" s="1"/>
  <c r="BV344" i="4"/>
  <c r="BW344" i="4"/>
  <c r="BX344" i="4"/>
  <c r="CJ344" i="4" s="1"/>
  <c r="BY344" i="4"/>
  <c r="CC344" i="4"/>
  <c r="CO344" i="4" s="1"/>
  <c r="CD344" i="4"/>
  <c r="CP344" i="4" s="1"/>
  <c r="CH344" i="4"/>
  <c r="CT344" i="4" s="1"/>
  <c r="DV344" i="4" s="1"/>
  <c r="CI344" i="4"/>
  <c r="CU344" i="4" s="1"/>
  <c r="CK344" i="4"/>
  <c r="CW344" i="4" s="1"/>
  <c r="DY344" i="4" s="1"/>
  <c r="CQ344" i="4"/>
  <c r="CV344" i="4"/>
  <c r="CZ344" i="4"/>
  <c r="DA344" i="4"/>
  <c r="DB344" i="4"/>
  <c r="DC344" i="4"/>
  <c r="DD344" i="4"/>
  <c r="DE344" i="4"/>
  <c r="DF344" i="4"/>
  <c r="DG344" i="4"/>
  <c r="DU344" i="4" s="1"/>
  <c r="DH344" i="4"/>
  <c r="DI344" i="4"/>
  <c r="DW344" i="4" s="1"/>
  <c r="DJ344" i="4"/>
  <c r="DK344" i="4"/>
  <c r="BN345" i="4"/>
  <c r="BZ345" i="4" s="1"/>
  <c r="CL345" i="4" s="1"/>
  <c r="BO345" i="4"/>
  <c r="CA345" i="4" s="1"/>
  <c r="CM345" i="4" s="1"/>
  <c r="BP345" i="4"/>
  <c r="CB345" i="4" s="1"/>
  <c r="CN345" i="4" s="1"/>
  <c r="DP345" i="4" s="1"/>
  <c r="BQ345" i="4"/>
  <c r="CC345" i="4" s="1"/>
  <c r="CO345" i="4" s="1"/>
  <c r="BR345" i="4"/>
  <c r="BS345" i="4"/>
  <c r="CE345" i="4" s="1"/>
  <c r="CQ345" i="4" s="1"/>
  <c r="BT345" i="4"/>
  <c r="CF345" i="4" s="1"/>
  <c r="CR345" i="4" s="1"/>
  <c r="DT345" i="4" s="1"/>
  <c r="BU345" i="4"/>
  <c r="CG345" i="4" s="1"/>
  <c r="CS345" i="4" s="1"/>
  <c r="BV345" i="4"/>
  <c r="BW345" i="4"/>
  <c r="CI345" i="4" s="1"/>
  <c r="CU345" i="4" s="1"/>
  <c r="BX345" i="4"/>
  <c r="CJ345" i="4" s="1"/>
  <c r="CV345" i="4" s="1"/>
  <c r="DX345" i="4" s="1"/>
  <c r="BY345" i="4"/>
  <c r="CK345" i="4" s="1"/>
  <c r="CW345" i="4" s="1"/>
  <c r="CD345" i="4"/>
  <c r="CH345" i="4"/>
  <c r="CT345" i="4" s="1"/>
  <c r="CP345" i="4"/>
  <c r="DR345" i="4" s="1"/>
  <c r="CZ345" i="4"/>
  <c r="DA345" i="4"/>
  <c r="DB345" i="4"/>
  <c r="DC345" i="4"/>
  <c r="DD345" i="4"/>
  <c r="DE345" i="4"/>
  <c r="DF345" i="4"/>
  <c r="DG345" i="4"/>
  <c r="DH345" i="4"/>
  <c r="DI345" i="4"/>
  <c r="DW345" i="4" s="1"/>
  <c r="DJ345" i="4"/>
  <c r="DK345" i="4"/>
  <c r="DY345" i="4" s="1"/>
  <c r="BN346" i="4"/>
  <c r="BZ346" i="4" s="1"/>
  <c r="CL346" i="4" s="1"/>
  <c r="BO346" i="4"/>
  <c r="BP346" i="4"/>
  <c r="BQ346" i="4"/>
  <c r="CC346" i="4" s="1"/>
  <c r="BR346" i="4"/>
  <c r="CD346" i="4" s="1"/>
  <c r="CP346" i="4" s="1"/>
  <c r="DR346" i="4" s="1"/>
  <c r="BS346" i="4"/>
  <c r="CE346" i="4" s="1"/>
  <c r="CQ346" i="4" s="1"/>
  <c r="BT346" i="4"/>
  <c r="CF346" i="4" s="1"/>
  <c r="CR346" i="4" s="1"/>
  <c r="DT346" i="4" s="1"/>
  <c r="BU346" i="4"/>
  <c r="CG346" i="4" s="1"/>
  <c r="CS346" i="4" s="1"/>
  <c r="BV346" i="4"/>
  <c r="CH346" i="4" s="1"/>
  <c r="CT346" i="4" s="1"/>
  <c r="BW346" i="4"/>
  <c r="CI346" i="4" s="1"/>
  <c r="BX346" i="4"/>
  <c r="CJ346" i="4" s="1"/>
  <c r="CV346" i="4" s="1"/>
  <c r="BY346" i="4"/>
  <c r="CK346" i="4" s="1"/>
  <c r="CW346" i="4" s="1"/>
  <c r="CA346" i="4"/>
  <c r="CM346" i="4" s="1"/>
  <c r="DO346" i="4" s="1"/>
  <c r="CB346" i="4"/>
  <c r="CN346" i="4" s="1"/>
  <c r="CO346" i="4"/>
  <c r="CU346" i="4"/>
  <c r="DW346" i="4" s="1"/>
  <c r="CZ346" i="4"/>
  <c r="DN346" i="4" s="1"/>
  <c r="DA346" i="4"/>
  <c r="DB346" i="4"/>
  <c r="DC346" i="4"/>
  <c r="DD346" i="4"/>
  <c r="DE346" i="4"/>
  <c r="DF346" i="4"/>
  <c r="DG346" i="4"/>
  <c r="DH346" i="4"/>
  <c r="DI346" i="4"/>
  <c r="DJ346" i="4"/>
  <c r="DK346" i="4"/>
  <c r="BN347" i="4"/>
  <c r="BZ347" i="4" s="1"/>
  <c r="CL347" i="4" s="1"/>
  <c r="BO347" i="4"/>
  <c r="CA347" i="4" s="1"/>
  <c r="CM347" i="4" s="1"/>
  <c r="BP347" i="4"/>
  <c r="CB347" i="4" s="1"/>
  <c r="CN347" i="4" s="1"/>
  <c r="BQ347" i="4"/>
  <c r="CC347" i="4" s="1"/>
  <c r="CO347" i="4" s="1"/>
  <c r="BR347" i="4"/>
  <c r="CD347" i="4" s="1"/>
  <c r="CP347" i="4" s="1"/>
  <c r="BS347" i="4"/>
  <c r="BT347" i="4"/>
  <c r="BU347" i="4"/>
  <c r="CG347" i="4" s="1"/>
  <c r="CS347" i="4" s="1"/>
  <c r="DU347" i="4" s="1"/>
  <c r="BV347" i="4"/>
  <c r="CH347" i="4" s="1"/>
  <c r="CT347" i="4" s="1"/>
  <c r="BW347" i="4"/>
  <c r="CI347" i="4" s="1"/>
  <c r="CU347" i="4" s="1"/>
  <c r="BX347" i="4"/>
  <c r="CJ347" i="4" s="1"/>
  <c r="CV347" i="4" s="1"/>
  <c r="DX347" i="4" s="1"/>
  <c r="BY347" i="4"/>
  <c r="CK347" i="4" s="1"/>
  <c r="CW347" i="4" s="1"/>
  <c r="CE347" i="4"/>
  <c r="CQ347" i="4" s="1"/>
  <c r="CF347" i="4"/>
  <c r="CR347" i="4" s="1"/>
  <c r="CZ347" i="4"/>
  <c r="DA347" i="4"/>
  <c r="DB347" i="4"/>
  <c r="DC347" i="4"/>
  <c r="DD347" i="4"/>
  <c r="DR347" i="4" s="1"/>
  <c r="DE347" i="4"/>
  <c r="DF347" i="4"/>
  <c r="DG347" i="4"/>
  <c r="DH347" i="4"/>
  <c r="DI347" i="4"/>
  <c r="DJ347" i="4"/>
  <c r="DK347" i="4"/>
  <c r="DS347" i="4"/>
  <c r="BN348" i="4"/>
  <c r="BO348" i="4"/>
  <c r="CA348" i="4" s="1"/>
  <c r="CM348" i="4" s="1"/>
  <c r="BP348" i="4"/>
  <c r="CB348" i="4" s="1"/>
  <c r="CN348" i="4" s="1"/>
  <c r="BQ348" i="4"/>
  <c r="CC348" i="4" s="1"/>
  <c r="CO348" i="4" s="1"/>
  <c r="DQ348" i="4" s="1"/>
  <c r="BR348" i="4"/>
  <c r="CD348" i="4" s="1"/>
  <c r="CP348" i="4" s="1"/>
  <c r="BS348" i="4"/>
  <c r="CE348" i="4" s="1"/>
  <c r="CQ348" i="4" s="1"/>
  <c r="BT348" i="4"/>
  <c r="BU348" i="4"/>
  <c r="CG348" i="4" s="1"/>
  <c r="CS348" i="4" s="1"/>
  <c r="BV348" i="4"/>
  <c r="CH348" i="4" s="1"/>
  <c r="CT348" i="4" s="1"/>
  <c r="BW348" i="4"/>
  <c r="CI348" i="4" s="1"/>
  <c r="BX348" i="4"/>
  <c r="BY348" i="4"/>
  <c r="BZ348" i="4"/>
  <c r="CF348" i="4"/>
  <c r="CR348" i="4" s="1"/>
  <c r="CJ348" i="4"/>
  <c r="CV348" i="4" s="1"/>
  <c r="CK348" i="4"/>
  <c r="CW348" i="4" s="1"/>
  <c r="CL348" i="4"/>
  <c r="DN348" i="4" s="1"/>
  <c r="CU348" i="4"/>
  <c r="DW348" i="4" s="1"/>
  <c r="CZ348" i="4"/>
  <c r="DA348" i="4"/>
  <c r="DB348" i="4"/>
  <c r="DC348" i="4"/>
  <c r="DD348" i="4"/>
  <c r="DR348" i="4" s="1"/>
  <c r="DE348" i="4"/>
  <c r="DF348" i="4"/>
  <c r="DG348" i="4"/>
  <c r="DH348" i="4"/>
  <c r="DI348" i="4"/>
  <c r="DJ348" i="4"/>
  <c r="DK348" i="4"/>
  <c r="BN349" i="4"/>
  <c r="BZ349" i="4" s="1"/>
  <c r="CL349" i="4" s="1"/>
  <c r="BO349" i="4"/>
  <c r="CA349" i="4" s="1"/>
  <c r="CM349" i="4" s="1"/>
  <c r="BP349" i="4"/>
  <c r="CB349" i="4" s="1"/>
  <c r="CN349" i="4" s="1"/>
  <c r="BQ349" i="4"/>
  <c r="CC349" i="4" s="1"/>
  <c r="CO349" i="4" s="1"/>
  <c r="DQ349" i="4" s="1"/>
  <c r="BR349" i="4"/>
  <c r="CD349" i="4" s="1"/>
  <c r="CP349" i="4" s="1"/>
  <c r="BS349" i="4"/>
  <c r="CE349" i="4" s="1"/>
  <c r="BT349" i="4"/>
  <c r="CF349" i="4" s="1"/>
  <c r="CR349" i="4" s="1"/>
  <c r="BU349" i="4"/>
  <c r="CG349" i="4" s="1"/>
  <c r="CS349" i="4" s="1"/>
  <c r="BV349" i="4"/>
  <c r="BW349" i="4"/>
  <c r="CI349" i="4" s="1"/>
  <c r="CU349" i="4" s="1"/>
  <c r="BX349" i="4"/>
  <c r="CJ349" i="4" s="1"/>
  <c r="BY349" i="4"/>
  <c r="CK349" i="4" s="1"/>
  <c r="CW349" i="4" s="1"/>
  <c r="CH349" i="4"/>
  <c r="CT349" i="4" s="1"/>
  <c r="DV349" i="4" s="1"/>
  <c r="CQ349" i="4"/>
  <c r="CV349" i="4"/>
  <c r="DX349" i="4" s="1"/>
  <c r="CZ349" i="4"/>
  <c r="DA349" i="4"/>
  <c r="DB349" i="4"/>
  <c r="DC349" i="4"/>
  <c r="DD349" i="4"/>
  <c r="DE349" i="4"/>
  <c r="DF349" i="4"/>
  <c r="DG349" i="4"/>
  <c r="DH349" i="4"/>
  <c r="DI349" i="4"/>
  <c r="DJ349" i="4"/>
  <c r="DK349" i="4"/>
  <c r="DO349" i="4"/>
  <c r="DP349" i="4"/>
  <c r="BN350" i="4"/>
  <c r="BZ350" i="4" s="1"/>
  <c r="BO350" i="4"/>
  <c r="BP350" i="4"/>
  <c r="CB350" i="4" s="1"/>
  <c r="CN350" i="4" s="1"/>
  <c r="BQ350" i="4"/>
  <c r="CC350" i="4" s="1"/>
  <c r="CO350" i="4" s="1"/>
  <c r="BR350" i="4"/>
  <c r="BS350" i="4"/>
  <c r="CE350" i="4" s="1"/>
  <c r="CQ350" i="4" s="1"/>
  <c r="DS350" i="4" s="1"/>
  <c r="BT350" i="4"/>
  <c r="CF350" i="4" s="1"/>
  <c r="CR350" i="4" s="1"/>
  <c r="DT350" i="4" s="1"/>
  <c r="BU350" i="4"/>
  <c r="BV350" i="4"/>
  <c r="CH350" i="4" s="1"/>
  <c r="BW350" i="4"/>
  <c r="CI350" i="4" s="1"/>
  <c r="CU350" i="4" s="1"/>
  <c r="BX350" i="4"/>
  <c r="CJ350" i="4" s="1"/>
  <c r="CV350" i="4" s="1"/>
  <c r="BY350" i="4"/>
  <c r="CK350" i="4" s="1"/>
  <c r="CW350" i="4" s="1"/>
  <c r="CA350" i="4"/>
  <c r="CM350" i="4" s="1"/>
  <c r="CD350" i="4"/>
  <c r="CP350" i="4" s="1"/>
  <c r="CG350" i="4"/>
  <c r="CS350" i="4" s="1"/>
  <c r="CL350" i="4"/>
  <c r="CT350" i="4"/>
  <c r="CZ350" i="4"/>
  <c r="DA350" i="4"/>
  <c r="DO350" i="4" s="1"/>
  <c r="DB350" i="4"/>
  <c r="DP350" i="4" s="1"/>
  <c r="DC350" i="4"/>
  <c r="DD350" i="4"/>
  <c r="DE350" i="4"/>
  <c r="DF350" i="4"/>
  <c r="DG350" i="4"/>
  <c r="DH350" i="4"/>
  <c r="DI350" i="4"/>
  <c r="DJ350" i="4"/>
  <c r="DX350" i="4" s="1"/>
  <c r="DK350" i="4"/>
  <c r="BN351" i="4"/>
  <c r="BZ351" i="4" s="1"/>
  <c r="CL351" i="4" s="1"/>
  <c r="BO351" i="4"/>
  <c r="CA351" i="4" s="1"/>
  <c r="CM351" i="4" s="1"/>
  <c r="BP351" i="4"/>
  <c r="BQ351" i="4"/>
  <c r="CC351" i="4" s="1"/>
  <c r="CO351" i="4" s="1"/>
  <c r="BR351" i="4"/>
  <c r="CD351" i="4" s="1"/>
  <c r="CP351" i="4" s="1"/>
  <c r="BS351" i="4"/>
  <c r="CE351" i="4" s="1"/>
  <c r="CQ351" i="4" s="1"/>
  <c r="DS351" i="4" s="1"/>
  <c r="BT351" i="4"/>
  <c r="BU351" i="4"/>
  <c r="CG351" i="4" s="1"/>
  <c r="CS351" i="4" s="1"/>
  <c r="DU351" i="4" s="1"/>
  <c r="BV351" i="4"/>
  <c r="CH351" i="4" s="1"/>
  <c r="CT351" i="4" s="1"/>
  <c r="BW351" i="4"/>
  <c r="CI351" i="4" s="1"/>
  <c r="CU351" i="4" s="1"/>
  <c r="BX351" i="4"/>
  <c r="CJ351" i="4" s="1"/>
  <c r="CV351" i="4" s="1"/>
  <c r="BY351" i="4"/>
  <c r="CK351" i="4" s="1"/>
  <c r="CW351" i="4" s="1"/>
  <c r="DY351" i="4" s="1"/>
  <c r="CB351" i="4"/>
  <c r="CN351" i="4" s="1"/>
  <c r="CF351" i="4"/>
  <c r="CR351" i="4" s="1"/>
  <c r="CZ351" i="4"/>
  <c r="DA351" i="4"/>
  <c r="DB351" i="4"/>
  <c r="DP351" i="4" s="1"/>
  <c r="DC351" i="4"/>
  <c r="DD351" i="4"/>
  <c r="DE351" i="4"/>
  <c r="DF351" i="4"/>
  <c r="DG351" i="4"/>
  <c r="DH351" i="4"/>
  <c r="DV351" i="4" s="1"/>
  <c r="DI351" i="4"/>
  <c r="DJ351" i="4"/>
  <c r="DX351" i="4" s="1"/>
  <c r="DK351" i="4"/>
  <c r="BN352" i="4"/>
  <c r="BO352" i="4"/>
  <c r="CA352" i="4" s="1"/>
  <c r="CM352" i="4" s="1"/>
  <c r="BP352" i="4"/>
  <c r="CB352" i="4" s="1"/>
  <c r="CN352" i="4" s="1"/>
  <c r="BQ352" i="4"/>
  <c r="CC352" i="4" s="1"/>
  <c r="CO352" i="4" s="1"/>
  <c r="BR352" i="4"/>
  <c r="CD352" i="4" s="1"/>
  <c r="CP352" i="4" s="1"/>
  <c r="BS352" i="4"/>
  <c r="BT352" i="4"/>
  <c r="CF352" i="4" s="1"/>
  <c r="CR352" i="4" s="1"/>
  <c r="BU352" i="4"/>
  <c r="CG352" i="4" s="1"/>
  <c r="CS352" i="4" s="1"/>
  <c r="BV352" i="4"/>
  <c r="CH352" i="4" s="1"/>
  <c r="CT352" i="4" s="1"/>
  <c r="BW352" i="4"/>
  <c r="CI352" i="4" s="1"/>
  <c r="CU352" i="4" s="1"/>
  <c r="BX352" i="4"/>
  <c r="BY352" i="4"/>
  <c r="CK352" i="4" s="1"/>
  <c r="CW352" i="4" s="1"/>
  <c r="BZ352" i="4"/>
  <c r="CL352" i="4" s="1"/>
  <c r="CE352" i="4"/>
  <c r="CQ352" i="4" s="1"/>
  <c r="DS352" i="4" s="1"/>
  <c r="CJ352" i="4"/>
  <c r="CV352" i="4" s="1"/>
  <c r="CZ352" i="4"/>
  <c r="DA352" i="4"/>
  <c r="DB352" i="4"/>
  <c r="DC352" i="4"/>
  <c r="DQ352" i="4" s="1"/>
  <c r="DD352" i="4"/>
  <c r="DE352" i="4"/>
  <c r="DF352" i="4"/>
  <c r="DG352" i="4"/>
  <c r="DH352" i="4"/>
  <c r="DI352" i="4"/>
  <c r="DJ352" i="4"/>
  <c r="DK352" i="4"/>
  <c r="DY352" i="4" s="1"/>
  <c r="BN353" i="4"/>
  <c r="BZ353" i="4" s="1"/>
  <c r="CL353" i="4" s="1"/>
  <c r="DN353" i="4" s="1"/>
  <c r="BO353" i="4"/>
  <c r="BP353" i="4"/>
  <c r="CB353" i="4" s="1"/>
  <c r="CN353" i="4" s="1"/>
  <c r="BQ353" i="4"/>
  <c r="CC353" i="4" s="1"/>
  <c r="CO353" i="4" s="1"/>
  <c r="DQ353" i="4" s="1"/>
  <c r="BR353" i="4"/>
  <c r="BS353" i="4"/>
  <c r="CE353" i="4" s="1"/>
  <c r="CQ353" i="4" s="1"/>
  <c r="BT353" i="4"/>
  <c r="BU353" i="4"/>
  <c r="CG353" i="4" s="1"/>
  <c r="CS353" i="4" s="1"/>
  <c r="DU353" i="4" s="1"/>
  <c r="BV353" i="4"/>
  <c r="CH353" i="4" s="1"/>
  <c r="CT353" i="4" s="1"/>
  <c r="BW353" i="4"/>
  <c r="BX353" i="4"/>
  <c r="CJ353" i="4" s="1"/>
  <c r="CV353" i="4" s="1"/>
  <c r="BY353" i="4"/>
  <c r="CK353" i="4" s="1"/>
  <c r="CA353" i="4"/>
  <c r="CM353" i="4" s="1"/>
  <c r="CD353" i="4"/>
  <c r="CP353" i="4" s="1"/>
  <c r="DR353" i="4" s="1"/>
  <c r="CF353" i="4"/>
  <c r="CR353" i="4" s="1"/>
  <c r="CI353" i="4"/>
  <c r="CU353" i="4" s="1"/>
  <c r="CW353" i="4"/>
  <c r="DY353" i="4" s="1"/>
  <c r="CZ353" i="4"/>
  <c r="DA353" i="4"/>
  <c r="DB353" i="4"/>
  <c r="DC353" i="4"/>
  <c r="DD353" i="4"/>
  <c r="DE353" i="4"/>
  <c r="DS353" i="4" s="1"/>
  <c r="DF353" i="4"/>
  <c r="DG353" i="4"/>
  <c r="DH353" i="4"/>
  <c r="DI353" i="4"/>
  <c r="DJ353" i="4"/>
  <c r="DK353" i="4"/>
  <c r="DV353" i="4"/>
  <c r="BN354" i="4"/>
  <c r="BZ354" i="4" s="1"/>
  <c r="CL354" i="4" s="1"/>
  <c r="BO354" i="4"/>
  <c r="CA354" i="4" s="1"/>
  <c r="CM354" i="4" s="1"/>
  <c r="DO354" i="4" s="1"/>
  <c r="BP354" i="4"/>
  <c r="CB354" i="4" s="1"/>
  <c r="BQ354" i="4"/>
  <c r="CC354" i="4" s="1"/>
  <c r="CO354" i="4" s="1"/>
  <c r="BR354" i="4"/>
  <c r="BS354" i="4"/>
  <c r="CE354" i="4" s="1"/>
  <c r="CQ354" i="4" s="1"/>
  <c r="BT354" i="4"/>
  <c r="CF354" i="4" s="1"/>
  <c r="CR354" i="4" s="1"/>
  <c r="BU354" i="4"/>
  <c r="CG354" i="4" s="1"/>
  <c r="CS354" i="4" s="1"/>
  <c r="BV354" i="4"/>
  <c r="BW354" i="4"/>
  <c r="BX354" i="4"/>
  <c r="CJ354" i="4" s="1"/>
  <c r="CV354" i="4" s="1"/>
  <c r="BY354" i="4"/>
  <c r="CK354" i="4" s="1"/>
  <c r="CW354" i="4" s="1"/>
  <c r="CD354" i="4"/>
  <c r="CP354" i="4" s="1"/>
  <c r="CH354" i="4"/>
  <c r="CT354" i="4" s="1"/>
  <c r="CI354" i="4"/>
  <c r="CU354" i="4" s="1"/>
  <c r="DW354" i="4" s="1"/>
  <c r="CN354" i="4"/>
  <c r="DP354" i="4" s="1"/>
  <c r="CZ354" i="4"/>
  <c r="DA354" i="4"/>
  <c r="DB354" i="4"/>
  <c r="DC354" i="4"/>
  <c r="DD354" i="4"/>
  <c r="DE354" i="4"/>
  <c r="DF354" i="4"/>
  <c r="DG354" i="4"/>
  <c r="DH354" i="4"/>
  <c r="DI354" i="4"/>
  <c r="DJ354" i="4"/>
  <c r="DK354" i="4"/>
  <c r="DV354" i="4"/>
  <c r="DX354" i="4"/>
  <c r="BN355" i="4"/>
  <c r="BZ355" i="4" s="1"/>
  <c r="CL355" i="4" s="1"/>
  <c r="BO355" i="4"/>
  <c r="CA355" i="4" s="1"/>
  <c r="BP355" i="4"/>
  <c r="BQ355" i="4"/>
  <c r="CC355" i="4" s="1"/>
  <c r="CO355" i="4" s="1"/>
  <c r="BR355" i="4"/>
  <c r="BS355" i="4"/>
  <c r="BT355" i="4"/>
  <c r="CF355" i="4" s="1"/>
  <c r="CR355" i="4" s="1"/>
  <c r="DT355" i="4" s="1"/>
  <c r="BU355" i="4"/>
  <c r="BV355" i="4"/>
  <c r="CH355" i="4" s="1"/>
  <c r="CT355" i="4" s="1"/>
  <c r="BW355" i="4"/>
  <c r="CI355" i="4" s="1"/>
  <c r="BX355" i="4"/>
  <c r="CJ355" i="4" s="1"/>
  <c r="CV355" i="4" s="1"/>
  <c r="DX355" i="4" s="1"/>
  <c r="BY355" i="4"/>
  <c r="CK355" i="4" s="1"/>
  <c r="CW355" i="4" s="1"/>
  <c r="CB355" i="4"/>
  <c r="CN355" i="4" s="1"/>
  <c r="DP355" i="4" s="1"/>
  <c r="CD355" i="4"/>
  <c r="CP355" i="4" s="1"/>
  <c r="CE355" i="4"/>
  <c r="CQ355" i="4" s="1"/>
  <c r="CG355" i="4"/>
  <c r="CS355" i="4" s="1"/>
  <c r="CM355" i="4"/>
  <c r="CU355" i="4"/>
  <c r="CZ355" i="4"/>
  <c r="DA355" i="4"/>
  <c r="DB355" i="4"/>
  <c r="DC355" i="4"/>
  <c r="DD355" i="4"/>
  <c r="DE355" i="4"/>
  <c r="DS355" i="4" s="1"/>
  <c r="DF355" i="4"/>
  <c r="DG355" i="4"/>
  <c r="DH355" i="4"/>
  <c r="DI355" i="4"/>
  <c r="DJ355" i="4"/>
  <c r="DK355" i="4"/>
  <c r="DR355" i="4"/>
  <c r="BN356" i="4"/>
  <c r="BZ356" i="4" s="1"/>
  <c r="CL356" i="4" s="1"/>
  <c r="BO356" i="4"/>
  <c r="CA356" i="4" s="1"/>
  <c r="CM356" i="4" s="1"/>
  <c r="DO356" i="4" s="1"/>
  <c r="BP356" i="4"/>
  <c r="CB356" i="4" s="1"/>
  <c r="CN356" i="4" s="1"/>
  <c r="DP356" i="4" s="1"/>
  <c r="BQ356" i="4"/>
  <c r="BR356" i="4"/>
  <c r="CD356" i="4" s="1"/>
  <c r="BS356" i="4"/>
  <c r="CE356" i="4" s="1"/>
  <c r="CQ356" i="4" s="1"/>
  <c r="DS356" i="4" s="1"/>
  <c r="BT356" i="4"/>
  <c r="BU356" i="4"/>
  <c r="CG356" i="4" s="1"/>
  <c r="CS356" i="4" s="1"/>
  <c r="BV356" i="4"/>
  <c r="CH356" i="4" s="1"/>
  <c r="CT356" i="4" s="1"/>
  <c r="BW356" i="4"/>
  <c r="CI356" i="4" s="1"/>
  <c r="CU356" i="4" s="1"/>
  <c r="BX356" i="4"/>
  <c r="CJ356" i="4" s="1"/>
  <c r="CV356" i="4" s="1"/>
  <c r="BY356" i="4"/>
  <c r="CC356" i="4"/>
  <c r="CO356" i="4" s="1"/>
  <c r="CF356" i="4"/>
  <c r="CR356" i="4" s="1"/>
  <c r="DT356" i="4" s="1"/>
  <c r="CK356" i="4"/>
  <c r="CW356" i="4" s="1"/>
  <c r="CP356" i="4"/>
  <c r="CZ356" i="4"/>
  <c r="DA356" i="4"/>
  <c r="DB356" i="4"/>
  <c r="DC356" i="4"/>
  <c r="DQ356" i="4" s="1"/>
  <c r="DD356" i="4"/>
  <c r="DE356" i="4"/>
  <c r="DF356" i="4"/>
  <c r="DG356" i="4"/>
  <c r="DH356" i="4"/>
  <c r="DV356" i="4" s="1"/>
  <c r="DI356" i="4"/>
  <c r="DJ356" i="4"/>
  <c r="DK356" i="4"/>
  <c r="BN357" i="4"/>
  <c r="BO357" i="4"/>
  <c r="CA357" i="4" s="1"/>
  <c r="CM357" i="4" s="1"/>
  <c r="BP357" i="4"/>
  <c r="CB357" i="4" s="1"/>
  <c r="CN357" i="4" s="1"/>
  <c r="BQ357" i="4"/>
  <c r="CC357" i="4" s="1"/>
  <c r="BR357" i="4"/>
  <c r="CD357" i="4" s="1"/>
  <c r="BS357" i="4"/>
  <c r="CE357" i="4" s="1"/>
  <c r="CQ357" i="4" s="1"/>
  <c r="BT357" i="4"/>
  <c r="BU357" i="4"/>
  <c r="CG357" i="4" s="1"/>
  <c r="CS357" i="4" s="1"/>
  <c r="BV357" i="4"/>
  <c r="CH357" i="4" s="1"/>
  <c r="CT357" i="4" s="1"/>
  <c r="BW357" i="4"/>
  <c r="CI357" i="4" s="1"/>
  <c r="CU357" i="4" s="1"/>
  <c r="DW357" i="4" s="1"/>
  <c r="BX357" i="4"/>
  <c r="BY357" i="4"/>
  <c r="BZ357" i="4"/>
  <c r="CL357" i="4" s="1"/>
  <c r="DN357" i="4" s="1"/>
  <c r="CF357" i="4"/>
  <c r="CR357" i="4" s="1"/>
  <c r="CJ357" i="4"/>
  <c r="CV357" i="4" s="1"/>
  <c r="CK357" i="4"/>
  <c r="CW357" i="4" s="1"/>
  <c r="DY357" i="4" s="1"/>
  <c r="CO357" i="4"/>
  <c r="DQ357" i="4" s="1"/>
  <c r="CP357" i="4"/>
  <c r="DR357" i="4" s="1"/>
  <c r="CZ357" i="4"/>
  <c r="DA357" i="4"/>
  <c r="DB357" i="4"/>
  <c r="DC357" i="4"/>
  <c r="DD357" i="4"/>
  <c r="DE357" i="4"/>
  <c r="DF357" i="4"/>
  <c r="DT357" i="4" s="1"/>
  <c r="DG357" i="4"/>
  <c r="DH357" i="4"/>
  <c r="DI357" i="4"/>
  <c r="DJ357" i="4"/>
  <c r="DX357" i="4" s="1"/>
  <c r="DK357" i="4"/>
  <c r="BN358" i="4"/>
  <c r="BZ358" i="4" s="1"/>
  <c r="CL358" i="4" s="1"/>
  <c r="BO358" i="4"/>
  <c r="CA358" i="4" s="1"/>
  <c r="CM358" i="4" s="1"/>
  <c r="DO358" i="4" s="1"/>
  <c r="BP358" i="4"/>
  <c r="CB358" i="4" s="1"/>
  <c r="BQ358" i="4"/>
  <c r="CC358" i="4" s="1"/>
  <c r="CO358" i="4" s="1"/>
  <c r="BR358" i="4"/>
  <c r="BS358" i="4"/>
  <c r="BT358" i="4"/>
  <c r="BU358" i="4"/>
  <c r="CG358" i="4" s="1"/>
  <c r="CS358" i="4" s="1"/>
  <c r="BV358" i="4"/>
  <c r="CH358" i="4" s="1"/>
  <c r="CT358" i="4" s="1"/>
  <c r="BW358" i="4"/>
  <c r="BX358" i="4"/>
  <c r="BY358" i="4"/>
  <c r="CK358" i="4" s="1"/>
  <c r="CD358" i="4"/>
  <c r="CP358" i="4" s="1"/>
  <c r="DR358" i="4" s="1"/>
  <c r="CE358" i="4"/>
  <c r="CQ358" i="4" s="1"/>
  <c r="CF358" i="4"/>
  <c r="CR358" i="4" s="1"/>
  <c r="CI358" i="4"/>
  <c r="CU358" i="4" s="1"/>
  <c r="CJ358" i="4"/>
  <c r="CN358" i="4"/>
  <c r="CV358" i="4"/>
  <c r="CW358" i="4"/>
  <c r="CZ358" i="4"/>
  <c r="DA358" i="4"/>
  <c r="DB358" i="4"/>
  <c r="DC358" i="4"/>
  <c r="DD358" i="4"/>
  <c r="DE358" i="4"/>
  <c r="DS358" i="4" s="1"/>
  <c r="DF358" i="4"/>
  <c r="DG358" i="4"/>
  <c r="DH358" i="4"/>
  <c r="DI358" i="4"/>
  <c r="DJ358" i="4"/>
  <c r="DK358" i="4"/>
  <c r="BN359" i="4"/>
  <c r="BZ359" i="4" s="1"/>
  <c r="CL359" i="4" s="1"/>
  <c r="BO359" i="4"/>
  <c r="CA359" i="4" s="1"/>
  <c r="BP359" i="4"/>
  <c r="CB359" i="4" s="1"/>
  <c r="CN359" i="4" s="1"/>
  <c r="BQ359" i="4"/>
  <c r="CC359" i="4" s="1"/>
  <c r="CO359" i="4" s="1"/>
  <c r="BR359" i="4"/>
  <c r="BS359" i="4"/>
  <c r="BT359" i="4"/>
  <c r="CF359" i="4" s="1"/>
  <c r="CR359" i="4" s="1"/>
  <c r="BU359" i="4"/>
  <c r="CG359" i="4" s="1"/>
  <c r="CS359" i="4" s="1"/>
  <c r="DU359" i="4" s="1"/>
  <c r="BV359" i="4"/>
  <c r="BW359" i="4"/>
  <c r="CI359" i="4" s="1"/>
  <c r="CU359" i="4" s="1"/>
  <c r="BX359" i="4"/>
  <c r="CJ359" i="4" s="1"/>
  <c r="CV359" i="4" s="1"/>
  <c r="BY359" i="4"/>
  <c r="CK359" i="4" s="1"/>
  <c r="CW359" i="4" s="1"/>
  <c r="CD359" i="4"/>
  <c r="CE359" i="4"/>
  <c r="CQ359" i="4" s="1"/>
  <c r="CH359" i="4"/>
  <c r="CT359" i="4" s="1"/>
  <c r="CM359" i="4"/>
  <c r="CP359" i="4"/>
  <c r="CZ359" i="4"/>
  <c r="DN359" i="4" s="1"/>
  <c r="DA359" i="4"/>
  <c r="DB359" i="4"/>
  <c r="DC359" i="4"/>
  <c r="DD359" i="4"/>
  <c r="DE359" i="4"/>
  <c r="DF359" i="4"/>
  <c r="DG359" i="4"/>
  <c r="DH359" i="4"/>
  <c r="DI359" i="4"/>
  <c r="DJ359" i="4"/>
  <c r="DK359" i="4"/>
  <c r="BN360" i="4"/>
  <c r="BO360" i="4"/>
  <c r="BP360" i="4"/>
  <c r="BQ360" i="4"/>
  <c r="BR360" i="4"/>
  <c r="CD360" i="4" s="1"/>
  <c r="CP360" i="4" s="1"/>
  <c r="DR360" i="4" s="1"/>
  <c r="BS360" i="4"/>
  <c r="BT360" i="4"/>
  <c r="CF360" i="4" s="1"/>
  <c r="CR360" i="4" s="1"/>
  <c r="BU360" i="4"/>
  <c r="BV360" i="4"/>
  <c r="BW360" i="4"/>
  <c r="BX360" i="4"/>
  <c r="CJ360" i="4" s="1"/>
  <c r="CV360" i="4" s="1"/>
  <c r="BY360" i="4"/>
  <c r="CK360" i="4" s="1"/>
  <c r="CW360" i="4" s="1"/>
  <c r="BZ360" i="4"/>
  <c r="CL360" i="4" s="1"/>
  <c r="CB360" i="4"/>
  <c r="CN360" i="4" s="1"/>
  <c r="DP360" i="4" s="1"/>
  <c r="CH360" i="4"/>
  <c r="CI360" i="4"/>
  <c r="CT360" i="4"/>
  <c r="DV360" i="4" s="1"/>
  <c r="CU360" i="4"/>
  <c r="CZ360" i="4"/>
  <c r="DA360" i="4"/>
  <c r="DB360" i="4"/>
  <c r="DC360" i="4"/>
  <c r="DD360" i="4"/>
  <c r="DE360" i="4"/>
  <c r="DF360" i="4"/>
  <c r="DG360" i="4"/>
  <c r="DH360" i="4"/>
  <c r="DI360" i="4"/>
  <c r="DJ360" i="4"/>
  <c r="DK360" i="4"/>
  <c r="DT360" i="4"/>
  <c r="BN361" i="4"/>
  <c r="BO361" i="4"/>
  <c r="BP361" i="4"/>
  <c r="CB361" i="4" s="1"/>
  <c r="CN361" i="4" s="1"/>
  <c r="BQ361" i="4"/>
  <c r="BR361" i="4"/>
  <c r="CD361" i="4" s="1"/>
  <c r="CP361" i="4" s="1"/>
  <c r="BS361" i="4"/>
  <c r="BT361" i="4"/>
  <c r="BU361" i="4"/>
  <c r="BV361" i="4"/>
  <c r="CH361" i="4" s="1"/>
  <c r="BW361" i="4"/>
  <c r="BX361" i="4"/>
  <c r="CJ361" i="4" s="1"/>
  <c r="BY361" i="4"/>
  <c r="BZ361" i="4"/>
  <c r="CL361" i="4" s="1"/>
  <c r="CF361" i="4"/>
  <c r="CR361" i="4" s="1"/>
  <c r="CI361" i="4"/>
  <c r="CU361" i="4" s="1"/>
  <c r="CK361" i="4"/>
  <c r="CW361" i="4" s="1"/>
  <c r="DY361" i="4" s="1"/>
  <c r="CT361" i="4"/>
  <c r="CV361" i="4"/>
  <c r="DX361" i="4" s="1"/>
  <c r="CZ361" i="4"/>
  <c r="DA361" i="4"/>
  <c r="DB361" i="4"/>
  <c r="DC361" i="4"/>
  <c r="DD361" i="4"/>
  <c r="DE361" i="4"/>
  <c r="DF361" i="4"/>
  <c r="DL361" i="4" s="1"/>
  <c r="DG361" i="4"/>
  <c r="DH361" i="4"/>
  <c r="DI361" i="4"/>
  <c r="DW361" i="4" s="1"/>
  <c r="DJ361" i="4"/>
  <c r="DK361" i="4"/>
  <c r="BN362" i="4"/>
  <c r="BZ362" i="4" s="1"/>
  <c r="CL362" i="4" s="1"/>
  <c r="DN362" i="4" s="1"/>
  <c r="BO362" i="4"/>
  <c r="BP362" i="4"/>
  <c r="CB362" i="4" s="1"/>
  <c r="CN362" i="4" s="1"/>
  <c r="BQ362" i="4"/>
  <c r="BR362" i="4"/>
  <c r="CD362" i="4" s="1"/>
  <c r="CP362" i="4" s="1"/>
  <c r="DR362" i="4" s="1"/>
  <c r="BS362" i="4"/>
  <c r="BT362" i="4"/>
  <c r="BU362" i="4"/>
  <c r="BV362" i="4"/>
  <c r="CH362" i="4" s="1"/>
  <c r="CT362" i="4" s="1"/>
  <c r="DV362" i="4" s="1"/>
  <c r="BW362" i="4"/>
  <c r="CI362" i="4" s="1"/>
  <c r="CU362" i="4" s="1"/>
  <c r="DW362" i="4" s="1"/>
  <c r="BX362" i="4"/>
  <c r="BY362" i="4"/>
  <c r="CK362" i="4" s="1"/>
  <c r="CF362" i="4"/>
  <c r="CJ362" i="4"/>
  <c r="CV362" i="4" s="1"/>
  <c r="CR362" i="4"/>
  <c r="CW362" i="4"/>
  <c r="CZ362" i="4"/>
  <c r="DA362" i="4"/>
  <c r="DB362" i="4"/>
  <c r="DC362" i="4"/>
  <c r="DD362" i="4"/>
  <c r="DE362" i="4"/>
  <c r="DF362" i="4"/>
  <c r="DG362" i="4"/>
  <c r="DH362" i="4"/>
  <c r="DI362" i="4"/>
  <c r="DJ362" i="4"/>
  <c r="DX362" i="4" s="1"/>
  <c r="DK362" i="4"/>
  <c r="DY362" i="4" s="1"/>
  <c r="BN363" i="4"/>
  <c r="BZ363" i="4" s="1"/>
  <c r="CL363" i="4" s="1"/>
  <c r="BO363" i="4"/>
  <c r="CA363" i="4" s="1"/>
  <c r="BP363" i="4"/>
  <c r="CB363" i="4" s="1"/>
  <c r="CN363" i="4" s="1"/>
  <c r="BQ363" i="4"/>
  <c r="CC363" i="4" s="1"/>
  <c r="CO363" i="4" s="1"/>
  <c r="BR363" i="4"/>
  <c r="CD363" i="4" s="1"/>
  <c r="CP363" i="4" s="1"/>
  <c r="DR363" i="4" s="1"/>
  <c r="BS363" i="4"/>
  <c r="BT363" i="4"/>
  <c r="CF363" i="4" s="1"/>
  <c r="CR363" i="4" s="1"/>
  <c r="BU363" i="4"/>
  <c r="CG363" i="4" s="1"/>
  <c r="CS363" i="4" s="1"/>
  <c r="DU363" i="4" s="1"/>
  <c r="BV363" i="4"/>
  <c r="CH363" i="4" s="1"/>
  <c r="CT363" i="4" s="1"/>
  <c r="BW363" i="4"/>
  <c r="CI363" i="4" s="1"/>
  <c r="CU363" i="4" s="1"/>
  <c r="BX363" i="4"/>
  <c r="CJ363" i="4" s="1"/>
  <c r="CV363" i="4" s="1"/>
  <c r="BY363" i="4"/>
  <c r="CE363" i="4"/>
  <c r="CQ363" i="4" s="1"/>
  <c r="DS363" i="4" s="1"/>
  <c r="CK363" i="4"/>
  <c r="CW363" i="4" s="1"/>
  <c r="CM363" i="4"/>
  <c r="CZ363" i="4"/>
  <c r="DA363" i="4"/>
  <c r="DB363" i="4"/>
  <c r="DC363" i="4"/>
  <c r="DD363" i="4"/>
  <c r="DE363" i="4"/>
  <c r="DF363" i="4"/>
  <c r="DG363" i="4"/>
  <c r="DH363" i="4"/>
  <c r="DV363" i="4" s="1"/>
  <c r="DI363" i="4"/>
  <c r="DJ363" i="4"/>
  <c r="DK363" i="4"/>
  <c r="BN364" i="4"/>
  <c r="BZ364" i="4" s="1"/>
  <c r="CL364" i="4" s="1"/>
  <c r="BO364" i="4"/>
  <c r="BP364" i="4"/>
  <c r="CB364" i="4" s="1"/>
  <c r="BQ364" i="4"/>
  <c r="BR364" i="4"/>
  <c r="CD364" i="4" s="1"/>
  <c r="CP364" i="4" s="1"/>
  <c r="BS364" i="4"/>
  <c r="BT364" i="4"/>
  <c r="CF364" i="4" s="1"/>
  <c r="CR364" i="4" s="1"/>
  <c r="BU364" i="4"/>
  <c r="BV364" i="4"/>
  <c r="CH364" i="4" s="1"/>
  <c r="CT364" i="4" s="1"/>
  <c r="BW364" i="4"/>
  <c r="BX364" i="4"/>
  <c r="CJ364" i="4" s="1"/>
  <c r="CV364" i="4" s="1"/>
  <c r="BY364" i="4"/>
  <c r="CK364" i="4" s="1"/>
  <c r="CW364" i="4" s="1"/>
  <c r="CI364" i="4"/>
  <c r="CU364" i="4" s="1"/>
  <c r="CN364" i="4"/>
  <c r="DP364" i="4" s="1"/>
  <c r="CZ364" i="4"/>
  <c r="DA364" i="4"/>
  <c r="DB364" i="4"/>
  <c r="DC364" i="4"/>
  <c r="DD364" i="4"/>
  <c r="DE364" i="4"/>
  <c r="DF364" i="4"/>
  <c r="DG364" i="4"/>
  <c r="DH364" i="4"/>
  <c r="DV364" i="4" s="1"/>
  <c r="DI364" i="4"/>
  <c r="DJ364" i="4"/>
  <c r="DX364" i="4" s="1"/>
  <c r="DK364" i="4"/>
  <c r="DM364" i="4"/>
  <c r="DY364" i="4"/>
  <c r="BN365" i="4"/>
  <c r="BO365" i="4"/>
  <c r="CA365" i="4" s="1"/>
  <c r="CM365" i="4" s="1"/>
  <c r="DO365" i="4" s="1"/>
  <c r="BP365" i="4"/>
  <c r="CB365" i="4" s="1"/>
  <c r="CN365" i="4" s="1"/>
  <c r="DP365" i="4" s="1"/>
  <c r="BQ365" i="4"/>
  <c r="BR365" i="4"/>
  <c r="CD365" i="4" s="1"/>
  <c r="BS365" i="4"/>
  <c r="BT365" i="4"/>
  <c r="BU365" i="4"/>
  <c r="BV365" i="4"/>
  <c r="BW365" i="4"/>
  <c r="BX365" i="4"/>
  <c r="CJ365" i="4" s="1"/>
  <c r="CV365" i="4" s="1"/>
  <c r="DX365" i="4" s="1"/>
  <c r="BY365" i="4"/>
  <c r="CK365" i="4" s="1"/>
  <c r="CW365" i="4" s="1"/>
  <c r="BZ365" i="4"/>
  <c r="CL365" i="4" s="1"/>
  <c r="CF365" i="4"/>
  <c r="CR365" i="4" s="1"/>
  <c r="DT365" i="4" s="1"/>
  <c r="CH365" i="4"/>
  <c r="CT365" i="4" s="1"/>
  <c r="CI365" i="4"/>
  <c r="CU365" i="4" s="1"/>
  <c r="DW365" i="4" s="1"/>
  <c r="CP365" i="4"/>
  <c r="CZ365" i="4"/>
  <c r="DA365" i="4"/>
  <c r="DB365" i="4"/>
  <c r="DC365" i="4"/>
  <c r="DD365" i="4"/>
  <c r="DE365" i="4"/>
  <c r="DF365" i="4"/>
  <c r="DG365" i="4"/>
  <c r="DH365" i="4"/>
  <c r="DI365" i="4"/>
  <c r="DJ365" i="4"/>
  <c r="DK365" i="4"/>
  <c r="DL365" i="4"/>
  <c r="DV365" i="4"/>
  <c r="BN366" i="4"/>
  <c r="BZ366" i="4" s="1"/>
  <c r="CL366" i="4" s="1"/>
  <c r="BO366" i="4"/>
  <c r="BP366" i="4"/>
  <c r="CB366" i="4" s="1"/>
  <c r="BQ366" i="4"/>
  <c r="BR366" i="4"/>
  <c r="BS366" i="4"/>
  <c r="CE366" i="4" s="1"/>
  <c r="CQ366" i="4" s="1"/>
  <c r="BT366" i="4"/>
  <c r="BU366" i="4"/>
  <c r="BV366" i="4"/>
  <c r="CH366" i="4" s="1"/>
  <c r="CT366" i="4" s="1"/>
  <c r="BW366" i="4"/>
  <c r="BX366" i="4"/>
  <c r="CJ366" i="4" s="1"/>
  <c r="BY366" i="4"/>
  <c r="CK366" i="4" s="1"/>
  <c r="CW366" i="4" s="1"/>
  <c r="CD366" i="4"/>
  <c r="CP366" i="4" s="1"/>
  <c r="CF366" i="4"/>
  <c r="CR366" i="4" s="1"/>
  <c r="DT366" i="4" s="1"/>
  <c r="CI366" i="4"/>
  <c r="CU366" i="4" s="1"/>
  <c r="CN366" i="4"/>
  <c r="CV366" i="4"/>
  <c r="CZ366" i="4"/>
  <c r="DA366" i="4"/>
  <c r="DB366" i="4"/>
  <c r="DC366" i="4"/>
  <c r="DD366" i="4"/>
  <c r="DE366" i="4"/>
  <c r="DF366" i="4"/>
  <c r="DG366" i="4"/>
  <c r="DH366" i="4"/>
  <c r="DI366" i="4"/>
  <c r="DW366" i="4" s="1"/>
  <c r="DJ366" i="4"/>
  <c r="DK366" i="4"/>
  <c r="DY366" i="4"/>
  <c r="BN367" i="4"/>
  <c r="BZ367" i="4" s="1"/>
  <c r="CL367" i="4" s="1"/>
  <c r="BO367" i="4"/>
  <c r="BP367" i="4"/>
  <c r="BQ367" i="4"/>
  <c r="BR367" i="4"/>
  <c r="CD367" i="4" s="1"/>
  <c r="CP367" i="4" s="1"/>
  <c r="DR367" i="4" s="1"/>
  <c r="BS367" i="4"/>
  <c r="BT367" i="4"/>
  <c r="CF367" i="4" s="1"/>
  <c r="BU367" i="4"/>
  <c r="BV367" i="4"/>
  <c r="CH367" i="4" s="1"/>
  <c r="CT367" i="4" s="1"/>
  <c r="BW367" i="4"/>
  <c r="BX367" i="4"/>
  <c r="BY367" i="4"/>
  <c r="CK367" i="4" s="1"/>
  <c r="CW367" i="4" s="1"/>
  <c r="CB367" i="4"/>
  <c r="CN367" i="4" s="1"/>
  <c r="CI367" i="4"/>
  <c r="CJ367" i="4"/>
  <c r="CV367" i="4" s="1"/>
  <c r="CR367" i="4"/>
  <c r="CU367" i="4"/>
  <c r="CZ367" i="4"/>
  <c r="DA367" i="4"/>
  <c r="DB367" i="4"/>
  <c r="DC367" i="4"/>
  <c r="DD367" i="4"/>
  <c r="DE367" i="4"/>
  <c r="DF367" i="4"/>
  <c r="DG367" i="4"/>
  <c r="DH367" i="4"/>
  <c r="DI367" i="4"/>
  <c r="DW367" i="4" s="1"/>
  <c r="DJ367" i="4"/>
  <c r="DX367" i="4" s="1"/>
  <c r="DK367" i="4"/>
  <c r="DY367" i="4" s="1"/>
  <c r="BN368" i="4"/>
  <c r="BZ368" i="4" s="1"/>
  <c r="CL368" i="4" s="1"/>
  <c r="BO368" i="4"/>
  <c r="BP368" i="4"/>
  <c r="CB368" i="4" s="1"/>
  <c r="CN368" i="4" s="1"/>
  <c r="BQ368" i="4"/>
  <c r="BR368" i="4"/>
  <c r="CD368" i="4" s="1"/>
  <c r="CP368" i="4" s="1"/>
  <c r="BS368" i="4"/>
  <c r="BT368" i="4"/>
  <c r="CF368" i="4" s="1"/>
  <c r="CR368" i="4" s="1"/>
  <c r="BU368" i="4"/>
  <c r="BV368" i="4"/>
  <c r="CH368" i="4" s="1"/>
  <c r="CT368" i="4" s="1"/>
  <c r="BW368" i="4"/>
  <c r="CI368" i="4" s="1"/>
  <c r="CU368" i="4" s="1"/>
  <c r="BX368" i="4"/>
  <c r="BY368" i="4"/>
  <c r="CK368" i="4" s="1"/>
  <c r="CW368" i="4" s="1"/>
  <c r="DY368" i="4" s="1"/>
  <c r="CJ368" i="4"/>
  <c r="CV368" i="4" s="1"/>
  <c r="DX368" i="4" s="1"/>
  <c r="CZ368" i="4"/>
  <c r="DA368" i="4"/>
  <c r="DB368" i="4"/>
  <c r="DC368" i="4"/>
  <c r="DD368" i="4"/>
  <c r="DE368" i="4"/>
  <c r="DF368" i="4"/>
  <c r="DG368" i="4"/>
  <c r="DH368" i="4"/>
  <c r="DI368" i="4"/>
  <c r="DJ368" i="4"/>
  <c r="DK368" i="4"/>
  <c r="DP368" i="4"/>
  <c r="BN369" i="4"/>
  <c r="BO369" i="4"/>
  <c r="BP369" i="4"/>
  <c r="CB369" i="4" s="1"/>
  <c r="CN369" i="4" s="1"/>
  <c r="BQ369" i="4"/>
  <c r="BR369" i="4"/>
  <c r="CD369" i="4" s="1"/>
  <c r="CP369" i="4" s="1"/>
  <c r="BS369" i="4"/>
  <c r="BT369" i="4"/>
  <c r="BU369" i="4"/>
  <c r="BV369" i="4"/>
  <c r="BW369" i="4"/>
  <c r="BX369" i="4"/>
  <c r="CJ369" i="4" s="1"/>
  <c r="CV369" i="4" s="1"/>
  <c r="BY369" i="4"/>
  <c r="CK369" i="4" s="1"/>
  <c r="CW369" i="4" s="1"/>
  <c r="BZ369" i="4"/>
  <c r="CL369" i="4" s="1"/>
  <c r="DN369" i="4" s="1"/>
  <c r="CF369" i="4"/>
  <c r="CR369" i="4" s="1"/>
  <c r="CH369" i="4"/>
  <c r="CT369" i="4" s="1"/>
  <c r="DV369" i="4" s="1"/>
  <c r="CI369" i="4"/>
  <c r="CU369" i="4" s="1"/>
  <c r="DW369" i="4" s="1"/>
  <c r="CZ369" i="4"/>
  <c r="DA369" i="4"/>
  <c r="DB369" i="4"/>
  <c r="DC369" i="4"/>
  <c r="DD369" i="4"/>
  <c r="DE369" i="4"/>
  <c r="DF369" i="4"/>
  <c r="DL369" i="4" s="1"/>
  <c r="DG369" i="4"/>
  <c r="DH369" i="4"/>
  <c r="DI369" i="4"/>
  <c r="DJ369" i="4"/>
  <c r="DK369" i="4"/>
  <c r="DT369" i="4"/>
  <c r="BN370" i="4"/>
  <c r="BZ370" i="4" s="1"/>
  <c r="BO370" i="4"/>
  <c r="CA370" i="4" s="1"/>
  <c r="CM370" i="4" s="1"/>
  <c r="BP370" i="4"/>
  <c r="CB370" i="4" s="1"/>
  <c r="BQ370" i="4"/>
  <c r="BR370" i="4"/>
  <c r="BS370" i="4"/>
  <c r="BT370" i="4"/>
  <c r="BU370" i="4"/>
  <c r="BV370" i="4"/>
  <c r="CH370" i="4" s="1"/>
  <c r="CT370" i="4" s="1"/>
  <c r="DV370" i="4" s="1"/>
  <c r="BW370" i="4"/>
  <c r="CI370" i="4" s="1"/>
  <c r="CU370" i="4" s="1"/>
  <c r="BX370" i="4"/>
  <c r="CJ370" i="4" s="1"/>
  <c r="CV370" i="4" s="1"/>
  <c r="BY370" i="4"/>
  <c r="CK370" i="4" s="1"/>
  <c r="CW370" i="4" s="1"/>
  <c r="CD370" i="4"/>
  <c r="CP370" i="4" s="1"/>
  <c r="CF370" i="4"/>
  <c r="CR370" i="4" s="1"/>
  <c r="CL370" i="4"/>
  <c r="DN370" i="4" s="1"/>
  <c r="CN370" i="4"/>
  <c r="CZ370" i="4"/>
  <c r="DA370" i="4"/>
  <c r="DB370" i="4"/>
  <c r="DC370" i="4"/>
  <c r="DD370" i="4"/>
  <c r="DE370" i="4"/>
  <c r="DF370" i="4"/>
  <c r="DG370" i="4"/>
  <c r="DH370" i="4"/>
  <c r="DI370" i="4"/>
  <c r="DW370" i="4" s="1"/>
  <c r="DJ370" i="4"/>
  <c r="DX370" i="4" s="1"/>
  <c r="DK370" i="4"/>
  <c r="BN371" i="4"/>
  <c r="BZ371" i="4" s="1"/>
  <c r="CL371" i="4" s="1"/>
  <c r="BO371" i="4"/>
  <c r="BP371" i="4"/>
  <c r="BQ371" i="4"/>
  <c r="BR371" i="4"/>
  <c r="BS371" i="4"/>
  <c r="BT371" i="4"/>
  <c r="CF371" i="4" s="1"/>
  <c r="CR371" i="4" s="1"/>
  <c r="BU371" i="4"/>
  <c r="BV371" i="4"/>
  <c r="CH371" i="4" s="1"/>
  <c r="CT371" i="4" s="1"/>
  <c r="BW371" i="4"/>
  <c r="BX371" i="4"/>
  <c r="CJ371" i="4" s="1"/>
  <c r="CV371" i="4" s="1"/>
  <c r="BY371" i="4"/>
  <c r="CK371" i="4" s="1"/>
  <c r="CW371" i="4" s="1"/>
  <c r="CB371" i="4"/>
  <c r="CN371" i="4" s="1"/>
  <c r="CD371" i="4"/>
  <c r="CP371" i="4" s="1"/>
  <c r="DR371" i="4" s="1"/>
  <c r="CI371" i="4"/>
  <c r="CU371" i="4" s="1"/>
  <c r="DW371" i="4" s="1"/>
  <c r="CZ371" i="4"/>
  <c r="DA371" i="4"/>
  <c r="DB371" i="4"/>
  <c r="DC371" i="4"/>
  <c r="DD371" i="4"/>
  <c r="DE371" i="4"/>
  <c r="DF371" i="4"/>
  <c r="DG371" i="4"/>
  <c r="DH371" i="4"/>
  <c r="DI371" i="4"/>
  <c r="DJ371" i="4"/>
  <c r="DX371" i="4" s="1"/>
  <c r="DK371" i="4"/>
  <c r="DY371" i="4" s="1"/>
  <c r="BN372" i="4"/>
  <c r="BO372" i="4"/>
  <c r="BP372" i="4"/>
  <c r="BQ372" i="4"/>
  <c r="BR372" i="4"/>
  <c r="CD372" i="4" s="1"/>
  <c r="CP372" i="4" s="1"/>
  <c r="DR372" i="4" s="1"/>
  <c r="BS372" i="4"/>
  <c r="CE372" i="4" s="1"/>
  <c r="CQ372" i="4" s="1"/>
  <c r="BT372" i="4"/>
  <c r="CF372" i="4" s="1"/>
  <c r="BU372" i="4"/>
  <c r="CG372" i="4" s="1"/>
  <c r="CS372" i="4" s="1"/>
  <c r="BV372" i="4"/>
  <c r="BW372" i="4"/>
  <c r="CI372" i="4" s="1"/>
  <c r="CU372" i="4" s="1"/>
  <c r="BX372" i="4"/>
  <c r="BY372" i="4"/>
  <c r="BZ372" i="4"/>
  <c r="CL372" i="4" s="1"/>
  <c r="CB372" i="4"/>
  <c r="CN372" i="4" s="1"/>
  <c r="DP372" i="4" s="1"/>
  <c r="CH372" i="4"/>
  <c r="CT372" i="4" s="1"/>
  <c r="CJ372" i="4"/>
  <c r="CV372" i="4" s="1"/>
  <c r="CK372" i="4"/>
  <c r="CR372" i="4"/>
  <c r="CW372" i="4"/>
  <c r="CZ372" i="4"/>
  <c r="DN372" i="4" s="1"/>
  <c r="DA372" i="4"/>
  <c r="DB372" i="4"/>
  <c r="DC372" i="4"/>
  <c r="DD372" i="4"/>
  <c r="DE372" i="4"/>
  <c r="DF372" i="4"/>
  <c r="DG372" i="4"/>
  <c r="DH372" i="4"/>
  <c r="DI372" i="4"/>
  <c r="DJ372" i="4"/>
  <c r="DK372" i="4"/>
  <c r="BN373" i="4"/>
  <c r="BZ373" i="4" s="1"/>
  <c r="CL373" i="4" s="1"/>
  <c r="DN373" i="4" s="1"/>
  <c r="BO373" i="4"/>
  <c r="CA373" i="4" s="1"/>
  <c r="CM373" i="4" s="1"/>
  <c r="DO373" i="4" s="1"/>
  <c r="BP373" i="4"/>
  <c r="CB373" i="4" s="1"/>
  <c r="CN373" i="4" s="1"/>
  <c r="DP373" i="4" s="1"/>
  <c r="BQ373" i="4"/>
  <c r="BR373" i="4"/>
  <c r="CD373" i="4" s="1"/>
  <c r="CP373" i="4" s="1"/>
  <c r="BS373" i="4"/>
  <c r="CE373" i="4" s="1"/>
  <c r="CQ373" i="4" s="1"/>
  <c r="BT373" i="4"/>
  <c r="BU373" i="4"/>
  <c r="CG373" i="4" s="1"/>
  <c r="CS373" i="4" s="1"/>
  <c r="BV373" i="4"/>
  <c r="BW373" i="4"/>
  <c r="CI373" i="4" s="1"/>
  <c r="CU373" i="4" s="1"/>
  <c r="DW373" i="4" s="1"/>
  <c r="BX373" i="4"/>
  <c r="CJ373" i="4" s="1"/>
  <c r="CV373" i="4" s="1"/>
  <c r="DX373" i="4" s="1"/>
  <c r="BY373" i="4"/>
  <c r="CK373" i="4" s="1"/>
  <c r="CW373" i="4" s="1"/>
  <c r="CC373" i="4"/>
  <c r="CO373" i="4" s="1"/>
  <c r="CF373" i="4"/>
  <c r="CR373" i="4" s="1"/>
  <c r="DT373" i="4" s="1"/>
  <c r="CH373" i="4"/>
  <c r="CT373" i="4" s="1"/>
  <c r="DV373" i="4" s="1"/>
  <c r="CZ373" i="4"/>
  <c r="DA373" i="4"/>
  <c r="DB373" i="4"/>
  <c r="DC373" i="4"/>
  <c r="DD373" i="4"/>
  <c r="DR373" i="4" s="1"/>
  <c r="DE373" i="4"/>
  <c r="DF373" i="4"/>
  <c r="DG373" i="4"/>
  <c r="DH373" i="4"/>
  <c r="DI373" i="4"/>
  <c r="DJ373" i="4"/>
  <c r="DK373" i="4"/>
  <c r="DY373" i="4" s="1"/>
  <c r="DL373" i="4"/>
  <c r="BN374" i="4"/>
  <c r="BZ374" i="4" s="1"/>
  <c r="CL374" i="4" s="1"/>
  <c r="BO374" i="4"/>
  <c r="BP374" i="4"/>
  <c r="CB374" i="4" s="1"/>
  <c r="CN374" i="4" s="1"/>
  <c r="BQ374" i="4"/>
  <c r="BR374" i="4"/>
  <c r="CD374" i="4" s="1"/>
  <c r="CP374" i="4" s="1"/>
  <c r="DR374" i="4" s="1"/>
  <c r="BS374" i="4"/>
  <c r="CE374" i="4" s="1"/>
  <c r="CQ374" i="4" s="1"/>
  <c r="BT374" i="4"/>
  <c r="CF374" i="4" s="1"/>
  <c r="CR374" i="4" s="1"/>
  <c r="BU374" i="4"/>
  <c r="BV374" i="4"/>
  <c r="CH374" i="4" s="1"/>
  <c r="CT374" i="4" s="1"/>
  <c r="BW374" i="4"/>
  <c r="BX374" i="4"/>
  <c r="CJ374" i="4" s="1"/>
  <c r="CV374" i="4" s="1"/>
  <c r="BY374" i="4"/>
  <c r="CA374" i="4"/>
  <c r="CM374" i="4" s="1"/>
  <c r="CC374" i="4"/>
  <c r="CO374" i="4" s="1"/>
  <c r="DQ374" i="4" s="1"/>
  <c r="CG374" i="4"/>
  <c r="CS374" i="4" s="1"/>
  <c r="DU374" i="4" s="1"/>
  <c r="CI374" i="4"/>
  <c r="CU374" i="4" s="1"/>
  <c r="CZ374" i="4"/>
  <c r="DA374" i="4"/>
  <c r="DB374" i="4"/>
  <c r="DC374" i="4"/>
  <c r="DD374" i="4"/>
  <c r="DE374" i="4"/>
  <c r="DF374" i="4"/>
  <c r="DT374" i="4" s="1"/>
  <c r="DG374" i="4"/>
  <c r="DH374" i="4"/>
  <c r="DI374" i="4"/>
  <c r="DJ374" i="4"/>
  <c r="DX374" i="4" s="1"/>
  <c r="DK374" i="4"/>
  <c r="BN375" i="4"/>
  <c r="BZ375" i="4" s="1"/>
  <c r="CL375" i="4" s="1"/>
  <c r="BO375" i="4"/>
  <c r="CA375" i="4" s="1"/>
  <c r="CM375" i="4" s="1"/>
  <c r="DO375" i="4" s="1"/>
  <c r="BP375" i="4"/>
  <c r="CB375" i="4" s="1"/>
  <c r="CN375" i="4" s="1"/>
  <c r="BQ375" i="4"/>
  <c r="CC375" i="4" s="1"/>
  <c r="CO375" i="4" s="1"/>
  <c r="BR375" i="4"/>
  <c r="BS375" i="4"/>
  <c r="CE375" i="4" s="1"/>
  <c r="CQ375" i="4" s="1"/>
  <c r="DS375" i="4" s="1"/>
  <c r="BT375" i="4"/>
  <c r="CF375" i="4" s="1"/>
  <c r="CR375" i="4" s="1"/>
  <c r="DT375" i="4" s="1"/>
  <c r="BU375" i="4"/>
  <c r="BV375" i="4"/>
  <c r="CH375" i="4" s="1"/>
  <c r="CT375" i="4" s="1"/>
  <c r="BW375" i="4"/>
  <c r="CI375" i="4" s="1"/>
  <c r="CU375" i="4" s="1"/>
  <c r="BX375" i="4"/>
  <c r="BY375" i="4"/>
  <c r="CD375" i="4"/>
  <c r="CP375" i="4" s="1"/>
  <c r="DR375" i="4" s="1"/>
  <c r="CG375" i="4"/>
  <c r="CS375" i="4" s="1"/>
  <c r="CJ375" i="4"/>
  <c r="CV375" i="4" s="1"/>
  <c r="CZ375" i="4"/>
  <c r="DA375" i="4"/>
  <c r="DB375" i="4"/>
  <c r="DP375" i="4" s="1"/>
  <c r="DC375" i="4"/>
  <c r="DD375" i="4"/>
  <c r="DE375" i="4"/>
  <c r="DF375" i="4"/>
  <c r="DG375" i="4"/>
  <c r="DH375" i="4"/>
  <c r="DI375" i="4"/>
  <c r="DJ375" i="4"/>
  <c r="DK375" i="4"/>
  <c r="BN376" i="4"/>
  <c r="BO376" i="4"/>
  <c r="CA376" i="4" s="1"/>
  <c r="CM376" i="4" s="1"/>
  <c r="BP376" i="4"/>
  <c r="CB376" i="4" s="1"/>
  <c r="CN376" i="4" s="1"/>
  <c r="DP376" i="4" s="1"/>
  <c r="BQ376" i="4"/>
  <c r="BR376" i="4"/>
  <c r="CD376" i="4" s="1"/>
  <c r="CP376" i="4" s="1"/>
  <c r="DR376" i="4" s="1"/>
  <c r="BS376" i="4"/>
  <c r="CE376" i="4" s="1"/>
  <c r="CQ376" i="4" s="1"/>
  <c r="BT376" i="4"/>
  <c r="CF376" i="4" s="1"/>
  <c r="CR376" i="4" s="1"/>
  <c r="BU376" i="4"/>
  <c r="BV376" i="4"/>
  <c r="CH376" i="4" s="1"/>
  <c r="CT376" i="4" s="1"/>
  <c r="BW376" i="4"/>
  <c r="CI376" i="4" s="1"/>
  <c r="CU376" i="4" s="1"/>
  <c r="BX376" i="4"/>
  <c r="BY376" i="4"/>
  <c r="BZ376" i="4"/>
  <c r="CL376" i="4" s="1"/>
  <c r="CC376" i="4"/>
  <c r="CO376" i="4" s="1"/>
  <c r="CG376" i="4"/>
  <c r="CS376" i="4" s="1"/>
  <c r="CJ376" i="4"/>
  <c r="CV376" i="4" s="1"/>
  <c r="CZ376" i="4"/>
  <c r="DA376" i="4"/>
  <c r="DO376" i="4" s="1"/>
  <c r="DB376" i="4"/>
  <c r="DC376" i="4"/>
  <c r="DD376" i="4"/>
  <c r="DE376" i="4"/>
  <c r="DS376" i="4" s="1"/>
  <c r="DF376" i="4"/>
  <c r="DG376" i="4"/>
  <c r="DH376" i="4"/>
  <c r="DI376" i="4"/>
  <c r="DW376" i="4" s="1"/>
  <c r="DJ376" i="4"/>
  <c r="DK376" i="4"/>
  <c r="DX376" i="4"/>
  <c r="BN377" i="4"/>
  <c r="BO377" i="4"/>
  <c r="CA377" i="4" s="1"/>
  <c r="BP377" i="4"/>
  <c r="CB377" i="4" s="1"/>
  <c r="CN377" i="4" s="1"/>
  <c r="DP377" i="4" s="1"/>
  <c r="BQ377" i="4"/>
  <c r="BR377" i="4"/>
  <c r="CD377" i="4" s="1"/>
  <c r="CP377" i="4" s="1"/>
  <c r="BS377" i="4"/>
  <c r="BT377" i="4"/>
  <c r="CF377" i="4" s="1"/>
  <c r="CR377" i="4" s="1"/>
  <c r="BU377" i="4"/>
  <c r="CG377" i="4" s="1"/>
  <c r="CS377" i="4" s="1"/>
  <c r="BV377" i="4"/>
  <c r="CH377" i="4" s="1"/>
  <c r="CT377" i="4" s="1"/>
  <c r="BW377" i="4"/>
  <c r="BX377" i="4"/>
  <c r="CJ377" i="4" s="1"/>
  <c r="CV377" i="4" s="1"/>
  <c r="DX377" i="4" s="1"/>
  <c r="BY377" i="4"/>
  <c r="BZ377" i="4"/>
  <c r="CL377" i="4" s="1"/>
  <c r="DN377" i="4" s="1"/>
  <c r="CC377" i="4"/>
  <c r="CO377" i="4" s="1"/>
  <c r="CE377" i="4"/>
  <c r="CQ377" i="4" s="1"/>
  <c r="DS377" i="4" s="1"/>
  <c r="CI377" i="4"/>
  <c r="CU377" i="4" s="1"/>
  <c r="CM377" i="4"/>
  <c r="CZ377" i="4"/>
  <c r="DA377" i="4"/>
  <c r="DO377" i="4" s="1"/>
  <c r="DB377" i="4"/>
  <c r="DC377" i="4"/>
  <c r="DD377" i="4"/>
  <c r="DE377" i="4"/>
  <c r="DF377" i="4"/>
  <c r="DG377" i="4"/>
  <c r="DH377" i="4"/>
  <c r="DI377" i="4"/>
  <c r="DJ377" i="4"/>
  <c r="DK377" i="4"/>
  <c r="BN378" i="4"/>
  <c r="BZ378" i="4" s="1"/>
  <c r="CL378" i="4" s="1"/>
  <c r="DN378" i="4" s="1"/>
  <c r="BO378" i="4"/>
  <c r="CA378" i="4" s="1"/>
  <c r="CM378" i="4" s="1"/>
  <c r="BP378" i="4"/>
  <c r="CB378" i="4" s="1"/>
  <c r="CN378" i="4" s="1"/>
  <c r="BQ378" i="4"/>
  <c r="BR378" i="4"/>
  <c r="BS378" i="4"/>
  <c r="CE378" i="4" s="1"/>
  <c r="CQ378" i="4" s="1"/>
  <c r="BT378" i="4"/>
  <c r="CF378" i="4" s="1"/>
  <c r="CR378" i="4" s="1"/>
  <c r="DT378" i="4" s="1"/>
  <c r="BU378" i="4"/>
  <c r="BV378" i="4"/>
  <c r="CH378" i="4" s="1"/>
  <c r="CT378" i="4" s="1"/>
  <c r="DV378" i="4" s="1"/>
  <c r="BW378" i="4"/>
  <c r="CI378" i="4" s="1"/>
  <c r="CU378" i="4" s="1"/>
  <c r="BX378" i="4"/>
  <c r="CJ378" i="4" s="1"/>
  <c r="CV378" i="4" s="1"/>
  <c r="BY378" i="4"/>
  <c r="CC378" i="4"/>
  <c r="CO378" i="4" s="1"/>
  <c r="CD378" i="4"/>
  <c r="CP378" i="4" s="1"/>
  <c r="CG378" i="4"/>
  <c r="CS378" i="4" s="1"/>
  <c r="DU378" i="4" s="1"/>
  <c r="CZ378" i="4"/>
  <c r="DA378" i="4"/>
  <c r="DB378" i="4"/>
  <c r="DC378" i="4"/>
  <c r="DD378" i="4"/>
  <c r="DE378" i="4"/>
  <c r="DS378" i="4" s="1"/>
  <c r="DF378" i="4"/>
  <c r="DG378" i="4"/>
  <c r="DH378" i="4"/>
  <c r="DI378" i="4"/>
  <c r="DW378" i="4" s="1"/>
  <c r="DJ378" i="4"/>
  <c r="DK378" i="4"/>
  <c r="DL378" i="4"/>
  <c r="BN379" i="4"/>
  <c r="BZ379" i="4" s="1"/>
  <c r="CL379" i="4" s="1"/>
  <c r="BO379" i="4"/>
  <c r="CA379" i="4" s="1"/>
  <c r="CM379" i="4" s="1"/>
  <c r="BP379" i="4"/>
  <c r="CB379" i="4" s="1"/>
  <c r="CN379" i="4" s="1"/>
  <c r="BQ379" i="4"/>
  <c r="CC379" i="4" s="1"/>
  <c r="CO379" i="4" s="1"/>
  <c r="BR379" i="4"/>
  <c r="BS379" i="4"/>
  <c r="BT379" i="4"/>
  <c r="CF379" i="4" s="1"/>
  <c r="CR379" i="4" s="1"/>
  <c r="DT379" i="4" s="1"/>
  <c r="BU379" i="4"/>
  <c r="BV379" i="4"/>
  <c r="CH379" i="4" s="1"/>
  <c r="CT379" i="4" s="1"/>
  <c r="BW379" i="4"/>
  <c r="BX379" i="4"/>
  <c r="CJ379" i="4" s="1"/>
  <c r="CV379" i="4" s="1"/>
  <c r="BY379" i="4"/>
  <c r="CD379" i="4"/>
  <c r="CP379" i="4" s="1"/>
  <c r="CE379" i="4"/>
  <c r="CQ379" i="4" s="1"/>
  <c r="DS379" i="4" s="1"/>
  <c r="CG379" i="4"/>
  <c r="CS379" i="4" s="1"/>
  <c r="CI379" i="4"/>
  <c r="CU379" i="4" s="1"/>
  <c r="CZ379" i="4"/>
  <c r="DA379" i="4"/>
  <c r="DB379" i="4"/>
  <c r="DC379" i="4"/>
  <c r="DD379" i="4"/>
  <c r="DE379" i="4"/>
  <c r="DF379" i="4"/>
  <c r="DG379" i="4"/>
  <c r="DH379" i="4"/>
  <c r="DV379" i="4" s="1"/>
  <c r="DI379" i="4"/>
  <c r="DJ379" i="4"/>
  <c r="DK379" i="4"/>
  <c r="BN380" i="4"/>
  <c r="BZ380" i="4" s="1"/>
  <c r="CL380" i="4" s="1"/>
  <c r="BO380" i="4"/>
  <c r="CA380" i="4" s="1"/>
  <c r="CM380" i="4" s="1"/>
  <c r="BP380" i="4"/>
  <c r="BQ380" i="4"/>
  <c r="CC380" i="4" s="1"/>
  <c r="CO380" i="4" s="1"/>
  <c r="DQ380" i="4" s="1"/>
  <c r="BR380" i="4"/>
  <c r="CD380" i="4" s="1"/>
  <c r="CP380" i="4" s="1"/>
  <c r="BS380" i="4"/>
  <c r="BT380" i="4"/>
  <c r="CF380" i="4" s="1"/>
  <c r="CR380" i="4" s="1"/>
  <c r="BU380" i="4"/>
  <c r="CG380" i="4" s="1"/>
  <c r="CS380" i="4" s="1"/>
  <c r="BV380" i="4"/>
  <c r="CH380" i="4" s="1"/>
  <c r="BW380" i="4"/>
  <c r="CI380" i="4" s="1"/>
  <c r="CU380" i="4" s="1"/>
  <c r="BX380" i="4"/>
  <c r="CJ380" i="4" s="1"/>
  <c r="CV380" i="4" s="1"/>
  <c r="BY380" i="4"/>
  <c r="CB380" i="4"/>
  <c r="CN380" i="4" s="1"/>
  <c r="CE380" i="4"/>
  <c r="CQ380" i="4" s="1"/>
  <c r="CT380" i="4"/>
  <c r="DV380" i="4" s="1"/>
  <c r="CZ380" i="4"/>
  <c r="DN380" i="4" s="1"/>
  <c r="DA380" i="4"/>
  <c r="DB380" i="4"/>
  <c r="DC380" i="4"/>
  <c r="DD380" i="4"/>
  <c r="DE380" i="4"/>
  <c r="DF380" i="4"/>
  <c r="DG380" i="4"/>
  <c r="DH380" i="4"/>
  <c r="DI380" i="4"/>
  <c r="DW380" i="4" s="1"/>
  <c r="DJ380" i="4"/>
  <c r="DK380" i="4"/>
  <c r="BN381" i="4"/>
  <c r="BZ381" i="4" s="1"/>
  <c r="CL381" i="4" s="1"/>
  <c r="BO381" i="4"/>
  <c r="CA381" i="4" s="1"/>
  <c r="CM381" i="4" s="1"/>
  <c r="BP381" i="4"/>
  <c r="CB381" i="4" s="1"/>
  <c r="CN381" i="4" s="1"/>
  <c r="DP381" i="4" s="1"/>
  <c r="BQ381" i="4"/>
  <c r="BR381" i="4"/>
  <c r="CD381" i="4" s="1"/>
  <c r="CP381" i="4" s="1"/>
  <c r="BS381" i="4"/>
  <c r="CE381" i="4" s="1"/>
  <c r="CQ381" i="4" s="1"/>
  <c r="BT381" i="4"/>
  <c r="CF381" i="4" s="1"/>
  <c r="CR381" i="4" s="1"/>
  <c r="BU381" i="4"/>
  <c r="CG381" i="4" s="1"/>
  <c r="CS381" i="4" s="1"/>
  <c r="BV381" i="4"/>
  <c r="BW381" i="4"/>
  <c r="CI381" i="4" s="1"/>
  <c r="CU381" i="4" s="1"/>
  <c r="DW381" i="4" s="1"/>
  <c r="BX381" i="4"/>
  <c r="CJ381" i="4" s="1"/>
  <c r="CV381" i="4" s="1"/>
  <c r="DX381" i="4" s="1"/>
  <c r="BY381" i="4"/>
  <c r="CC381" i="4"/>
  <c r="CO381" i="4" s="1"/>
  <c r="CH381" i="4"/>
  <c r="CT381" i="4" s="1"/>
  <c r="CZ381" i="4"/>
  <c r="DA381" i="4"/>
  <c r="DB381" i="4"/>
  <c r="DC381" i="4"/>
  <c r="DD381" i="4"/>
  <c r="DR381" i="4" s="1"/>
  <c r="DE381" i="4"/>
  <c r="DS381" i="4" s="1"/>
  <c r="DF381" i="4"/>
  <c r="DG381" i="4"/>
  <c r="DH381" i="4"/>
  <c r="DI381" i="4"/>
  <c r="DJ381" i="4"/>
  <c r="DK381" i="4"/>
  <c r="DN381" i="4"/>
  <c r="BN382" i="4"/>
  <c r="BZ382" i="4" s="1"/>
  <c r="CL382" i="4" s="1"/>
  <c r="DN382" i="4" s="1"/>
  <c r="BO382" i="4"/>
  <c r="BP382" i="4"/>
  <c r="CB382" i="4" s="1"/>
  <c r="CN382" i="4" s="1"/>
  <c r="BQ382" i="4"/>
  <c r="BR382" i="4"/>
  <c r="CD382" i="4" s="1"/>
  <c r="BS382" i="4"/>
  <c r="CE382" i="4" s="1"/>
  <c r="CQ382" i="4" s="1"/>
  <c r="BT382" i="4"/>
  <c r="CF382" i="4" s="1"/>
  <c r="CR382" i="4" s="1"/>
  <c r="BU382" i="4"/>
  <c r="CG382" i="4" s="1"/>
  <c r="CS382" i="4" s="1"/>
  <c r="BV382" i="4"/>
  <c r="BW382" i="4"/>
  <c r="BX382" i="4"/>
  <c r="CJ382" i="4" s="1"/>
  <c r="CV382" i="4" s="1"/>
  <c r="BY382" i="4"/>
  <c r="CA382" i="4"/>
  <c r="CM382" i="4" s="1"/>
  <c r="CC382" i="4"/>
  <c r="CO382" i="4" s="1"/>
  <c r="CH382" i="4"/>
  <c r="CT382" i="4" s="1"/>
  <c r="CI382" i="4"/>
  <c r="CU382" i="4" s="1"/>
  <c r="CP382" i="4"/>
  <c r="CZ382" i="4"/>
  <c r="DL382" i="4" s="1"/>
  <c r="DA382" i="4"/>
  <c r="DB382" i="4"/>
  <c r="DC382" i="4"/>
  <c r="DD382" i="4"/>
  <c r="DE382" i="4"/>
  <c r="DF382" i="4"/>
  <c r="DG382" i="4"/>
  <c r="DU382" i="4" s="1"/>
  <c r="DH382" i="4"/>
  <c r="DI382" i="4"/>
  <c r="DW382" i="4" s="1"/>
  <c r="DJ382" i="4"/>
  <c r="DK382" i="4"/>
  <c r="DQ382" i="4"/>
  <c r="DV382" i="4"/>
  <c r="BN383" i="4"/>
  <c r="BZ383" i="4" s="1"/>
  <c r="BO383" i="4"/>
  <c r="CA383" i="4" s="1"/>
  <c r="CM383" i="4" s="1"/>
  <c r="DO383" i="4" s="1"/>
  <c r="BP383" i="4"/>
  <c r="CB383" i="4" s="1"/>
  <c r="CN383" i="4" s="1"/>
  <c r="BQ383" i="4"/>
  <c r="CC383" i="4" s="1"/>
  <c r="CO383" i="4" s="1"/>
  <c r="BR383" i="4"/>
  <c r="BS383" i="4"/>
  <c r="BT383" i="4"/>
  <c r="BU383" i="4"/>
  <c r="BV383" i="4"/>
  <c r="CH383" i="4" s="1"/>
  <c r="BW383" i="4"/>
  <c r="CI383" i="4" s="1"/>
  <c r="CU383" i="4" s="1"/>
  <c r="DW383" i="4" s="1"/>
  <c r="BX383" i="4"/>
  <c r="CJ383" i="4" s="1"/>
  <c r="CV383" i="4" s="1"/>
  <c r="BY383" i="4"/>
  <c r="CK383" i="4" s="1"/>
  <c r="CD383" i="4"/>
  <c r="CP383" i="4" s="1"/>
  <c r="CE383" i="4"/>
  <c r="CF383" i="4"/>
  <c r="CR383" i="4" s="1"/>
  <c r="CG383" i="4"/>
  <c r="CS383" i="4" s="1"/>
  <c r="CL383" i="4"/>
  <c r="CQ383" i="4"/>
  <c r="DS383" i="4" s="1"/>
  <c r="CT383" i="4"/>
  <c r="CW383" i="4"/>
  <c r="CZ383" i="4"/>
  <c r="DA383" i="4"/>
  <c r="DB383" i="4"/>
  <c r="DP383" i="4" s="1"/>
  <c r="DC383" i="4"/>
  <c r="DD383" i="4"/>
  <c r="DE383" i="4"/>
  <c r="DF383" i="4"/>
  <c r="DG383" i="4"/>
  <c r="DH383" i="4"/>
  <c r="DI383" i="4"/>
  <c r="DJ383" i="4"/>
  <c r="DX383" i="4" s="1"/>
  <c r="DK383" i="4"/>
  <c r="DM383" i="4"/>
  <c r="DU383" i="4"/>
  <c r="BN384" i="4"/>
  <c r="BZ384" i="4" s="1"/>
  <c r="CL384" i="4" s="1"/>
  <c r="BO384" i="4"/>
  <c r="CA384" i="4" s="1"/>
  <c r="CM384" i="4" s="1"/>
  <c r="BP384" i="4"/>
  <c r="BQ384" i="4"/>
  <c r="CC384" i="4" s="1"/>
  <c r="CO384" i="4" s="1"/>
  <c r="BR384" i="4"/>
  <c r="BS384" i="4"/>
  <c r="CE384" i="4" s="1"/>
  <c r="CQ384" i="4" s="1"/>
  <c r="BT384" i="4"/>
  <c r="BU384" i="4"/>
  <c r="BV384" i="4"/>
  <c r="BW384" i="4"/>
  <c r="CI384" i="4" s="1"/>
  <c r="CU384" i="4" s="1"/>
  <c r="BX384" i="4"/>
  <c r="BY384" i="4"/>
  <c r="CB384" i="4"/>
  <c r="CN384" i="4" s="1"/>
  <c r="CD384" i="4"/>
  <c r="CP384" i="4" s="1"/>
  <c r="DR384" i="4" s="1"/>
  <c r="CF384" i="4"/>
  <c r="CR384" i="4" s="1"/>
  <c r="DT384" i="4" s="1"/>
  <c r="CG384" i="4"/>
  <c r="CS384" i="4" s="1"/>
  <c r="DU384" i="4" s="1"/>
  <c r="CH384" i="4"/>
  <c r="CT384" i="4" s="1"/>
  <c r="CJ384" i="4"/>
  <c r="CV384" i="4"/>
  <c r="CZ384" i="4"/>
  <c r="DA384" i="4"/>
  <c r="DB384" i="4"/>
  <c r="DC384" i="4"/>
  <c r="DD384" i="4"/>
  <c r="DE384" i="4"/>
  <c r="DF384" i="4"/>
  <c r="DG384" i="4"/>
  <c r="DH384" i="4"/>
  <c r="DI384" i="4"/>
  <c r="DJ384" i="4"/>
  <c r="DK384" i="4"/>
  <c r="BN385" i="4"/>
  <c r="BO385" i="4"/>
  <c r="CA385" i="4" s="1"/>
  <c r="CM385" i="4" s="1"/>
  <c r="DO385" i="4" s="1"/>
  <c r="BP385" i="4"/>
  <c r="BQ385" i="4"/>
  <c r="CC385" i="4" s="1"/>
  <c r="CO385" i="4" s="1"/>
  <c r="BR385" i="4"/>
  <c r="CD385" i="4" s="1"/>
  <c r="CP385" i="4" s="1"/>
  <c r="BS385" i="4"/>
  <c r="CE385" i="4" s="1"/>
  <c r="CQ385" i="4" s="1"/>
  <c r="BT385" i="4"/>
  <c r="CF385" i="4" s="1"/>
  <c r="CR385" i="4" s="1"/>
  <c r="BU385" i="4"/>
  <c r="CG385" i="4" s="1"/>
  <c r="BV385" i="4"/>
  <c r="BW385" i="4"/>
  <c r="CI385" i="4" s="1"/>
  <c r="CU385" i="4" s="1"/>
  <c r="BX385" i="4"/>
  <c r="BY385" i="4"/>
  <c r="BZ385" i="4"/>
  <c r="CB385" i="4"/>
  <c r="CN385" i="4" s="1"/>
  <c r="CH385" i="4"/>
  <c r="CJ385" i="4"/>
  <c r="CV385" i="4" s="1"/>
  <c r="CL385" i="4"/>
  <c r="CS385" i="4"/>
  <c r="CT385" i="4"/>
  <c r="DV385" i="4" s="1"/>
  <c r="CZ385" i="4"/>
  <c r="DA385" i="4"/>
  <c r="DB385" i="4"/>
  <c r="DC385" i="4"/>
  <c r="DD385" i="4"/>
  <c r="DE385" i="4"/>
  <c r="DS385" i="4" s="1"/>
  <c r="DF385" i="4"/>
  <c r="DG385" i="4"/>
  <c r="DH385" i="4"/>
  <c r="DI385" i="4"/>
  <c r="DJ385" i="4"/>
  <c r="DK385" i="4"/>
  <c r="BN386" i="4"/>
  <c r="BZ386" i="4" s="1"/>
  <c r="CL386" i="4" s="1"/>
  <c r="DN386" i="4" s="1"/>
  <c r="BO386" i="4"/>
  <c r="CA386" i="4" s="1"/>
  <c r="CM386" i="4" s="1"/>
  <c r="BP386" i="4"/>
  <c r="CB386" i="4" s="1"/>
  <c r="CN386" i="4" s="1"/>
  <c r="BQ386" i="4"/>
  <c r="BR386" i="4"/>
  <c r="BS386" i="4"/>
  <c r="CE386" i="4" s="1"/>
  <c r="CQ386" i="4" s="1"/>
  <c r="BT386" i="4"/>
  <c r="CF386" i="4" s="1"/>
  <c r="CR386" i="4" s="1"/>
  <c r="BU386" i="4"/>
  <c r="BV386" i="4"/>
  <c r="CH386" i="4" s="1"/>
  <c r="CT386" i="4" s="1"/>
  <c r="DV386" i="4" s="1"/>
  <c r="BW386" i="4"/>
  <c r="CI386" i="4" s="1"/>
  <c r="CU386" i="4" s="1"/>
  <c r="DW386" i="4" s="1"/>
  <c r="BX386" i="4"/>
  <c r="CJ386" i="4" s="1"/>
  <c r="CV386" i="4" s="1"/>
  <c r="DX386" i="4" s="1"/>
  <c r="BY386" i="4"/>
  <c r="CC386" i="4"/>
  <c r="CO386" i="4" s="1"/>
  <c r="CD386" i="4"/>
  <c r="CP386" i="4" s="1"/>
  <c r="CG386" i="4"/>
  <c r="CS386" i="4" s="1"/>
  <c r="CZ386" i="4"/>
  <c r="DA386" i="4"/>
  <c r="DB386" i="4"/>
  <c r="DC386" i="4"/>
  <c r="DQ386" i="4" s="1"/>
  <c r="DD386" i="4"/>
  <c r="DR386" i="4" s="1"/>
  <c r="DE386" i="4"/>
  <c r="DS386" i="4" s="1"/>
  <c r="DF386" i="4"/>
  <c r="DG386" i="4"/>
  <c r="DH386" i="4"/>
  <c r="DI386" i="4"/>
  <c r="DJ386" i="4"/>
  <c r="DK386" i="4"/>
  <c r="DM386" i="4"/>
  <c r="BN387" i="4"/>
  <c r="BZ387" i="4" s="1"/>
  <c r="CL387" i="4" s="1"/>
  <c r="BO387" i="4"/>
  <c r="BP387" i="4"/>
  <c r="CB387" i="4" s="1"/>
  <c r="CN387" i="4" s="1"/>
  <c r="BQ387" i="4"/>
  <c r="CC387" i="4" s="1"/>
  <c r="CO387" i="4" s="1"/>
  <c r="BR387" i="4"/>
  <c r="CD387" i="4" s="1"/>
  <c r="CP387" i="4" s="1"/>
  <c r="BS387" i="4"/>
  <c r="CE387" i="4" s="1"/>
  <c r="CQ387" i="4" s="1"/>
  <c r="BT387" i="4"/>
  <c r="CF387" i="4" s="1"/>
  <c r="CR387" i="4" s="1"/>
  <c r="BU387" i="4"/>
  <c r="BV387" i="4"/>
  <c r="BW387" i="4"/>
  <c r="BX387" i="4"/>
  <c r="BY387" i="4"/>
  <c r="CK387" i="4" s="1"/>
  <c r="CW387" i="4" s="1"/>
  <c r="CA387" i="4"/>
  <c r="CG387" i="4"/>
  <c r="CS387" i="4" s="1"/>
  <c r="CH387" i="4"/>
  <c r="CT387" i="4" s="1"/>
  <c r="CI387" i="4"/>
  <c r="CU387" i="4" s="1"/>
  <c r="DW387" i="4" s="1"/>
  <c r="CJ387" i="4"/>
  <c r="CM387" i="4"/>
  <c r="DO387" i="4" s="1"/>
  <c r="CV387" i="4"/>
  <c r="CZ387" i="4"/>
  <c r="DA387" i="4"/>
  <c r="DB387" i="4"/>
  <c r="DP387" i="4" s="1"/>
  <c r="DC387" i="4"/>
  <c r="DD387" i="4"/>
  <c r="DE387" i="4"/>
  <c r="DF387" i="4"/>
  <c r="DG387" i="4"/>
  <c r="DH387" i="4"/>
  <c r="DI387" i="4"/>
  <c r="DJ387" i="4"/>
  <c r="DK387" i="4"/>
  <c r="DS387" i="4"/>
  <c r="BN388" i="4"/>
  <c r="BZ388" i="4" s="1"/>
  <c r="CL388" i="4" s="1"/>
  <c r="BO388" i="4"/>
  <c r="CA388" i="4" s="1"/>
  <c r="BP388" i="4"/>
  <c r="CB388" i="4" s="1"/>
  <c r="CN388" i="4" s="1"/>
  <c r="BQ388" i="4"/>
  <c r="BR388" i="4"/>
  <c r="CD388" i="4" s="1"/>
  <c r="CP388" i="4" s="1"/>
  <c r="BS388" i="4"/>
  <c r="BT388" i="4"/>
  <c r="CF388" i="4" s="1"/>
  <c r="CR388" i="4" s="1"/>
  <c r="BU388" i="4"/>
  <c r="BV388" i="4"/>
  <c r="CH388" i="4" s="1"/>
  <c r="CT388" i="4" s="1"/>
  <c r="BW388" i="4"/>
  <c r="CI388" i="4" s="1"/>
  <c r="BX388" i="4"/>
  <c r="CJ388" i="4" s="1"/>
  <c r="CV388" i="4" s="1"/>
  <c r="BY388" i="4"/>
  <c r="CC388" i="4"/>
  <c r="CO388" i="4" s="1"/>
  <c r="CE388" i="4"/>
  <c r="CQ388" i="4" s="1"/>
  <c r="CG388" i="4"/>
  <c r="CS388" i="4" s="1"/>
  <c r="CK388" i="4"/>
  <c r="CW388" i="4" s="1"/>
  <c r="CM388" i="4"/>
  <c r="CU388" i="4"/>
  <c r="CZ388" i="4"/>
  <c r="DA388" i="4"/>
  <c r="DB388" i="4"/>
  <c r="DC388" i="4"/>
  <c r="DD388" i="4"/>
  <c r="DE388" i="4"/>
  <c r="DF388" i="4"/>
  <c r="DG388" i="4"/>
  <c r="DH388" i="4"/>
  <c r="DI388" i="4"/>
  <c r="DJ388" i="4"/>
  <c r="DK388" i="4"/>
  <c r="DQ388" i="4"/>
  <c r="BN389" i="4"/>
  <c r="BZ389" i="4" s="1"/>
  <c r="CL389" i="4" s="1"/>
  <c r="BO389" i="4"/>
  <c r="CA389" i="4" s="1"/>
  <c r="CM389" i="4" s="1"/>
  <c r="BP389" i="4"/>
  <c r="CB389" i="4" s="1"/>
  <c r="CN389" i="4" s="1"/>
  <c r="BQ389" i="4"/>
  <c r="BR389" i="4"/>
  <c r="CD389" i="4" s="1"/>
  <c r="CP389" i="4" s="1"/>
  <c r="DR389" i="4" s="1"/>
  <c r="BS389" i="4"/>
  <c r="BT389" i="4"/>
  <c r="BU389" i="4"/>
  <c r="CG389" i="4" s="1"/>
  <c r="CS389" i="4" s="1"/>
  <c r="BV389" i="4"/>
  <c r="CH389" i="4" s="1"/>
  <c r="CT389" i="4" s="1"/>
  <c r="BW389" i="4"/>
  <c r="BX389" i="4"/>
  <c r="CJ389" i="4" s="1"/>
  <c r="CV389" i="4" s="1"/>
  <c r="BY389" i="4"/>
  <c r="CC389" i="4"/>
  <c r="CO389" i="4" s="1"/>
  <c r="CE389" i="4"/>
  <c r="CQ389" i="4" s="1"/>
  <c r="DS389" i="4" s="1"/>
  <c r="CF389" i="4"/>
  <c r="CR389" i="4" s="1"/>
  <c r="DT389" i="4" s="1"/>
  <c r="CI389" i="4"/>
  <c r="CU389" i="4" s="1"/>
  <c r="CK389" i="4"/>
  <c r="CW389" i="4" s="1"/>
  <c r="CZ389" i="4"/>
  <c r="DA389" i="4"/>
  <c r="DB389" i="4"/>
  <c r="DC389" i="4"/>
  <c r="DD389" i="4"/>
  <c r="DE389" i="4"/>
  <c r="DF389" i="4"/>
  <c r="DG389" i="4"/>
  <c r="DH389" i="4"/>
  <c r="DI389" i="4"/>
  <c r="DW389" i="4" s="1"/>
  <c r="DJ389" i="4"/>
  <c r="DK389" i="4"/>
  <c r="DY389" i="4"/>
  <c r="BN390" i="4"/>
  <c r="BO390" i="4"/>
  <c r="BP390" i="4"/>
  <c r="CB390" i="4" s="1"/>
  <c r="CN390" i="4" s="1"/>
  <c r="BQ390" i="4"/>
  <c r="CC390" i="4" s="1"/>
  <c r="CO390" i="4" s="1"/>
  <c r="DQ390" i="4" s="1"/>
  <c r="BR390" i="4"/>
  <c r="CD390" i="4" s="1"/>
  <c r="CP390" i="4" s="1"/>
  <c r="BS390" i="4"/>
  <c r="CE390" i="4" s="1"/>
  <c r="CQ390" i="4" s="1"/>
  <c r="BT390" i="4"/>
  <c r="BU390" i="4"/>
  <c r="CG390" i="4" s="1"/>
  <c r="CS390" i="4" s="1"/>
  <c r="BV390" i="4"/>
  <c r="CH390" i="4" s="1"/>
  <c r="CT390" i="4" s="1"/>
  <c r="BW390" i="4"/>
  <c r="BX390" i="4"/>
  <c r="BY390" i="4"/>
  <c r="BZ390" i="4"/>
  <c r="CL390" i="4" s="1"/>
  <c r="CA390" i="4"/>
  <c r="CM390" i="4" s="1"/>
  <c r="CF390" i="4"/>
  <c r="CR390" i="4" s="1"/>
  <c r="DT390" i="4" s="1"/>
  <c r="CI390" i="4"/>
  <c r="CU390" i="4" s="1"/>
  <c r="CJ390" i="4"/>
  <c r="CV390" i="4" s="1"/>
  <c r="CK390" i="4"/>
  <c r="CW390" i="4" s="1"/>
  <c r="DY390" i="4" s="1"/>
  <c r="CZ390" i="4"/>
  <c r="DA390" i="4"/>
  <c r="DO390" i="4" s="1"/>
  <c r="DB390" i="4"/>
  <c r="DC390" i="4"/>
  <c r="DD390" i="4"/>
  <c r="DR390" i="4" s="1"/>
  <c r="DE390" i="4"/>
  <c r="DF390" i="4"/>
  <c r="DG390" i="4"/>
  <c r="DH390" i="4"/>
  <c r="DI390" i="4"/>
  <c r="DJ390" i="4"/>
  <c r="DK390" i="4"/>
  <c r="DN390" i="4"/>
  <c r="DW390" i="4"/>
  <c r="BN391" i="4"/>
  <c r="BZ391" i="4" s="1"/>
  <c r="CL391" i="4" s="1"/>
  <c r="BO391" i="4"/>
  <c r="CA391" i="4" s="1"/>
  <c r="CM391" i="4" s="1"/>
  <c r="BP391" i="4"/>
  <c r="CB391" i="4" s="1"/>
  <c r="CN391" i="4" s="1"/>
  <c r="BQ391" i="4"/>
  <c r="CC391" i="4" s="1"/>
  <c r="CO391" i="4" s="1"/>
  <c r="BR391" i="4"/>
  <c r="CD391" i="4" s="1"/>
  <c r="BS391" i="4"/>
  <c r="CE391" i="4" s="1"/>
  <c r="CQ391" i="4" s="1"/>
  <c r="BT391" i="4"/>
  <c r="CF391" i="4" s="1"/>
  <c r="CR391" i="4" s="1"/>
  <c r="BU391" i="4"/>
  <c r="CG391" i="4" s="1"/>
  <c r="CS391" i="4" s="1"/>
  <c r="BV391" i="4"/>
  <c r="CH391" i="4" s="1"/>
  <c r="CT391" i="4" s="1"/>
  <c r="BW391" i="4"/>
  <c r="BX391" i="4"/>
  <c r="CJ391" i="4" s="1"/>
  <c r="CV391" i="4" s="1"/>
  <c r="BY391" i="4"/>
  <c r="CK391" i="4" s="1"/>
  <c r="CW391" i="4" s="1"/>
  <c r="CI391" i="4"/>
  <c r="CU391" i="4" s="1"/>
  <c r="DW391" i="4" s="1"/>
  <c r="CP391" i="4"/>
  <c r="CZ391" i="4"/>
  <c r="DA391" i="4"/>
  <c r="DB391" i="4"/>
  <c r="DC391" i="4"/>
  <c r="DD391" i="4"/>
  <c r="DR391" i="4" s="1"/>
  <c r="DE391" i="4"/>
  <c r="DF391" i="4"/>
  <c r="DG391" i="4"/>
  <c r="DH391" i="4"/>
  <c r="DV391" i="4" s="1"/>
  <c r="DI391" i="4"/>
  <c r="DJ391" i="4"/>
  <c r="DK391" i="4"/>
  <c r="DO391" i="4"/>
  <c r="BN392" i="4"/>
  <c r="BO392" i="4"/>
  <c r="CA392" i="4" s="1"/>
  <c r="BP392" i="4"/>
  <c r="BQ392" i="4"/>
  <c r="CC392" i="4" s="1"/>
  <c r="CO392" i="4" s="1"/>
  <c r="BR392" i="4"/>
  <c r="CD392" i="4" s="1"/>
  <c r="CP392" i="4" s="1"/>
  <c r="DR392" i="4" s="1"/>
  <c r="BS392" i="4"/>
  <c r="CE392" i="4" s="1"/>
  <c r="CQ392" i="4" s="1"/>
  <c r="BT392" i="4"/>
  <c r="BU392" i="4"/>
  <c r="CG392" i="4" s="1"/>
  <c r="CS392" i="4" s="1"/>
  <c r="DU392" i="4" s="1"/>
  <c r="BV392" i="4"/>
  <c r="BW392" i="4"/>
  <c r="CI392" i="4" s="1"/>
  <c r="CU392" i="4" s="1"/>
  <c r="BX392" i="4"/>
  <c r="BY392" i="4"/>
  <c r="CK392" i="4" s="1"/>
  <c r="CW392" i="4" s="1"/>
  <c r="BZ392" i="4"/>
  <c r="CL392" i="4" s="1"/>
  <c r="CB392" i="4"/>
  <c r="CN392" i="4" s="1"/>
  <c r="CF392" i="4"/>
  <c r="CH392" i="4"/>
  <c r="CT392" i="4" s="1"/>
  <c r="DV392" i="4" s="1"/>
  <c r="CJ392" i="4"/>
  <c r="CV392" i="4" s="1"/>
  <c r="CM392" i="4"/>
  <c r="CR392" i="4"/>
  <c r="DT392" i="4" s="1"/>
  <c r="CZ392" i="4"/>
  <c r="DA392" i="4"/>
  <c r="DB392" i="4"/>
  <c r="DC392" i="4"/>
  <c r="DD392" i="4"/>
  <c r="DE392" i="4"/>
  <c r="DS392" i="4" s="1"/>
  <c r="DF392" i="4"/>
  <c r="DG392" i="4"/>
  <c r="DH392" i="4"/>
  <c r="DI392" i="4"/>
  <c r="DJ392" i="4"/>
  <c r="DX392" i="4" s="1"/>
  <c r="DK392" i="4"/>
  <c r="BN393" i="4"/>
  <c r="BZ393" i="4" s="1"/>
  <c r="CL393" i="4" s="1"/>
  <c r="DN393" i="4" s="1"/>
  <c r="BO393" i="4"/>
  <c r="CA393" i="4" s="1"/>
  <c r="BP393" i="4"/>
  <c r="BQ393" i="4"/>
  <c r="CC393" i="4" s="1"/>
  <c r="CO393" i="4" s="1"/>
  <c r="BR393" i="4"/>
  <c r="BS393" i="4"/>
  <c r="BT393" i="4"/>
  <c r="CF393" i="4" s="1"/>
  <c r="CR393" i="4" s="1"/>
  <c r="BU393" i="4"/>
  <c r="CG393" i="4" s="1"/>
  <c r="CS393" i="4" s="1"/>
  <c r="BV393" i="4"/>
  <c r="CH393" i="4" s="1"/>
  <c r="CT393" i="4" s="1"/>
  <c r="DV393" i="4" s="1"/>
  <c r="BW393" i="4"/>
  <c r="CI393" i="4" s="1"/>
  <c r="CU393" i="4" s="1"/>
  <c r="BX393" i="4"/>
  <c r="CJ393" i="4" s="1"/>
  <c r="CV393" i="4" s="1"/>
  <c r="DX393" i="4" s="1"/>
  <c r="BY393" i="4"/>
  <c r="CB393" i="4"/>
  <c r="CN393" i="4" s="1"/>
  <c r="CD393" i="4"/>
  <c r="CP393" i="4" s="1"/>
  <c r="CE393" i="4"/>
  <c r="CQ393" i="4" s="1"/>
  <c r="DS393" i="4" s="1"/>
  <c r="CK393" i="4"/>
  <c r="CW393" i="4" s="1"/>
  <c r="CM393" i="4"/>
  <c r="DO393" i="4" s="1"/>
  <c r="CZ393" i="4"/>
  <c r="DA393" i="4"/>
  <c r="DB393" i="4"/>
  <c r="DP393" i="4" s="1"/>
  <c r="DC393" i="4"/>
  <c r="DD393" i="4"/>
  <c r="DR393" i="4" s="1"/>
  <c r="DE393" i="4"/>
  <c r="DF393" i="4"/>
  <c r="DG393" i="4"/>
  <c r="DH393" i="4"/>
  <c r="DI393" i="4"/>
  <c r="DW393" i="4" s="1"/>
  <c r="DJ393" i="4"/>
  <c r="DK393" i="4"/>
  <c r="DQ393" i="4"/>
  <c r="BN394" i="4"/>
  <c r="BZ394" i="4" s="1"/>
  <c r="CL394" i="4" s="1"/>
  <c r="BO394" i="4"/>
  <c r="CA394" i="4" s="1"/>
  <c r="CM394" i="4" s="1"/>
  <c r="BP394" i="4"/>
  <c r="CB394" i="4" s="1"/>
  <c r="CN394" i="4" s="1"/>
  <c r="DP394" i="4" s="1"/>
  <c r="BQ394" i="4"/>
  <c r="CC394" i="4" s="1"/>
  <c r="CO394" i="4" s="1"/>
  <c r="BR394" i="4"/>
  <c r="CD394" i="4" s="1"/>
  <c r="BS394" i="4"/>
  <c r="CE394" i="4" s="1"/>
  <c r="CQ394" i="4" s="1"/>
  <c r="BT394" i="4"/>
  <c r="CF394" i="4" s="1"/>
  <c r="BU394" i="4"/>
  <c r="BV394" i="4"/>
  <c r="CH394" i="4" s="1"/>
  <c r="CT394" i="4" s="1"/>
  <c r="BW394" i="4"/>
  <c r="CI394" i="4" s="1"/>
  <c r="CU394" i="4" s="1"/>
  <c r="BX394" i="4"/>
  <c r="CJ394" i="4" s="1"/>
  <c r="CV394" i="4" s="1"/>
  <c r="DX394" i="4" s="1"/>
  <c r="BY394" i="4"/>
  <c r="CG394" i="4"/>
  <c r="CS394" i="4" s="1"/>
  <c r="CK394" i="4"/>
  <c r="CW394" i="4" s="1"/>
  <c r="DY394" i="4" s="1"/>
  <c r="CP394" i="4"/>
  <c r="CR394" i="4"/>
  <c r="DT394" i="4" s="1"/>
  <c r="CZ394" i="4"/>
  <c r="DA394" i="4"/>
  <c r="DB394" i="4"/>
  <c r="DC394" i="4"/>
  <c r="DD394" i="4"/>
  <c r="DE394" i="4"/>
  <c r="DF394" i="4"/>
  <c r="DG394" i="4"/>
  <c r="DH394" i="4"/>
  <c r="DI394" i="4"/>
  <c r="DJ394" i="4"/>
  <c r="DK394" i="4"/>
  <c r="BN395" i="4"/>
  <c r="BO395" i="4"/>
  <c r="CA395" i="4" s="1"/>
  <c r="CM395" i="4" s="1"/>
  <c r="DO395" i="4" s="1"/>
  <c r="BP395" i="4"/>
  <c r="CB395" i="4" s="1"/>
  <c r="CN395" i="4" s="1"/>
  <c r="BQ395" i="4"/>
  <c r="CC395" i="4" s="1"/>
  <c r="BR395" i="4"/>
  <c r="CD395" i="4" s="1"/>
  <c r="CP395" i="4" s="1"/>
  <c r="BS395" i="4"/>
  <c r="CE395" i="4" s="1"/>
  <c r="CQ395" i="4" s="1"/>
  <c r="BT395" i="4"/>
  <c r="BU395" i="4"/>
  <c r="CG395" i="4" s="1"/>
  <c r="CS395" i="4" s="1"/>
  <c r="BV395" i="4"/>
  <c r="BW395" i="4"/>
  <c r="CI395" i="4" s="1"/>
  <c r="BX395" i="4"/>
  <c r="CJ395" i="4" s="1"/>
  <c r="CV395" i="4" s="1"/>
  <c r="BY395" i="4"/>
  <c r="CK395" i="4" s="1"/>
  <c r="CW395" i="4" s="1"/>
  <c r="BZ395" i="4"/>
  <c r="CF395" i="4"/>
  <c r="CR395" i="4" s="1"/>
  <c r="CH395" i="4"/>
  <c r="CL395" i="4"/>
  <c r="CO395" i="4"/>
  <c r="CT395" i="4"/>
  <c r="CU395" i="4"/>
  <c r="DW395" i="4" s="1"/>
  <c r="CZ395" i="4"/>
  <c r="DA395" i="4"/>
  <c r="DB395" i="4"/>
  <c r="DC395" i="4"/>
  <c r="DD395" i="4"/>
  <c r="DE395" i="4"/>
  <c r="DF395" i="4"/>
  <c r="DG395" i="4"/>
  <c r="DH395" i="4"/>
  <c r="DI395" i="4"/>
  <c r="DJ395" i="4"/>
  <c r="DK395" i="4"/>
  <c r="DN395" i="4"/>
  <c r="DT395" i="4"/>
  <c r="DU395" i="4"/>
  <c r="BN396" i="4"/>
  <c r="BZ396" i="4" s="1"/>
  <c r="CL396" i="4" s="1"/>
  <c r="BO396" i="4"/>
  <c r="CA396" i="4" s="1"/>
  <c r="CM396" i="4" s="1"/>
  <c r="BP396" i="4"/>
  <c r="CB396" i="4" s="1"/>
  <c r="CN396" i="4" s="1"/>
  <c r="BQ396" i="4"/>
  <c r="CC396" i="4" s="1"/>
  <c r="BR396" i="4"/>
  <c r="CD396" i="4" s="1"/>
  <c r="BS396" i="4"/>
  <c r="CE396" i="4" s="1"/>
  <c r="CQ396" i="4" s="1"/>
  <c r="DS396" i="4" s="1"/>
  <c r="BT396" i="4"/>
  <c r="CF396" i="4" s="1"/>
  <c r="CR396" i="4" s="1"/>
  <c r="BU396" i="4"/>
  <c r="CG396" i="4" s="1"/>
  <c r="CS396" i="4" s="1"/>
  <c r="DU396" i="4" s="1"/>
  <c r="BV396" i="4"/>
  <c r="CH396" i="4" s="1"/>
  <c r="CT396" i="4" s="1"/>
  <c r="BW396" i="4"/>
  <c r="CI396" i="4" s="1"/>
  <c r="CU396" i="4" s="1"/>
  <c r="BX396" i="4"/>
  <c r="CJ396" i="4" s="1"/>
  <c r="CV396" i="4" s="1"/>
  <c r="BY396" i="4"/>
  <c r="CK396" i="4" s="1"/>
  <c r="CW396" i="4" s="1"/>
  <c r="DY396" i="4" s="1"/>
  <c r="CO396" i="4"/>
  <c r="DQ396" i="4" s="1"/>
  <c r="CP396" i="4"/>
  <c r="CZ396" i="4"/>
  <c r="DN396" i="4" s="1"/>
  <c r="DA396" i="4"/>
  <c r="DM396" i="4" s="1"/>
  <c r="DB396" i="4"/>
  <c r="DC396" i="4"/>
  <c r="DD396" i="4"/>
  <c r="DE396" i="4"/>
  <c r="DF396" i="4"/>
  <c r="DG396" i="4"/>
  <c r="DH396" i="4"/>
  <c r="DI396" i="4"/>
  <c r="DJ396" i="4"/>
  <c r="DX396" i="4" s="1"/>
  <c r="DK396" i="4"/>
  <c r="BN397" i="4"/>
  <c r="BZ397" i="4" s="1"/>
  <c r="CL397" i="4" s="1"/>
  <c r="BO397" i="4"/>
  <c r="CA397" i="4" s="1"/>
  <c r="CM397" i="4" s="1"/>
  <c r="BP397" i="4"/>
  <c r="BQ397" i="4"/>
  <c r="CC397" i="4" s="1"/>
  <c r="CO397" i="4" s="1"/>
  <c r="BR397" i="4"/>
  <c r="BS397" i="4"/>
  <c r="CE397" i="4" s="1"/>
  <c r="CQ397" i="4" s="1"/>
  <c r="DS397" i="4" s="1"/>
  <c r="BT397" i="4"/>
  <c r="CF397" i="4" s="1"/>
  <c r="CR397" i="4" s="1"/>
  <c r="BU397" i="4"/>
  <c r="CG397" i="4" s="1"/>
  <c r="CS397" i="4" s="1"/>
  <c r="BV397" i="4"/>
  <c r="CH397" i="4" s="1"/>
  <c r="CT397" i="4" s="1"/>
  <c r="BW397" i="4"/>
  <c r="BX397" i="4"/>
  <c r="BY397" i="4"/>
  <c r="CK397" i="4" s="1"/>
  <c r="CW397" i="4" s="1"/>
  <c r="CB397" i="4"/>
  <c r="CN397" i="4" s="1"/>
  <c r="CD397" i="4"/>
  <c r="CP397" i="4" s="1"/>
  <c r="DR397" i="4" s="1"/>
  <c r="CI397" i="4"/>
  <c r="CU397" i="4" s="1"/>
  <c r="DW397" i="4" s="1"/>
  <c r="CJ397" i="4"/>
  <c r="CV397" i="4" s="1"/>
  <c r="CZ397" i="4"/>
  <c r="DA397" i="4"/>
  <c r="DB397" i="4"/>
  <c r="DC397" i="4"/>
  <c r="DQ397" i="4" s="1"/>
  <c r="DD397" i="4"/>
  <c r="DE397" i="4"/>
  <c r="DF397" i="4"/>
  <c r="DG397" i="4"/>
  <c r="DH397" i="4"/>
  <c r="DV397" i="4" s="1"/>
  <c r="DI397" i="4"/>
  <c r="DJ397" i="4"/>
  <c r="DK397" i="4"/>
  <c r="BN398" i="4"/>
  <c r="BZ398" i="4" s="1"/>
  <c r="CL398" i="4" s="1"/>
  <c r="BO398" i="4"/>
  <c r="CA398" i="4" s="1"/>
  <c r="CM398" i="4" s="1"/>
  <c r="BP398" i="4"/>
  <c r="BQ398" i="4"/>
  <c r="CC398" i="4" s="1"/>
  <c r="CO398" i="4" s="1"/>
  <c r="BR398" i="4"/>
  <c r="BS398" i="4"/>
  <c r="CE398" i="4" s="1"/>
  <c r="CQ398" i="4" s="1"/>
  <c r="BT398" i="4"/>
  <c r="CF398" i="4" s="1"/>
  <c r="CR398" i="4" s="1"/>
  <c r="BU398" i="4"/>
  <c r="CG398" i="4" s="1"/>
  <c r="CS398" i="4" s="1"/>
  <c r="BV398" i="4"/>
  <c r="CH398" i="4" s="1"/>
  <c r="CT398" i="4" s="1"/>
  <c r="BW398" i="4"/>
  <c r="BX398" i="4"/>
  <c r="BY398" i="4"/>
  <c r="CK398" i="4" s="1"/>
  <c r="CW398" i="4" s="1"/>
  <c r="CB398" i="4"/>
  <c r="CN398" i="4" s="1"/>
  <c r="DP398" i="4" s="1"/>
  <c r="CD398" i="4"/>
  <c r="CP398" i="4" s="1"/>
  <c r="CI398" i="4"/>
  <c r="CU398" i="4" s="1"/>
  <c r="CJ398" i="4"/>
  <c r="CV398" i="4"/>
  <c r="CZ398" i="4"/>
  <c r="DA398" i="4"/>
  <c r="DB398" i="4"/>
  <c r="DC398" i="4"/>
  <c r="DD398" i="4"/>
  <c r="DE398" i="4"/>
  <c r="DS398" i="4" s="1"/>
  <c r="DF398" i="4"/>
  <c r="DG398" i="4"/>
  <c r="DH398" i="4"/>
  <c r="DI398" i="4"/>
  <c r="DW398" i="4" s="1"/>
  <c r="DJ398" i="4"/>
  <c r="DK398" i="4"/>
  <c r="DY398" i="4" s="1"/>
  <c r="BN399" i="4"/>
  <c r="BO399" i="4"/>
  <c r="CA399" i="4" s="1"/>
  <c r="CM399" i="4" s="1"/>
  <c r="BP399" i="4"/>
  <c r="CB399" i="4" s="1"/>
  <c r="CN399" i="4" s="1"/>
  <c r="DP399" i="4" s="1"/>
  <c r="BQ399" i="4"/>
  <c r="CC399" i="4" s="1"/>
  <c r="CO399" i="4" s="1"/>
  <c r="BR399" i="4"/>
  <c r="CD399" i="4" s="1"/>
  <c r="CP399" i="4" s="1"/>
  <c r="DR399" i="4" s="1"/>
  <c r="BS399" i="4"/>
  <c r="BT399" i="4"/>
  <c r="CF399" i="4" s="1"/>
  <c r="CR399" i="4" s="1"/>
  <c r="DT399" i="4" s="1"/>
  <c r="BU399" i="4"/>
  <c r="BV399" i="4"/>
  <c r="BW399" i="4"/>
  <c r="BX399" i="4"/>
  <c r="CJ399" i="4" s="1"/>
  <c r="CV399" i="4" s="1"/>
  <c r="DX399" i="4" s="1"/>
  <c r="BY399" i="4"/>
  <c r="CK399" i="4" s="1"/>
  <c r="CW399" i="4" s="1"/>
  <c r="BZ399" i="4"/>
  <c r="CL399" i="4" s="1"/>
  <c r="CE399" i="4"/>
  <c r="CG399" i="4"/>
  <c r="CS399" i="4" s="1"/>
  <c r="CH399" i="4"/>
  <c r="CT399" i="4" s="1"/>
  <c r="CI399" i="4"/>
  <c r="CQ399" i="4"/>
  <c r="CU399" i="4"/>
  <c r="CZ399" i="4"/>
  <c r="DA399" i="4"/>
  <c r="DO399" i="4" s="1"/>
  <c r="DB399" i="4"/>
  <c r="DC399" i="4"/>
  <c r="DD399" i="4"/>
  <c r="DE399" i="4"/>
  <c r="DF399" i="4"/>
  <c r="DG399" i="4"/>
  <c r="DH399" i="4"/>
  <c r="DI399" i="4"/>
  <c r="DJ399" i="4"/>
  <c r="DK399" i="4"/>
  <c r="DY399" i="4" s="1"/>
  <c r="BN400" i="4"/>
  <c r="BZ400" i="4" s="1"/>
  <c r="CL400" i="4" s="1"/>
  <c r="BO400" i="4"/>
  <c r="CA400" i="4" s="1"/>
  <c r="CM400" i="4" s="1"/>
  <c r="BP400" i="4"/>
  <c r="BQ400" i="4"/>
  <c r="BR400" i="4"/>
  <c r="BS400" i="4"/>
  <c r="CE400" i="4" s="1"/>
  <c r="CQ400" i="4" s="1"/>
  <c r="BT400" i="4"/>
  <c r="CF400" i="4" s="1"/>
  <c r="CR400" i="4" s="1"/>
  <c r="DT400" i="4" s="1"/>
  <c r="BU400" i="4"/>
  <c r="CG400" i="4" s="1"/>
  <c r="CS400" i="4" s="1"/>
  <c r="BV400" i="4"/>
  <c r="BW400" i="4"/>
  <c r="CI400" i="4" s="1"/>
  <c r="CU400" i="4" s="1"/>
  <c r="BX400" i="4"/>
  <c r="BY400" i="4"/>
  <c r="CK400" i="4" s="1"/>
  <c r="CW400" i="4" s="1"/>
  <c r="DY400" i="4" s="1"/>
  <c r="CB400" i="4"/>
  <c r="CN400" i="4" s="1"/>
  <c r="DP400" i="4" s="1"/>
  <c r="CC400" i="4"/>
  <c r="CO400" i="4" s="1"/>
  <c r="CD400" i="4"/>
  <c r="CP400" i="4" s="1"/>
  <c r="CH400" i="4"/>
  <c r="CJ400" i="4"/>
  <c r="CT400" i="4"/>
  <c r="DV400" i="4" s="1"/>
  <c r="CV400" i="4"/>
  <c r="CZ400" i="4"/>
  <c r="DA400" i="4"/>
  <c r="DB400" i="4"/>
  <c r="DC400" i="4"/>
  <c r="DD400" i="4"/>
  <c r="DE400" i="4"/>
  <c r="DF400" i="4"/>
  <c r="DG400" i="4"/>
  <c r="DH400" i="4"/>
  <c r="DI400" i="4"/>
  <c r="DJ400" i="4"/>
  <c r="DK400" i="4"/>
  <c r="BN401" i="4"/>
  <c r="BZ401" i="4" s="1"/>
  <c r="CL401" i="4" s="1"/>
  <c r="BO401" i="4"/>
  <c r="CA401" i="4" s="1"/>
  <c r="CM401" i="4" s="1"/>
  <c r="BP401" i="4"/>
  <c r="CB401" i="4" s="1"/>
  <c r="CN401" i="4" s="1"/>
  <c r="BQ401" i="4"/>
  <c r="CC401" i="4" s="1"/>
  <c r="CO401" i="4" s="1"/>
  <c r="DQ401" i="4" s="1"/>
  <c r="BR401" i="4"/>
  <c r="CD401" i="4" s="1"/>
  <c r="CP401" i="4" s="1"/>
  <c r="BS401" i="4"/>
  <c r="CE401" i="4" s="1"/>
  <c r="CQ401" i="4" s="1"/>
  <c r="BT401" i="4"/>
  <c r="CF401" i="4" s="1"/>
  <c r="CR401" i="4" s="1"/>
  <c r="BU401" i="4"/>
  <c r="CG401" i="4" s="1"/>
  <c r="BV401" i="4"/>
  <c r="BW401" i="4"/>
  <c r="CI401" i="4" s="1"/>
  <c r="CU401" i="4" s="1"/>
  <c r="BX401" i="4"/>
  <c r="CJ401" i="4" s="1"/>
  <c r="CV401" i="4" s="1"/>
  <c r="BY401" i="4"/>
  <c r="CK401" i="4" s="1"/>
  <c r="CW401" i="4" s="1"/>
  <c r="CH401" i="4"/>
  <c r="CT401" i="4" s="1"/>
  <c r="CS401" i="4"/>
  <c r="CZ401" i="4"/>
  <c r="DA401" i="4"/>
  <c r="DB401" i="4"/>
  <c r="DC401" i="4"/>
  <c r="DD401" i="4"/>
  <c r="DE401" i="4"/>
  <c r="DF401" i="4"/>
  <c r="DG401" i="4"/>
  <c r="DU401" i="4" s="1"/>
  <c r="DH401" i="4"/>
  <c r="DI401" i="4"/>
  <c r="DJ401" i="4"/>
  <c r="DK401" i="4"/>
  <c r="DS401" i="4"/>
  <c r="BN402" i="4"/>
  <c r="BO402" i="4"/>
  <c r="CA402" i="4" s="1"/>
  <c r="CM402" i="4" s="1"/>
  <c r="BP402" i="4"/>
  <c r="CB402" i="4" s="1"/>
  <c r="CN402" i="4" s="1"/>
  <c r="BQ402" i="4"/>
  <c r="CC402" i="4" s="1"/>
  <c r="CO402" i="4" s="1"/>
  <c r="BR402" i="4"/>
  <c r="CD402" i="4" s="1"/>
  <c r="CP402" i="4" s="1"/>
  <c r="BS402" i="4"/>
  <c r="CE402" i="4" s="1"/>
  <c r="CQ402" i="4" s="1"/>
  <c r="BT402" i="4"/>
  <c r="CF402" i="4" s="1"/>
  <c r="BU402" i="4"/>
  <c r="BV402" i="4"/>
  <c r="CH402" i="4" s="1"/>
  <c r="CT402" i="4" s="1"/>
  <c r="BW402" i="4"/>
  <c r="CI402" i="4" s="1"/>
  <c r="CU402" i="4" s="1"/>
  <c r="BX402" i="4"/>
  <c r="CJ402" i="4" s="1"/>
  <c r="CV402" i="4" s="1"/>
  <c r="BY402" i="4"/>
  <c r="BZ402" i="4"/>
  <c r="CL402" i="4" s="1"/>
  <c r="CG402" i="4"/>
  <c r="CS402" i="4" s="1"/>
  <c r="CK402" i="4"/>
  <c r="CR402" i="4"/>
  <c r="DT402" i="4" s="1"/>
  <c r="CW402" i="4"/>
  <c r="CZ402" i="4"/>
  <c r="DA402" i="4"/>
  <c r="DB402" i="4"/>
  <c r="DC402" i="4"/>
  <c r="DD402" i="4"/>
  <c r="DR402" i="4" s="1"/>
  <c r="DE402" i="4"/>
  <c r="DF402" i="4"/>
  <c r="DG402" i="4"/>
  <c r="DH402" i="4"/>
  <c r="DI402" i="4"/>
  <c r="DJ402" i="4"/>
  <c r="DK402" i="4"/>
  <c r="DM402" i="4"/>
  <c r="BN403" i="4"/>
  <c r="BZ403" i="4" s="1"/>
  <c r="CL403" i="4" s="1"/>
  <c r="BO403" i="4"/>
  <c r="CA403" i="4" s="1"/>
  <c r="CM403" i="4" s="1"/>
  <c r="DO403" i="4" s="1"/>
  <c r="BP403" i="4"/>
  <c r="CB403" i="4" s="1"/>
  <c r="CN403" i="4" s="1"/>
  <c r="DP403" i="4" s="1"/>
  <c r="BQ403" i="4"/>
  <c r="CC403" i="4" s="1"/>
  <c r="BR403" i="4"/>
  <c r="BS403" i="4"/>
  <c r="BT403" i="4"/>
  <c r="CF403" i="4" s="1"/>
  <c r="CR403" i="4" s="1"/>
  <c r="BU403" i="4"/>
  <c r="BV403" i="4"/>
  <c r="BW403" i="4"/>
  <c r="CI403" i="4" s="1"/>
  <c r="CU403" i="4" s="1"/>
  <c r="DW403" i="4" s="1"/>
  <c r="BX403" i="4"/>
  <c r="CJ403" i="4" s="1"/>
  <c r="CV403" i="4" s="1"/>
  <c r="BY403" i="4"/>
  <c r="CK403" i="4" s="1"/>
  <c r="CD403" i="4"/>
  <c r="CP403" i="4" s="1"/>
  <c r="CE403" i="4"/>
  <c r="CG403" i="4"/>
  <c r="CS403" i="4" s="1"/>
  <c r="CH403" i="4"/>
  <c r="CT403" i="4" s="1"/>
  <c r="CO403" i="4"/>
  <c r="CQ403" i="4"/>
  <c r="CW403" i="4"/>
  <c r="CZ403" i="4"/>
  <c r="DA403" i="4"/>
  <c r="DB403" i="4"/>
  <c r="DC403" i="4"/>
  <c r="DD403" i="4"/>
  <c r="DE403" i="4"/>
  <c r="DF403" i="4"/>
  <c r="DG403" i="4"/>
  <c r="DH403" i="4"/>
  <c r="DI403" i="4"/>
  <c r="DJ403" i="4"/>
  <c r="DK403" i="4"/>
  <c r="DU403" i="4"/>
  <c r="BN404" i="4"/>
  <c r="BZ404" i="4" s="1"/>
  <c r="CL404" i="4" s="1"/>
  <c r="BO404" i="4"/>
  <c r="CA404" i="4" s="1"/>
  <c r="CM404" i="4" s="1"/>
  <c r="BP404" i="4"/>
  <c r="CB404" i="4" s="1"/>
  <c r="CN404" i="4" s="1"/>
  <c r="BQ404" i="4"/>
  <c r="CC404" i="4" s="1"/>
  <c r="CO404" i="4" s="1"/>
  <c r="BR404" i="4"/>
  <c r="CD404" i="4" s="1"/>
  <c r="BS404" i="4"/>
  <c r="BT404" i="4"/>
  <c r="CF404" i="4" s="1"/>
  <c r="BU404" i="4"/>
  <c r="CG404" i="4" s="1"/>
  <c r="CS404" i="4" s="1"/>
  <c r="DU404" i="4" s="1"/>
  <c r="BV404" i="4"/>
  <c r="BW404" i="4"/>
  <c r="CI404" i="4" s="1"/>
  <c r="BX404" i="4"/>
  <c r="CJ404" i="4" s="1"/>
  <c r="CV404" i="4" s="1"/>
  <c r="BY404" i="4"/>
  <c r="CK404" i="4" s="1"/>
  <c r="CW404" i="4" s="1"/>
  <c r="DY404" i="4" s="1"/>
  <c r="CE404" i="4"/>
  <c r="CQ404" i="4" s="1"/>
  <c r="CH404" i="4"/>
  <c r="CT404" i="4" s="1"/>
  <c r="CP404" i="4"/>
  <c r="CR404" i="4"/>
  <c r="CU404" i="4"/>
  <c r="CZ404" i="4"/>
  <c r="DA404" i="4"/>
  <c r="DB404" i="4"/>
  <c r="DC404" i="4"/>
  <c r="DD404" i="4"/>
  <c r="DE404" i="4"/>
  <c r="DF404" i="4"/>
  <c r="DL404" i="4" s="1"/>
  <c r="DG404" i="4"/>
  <c r="DH404" i="4"/>
  <c r="DI404" i="4"/>
  <c r="DJ404" i="4"/>
  <c r="DK404" i="4"/>
  <c r="DQ404" i="4"/>
  <c r="DS404" i="4"/>
  <c r="BN405" i="4"/>
  <c r="BO405" i="4"/>
  <c r="BP405" i="4"/>
  <c r="CB405" i="4" s="1"/>
  <c r="CN405" i="4" s="1"/>
  <c r="DP405" i="4" s="1"/>
  <c r="BQ405" i="4"/>
  <c r="BR405" i="4"/>
  <c r="CD405" i="4" s="1"/>
  <c r="CP405" i="4" s="1"/>
  <c r="BS405" i="4"/>
  <c r="CE405" i="4" s="1"/>
  <c r="CQ405" i="4" s="1"/>
  <c r="BT405" i="4"/>
  <c r="CF405" i="4" s="1"/>
  <c r="CR405" i="4" s="1"/>
  <c r="BU405" i="4"/>
  <c r="CG405" i="4" s="1"/>
  <c r="CS405" i="4" s="1"/>
  <c r="BV405" i="4"/>
  <c r="CH405" i="4" s="1"/>
  <c r="BW405" i="4"/>
  <c r="BX405" i="4"/>
  <c r="CJ405" i="4" s="1"/>
  <c r="CV405" i="4" s="1"/>
  <c r="BY405" i="4"/>
  <c r="BZ405" i="4"/>
  <c r="CL405" i="4" s="1"/>
  <c r="CA405" i="4"/>
  <c r="CM405" i="4" s="1"/>
  <c r="CC405" i="4"/>
  <c r="CO405" i="4" s="1"/>
  <c r="CI405" i="4"/>
  <c r="CU405" i="4" s="1"/>
  <c r="CK405" i="4"/>
  <c r="CW405" i="4" s="1"/>
  <c r="CT405" i="4"/>
  <c r="CZ405" i="4"/>
  <c r="DA405" i="4"/>
  <c r="DB405" i="4"/>
  <c r="DC405" i="4"/>
  <c r="DD405" i="4"/>
  <c r="DE405" i="4"/>
  <c r="DF405" i="4"/>
  <c r="DG405" i="4"/>
  <c r="DH405" i="4"/>
  <c r="DV405" i="4" s="1"/>
  <c r="DI405" i="4"/>
  <c r="DW405" i="4" s="1"/>
  <c r="DJ405" i="4"/>
  <c r="DK405" i="4"/>
  <c r="DT405" i="4"/>
  <c r="DY405" i="4"/>
  <c r="BN406" i="4"/>
  <c r="BZ406" i="4" s="1"/>
  <c r="CL406" i="4" s="1"/>
  <c r="DN406" i="4" s="1"/>
  <c r="BO406" i="4"/>
  <c r="CA406" i="4" s="1"/>
  <c r="CM406" i="4" s="1"/>
  <c r="BP406" i="4"/>
  <c r="CB406" i="4" s="1"/>
  <c r="CN406" i="4" s="1"/>
  <c r="BQ406" i="4"/>
  <c r="CC406" i="4" s="1"/>
  <c r="CO406" i="4" s="1"/>
  <c r="BR406" i="4"/>
  <c r="BS406" i="4"/>
  <c r="CE406" i="4" s="1"/>
  <c r="CQ406" i="4" s="1"/>
  <c r="BT406" i="4"/>
  <c r="BU406" i="4"/>
  <c r="CG406" i="4" s="1"/>
  <c r="CS406" i="4" s="1"/>
  <c r="BV406" i="4"/>
  <c r="BW406" i="4"/>
  <c r="CI406" i="4" s="1"/>
  <c r="CU406" i="4" s="1"/>
  <c r="BX406" i="4"/>
  <c r="BY406" i="4"/>
  <c r="CK406" i="4" s="1"/>
  <c r="CW406" i="4" s="1"/>
  <c r="CD406" i="4"/>
  <c r="CP406" i="4" s="1"/>
  <c r="CF406" i="4"/>
  <c r="CR406" i="4" s="1"/>
  <c r="CH406" i="4"/>
  <c r="CT406" i="4" s="1"/>
  <c r="CJ406" i="4"/>
  <c r="CV406" i="4" s="1"/>
  <c r="DX406" i="4" s="1"/>
  <c r="CZ406" i="4"/>
  <c r="DA406" i="4"/>
  <c r="DB406" i="4"/>
  <c r="DC406" i="4"/>
  <c r="DD406" i="4"/>
  <c r="DR406" i="4" s="1"/>
  <c r="DE406" i="4"/>
  <c r="DF406" i="4"/>
  <c r="DG406" i="4"/>
  <c r="DH406" i="4"/>
  <c r="DI406" i="4"/>
  <c r="DJ406" i="4"/>
  <c r="DK406" i="4"/>
  <c r="DY406" i="4" s="1"/>
  <c r="DL406" i="4"/>
  <c r="DP406" i="4"/>
  <c r="BN407" i="4"/>
  <c r="BZ407" i="4" s="1"/>
  <c r="CL407" i="4" s="1"/>
  <c r="BO407" i="4"/>
  <c r="CA407" i="4" s="1"/>
  <c r="CM407" i="4" s="1"/>
  <c r="BP407" i="4"/>
  <c r="CB407" i="4" s="1"/>
  <c r="CN407" i="4" s="1"/>
  <c r="BQ407" i="4"/>
  <c r="CC407" i="4" s="1"/>
  <c r="CO407" i="4" s="1"/>
  <c r="BR407" i="4"/>
  <c r="CD407" i="4" s="1"/>
  <c r="BS407" i="4"/>
  <c r="BT407" i="4"/>
  <c r="CF407" i="4" s="1"/>
  <c r="CR407" i="4" s="1"/>
  <c r="BU407" i="4"/>
  <c r="BV407" i="4"/>
  <c r="CH407" i="4" s="1"/>
  <c r="CT407" i="4" s="1"/>
  <c r="DV407" i="4" s="1"/>
  <c r="BW407" i="4"/>
  <c r="CI407" i="4" s="1"/>
  <c r="BX407" i="4"/>
  <c r="BY407" i="4"/>
  <c r="CK407" i="4" s="1"/>
  <c r="CW407" i="4" s="1"/>
  <c r="CE407" i="4"/>
  <c r="CQ407" i="4" s="1"/>
  <c r="CG407" i="4"/>
  <c r="CS407" i="4" s="1"/>
  <c r="CJ407" i="4"/>
  <c r="CV407" i="4" s="1"/>
  <c r="DX407" i="4" s="1"/>
  <c r="CP407" i="4"/>
  <c r="CU407" i="4"/>
  <c r="DW407" i="4" s="1"/>
  <c r="CZ407" i="4"/>
  <c r="DA407" i="4"/>
  <c r="DB407" i="4"/>
  <c r="DC407" i="4"/>
  <c r="DD407" i="4"/>
  <c r="DE407" i="4"/>
  <c r="DS407" i="4" s="1"/>
  <c r="DF407" i="4"/>
  <c r="DG407" i="4"/>
  <c r="DU407" i="4" s="1"/>
  <c r="DH407" i="4"/>
  <c r="DI407" i="4"/>
  <c r="DJ407" i="4"/>
  <c r="DK407" i="4"/>
  <c r="DM407" i="4"/>
  <c r="BN408" i="4"/>
  <c r="BZ408" i="4" s="1"/>
  <c r="CL408" i="4" s="1"/>
  <c r="DN408" i="4" s="1"/>
  <c r="BO408" i="4"/>
  <c r="CA408" i="4" s="1"/>
  <c r="CM408" i="4" s="1"/>
  <c r="BP408" i="4"/>
  <c r="CB408" i="4" s="1"/>
  <c r="CN408" i="4" s="1"/>
  <c r="DP408" i="4" s="1"/>
  <c r="BQ408" i="4"/>
  <c r="CC408" i="4" s="1"/>
  <c r="CO408" i="4" s="1"/>
  <c r="BR408" i="4"/>
  <c r="BS408" i="4"/>
  <c r="CE408" i="4" s="1"/>
  <c r="CQ408" i="4" s="1"/>
  <c r="BT408" i="4"/>
  <c r="BU408" i="4"/>
  <c r="CG408" i="4" s="1"/>
  <c r="CS408" i="4" s="1"/>
  <c r="DU408" i="4" s="1"/>
  <c r="BV408" i="4"/>
  <c r="BW408" i="4"/>
  <c r="CI408" i="4" s="1"/>
  <c r="CU408" i="4" s="1"/>
  <c r="BX408" i="4"/>
  <c r="CJ408" i="4" s="1"/>
  <c r="BY408" i="4"/>
  <c r="CK408" i="4" s="1"/>
  <c r="CD408" i="4"/>
  <c r="CP408" i="4" s="1"/>
  <c r="DR408" i="4" s="1"/>
  <c r="CF408" i="4"/>
  <c r="CR408" i="4" s="1"/>
  <c r="CH408" i="4"/>
  <c r="CT408" i="4" s="1"/>
  <c r="CV408" i="4"/>
  <c r="DX408" i="4" s="1"/>
  <c r="CW408" i="4"/>
  <c r="DY408" i="4" s="1"/>
  <c r="CZ408" i="4"/>
  <c r="DA408" i="4"/>
  <c r="DB408" i="4"/>
  <c r="DC408" i="4"/>
  <c r="DD408" i="4"/>
  <c r="DE408" i="4"/>
  <c r="DF408" i="4"/>
  <c r="DG408" i="4"/>
  <c r="DH408" i="4"/>
  <c r="DI408" i="4"/>
  <c r="DW408" i="4" s="1"/>
  <c r="DJ408" i="4"/>
  <c r="DK408" i="4"/>
  <c r="DV408" i="4"/>
  <c r="BN409" i="4"/>
  <c r="BO409" i="4"/>
  <c r="CA409" i="4" s="1"/>
  <c r="CM409" i="4" s="1"/>
  <c r="DO409" i="4" s="1"/>
  <c r="BP409" i="4"/>
  <c r="CB409" i="4" s="1"/>
  <c r="CN409" i="4" s="1"/>
  <c r="BQ409" i="4"/>
  <c r="BR409" i="4"/>
  <c r="CD409" i="4" s="1"/>
  <c r="CP409" i="4" s="1"/>
  <c r="BS409" i="4"/>
  <c r="CE409" i="4" s="1"/>
  <c r="CQ409" i="4" s="1"/>
  <c r="BT409" i="4"/>
  <c r="BU409" i="4"/>
  <c r="CG409" i="4" s="1"/>
  <c r="CS409" i="4" s="1"/>
  <c r="BV409" i="4"/>
  <c r="BW409" i="4"/>
  <c r="CI409" i="4" s="1"/>
  <c r="CU409" i="4" s="1"/>
  <c r="BX409" i="4"/>
  <c r="BY409" i="4"/>
  <c r="BZ409" i="4"/>
  <c r="CL409" i="4" s="1"/>
  <c r="CC409" i="4"/>
  <c r="CO409" i="4" s="1"/>
  <c r="DQ409" i="4" s="1"/>
  <c r="CF409" i="4"/>
  <c r="CR409" i="4" s="1"/>
  <c r="CH409" i="4"/>
  <c r="CT409" i="4" s="1"/>
  <c r="CJ409" i="4"/>
  <c r="CV409" i="4" s="1"/>
  <c r="CK409" i="4"/>
  <c r="CW409" i="4" s="1"/>
  <c r="CZ409" i="4"/>
  <c r="DA409" i="4"/>
  <c r="DB409" i="4"/>
  <c r="DC409" i="4"/>
  <c r="DD409" i="4"/>
  <c r="DE409" i="4"/>
  <c r="DF409" i="4"/>
  <c r="DG409" i="4"/>
  <c r="DH409" i="4"/>
  <c r="DV409" i="4" s="1"/>
  <c r="DI409" i="4"/>
  <c r="DJ409" i="4"/>
  <c r="DK409" i="4"/>
  <c r="DY409" i="4" s="1"/>
  <c r="DR409" i="4"/>
  <c r="DS409" i="4"/>
  <c r="BN410" i="4"/>
  <c r="BZ410" i="4" s="1"/>
  <c r="BO410" i="4"/>
  <c r="BP410" i="4"/>
  <c r="BQ410" i="4"/>
  <c r="CC410" i="4" s="1"/>
  <c r="CO410" i="4" s="1"/>
  <c r="DQ410" i="4" s="1"/>
  <c r="BR410" i="4"/>
  <c r="CD410" i="4" s="1"/>
  <c r="CP410" i="4" s="1"/>
  <c r="BS410" i="4"/>
  <c r="CE410" i="4" s="1"/>
  <c r="CQ410" i="4" s="1"/>
  <c r="BT410" i="4"/>
  <c r="CF410" i="4" s="1"/>
  <c r="CR410" i="4" s="1"/>
  <c r="DT410" i="4" s="1"/>
  <c r="BU410" i="4"/>
  <c r="CG410" i="4" s="1"/>
  <c r="CS410" i="4" s="1"/>
  <c r="BV410" i="4"/>
  <c r="CH410" i="4" s="1"/>
  <c r="BW410" i="4"/>
  <c r="BX410" i="4"/>
  <c r="CJ410" i="4" s="1"/>
  <c r="CV410" i="4" s="1"/>
  <c r="DX410" i="4" s="1"/>
  <c r="BY410" i="4"/>
  <c r="CK410" i="4" s="1"/>
  <c r="CW410" i="4" s="1"/>
  <c r="DY410" i="4" s="1"/>
  <c r="CA410" i="4"/>
  <c r="CM410" i="4" s="1"/>
  <c r="CB410" i="4"/>
  <c r="CN410" i="4" s="1"/>
  <c r="CI410" i="4"/>
  <c r="CU410" i="4" s="1"/>
  <c r="CL410" i="4"/>
  <c r="CT410" i="4"/>
  <c r="CZ410" i="4"/>
  <c r="DA410" i="4"/>
  <c r="DO410" i="4" s="1"/>
  <c r="DB410" i="4"/>
  <c r="DC410" i="4"/>
  <c r="DD410" i="4"/>
  <c r="DE410" i="4"/>
  <c r="DS410" i="4" s="1"/>
  <c r="DF410" i="4"/>
  <c r="DG410" i="4"/>
  <c r="DH410" i="4"/>
  <c r="DV410" i="4" s="1"/>
  <c r="DI410" i="4"/>
  <c r="DJ410" i="4"/>
  <c r="DK410" i="4"/>
  <c r="DL410" i="4"/>
  <c r="DM410" i="4"/>
  <c r="BN411" i="4"/>
  <c r="BZ411" i="4" s="1"/>
  <c r="CL411" i="4" s="1"/>
  <c r="BO411" i="4"/>
  <c r="CA411" i="4" s="1"/>
  <c r="CM411" i="4" s="1"/>
  <c r="BP411" i="4"/>
  <c r="CB411" i="4" s="1"/>
  <c r="CN411" i="4" s="1"/>
  <c r="BQ411" i="4"/>
  <c r="CC411" i="4" s="1"/>
  <c r="BR411" i="4"/>
  <c r="BS411" i="4"/>
  <c r="CE411" i="4" s="1"/>
  <c r="CQ411" i="4" s="1"/>
  <c r="DS411" i="4" s="1"/>
  <c r="BT411" i="4"/>
  <c r="BU411" i="4"/>
  <c r="BV411" i="4"/>
  <c r="CH411" i="4" s="1"/>
  <c r="CT411" i="4" s="1"/>
  <c r="BW411" i="4"/>
  <c r="CI411" i="4" s="1"/>
  <c r="CU411" i="4" s="1"/>
  <c r="BX411" i="4"/>
  <c r="BY411" i="4"/>
  <c r="CK411" i="4" s="1"/>
  <c r="CW411" i="4" s="1"/>
  <c r="CD411" i="4"/>
  <c r="CP411" i="4" s="1"/>
  <c r="CF411" i="4"/>
  <c r="CR411" i="4" s="1"/>
  <c r="CG411" i="4"/>
  <c r="CS411" i="4" s="1"/>
  <c r="CJ411" i="4"/>
  <c r="CV411" i="4" s="1"/>
  <c r="CO411" i="4"/>
  <c r="CZ411" i="4"/>
  <c r="DA411" i="4"/>
  <c r="DB411" i="4"/>
  <c r="DP411" i="4" s="1"/>
  <c r="DC411" i="4"/>
  <c r="DD411" i="4"/>
  <c r="DE411" i="4"/>
  <c r="DF411" i="4"/>
  <c r="DG411" i="4"/>
  <c r="DH411" i="4"/>
  <c r="DI411" i="4"/>
  <c r="DJ411" i="4"/>
  <c r="DX411" i="4" s="1"/>
  <c r="DK411" i="4"/>
  <c r="BN412" i="4"/>
  <c r="BO412" i="4"/>
  <c r="CA412" i="4" s="1"/>
  <c r="CM412" i="4" s="1"/>
  <c r="BP412" i="4"/>
  <c r="CB412" i="4" s="1"/>
  <c r="CN412" i="4" s="1"/>
  <c r="BQ412" i="4"/>
  <c r="CC412" i="4" s="1"/>
  <c r="CO412" i="4" s="1"/>
  <c r="BR412" i="4"/>
  <c r="CD412" i="4" s="1"/>
  <c r="CP412" i="4" s="1"/>
  <c r="BS412" i="4"/>
  <c r="CE412" i="4" s="1"/>
  <c r="CQ412" i="4" s="1"/>
  <c r="DS412" i="4" s="1"/>
  <c r="BT412" i="4"/>
  <c r="CF412" i="4" s="1"/>
  <c r="CR412" i="4" s="1"/>
  <c r="BU412" i="4"/>
  <c r="BV412" i="4"/>
  <c r="CH412" i="4" s="1"/>
  <c r="CT412" i="4" s="1"/>
  <c r="BW412" i="4"/>
  <c r="CI412" i="4" s="1"/>
  <c r="BX412" i="4"/>
  <c r="CJ412" i="4" s="1"/>
  <c r="CV412" i="4" s="1"/>
  <c r="BY412" i="4"/>
  <c r="CK412" i="4" s="1"/>
  <c r="CW412" i="4" s="1"/>
  <c r="BZ412" i="4"/>
  <c r="CL412" i="4" s="1"/>
  <c r="CG412" i="4"/>
  <c r="CS412" i="4" s="1"/>
  <c r="DU412" i="4" s="1"/>
  <c r="CU412" i="4"/>
  <c r="CZ412" i="4"/>
  <c r="DA412" i="4"/>
  <c r="DB412" i="4"/>
  <c r="DC412" i="4"/>
  <c r="DD412" i="4"/>
  <c r="DR412" i="4" s="1"/>
  <c r="DE412" i="4"/>
  <c r="DF412" i="4"/>
  <c r="DT412" i="4" s="1"/>
  <c r="DG412" i="4"/>
  <c r="DH412" i="4"/>
  <c r="DI412" i="4"/>
  <c r="DJ412" i="4"/>
  <c r="DK412" i="4"/>
  <c r="BN413" i="4"/>
  <c r="BZ413" i="4" s="1"/>
  <c r="CL413" i="4" s="1"/>
  <c r="DN413" i="4" s="1"/>
  <c r="BO413" i="4"/>
  <c r="CA413" i="4" s="1"/>
  <c r="CM413" i="4" s="1"/>
  <c r="BP413" i="4"/>
  <c r="CB413" i="4" s="1"/>
  <c r="BQ413" i="4"/>
  <c r="CC413" i="4" s="1"/>
  <c r="CO413" i="4" s="1"/>
  <c r="BR413" i="4"/>
  <c r="CD413" i="4" s="1"/>
  <c r="CP413" i="4" s="1"/>
  <c r="BS413" i="4"/>
  <c r="CE413" i="4" s="1"/>
  <c r="CQ413" i="4" s="1"/>
  <c r="BT413" i="4"/>
  <c r="BU413" i="4"/>
  <c r="CG413" i="4" s="1"/>
  <c r="CS413" i="4" s="1"/>
  <c r="BV413" i="4"/>
  <c r="CH413" i="4" s="1"/>
  <c r="CT413" i="4" s="1"/>
  <c r="DV413" i="4" s="1"/>
  <c r="BW413" i="4"/>
  <c r="CI413" i="4" s="1"/>
  <c r="CU413" i="4" s="1"/>
  <c r="DW413" i="4" s="1"/>
  <c r="BX413" i="4"/>
  <c r="CJ413" i="4" s="1"/>
  <c r="BY413" i="4"/>
  <c r="CK413" i="4" s="1"/>
  <c r="CW413" i="4" s="1"/>
  <c r="CF413" i="4"/>
  <c r="CR413" i="4" s="1"/>
  <c r="DT413" i="4" s="1"/>
  <c r="CN413" i="4"/>
  <c r="DP413" i="4" s="1"/>
  <c r="CV413" i="4"/>
  <c r="DX413" i="4" s="1"/>
  <c r="CZ413" i="4"/>
  <c r="DA413" i="4"/>
  <c r="DO413" i="4" s="1"/>
  <c r="DB413" i="4"/>
  <c r="DC413" i="4"/>
  <c r="DQ413" i="4" s="1"/>
  <c r="DD413" i="4"/>
  <c r="DE413" i="4"/>
  <c r="DF413" i="4"/>
  <c r="DL413" i="4" s="1"/>
  <c r="DG413" i="4"/>
  <c r="DU413" i="4" s="1"/>
  <c r="DH413" i="4"/>
  <c r="DI413" i="4"/>
  <c r="DJ413" i="4"/>
  <c r="DK413" i="4"/>
  <c r="DR413" i="4"/>
  <c r="BN414" i="4"/>
  <c r="BZ414" i="4" s="1"/>
  <c r="BO414" i="4"/>
  <c r="CA414" i="4" s="1"/>
  <c r="CM414" i="4" s="1"/>
  <c r="BP414" i="4"/>
  <c r="CB414" i="4" s="1"/>
  <c r="CN414" i="4" s="1"/>
  <c r="BQ414" i="4"/>
  <c r="CC414" i="4" s="1"/>
  <c r="CO414" i="4" s="1"/>
  <c r="BR414" i="4"/>
  <c r="CD414" i="4" s="1"/>
  <c r="CP414" i="4" s="1"/>
  <c r="BS414" i="4"/>
  <c r="CE414" i="4" s="1"/>
  <c r="CQ414" i="4" s="1"/>
  <c r="BT414" i="4"/>
  <c r="BU414" i="4"/>
  <c r="CG414" i="4" s="1"/>
  <c r="CS414" i="4" s="1"/>
  <c r="DU414" i="4" s="1"/>
  <c r="BV414" i="4"/>
  <c r="CH414" i="4" s="1"/>
  <c r="CT414" i="4" s="1"/>
  <c r="BW414" i="4"/>
  <c r="CI414" i="4" s="1"/>
  <c r="CU414" i="4" s="1"/>
  <c r="BX414" i="4"/>
  <c r="BY414" i="4"/>
  <c r="CK414" i="4" s="1"/>
  <c r="CW414" i="4" s="1"/>
  <c r="CF414" i="4"/>
  <c r="CR414" i="4" s="1"/>
  <c r="CJ414" i="4"/>
  <c r="CV414" i="4" s="1"/>
  <c r="CL414" i="4"/>
  <c r="CZ414" i="4"/>
  <c r="DA414" i="4"/>
  <c r="DB414" i="4"/>
  <c r="DC414" i="4"/>
  <c r="DD414" i="4"/>
  <c r="DR414" i="4" s="1"/>
  <c r="DE414" i="4"/>
  <c r="DF414" i="4"/>
  <c r="DG414" i="4"/>
  <c r="DH414" i="4"/>
  <c r="DI414" i="4"/>
  <c r="DJ414" i="4"/>
  <c r="DK414" i="4"/>
  <c r="DN414" i="4"/>
  <c r="DP414" i="4"/>
  <c r="BN415" i="4"/>
  <c r="BZ415" i="4" s="1"/>
  <c r="CL415" i="4" s="1"/>
  <c r="BO415" i="4"/>
  <c r="BP415" i="4"/>
  <c r="BQ415" i="4"/>
  <c r="CC415" i="4" s="1"/>
  <c r="CO415" i="4" s="1"/>
  <c r="BR415" i="4"/>
  <c r="CD415" i="4" s="1"/>
  <c r="CP415" i="4" s="1"/>
  <c r="BS415" i="4"/>
  <c r="CE415" i="4" s="1"/>
  <c r="CQ415" i="4" s="1"/>
  <c r="BT415" i="4"/>
  <c r="CF415" i="4" s="1"/>
  <c r="CR415" i="4" s="1"/>
  <c r="DT415" i="4" s="1"/>
  <c r="BU415" i="4"/>
  <c r="BV415" i="4"/>
  <c r="CH415" i="4" s="1"/>
  <c r="CT415" i="4" s="1"/>
  <c r="DV415" i="4" s="1"/>
  <c r="BW415" i="4"/>
  <c r="BX415" i="4"/>
  <c r="CJ415" i="4" s="1"/>
  <c r="CV415" i="4" s="1"/>
  <c r="DX415" i="4" s="1"/>
  <c r="BY415" i="4"/>
  <c r="CK415" i="4" s="1"/>
  <c r="CA415" i="4"/>
  <c r="CM415" i="4" s="1"/>
  <c r="CB415" i="4"/>
  <c r="CN415" i="4" s="1"/>
  <c r="CG415" i="4"/>
  <c r="CS415" i="4" s="1"/>
  <c r="CI415" i="4"/>
  <c r="CU415" i="4"/>
  <c r="DW415" i="4" s="1"/>
  <c r="CW415" i="4"/>
  <c r="CZ415" i="4"/>
  <c r="DA415" i="4"/>
  <c r="DB415" i="4"/>
  <c r="DL415" i="4" s="1"/>
  <c r="DC415" i="4"/>
  <c r="DD415" i="4"/>
  <c r="DE415" i="4"/>
  <c r="DF415" i="4"/>
  <c r="DG415" i="4"/>
  <c r="DH415" i="4"/>
  <c r="DI415" i="4"/>
  <c r="DJ415" i="4"/>
  <c r="DK415" i="4"/>
  <c r="DR415" i="4"/>
  <c r="BN416" i="4"/>
  <c r="BZ416" i="4" s="1"/>
  <c r="CL416" i="4" s="1"/>
  <c r="BO416" i="4"/>
  <c r="CA416" i="4" s="1"/>
  <c r="CM416" i="4" s="1"/>
  <c r="BP416" i="4"/>
  <c r="CB416" i="4" s="1"/>
  <c r="CN416" i="4" s="1"/>
  <c r="BQ416" i="4"/>
  <c r="CC416" i="4" s="1"/>
  <c r="CO416" i="4" s="1"/>
  <c r="DQ416" i="4" s="1"/>
  <c r="BR416" i="4"/>
  <c r="BS416" i="4"/>
  <c r="BT416" i="4"/>
  <c r="BU416" i="4"/>
  <c r="BV416" i="4"/>
  <c r="BW416" i="4"/>
  <c r="CI416" i="4" s="1"/>
  <c r="CU416" i="4" s="1"/>
  <c r="BX416" i="4"/>
  <c r="CJ416" i="4" s="1"/>
  <c r="BY416" i="4"/>
  <c r="CK416" i="4" s="1"/>
  <c r="CW416" i="4" s="1"/>
  <c r="CD416" i="4"/>
  <c r="CE416" i="4"/>
  <c r="CQ416" i="4" s="1"/>
  <c r="CF416" i="4"/>
  <c r="CR416" i="4" s="1"/>
  <c r="CG416" i="4"/>
  <c r="CS416" i="4" s="1"/>
  <c r="DU416" i="4" s="1"/>
  <c r="CH416" i="4"/>
  <c r="CP416" i="4"/>
  <c r="DR416" i="4" s="1"/>
  <c r="CT416" i="4"/>
  <c r="CV416" i="4"/>
  <c r="CZ416" i="4"/>
  <c r="DA416" i="4"/>
  <c r="DB416" i="4"/>
  <c r="DP416" i="4" s="1"/>
  <c r="DC416" i="4"/>
  <c r="DD416" i="4"/>
  <c r="DE416" i="4"/>
  <c r="DS416" i="4" s="1"/>
  <c r="DF416" i="4"/>
  <c r="DG416" i="4"/>
  <c r="DH416" i="4"/>
  <c r="DI416" i="4"/>
  <c r="DJ416" i="4"/>
  <c r="DK416" i="4"/>
  <c r="BN417" i="4"/>
  <c r="BZ417" i="4" s="1"/>
  <c r="CL417" i="4" s="1"/>
  <c r="BO417" i="4"/>
  <c r="CA417" i="4" s="1"/>
  <c r="CM417" i="4" s="1"/>
  <c r="DO417" i="4" s="1"/>
  <c r="BP417" i="4"/>
  <c r="BQ417" i="4"/>
  <c r="CC417" i="4" s="1"/>
  <c r="CO417" i="4" s="1"/>
  <c r="BR417" i="4"/>
  <c r="CD417" i="4" s="1"/>
  <c r="CP417" i="4" s="1"/>
  <c r="BS417" i="4"/>
  <c r="CE417" i="4" s="1"/>
  <c r="CQ417" i="4" s="1"/>
  <c r="DS417" i="4" s="1"/>
  <c r="BT417" i="4"/>
  <c r="CF417" i="4" s="1"/>
  <c r="CR417" i="4" s="1"/>
  <c r="BU417" i="4"/>
  <c r="CG417" i="4" s="1"/>
  <c r="CS417" i="4" s="1"/>
  <c r="BV417" i="4"/>
  <c r="CH417" i="4" s="1"/>
  <c r="CT417" i="4" s="1"/>
  <c r="BW417" i="4"/>
  <c r="CI417" i="4" s="1"/>
  <c r="CU417" i="4" s="1"/>
  <c r="BX417" i="4"/>
  <c r="BY417" i="4"/>
  <c r="CB417" i="4"/>
  <c r="CN417" i="4" s="1"/>
  <c r="CJ417" i="4"/>
  <c r="CV417" i="4" s="1"/>
  <c r="CK417" i="4"/>
  <c r="CW417" i="4" s="1"/>
  <c r="CZ417" i="4"/>
  <c r="DA417" i="4"/>
  <c r="DB417" i="4"/>
  <c r="DC417" i="4"/>
  <c r="DQ417" i="4" s="1"/>
  <c r="DD417" i="4"/>
  <c r="DE417" i="4"/>
  <c r="DF417" i="4"/>
  <c r="DG417" i="4"/>
  <c r="DH417" i="4"/>
  <c r="DI417" i="4"/>
  <c r="DJ417" i="4"/>
  <c r="DX417" i="4" s="1"/>
  <c r="DK417" i="4"/>
  <c r="DT417" i="4"/>
  <c r="BN418" i="4"/>
  <c r="BO418" i="4"/>
  <c r="BP418" i="4"/>
  <c r="CB418" i="4" s="1"/>
  <c r="CN418" i="4" s="1"/>
  <c r="BQ418" i="4"/>
  <c r="CC418" i="4" s="1"/>
  <c r="CO418" i="4" s="1"/>
  <c r="DQ418" i="4" s="1"/>
  <c r="BR418" i="4"/>
  <c r="CD418" i="4" s="1"/>
  <c r="CP418" i="4" s="1"/>
  <c r="BS418" i="4"/>
  <c r="CE418" i="4" s="1"/>
  <c r="CQ418" i="4" s="1"/>
  <c r="BT418" i="4"/>
  <c r="BU418" i="4"/>
  <c r="CG418" i="4" s="1"/>
  <c r="CS418" i="4" s="1"/>
  <c r="BV418" i="4"/>
  <c r="CH418" i="4" s="1"/>
  <c r="BW418" i="4"/>
  <c r="BX418" i="4"/>
  <c r="CJ418" i="4" s="1"/>
  <c r="CV418" i="4" s="1"/>
  <c r="DX418" i="4" s="1"/>
  <c r="BY418" i="4"/>
  <c r="CK418" i="4" s="1"/>
  <c r="CW418" i="4" s="1"/>
  <c r="DY418" i="4" s="1"/>
  <c r="BZ418" i="4"/>
  <c r="CL418" i="4" s="1"/>
  <c r="CA418" i="4"/>
  <c r="CM418" i="4" s="1"/>
  <c r="CF418" i="4"/>
  <c r="CR418" i="4" s="1"/>
  <c r="CI418" i="4"/>
  <c r="CU418" i="4" s="1"/>
  <c r="DW418" i="4" s="1"/>
  <c r="CT418" i="4"/>
  <c r="DV418" i="4" s="1"/>
  <c r="CZ418" i="4"/>
  <c r="DN418" i="4" s="1"/>
  <c r="DA418" i="4"/>
  <c r="DB418" i="4"/>
  <c r="DC418" i="4"/>
  <c r="DD418" i="4"/>
  <c r="DE418" i="4"/>
  <c r="DS418" i="4" s="1"/>
  <c r="DF418" i="4"/>
  <c r="DL418" i="4" s="1"/>
  <c r="DG418" i="4"/>
  <c r="DH418" i="4"/>
  <c r="DI418" i="4"/>
  <c r="DJ418" i="4"/>
  <c r="DK418" i="4"/>
  <c r="BN419" i="4"/>
  <c r="BZ419" i="4" s="1"/>
  <c r="CL419" i="4" s="1"/>
  <c r="BO419" i="4"/>
  <c r="CA419" i="4" s="1"/>
  <c r="CM419" i="4" s="1"/>
  <c r="DO419" i="4" s="1"/>
  <c r="BP419" i="4"/>
  <c r="CB419" i="4" s="1"/>
  <c r="CN419" i="4" s="1"/>
  <c r="BQ419" i="4"/>
  <c r="CC419" i="4" s="1"/>
  <c r="CO419" i="4" s="1"/>
  <c r="BR419" i="4"/>
  <c r="BS419" i="4"/>
  <c r="CE419" i="4" s="1"/>
  <c r="CQ419" i="4" s="1"/>
  <c r="DS419" i="4" s="1"/>
  <c r="BT419" i="4"/>
  <c r="BU419" i="4"/>
  <c r="BV419" i="4"/>
  <c r="CH419" i="4" s="1"/>
  <c r="CT419" i="4" s="1"/>
  <c r="BW419" i="4"/>
  <c r="CI419" i="4" s="1"/>
  <c r="CU419" i="4" s="1"/>
  <c r="DW419" i="4" s="1"/>
  <c r="BX419" i="4"/>
  <c r="CJ419" i="4" s="1"/>
  <c r="CV419" i="4" s="1"/>
  <c r="BY419" i="4"/>
  <c r="CK419" i="4" s="1"/>
  <c r="CW419" i="4" s="1"/>
  <c r="CD419" i="4"/>
  <c r="CP419" i="4" s="1"/>
  <c r="CF419" i="4"/>
  <c r="CR419" i="4" s="1"/>
  <c r="CG419" i="4"/>
  <c r="CS419" i="4" s="1"/>
  <c r="CZ419" i="4"/>
  <c r="DA419" i="4"/>
  <c r="DB419" i="4"/>
  <c r="DC419" i="4"/>
  <c r="DD419" i="4"/>
  <c r="DR419" i="4" s="1"/>
  <c r="DE419" i="4"/>
  <c r="DF419" i="4"/>
  <c r="DG419" i="4"/>
  <c r="DH419" i="4"/>
  <c r="DI419" i="4"/>
  <c r="DJ419" i="4"/>
  <c r="DK419" i="4"/>
  <c r="BN420" i="4"/>
  <c r="BZ420" i="4" s="1"/>
  <c r="CL420" i="4" s="1"/>
  <c r="BO420" i="4"/>
  <c r="CA420" i="4" s="1"/>
  <c r="BP420" i="4"/>
  <c r="CB420" i="4" s="1"/>
  <c r="CN420" i="4" s="1"/>
  <c r="BQ420" i="4"/>
  <c r="BR420" i="4"/>
  <c r="CD420" i="4" s="1"/>
  <c r="CP420" i="4" s="1"/>
  <c r="BS420" i="4"/>
  <c r="BT420" i="4"/>
  <c r="CF420" i="4" s="1"/>
  <c r="CR420" i="4" s="1"/>
  <c r="BU420" i="4"/>
  <c r="CG420" i="4" s="1"/>
  <c r="CS420" i="4" s="1"/>
  <c r="BV420" i="4"/>
  <c r="CH420" i="4" s="1"/>
  <c r="CT420" i="4" s="1"/>
  <c r="BW420" i="4"/>
  <c r="CI420" i="4" s="1"/>
  <c r="BX420" i="4"/>
  <c r="CJ420" i="4" s="1"/>
  <c r="CV420" i="4" s="1"/>
  <c r="BY420" i="4"/>
  <c r="CK420" i="4" s="1"/>
  <c r="CW420" i="4" s="1"/>
  <c r="CC420" i="4"/>
  <c r="CO420" i="4" s="1"/>
  <c r="CE420" i="4"/>
  <c r="CQ420" i="4" s="1"/>
  <c r="CM420" i="4"/>
  <c r="CU420" i="4"/>
  <c r="CZ420" i="4"/>
  <c r="DA420" i="4"/>
  <c r="DB420" i="4"/>
  <c r="DC420" i="4"/>
  <c r="DD420" i="4"/>
  <c r="DR420" i="4" s="1"/>
  <c r="DE420" i="4"/>
  <c r="DF420" i="4"/>
  <c r="DG420" i="4"/>
  <c r="DH420" i="4"/>
  <c r="DI420" i="4"/>
  <c r="DJ420" i="4"/>
  <c r="DK420" i="4"/>
  <c r="DQ420" i="4"/>
  <c r="BN421" i="4"/>
  <c r="BZ421" i="4" s="1"/>
  <c r="CL421" i="4" s="1"/>
  <c r="BO421" i="4"/>
  <c r="CA421" i="4" s="1"/>
  <c r="BP421" i="4"/>
  <c r="CB421" i="4" s="1"/>
  <c r="CN421" i="4" s="1"/>
  <c r="DP421" i="4" s="1"/>
  <c r="BQ421" i="4"/>
  <c r="BR421" i="4"/>
  <c r="CD421" i="4" s="1"/>
  <c r="CP421" i="4" s="1"/>
  <c r="BS421" i="4"/>
  <c r="BT421" i="4"/>
  <c r="CF421" i="4" s="1"/>
  <c r="BU421" i="4"/>
  <c r="CG421" i="4" s="1"/>
  <c r="CS421" i="4" s="1"/>
  <c r="BV421" i="4"/>
  <c r="BW421" i="4"/>
  <c r="CI421" i="4" s="1"/>
  <c r="CU421" i="4" s="1"/>
  <c r="DW421" i="4" s="1"/>
  <c r="BX421" i="4"/>
  <c r="CJ421" i="4" s="1"/>
  <c r="CV421" i="4" s="1"/>
  <c r="DX421" i="4" s="1"/>
  <c r="BY421" i="4"/>
  <c r="CC421" i="4"/>
  <c r="CO421" i="4" s="1"/>
  <c r="CE421" i="4"/>
  <c r="CQ421" i="4" s="1"/>
  <c r="DS421" i="4" s="1"/>
  <c r="CH421" i="4"/>
  <c r="CT421" i="4" s="1"/>
  <c r="CK421" i="4"/>
  <c r="CW421" i="4" s="1"/>
  <c r="CM421" i="4"/>
  <c r="CR421" i="4"/>
  <c r="CZ421" i="4"/>
  <c r="DA421" i="4"/>
  <c r="DB421" i="4"/>
  <c r="DC421" i="4"/>
  <c r="DD421" i="4"/>
  <c r="DE421" i="4"/>
  <c r="DF421" i="4"/>
  <c r="DG421" i="4"/>
  <c r="DH421" i="4"/>
  <c r="DI421" i="4"/>
  <c r="DJ421" i="4"/>
  <c r="DK421" i="4"/>
  <c r="DQ421" i="4"/>
  <c r="BN422" i="4"/>
  <c r="BO422" i="4"/>
  <c r="CA422" i="4" s="1"/>
  <c r="CM422" i="4" s="1"/>
  <c r="BP422" i="4"/>
  <c r="CB422" i="4" s="1"/>
  <c r="CN422" i="4" s="1"/>
  <c r="BQ422" i="4"/>
  <c r="BR422" i="4"/>
  <c r="CD422" i="4" s="1"/>
  <c r="CP422" i="4" s="1"/>
  <c r="BS422" i="4"/>
  <c r="CE422" i="4" s="1"/>
  <c r="CQ422" i="4" s="1"/>
  <c r="BT422" i="4"/>
  <c r="CF422" i="4" s="1"/>
  <c r="CR422" i="4" s="1"/>
  <c r="BU422" i="4"/>
  <c r="CG422" i="4" s="1"/>
  <c r="CS422" i="4" s="1"/>
  <c r="DU422" i="4" s="1"/>
  <c r="BV422" i="4"/>
  <c r="BW422" i="4"/>
  <c r="BX422" i="4"/>
  <c r="BY422" i="4"/>
  <c r="BZ422" i="4"/>
  <c r="CC422" i="4"/>
  <c r="CO422" i="4" s="1"/>
  <c r="DQ422" i="4" s="1"/>
  <c r="CH422" i="4"/>
  <c r="CT422" i="4" s="1"/>
  <c r="CI422" i="4"/>
  <c r="CU422" i="4" s="1"/>
  <c r="CJ422" i="4"/>
  <c r="CK422" i="4"/>
  <c r="CW422" i="4" s="1"/>
  <c r="CL422" i="4"/>
  <c r="CV422" i="4"/>
  <c r="CZ422" i="4"/>
  <c r="DA422" i="4"/>
  <c r="DB422" i="4"/>
  <c r="DC422" i="4"/>
  <c r="DD422" i="4"/>
  <c r="DE422" i="4"/>
  <c r="DF422" i="4"/>
  <c r="DT422" i="4" s="1"/>
  <c r="DG422" i="4"/>
  <c r="DH422" i="4"/>
  <c r="DI422" i="4"/>
  <c r="DJ422" i="4"/>
  <c r="DK422" i="4"/>
  <c r="DY422" i="4" s="1"/>
  <c r="DN422" i="4"/>
  <c r="BN423" i="4"/>
  <c r="BZ423" i="4" s="1"/>
  <c r="CL423" i="4" s="1"/>
  <c r="DN423" i="4" s="1"/>
  <c r="BO423" i="4"/>
  <c r="CA423" i="4" s="1"/>
  <c r="CM423" i="4" s="1"/>
  <c r="BP423" i="4"/>
  <c r="CB423" i="4" s="1"/>
  <c r="CN423" i="4" s="1"/>
  <c r="BQ423" i="4"/>
  <c r="CC423" i="4" s="1"/>
  <c r="BR423" i="4"/>
  <c r="BS423" i="4"/>
  <c r="BT423" i="4"/>
  <c r="CF423" i="4" s="1"/>
  <c r="CR423" i="4" s="1"/>
  <c r="DT423" i="4" s="1"/>
  <c r="BU423" i="4"/>
  <c r="BV423" i="4"/>
  <c r="CH423" i="4" s="1"/>
  <c r="CT423" i="4" s="1"/>
  <c r="BW423" i="4"/>
  <c r="CI423" i="4" s="1"/>
  <c r="BX423" i="4"/>
  <c r="CJ423" i="4" s="1"/>
  <c r="CV423" i="4" s="1"/>
  <c r="DX423" i="4" s="1"/>
  <c r="BY423" i="4"/>
  <c r="CK423" i="4" s="1"/>
  <c r="CD423" i="4"/>
  <c r="CP423" i="4" s="1"/>
  <c r="CE423" i="4"/>
  <c r="CQ423" i="4" s="1"/>
  <c r="CG423" i="4"/>
  <c r="CS423" i="4" s="1"/>
  <c r="CO423" i="4"/>
  <c r="CU423" i="4"/>
  <c r="DW423" i="4" s="1"/>
  <c r="CW423" i="4"/>
  <c r="CZ423" i="4"/>
  <c r="DA423" i="4"/>
  <c r="DB423" i="4"/>
  <c r="DC423" i="4"/>
  <c r="DD423" i="4"/>
  <c r="DE423" i="4"/>
  <c r="DF423" i="4"/>
  <c r="DG423" i="4"/>
  <c r="DH423" i="4"/>
  <c r="DI423" i="4"/>
  <c r="DJ423" i="4"/>
  <c r="DK423" i="4"/>
  <c r="DR423" i="4"/>
  <c r="DV423" i="4"/>
  <c r="BN424" i="4"/>
  <c r="BO424" i="4"/>
  <c r="CA424" i="4" s="1"/>
  <c r="CM424" i="4" s="1"/>
  <c r="DO424" i="4" s="1"/>
  <c r="BP424" i="4"/>
  <c r="CB424" i="4" s="1"/>
  <c r="CN424" i="4" s="1"/>
  <c r="BQ424" i="4"/>
  <c r="CC424" i="4" s="1"/>
  <c r="BR424" i="4"/>
  <c r="CD424" i="4" s="1"/>
  <c r="CP424" i="4" s="1"/>
  <c r="BS424" i="4"/>
  <c r="BT424" i="4"/>
  <c r="BU424" i="4"/>
  <c r="BV424" i="4"/>
  <c r="BW424" i="4"/>
  <c r="CI424" i="4" s="1"/>
  <c r="CU424" i="4" s="1"/>
  <c r="BX424" i="4"/>
  <c r="CJ424" i="4" s="1"/>
  <c r="CV424" i="4" s="1"/>
  <c r="BY424" i="4"/>
  <c r="BZ424" i="4"/>
  <c r="CL424" i="4" s="1"/>
  <c r="CE424" i="4"/>
  <c r="CQ424" i="4" s="1"/>
  <c r="CF424" i="4"/>
  <c r="CR424" i="4" s="1"/>
  <c r="CG424" i="4"/>
  <c r="CS424" i="4" s="1"/>
  <c r="CH424" i="4"/>
  <c r="CK424" i="4"/>
  <c r="CW424" i="4" s="1"/>
  <c r="CO424" i="4"/>
  <c r="CT424" i="4"/>
  <c r="CZ424" i="4"/>
  <c r="DA424" i="4"/>
  <c r="DB424" i="4"/>
  <c r="DC424" i="4"/>
  <c r="DQ424" i="4" s="1"/>
  <c r="DD424" i="4"/>
  <c r="DE424" i="4"/>
  <c r="DS424" i="4" s="1"/>
  <c r="DF424" i="4"/>
  <c r="DG424" i="4"/>
  <c r="DH424" i="4"/>
  <c r="DI424" i="4"/>
  <c r="DJ424" i="4"/>
  <c r="DK424" i="4"/>
  <c r="DY424" i="4" s="1"/>
  <c r="BN425" i="4"/>
  <c r="BO425" i="4"/>
  <c r="CA425" i="4" s="1"/>
  <c r="CM425" i="4" s="1"/>
  <c r="BP425" i="4"/>
  <c r="BQ425" i="4"/>
  <c r="CC425" i="4" s="1"/>
  <c r="CO425" i="4" s="1"/>
  <c r="DQ425" i="4" s="1"/>
  <c r="BR425" i="4"/>
  <c r="CD425" i="4" s="1"/>
  <c r="CP425" i="4" s="1"/>
  <c r="BS425" i="4"/>
  <c r="CE425" i="4" s="1"/>
  <c r="CQ425" i="4" s="1"/>
  <c r="BT425" i="4"/>
  <c r="CF425" i="4" s="1"/>
  <c r="BU425" i="4"/>
  <c r="CG425" i="4" s="1"/>
  <c r="CS425" i="4" s="1"/>
  <c r="BV425" i="4"/>
  <c r="BW425" i="4"/>
  <c r="CI425" i="4" s="1"/>
  <c r="CU425" i="4" s="1"/>
  <c r="BX425" i="4"/>
  <c r="BY425" i="4"/>
  <c r="BZ425" i="4"/>
  <c r="CL425" i="4" s="1"/>
  <c r="CB425" i="4"/>
  <c r="CN425" i="4" s="1"/>
  <c r="CH425" i="4"/>
  <c r="CT425" i="4" s="1"/>
  <c r="CJ425" i="4"/>
  <c r="CV425" i="4" s="1"/>
  <c r="CK425" i="4"/>
  <c r="CW425" i="4" s="1"/>
  <c r="CR425" i="4"/>
  <c r="CZ425" i="4"/>
  <c r="DA425" i="4"/>
  <c r="DB425" i="4"/>
  <c r="DP425" i="4" s="1"/>
  <c r="DC425" i="4"/>
  <c r="DD425" i="4"/>
  <c r="DE425" i="4"/>
  <c r="DF425" i="4"/>
  <c r="DG425" i="4"/>
  <c r="DH425" i="4"/>
  <c r="DV425" i="4" s="1"/>
  <c r="DI425" i="4"/>
  <c r="DJ425" i="4"/>
  <c r="DK425" i="4"/>
  <c r="DW425" i="4"/>
  <c r="BN426" i="4"/>
  <c r="BZ426" i="4" s="1"/>
  <c r="CL426" i="4" s="1"/>
  <c r="DN426" i="4" s="1"/>
  <c r="BO426" i="4"/>
  <c r="BP426" i="4"/>
  <c r="CB426" i="4" s="1"/>
  <c r="CN426" i="4" s="1"/>
  <c r="BQ426" i="4"/>
  <c r="CC426" i="4" s="1"/>
  <c r="CO426" i="4" s="1"/>
  <c r="BR426" i="4"/>
  <c r="CD426" i="4" s="1"/>
  <c r="BS426" i="4"/>
  <c r="CE426" i="4" s="1"/>
  <c r="CQ426" i="4" s="1"/>
  <c r="BT426" i="4"/>
  <c r="BU426" i="4"/>
  <c r="CG426" i="4" s="1"/>
  <c r="CS426" i="4" s="1"/>
  <c r="BV426" i="4"/>
  <c r="CH426" i="4" s="1"/>
  <c r="CT426" i="4" s="1"/>
  <c r="BW426" i="4"/>
  <c r="BX426" i="4"/>
  <c r="CJ426" i="4" s="1"/>
  <c r="CV426" i="4" s="1"/>
  <c r="BY426" i="4"/>
  <c r="CA426" i="4"/>
  <c r="CM426" i="4" s="1"/>
  <c r="CF426" i="4"/>
  <c r="CR426" i="4" s="1"/>
  <c r="CI426" i="4"/>
  <c r="CK426" i="4"/>
  <c r="CW426" i="4" s="1"/>
  <c r="CP426" i="4"/>
  <c r="CU426" i="4"/>
  <c r="CZ426" i="4"/>
  <c r="DA426" i="4"/>
  <c r="DB426" i="4"/>
  <c r="DC426" i="4"/>
  <c r="DD426" i="4"/>
  <c r="DE426" i="4"/>
  <c r="DF426" i="4"/>
  <c r="DG426" i="4"/>
  <c r="DH426" i="4"/>
  <c r="DI426" i="4"/>
  <c r="DW426" i="4" s="1"/>
  <c r="DJ426" i="4"/>
  <c r="DK426" i="4"/>
  <c r="DY426" i="4" s="1"/>
  <c r="DV426" i="4"/>
  <c r="BN427" i="4"/>
  <c r="BZ427" i="4" s="1"/>
  <c r="CL427" i="4" s="1"/>
  <c r="BO427" i="4"/>
  <c r="CA427" i="4" s="1"/>
  <c r="CM427" i="4" s="1"/>
  <c r="BP427" i="4"/>
  <c r="CB427" i="4" s="1"/>
  <c r="CN427" i="4" s="1"/>
  <c r="BQ427" i="4"/>
  <c r="CC427" i="4" s="1"/>
  <c r="BR427" i="4"/>
  <c r="BS427" i="4"/>
  <c r="CE427" i="4" s="1"/>
  <c r="BT427" i="4"/>
  <c r="CF427" i="4" s="1"/>
  <c r="CR427" i="4" s="1"/>
  <c r="DT427" i="4" s="1"/>
  <c r="BU427" i="4"/>
  <c r="CG427" i="4" s="1"/>
  <c r="CS427" i="4" s="1"/>
  <c r="BV427" i="4"/>
  <c r="CH427" i="4" s="1"/>
  <c r="CT427" i="4" s="1"/>
  <c r="BW427" i="4"/>
  <c r="CI427" i="4" s="1"/>
  <c r="CU427" i="4" s="1"/>
  <c r="BX427" i="4"/>
  <c r="CJ427" i="4" s="1"/>
  <c r="BY427" i="4"/>
  <c r="CD427" i="4"/>
  <c r="CP427" i="4" s="1"/>
  <c r="CK427" i="4"/>
  <c r="CW427" i="4" s="1"/>
  <c r="DY427" i="4" s="1"/>
  <c r="CO427" i="4"/>
  <c r="CQ427" i="4"/>
  <c r="CV427" i="4"/>
  <c r="CZ427" i="4"/>
  <c r="DL427" i="4" s="1"/>
  <c r="DA427" i="4"/>
  <c r="DB427" i="4"/>
  <c r="DC427" i="4"/>
  <c r="DD427" i="4"/>
  <c r="DE427" i="4"/>
  <c r="DS427" i="4" s="1"/>
  <c r="DF427" i="4"/>
  <c r="DG427" i="4"/>
  <c r="DH427" i="4"/>
  <c r="DI427" i="4"/>
  <c r="DJ427" i="4"/>
  <c r="DK427" i="4"/>
  <c r="DM427" i="4"/>
  <c r="BN428" i="4"/>
  <c r="BZ428" i="4" s="1"/>
  <c r="BO428" i="4"/>
  <c r="CA428" i="4" s="1"/>
  <c r="CM428" i="4" s="1"/>
  <c r="BP428" i="4"/>
  <c r="CB428" i="4" s="1"/>
  <c r="CN428" i="4" s="1"/>
  <c r="BQ428" i="4"/>
  <c r="BR428" i="4"/>
  <c r="BS428" i="4"/>
  <c r="CE428" i="4" s="1"/>
  <c r="CQ428" i="4" s="1"/>
  <c r="DS428" i="4" s="1"/>
  <c r="BT428" i="4"/>
  <c r="CF428" i="4" s="1"/>
  <c r="BU428" i="4"/>
  <c r="BV428" i="4"/>
  <c r="CH428" i="4" s="1"/>
  <c r="CT428" i="4" s="1"/>
  <c r="BW428" i="4"/>
  <c r="CI428" i="4" s="1"/>
  <c r="CU428" i="4" s="1"/>
  <c r="BX428" i="4"/>
  <c r="BY428" i="4"/>
  <c r="CK428" i="4" s="1"/>
  <c r="CW428" i="4" s="1"/>
  <c r="DY428" i="4" s="1"/>
  <c r="CC428" i="4"/>
  <c r="CO428" i="4" s="1"/>
  <c r="DQ428" i="4" s="1"/>
  <c r="CD428" i="4"/>
  <c r="CP428" i="4" s="1"/>
  <c r="DR428" i="4" s="1"/>
  <c r="CG428" i="4"/>
  <c r="CS428" i="4" s="1"/>
  <c r="CJ428" i="4"/>
  <c r="CV428" i="4" s="1"/>
  <c r="CL428" i="4"/>
  <c r="CR428" i="4"/>
  <c r="CZ428" i="4"/>
  <c r="DA428" i="4"/>
  <c r="DB428" i="4"/>
  <c r="DP428" i="4" s="1"/>
  <c r="DC428" i="4"/>
  <c r="DD428" i="4"/>
  <c r="DE428" i="4"/>
  <c r="DF428" i="4"/>
  <c r="DG428" i="4"/>
  <c r="DH428" i="4"/>
  <c r="DI428" i="4"/>
  <c r="DJ428" i="4"/>
  <c r="DX428" i="4" s="1"/>
  <c r="DK428" i="4"/>
  <c r="BN429" i="4"/>
  <c r="BO429" i="4"/>
  <c r="CA429" i="4" s="1"/>
  <c r="CM429" i="4" s="1"/>
  <c r="BP429" i="4"/>
  <c r="BQ429" i="4"/>
  <c r="BR429" i="4"/>
  <c r="CD429" i="4" s="1"/>
  <c r="CP429" i="4" s="1"/>
  <c r="BS429" i="4"/>
  <c r="CE429" i="4" s="1"/>
  <c r="CQ429" i="4" s="1"/>
  <c r="DS429" i="4" s="1"/>
  <c r="BT429" i="4"/>
  <c r="CF429" i="4" s="1"/>
  <c r="CR429" i="4" s="1"/>
  <c r="BU429" i="4"/>
  <c r="CG429" i="4" s="1"/>
  <c r="CS429" i="4" s="1"/>
  <c r="BV429" i="4"/>
  <c r="CH429" i="4" s="1"/>
  <c r="CT429" i="4" s="1"/>
  <c r="BW429" i="4"/>
  <c r="CI429" i="4" s="1"/>
  <c r="CU429" i="4" s="1"/>
  <c r="BX429" i="4"/>
  <c r="BY429" i="4"/>
  <c r="BZ429" i="4"/>
  <c r="CL429" i="4" s="1"/>
  <c r="CB429" i="4"/>
  <c r="CN429" i="4" s="1"/>
  <c r="CC429" i="4"/>
  <c r="CO429" i="4" s="1"/>
  <c r="CJ429" i="4"/>
  <c r="CV429" i="4" s="1"/>
  <c r="CK429" i="4"/>
  <c r="CW429" i="4" s="1"/>
  <c r="CZ429" i="4"/>
  <c r="DA429" i="4"/>
  <c r="DB429" i="4"/>
  <c r="DP429" i="4" s="1"/>
  <c r="DC429" i="4"/>
  <c r="DD429" i="4"/>
  <c r="DE429" i="4"/>
  <c r="DF429" i="4"/>
  <c r="DG429" i="4"/>
  <c r="DH429" i="4"/>
  <c r="DI429" i="4"/>
  <c r="DJ429" i="4"/>
  <c r="DK429" i="4"/>
  <c r="DY429" i="4" s="1"/>
  <c r="BN430" i="4"/>
  <c r="BO430" i="4"/>
  <c r="CA430" i="4" s="1"/>
  <c r="CM430" i="4" s="1"/>
  <c r="BP430" i="4"/>
  <c r="CB430" i="4" s="1"/>
  <c r="CN430" i="4" s="1"/>
  <c r="BQ430" i="4"/>
  <c r="CC430" i="4" s="1"/>
  <c r="CO430" i="4" s="1"/>
  <c r="BR430" i="4"/>
  <c r="CD430" i="4" s="1"/>
  <c r="CP430" i="4" s="1"/>
  <c r="BS430" i="4"/>
  <c r="CE430" i="4" s="1"/>
  <c r="CQ430" i="4" s="1"/>
  <c r="DS430" i="4" s="1"/>
  <c r="BT430" i="4"/>
  <c r="BU430" i="4"/>
  <c r="BV430" i="4"/>
  <c r="CH430" i="4" s="1"/>
  <c r="CT430" i="4" s="1"/>
  <c r="BW430" i="4"/>
  <c r="CI430" i="4" s="1"/>
  <c r="CU430" i="4" s="1"/>
  <c r="BX430" i="4"/>
  <c r="CJ430" i="4" s="1"/>
  <c r="CV430" i="4" s="1"/>
  <c r="BY430" i="4"/>
  <c r="CK430" i="4" s="1"/>
  <c r="CW430" i="4" s="1"/>
  <c r="DY430" i="4" s="1"/>
  <c r="BZ430" i="4"/>
  <c r="CL430" i="4" s="1"/>
  <c r="CF430" i="4"/>
  <c r="CR430" i="4" s="1"/>
  <c r="CG430" i="4"/>
  <c r="CS430" i="4" s="1"/>
  <c r="CZ430" i="4"/>
  <c r="DA430" i="4"/>
  <c r="DB430" i="4"/>
  <c r="DC430" i="4"/>
  <c r="DD430" i="4"/>
  <c r="DE430" i="4"/>
  <c r="DF430" i="4"/>
  <c r="DG430" i="4"/>
  <c r="DH430" i="4"/>
  <c r="DI430" i="4"/>
  <c r="DW430" i="4" s="1"/>
  <c r="DJ430" i="4"/>
  <c r="DK430" i="4"/>
  <c r="DT430" i="4"/>
  <c r="BN431" i="4"/>
  <c r="BZ431" i="4" s="1"/>
  <c r="BO431" i="4"/>
  <c r="CA431" i="4" s="1"/>
  <c r="BP431" i="4"/>
  <c r="CB431" i="4" s="1"/>
  <c r="CN431" i="4" s="1"/>
  <c r="DP431" i="4" s="1"/>
  <c r="BQ431" i="4"/>
  <c r="CC431" i="4" s="1"/>
  <c r="BR431" i="4"/>
  <c r="CD431" i="4" s="1"/>
  <c r="CP431" i="4" s="1"/>
  <c r="BS431" i="4"/>
  <c r="CE431" i="4" s="1"/>
  <c r="CQ431" i="4" s="1"/>
  <c r="BT431" i="4"/>
  <c r="BU431" i="4"/>
  <c r="CG431" i="4" s="1"/>
  <c r="CS431" i="4" s="1"/>
  <c r="BV431" i="4"/>
  <c r="CH431" i="4" s="1"/>
  <c r="BW431" i="4"/>
  <c r="CI431" i="4" s="1"/>
  <c r="CU431" i="4" s="1"/>
  <c r="BX431" i="4"/>
  <c r="CJ431" i="4" s="1"/>
  <c r="CV431" i="4" s="1"/>
  <c r="BY431" i="4"/>
  <c r="CK431" i="4" s="1"/>
  <c r="CW431" i="4" s="1"/>
  <c r="CF431" i="4"/>
  <c r="CR431" i="4" s="1"/>
  <c r="CL431" i="4"/>
  <c r="CM431" i="4"/>
  <c r="CO431" i="4"/>
  <c r="CT431" i="4"/>
  <c r="CZ431" i="4"/>
  <c r="DA431" i="4"/>
  <c r="DB431" i="4"/>
  <c r="DC431" i="4"/>
  <c r="DD431" i="4"/>
  <c r="DR431" i="4" s="1"/>
  <c r="DE431" i="4"/>
  <c r="DF431" i="4"/>
  <c r="DG431" i="4"/>
  <c r="DH431" i="4"/>
  <c r="DI431" i="4"/>
  <c r="DW431" i="4" s="1"/>
  <c r="DJ431" i="4"/>
  <c r="DK431" i="4"/>
  <c r="DL431" i="4"/>
  <c r="DQ431" i="4"/>
  <c r="BN432" i="4"/>
  <c r="BZ432" i="4" s="1"/>
  <c r="CL432" i="4" s="1"/>
  <c r="BO432" i="4"/>
  <c r="BP432" i="4"/>
  <c r="BQ432" i="4"/>
  <c r="CC432" i="4" s="1"/>
  <c r="CO432" i="4" s="1"/>
  <c r="BR432" i="4"/>
  <c r="CD432" i="4" s="1"/>
  <c r="CP432" i="4" s="1"/>
  <c r="DR432" i="4" s="1"/>
  <c r="BS432" i="4"/>
  <c r="CE432" i="4" s="1"/>
  <c r="CQ432" i="4" s="1"/>
  <c r="BT432" i="4"/>
  <c r="CF432" i="4" s="1"/>
  <c r="CR432" i="4" s="1"/>
  <c r="BU432" i="4"/>
  <c r="BV432" i="4"/>
  <c r="BW432" i="4"/>
  <c r="CI432" i="4" s="1"/>
  <c r="CU432" i="4" s="1"/>
  <c r="DW432" i="4" s="1"/>
  <c r="BX432" i="4"/>
  <c r="BY432" i="4"/>
  <c r="CK432" i="4" s="1"/>
  <c r="CW432" i="4" s="1"/>
  <c r="CA432" i="4"/>
  <c r="CM432" i="4" s="1"/>
  <c r="DO432" i="4" s="1"/>
  <c r="CB432" i="4"/>
  <c r="CN432" i="4" s="1"/>
  <c r="CG432" i="4"/>
  <c r="CH432" i="4"/>
  <c r="CJ432" i="4"/>
  <c r="CV432" i="4" s="1"/>
  <c r="CS432" i="4"/>
  <c r="CT432" i="4"/>
  <c r="CZ432" i="4"/>
  <c r="DA432" i="4"/>
  <c r="DB432" i="4"/>
  <c r="DC432" i="4"/>
  <c r="DD432" i="4"/>
  <c r="DE432" i="4"/>
  <c r="DF432" i="4"/>
  <c r="DG432" i="4"/>
  <c r="DH432" i="4"/>
  <c r="DI432" i="4"/>
  <c r="DJ432" i="4"/>
  <c r="DK432" i="4"/>
  <c r="DS432" i="4"/>
  <c r="BN433" i="4"/>
  <c r="BO433" i="4"/>
  <c r="CA433" i="4" s="1"/>
  <c r="CM433" i="4" s="1"/>
  <c r="BP433" i="4"/>
  <c r="CB433" i="4" s="1"/>
  <c r="CN433" i="4" s="1"/>
  <c r="DP433" i="4" s="1"/>
  <c r="BQ433" i="4"/>
  <c r="CC433" i="4" s="1"/>
  <c r="CO433" i="4" s="1"/>
  <c r="BR433" i="4"/>
  <c r="CD433" i="4" s="1"/>
  <c r="CP433" i="4" s="1"/>
  <c r="BS433" i="4"/>
  <c r="CE433" i="4" s="1"/>
  <c r="CQ433" i="4" s="1"/>
  <c r="BT433" i="4"/>
  <c r="BU433" i="4"/>
  <c r="BV433" i="4"/>
  <c r="BW433" i="4"/>
  <c r="CI433" i="4" s="1"/>
  <c r="CU433" i="4" s="1"/>
  <c r="BX433" i="4"/>
  <c r="BY433" i="4"/>
  <c r="CK433" i="4" s="1"/>
  <c r="CW433" i="4" s="1"/>
  <c r="BZ433" i="4"/>
  <c r="CL433" i="4" s="1"/>
  <c r="CF433" i="4"/>
  <c r="CR433" i="4" s="1"/>
  <c r="CG433" i="4"/>
  <c r="CS433" i="4" s="1"/>
  <c r="CH433" i="4"/>
  <c r="CT433" i="4" s="1"/>
  <c r="CJ433" i="4"/>
  <c r="CV433" i="4" s="1"/>
  <c r="DX433" i="4" s="1"/>
  <c r="CZ433" i="4"/>
  <c r="DA433" i="4"/>
  <c r="DO433" i="4" s="1"/>
  <c r="DB433" i="4"/>
  <c r="DC433" i="4"/>
  <c r="DD433" i="4"/>
  <c r="DE433" i="4"/>
  <c r="DF433" i="4"/>
  <c r="DT433" i="4" s="1"/>
  <c r="DG433" i="4"/>
  <c r="DH433" i="4"/>
  <c r="DI433" i="4"/>
  <c r="DW433" i="4" s="1"/>
  <c r="DJ433" i="4"/>
  <c r="DK433" i="4"/>
  <c r="DN433" i="4"/>
  <c r="DV433" i="4"/>
  <c r="BN434" i="4"/>
  <c r="BO434" i="4"/>
  <c r="CA434" i="4" s="1"/>
  <c r="CM434" i="4" s="1"/>
  <c r="BP434" i="4"/>
  <c r="CB434" i="4" s="1"/>
  <c r="CN434" i="4" s="1"/>
  <c r="BQ434" i="4"/>
  <c r="CC434" i="4" s="1"/>
  <c r="CO434" i="4" s="1"/>
  <c r="BR434" i="4"/>
  <c r="CD434" i="4" s="1"/>
  <c r="CP434" i="4" s="1"/>
  <c r="DR434" i="4" s="1"/>
  <c r="BS434" i="4"/>
  <c r="BT434" i="4"/>
  <c r="BU434" i="4"/>
  <c r="CG434" i="4" s="1"/>
  <c r="CS434" i="4" s="1"/>
  <c r="DU434" i="4" s="1"/>
  <c r="BV434" i="4"/>
  <c r="BW434" i="4"/>
  <c r="CI434" i="4" s="1"/>
  <c r="CU434" i="4" s="1"/>
  <c r="BX434" i="4"/>
  <c r="CJ434" i="4" s="1"/>
  <c r="CV434" i="4" s="1"/>
  <c r="BY434" i="4"/>
  <c r="CK434" i="4" s="1"/>
  <c r="BZ434" i="4"/>
  <c r="CL434" i="4" s="1"/>
  <c r="CE434" i="4"/>
  <c r="CQ434" i="4" s="1"/>
  <c r="CF434" i="4"/>
  <c r="CR434" i="4" s="1"/>
  <c r="CH434" i="4"/>
  <c r="CT434" i="4" s="1"/>
  <c r="CW434" i="4"/>
  <c r="CZ434" i="4"/>
  <c r="DA434" i="4"/>
  <c r="DB434" i="4"/>
  <c r="DC434" i="4"/>
  <c r="DQ434" i="4" s="1"/>
  <c r="DD434" i="4"/>
  <c r="DE434" i="4"/>
  <c r="DF434" i="4"/>
  <c r="DG434" i="4"/>
  <c r="DH434" i="4"/>
  <c r="DI434" i="4"/>
  <c r="DJ434" i="4"/>
  <c r="DK434" i="4"/>
  <c r="DY434" i="4" s="1"/>
  <c r="BN435" i="4"/>
  <c r="BZ435" i="4" s="1"/>
  <c r="BO435" i="4"/>
  <c r="BP435" i="4"/>
  <c r="CB435" i="4" s="1"/>
  <c r="CN435" i="4" s="1"/>
  <c r="BQ435" i="4"/>
  <c r="CC435" i="4" s="1"/>
  <c r="CO435" i="4" s="1"/>
  <c r="DQ435" i="4" s="1"/>
  <c r="BR435" i="4"/>
  <c r="CD435" i="4" s="1"/>
  <c r="CP435" i="4" s="1"/>
  <c r="DR435" i="4" s="1"/>
  <c r="BS435" i="4"/>
  <c r="BT435" i="4"/>
  <c r="CF435" i="4" s="1"/>
  <c r="BU435" i="4"/>
  <c r="CG435" i="4" s="1"/>
  <c r="CS435" i="4" s="1"/>
  <c r="DU435" i="4" s="1"/>
  <c r="BV435" i="4"/>
  <c r="CH435" i="4" s="1"/>
  <c r="CT435" i="4" s="1"/>
  <c r="BW435" i="4"/>
  <c r="BX435" i="4"/>
  <c r="CJ435" i="4" s="1"/>
  <c r="CV435" i="4" s="1"/>
  <c r="BY435" i="4"/>
  <c r="CK435" i="4" s="1"/>
  <c r="CW435" i="4" s="1"/>
  <c r="DY435" i="4" s="1"/>
  <c r="CA435" i="4"/>
  <c r="CM435" i="4" s="1"/>
  <c r="CE435" i="4"/>
  <c r="CI435" i="4"/>
  <c r="CU435" i="4" s="1"/>
  <c r="CL435" i="4"/>
  <c r="CQ435" i="4"/>
  <c r="DS435" i="4" s="1"/>
  <c r="CR435" i="4"/>
  <c r="CZ435" i="4"/>
  <c r="DA435" i="4"/>
  <c r="DB435" i="4"/>
  <c r="DC435" i="4"/>
  <c r="DD435" i="4"/>
  <c r="DE435" i="4"/>
  <c r="DF435" i="4"/>
  <c r="DG435" i="4"/>
  <c r="DH435" i="4"/>
  <c r="DI435" i="4"/>
  <c r="DW435" i="4" s="1"/>
  <c r="DJ435" i="4"/>
  <c r="DK435" i="4"/>
  <c r="BN436" i="4"/>
  <c r="BZ436" i="4" s="1"/>
  <c r="BO436" i="4"/>
  <c r="BP436" i="4"/>
  <c r="CB436" i="4" s="1"/>
  <c r="CN436" i="4" s="1"/>
  <c r="BQ436" i="4"/>
  <c r="BR436" i="4"/>
  <c r="CD436" i="4" s="1"/>
  <c r="CP436" i="4" s="1"/>
  <c r="DR436" i="4" s="1"/>
  <c r="BS436" i="4"/>
  <c r="CE436" i="4" s="1"/>
  <c r="BT436" i="4"/>
  <c r="CF436" i="4" s="1"/>
  <c r="CR436" i="4" s="1"/>
  <c r="BU436" i="4"/>
  <c r="CG436" i="4" s="1"/>
  <c r="CS436" i="4" s="1"/>
  <c r="BV436" i="4"/>
  <c r="CH436" i="4" s="1"/>
  <c r="CT436" i="4" s="1"/>
  <c r="BW436" i="4"/>
  <c r="BX436" i="4"/>
  <c r="BY436" i="4"/>
  <c r="CK436" i="4" s="1"/>
  <c r="CW436" i="4" s="1"/>
  <c r="CA436" i="4"/>
  <c r="CC436" i="4"/>
  <c r="CO436" i="4" s="1"/>
  <c r="CI436" i="4"/>
  <c r="CJ436" i="4"/>
  <c r="CV436" i="4" s="1"/>
  <c r="CL436" i="4"/>
  <c r="CM436" i="4"/>
  <c r="CQ436" i="4"/>
  <c r="CU436" i="4"/>
  <c r="CZ436" i="4"/>
  <c r="DA436" i="4"/>
  <c r="DB436" i="4"/>
  <c r="DC436" i="4"/>
  <c r="DD436" i="4"/>
  <c r="DE436" i="4"/>
  <c r="DF436" i="4"/>
  <c r="DG436" i="4"/>
  <c r="DH436" i="4"/>
  <c r="DI436" i="4"/>
  <c r="DJ436" i="4"/>
  <c r="DK436" i="4"/>
  <c r="DW436" i="4"/>
  <c r="BN437" i="4"/>
  <c r="BO437" i="4"/>
  <c r="CA437" i="4" s="1"/>
  <c r="CM437" i="4" s="1"/>
  <c r="BP437" i="4"/>
  <c r="CB437" i="4" s="1"/>
  <c r="CN437" i="4" s="1"/>
  <c r="BQ437" i="4"/>
  <c r="CC437" i="4" s="1"/>
  <c r="CO437" i="4" s="1"/>
  <c r="BR437" i="4"/>
  <c r="CD437" i="4" s="1"/>
  <c r="BS437" i="4"/>
  <c r="CE437" i="4" s="1"/>
  <c r="CQ437" i="4" s="1"/>
  <c r="BT437" i="4"/>
  <c r="CF437" i="4" s="1"/>
  <c r="CR437" i="4" s="1"/>
  <c r="DT437" i="4" s="1"/>
  <c r="BU437" i="4"/>
  <c r="CG437" i="4" s="1"/>
  <c r="CS437" i="4" s="1"/>
  <c r="BV437" i="4"/>
  <c r="BW437" i="4"/>
  <c r="CI437" i="4" s="1"/>
  <c r="CU437" i="4" s="1"/>
  <c r="BX437" i="4"/>
  <c r="CJ437" i="4" s="1"/>
  <c r="CV437" i="4" s="1"/>
  <c r="BY437" i="4"/>
  <c r="CK437" i="4" s="1"/>
  <c r="CW437" i="4" s="1"/>
  <c r="DY437" i="4" s="1"/>
  <c r="BZ437" i="4"/>
  <c r="CL437" i="4" s="1"/>
  <c r="CH437" i="4"/>
  <c r="CT437" i="4" s="1"/>
  <c r="CP437" i="4"/>
  <c r="CZ437" i="4"/>
  <c r="DA437" i="4"/>
  <c r="DO437" i="4" s="1"/>
  <c r="DB437" i="4"/>
  <c r="DC437" i="4"/>
  <c r="DD437" i="4"/>
  <c r="DE437" i="4"/>
  <c r="DF437" i="4"/>
  <c r="DG437" i="4"/>
  <c r="DH437" i="4"/>
  <c r="DI437" i="4"/>
  <c r="DJ437" i="4"/>
  <c r="DX437" i="4" s="1"/>
  <c r="DK437" i="4"/>
  <c r="DP437" i="4"/>
  <c r="BN438" i="4"/>
  <c r="BZ438" i="4" s="1"/>
  <c r="BO438" i="4"/>
  <c r="CA438" i="4" s="1"/>
  <c r="CM438" i="4" s="1"/>
  <c r="BP438" i="4"/>
  <c r="CB438" i="4" s="1"/>
  <c r="CN438" i="4" s="1"/>
  <c r="BQ438" i="4"/>
  <c r="CC438" i="4" s="1"/>
  <c r="CO438" i="4" s="1"/>
  <c r="BR438" i="4"/>
  <c r="CD438" i="4" s="1"/>
  <c r="CP438" i="4" s="1"/>
  <c r="BS438" i="4"/>
  <c r="BT438" i="4"/>
  <c r="BU438" i="4"/>
  <c r="BV438" i="4"/>
  <c r="CH438" i="4" s="1"/>
  <c r="CT438" i="4" s="1"/>
  <c r="BW438" i="4"/>
  <c r="CI438" i="4" s="1"/>
  <c r="CU438" i="4" s="1"/>
  <c r="BX438" i="4"/>
  <c r="CJ438" i="4" s="1"/>
  <c r="CV438" i="4" s="1"/>
  <c r="BY438" i="4"/>
  <c r="CK438" i="4" s="1"/>
  <c r="CW438" i="4" s="1"/>
  <c r="CE438" i="4"/>
  <c r="CQ438" i="4" s="1"/>
  <c r="CF438" i="4"/>
  <c r="CR438" i="4" s="1"/>
  <c r="CG438" i="4"/>
  <c r="CL438" i="4"/>
  <c r="CS438" i="4"/>
  <c r="CZ438" i="4"/>
  <c r="DA438" i="4"/>
  <c r="DB438" i="4"/>
  <c r="DC438" i="4"/>
  <c r="DD438" i="4"/>
  <c r="DE438" i="4"/>
  <c r="DM438" i="4" s="1"/>
  <c r="DF438" i="4"/>
  <c r="DG438" i="4"/>
  <c r="DH438" i="4"/>
  <c r="DI438" i="4"/>
  <c r="DJ438" i="4"/>
  <c r="DK438" i="4"/>
  <c r="DW438" i="4"/>
  <c r="BN439" i="4"/>
  <c r="BZ439" i="4" s="1"/>
  <c r="CL439" i="4" s="1"/>
  <c r="BO439" i="4"/>
  <c r="CA439" i="4" s="1"/>
  <c r="CM439" i="4" s="1"/>
  <c r="BP439" i="4"/>
  <c r="CB439" i="4" s="1"/>
  <c r="CN439" i="4" s="1"/>
  <c r="BQ439" i="4"/>
  <c r="CC439" i="4" s="1"/>
  <c r="BR439" i="4"/>
  <c r="CD439" i="4" s="1"/>
  <c r="CP439" i="4" s="1"/>
  <c r="DR439" i="4" s="1"/>
  <c r="BS439" i="4"/>
  <c r="BT439" i="4"/>
  <c r="BU439" i="4"/>
  <c r="CG439" i="4" s="1"/>
  <c r="CS439" i="4" s="1"/>
  <c r="BV439" i="4"/>
  <c r="CH439" i="4" s="1"/>
  <c r="CT439" i="4" s="1"/>
  <c r="BW439" i="4"/>
  <c r="CI439" i="4" s="1"/>
  <c r="CU439" i="4" s="1"/>
  <c r="BX439" i="4"/>
  <c r="CJ439" i="4" s="1"/>
  <c r="CV439" i="4" s="1"/>
  <c r="DX439" i="4" s="1"/>
  <c r="BY439" i="4"/>
  <c r="CK439" i="4" s="1"/>
  <c r="CE439" i="4"/>
  <c r="CQ439" i="4" s="1"/>
  <c r="DS439" i="4" s="1"/>
  <c r="CF439" i="4"/>
  <c r="CR439" i="4" s="1"/>
  <c r="DT439" i="4" s="1"/>
  <c r="CO439" i="4"/>
  <c r="CW439" i="4"/>
  <c r="CZ439" i="4"/>
  <c r="DA439" i="4"/>
  <c r="DB439" i="4"/>
  <c r="DC439" i="4"/>
  <c r="DQ439" i="4" s="1"/>
  <c r="DD439" i="4"/>
  <c r="DE439" i="4"/>
  <c r="DF439" i="4"/>
  <c r="DG439" i="4"/>
  <c r="DH439" i="4"/>
  <c r="DI439" i="4"/>
  <c r="DJ439" i="4"/>
  <c r="DK439" i="4"/>
  <c r="BN440" i="4"/>
  <c r="BZ440" i="4" s="1"/>
  <c r="CL440" i="4" s="1"/>
  <c r="BO440" i="4"/>
  <c r="BP440" i="4"/>
  <c r="BQ440" i="4"/>
  <c r="CC440" i="4" s="1"/>
  <c r="CO440" i="4" s="1"/>
  <c r="DQ440" i="4" s="1"/>
  <c r="BR440" i="4"/>
  <c r="CD440" i="4" s="1"/>
  <c r="CP440" i="4" s="1"/>
  <c r="DR440" i="4" s="1"/>
  <c r="BS440" i="4"/>
  <c r="CE440" i="4" s="1"/>
  <c r="CQ440" i="4" s="1"/>
  <c r="BT440" i="4"/>
  <c r="CF440" i="4" s="1"/>
  <c r="CR440" i="4" s="1"/>
  <c r="BU440" i="4"/>
  <c r="CG440" i="4" s="1"/>
  <c r="BV440" i="4"/>
  <c r="CH440" i="4" s="1"/>
  <c r="CT440" i="4" s="1"/>
  <c r="BW440" i="4"/>
  <c r="CI440" i="4" s="1"/>
  <c r="BX440" i="4"/>
  <c r="BY440" i="4"/>
  <c r="CK440" i="4" s="1"/>
  <c r="CW440" i="4" s="1"/>
  <c r="DY440" i="4" s="1"/>
  <c r="CA440" i="4"/>
  <c r="CM440" i="4" s="1"/>
  <c r="CB440" i="4"/>
  <c r="CN440" i="4" s="1"/>
  <c r="CJ440" i="4"/>
  <c r="CV440" i="4" s="1"/>
  <c r="CS440" i="4"/>
  <c r="CU440" i="4"/>
  <c r="CZ440" i="4"/>
  <c r="DA440" i="4"/>
  <c r="DB440" i="4"/>
  <c r="DC440" i="4"/>
  <c r="DD440" i="4"/>
  <c r="DE440" i="4"/>
  <c r="DF440" i="4"/>
  <c r="DG440" i="4"/>
  <c r="DH440" i="4"/>
  <c r="DI440" i="4"/>
  <c r="DJ440" i="4"/>
  <c r="DK440" i="4"/>
  <c r="BN441" i="4"/>
  <c r="BZ441" i="4" s="1"/>
  <c r="CL441" i="4" s="1"/>
  <c r="BO441" i="4"/>
  <c r="BP441" i="4"/>
  <c r="CB441" i="4" s="1"/>
  <c r="CN441" i="4" s="1"/>
  <c r="BQ441" i="4"/>
  <c r="CC441" i="4" s="1"/>
  <c r="CO441" i="4" s="1"/>
  <c r="BR441" i="4"/>
  <c r="CD441" i="4" s="1"/>
  <c r="BS441" i="4"/>
  <c r="CE441" i="4" s="1"/>
  <c r="CQ441" i="4" s="1"/>
  <c r="BT441" i="4"/>
  <c r="CF441" i="4" s="1"/>
  <c r="CR441" i="4" s="1"/>
  <c r="BU441" i="4"/>
  <c r="CG441" i="4" s="1"/>
  <c r="CS441" i="4" s="1"/>
  <c r="BV441" i="4"/>
  <c r="BW441" i="4"/>
  <c r="BX441" i="4"/>
  <c r="CJ441" i="4" s="1"/>
  <c r="CV441" i="4" s="1"/>
  <c r="BY441" i="4"/>
  <c r="CK441" i="4" s="1"/>
  <c r="CW441" i="4" s="1"/>
  <c r="DY441" i="4" s="1"/>
  <c r="CA441" i="4"/>
  <c r="CM441" i="4" s="1"/>
  <c r="CH441" i="4"/>
  <c r="CT441" i="4" s="1"/>
  <c r="DV441" i="4" s="1"/>
  <c r="CI441" i="4"/>
  <c r="CU441" i="4" s="1"/>
  <c r="CP441" i="4"/>
  <c r="CZ441" i="4"/>
  <c r="DA441" i="4"/>
  <c r="DB441" i="4"/>
  <c r="DC441" i="4"/>
  <c r="DD441" i="4"/>
  <c r="DR441" i="4" s="1"/>
  <c r="DE441" i="4"/>
  <c r="DF441" i="4"/>
  <c r="DG441" i="4"/>
  <c r="DH441" i="4"/>
  <c r="DI441" i="4"/>
  <c r="DW441" i="4" s="1"/>
  <c r="DJ441" i="4"/>
  <c r="DK441" i="4"/>
  <c r="BN442" i="4"/>
  <c r="BZ442" i="4" s="1"/>
  <c r="CL442" i="4" s="1"/>
  <c r="DN442" i="4" s="1"/>
  <c r="BO442" i="4"/>
  <c r="BP442" i="4"/>
  <c r="CB442" i="4" s="1"/>
  <c r="CN442" i="4" s="1"/>
  <c r="BQ442" i="4"/>
  <c r="CC442" i="4" s="1"/>
  <c r="CO442" i="4" s="1"/>
  <c r="BR442" i="4"/>
  <c r="BS442" i="4"/>
  <c r="CE442" i="4" s="1"/>
  <c r="BT442" i="4"/>
  <c r="BU442" i="4"/>
  <c r="BV442" i="4"/>
  <c r="BW442" i="4"/>
  <c r="CI442" i="4" s="1"/>
  <c r="BX442" i="4"/>
  <c r="CJ442" i="4" s="1"/>
  <c r="CV442" i="4" s="1"/>
  <c r="BY442" i="4"/>
  <c r="CK442" i="4" s="1"/>
  <c r="CW442" i="4" s="1"/>
  <c r="CA442" i="4"/>
  <c r="CM442" i="4" s="1"/>
  <c r="CD442" i="4"/>
  <c r="CP442" i="4" s="1"/>
  <c r="CF442" i="4"/>
  <c r="CR442" i="4" s="1"/>
  <c r="DT442" i="4" s="1"/>
  <c r="CG442" i="4"/>
  <c r="CS442" i="4" s="1"/>
  <c r="CH442" i="4"/>
  <c r="CT442" i="4" s="1"/>
  <c r="DV442" i="4" s="1"/>
  <c r="CQ442" i="4"/>
  <c r="DS442" i="4" s="1"/>
  <c r="CU442" i="4"/>
  <c r="DW442" i="4" s="1"/>
  <c r="CZ442" i="4"/>
  <c r="DA442" i="4"/>
  <c r="DB442" i="4"/>
  <c r="DC442" i="4"/>
  <c r="DD442" i="4"/>
  <c r="DR442" i="4" s="1"/>
  <c r="DE442" i="4"/>
  <c r="DF442" i="4"/>
  <c r="DG442" i="4"/>
  <c r="DU442" i="4" s="1"/>
  <c r="DH442" i="4"/>
  <c r="DI442" i="4"/>
  <c r="DJ442" i="4"/>
  <c r="DK442" i="4"/>
  <c r="DO442" i="4"/>
  <c r="BN443" i="4"/>
  <c r="BZ443" i="4" s="1"/>
  <c r="CL443" i="4" s="1"/>
  <c r="BO443" i="4"/>
  <c r="CA443" i="4" s="1"/>
  <c r="CM443" i="4" s="1"/>
  <c r="DO443" i="4" s="1"/>
  <c r="BP443" i="4"/>
  <c r="CB443" i="4" s="1"/>
  <c r="CN443" i="4" s="1"/>
  <c r="DP443" i="4" s="1"/>
  <c r="BQ443" i="4"/>
  <c r="BR443" i="4"/>
  <c r="BS443" i="4"/>
  <c r="CE443" i="4" s="1"/>
  <c r="CQ443" i="4" s="1"/>
  <c r="BT443" i="4"/>
  <c r="CF443" i="4" s="1"/>
  <c r="CR443" i="4" s="1"/>
  <c r="DT443" i="4" s="1"/>
  <c r="BU443" i="4"/>
  <c r="BV443" i="4"/>
  <c r="CH443" i="4" s="1"/>
  <c r="CT443" i="4" s="1"/>
  <c r="BW443" i="4"/>
  <c r="CI443" i="4" s="1"/>
  <c r="CU443" i="4" s="1"/>
  <c r="BX443" i="4"/>
  <c r="CJ443" i="4" s="1"/>
  <c r="CV443" i="4" s="1"/>
  <c r="BY443" i="4"/>
  <c r="CC443" i="4"/>
  <c r="CO443" i="4" s="1"/>
  <c r="CD443" i="4"/>
  <c r="CP443" i="4" s="1"/>
  <c r="CG443" i="4"/>
  <c r="CS443" i="4" s="1"/>
  <c r="CK443" i="4"/>
  <c r="CW443" i="4" s="1"/>
  <c r="CZ443" i="4"/>
  <c r="DA443" i="4"/>
  <c r="DB443" i="4"/>
  <c r="DC443" i="4"/>
  <c r="DD443" i="4"/>
  <c r="DE443" i="4"/>
  <c r="DF443" i="4"/>
  <c r="DG443" i="4"/>
  <c r="DH443" i="4"/>
  <c r="DI443" i="4"/>
  <c r="DJ443" i="4"/>
  <c r="DK443" i="4"/>
  <c r="DU443" i="4"/>
  <c r="BN444" i="4"/>
  <c r="BZ444" i="4" s="1"/>
  <c r="CL444" i="4" s="1"/>
  <c r="DN444" i="4" s="1"/>
  <c r="BO444" i="4"/>
  <c r="CA444" i="4" s="1"/>
  <c r="CM444" i="4" s="1"/>
  <c r="BP444" i="4"/>
  <c r="BQ444" i="4"/>
  <c r="CC444" i="4" s="1"/>
  <c r="CO444" i="4" s="1"/>
  <c r="BR444" i="4"/>
  <c r="CD444" i="4" s="1"/>
  <c r="BS444" i="4"/>
  <c r="CE444" i="4" s="1"/>
  <c r="CQ444" i="4" s="1"/>
  <c r="DS444" i="4" s="1"/>
  <c r="BT444" i="4"/>
  <c r="CF444" i="4" s="1"/>
  <c r="BU444" i="4"/>
  <c r="BV444" i="4"/>
  <c r="CH444" i="4" s="1"/>
  <c r="CT444" i="4" s="1"/>
  <c r="DV444" i="4" s="1"/>
  <c r="BW444" i="4"/>
  <c r="CI444" i="4" s="1"/>
  <c r="CU444" i="4" s="1"/>
  <c r="BX444" i="4"/>
  <c r="BY444" i="4"/>
  <c r="CK444" i="4" s="1"/>
  <c r="CB444" i="4"/>
  <c r="CN444" i="4" s="1"/>
  <c r="CG444" i="4"/>
  <c r="CS444" i="4" s="1"/>
  <c r="CJ444" i="4"/>
  <c r="CV444" i="4" s="1"/>
  <c r="CP444" i="4"/>
  <c r="DR444" i="4" s="1"/>
  <c r="CR444" i="4"/>
  <c r="CW444" i="4"/>
  <c r="CZ444" i="4"/>
  <c r="DA444" i="4"/>
  <c r="DB444" i="4"/>
  <c r="DP444" i="4" s="1"/>
  <c r="DC444" i="4"/>
  <c r="DD444" i="4"/>
  <c r="DE444" i="4"/>
  <c r="DF444" i="4"/>
  <c r="DG444" i="4"/>
  <c r="DH444" i="4"/>
  <c r="DI444" i="4"/>
  <c r="DJ444" i="4"/>
  <c r="DK444" i="4"/>
  <c r="DY444" i="4"/>
  <c r="BN445" i="4"/>
  <c r="BZ445" i="4" s="1"/>
  <c r="CL445" i="4" s="1"/>
  <c r="BO445" i="4"/>
  <c r="BP445" i="4"/>
  <c r="CB445" i="4" s="1"/>
  <c r="CN445" i="4" s="1"/>
  <c r="BQ445" i="4"/>
  <c r="CC445" i="4" s="1"/>
  <c r="CO445" i="4" s="1"/>
  <c r="BR445" i="4"/>
  <c r="CD445" i="4" s="1"/>
  <c r="CP445" i="4" s="1"/>
  <c r="BS445" i="4"/>
  <c r="CE445" i="4" s="1"/>
  <c r="CQ445" i="4" s="1"/>
  <c r="BT445" i="4"/>
  <c r="BU445" i="4"/>
  <c r="CG445" i="4" s="1"/>
  <c r="CS445" i="4" s="1"/>
  <c r="BV445" i="4"/>
  <c r="BW445" i="4"/>
  <c r="BX445" i="4"/>
  <c r="CJ445" i="4" s="1"/>
  <c r="CV445" i="4" s="1"/>
  <c r="DX445" i="4" s="1"/>
  <c r="BY445" i="4"/>
  <c r="CK445" i="4" s="1"/>
  <c r="CA445" i="4"/>
  <c r="CM445" i="4" s="1"/>
  <c r="CF445" i="4"/>
  <c r="CR445" i="4" s="1"/>
  <c r="CH445" i="4"/>
  <c r="CT445" i="4" s="1"/>
  <c r="DV445" i="4" s="1"/>
  <c r="CI445" i="4"/>
  <c r="CU445" i="4" s="1"/>
  <c r="CW445" i="4"/>
  <c r="DY445" i="4" s="1"/>
  <c r="CZ445" i="4"/>
  <c r="DA445" i="4"/>
  <c r="DB445" i="4"/>
  <c r="DC445" i="4"/>
  <c r="DD445" i="4"/>
  <c r="DR445" i="4" s="1"/>
  <c r="DE445" i="4"/>
  <c r="DF445" i="4"/>
  <c r="DG445" i="4"/>
  <c r="DH445" i="4"/>
  <c r="DI445" i="4"/>
  <c r="DJ445" i="4"/>
  <c r="DK445" i="4"/>
  <c r="BN446" i="4"/>
  <c r="BZ446" i="4" s="1"/>
  <c r="CL446" i="4" s="1"/>
  <c r="BO446" i="4"/>
  <c r="BP446" i="4"/>
  <c r="CB446" i="4" s="1"/>
  <c r="BQ446" i="4"/>
  <c r="CC446" i="4" s="1"/>
  <c r="CO446" i="4" s="1"/>
  <c r="DQ446" i="4" s="1"/>
  <c r="BR446" i="4"/>
  <c r="CD446" i="4" s="1"/>
  <c r="CP446" i="4" s="1"/>
  <c r="BS446" i="4"/>
  <c r="CE446" i="4" s="1"/>
  <c r="CQ446" i="4" s="1"/>
  <c r="BT446" i="4"/>
  <c r="BU446" i="4"/>
  <c r="CG446" i="4" s="1"/>
  <c r="CS446" i="4" s="1"/>
  <c r="DU446" i="4" s="1"/>
  <c r="BV446" i="4"/>
  <c r="CH446" i="4" s="1"/>
  <c r="CT446" i="4" s="1"/>
  <c r="BW446" i="4"/>
  <c r="BX446" i="4"/>
  <c r="CJ446" i="4" s="1"/>
  <c r="CV446" i="4" s="1"/>
  <c r="BY446" i="4"/>
  <c r="CK446" i="4" s="1"/>
  <c r="CW446" i="4" s="1"/>
  <c r="DY446" i="4" s="1"/>
  <c r="CA446" i="4"/>
  <c r="CM446" i="4" s="1"/>
  <c r="DO446" i="4" s="1"/>
  <c r="CF446" i="4"/>
  <c r="CR446" i="4" s="1"/>
  <c r="CI446" i="4"/>
  <c r="CN446" i="4"/>
  <c r="CU446" i="4"/>
  <c r="CZ446" i="4"/>
  <c r="DA446" i="4"/>
  <c r="DB446" i="4"/>
  <c r="DC446" i="4"/>
  <c r="DD446" i="4"/>
  <c r="DE446" i="4"/>
  <c r="DF446" i="4"/>
  <c r="DT446" i="4" s="1"/>
  <c r="DG446" i="4"/>
  <c r="DH446" i="4"/>
  <c r="DI446" i="4"/>
  <c r="DJ446" i="4"/>
  <c r="DK446" i="4"/>
  <c r="BN447" i="4"/>
  <c r="BZ447" i="4" s="1"/>
  <c r="CL447" i="4" s="1"/>
  <c r="BO447" i="4"/>
  <c r="CA447" i="4" s="1"/>
  <c r="CM447" i="4" s="1"/>
  <c r="BP447" i="4"/>
  <c r="CB447" i="4" s="1"/>
  <c r="CN447" i="4" s="1"/>
  <c r="DP447" i="4" s="1"/>
  <c r="BQ447" i="4"/>
  <c r="CC447" i="4" s="1"/>
  <c r="CO447" i="4" s="1"/>
  <c r="BR447" i="4"/>
  <c r="BS447" i="4"/>
  <c r="CE447" i="4" s="1"/>
  <c r="CQ447" i="4" s="1"/>
  <c r="BT447" i="4"/>
  <c r="CF447" i="4" s="1"/>
  <c r="BU447" i="4"/>
  <c r="CG447" i="4" s="1"/>
  <c r="CS447" i="4" s="1"/>
  <c r="BV447" i="4"/>
  <c r="CH447" i="4" s="1"/>
  <c r="BW447" i="4"/>
  <c r="BX447" i="4"/>
  <c r="CJ447" i="4" s="1"/>
  <c r="CV447" i="4" s="1"/>
  <c r="DX447" i="4" s="1"/>
  <c r="BY447" i="4"/>
  <c r="CD447" i="4"/>
  <c r="CP447" i="4" s="1"/>
  <c r="DR447" i="4" s="1"/>
  <c r="CI447" i="4"/>
  <c r="CK447" i="4"/>
  <c r="CW447" i="4" s="1"/>
  <c r="CR447" i="4"/>
  <c r="CT447" i="4"/>
  <c r="CU447" i="4"/>
  <c r="CZ447" i="4"/>
  <c r="DA447" i="4"/>
  <c r="DB447" i="4"/>
  <c r="DC447" i="4"/>
  <c r="DD447" i="4"/>
  <c r="DE447" i="4"/>
  <c r="DF447" i="4"/>
  <c r="DG447" i="4"/>
  <c r="DU447" i="4" s="1"/>
  <c r="DH447" i="4"/>
  <c r="DI447" i="4"/>
  <c r="DJ447" i="4"/>
  <c r="DK447" i="4"/>
  <c r="DY447" i="4" s="1"/>
  <c r="BN448" i="4"/>
  <c r="BZ448" i="4" s="1"/>
  <c r="CL448" i="4" s="1"/>
  <c r="BO448" i="4"/>
  <c r="CA448" i="4" s="1"/>
  <c r="CM448" i="4" s="1"/>
  <c r="BP448" i="4"/>
  <c r="BQ448" i="4"/>
  <c r="BR448" i="4"/>
  <c r="CD448" i="4" s="1"/>
  <c r="CP448" i="4" s="1"/>
  <c r="DR448" i="4" s="1"/>
  <c r="BS448" i="4"/>
  <c r="CE448" i="4" s="1"/>
  <c r="CQ448" i="4" s="1"/>
  <c r="BT448" i="4"/>
  <c r="CF448" i="4" s="1"/>
  <c r="CR448" i="4" s="1"/>
  <c r="BU448" i="4"/>
  <c r="CG448" i="4" s="1"/>
  <c r="CS448" i="4" s="1"/>
  <c r="BV448" i="4"/>
  <c r="CH448" i="4" s="1"/>
  <c r="CT448" i="4" s="1"/>
  <c r="BW448" i="4"/>
  <c r="CI448" i="4" s="1"/>
  <c r="CU448" i="4" s="1"/>
  <c r="BX448" i="4"/>
  <c r="BY448" i="4"/>
  <c r="CB448" i="4"/>
  <c r="CN448" i="4" s="1"/>
  <c r="DP448" i="4" s="1"/>
  <c r="CC448" i="4"/>
  <c r="CJ448" i="4"/>
  <c r="CV448" i="4" s="1"/>
  <c r="DX448" i="4" s="1"/>
  <c r="CK448" i="4"/>
  <c r="CW448" i="4" s="1"/>
  <c r="CO448" i="4"/>
  <c r="CZ448" i="4"/>
  <c r="DA448" i="4"/>
  <c r="DB448" i="4"/>
  <c r="DC448" i="4"/>
  <c r="DD448" i="4"/>
  <c r="DE448" i="4"/>
  <c r="DF448" i="4"/>
  <c r="DG448" i="4"/>
  <c r="DH448" i="4"/>
  <c r="DI448" i="4"/>
  <c r="DJ448" i="4"/>
  <c r="DK448" i="4"/>
  <c r="BN449" i="4"/>
  <c r="BO449" i="4"/>
  <c r="CA449" i="4" s="1"/>
  <c r="CM449" i="4" s="1"/>
  <c r="BP449" i="4"/>
  <c r="CB449" i="4" s="1"/>
  <c r="CN449" i="4" s="1"/>
  <c r="BQ449" i="4"/>
  <c r="CC449" i="4" s="1"/>
  <c r="CO449" i="4" s="1"/>
  <c r="BR449" i="4"/>
  <c r="CD449" i="4" s="1"/>
  <c r="CP449" i="4" s="1"/>
  <c r="BS449" i="4"/>
  <c r="CE449" i="4" s="1"/>
  <c r="CQ449" i="4" s="1"/>
  <c r="BT449" i="4"/>
  <c r="BU449" i="4"/>
  <c r="CG449" i="4" s="1"/>
  <c r="BV449" i="4"/>
  <c r="CH449" i="4" s="1"/>
  <c r="CT449" i="4" s="1"/>
  <c r="BW449" i="4"/>
  <c r="BX449" i="4"/>
  <c r="CJ449" i="4" s="1"/>
  <c r="CV449" i="4" s="1"/>
  <c r="BY449" i="4"/>
  <c r="CK449" i="4" s="1"/>
  <c r="CW449" i="4" s="1"/>
  <c r="BZ449" i="4"/>
  <c r="CL449" i="4" s="1"/>
  <c r="DN449" i="4" s="1"/>
  <c r="CF449" i="4"/>
  <c r="CR449" i="4" s="1"/>
  <c r="CI449" i="4"/>
  <c r="CU449" i="4" s="1"/>
  <c r="CS449" i="4"/>
  <c r="CZ449" i="4"/>
  <c r="DA449" i="4"/>
  <c r="DB449" i="4"/>
  <c r="DC449" i="4"/>
  <c r="DQ449" i="4" s="1"/>
  <c r="DD449" i="4"/>
  <c r="DE449" i="4"/>
  <c r="DF449" i="4"/>
  <c r="DG449" i="4"/>
  <c r="DH449" i="4"/>
  <c r="DI449" i="4"/>
  <c r="DW449" i="4" s="1"/>
  <c r="DJ449" i="4"/>
  <c r="DK449" i="4"/>
  <c r="BN450" i="4"/>
  <c r="BO450" i="4"/>
  <c r="CA450" i="4" s="1"/>
  <c r="CM450" i="4" s="1"/>
  <c r="BP450" i="4"/>
  <c r="CB450" i="4" s="1"/>
  <c r="BQ450" i="4"/>
  <c r="CC450" i="4" s="1"/>
  <c r="CO450" i="4" s="1"/>
  <c r="BR450" i="4"/>
  <c r="CD450" i="4" s="1"/>
  <c r="CP450" i="4" s="1"/>
  <c r="BS450" i="4"/>
  <c r="CE450" i="4" s="1"/>
  <c r="CQ450" i="4" s="1"/>
  <c r="BT450" i="4"/>
  <c r="BU450" i="4"/>
  <c r="CG450" i="4" s="1"/>
  <c r="BV450" i="4"/>
  <c r="CH450" i="4" s="1"/>
  <c r="CT450" i="4" s="1"/>
  <c r="BW450" i="4"/>
  <c r="CI450" i="4" s="1"/>
  <c r="CU450" i="4" s="1"/>
  <c r="BX450" i="4"/>
  <c r="CJ450" i="4" s="1"/>
  <c r="CV450" i="4" s="1"/>
  <c r="BY450" i="4"/>
  <c r="BZ450" i="4"/>
  <c r="CL450" i="4" s="1"/>
  <c r="CF450" i="4"/>
  <c r="CR450" i="4" s="1"/>
  <c r="CK450" i="4"/>
  <c r="CW450" i="4" s="1"/>
  <c r="CN450" i="4"/>
  <c r="CS450" i="4"/>
  <c r="DU450" i="4" s="1"/>
  <c r="CZ450" i="4"/>
  <c r="DA450" i="4"/>
  <c r="DB450" i="4"/>
  <c r="DC450" i="4"/>
  <c r="DD450" i="4"/>
  <c r="DE450" i="4"/>
  <c r="DF450" i="4"/>
  <c r="DT450" i="4" s="1"/>
  <c r="DG450" i="4"/>
  <c r="DH450" i="4"/>
  <c r="DI450" i="4"/>
  <c r="DJ450" i="4"/>
  <c r="DK450" i="4"/>
  <c r="DV450" i="4"/>
  <c r="BN451" i="4"/>
  <c r="BZ451" i="4" s="1"/>
  <c r="CL451" i="4" s="1"/>
  <c r="BO451" i="4"/>
  <c r="CA451" i="4" s="1"/>
  <c r="CM451" i="4" s="1"/>
  <c r="BP451" i="4"/>
  <c r="CB451" i="4" s="1"/>
  <c r="CN451" i="4" s="1"/>
  <c r="BQ451" i="4"/>
  <c r="CC451" i="4" s="1"/>
  <c r="CO451" i="4" s="1"/>
  <c r="BR451" i="4"/>
  <c r="CD451" i="4" s="1"/>
  <c r="CP451" i="4" s="1"/>
  <c r="DR451" i="4" s="1"/>
  <c r="BS451" i="4"/>
  <c r="BT451" i="4"/>
  <c r="CF451" i="4" s="1"/>
  <c r="CR451" i="4" s="1"/>
  <c r="DT451" i="4" s="1"/>
  <c r="BU451" i="4"/>
  <c r="CG451" i="4" s="1"/>
  <c r="CS451" i="4" s="1"/>
  <c r="DU451" i="4" s="1"/>
  <c r="BV451" i="4"/>
  <c r="CH451" i="4" s="1"/>
  <c r="CT451" i="4" s="1"/>
  <c r="BW451" i="4"/>
  <c r="CI451" i="4" s="1"/>
  <c r="CU451" i="4" s="1"/>
  <c r="BX451" i="4"/>
  <c r="CJ451" i="4" s="1"/>
  <c r="CV451" i="4" s="1"/>
  <c r="BY451" i="4"/>
  <c r="CK451" i="4" s="1"/>
  <c r="CE451" i="4"/>
  <c r="CQ451" i="4" s="1"/>
  <c r="CW451" i="4"/>
  <c r="CZ451" i="4"/>
  <c r="DA451" i="4"/>
  <c r="DB451" i="4"/>
  <c r="DC451" i="4"/>
  <c r="DQ451" i="4" s="1"/>
  <c r="DD451" i="4"/>
  <c r="DE451" i="4"/>
  <c r="DF451" i="4"/>
  <c r="DG451" i="4"/>
  <c r="DH451" i="4"/>
  <c r="DI451" i="4"/>
  <c r="DJ451" i="4"/>
  <c r="DK451" i="4"/>
  <c r="DX451" i="4"/>
  <c r="BN452" i="4"/>
  <c r="BO452" i="4"/>
  <c r="CA452" i="4" s="1"/>
  <c r="CM452" i="4" s="1"/>
  <c r="BP452" i="4"/>
  <c r="CB452" i="4" s="1"/>
  <c r="CN452" i="4" s="1"/>
  <c r="DP452" i="4" s="1"/>
  <c r="BQ452" i="4"/>
  <c r="CC452" i="4" s="1"/>
  <c r="CO452" i="4" s="1"/>
  <c r="DQ452" i="4" s="1"/>
  <c r="BR452" i="4"/>
  <c r="CD452" i="4" s="1"/>
  <c r="CP452" i="4" s="1"/>
  <c r="BS452" i="4"/>
  <c r="CE452" i="4" s="1"/>
  <c r="BT452" i="4"/>
  <c r="CF452" i="4" s="1"/>
  <c r="BU452" i="4"/>
  <c r="CG452" i="4" s="1"/>
  <c r="CS452" i="4" s="1"/>
  <c r="BV452" i="4"/>
  <c r="BW452" i="4"/>
  <c r="CI452" i="4" s="1"/>
  <c r="CU452" i="4" s="1"/>
  <c r="BX452" i="4"/>
  <c r="BY452" i="4"/>
  <c r="CK452" i="4" s="1"/>
  <c r="CW452" i="4" s="1"/>
  <c r="BZ452" i="4"/>
  <c r="CH452" i="4"/>
  <c r="CT452" i="4" s="1"/>
  <c r="DV452" i="4" s="1"/>
  <c r="CJ452" i="4"/>
  <c r="CV452" i="4" s="1"/>
  <c r="DX452" i="4" s="1"/>
  <c r="CL452" i="4"/>
  <c r="CQ452" i="4"/>
  <c r="CR452" i="4"/>
  <c r="CZ452" i="4"/>
  <c r="DA452" i="4"/>
  <c r="DB452" i="4"/>
  <c r="DC452" i="4"/>
  <c r="DD452" i="4"/>
  <c r="DE452" i="4"/>
  <c r="DS452" i="4" s="1"/>
  <c r="DF452" i="4"/>
  <c r="DG452" i="4"/>
  <c r="DH452" i="4"/>
  <c r="DI452" i="4"/>
  <c r="DJ452" i="4"/>
  <c r="DK452" i="4"/>
  <c r="DR452" i="4"/>
  <c r="DU452" i="4"/>
  <c r="BN453" i="4"/>
  <c r="BZ453" i="4" s="1"/>
  <c r="CL453" i="4" s="1"/>
  <c r="BO453" i="4"/>
  <c r="CA453" i="4" s="1"/>
  <c r="CM453" i="4" s="1"/>
  <c r="BP453" i="4"/>
  <c r="BQ453" i="4"/>
  <c r="BR453" i="4"/>
  <c r="CD453" i="4" s="1"/>
  <c r="CP453" i="4" s="1"/>
  <c r="BS453" i="4"/>
  <c r="CE453" i="4" s="1"/>
  <c r="CQ453" i="4" s="1"/>
  <c r="BT453" i="4"/>
  <c r="CF453" i="4" s="1"/>
  <c r="CR453" i="4" s="1"/>
  <c r="BU453" i="4"/>
  <c r="BV453" i="4"/>
  <c r="BW453" i="4"/>
  <c r="CI453" i="4" s="1"/>
  <c r="CU453" i="4" s="1"/>
  <c r="BX453" i="4"/>
  <c r="CJ453" i="4" s="1"/>
  <c r="CV453" i="4" s="1"/>
  <c r="BY453" i="4"/>
  <c r="CK453" i="4" s="1"/>
  <c r="CW453" i="4" s="1"/>
  <c r="CB453" i="4"/>
  <c r="CN453" i="4" s="1"/>
  <c r="DP453" i="4" s="1"/>
  <c r="CC453" i="4"/>
  <c r="CO453" i="4" s="1"/>
  <c r="CG453" i="4"/>
  <c r="CS453" i="4" s="1"/>
  <c r="CH453" i="4"/>
  <c r="CT453" i="4" s="1"/>
  <c r="CZ453" i="4"/>
  <c r="DA453" i="4"/>
  <c r="DB453" i="4"/>
  <c r="DC453" i="4"/>
  <c r="DD453" i="4"/>
  <c r="DR453" i="4" s="1"/>
  <c r="DE453" i="4"/>
  <c r="DF453" i="4"/>
  <c r="DG453" i="4"/>
  <c r="DH453" i="4"/>
  <c r="DI453" i="4"/>
  <c r="DJ453" i="4"/>
  <c r="DK453" i="4"/>
  <c r="DN453" i="4"/>
  <c r="BN454" i="4"/>
  <c r="BZ454" i="4" s="1"/>
  <c r="CL454" i="4" s="1"/>
  <c r="DN454" i="4" s="1"/>
  <c r="BO454" i="4"/>
  <c r="CA454" i="4" s="1"/>
  <c r="CM454" i="4" s="1"/>
  <c r="DO454" i="4" s="1"/>
  <c r="BP454" i="4"/>
  <c r="CB454" i="4" s="1"/>
  <c r="CN454" i="4" s="1"/>
  <c r="BQ454" i="4"/>
  <c r="BR454" i="4"/>
  <c r="CD454" i="4" s="1"/>
  <c r="CP454" i="4" s="1"/>
  <c r="DR454" i="4" s="1"/>
  <c r="BS454" i="4"/>
  <c r="CE454" i="4" s="1"/>
  <c r="CQ454" i="4" s="1"/>
  <c r="BT454" i="4"/>
  <c r="BU454" i="4"/>
  <c r="CG454" i="4" s="1"/>
  <c r="CS454" i="4" s="1"/>
  <c r="BV454" i="4"/>
  <c r="CH454" i="4" s="1"/>
  <c r="CT454" i="4" s="1"/>
  <c r="DV454" i="4" s="1"/>
  <c r="BW454" i="4"/>
  <c r="CI454" i="4" s="1"/>
  <c r="CU454" i="4" s="1"/>
  <c r="DW454" i="4" s="1"/>
  <c r="BX454" i="4"/>
  <c r="CJ454" i="4" s="1"/>
  <c r="CV454" i="4" s="1"/>
  <c r="BY454" i="4"/>
  <c r="CC454" i="4"/>
  <c r="CF454" i="4"/>
  <c r="CR454" i="4" s="1"/>
  <c r="CK454" i="4"/>
  <c r="CW454" i="4" s="1"/>
  <c r="CO454" i="4"/>
  <c r="CZ454" i="4"/>
  <c r="DA454" i="4"/>
  <c r="DB454" i="4"/>
  <c r="DC454" i="4"/>
  <c r="DD454" i="4"/>
  <c r="DE454" i="4"/>
  <c r="DF454" i="4"/>
  <c r="DT454" i="4" s="1"/>
  <c r="DG454" i="4"/>
  <c r="DU454" i="4" s="1"/>
  <c r="DH454" i="4"/>
  <c r="DI454" i="4"/>
  <c r="DJ454" i="4"/>
  <c r="DX454" i="4" s="1"/>
  <c r="DK454" i="4"/>
  <c r="DY454" i="4" s="1"/>
  <c r="BN455" i="4"/>
  <c r="BZ455" i="4" s="1"/>
  <c r="CL455" i="4" s="1"/>
  <c r="BO455" i="4"/>
  <c r="CA455" i="4" s="1"/>
  <c r="CM455" i="4" s="1"/>
  <c r="BP455" i="4"/>
  <c r="BQ455" i="4"/>
  <c r="CC455" i="4" s="1"/>
  <c r="CO455" i="4" s="1"/>
  <c r="BR455" i="4"/>
  <c r="CD455" i="4" s="1"/>
  <c r="CP455" i="4" s="1"/>
  <c r="DR455" i="4" s="1"/>
  <c r="BS455" i="4"/>
  <c r="BT455" i="4"/>
  <c r="BU455" i="4"/>
  <c r="CG455" i="4" s="1"/>
  <c r="BV455" i="4"/>
  <c r="CH455" i="4" s="1"/>
  <c r="BW455" i="4"/>
  <c r="CI455" i="4" s="1"/>
  <c r="CU455" i="4" s="1"/>
  <c r="DW455" i="4" s="1"/>
  <c r="BX455" i="4"/>
  <c r="BY455" i="4"/>
  <c r="CB455" i="4"/>
  <c r="CE455" i="4"/>
  <c r="CQ455" i="4" s="1"/>
  <c r="CF455" i="4"/>
  <c r="CR455" i="4" s="1"/>
  <c r="DT455" i="4" s="1"/>
  <c r="CJ455" i="4"/>
  <c r="CV455" i="4" s="1"/>
  <c r="CK455" i="4"/>
  <c r="CN455" i="4"/>
  <c r="CS455" i="4"/>
  <c r="CT455" i="4"/>
  <c r="CW455" i="4"/>
  <c r="CZ455" i="4"/>
  <c r="DA455" i="4"/>
  <c r="DB455" i="4"/>
  <c r="DC455" i="4"/>
  <c r="DD455" i="4"/>
  <c r="DE455" i="4"/>
  <c r="DS455" i="4" s="1"/>
  <c r="DF455" i="4"/>
  <c r="DG455" i="4"/>
  <c r="DH455" i="4"/>
  <c r="DI455" i="4"/>
  <c r="DJ455" i="4"/>
  <c r="DX455" i="4" s="1"/>
  <c r="DK455" i="4"/>
  <c r="DO455" i="4"/>
  <c r="BN456" i="4"/>
  <c r="BZ456" i="4" s="1"/>
  <c r="CL456" i="4" s="1"/>
  <c r="DN456" i="4" s="1"/>
  <c r="BO456" i="4"/>
  <c r="CA456" i="4" s="1"/>
  <c r="BP456" i="4"/>
  <c r="BQ456" i="4"/>
  <c r="CC456" i="4" s="1"/>
  <c r="CO456" i="4" s="1"/>
  <c r="BR456" i="4"/>
  <c r="CD456" i="4" s="1"/>
  <c r="CP456" i="4" s="1"/>
  <c r="BS456" i="4"/>
  <c r="BT456" i="4"/>
  <c r="CF456" i="4" s="1"/>
  <c r="CR456" i="4" s="1"/>
  <c r="BU456" i="4"/>
  <c r="CG456" i="4" s="1"/>
  <c r="CS456" i="4" s="1"/>
  <c r="DU456" i="4" s="1"/>
  <c r="BV456" i="4"/>
  <c r="CH456" i="4" s="1"/>
  <c r="CT456" i="4" s="1"/>
  <c r="BW456" i="4"/>
  <c r="BX456" i="4"/>
  <c r="BY456" i="4"/>
  <c r="CK456" i="4" s="1"/>
  <c r="CW456" i="4" s="1"/>
  <c r="CB456" i="4"/>
  <c r="CN456" i="4" s="1"/>
  <c r="CE456" i="4"/>
  <c r="CQ456" i="4" s="1"/>
  <c r="CI456" i="4"/>
  <c r="CU456" i="4" s="1"/>
  <c r="CJ456" i="4"/>
  <c r="CV456" i="4" s="1"/>
  <c r="CM456" i="4"/>
  <c r="CZ456" i="4"/>
  <c r="DA456" i="4"/>
  <c r="DB456" i="4"/>
  <c r="DC456" i="4"/>
  <c r="DQ456" i="4" s="1"/>
  <c r="DD456" i="4"/>
  <c r="DE456" i="4"/>
  <c r="DF456" i="4"/>
  <c r="DG456" i="4"/>
  <c r="DH456" i="4"/>
  <c r="DI456" i="4"/>
  <c r="DJ456" i="4"/>
  <c r="DK456" i="4"/>
  <c r="DR456" i="4"/>
  <c r="BN457" i="4"/>
  <c r="BZ457" i="4" s="1"/>
  <c r="CL457" i="4" s="1"/>
  <c r="BO457" i="4"/>
  <c r="CA457" i="4" s="1"/>
  <c r="BP457" i="4"/>
  <c r="BQ457" i="4"/>
  <c r="CC457" i="4" s="1"/>
  <c r="CO457" i="4" s="1"/>
  <c r="DQ457" i="4" s="1"/>
  <c r="BR457" i="4"/>
  <c r="CD457" i="4" s="1"/>
  <c r="CP457" i="4" s="1"/>
  <c r="BS457" i="4"/>
  <c r="CE457" i="4" s="1"/>
  <c r="CQ457" i="4" s="1"/>
  <c r="BT457" i="4"/>
  <c r="CF457" i="4" s="1"/>
  <c r="BU457" i="4"/>
  <c r="CG457" i="4" s="1"/>
  <c r="CS457" i="4" s="1"/>
  <c r="BV457" i="4"/>
  <c r="CH457" i="4" s="1"/>
  <c r="CT457" i="4" s="1"/>
  <c r="BW457" i="4"/>
  <c r="BX457" i="4"/>
  <c r="CJ457" i="4" s="1"/>
  <c r="CV457" i="4" s="1"/>
  <c r="DX457" i="4" s="1"/>
  <c r="BY457" i="4"/>
  <c r="CK457" i="4" s="1"/>
  <c r="CW457" i="4" s="1"/>
  <c r="CB457" i="4"/>
  <c r="CN457" i="4" s="1"/>
  <c r="DP457" i="4" s="1"/>
  <c r="CI457" i="4"/>
  <c r="CU457" i="4" s="1"/>
  <c r="CM457" i="4"/>
  <c r="CR457" i="4"/>
  <c r="DT457" i="4" s="1"/>
  <c r="CZ457" i="4"/>
  <c r="DA457" i="4"/>
  <c r="DB457" i="4"/>
  <c r="DC457" i="4"/>
  <c r="DD457" i="4"/>
  <c r="DR457" i="4" s="1"/>
  <c r="DE457" i="4"/>
  <c r="DF457" i="4"/>
  <c r="DG457" i="4"/>
  <c r="DH457" i="4"/>
  <c r="DI457" i="4"/>
  <c r="DJ457" i="4"/>
  <c r="DK457" i="4"/>
  <c r="DU457" i="4"/>
  <c r="BN458" i="4"/>
  <c r="BO458" i="4"/>
  <c r="CA458" i="4" s="1"/>
  <c r="CM458" i="4" s="1"/>
  <c r="BP458" i="4"/>
  <c r="CB458" i="4" s="1"/>
  <c r="CN458" i="4" s="1"/>
  <c r="BQ458" i="4"/>
  <c r="CC458" i="4" s="1"/>
  <c r="CO458" i="4" s="1"/>
  <c r="BR458" i="4"/>
  <c r="BS458" i="4"/>
  <c r="CE458" i="4" s="1"/>
  <c r="CQ458" i="4" s="1"/>
  <c r="BT458" i="4"/>
  <c r="BU458" i="4"/>
  <c r="BV458" i="4"/>
  <c r="BW458" i="4"/>
  <c r="CI458" i="4" s="1"/>
  <c r="CU458" i="4" s="1"/>
  <c r="BX458" i="4"/>
  <c r="CJ458" i="4" s="1"/>
  <c r="CV458" i="4" s="1"/>
  <c r="BY458" i="4"/>
  <c r="BZ458" i="4"/>
  <c r="CL458" i="4" s="1"/>
  <c r="DN458" i="4" s="1"/>
  <c r="CD458" i="4"/>
  <c r="CP458" i="4" s="1"/>
  <c r="CF458" i="4"/>
  <c r="CR458" i="4" s="1"/>
  <c r="CG458" i="4"/>
  <c r="CS458" i="4" s="1"/>
  <c r="CH458" i="4"/>
  <c r="CK458" i="4"/>
  <c r="CW458" i="4" s="1"/>
  <c r="CT458" i="4"/>
  <c r="DV458" i="4" s="1"/>
  <c r="CZ458" i="4"/>
  <c r="DA458" i="4"/>
  <c r="DO458" i="4" s="1"/>
  <c r="DB458" i="4"/>
  <c r="DC458" i="4"/>
  <c r="DD458" i="4"/>
  <c r="DE458" i="4"/>
  <c r="DF458" i="4"/>
  <c r="DG458" i="4"/>
  <c r="DH458" i="4"/>
  <c r="DI458" i="4"/>
  <c r="DJ458" i="4"/>
  <c r="DK458" i="4"/>
  <c r="BN459" i="4"/>
  <c r="BZ459" i="4" s="1"/>
  <c r="CL459" i="4" s="1"/>
  <c r="BO459" i="4"/>
  <c r="BP459" i="4"/>
  <c r="CB459" i="4" s="1"/>
  <c r="CN459" i="4" s="1"/>
  <c r="BQ459" i="4"/>
  <c r="CC459" i="4" s="1"/>
  <c r="BR459" i="4"/>
  <c r="CD459" i="4" s="1"/>
  <c r="CP459" i="4" s="1"/>
  <c r="BS459" i="4"/>
  <c r="CE459" i="4" s="1"/>
  <c r="BT459" i="4"/>
  <c r="BU459" i="4"/>
  <c r="BV459" i="4"/>
  <c r="CH459" i="4" s="1"/>
  <c r="CT459" i="4" s="1"/>
  <c r="BW459" i="4"/>
  <c r="CI459" i="4" s="1"/>
  <c r="CU459" i="4" s="1"/>
  <c r="BX459" i="4"/>
  <c r="CJ459" i="4" s="1"/>
  <c r="CV459" i="4" s="1"/>
  <c r="BY459" i="4"/>
  <c r="CA459" i="4"/>
  <c r="CM459" i="4" s="1"/>
  <c r="DO459" i="4" s="1"/>
  <c r="CF459" i="4"/>
  <c r="CR459" i="4" s="1"/>
  <c r="DT459" i="4" s="1"/>
  <c r="CG459" i="4"/>
  <c r="CS459" i="4" s="1"/>
  <c r="CK459" i="4"/>
  <c r="CW459" i="4" s="1"/>
  <c r="CO459" i="4"/>
  <c r="CQ459" i="4"/>
  <c r="CZ459" i="4"/>
  <c r="DA459" i="4"/>
  <c r="DB459" i="4"/>
  <c r="DC459" i="4"/>
  <c r="DD459" i="4"/>
  <c r="DE459" i="4"/>
  <c r="DF459" i="4"/>
  <c r="DG459" i="4"/>
  <c r="DU459" i="4" s="1"/>
  <c r="DH459" i="4"/>
  <c r="DI459" i="4"/>
  <c r="DJ459" i="4"/>
  <c r="DK459" i="4"/>
  <c r="BN460" i="4"/>
  <c r="BZ460" i="4" s="1"/>
  <c r="CL460" i="4" s="1"/>
  <c r="BO460" i="4"/>
  <c r="CA460" i="4" s="1"/>
  <c r="CM460" i="4" s="1"/>
  <c r="BP460" i="4"/>
  <c r="CB460" i="4" s="1"/>
  <c r="CN460" i="4" s="1"/>
  <c r="BQ460" i="4"/>
  <c r="CC460" i="4" s="1"/>
  <c r="CO460" i="4" s="1"/>
  <c r="BR460" i="4"/>
  <c r="BS460" i="4"/>
  <c r="CE460" i="4" s="1"/>
  <c r="CQ460" i="4" s="1"/>
  <c r="BT460" i="4"/>
  <c r="CF460" i="4" s="1"/>
  <c r="CR460" i="4" s="1"/>
  <c r="BU460" i="4"/>
  <c r="BV460" i="4"/>
  <c r="CH460" i="4" s="1"/>
  <c r="CT460" i="4" s="1"/>
  <c r="BW460" i="4"/>
  <c r="CI460" i="4" s="1"/>
  <c r="CU460" i="4" s="1"/>
  <c r="BX460" i="4"/>
  <c r="CJ460" i="4" s="1"/>
  <c r="CV460" i="4" s="1"/>
  <c r="BY460" i="4"/>
  <c r="CD460" i="4"/>
  <c r="CP460" i="4" s="1"/>
  <c r="CG460" i="4"/>
  <c r="CS460" i="4" s="1"/>
  <c r="DU460" i="4" s="1"/>
  <c r="CK460" i="4"/>
  <c r="CW460" i="4" s="1"/>
  <c r="CZ460" i="4"/>
  <c r="DA460" i="4"/>
  <c r="DB460" i="4"/>
  <c r="DC460" i="4"/>
  <c r="DD460" i="4"/>
  <c r="DE460" i="4"/>
  <c r="DF460" i="4"/>
  <c r="DG460" i="4"/>
  <c r="DH460" i="4"/>
  <c r="DI460" i="4"/>
  <c r="DJ460" i="4"/>
  <c r="DK460" i="4"/>
  <c r="BN461" i="4"/>
  <c r="BO461" i="4"/>
  <c r="CA461" i="4" s="1"/>
  <c r="CM461" i="4" s="1"/>
  <c r="BP461" i="4"/>
  <c r="BQ461" i="4"/>
  <c r="CC461" i="4" s="1"/>
  <c r="CO461" i="4" s="1"/>
  <c r="BR461" i="4"/>
  <c r="CD461" i="4" s="1"/>
  <c r="CP461" i="4" s="1"/>
  <c r="BS461" i="4"/>
  <c r="CE461" i="4" s="1"/>
  <c r="BT461" i="4"/>
  <c r="CF461" i="4" s="1"/>
  <c r="CR461" i="4" s="1"/>
  <c r="BU461" i="4"/>
  <c r="CG461" i="4" s="1"/>
  <c r="CS461" i="4" s="1"/>
  <c r="BV461" i="4"/>
  <c r="BW461" i="4"/>
  <c r="CI461" i="4" s="1"/>
  <c r="CU461" i="4" s="1"/>
  <c r="BX461" i="4"/>
  <c r="BY461" i="4"/>
  <c r="CK461" i="4" s="1"/>
  <c r="CW461" i="4" s="1"/>
  <c r="BZ461" i="4"/>
  <c r="CL461" i="4" s="1"/>
  <c r="CB461" i="4"/>
  <c r="CN461" i="4" s="1"/>
  <c r="DP461" i="4" s="1"/>
  <c r="CH461" i="4"/>
  <c r="CT461" i="4" s="1"/>
  <c r="CJ461" i="4"/>
  <c r="CQ461" i="4"/>
  <c r="CV461" i="4"/>
  <c r="DX461" i="4" s="1"/>
  <c r="CZ461" i="4"/>
  <c r="DA461" i="4"/>
  <c r="DB461" i="4"/>
  <c r="DC461" i="4"/>
  <c r="DD461" i="4"/>
  <c r="DE461" i="4"/>
  <c r="DF461" i="4"/>
  <c r="DG461" i="4"/>
  <c r="DH461" i="4"/>
  <c r="DI461" i="4"/>
  <c r="DJ461" i="4"/>
  <c r="DK461" i="4"/>
  <c r="BN462" i="4"/>
  <c r="BZ462" i="4" s="1"/>
  <c r="CL462" i="4" s="1"/>
  <c r="DN462" i="4" s="1"/>
  <c r="BO462" i="4"/>
  <c r="CA462" i="4" s="1"/>
  <c r="CM462" i="4" s="1"/>
  <c r="BP462" i="4"/>
  <c r="CB462" i="4" s="1"/>
  <c r="CN462" i="4" s="1"/>
  <c r="BQ462" i="4"/>
  <c r="BR462" i="4"/>
  <c r="CD462" i="4" s="1"/>
  <c r="CP462" i="4" s="1"/>
  <c r="BS462" i="4"/>
  <c r="CE462" i="4" s="1"/>
  <c r="BT462" i="4"/>
  <c r="BU462" i="4"/>
  <c r="CG462" i="4" s="1"/>
  <c r="CS462" i="4" s="1"/>
  <c r="BV462" i="4"/>
  <c r="CH462" i="4" s="1"/>
  <c r="CT462" i="4" s="1"/>
  <c r="DV462" i="4" s="1"/>
  <c r="BW462" i="4"/>
  <c r="BX462" i="4"/>
  <c r="CJ462" i="4" s="1"/>
  <c r="CV462" i="4" s="1"/>
  <c r="BY462" i="4"/>
  <c r="CK462" i="4" s="1"/>
  <c r="CW462" i="4" s="1"/>
  <c r="CC462" i="4"/>
  <c r="CO462" i="4" s="1"/>
  <c r="CF462" i="4"/>
  <c r="CR462" i="4" s="1"/>
  <c r="DT462" i="4" s="1"/>
  <c r="CI462" i="4"/>
  <c r="CU462" i="4" s="1"/>
  <c r="CQ462" i="4"/>
  <c r="CZ462" i="4"/>
  <c r="DA462" i="4"/>
  <c r="DB462" i="4"/>
  <c r="DC462" i="4"/>
  <c r="DD462" i="4"/>
  <c r="DE462" i="4"/>
  <c r="DF462" i="4"/>
  <c r="DG462" i="4"/>
  <c r="DH462" i="4"/>
  <c r="DI462" i="4"/>
  <c r="DJ462" i="4"/>
  <c r="DK462" i="4"/>
  <c r="DY462" i="4" s="1"/>
  <c r="DL462" i="4"/>
  <c r="DR462" i="4"/>
  <c r="BN463" i="4"/>
  <c r="BZ463" i="4" s="1"/>
  <c r="CL463" i="4" s="1"/>
  <c r="BO463" i="4"/>
  <c r="CA463" i="4" s="1"/>
  <c r="CM463" i="4" s="1"/>
  <c r="BP463" i="4"/>
  <c r="CB463" i="4" s="1"/>
  <c r="CN463" i="4" s="1"/>
  <c r="BQ463" i="4"/>
  <c r="BR463" i="4"/>
  <c r="CD463" i="4" s="1"/>
  <c r="CP463" i="4" s="1"/>
  <c r="BS463" i="4"/>
  <c r="CE463" i="4" s="1"/>
  <c r="CQ463" i="4" s="1"/>
  <c r="BT463" i="4"/>
  <c r="BU463" i="4"/>
  <c r="BV463" i="4"/>
  <c r="CH463" i="4" s="1"/>
  <c r="BW463" i="4"/>
  <c r="CI463" i="4" s="1"/>
  <c r="CU463" i="4" s="1"/>
  <c r="BX463" i="4"/>
  <c r="CJ463" i="4" s="1"/>
  <c r="CV463" i="4" s="1"/>
  <c r="BY463" i="4"/>
  <c r="CC463" i="4"/>
  <c r="CO463" i="4" s="1"/>
  <c r="DQ463" i="4" s="1"/>
  <c r="CF463" i="4"/>
  <c r="CR463" i="4" s="1"/>
  <c r="CG463" i="4"/>
  <c r="CS463" i="4" s="1"/>
  <c r="CK463" i="4"/>
  <c r="CW463" i="4" s="1"/>
  <c r="CT463" i="4"/>
  <c r="CZ463" i="4"/>
  <c r="DA463" i="4"/>
  <c r="DB463" i="4"/>
  <c r="DP463" i="4" s="1"/>
  <c r="DC463" i="4"/>
  <c r="DD463" i="4"/>
  <c r="DE463" i="4"/>
  <c r="DF463" i="4"/>
  <c r="DG463" i="4"/>
  <c r="DH463" i="4"/>
  <c r="DV463" i="4" s="1"/>
  <c r="DI463" i="4"/>
  <c r="DJ463" i="4"/>
  <c r="DX463" i="4" s="1"/>
  <c r="DK463" i="4"/>
  <c r="DU463" i="4"/>
  <c r="DY463" i="4"/>
  <c r="BN464" i="4"/>
  <c r="BZ464" i="4" s="1"/>
  <c r="CL464" i="4" s="1"/>
  <c r="BO464" i="4"/>
  <c r="BP464" i="4"/>
  <c r="CB464" i="4" s="1"/>
  <c r="CN464" i="4" s="1"/>
  <c r="BQ464" i="4"/>
  <c r="CC464" i="4" s="1"/>
  <c r="CO464" i="4" s="1"/>
  <c r="BR464" i="4"/>
  <c r="CD464" i="4" s="1"/>
  <c r="CP464" i="4" s="1"/>
  <c r="BS464" i="4"/>
  <c r="CE464" i="4" s="1"/>
  <c r="BT464" i="4"/>
  <c r="CF464" i="4" s="1"/>
  <c r="CR464" i="4" s="1"/>
  <c r="BU464" i="4"/>
  <c r="CG464" i="4" s="1"/>
  <c r="CS464" i="4" s="1"/>
  <c r="BV464" i="4"/>
  <c r="CH464" i="4" s="1"/>
  <c r="BW464" i="4"/>
  <c r="CI464" i="4" s="1"/>
  <c r="CU464" i="4" s="1"/>
  <c r="BX464" i="4"/>
  <c r="BY464" i="4"/>
  <c r="CK464" i="4" s="1"/>
  <c r="CW464" i="4" s="1"/>
  <c r="CA464" i="4"/>
  <c r="CM464" i="4" s="1"/>
  <c r="DO464" i="4" s="1"/>
  <c r="CJ464" i="4"/>
  <c r="CV464" i="4" s="1"/>
  <c r="CQ464" i="4"/>
  <c r="DS464" i="4" s="1"/>
  <c r="CT464" i="4"/>
  <c r="CZ464" i="4"/>
  <c r="DA464" i="4"/>
  <c r="DB464" i="4"/>
  <c r="DC464" i="4"/>
  <c r="DD464" i="4"/>
  <c r="DE464" i="4"/>
  <c r="DF464" i="4"/>
  <c r="DG464" i="4"/>
  <c r="DU464" i="4" s="1"/>
  <c r="DH464" i="4"/>
  <c r="DI464" i="4"/>
  <c r="DJ464" i="4"/>
  <c r="DK464" i="4"/>
  <c r="DP464" i="4"/>
  <c r="BN465" i="4"/>
  <c r="BZ465" i="4" s="1"/>
  <c r="CL465" i="4" s="1"/>
  <c r="DN465" i="4" s="1"/>
  <c r="BO465" i="4"/>
  <c r="CA465" i="4" s="1"/>
  <c r="CM465" i="4" s="1"/>
  <c r="BP465" i="4"/>
  <c r="BQ465" i="4"/>
  <c r="CC465" i="4" s="1"/>
  <c r="BR465" i="4"/>
  <c r="CD465" i="4" s="1"/>
  <c r="CP465" i="4" s="1"/>
  <c r="BS465" i="4"/>
  <c r="CE465" i="4" s="1"/>
  <c r="CQ465" i="4" s="1"/>
  <c r="BT465" i="4"/>
  <c r="CF465" i="4" s="1"/>
  <c r="CR465" i="4" s="1"/>
  <c r="DT465" i="4" s="1"/>
  <c r="BU465" i="4"/>
  <c r="BV465" i="4"/>
  <c r="CH465" i="4" s="1"/>
  <c r="CT465" i="4" s="1"/>
  <c r="BW465" i="4"/>
  <c r="CI465" i="4" s="1"/>
  <c r="CU465" i="4" s="1"/>
  <c r="BX465" i="4"/>
  <c r="BY465" i="4"/>
  <c r="CB465" i="4"/>
  <c r="CN465" i="4" s="1"/>
  <c r="DP465" i="4" s="1"/>
  <c r="CG465" i="4"/>
  <c r="CS465" i="4" s="1"/>
  <c r="CJ465" i="4"/>
  <c r="CV465" i="4" s="1"/>
  <c r="DX465" i="4" s="1"/>
  <c r="CK465" i="4"/>
  <c r="CW465" i="4" s="1"/>
  <c r="CO465" i="4"/>
  <c r="CZ465" i="4"/>
  <c r="DA465" i="4"/>
  <c r="DB465" i="4"/>
  <c r="DC465" i="4"/>
  <c r="DD465" i="4"/>
  <c r="DE465" i="4"/>
  <c r="DS465" i="4" s="1"/>
  <c r="DF465" i="4"/>
  <c r="DG465" i="4"/>
  <c r="DH465" i="4"/>
  <c r="DI465" i="4"/>
  <c r="DJ465" i="4"/>
  <c r="DK465" i="4"/>
  <c r="BN466" i="4"/>
  <c r="BO466" i="4"/>
  <c r="CA466" i="4" s="1"/>
  <c r="CM466" i="4" s="1"/>
  <c r="BP466" i="4"/>
  <c r="CB466" i="4" s="1"/>
  <c r="BQ466" i="4"/>
  <c r="CC466" i="4" s="1"/>
  <c r="BR466" i="4"/>
  <c r="CD466" i="4" s="1"/>
  <c r="CP466" i="4" s="1"/>
  <c r="DR466" i="4" s="1"/>
  <c r="BS466" i="4"/>
  <c r="BT466" i="4"/>
  <c r="BU466" i="4"/>
  <c r="CG466" i="4" s="1"/>
  <c r="CS466" i="4" s="1"/>
  <c r="DU466" i="4" s="1"/>
  <c r="BV466" i="4"/>
  <c r="CH466" i="4" s="1"/>
  <c r="CT466" i="4" s="1"/>
  <c r="DV466" i="4" s="1"/>
  <c r="BW466" i="4"/>
  <c r="CI466" i="4" s="1"/>
  <c r="CU466" i="4" s="1"/>
  <c r="DW466" i="4" s="1"/>
  <c r="BX466" i="4"/>
  <c r="CJ466" i="4" s="1"/>
  <c r="CV466" i="4" s="1"/>
  <c r="BY466" i="4"/>
  <c r="CK466" i="4" s="1"/>
  <c r="CW466" i="4" s="1"/>
  <c r="BZ466" i="4"/>
  <c r="CL466" i="4" s="1"/>
  <c r="CE466" i="4"/>
  <c r="CQ466" i="4" s="1"/>
  <c r="CF466" i="4"/>
  <c r="CR466" i="4" s="1"/>
  <c r="CN466" i="4"/>
  <c r="CO466" i="4"/>
  <c r="CZ466" i="4"/>
  <c r="DA466" i="4"/>
  <c r="DB466" i="4"/>
  <c r="DC466" i="4"/>
  <c r="DD466" i="4"/>
  <c r="DE466" i="4"/>
  <c r="DF466" i="4"/>
  <c r="DG466" i="4"/>
  <c r="DH466" i="4"/>
  <c r="DI466" i="4"/>
  <c r="DJ466" i="4"/>
  <c r="DK466" i="4"/>
  <c r="BN467" i="4"/>
  <c r="BZ467" i="4" s="1"/>
  <c r="CL467" i="4" s="1"/>
  <c r="BO467" i="4"/>
  <c r="BP467" i="4"/>
  <c r="CB467" i="4" s="1"/>
  <c r="CN467" i="4" s="1"/>
  <c r="BQ467" i="4"/>
  <c r="CC467" i="4" s="1"/>
  <c r="CO467" i="4" s="1"/>
  <c r="DQ467" i="4" s="1"/>
  <c r="BR467" i="4"/>
  <c r="CD467" i="4" s="1"/>
  <c r="CP467" i="4" s="1"/>
  <c r="BS467" i="4"/>
  <c r="BT467" i="4"/>
  <c r="CF467" i="4" s="1"/>
  <c r="CR467" i="4" s="1"/>
  <c r="DT467" i="4" s="1"/>
  <c r="BU467" i="4"/>
  <c r="CG467" i="4" s="1"/>
  <c r="BV467" i="4"/>
  <c r="CH467" i="4" s="1"/>
  <c r="CT467" i="4" s="1"/>
  <c r="BW467" i="4"/>
  <c r="BX467" i="4"/>
  <c r="CJ467" i="4" s="1"/>
  <c r="CV467" i="4" s="1"/>
  <c r="BY467" i="4"/>
  <c r="CK467" i="4" s="1"/>
  <c r="CW467" i="4" s="1"/>
  <c r="DY467" i="4" s="1"/>
  <c r="CA467" i="4"/>
  <c r="CM467" i="4" s="1"/>
  <c r="CE467" i="4"/>
  <c r="CQ467" i="4" s="1"/>
  <c r="DS467" i="4" s="1"/>
  <c r="CI467" i="4"/>
  <c r="CU467" i="4" s="1"/>
  <c r="CS467" i="4"/>
  <c r="CZ467" i="4"/>
  <c r="DA467" i="4"/>
  <c r="DB467" i="4"/>
  <c r="DC467" i="4"/>
  <c r="DD467" i="4"/>
  <c r="DE467" i="4"/>
  <c r="DF467" i="4"/>
  <c r="DG467" i="4"/>
  <c r="DU467" i="4" s="1"/>
  <c r="DH467" i="4"/>
  <c r="DI467" i="4"/>
  <c r="DJ467" i="4"/>
  <c r="DK467" i="4"/>
  <c r="BN468" i="4"/>
  <c r="BZ468" i="4" s="1"/>
  <c r="BO468" i="4"/>
  <c r="CA468" i="4" s="1"/>
  <c r="BP468" i="4"/>
  <c r="CB468" i="4" s="1"/>
  <c r="CN468" i="4" s="1"/>
  <c r="BQ468" i="4"/>
  <c r="CC468" i="4" s="1"/>
  <c r="CO468" i="4" s="1"/>
  <c r="DQ468" i="4" s="1"/>
  <c r="BR468" i="4"/>
  <c r="CD468" i="4" s="1"/>
  <c r="CP468" i="4" s="1"/>
  <c r="BS468" i="4"/>
  <c r="CE468" i="4" s="1"/>
  <c r="CQ468" i="4" s="1"/>
  <c r="BT468" i="4"/>
  <c r="CF468" i="4" s="1"/>
  <c r="CR468" i="4" s="1"/>
  <c r="BU468" i="4"/>
  <c r="CG468" i="4" s="1"/>
  <c r="CS468" i="4" s="1"/>
  <c r="BV468" i="4"/>
  <c r="CH468" i="4" s="1"/>
  <c r="CT468" i="4" s="1"/>
  <c r="DV468" i="4" s="1"/>
  <c r="BW468" i="4"/>
  <c r="BX468" i="4"/>
  <c r="CJ468" i="4" s="1"/>
  <c r="CV468" i="4" s="1"/>
  <c r="BY468" i="4"/>
  <c r="CK468" i="4" s="1"/>
  <c r="CW468" i="4" s="1"/>
  <c r="DY468" i="4" s="1"/>
  <c r="CI468" i="4"/>
  <c r="CU468" i="4" s="1"/>
  <c r="DW468" i="4" s="1"/>
  <c r="CL468" i="4"/>
  <c r="DN468" i="4" s="1"/>
  <c r="CM468" i="4"/>
  <c r="CZ468" i="4"/>
  <c r="DA468" i="4"/>
  <c r="DB468" i="4"/>
  <c r="DC468" i="4"/>
  <c r="DD468" i="4"/>
  <c r="DE468" i="4"/>
  <c r="DM468" i="4" s="1"/>
  <c r="DF468" i="4"/>
  <c r="DG468" i="4"/>
  <c r="DH468" i="4"/>
  <c r="DI468" i="4"/>
  <c r="DJ468" i="4"/>
  <c r="DX468" i="4" s="1"/>
  <c r="DK468" i="4"/>
  <c r="DP468" i="4"/>
  <c r="BN469" i="4"/>
  <c r="BO469" i="4"/>
  <c r="BP469" i="4"/>
  <c r="BQ469" i="4"/>
  <c r="CC469" i="4" s="1"/>
  <c r="CO469" i="4" s="1"/>
  <c r="BR469" i="4"/>
  <c r="CD469" i="4" s="1"/>
  <c r="BS469" i="4"/>
  <c r="CE469" i="4" s="1"/>
  <c r="CQ469" i="4" s="1"/>
  <c r="BT469" i="4"/>
  <c r="CF469" i="4" s="1"/>
  <c r="CR469" i="4" s="1"/>
  <c r="DT469" i="4" s="1"/>
  <c r="BU469" i="4"/>
  <c r="BV469" i="4"/>
  <c r="BW469" i="4"/>
  <c r="CI469" i="4" s="1"/>
  <c r="CU469" i="4" s="1"/>
  <c r="BX469" i="4"/>
  <c r="CJ469" i="4" s="1"/>
  <c r="CV469" i="4" s="1"/>
  <c r="BY469" i="4"/>
  <c r="CK469" i="4" s="1"/>
  <c r="CW469" i="4" s="1"/>
  <c r="BZ469" i="4"/>
  <c r="CL469" i="4" s="1"/>
  <c r="CA469" i="4"/>
  <c r="CM469" i="4" s="1"/>
  <c r="DO469" i="4" s="1"/>
  <c r="CB469" i="4"/>
  <c r="CN469" i="4" s="1"/>
  <c r="DP469" i="4" s="1"/>
  <c r="CG469" i="4"/>
  <c r="CS469" i="4" s="1"/>
  <c r="CH469" i="4"/>
  <c r="CT469" i="4" s="1"/>
  <c r="CP469" i="4"/>
  <c r="CZ469" i="4"/>
  <c r="DA469" i="4"/>
  <c r="DB469" i="4"/>
  <c r="DC469" i="4"/>
  <c r="DD469" i="4"/>
  <c r="DE469" i="4"/>
  <c r="DF469" i="4"/>
  <c r="DG469" i="4"/>
  <c r="DH469" i="4"/>
  <c r="DV469" i="4" s="1"/>
  <c r="DI469" i="4"/>
  <c r="DJ469" i="4"/>
  <c r="DX469" i="4" s="1"/>
  <c r="DK469" i="4"/>
  <c r="BN470" i="4"/>
  <c r="BZ470" i="4" s="1"/>
  <c r="CL470" i="4" s="1"/>
  <c r="BO470" i="4"/>
  <c r="CA470" i="4" s="1"/>
  <c r="CM470" i="4" s="1"/>
  <c r="BP470" i="4"/>
  <c r="CB470" i="4" s="1"/>
  <c r="BQ470" i="4"/>
  <c r="CC470" i="4" s="1"/>
  <c r="CO470" i="4" s="1"/>
  <c r="BR470" i="4"/>
  <c r="CD470" i="4" s="1"/>
  <c r="CP470" i="4" s="1"/>
  <c r="BS470" i="4"/>
  <c r="CE470" i="4" s="1"/>
  <c r="CQ470" i="4" s="1"/>
  <c r="BT470" i="4"/>
  <c r="BU470" i="4"/>
  <c r="BV470" i="4"/>
  <c r="CH470" i="4" s="1"/>
  <c r="BW470" i="4"/>
  <c r="CI470" i="4" s="1"/>
  <c r="CU470" i="4" s="1"/>
  <c r="DW470" i="4" s="1"/>
  <c r="BX470" i="4"/>
  <c r="CJ470" i="4" s="1"/>
  <c r="CV470" i="4" s="1"/>
  <c r="BY470" i="4"/>
  <c r="CK470" i="4" s="1"/>
  <c r="CW470" i="4" s="1"/>
  <c r="CF470" i="4"/>
  <c r="CR470" i="4" s="1"/>
  <c r="CG470" i="4"/>
  <c r="CN470" i="4"/>
  <c r="CS470" i="4"/>
  <c r="CT470" i="4"/>
  <c r="CZ470" i="4"/>
  <c r="DA470" i="4"/>
  <c r="DB470" i="4"/>
  <c r="DC470" i="4"/>
  <c r="DD470" i="4"/>
  <c r="DE470" i="4"/>
  <c r="DF470" i="4"/>
  <c r="DG470" i="4"/>
  <c r="DH470" i="4"/>
  <c r="DI470" i="4"/>
  <c r="DJ470" i="4"/>
  <c r="DX470" i="4" s="1"/>
  <c r="DK470" i="4"/>
  <c r="BN471" i="4"/>
  <c r="BZ471" i="4" s="1"/>
  <c r="CL471" i="4" s="1"/>
  <c r="BO471" i="4"/>
  <c r="BP471" i="4"/>
  <c r="CB471" i="4" s="1"/>
  <c r="CN471" i="4" s="1"/>
  <c r="BQ471" i="4"/>
  <c r="CC471" i="4" s="1"/>
  <c r="CO471" i="4" s="1"/>
  <c r="BR471" i="4"/>
  <c r="CD471" i="4" s="1"/>
  <c r="CP471" i="4" s="1"/>
  <c r="DR471" i="4" s="1"/>
  <c r="BS471" i="4"/>
  <c r="BT471" i="4"/>
  <c r="BU471" i="4"/>
  <c r="CG471" i="4" s="1"/>
  <c r="CS471" i="4" s="1"/>
  <c r="BV471" i="4"/>
  <c r="CH471" i="4" s="1"/>
  <c r="CT471" i="4" s="1"/>
  <c r="BW471" i="4"/>
  <c r="BX471" i="4"/>
  <c r="BY471" i="4"/>
  <c r="CK471" i="4" s="1"/>
  <c r="CW471" i="4" s="1"/>
  <c r="CA471" i="4"/>
  <c r="CM471" i="4" s="1"/>
  <c r="CE471" i="4"/>
  <c r="CQ471" i="4" s="1"/>
  <c r="CF471" i="4"/>
  <c r="CR471" i="4" s="1"/>
  <c r="DT471" i="4" s="1"/>
  <c r="CI471" i="4"/>
  <c r="CU471" i="4" s="1"/>
  <c r="CJ471" i="4"/>
  <c r="CV471" i="4" s="1"/>
  <c r="CZ471" i="4"/>
  <c r="DA471" i="4"/>
  <c r="DB471" i="4"/>
  <c r="DC471" i="4"/>
  <c r="DD471" i="4"/>
  <c r="DE471" i="4"/>
  <c r="DS471" i="4" s="1"/>
  <c r="DF471" i="4"/>
  <c r="DG471" i="4"/>
  <c r="DH471" i="4"/>
  <c r="DI471" i="4"/>
  <c r="DW471" i="4" s="1"/>
  <c r="DJ471" i="4"/>
  <c r="DK471" i="4"/>
  <c r="BN472" i="4"/>
  <c r="BO472" i="4"/>
  <c r="BP472" i="4"/>
  <c r="CB472" i="4" s="1"/>
  <c r="CN472" i="4" s="1"/>
  <c r="BQ472" i="4"/>
  <c r="BR472" i="4"/>
  <c r="CD472" i="4" s="1"/>
  <c r="CP472" i="4" s="1"/>
  <c r="BS472" i="4"/>
  <c r="CE472" i="4" s="1"/>
  <c r="CQ472" i="4" s="1"/>
  <c r="BT472" i="4"/>
  <c r="CF472" i="4" s="1"/>
  <c r="BU472" i="4"/>
  <c r="CG472" i="4" s="1"/>
  <c r="CS472" i="4" s="1"/>
  <c r="BV472" i="4"/>
  <c r="CH472" i="4" s="1"/>
  <c r="CT472" i="4" s="1"/>
  <c r="BW472" i="4"/>
  <c r="BX472" i="4"/>
  <c r="CJ472" i="4" s="1"/>
  <c r="CV472" i="4" s="1"/>
  <c r="BY472" i="4"/>
  <c r="CK472" i="4" s="1"/>
  <c r="CW472" i="4" s="1"/>
  <c r="DY472" i="4" s="1"/>
  <c r="BZ472" i="4"/>
  <c r="CA472" i="4"/>
  <c r="CC472" i="4"/>
  <c r="CO472" i="4" s="1"/>
  <c r="DQ472" i="4" s="1"/>
  <c r="CI472" i="4"/>
  <c r="CL472" i="4"/>
  <c r="DN472" i="4" s="1"/>
  <c r="CM472" i="4"/>
  <c r="CR472" i="4"/>
  <c r="CU472" i="4"/>
  <c r="CZ472" i="4"/>
  <c r="DA472" i="4"/>
  <c r="DB472" i="4"/>
  <c r="DC472" i="4"/>
  <c r="DD472" i="4"/>
  <c r="DE472" i="4"/>
  <c r="DS472" i="4" s="1"/>
  <c r="DF472" i="4"/>
  <c r="DG472" i="4"/>
  <c r="DH472" i="4"/>
  <c r="DI472" i="4"/>
  <c r="DJ472" i="4"/>
  <c r="DK472" i="4"/>
  <c r="DR472" i="4"/>
  <c r="DV472" i="4"/>
  <c r="BN473" i="4"/>
  <c r="BZ473" i="4" s="1"/>
  <c r="CL473" i="4" s="1"/>
  <c r="BO473" i="4"/>
  <c r="CA473" i="4" s="1"/>
  <c r="CM473" i="4" s="1"/>
  <c r="DO473" i="4" s="1"/>
  <c r="BP473" i="4"/>
  <c r="CB473" i="4" s="1"/>
  <c r="CN473" i="4" s="1"/>
  <c r="BQ473" i="4"/>
  <c r="CC473" i="4" s="1"/>
  <c r="CO473" i="4" s="1"/>
  <c r="BR473" i="4"/>
  <c r="CD473" i="4" s="1"/>
  <c r="BS473" i="4"/>
  <c r="BT473" i="4"/>
  <c r="CF473" i="4" s="1"/>
  <c r="CR473" i="4" s="1"/>
  <c r="DT473" i="4" s="1"/>
  <c r="BU473" i="4"/>
  <c r="CG473" i="4" s="1"/>
  <c r="CS473" i="4" s="1"/>
  <c r="DU473" i="4" s="1"/>
  <c r="BV473" i="4"/>
  <c r="BW473" i="4"/>
  <c r="BX473" i="4"/>
  <c r="CJ473" i="4" s="1"/>
  <c r="CV473" i="4" s="1"/>
  <c r="BY473" i="4"/>
  <c r="CK473" i="4" s="1"/>
  <c r="CW473" i="4" s="1"/>
  <c r="CE473" i="4"/>
  <c r="CQ473" i="4" s="1"/>
  <c r="CH473" i="4"/>
  <c r="CT473" i="4" s="1"/>
  <c r="CI473" i="4"/>
  <c r="CU473" i="4" s="1"/>
  <c r="CP473" i="4"/>
  <c r="CZ473" i="4"/>
  <c r="DA473" i="4"/>
  <c r="DB473" i="4"/>
  <c r="DC473" i="4"/>
  <c r="DD473" i="4"/>
  <c r="DR473" i="4" s="1"/>
  <c r="DE473" i="4"/>
  <c r="DF473" i="4"/>
  <c r="DG473" i="4"/>
  <c r="DH473" i="4"/>
  <c r="DV473" i="4" s="1"/>
  <c r="DI473" i="4"/>
  <c r="DJ473" i="4"/>
  <c r="DK473" i="4"/>
  <c r="BN474" i="4"/>
  <c r="BZ474" i="4" s="1"/>
  <c r="CL474" i="4" s="1"/>
  <c r="BO474" i="4"/>
  <c r="BP474" i="4"/>
  <c r="CB474" i="4" s="1"/>
  <c r="CN474" i="4" s="1"/>
  <c r="BQ474" i="4"/>
  <c r="CC474" i="4" s="1"/>
  <c r="CO474" i="4" s="1"/>
  <c r="BR474" i="4"/>
  <c r="CD474" i="4" s="1"/>
  <c r="CP474" i="4" s="1"/>
  <c r="BS474" i="4"/>
  <c r="CE474" i="4" s="1"/>
  <c r="CQ474" i="4" s="1"/>
  <c r="DS474" i="4" s="1"/>
  <c r="BT474" i="4"/>
  <c r="CF474" i="4" s="1"/>
  <c r="CR474" i="4" s="1"/>
  <c r="DT474" i="4" s="1"/>
  <c r="BU474" i="4"/>
  <c r="BV474" i="4"/>
  <c r="BW474" i="4"/>
  <c r="CI474" i="4" s="1"/>
  <c r="CU474" i="4" s="1"/>
  <c r="BX474" i="4"/>
  <c r="CJ474" i="4" s="1"/>
  <c r="CV474" i="4" s="1"/>
  <c r="BY474" i="4"/>
  <c r="CK474" i="4" s="1"/>
  <c r="CW474" i="4" s="1"/>
  <c r="CA474" i="4"/>
  <c r="CM474" i="4" s="1"/>
  <c r="DO474" i="4" s="1"/>
  <c r="CG474" i="4"/>
  <c r="CS474" i="4" s="1"/>
  <c r="CH474" i="4"/>
  <c r="CT474" i="4" s="1"/>
  <c r="CZ474" i="4"/>
  <c r="DA474" i="4"/>
  <c r="DB474" i="4"/>
  <c r="DC474" i="4"/>
  <c r="DD474" i="4"/>
  <c r="DE474" i="4"/>
  <c r="DF474" i="4"/>
  <c r="DG474" i="4"/>
  <c r="DH474" i="4"/>
  <c r="DI474" i="4"/>
  <c r="DJ474" i="4"/>
  <c r="DX474" i="4" s="1"/>
  <c r="DK474" i="4"/>
  <c r="BN475" i="4"/>
  <c r="BZ475" i="4" s="1"/>
  <c r="CL475" i="4" s="1"/>
  <c r="BO475" i="4"/>
  <c r="CA475" i="4" s="1"/>
  <c r="CM475" i="4" s="1"/>
  <c r="BP475" i="4"/>
  <c r="CB475" i="4" s="1"/>
  <c r="CN475" i="4" s="1"/>
  <c r="DP475" i="4" s="1"/>
  <c r="BQ475" i="4"/>
  <c r="BR475" i="4"/>
  <c r="BS475" i="4"/>
  <c r="CE475" i="4" s="1"/>
  <c r="CQ475" i="4" s="1"/>
  <c r="DS475" i="4" s="1"/>
  <c r="BT475" i="4"/>
  <c r="BU475" i="4"/>
  <c r="CG475" i="4" s="1"/>
  <c r="CS475" i="4" s="1"/>
  <c r="BV475" i="4"/>
  <c r="CH475" i="4" s="1"/>
  <c r="CT475" i="4" s="1"/>
  <c r="BW475" i="4"/>
  <c r="CI475" i="4" s="1"/>
  <c r="CU475" i="4" s="1"/>
  <c r="BX475" i="4"/>
  <c r="CJ475" i="4" s="1"/>
  <c r="CV475" i="4" s="1"/>
  <c r="BY475" i="4"/>
  <c r="CK475" i="4" s="1"/>
  <c r="CC475" i="4"/>
  <c r="CO475" i="4" s="1"/>
  <c r="CD475" i="4"/>
  <c r="CP475" i="4" s="1"/>
  <c r="CF475" i="4"/>
  <c r="CR475" i="4" s="1"/>
  <c r="DT475" i="4" s="1"/>
  <c r="CW475" i="4"/>
  <c r="CZ475" i="4"/>
  <c r="DA475" i="4"/>
  <c r="DB475" i="4"/>
  <c r="DC475" i="4"/>
  <c r="DD475" i="4"/>
  <c r="DE475" i="4"/>
  <c r="DF475" i="4"/>
  <c r="DG475" i="4"/>
  <c r="DU475" i="4" s="1"/>
  <c r="DH475" i="4"/>
  <c r="DI475" i="4"/>
  <c r="DJ475" i="4"/>
  <c r="DK475" i="4"/>
  <c r="DX475" i="4"/>
  <c r="BN476" i="4"/>
  <c r="BZ476" i="4" s="1"/>
  <c r="CL476" i="4" s="1"/>
  <c r="BO476" i="4"/>
  <c r="CA476" i="4" s="1"/>
  <c r="CM476" i="4" s="1"/>
  <c r="BP476" i="4"/>
  <c r="CB476" i="4" s="1"/>
  <c r="CN476" i="4" s="1"/>
  <c r="BQ476" i="4"/>
  <c r="BR476" i="4"/>
  <c r="CD476" i="4" s="1"/>
  <c r="BS476" i="4"/>
  <c r="CE476" i="4" s="1"/>
  <c r="CQ476" i="4" s="1"/>
  <c r="DS476" i="4" s="1"/>
  <c r="BT476" i="4"/>
  <c r="CF476" i="4" s="1"/>
  <c r="CR476" i="4" s="1"/>
  <c r="BU476" i="4"/>
  <c r="BV476" i="4"/>
  <c r="CH476" i="4" s="1"/>
  <c r="CT476" i="4" s="1"/>
  <c r="BW476" i="4"/>
  <c r="BX476" i="4"/>
  <c r="BY476" i="4"/>
  <c r="CC476" i="4"/>
  <c r="CO476" i="4" s="1"/>
  <c r="CG476" i="4"/>
  <c r="CS476" i="4" s="1"/>
  <c r="CI476" i="4"/>
  <c r="CU476" i="4" s="1"/>
  <c r="CJ476" i="4"/>
  <c r="CV476" i="4" s="1"/>
  <c r="CK476" i="4"/>
  <c r="CW476" i="4" s="1"/>
  <c r="CP476" i="4"/>
  <c r="DR476" i="4" s="1"/>
  <c r="CZ476" i="4"/>
  <c r="DA476" i="4"/>
  <c r="DB476" i="4"/>
  <c r="DC476" i="4"/>
  <c r="DQ476" i="4" s="1"/>
  <c r="DD476" i="4"/>
  <c r="DE476" i="4"/>
  <c r="DF476" i="4"/>
  <c r="DG476" i="4"/>
  <c r="DH476" i="4"/>
  <c r="DI476" i="4"/>
  <c r="DJ476" i="4"/>
  <c r="DK476" i="4"/>
  <c r="BN477" i="4"/>
  <c r="BO477" i="4"/>
  <c r="CA477" i="4" s="1"/>
  <c r="CM477" i="4" s="1"/>
  <c r="BP477" i="4"/>
  <c r="CB477" i="4" s="1"/>
  <c r="CN477" i="4" s="1"/>
  <c r="BQ477" i="4"/>
  <c r="BR477" i="4"/>
  <c r="CD477" i="4" s="1"/>
  <c r="CP477" i="4" s="1"/>
  <c r="BS477" i="4"/>
  <c r="CE477" i="4" s="1"/>
  <c r="CQ477" i="4" s="1"/>
  <c r="BT477" i="4"/>
  <c r="BU477" i="4"/>
  <c r="CG477" i="4" s="1"/>
  <c r="CS477" i="4" s="1"/>
  <c r="BV477" i="4"/>
  <c r="CH477" i="4" s="1"/>
  <c r="CT477" i="4" s="1"/>
  <c r="DV477" i="4" s="1"/>
  <c r="BW477" i="4"/>
  <c r="BX477" i="4"/>
  <c r="BY477" i="4"/>
  <c r="CK477" i="4" s="1"/>
  <c r="CW477" i="4" s="1"/>
  <c r="DY477" i="4" s="1"/>
  <c r="BZ477" i="4"/>
  <c r="CL477" i="4" s="1"/>
  <c r="CC477" i="4"/>
  <c r="CO477" i="4" s="1"/>
  <c r="CF477" i="4"/>
  <c r="CI477" i="4"/>
  <c r="CU477" i="4" s="1"/>
  <c r="CJ477" i="4"/>
  <c r="CV477" i="4" s="1"/>
  <c r="DX477" i="4" s="1"/>
  <c r="CR477" i="4"/>
  <c r="CZ477" i="4"/>
  <c r="DA477" i="4"/>
  <c r="DB477" i="4"/>
  <c r="DC477" i="4"/>
  <c r="DD477" i="4"/>
  <c r="DE477" i="4"/>
  <c r="DF477" i="4"/>
  <c r="DT477" i="4" s="1"/>
  <c r="DG477" i="4"/>
  <c r="DH477" i="4"/>
  <c r="DI477" i="4"/>
  <c r="DJ477" i="4"/>
  <c r="DK477" i="4"/>
  <c r="DQ477" i="4"/>
  <c r="BN478" i="4"/>
  <c r="BZ478" i="4" s="1"/>
  <c r="CL478" i="4" s="1"/>
  <c r="BO478" i="4"/>
  <c r="CA478" i="4" s="1"/>
  <c r="CM478" i="4" s="1"/>
  <c r="DO478" i="4" s="1"/>
  <c r="BP478" i="4"/>
  <c r="CB478" i="4" s="1"/>
  <c r="CN478" i="4" s="1"/>
  <c r="BQ478" i="4"/>
  <c r="CC478" i="4" s="1"/>
  <c r="CO478" i="4" s="1"/>
  <c r="BR478" i="4"/>
  <c r="BS478" i="4"/>
  <c r="BT478" i="4"/>
  <c r="CF478" i="4" s="1"/>
  <c r="CR478" i="4" s="1"/>
  <c r="BU478" i="4"/>
  <c r="CG478" i="4" s="1"/>
  <c r="CS478" i="4" s="1"/>
  <c r="BV478" i="4"/>
  <c r="CH478" i="4" s="1"/>
  <c r="CT478" i="4" s="1"/>
  <c r="BW478" i="4"/>
  <c r="CI478" i="4" s="1"/>
  <c r="BX478" i="4"/>
  <c r="CJ478" i="4" s="1"/>
  <c r="CV478" i="4" s="1"/>
  <c r="BY478" i="4"/>
  <c r="CK478" i="4" s="1"/>
  <c r="CW478" i="4" s="1"/>
  <c r="CD478" i="4"/>
  <c r="CP478" i="4" s="1"/>
  <c r="CE478" i="4"/>
  <c r="CQ478" i="4" s="1"/>
  <c r="CU478" i="4"/>
  <c r="CZ478" i="4"/>
  <c r="DA478" i="4"/>
  <c r="DB478" i="4"/>
  <c r="DC478" i="4"/>
  <c r="DD478" i="4"/>
  <c r="DE478" i="4"/>
  <c r="DF478" i="4"/>
  <c r="DT478" i="4" s="1"/>
  <c r="DG478" i="4"/>
  <c r="DH478" i="4"/>
  <c r="DI478" i="4"/>
  <c r="DJ478" i="4"/>
  <c r="DK478" i="4"/>
  <c r="DY478" i="4" s="1"/>
  <c r="DV478" i="4"/>
  <c r="BN479" i="4"/>
  <c r="BZ479" i="4" s="1"/>
  <c r="CL479" i="4" s="1"/>
  <c r="BO479" i="4"/>
  <c r="CA479" i="4" s="1"/>
  <c r="CM479" i="4" s="1"/>
  <c r="BP479" i="4"/>
  <c r="CB479" i="4" s="1"/>
  <c r="CN479" i="4" s="1"/>
  <c r="DP479" i="4" s="1"/>
  <c r="BQ479" i="4"/>
  <c r="CC479" i="4" s="1"/>
  <c r="CO479" i="4" s="1"/>
  <c r="BR479" i="4"/>
  <c r="BS479" i="4"/>
  <c r="CE479" i="4" s="1"/>
  <c r="BT479" i="4"/>
  <c r="CF479" i="4" s="1"/>
  <c r="CR479" i="4" s="1"/>
  <c r="DT479" i="4" s="1"/>
  <c r="BU479" i="4"/>
  <c r="CG479" i="4" s="1"/>
  <c r="CS479" i="4" s="1"/>
  <c r="DU479" i="4" s="1"/>
  <c r="BV479" i="4"/>
  <c r="CH479" i="4" s="1"/>
  <c r="CT479" i="4" s="1"/>
  <c r="BW479" i="4"/>
  <c r="BX479" i="4"/>
  <c r="CJ479" i="4" s="1"/>
  <c r="CV479" i="4" s="1"/>
  <c r="DX479" i="4" s="1"/>
  <c r="BY479" i="4"/>
  <c r="CK479" i="4" s="1"/>
  <c r="CW479" i="4" s="1"/>
  <c r="CD479" i="4"/>
  <c r="CP479" i="4" s="1"/>
  <c r="CI479" i="4"/>
  <c r="CU479" i="4" s="1"/>
  <c r="CQ479" i="4"/>
  <c r="CZ479" i="4"/>
  <c r="DA479" i="4"/>
  <c r="DB479" i="4"/>
  <c r="DC479" i="4"/>
  <c r="DD479" i="4"/>
  <c r="DE479" i="4"/>
  <c r="DF479" i="4"/>
  <c r="DG479" i="4"/>
  <c r="DH479" i="4"/>
  <c r="DI479" i="4"/>
  <c r="DJ479" i="4"/>
  <c r="DK479" i="4"/>
  <c r="DY479" i="4" s="1"/>
  <c r="DL479" i="4"/>
  <c r="DR479" i="4"/>
  <c r="BN480" i="4"/>
  <c r="BO480" i="4"/>
  <c r="CA480" i="4" s="1"/>
  <c r="CM480" i="4" s="1"/>
  <c r="BP480" i="4"/>
  <c r="BQ480" i="4"/>
  <c r="CC480" i="4" s="1"/>
  <c r="CO480" i="4" s="1"/>
  <c r="BR480" i="4"/>
  <c r="CD480" i="4" s="1"/>
  <c r="CP480" i="4" s="1"/>
  <c r="DR480" i="4" s="1"/>
  <c r="BS480" i="4"/>
  <c r="CE480" i="4" s="1"/>
  <c r="CQ480" i="4" s="1"/>
  <c r="DS480" i="4" s="1"/>
  <c r="BT480" i="4"/>
  <c r="CF480" i="4" s="1"/>
  <c r="CR480" i="4" s="1"/>
  <c r="BU480" i="4"/>
  <c r="BV480" i="4"/>
  <c r="CH480" i="4" s="1"/>
  <c r="BW480" i="4"/>
  <c r="CI480" i="4" s="1"/>
  <c r="BX480" i="4"/>
  <c r="BY480" i="4"/>
  <c r="CK480" i="4" s="1"/>
  <c r="CW480" i="4" s="1"/>
  <c r="BZ480" i="4"/>
  <c r="CL480" i="4" s="1"/>
  <c r="CB480" i="4"/>
  <c r="CN480" i="4" s="1"/>
  <c r="DP480" i="4" s="1"/>
  <c r="CG480" i="4"/>
  <c r="CS480" i="4" s="1"/>
  <c r="CJ480" i="4"/>
  <c r="CV480" i="4" s="1"/>
  <c r="DX480" i="4" s="1"/>
  <c r="CT480" i="4"/>
  <c r="CU480" i="4"/>
  <c r="CZ480" i="4"/>
  <c r="DA480" i="4"/>
  <c r="DM480" i="4" s="1"/>
  <c r="DB480" i="4"/>
  <c r="DC480" i="4"/>
  <c r="DD480" i="4"/>
  <c r="DE480" i="4"/>
  <c r="DF480" i="4"/>
  <c r="DT480" i="4" s="1"/>
  <c r="DG480" i="4"/>
  <c r="DH480" i="4"/>
  <c r="DI480" i="4"/>
  <c r="DJ480" i="4"/>
  <c r="DK480" i="4"/>
  <c r="DO480" i="4"/>
  <c r="DV480" i="4"/>
  <c r="BN481" i="4"/>
  <c r="BO481" i="4"/>
  <c r="BP481" i="4"/>
  <c r="CB481" i="4" s="1"/>
  <c r="CN481" i="4" s="1"/>
  <c r="DP481" i="4" s="1"/>
  <c r="BQ481" i="4"/>
  <c r="BR481" i="4"/>
  <c r="CD481" i="4" s="1"/>
  <c r="BS481" i="4"/>
  <c r="CE481" i="4" s="1"/>
  <c r="CQ481" i="4" s="1"/>
  <c r="BT481" i="4"/>
  <c r="CF481" i="4" s="1"/>
  <c r="BU481" i="4"/>
  <c r="BV481" i="4"/>
  <c r="CH481" i="4" s="1"/>
  <c r="CT481" i="4" s="1"/>
  <c r="DV481" i="4" s="1"/>
  <c r="BW481" i="4"/>
  <c r="BX481" i="4"/>
  <c r="CJ481" i="4" s="1"/>
  <c r="CV481" i="4" s="1"/>
  <c r="DX481" i="4" s="1"/>
  <c r="BY481" i="4"/>
  <c r="BZ481" i="4"/>
  <c r="CL481" i="4" s="1"/>
  <c r="CA481" i="4"/>
  <c r="CM481" i="4" s="1"/>
  <c r="CC481" i="4"/>
  <c r="CO481" i="4" s="1"/>
  <c r="CG481" i="4"/>
  <c r="CI481" i="4"/>
  <c r="CU481" i="4" s="1"/>
  <c r="CK481" i="4"/>
  <c r="CW481" i="4" s="1"/>
  <c r="CP481" i="4"/>
  <c r="CR481" i="4"/>
  <c r="CS481" i="4"/>
  <c r="DU481" i="4" s="1"/>
  <c r="CZ481" i="4"/>
  <c r="DA481" i="4"/>
  <c r="DB481" i="4"/>
  <c r="DC481" i="4"/>
  <c r="DD481" i="4"/>
  <c r="DE481" i="4"/>
  <c r="DF481" i="4"/>
  <c r="DG481" i="4"/>
  <c r="DH481" i="4"/>
  <c r="DI481" i="4"/>
  <c r="DJ481" i="4"/>
  <c r="DK481" i="4"/>
  <c r="DN481" i="4"/>
  <c r="DO481" i="4"/>
  <c r="DQ481" i="4"/>
  <c r="BN482" i="4"/>
  <c r="BO482" i="4"/>
  <c r="BP482" i="4"/>
  <c r="CB482" i="4" s="1"/>
  <c r="CN482" i="4" s="1"/>
  <c r="BQ482" i="4"/>
  <c r="CC482" i="4" s="1"/>
  <c r="CO482" i="4" s="1"/>
  <c r="BR482" i="4"/>
  <c r="CD482" i="4" s="1"/>
  <c r="CP482" i="4" s="1"/>
  <c r="DR482" i="4" s="1"/>
  <c r="BS482" i="4"/>
  <c r="BT482" i="4"/>
  <c r="CF482" i="4" s="1"/>
  <c r="CR482" i="4" s="1"/>
  <c r="BU482" i="4"/>
  <c r="BV482" i="4"/>
  <c r="CH482" i="4" s="1"/>
  <c r="CT482" i="4" s="1"/>
  <c r="BW482" i="4"/>
  <c r="CI482" i="4" s="1"/>
  <c r="CU482" i="4" s="1"/>
  <c r="BX482" i="4"/>
  <c r="CJ482" i="4" s="1"/>
  <c r="CV482" i="4" s="1"/>
  <c r="BY482" i="4"/>
  <c r="BZ482" i="4"/>
  <c r="CL482" i="4" s="1"/>
  <c r="CA482" i="4"/>
  <c r="CE482" i="4"/>
  <c r="CQ482" i="4" s="1"/>
  <c r="CG482" i="4"/>
  <c r="CK482" i="4"/>
  <c r="CW482" i="4" s="1"/>
  <c r="CM482" i="4"/>
  <c r="DO482" i="4" s="1"/>
  <c r="CS482" i="4"/>
  <c r="DU482" i="4" s="1"/>
  <c r="CZ482" i="4"/>
  <c r="DA482" i="4"/>
  <c r="DB482" i="4"/>
  <c r="DC482" i="4"/>
  <c r="DD482" i="4"/>
  <c r="DE482" i="4"/>
  <c r="DF482" i="4"/>
  <c r="DG482" i="4"/>
  <c r="DH482" i="4"/>
  <c r="DI482" i="4"/>
  <c r="DJ482" i="4"/>
  <c r="DK482" i="4"/>
  <c r="BN483" i="4"/>
  <c r="BZ483" i="4" s="1"/>
  <c r="BO483" i="4"/>
  <c r="CA483" i="4" s="1"/>
  <c r="CM483" i="4" s="1"/>
  <c r="BP483" i="4"/>
  <c r="CB483" i="4" s="1"/>
  <c r="CN483" i="4" s="1"/>
  <c r="BQ483" i="4"/>
  <c r="CC483" i="4" s="1"/>
  <c r="CO483" i="4" s="1"/>
  <c r="BR483" i="4"/>
  <c r="BS483" i="4"/>
  <c r="BT483" i="4"/>
  <c r="CF483" i="4" s="1"/>
  <c r="CR483" i="4" s="1"/>
  <c r="DT483" i="4" s="1"/>
  <c r="BU483" i="4"/>
  <c r="BV483" i="4"/>
  <c r="CH483" i="4" s="1"/>
  <c r="BW483" i="4"/>
  <c r="CI483" i="4" s="1"/>
  <c r="CU483" i="4" s="1"/>
  <c r="BX483" i="4"/>
  <c r="CJ483" i="4" s="1"/>
  <c r="BY483" i="4"/>
  <c r="CK483" i="4" s="1"/>
  <c r="CW483" i="4" s="1"/>
  <c r="DY483" i="4" s="1"/>
  <c r="CD483" i="4"/>
  <c r="CP483" i="4" s="1"/>
  <c r="CE483" i="4"/>
  <c r="CG483" i="4"/>
  <c r="CS483" i="4" s="1"/>
  <c r="DU483" i="4" s="1"/>
  <c r="CL483" i="4"/>
  <c r="CQ483" i="4"/>
  <c r="CT483" i="4"/>
  <c r="DV483" i="4" s="1"/>
  <c r="CV483" i="4"/>
  <c r="DX483" i="4" s="1"/>
  <c r="CZ483" i="4"/>
  <c r="DA483" i="4"/>
  <c r="DB483" i="4"/>
  <c r="DC483" i="4"/>
  <c r="DD483" i="4"/>
  <c r="DR483" i="4" s="1"/>
  <c r="DE483" i="4"/>
  <c r="DS483" i="4" s="1"/>
  <c r="DF483" i="4"/>
  <c r="DG483" i="4"/>
  <c r="DH483" i="4"/>
  <c r="DI483" i="4"/>
  <c r="DW483" i="4" s="1"/>
  <c r="DJ483" i="4"/>
  <c r="DK483" i="4"/>
  <c r="DL483" i="4"/>
  <c r="DN483" i="4"/>
  <c r="BN484" i="4"/>
  <c r="BO484" i="4"/>
  <c r="CA484" i="4" s="1"/>
  <c r="CM484" i="4" s="1"/>
  <c r="BP484" i="4"/>
  <c r="CB484" i="4" s="1"/>
  <c r="BQ484" i="4"/>
  <c r="BR484" i="4"/>
  <c r="CD484" i="4" s="1"/>
  <c r="CP484" i="4" s="1"/>
  <c r="BS484" i="4"/>
  <c r="CE484" i="4" s="1"/>
  <c r="CQ484" i="4" s="1"/>
  <c r="DS484" i="4" s="1"/>
  <c r="BT484" i="4"/>
  <c r="BU484" i="4"/>
  <c r="CG484" i="4" s="1"/>
  <c r="CS484" i="4" s="1"/>
  <c r="BV484" i="4"/>
  <c r="CH484" i="4" s="1"/>
  <c r="CT484" i="4" s="1"/>
  <c r="DV484" i="4" s="1"/>
  <c r="BW484" i="4"/>
  <c r="CI484" i="4" s="1"/>
  <c r="CU484" i="4" s="1"/>
  <c r="BX484" i="4"/>
  <c r="CJ484" i="4" s="1"/>
  <c r="CV484" i="4" s="1"/>
  <c r="BY484" i="4"/>
  <c r="BZ484" i="4"/>
  <c r="CL484" i="4" s="1"/>
  <c r="DN484" i="4" s="1"/>
  <c r="CC484" i="4"/>
  <c r="CO484" i="4" s="1"/>
  <c r="DQ484" i="4" s="1"/>
  <c r="CF484" i="4"/>
  <c r="CR484" i="4" s="1"/>
  <c r="CK484" i="4"/>
  <c r="CW484" i="4" s="1"/>
  <c r="DY484" i="4" s="1"/>
  <c r="CN484" i="4"/>
  <c r="CZ484" i="4"/>
  <c r="DA484" i="4"/>
  <c r="DB484" i="4"/>
  <c r="DC484" i="4"/>
  <c r="DD484" i="4"/>
  <c r="DE484" i="4"/>
  <c r="DF484" i="4"/>
  <c r="DT484" i="4" s="1"/>
  <c r="DG484" i="4"/>
  <c r="DH484" i="4"/>
  <c r="DI484" i="4"/>
  <c r="DJ484" i="4"/>
  <c r="DX484" i="4" s="1"/>
  <c r="DK484" i="4"/>
  <c r="BN485" i="4"/>
  <c r="BZ485" i="4" s="1"/>
  <c r="CL485" i="4" s="1"/>
  <c r="BO485" i="4"/>
  <c r="BP485" i="4"/>
  <c r="CB485" i="4" s="1"/>
  <c r="BQ485" i="4"/>
  <c r="CC485" i="4" s="1"/>
  <c r="BR485" i="4"/>
  <c r="CD485" i="4" s="1"/>
  <c r="CP485" i="4" s="1"/>
  <c r="BS485" i="4"/>
  <c r="CE485" i="4" s="1"/>
  <c r="CQ485" i="4" s="1"/>
  <c r="BT485" i="4"/>
  <c r="CF485" i="4" s="1"/>
  <c r="CR485" i="4" s="1"/>
  <c r="BU485" i="4"/>
  <c r="CG485" i="4" s="1"/>
  <c r="CS485" i="4" s="1"/>
  <c r="BV485" i="4"/>
  <c r="CH485" i="4" s="1"/>
  <c r="CT485" i="4" s="1"/>
  <c r="BW485" i="4"/>
  <c r="BX485" i="4"/>
  <c r="CJ485" i="4" s="1"/>
  <c r="CV485" i="4" s="1"/>
  <c r="BY485" i="4"/>
  <c r="CA485" i="4"/>
  <c r="CM485" i="4" s="1"/>
  <c r="DO485" i="4" s="1"/>
  <c r="CI485" i="4"/>
  <c r="CU485" i="4" s="1"/>
  <c r="DW485" i="4" s="1"/>
  <c r="CK485" i="4"/>
  <c r="CW485" i="4" s="1"/>
  <c r="DY485" i="4" s="1"/>
  <c r="CN485" i="4"/>
  <c r="CO485" i="4"/>
  <c r="DQ485" i="4" s="1"/>
  <c r="CZ485" i="4"/>
  <c r="DA485" i="4"/>
  <c r="DB485" i="4"/>
  <c r="DC485" i="4"/>
  <c r="DD485" i="4"/>
  <c r="DE485" i="4"/>
  <c r="DF485" i="4"/>
  <c r="DG485" i="4"/>
  <c r="DH485" i="4"/>
  <c r="DI485" i="4"/>
  <c r="DJ485" i="4"/>
  <c r="DK485" i="4"/>
  <c r="BN486" i="4"/>
  <c r="BZ486" i="4" s="1"/>
  <c r="BO486" i="4"/>
  <c r="CA486" i="4" s="1"/>
  <c r="CM486" i="4" s="1"/>
  <c r="BP486" i="4"/>
  <c r="CB486" i="4" s="1"/>
  <c r="CN486" i="4" s="1"/>
  <c r="BQ486" i="4"/>
  <c r="CC486" i="4" s="1"/>
  <c r="BR486" i="4"/>
  <c r="BS486" i="4"/>
  <c r="CE486" i="4" s="1"/>
  <c r="CQ486" i="4" s="1"/>
  <c r="BT486" i="4"/>
  <c r="CF486" i="4" s="1"/>
  <c r="BU486" i="4"/>
  <c r="CG486" i="4" s="1"/>
  <c r="CS486" i="4" s="1"/>
  <c r="BV486" i="4"/>
  <c r="BW486" i="4"/>
  <c r="CI486" i="4" s="1"/>
  <c r="CU486" i="4" s="1"/>
  <c r="BX486" i="4"/>
  <c r="CJ486" i="4" s="1"/>
  <c r="CV486" i="4" s="1"/>
  <c r="BY486" i="4"/>
  <c r="CK486" i="4" s="1"/>
  <c r="CW486" i="4" s="1"/>
  <c r="CD486" i="4"/>
  <c r="CP486" i="4" s="1"/>
  <c r="DR486" i="4" s="1"/>
  <c r="CH486" i="4"/>
  <c r="CT486" i="4" s="1"/>
  <c r="DV486" i="4" s="1"/>
  <c r="CL486" i="4"/>
  <c r="CO486" i="4"/>
  <c r="CR486" i="4"/>
  <c r="CZ486" i="4"/>
  <c r="DA486" i="4"/>
  <c r="DB486" i="4"/>
  <c r="DC486" i="4"/>
  <c r="DD486" i="4"/>
  <c r="DE486" i="4"/>
  <c r="DF486" i="4"/>
  <c r="DG486" i="4"/>
  <c r="DH486" i="4"/>
  <c r="DI486" i="4"/>
  <c r="DJ486" i="4"/>
  <c r="DK486" i="4"/>
  <c r="DN486" i="4"/>
  <c r="DU486" i="4"/>
  <c r="BN487" i="4"/>
  <c r="BO487" i="4"/>
  <c r="CA487" i="4" s="1"/>
  <c r="BP487" i="4"/>
  <c r="CB487" i="4" s="1"/>
  <c r="CN487" i="4" s="1"/>
  <c r="DP487" i="4" s="1"/>
  <c r="BQ487" i="4"/>
  <c r="CC487" i="4" s="1"/>
  <c r="CO487" i="4" s="1"/>
  <c r="BR487" i="4"/>
  <c r="CD487" i="4" s="1"/>
  <c r="CP487" i="4" s="1"/>
  <c r="BS487" i="4"/>
  <c r="BT487" i="4"/>
  <c r="BU487" i="4"/>
  <c r="CG487" i="4" s="1"/>
  <c r="CS487" i="4" s="1"/>
  <c r="DU487" i="4" s="1"/>
  <c r="BV487" i="4"/>
  <c r="BW487" i="4"/>
  <c r="CI487" i="4" s="1"/>
  <c r="BX487" i="4"/>
  <c r="CJ487" i="4" s="1"/>
  <c r="CV487" i="4" s="1"/>
  <c r="DX487" i="4" s="1"/>
  <c r="BY487" i="4"/>
  <c r="CK487" i="4" s="1"/>
  <c r="CW487" i="4" s="1"/>
  <c r="BZ487" i="4"/>
  <c r="CL487" i="4" s="1"/>
  <c r="CE487" i="4"/>
  <c r="CQ487" i="4" s="1"/>
  <c r="CF487" i="4"/>
  <c r="CR487" i="4" s="1"/>
  <c r="CH487" i="4"/>
  <c r="CT487" i="4" s="1"/>
  <c r="CM487" i="4"/>
  <c r="CU487" i="4"/>
  <c r="CZ487" i="4"/>
  <c r="DA487" i="4"/>
  <c r="DB487" i="4"/>
  <c r="DC487" i="4"/>
  <c r="DD487" i="4"/>
  <c r="DE487" i="4"/>
  <c r="DF487" i="4"/>
  <c r="DG487" i="4"/>
  <c r="DH487" i="4"/>
  <c r="DV487" i="4" s="1"/>
  <c r="DI487" i="4"/>
  <c r="DW487" i="4" s="1"/>
  <c r="DJ487" i="4"/>
  <c r="DK487" i="4"/>
  <c r="DL487" i="4"/>
  <c r="DS487" i="4"/>
  <c r="BN488" i="4"/>
  <c r="BZ488" i="4" s="1"/>
  <c r="CL488" i="4" s="1"/>
  <c r="DN488" i="4" s="1"/>
  <c r="BO488" i="4"/>
  <c r="CA488" i="4" s="1"/>
  <c r="CM488" i="4" s="1"/>
  <c r="BP488" i="4"/>
  <c r="CB488" i="4" s="1"/>
  <c r="BQ488" i="4"/>
  <c r="CC488" i="4" s="1"/>
  <c r="CO488" i="4" s="1"/>
  <c r="BR488" i="4"/>
  <c r="CD488" i="4" s="1"/>
  <c r="BS488" i="4"/>
  <c r="BT488" i="4"/>
  <c r="CF488" i="4" s="1"/>
  <c r="CR488" i="4" s="1"/>
  <c r="BU488" i="4"/>
  <c r="CG488" i="4" s="1"/>
  <c r="CS488" i="4" s="1"/>
  <c r="BV488" i="4"/>
  <c r="CH488" i="4" s="1"/>
  <c r="CT488" i="4" s="1"/>
  <c r="DV488" i="4" s="1"/>
  <c r="BW488" i="4"/>
  <c r="CI488" i="4" s="1"/>
  <c r="CU488" i="4" s="1"/>
  <c r="BX488" i="4"/>
  <c r="CJ488" i="4" s="1"/>
  <c r="BY488" i="4"/>
  <c r="CE488" i="4"/>
  <c r="CQ488" i="4" s="1"/>
  <c r="CK488" i="4"/>
  <c r="CW488" i="4" s="1"/>
  <c r="CN488" i="4"/>
  <c r="CP488" i="4"/>
  <c r="CV488" i="4"/>
  <c r="CZ488" i="4"/>
  <c r="DA488" i="4"/>
  <c r="DB488" i="4"/>
  <c r="DC488" i="4"/>
  <c r="DD488" i="4"/>
  <c r="DR488" i="4" s="1"/>
  <c r="DE488" i="4"/>
  <c r="DF488" i="4"/>
  <c r="DG488" i="4"/>
  <c r="DH488" i="4"/>
  <c r="DI488" i="4"/>
  <c r="DJ488" i="4"/>
  <c r="DK488" i="4"/>
  <c r="BN489" i="4"/>
  <c r="BZ489" i="4" s="1"/>
  <c r="CL489" i="4" s="1"/>
  <c r="BO489" i="4"/>
  <c r="BP489" i="4"/>
  <c r="CB489" i="4" s="1"/>
  <c r="CN489" i="4" s="1"/>
  <c r="BQ489" i="4"/>
  <c r="CC489" i="4" s="1"/>
  <c r="CO489" i="4" s="1"/>
  <c r="BR489" i="4"/>
  <c r="CD489" i="4" s="1"/>
  <c r="CP489" i="4" s="1"/>
  <c r="BS489" i="4"/>
  <c r="CE489" i="4" s="1"/>
  <c r="BT489" i="4"/>
  <c r="BU489" i="4"/>
  <c r="CG489" i="4" s="1"/>
  <c r="CS489" i="4" s="1"/>
  <c r="BV489" i="4"/>
  <c r="CH489" i="4" s="1"/>
  <c r="BW489" i="4"/>
  <c r="BX489" i="4"/>
  <c r="BY489" i="4"/>
  <c r="CK489" i="4" s="1"/>
  <c r="CW489" i="4" s="1"/>
  <c r="CA489" i="4"/>
  <c r="CM489" i="4" s="1"/>
  <c r="CF489" i="4"/>
  <c r="CR489" i="4" s="1"/>
  <c r="CI489" i="4"/>
  <c r="CU489" i="4" s="1"/>
  <c r="CJ489" i="4"/>
  <c r="CV489" i="4" s="1"/>
  <c r="CQ489" i="4"/>
  <c r="CT489" i="4"/>
  <c r="CZ489" i="4"/>
  <c r="DA489" i="4"/>
  <c r="DB489" i="4"/>
  <c r="DC489" i="4"/>
  <c r="DD489" i="4"/>
  <c r="DE489" i="4"/>
  <c r="DF489" i="4"/>
  <c r="DG489" i="4"/>
  <c r="DH489" i="4"/>
  <c r="DI489" i="4"/>
  <c r="DW489" i="4" s="1"/>
  <c r="DJ489" i="4"/>
  <c r="DK489" i="4"/>
  <c r="BN490" i="4"/>
  <c r="BO490" i="4"/>
  <c r="CA490" i="4" s="1"/>
  <c r="CM490" i="4" s="1"/>
  <c r="DO490" i="4" s="1"/>
  <c r="BP490" i="4"/>
  <c r="CB490" i="4" s="1"/>
  <c r="BQ490" i="4"/>
  <c r="CC490" i="4" s="1"/>
  <c r="CO490" i="4" s="1"/>
  <c r="BR490" i="4"/>
  <c r="CD490" i="4" s="1"/>
  <c r="CP490" i="4" s="1"/>
  <c r="DR490" i="4" s="1"/>
  <c r="BS490" i="4"/>
  <c r="CE490" i="4" s="1"/>
  <c r="CQ490" i="4" s="1"/>
  <c r="DS490" i="4" s="1"/>
  <c r="BT490" i="4"/>
  <c r="BU490" i="4"/>
  <c r="BV490" i="4"/>
  <c r="CH490" i="4" s="1"/>
  <c r="BW490" i="4"/>
  <c r="CI490" i="4" s="1"/>
  <c r="CU490" i="4" s="1"/>
  <c r="DW490" i="4" s="1"/>
  <c r="BX490" i="4"/>
  <c r="BY490" i="4"/>
  <c r="CK490" i="4" s="1"/>
  <c r="CW490" i="4" s="1"/>
  <c r="BZ490" i="4"/>
  <c r="CL490" i="4" s="1"/>
  <c r="DN490" i="4" s="1"/>
  <c r="CF490" i="4"/>
  <c r="CG490" i="4"/>
  <c r="CS490" i="4" s="1"/>
  <c r="CJ490" i="4"/>
  <c r="CV490" i="4" s="1"/>
  <c r="CN490" i="4"/>
  <c r="CR490" i="4"/>
  <c r="CT490" i="4"/>
  <c r="DV490" i="4" s="1"/>
  <c r="CZ490" i="4"/>
  <c r="DA490" i="4"/>
  <c r="DB490" i="4"/>
  <c r="DC490" i="4"/>
  <c r="DD490" i="4"/>
  <c r="DE490" i="4"/>
  <c r="DF490" i="4"/>
  <c r="DG490" i="4"/>
  <c r="DH490" i="4"/>
  <c r="DI490" i="4"/>
  <c r="DJ490" i="4"/>
  <c r="DK490" i="4"/>
  <c r="DX490" i="4"/>
  <c r="BN491" i="4"/>
  <c r="BO491" i="4"/>
  <c r="CA491" i="4" s="1"/>
  <c r="CM491" i="4" s="1"/>
  <c r="BP491" i="4"/>
  <c r="CB491" i="4" s="1"/>
  <c r="CN491" i="4" s="1"/>
  <c r="BQ491" i="4"/>
  <c r="CC491" i="4" s="1"/>
  <c r="CO491" i="4" s="1"/>
  <c r="BR491" i="4"/>
  <c r="BS491" i="4"/>
  <c r="CE491" i="4" s="1"/>
  <c r="CQ491" i="4" s="1"/>
  <c r="BT491" i="4"/>
  <c r="BU491" i="4"/>
  <c r="CG491" i="4" s="1"/>
  <c r="CS491" i="4" s="1"/>
  <c r="DU491" i="4" s="1"/>
  <c r="BV491" i="4"/>
  <c r="CH491" i="4" s="1"/>
  <c r="BW491" i="4"/>
  <c r="CI491" i="4" s="1"/>
  <c r="CU491" i="4" s="1"/>
  <c r="BX491" i="4"/>
  <c r="BY491" i="4"/>
  <c r="BZ491" i="4"/>
  <c r="CL491" i="4" s="1"/>
  <c r="DN491" i="4" s="1"/>
  <c r="CD491" i="4"/>
  <c r="CP491" i="4" s="1"/>
  <c r="DR491" i="4" s="1"/>
  <c r="CF491" i="4"/>
  <c r="CR491" i="4" s="1"/>
  <c r="CJ491" i="4"/>
  <c r="CV491" i="4" s="1"/>
  <c r="CK491" i="4"/>
  <c r="CT491" i="4"/>
  <c r="DV491" i="4" s="1"/>
  <c r="CW491" i="4"/>
  <c r="CZ491" i="4"/>
  <c r="DA491" i="4"/>
  <c r="DB491" i="4"/>
  <c r="DP491" i="4" s="1"/>
  <c r="DC491" i="4"/>
  <c r="DD491" i="4"/>
  <c r="DE491" i="4"/>
  <c r="DF491" i="4"/>
  <c r="DG491" i="4"/>
  <c r="DH491" i="4"/>
  <c r="DI491" i="4"/>
  <c r="DJ491" i="4"/>
  <c r="DX491" i="4" s="1"/>
  <c r="DK491" i="4"/>
  <c r="DY491" i="4" s="1"/>
  <c r="BN492" i="4"/>
  <c r="BZ492" i="4" s="1"/>
  <c r="CL492" i="4" s="1"/>
  <c r="BO492" i="4"/>
  <c r="CA492" i="4" s="1"/>
  <c r="CM492" i="4" s="1"/>
  <c r="BP492" i="4"/>
  <c r="CB492" i="4" s="1"/>
  <c r="CN492" i="4" s="1"/>
  <c r="BQ492" i="4"/>
  <c r="BR492" i="4"/>
  <c r="BS492" i="4"/>
  <c r="CE492" i="4" s="1"/>
  <c r="BT492" i="4"/>
  <c r="CF492" i="4" s="1"/>
  <c r="CR492" i="4" s="1"/>
  <c r="BU492" i="4"/>
  <c r="CG492" i="4" s="1"/>
  <c r="CS492" i="4" s="1"/>
  <c r="BV492" i="4"/>
  <c r="BW492" i="4"/>
  <c r="BX492" i="4"/>
  <c r="CJ492" i="4" s="1"/>
  <c r="CV492" i="4" s="1"/>
  <c r="DX492" i="4" s="1"/>
  <c r="BY492" i="4"/>
  <c r="CK492" i="4" s="1"/>
  <c r="CW492" i="4" s="1"/>
  <c r="CC492" i="4"/>
  <c r="CO492" i="4" s="1"/>
  <c r="CD492" i="4"/>
  <c r="CP492" i="4" s="1"/>
  <c r="DR492" i="4" s="1"/>
  <c r="CH492" i="4"/>
  <c r="CI492" i="4"/>
  <c r="CU492" i="4" s="1"/>
  <c r="DW492" i="4" s="1"/>
  <c r="CQ492" i="4"/>
  <c r="DS492" i="4" s="1"/>
  <c r="CT492" i="4"/>
  <c r="CZ492" i="4"/>
  <c r="DA492" i="4"/>
  <c r="DO492" i="4" s="1"/>
  <c r="DB492" i="4"/>
  <c r="DC492" i="4"/>
  <c r="DD492" i="4"/>
  <c r="DE492" i="4"/>
  <c r="DF492" i="4"/>
  <c r="DG492" i="4"/>
  <c r="DH492" i="4"/>
  <c r="DI492" i="4"/>
  <c r="DJ492" i="4"/>
  <c r="DK492" i="4"/>
  <c r="BN493" i="4"/>
  <c r="BZ493" i="4" s="1"/>
  <c r="CL493" i="4" s="1"/>
  <c r="DN493" i="4" s="1"/>
  <c r="BO493" i="4"/>
  <c r="CA493" i="4" s="1"/>
  <c r="CM493" i="4" s="1"/>
  <c r="BP493" i="4"/>
  <c r="BQ493" i="4"/>
  <c r="CC493" i="4" s="1"/>
  <c r="CO493" i="4" s="1"/>
  <c r="BR493" i="4"/>
  <c r="CD493" i="4" s="1"/>
  <c r="CP493" i="4" s="1"/>
  <c r="BS493" i="4"/>
  <c r="CE493" i="4" s="1"/>
  <c r="BT493" i="4"/>
  <c r="CF493" i="4" s="1"/>
  <c r="CR493" i="4" s="1"/>
  <c r="BU493" i="4"/>
  <c r="CG493" i="4" s="1"/>
  <c r="CS493" i="4" s="1"/>
  <c r="BV493" i="4"/>
  <c r="CH493" i="4" s="1"/>
  <c r="CT493" i="4" s="1"/>
  <c r="BW493" i="4"/>
  <c r="BX493" i="4"/>
  <c r="CJ493" i="4" s="1"/>
  <c r="CV493" i="4" s="1"/>
  <c r="DX493" i="4" s="1"/>
  <c r="BY493" i="4"/>
  <c r="CB493" i="4"/>
  <c r="CN493" i="4" s="1"/>
  <c r="DP493" i="4" s="1"/>
  <c r="CI493" i="4"/>
  <c r="CU493" i="4" s="1"/>
  <c r="CK493" i="4"/>
  <c r="CW493" i="4" s="1"/>
  <c r="CQ493" i="4"/>
  <c r="CZ493" i="4"/>
  <c r="DA493" i="4"/>
  <c r="DB493" i="4"/>
  <c r="DC493" i="4"/>
  <c r="DD493" i="4"/>
  <c r="DE493" i="4"/>
  <c r="DF493" i="4"/>
  <c r="DG493" i="4"/>
  <c r="DH493" i="4"/>
  <c r="DI493" i="4"/>
  <c r="DJ493" i="4"/>
  <c r="DK493" i="4"/>
  <c r="DY493" i="4" s="1"/>
  <c r="DU493" i="4"/>
  <c r="BN494" i="4"/>
  <c r="BO494" i="4"/>
  <c r="CA494" i="4" s="1"/>
  <c r="CM494" i="4" s="1"/>
  <c r="BP494" i="4"/>
  <c r="BQ494" i="4"/>
  <c r="CC494" i="4" s="1"/>
  <c r="BR494" i="4"/>
  <c r="BS494" i="4"/>
  <c r="CE494" i="4" s="1"/>
  <c r="CQ494" i="4" s="1"/>
  <c r="DS494" i="4" s="1"/>
  <c r="BT494" i="4"/>
  <c r="CF494" i="4" s="1"/>
  <c r="CR494" i="4" s="1"/>
  <c r="DT494" i="4" s="1"/>
  <c r="BU494" i="4"/>
  <c r="BV494" i="4"/>
  <c r="BW494" i="4"/>
  <c r="CI494" i="4" s="1"/>
  <c r="CU494" i="4" s="1"/>
  <c r="BX494" i="4"/>
  <c r="CJ494" i="4" s="1"/>
  <c r="CV494" i="4" s="1"/>
  <c r="DX494" i="4" s="1"/>
  <c r="BY494" i="4"/>
  <c r="CK494" i="4" s="1"/>
  <c r="CW494" i="4" s="1"/>
  <c r="BZ494" i="4"/>
  <c r="CL494" i="4" s="1"/>
  <c r="CB494" i="4"/>
  <c r="CN494" i="4" s="1"/>
  <c r="CD494" i="4"/>
  <c r="CP494" i="4" s="1"/>
  <c r="CG494" i="4"/>
  <c r="CS494" i="4" s="1"/>
  <c r="CH494" i="4"/>
  <c r="CT494" i="4" s="1"/>
  <c r="CO494" i="4"/>
  <c r="CZ494" i="4"/>
  <c r="DA494" i="4"/>
  <c r="DB494" i="4"/>
  <c r="DC494" i="4"/>
  <c r="DD494" i="4"/>
  <c r="DE494" i="4"/>
  <c r="DF494" i="4"/>
  <c r="DG494" i="4"/>
  <c r="DH494" i="4"/>
  <c r="DV494" i="4" s="1"/>
  <c r="DI494" i="4"/>
  <c r="DJ494" i="4"/>
  <c r="DK494" i="4"/>
  <c r="DY494" i="4" s="1"/>
  <c r="BN495" i="4"/>
  <c r="BZ495" i="4" s="1"/>
  <c r="CL495" i="4" s="1"/>
  <c r="BO495" i="4"/>
  <c r="CA495" i="4" s="1"/>
  <c r="CM495" i="4" s="1"/>
  <c r="BP495" i="4"/>
  <c r="CB495" i="4" s="1"/>
  <c r="CN495" i="4" s="1"/>
  <c r="BQ495" i="4"/>
  <c r="CC495" i="4" s="1"/>
  <c r="BR495" i="4"/>
  <c r="BS495" i="4"/>
  <c r="BT495" i="4"/>
  <c r="BU495" i="4"/>
  <c r="CG495" i="4" s="1"/>
  <c r="CS495" i="4" s="1"/>
  <c r="BV495" i="4"/>
  <c r="CH495" i="4" s="1"/>
  <c r="CT495" i="4" s="1"/>
  <c r="BW495" i="4"/>
  <c r="CI495" i="4" s="1"/>
  <c r="CU495" i="4" s="1"/>
  <c r="BX495" i="4"/>
  <c r="CJ495" i="4" s="1"/>
  <c r="CV495" i="4" s="1"/>
  <c r="BY495" i="4"/>
  <c r="CK495" i="4" s="1"/>
  <c r="CW495" i="4" s="1"/>
  <c r="DY495" i="4" s="1"/>
  <c r="CD495" i="4"/>
  <c r="CP495" i="4" s="1"/>
  <c r="CE495" i="4"/>
  <c r="CQ495" i="4" s="1"/>
  <c r="CF495" i="4"/>
  <c r="CR495" i="4" s="1"/>
  <c r="CO495" i="4"/>
  <c r="CZ495" i="4"/>
  <c r="DA495" i="4"/>
  <c r="DB495" i="4"/>
  <c r="DC495" i="4"/>
  <c r="DD495" i="4"/>
  <c r="DE495" i="4"/>
  <c r="DF495" i="4"/>
  <c r="DG495" i="4"/>
  <c r="DH495" i="4"/>
  <c r="DI495" i="4"/>
  <c r="DJ495" i="4"/>
  <c r="DK495" i="4"/>
  <c r="DS495" i="4"/>
  <c r="BN496" i="4"/>
  <c r="BZ496" i="4" s="1"/>
  <c r="CL496" i="4" s="1"/>
  <c r="BO496" i="4"/>
  <c r="CA496" i="4" s="1"/>
  <c r="CM496" i="4" s="1"/>
  <c r="BP496" i="4"/>
  <c r="BQ496" i="4"/>
  <c r="BR496" i="4"/>
  <c r="CD496" i="4" s="1"/>
  <c r="CP496" i="4" s="1"/>
  <c r="DR496" i="4" s="1"/>
  <c r="BS496" i="4"/>
  <c r="BT496" i="4"/>
  <c r="CF496" i="4" s="1"/>
  <c r="CR496" i="4" s="1"/>
  <c r="BU496" i="4"/>
  <c r="CG496" i="4" s="1"/>
  <c r="BV496" i="4"/>
  <c r="CH496" i="4" s="1"/>
  <c r="CT496" i="4" s="1"/>
  <c r="BW496" i="4"/>
  <c r="CI496" i="4" s="1"/>
  <c r="CU496" i="4" s="1"/>
  <c r="BX496" i="4"/>
  <c r="BY496" i="4"/>
  <c r="CK496" i="4" s="1"/>
  <c r="CW496" i="4" s="1"/>
  <c r="CB496" i="4"/>
  <c r="CC496" i="4"/>
  <c r="CO496" i="4" s="1"/>
  <c r="CE496" i="4"/>
  <c r="CQ496" i="4" s="1"/>
  <c r="CJ496" i="4"/>
  <c r="CV496" i="4" s="1"/>
  <c r="DX496" i="4" s="1"/>
  <c r="CN496" i="4"/>
  <c r="CS496" i="4"/>
  <c r="CZ496" i="4"/>
  <c r="DA496" i="4"/>
  <c r="DB496" i="4"/>
  <c r="DC496" i="4"/>
  <c r="DQ496" i="4" s="1"/>
  <c r="DD496" i="4"/>
  <c r="DE496" i="4"/>
  <c r="DF496" i="4"/>
  <c r="DG496" i="4"/>
  <c r="DH496" i="4"/>
  <c r="DI496" i="4"/>
  <c r="DJ496" i="4"/>
  <c r="DK496" i="4"/>
  <c r="DY496" i="4" s="1"/>
  <c r="DT496" i="4"/>
  <c r="DW496" i="4"/>
  <c r="BN497" i="4"/>
  <c r="BZ497" i="4" s="1"/>
  <c r="CL497" i="4" s="1"/>
  <c r="BO497" i="4"/>
  <c r="CA497" i="4" s="1"/>
  <c r="CM497" i="4" s="1"/>
  <c r="BP497" i="4"/>
  <c r="BQ497" i="4"/>
  <c r="CC497" i="4" s="1"/>
  <c r="CO497" i="4" s="1"/>
  <c r="BR497" i="4"/>
  <c r="BS497" i="4"/>
  <c r="CE497" i="4" s="1"/>
  <c r="BT497" i="4"/>
  <c r="BU497" i="4"/>
  <c r="CG497" i="4" s="1"/>
  <c r="CS497" i="4" s="1"/>
  <c r="BV497" i="4"/>
  <c r="CH497" i="4" s="1"/>
  <c r="CT497" i="4" s="1"/>
  <c r="BW497" i="4"/>
  <c r="CI497" i="4" s="1"/>
  <c r="CU497" i="4" s="1"/>
  <c r="BX497" i="4"/>
  <c r="CJ497" i="4" s="1"/>
  <c r="CV497" i="4" s="1"/>
  <c r="BY497" i="4"/>
  <c r="CK497" i="4" s="1"/>
  <c r="CW497" i="4" s="1"/>
  <c r="CB497" i="4"/>
  <c r="CD497" i="4"/>
  <c r="CP497" i="4" s="1"/>
  <c r="CF497" i="4"/>
  <c r="CR497" i="4" s="1"/>
  <c r="DT497" i="4" s="1"/>
  <c r="CN497" i="4"/>
  <c r="DP497" i="4" s="1"/>
  <c r="CQ497" i="4"/>
  <c r="CZ497" i="4"/>
  <c r="DA497" i="4"/>
  <c r="DB497" i="4"/>
  <c r="DC497" i="4"/>
  <c r="DD497" i="4"/>
  <c r="DE497" i="4"/>
  <c r="DF497" i="4"/>
  <c r="DG497" i="4"/>
  <c r="DM497" i="4" s="1"/>
  <c r="DH497" i="4"/>
  <c r="DV497" i="4" s="1"/>
  <c r="DI497" i="4"/>
  <c r="DW497" i="4" s="1"/>
  <c r="DJ497" i="4"/>
  <c r="DK497" i="4"/>
  <c r="DY497" i="4"/>
  <c r="BN498" i="4"/>
  <c r="BZ498" i="4" s="1"/>
  <c r="CL498" i="4" s="1"/>
  <c r="BO498" i="4"/>
  <c r="CA498" i="4" s="1"/>
  <c r="CM498" i="4" s="1"/>
  <c r="DO498" i="4" s="1"/>
  <c r="BP498" i="4"/>
  <c r="BQ498" i="4"/>
  <c r="CC498" i="4" s="1"/>
  <c r="CO498" i="4" s="1"/>
  <c r="BR498" i="4"/>
  <c r="CD498" i="4" s="1"/>
  <c r="CP498" i="4" s="1"/>
  <c r="DR498" i="4" s="1"/>
  <c r="BS498" i="4"/>
  <c r="BT498" i="4"/>
  <c r="CF498" i="4" s="1"/>
  <c r="CR498" i="4" s="1"/>
  <c r="BU498" i="4"/>
  <c r="BV498" i="4"/>
  <c r="BW498" i="4"/>
  <c r="CI498" i="4" s="1"/>
  <c r="CU498" i="4" s="1"/>
  <c r="DW498" i="4" s="1"/>
  <c r="BX498" i="4"/>
  <c r="CJ498" i="4" s="1"/>
  <c r="CV498" i="4" s="1"/>
  <c r="DX498" i="4" s="1"/>
  <c r="BY498" i="4"/>
  <c r="CK498" i="4" s="1"/>
  <c r="CW498" i="4" s="1"/>
  <c r="CB498" i="4"/>
  <c r="CN498" i="4" s="1"/>
  <c r="DP498" i="4" s="1"/>
  <c r="CE498" i="4"/>
  <c r="CQ498" i="4" s="1"/>
  <c r="CG498" i="4"/>
  <c r="CS498" i="4" s="1"/>
  <c r="CH498" i="4"/>
  <c r="CT498" i="4" s="1"/>
  <c r="CZ498" i="4"/>
  <c r="DN498" i="4" s="1"/>
  <c r="DA498" i="4"/>
  <c r="DB498" i="4"/>
  <c r="DC498" i="4"/>
  <c r="DD498" i="4"/>
  <c r="DE498" i="4"/>
  <c r="DF498" i="4"/>
  <c r="DG498" i="4"/>
  <c r="DH498" i="4"/>
  <c r="DI498" i="4"/>
  <c r="DJ498" i="4"/>
  <c r="DK498" i="4"/>
  <c r="DU498" i="4"/>
  <c r="BN499" i="4"/>
  <c r="BO499" i="4"/>
  <c r="CA499" i="4" s="1"/>
  <c r="CM499" i="4" s="1"/>
  <c r="BP499" i="4"/>
  <c r="CB499" i="4" s="1"/>
  <c r="CN499" i="4" s="1"/>
  <c r="BQ499" i="4"/>
  <c r="CC499" i="4" s="1"/>
  <c r="CO499" i="4" s="1"/>
  <c r="DQ499" i="4" s="1"/>
  <c r="BR499" i="4"/>
  <c r="CD499" i="4" s="1"/>
  <c r="CP499" i="4" s="1"/>
  <c r="BS499" i="4"/>
  <c r="BT499" i="4"/>
  <c r="BU499" i="4"/>
  <c r="CG499" i="4" s="1"/>
  <c r="CS499" i="4" s="1"/>
  <c r="DU499" i="4" s="1"/>
  <c r="BV499" i="4"/>
  <c r="BW499" i="4"/>
  <c r="CI499" i="4" s="1"/>
  <c r="CU499" i="4" s="1"/>
  <c r="BX499" i="4"/>
  <c r="CJ499" i="4" s="1"/>
  <c r="CV499" i="4" s="1"/>
  <c r="BY499" i="4"/>
  <c r="BZ499" i="4"/>
  <c r="CE499" i="4"/>
  <c r="CQ499" i="4" s="1"/>
  <c r="CF499" i="4"/>
  <c r="CR499" i="4" s="1"/>
  <c r="CH499" i="4"/>
  <c r="CT499" i="4" s="1"/>
  <c r="CK499" i="4"/>
  <c r="CW499" i="4" s="1"/>
  <c r="DY499" i="4" s="1"/>
  <c r="CL499" i="4"/>
  <c r="CZ499" i="4"/>
  <c r="DA499" i="4"/>
  <c r="DB499" i="4"/>
  <c r="DC499" i="4"/>
  <c r="DD499" i="4"/>
  <c r="DR499" i="4" s="1"/>
  <c r="DE499" i="4"/>
  <c r="DM499" i="4" s="1"/>
  <c r="DF499" i="4"/>
  <c r="DL499" i="4" s="1"/>
  <c r="DG499" i="4"/>
  <c r="DH499" i="4"/>
  <c r="DI499" i="4"/>
  <c r="DJ499" i="4"/>
  <c r="DK499" i="4"/>
  <c r="DS499" i="4"/>
  <c r="BN500" i="4"/>
  <c r="BZ500" i="4" s="1"/>
  <c r="CL500" i="4" s="1"/>
  <c r="BO500" i="4"/>
  <c r="BP500" i="4"/>
  <c r="CB500" i="4" s="1"/>
  <c r="CN500" i="4" s="1"/>
  <c r="BQ500" i="4"/>
  <c r="BR500" i="4"/>
  <c r="CD500" i="4" s="1"/>
  <c r="CP500" i="4" s="1"/>
  <c r="BS500" i="4"/>
  <c r="CE500" i="4" s="1"/>
  <c r="CQ500" i="4" s="1"/>
  <c r="BT500" i="4"/>
  <c r="CF500" i="4" s="1"/>
  <c r="CR500" i="4" s="1"/>
  <c r="DT500" i="4" s="1"/>
  <c r="BU500" i="4"/>
  <c r="CG500" i="4" s="1"/>
  <c r="BV500" i="4"/>
  <c r="CH500" i="4" s="1"/>
  <c r="CT500" i="4" s="1"/>
  <c r="BW500" i="4"/>
  <c r="CI500" i="4" s="1"/>
  <c r="CU500" i="4" s="1"/>
  <c r="BX500" i="4"/>
  <c r="CJ500" i="4" s="1"/>
  <c r="CV500" i="4" s="1"/>
  <c r="BY500" i="4"/>
  <c r="CK500" i="4" s="1"/>
  <c r="CW500" i="4" s="1"/>
  <c r="CA500" i="4"/>
  <c r="CC500" i="4"/>
  <c r="CO500" i="4" s="1"/>
  <c r="DQ500" i="4" s="1"/>
  <c r="CM500" i="4"/>
  <c r="DO500" i="4" s="1"/>
  <c r="CS500" i="4"/>
  <c r="CZ500" i="4"/>
  <c r="DN500" i="4" s="1"/>
  <c r="DA500" i="4"/>
  <c r="DB500" i="4"/>
  <c r="DP500" i="4" s="1"/>
  <c r="DC500" i="4"/>
  <c r="DD500" i="4"/>
  <c r="DE500" i="4"/>
  <c r="DS500" i="4" s="1"/>
  <c r="DF500" i="4"/>
  <c r="DG500" i="4"/>
  <c r="DU500" i="4" s="1"/>
  <c r="DH500" i="4"/>
  <c r="DI500" i="4"/>
  <c r="DJ500" i="4"/>
  <c r="DK500" i="4"/>
  <c r="BN501" i="4"/>
  <c r="BZ501" i="4" s="1"/>
  <c r="CL501" i="4" s="1"/>
  <c r="BO501" i="4"/>
  <c r="CA501" i="4" s="1"/>
  <c r="CM501" i="4" s="1"/>
  <c r="BP501" i="4"/>
  <c r="CB501" i="4" s="1"/>
  <c r="CN501" i="4" s="1"/>
  <c r="BQ501" i="4"/>
  <c r="CC501" i="4" s="1"/>
  <c r="CO501" i="4" s="1"/>
  <c r="BR501" i="4"/>
  <c r="BS501" i="4"/>
  <c r="CE501" i="4" s="1"/>
  <c r="CQ501" i="4" s="1"/>
  <c r="BT501" i="4"/>
  <c r="CF501" i="4" s="1"/>
  <c r="CR501" i="4" s="1"/>
  <c r="BU501" i="4"/>
  <c r="BV501" i="4"/>
  <c r="CH501" i="4" s="1"/>
  <c r="CT501" i="4" s="1"/>
  <c r="BW501" i="4"/>
  <c r="CI501" i="4" s="1"/>
  <c r="CU501" i="4" s="1"/>
  <c r="BX501" i="4"/>
  <c r="CJ501" i="4" s="1"/>
  <c r="CV501" i="4" s="1"/>
  <c r="BY501" i="4"/>
  <c r="CK501" i="4" s="1"/>
  <c r="CD501" i="4"/>
  <c r="CP501" i="4" s="1"/>
  <c r="DR501" i="4" s="1"/>
  <c r="CG501" i="4"/>
  <c r="CS501" i="4" s="1"/>
  <c r="CW501" i="4"/>
  <c r="DY501" i="4" s="1"/>
  <c r="CZ501" i="4"/>
  <c r="DA501" i="4"/>
  <c r="DM501" i="4" s="1"/>
  <c r="DB501" i="4"/>
  <c r="DC501" i="4"/>
  <c r="DD501" i="4"/>
  <c r="DE501" i="4"/>
  <c r="DF501" i="4"/>
  <c r="DG501" i="4"/>
  <c r="DH501" i="4"/>
  <c r="DI501" i="4"/>
  <c r="DW501" i="4" s="1"/>
  <c r="DJ501" i="4"/>
  <c r="DK501" i="4"/>
  <c r="BN502" i="4"/>
  <c r="BZ502" i="4" s="1"/>
  <c r="CL502" i="4" s="1"/>
  <c r="BO502" i="4"/>
  <c r="CA502" i="4" s="1"/>
  <c r="CM502" i="4" s="1"/>
  <c r="BP502" i="4"/>
  <c r="CB502" i="4" s="1"/>
  <c r="CN502" i="4" s="1"/>
  <c r="BQ502" i="4"/>
  <c r="CC502" i="4" s="1"/>
  <c r="CO502" i="4" s="1"/>
  <c r="BR502" i="4"/>
  <c r="CD502" i="4" s="1"/>
  <c r="CP502" i="4" s="1"/>
  <c r="BS502" i="4"/>
  <c r="BT502" i="4"/>
  <c r="BU502" i="4"/>
  <c r="CG502" i="4" s="1"/>
  <c r="CS502" i="4" s="1"/>
  <c r="DU502" i="4" s="1"/>
  <c r="BV502" i="4"/>
  <c r="CH502" i="4" s="1"/>
  <c r="CT502" i="4" s="1"/>
  <c r="BW502" i="4"/>
  <c r="CI502" i="4" s="1"/>
  <c r="CU502" i="4" s="1"/>
  <c r="BX502" i="4"/>
  <c r="BY502" i="4"/>
  <c r="CK502" i="4" s="1"/>
  <c r="CW502" i="4" s="1"/>
  <c r="CE502" i="4"/>
  <c r="CF502" i="4"/>
  <c r="CR502" i="4" s="1"/>
  <c r="CJ502" i="4"/>
  <c r="CV502" i="4" s="1"/>
  <c r="CQ502" i="4"/>
  <c r="CZ502" i="4"/>
  <c r="DA502" i="4"/>
  <c r="DB502" i="4"/>
  <c r="DC502" i="4"/>
  <c r="DD502" i="4"/>
  <c r="DR502" i="4" s="1"/>
  <c r="DE502" i="4"/>
  <c r="DS502" i="4" s="1"/>
  <c r="DF502" i="4"/>
  <c r="DG502" i="4"/>
  <c r="DH502" i="4"/>
  <c r="DI502" i="4"/>
  <c r="DW502" i="4" s="1"/>
  <c r="DJ502" i="4"/>
  <c r="DK502" i="4"/>
  <c r="DN502" i="4"/>
  <c r="DP502" i="4"/>
  <c r="DV502" i="4"/>
  <c r="BN503" i="4"/>
  <c r="BO503" i="4"/>
  <c r="CA503" i="4" s="1"/>
  <c r="CM503" i="4" s="1"/>
  <c r="BP503" i="4"/>
  <c r="CB503" i="4" s="1"/>
  <c r="CN503" i="4" s="1"/>
  <c r="BQ503" i="4"/>
  <c r="CC503" i="4" s="1"/>
  <c r="BR503" i="4"/>
  <c r="CD503" i="4" s="1"/>
  <c r="CP503" i="4" s="1"/>
  <c r="BS503" i="4"/>
  <c r="BT503" i="4"/>
  <c r="BU503" i="4"/>
  <c r="CG503" i="4" s="1"/>
  <c r="CS503" i="4" s="1"/>
  <c r="DU503" i="4" s="1"/>
  <c r="BV503" i="4"/>
  <c r="BW503" i="4"/>
  <c r="CI503" i="4" s="1"/>
  <c r="CU503" i="4" s="1"/>
  <c r="BX503" i="4"/>
  <c r="CJ503" i="4" s="1"/>
  <c r="CV503" i="4" s="1"/>
  <c r="BY503" i="4"/>
  <c r="CK503" i="4" s="1"/>
  <c r="CW503" i="4" s="1"/>
  <c r="DY503" i="4" s="1"/>
  <c r="BZ503" i="4"/>
  <c r="CL503" i="4" s="1"/>
  <c r="CE503" i="4"/>
  <c r="CQ503" i="4" s="1"/>
  <c r="CF503" i="4"/>
  <c r="CR503" i="4" s="1"/>
  <c r="CH503" i="4"/>
  <c r="CT503" i="4" s="1"/>
  <c r="CO503" i="4"/>
  <c r="DQ503" i="4" s="1"/>
  <c r="CZ503" i="4"/>
  <c r="DA503" i="4"/>
  <c r="DB503" i="4"/>
  <c r="DP503" i="4" s="1"/>
  <c r="DC503" i="4"/>
  <c r="DM503" i="4" s="1"/>
  <c r="DD503" i="4"/>
  <c r="DE503" i="4"/>
  <c r="DF503" i="4"/>
  <c r="DG503" i="4"/>
  <c r="DH503" i="4"/>
  <c r="DV503" i="4" s="1"/>
  <c r="DI503" i="4"/>
  <c r="DJ503" i="4"/>
  <c r="DX503" i="4" s="1"/>
  <c r="DK503" i="4"/>
  <c r="BN504" i="4"/>
  <c r="BZ504" i="4" s="1"/>
  <c r="BO504" i="4"/>
  <c r="BP504" i="4"/>
  <c r="CB504" i="4" s="1"/>
  <c r="CN504" i="4" s="1"/>
  <c r="DP504" i="4" s="1"/>
  <c r="BQ504" i="4"/>
  <c r="BR504" i="4"/>
  <c r="BS504" i="4"/>
  <c r="CE504" i="4" s="1"/>
  <c r="CQ504" i="4" s="1"/>
  <c r="DS504" i="4" s="1"/>
  <c r="BT504" i="4"/>
  <c r="CF504" i="4" s="1"/>
  <c r="CR504" i="4" s="1"/>
  <c r="DT504" i="4" s="1"/>
  <c r="BU504" i="4"/>
  <c r="CG504" i="4" s="1"/>
  <c r="CS504" i="4" s="1"/>
  <c r="BV504" i="4"/>
  <c r="BW504" i="4"/>
  <c r="BX504" i="4"/>
  <c r="CJ504" i="4" s="1"/>
  <c r="CV504" i="4" s="1"/>
  <c r="BY504" i="4"/>
  <c r="CA504" i="4"/>
  <c r="CM504" i="4" s="1"/>
  <c r="CC504" i="4"/>
  <c r="CO504" i="4" s="1"/>
  <c r="CD504" i="4"/>
  <c r="CP504" i="4" s="1"/>
  <c r="CH504" i="4"/>
  <c r="CT504" i="4" s="1"/>
  <c r="CI504" i="4"/>
  <c r="CU504" i="4" s="1"/>
  <c r="DW504" i="4" s="1"/>
  <c r="CK504" i="4"/>
  <c r="CW504" i="4" s="1"/>
  <c r="CL504" i="4"/>
  <c r="CZ504" i="4"/>
  <c r="DA504" i="4"/>
  <c r="DB504" i="4"/>
  <c r="DC504" i="4"/>
  <c r="DD504" i="4"/>
  <c r="DE504" i="4"/>
  <c r="DF504" i="4"/>
  <c r="DG504" i="4"/>
  <c r="DH504" i="4"/>
  <c r="DV504" i="4" s="1"/>
  <c r="DI504" i="4"/>
  <c r="DJ504" i="4"/>
  <c r="DK504" i="4"/>
  <c r="DY504" i="4" s="1"/>
  <c r="DL504" i="4"/>
  <c r="BN505" i="4"/>
  <c r="BZ505" i="4" s="1"/>
  <c r="CL505" i="4" s="1"/>
  <c r="BO505" i="4"/>
  <c r="BP505" i="4"/>
  <c r="CB505" i="4" s="1"/>
  <c r="CN505" i="4" s="1"/>
  <c r="DP505" i="4" s="1"/>
  <c r="BQ505" i="4"/>
  <c r="CC505" i="4" s="1"/>
  <c r="CO505" i="4" s="1"/>
  <c r="BR505" i="4"/>
  <c r="BS505" i="4"/>
  <c r="CE505" i="4" s="1"/>
  <c r="CQ505" i="4" s="1"/>
  <c r="BT505" i="4"/>
  <c r="CF505" i="4" s="1"/>
  <c r="CR505" i="4" s="1"/>
  <c r="DT505" i="4" s="1"/>
  <c r="BU505" i="4"/>
  <c r="BV505" i="4"/>
  <c r="CH505" i="4" s="1"/>
  <c r="BW505" i="4"/>
  <c r="CI505" i="4" s="1"/>
  <c r="CU505" i="4" s="1"/>
  <c r="DW505" i="4" s="1"/>
  <c r="BX505" i="4"/>
  <c r="CJ505" i="4" s="1"/>
  <c r="CV505" i="4" s="1"/>
  <c r="BY505" i="4"/>
  <c r="CA505" i="4"/>
  <c r="CM505" i="4" s="1"/>
  <c r="DO505" i="4" s="1"/>
  <c r="CD505" i="4"/>
  <c r="CP505" i="4" s="1"/>
  <c r="DR505" i="4" s="1"/>
  <c r="CG505" i="4"/>
  <c r="CS505" i="4" s="1"/>
  <c r="CK505" i="4"/>
  <c r="CW505" i="4" s="1"/>
  <c r="DY505" i="4" s="1"/>
  <c r="CT505" i="4"/>
  <c r="CZ505" i="4"/>
  <c r="DA505" i="4"/>
  <c r="DB505" i="4"/>
  <c r="DC505" i="4"/>
  <c r="DD505" i="4"/>
  <c r="DE505" i="4"/>
  <c r="DF505" i="4"/>
  <c r="DG505" i="4"/>
  <c r="DH505" i="4"/>
  <c r="DV505" i="4" s="1"/>
  <c r="DI505" i="4"/>
  <c r="DJ505" i="4"/>
  <c r="DK505" i="4"/>
  <c r="BN506" i="4"/>
  <c r="BZ506" i="4" s="1"/>
  <c r="CL506" i="4" s="1"/>
  <c r="BO506" i="4"/>
  <c r="CA506" i="4" s="1"/>
  <c r="CM506" i="4" s="1"/>
  <c r="DO506" i="4" s="1"/>
  <c r="BP506" i="4"/>
  <c r="CB506" i="4" s="1"/>
  <c r="BQ506" i="4"/>
  <c r="CC506" i="4" s="1"/>
  <c r="CO506" i="4" s="1"/>
  <c r="BR506" i="4"/>
  <c r="CD506" i="4" s="1"/>
  <c r="CP506" i="4" s="1"/>
  <c r="BS506" i="4"/>
  <c r="BT506" i="4"/>
  <c r="CF506" i="4" s="1"/>
  <c r="CR506" i="4" s="1"/>
  <c r="DT506" i="4" s="1"/>
  <c r="BU506" i="4"/>
  <c r="BV506" i="4"/>
  <c r="CH506" i="4" s="1"/>
  <c r="CT506" i="4" s="1"/>
  <c r="DV506" i="4" s="1"/>
  <c r="BW506" i="4"/>
  <c r="CI506" i="4" s="1"/>
  <c r="CU506" i="4" s="1"/>
  <c r="DW506" i="4" s="1"/>
  <c r="BX506" i="4"/>
  <c r="BY506" i="4"/>
  <c r="CK506" i="4" s="1"/>
  <c r="CW506" i="4" s="1"/>
  <c r="CE506" i="4"/>
  <c r="CQ506" i="4" s="1"/>
  <c r="CG506" i="4"/>
  <c r="CS506" i="4" s="1"/>
  <c r="CJ506" i="4"/>
  <c r="CV506" i="4" s="1"/>
  <c r="CN506" i="4"/>
  <c r="DP506" i="4" s="1"/>
  <c r="CZ506" i="4"/>
  <c r="DA506" i="4"/>
  <c r="DB506" i="4"/>
  <c r="DC506" i="4"/>
  <c r="DQ506" i="4" s="1"/>
  <c r="DD506" i="4"/>
  <c r="DE506" i="4"/>
  <c r="DF506" i="4"/>
  <c r="DG506" i="4"/>
  <c r="DU506" i="4" s="1"/>
  <c r="DH506" i="4"/>
  <c r="DI506" i="4"/>
  <c r="DJ506" i="4"/>
  <c r="DK506" i="4"/>
  <c r="DY506" i="4" s="1"/>
  <c r="BN507" i="4"/>
  <c r="BZ507" i="4" s="1"/>
  <c r="CL507" i="4" s="1"/>
  <c r="DN507" i="4" s="1"/>
  <c r="BO507" i="4"/>
  <c r="CA507" i="4" s="1"/>
  <c r="CM507" i="4" s="1"/>
  <c r="BP507" i="4"/>
  <c r="BQ507" i="4"/>
  <c r="CC507" i="4" s="1"/>
  <c r="CO507" i="4" s="1"/>
  <c r="BR507" i="4"/>
  <c r="CD507" i="4" s="1"/>
  <c r="CP507" i="4" s="1"/>
  <c r="BS507" i="4"/>
  <c r="BT507" i="4"/>
  <c r="BU507" i="4"/>
  <c r="CG507" i="4" s="1"/>
  <c r="CS507" i="4" s="1"/>
  <c r="DU507" i="4" s="1"/>
  <c r="BV507" i="4"/>
  <c r="CH507" i="4" s="1"/>
  <c r="CT507" i="4" s="1"/>
  <c r="DV507" i="4" s="1"/>
  <c r="BW507" i="4"/>
  <c r="CI507" i="4" s="1"/>
  <c r="BX507" i="4"/>
  <c r="BY507" i="4"/>
  <c r="CK507" i="4" s="1"/>
  <c r="CW507" i="4" s="1"/>
  <c r="CB507" i="4"/>
  <c r="CE507" i="4"/>
  <c r="CQ507" i="4" s="1"/>
  <c r="CF507" i="4"/>
  <c r="CR507" i="4" s="1"/>
  <c r="CJ507" i="4"/>
  <c r="CV507" i="4" s="1"/>
  <c r="CN507" i="4"/>
  <c r="CU507" i="4"/>
  <c r="CZ507" i="4"/>
  <c r="DA507" i="4"/>
  <c r="DB507" i="4"/>
  <c r="DC507" i="4"/>
  <c r="DD507" i="4"/>
  <c r="DE507" i="4"/>
  <c r="DF507" i="4"/>
  <c r="DG507" i="4"/>
  <c r="DH507" i="4"/>
  <c r="DI507" i="4"/>
  <c r="DW507" i="4" s="1"/>
  <c r="DJ507" i="4"/>
  <c r="DK507" i="4"/>
  <c r="BN508" i="4"/>
  <c r="BZ508" i="4" s="1"/>
  <c r="CL508" i="4" s="1"/>
  <c r="BO508" i="4"/>
  <c r="BP508" i="4"/>
  <c r="CB508" i="4" s="1"/>
  <c r="CN508" i="4" s="1"/>
  <c r="BQ508" i="4"/>
  <c r="CC508" i="4" s="1"/>
  <c r="CO508" i="4" s="1"/>
  <c r="DQ508" i="4" s="1"/>
  <c r="BR508" i="4"/>
  <c r="CD508" i="4" s="1"/>
  <c r="CP508" i="4" s="1"/>
  <c r="BS508" i="4"/>
  <c r="CE508" i="4" s="1"/>
  <c r="CQ508" i="4" s="1"/>
  <c r="BT508" i="4"/>
  <c r="BU508" i="4"/>
  <c r="CG508" i="4" s="1"/>
  <c r="CS508" i="4" s="1"/>
  <c r="BV508" i="4"/>
  <c r="CH508" i="4" s="1"/>
  <c r="CT508" i="4" s="1"/>
  <c r="BW508" i="4"/>
  <c r="CI508" i="4" s="1"/>
  <c r="CU508" i="4" s="1"/>
  <c r="BX508" i="4"/>
  <c r="BY508" i="4"/>
  <c r="CA508" i="4"/>
  <c r="CM508" i="4" s="1"/>
  <c r="CF508" i="4"/>
  <c r="CR508" i="4" s="1"/>
  <c r="CJ508" i="4"/>
  <c r="CV508" i="4" s="1"/>
  <c r="CK508" i="4"/>
  <c r="CW508" i="4" s="1"/>
  <c r="CZ508" i="4"/>
  <c r="DA508" i="4"/>
  <c r="DB508" i="4"/>
  <c r="DC508" i="4"/>
  <c r="DD508" i="4"/>
  <c r="DE508" i="4"/>
  <c r="DF508" i="4"/>
  <c r="DG508" i="4"/>
  <c r="DH508" i="4"/>
  <c r="DV508" i="4" s="1"/>
  <c r="DI508" i="4"/>
  <c r="DW508" i="4" s="1"/>
  <c r="DJ508" i="4"/>
  <c r="DK508" i="4"/>
  <c r="DP508" i="4"/>
  <c r="DY508" i="4"/>
  <c r="BN509" i="4"/>
  <c r="BZ509" i="4" s="1"/>
  <c r="CL509" i="4" s="1"/>
  <c r="BO509" i="4"/>
  <c r="BP509" i="4"/>
  <c r="CB509" i="4" s="1"/>
  <c r="BQ509" i="4"/>
  <c r="CC509" i="4" s="1"/>
  <c r="CO509" i="4" s="1"/>
  <c r="DQ509" i="4" s="1"/>
  <c r="BR509" i="4"/>
  <c r="CD509" i="4" s="1"/>
  <c r="CP509" i="4" s="1"/>
  <c r="DR509" i="4" s="1"/>
  <c r="BS509" i="4"/>
  <c r="CE509" i="4" s="1"/>
  <c r="BT509" i="4"/>
  <c r="CF509" i="4" s="1"/>
  <c r="CR509" i="4" s="1"/>
  <c r="BU509" i="4"/>
  <c r="BV509" i="4"/>
  <c r="CH509" i="4" s="1"/>
  <c r="CT509" i="4" s="1"/>
  <c r="BW509" i="4"/>
  <c r="BX509" i="4"/>
  <c r="CJ509" i="4" s="1"/>
  <c r="CV509" i="4" s="1"/>
  <c r="BY509" i="4"/>
  <c r="CK509" i="4" s="1"/>
  <c r="CW509" i="4" s="1"/>
  <c r="CA509" i="4"/>
  <c r="CM509" i="4" s="1"/>
  <c r="CG509" i="4"/>
  <c r="CS509" i="4" s="1"/>
  <c r="DU509" i="4" s="1"/>
  <c r="CI509" i="4"/>
  <c r="CU509" i="4" s="1"/>
  <c r="CN509" i="4"/>
  <c r="CQ509" i="4"/>
  <c r="CZ509" i="4"/>
  <c r="DN509" i="4" s="1"/>
  <c r="DA509" i="4"/>
  <c r="DB509" i="4"/>
  <c r="DC509" i="4"/>
  <c r="DD509" i="4"/>
  <c r="DE509" i="4"/>
  <c r="DF509" i="4"/>
  <c r="DG509" i="4"/>
  <c r="DH509" i="4"/>
  <c r="DV509" i="4" s="1"/>
  <c r="DI509" i="4"/>
  <c r="DW509" i="4" s="1"/>
  <c r="DJ509" i="4"/>
  <c r="DK509" i="4"/>
  <c r="DY509" i="4"/>
  <c r="BN510" i="4"/>
  <c r="BZ510" i="4" s="1"/>
  <c r="CL510" i="4" s="1"/>
  <c r="BO510" i="4"/>
  <c r="BP510" i="4"/>
  <c r="CB510" i="4" s="1"/>
  <c r="CN510" i="4" s="1"/>
  <c r="BQ510" i="4"/>
  <c r="CC510" i="4" s="1"/>
  <c r="CO510" i="4" s="1"/>
  <c r="BR510" i="4"/>
  <c r="CD510" i="4" s="1"/>
  <c r="CP510" i="4" s="1"/>
  <c r="BS510" i="4"/>
  <c r="BT510" i="4"/>
  <c r="CF510" i="4" s="1"/>
  <c r="CR510" i="4" s="1"/>
  <c r="BU510" i="4"/>
  <c r="BV510" i="4"/>
  <c r="CH510" i="4" s="1"/>
  <c r="BW510" i="4"/>
  <c r="CI510" i="4" s="1"/>
  <c r="BX510" i="4"/>
  <c r="CJ510" i="4" s="1"/>
  <c r="CV510" i="4" s="1"/>
  <c r="BY510" i="4"/>
  <c r="CK510" i="4" s="1"/>
  <c r="CW510" i="4" s="1"/>
  <c r="CA510" i="4"/>
  <c r="CM510" i="4" s="1"/>
  <c r="DO510" i="4" s="1"/>
  <c r="CE510" i="4"/>
  <c r="CQ510" i="4" s="1"/>
  <c r="CG510" i="4"/>
  <c r="CS510" i="4" s="1"/>
  <c r="CT510" i="4"/>
  <c r="DV510" i="4" s="1"/>
  <c r="CU510" i="4"/>
  <c r="CZ510" i="4"/>
  <c r="DA510" i="4"/>
  <c r="DB510" i="4"/>
  <c r="DC510" i="4"/>
  <c r="DD510" i="4"/>
  <c r="DE510" i="4"/>
  <c r="DF510" i="4"/>
  <c r="DG510" i="4"/>
  <c r="DH510" i="4"/>
  <c r="DI510" i="4"/>
  <c r="DJ510" i="4"/>
  <c r="DK510" i="4"/>
  <c r="BN511" i="4"/>
  <c r="BZ511" i="4" s="1"/>
  <c r="CL511" i="4" s="1"/>
  <c r="DN511" i="4" s="1"/>
  <c r="BO511" i="4"/>
  <c r="CA511" i="4" s="1"/>
  <c r="CM511" i="4" s="1"/>
  <c r="BP511" i="4"/>
  <c r="BQ511" i="4"/>
  <c r="BR511" i="4"/>
  <c r="CD511" i="4" s="1"/>
  <c r="CP511" i="4" s="1"/>
  <c r="DR511" i="4" s="1"/>
  <c r="BS511" i="4"/>
  <c r="CE511" i="4" s="1"/>
  <c r="CQ511" i="4" s="1"/>
  <c r="DS511" i="4" s="1"/>
  <c r="BT511" i="4"/>
  <c r="BU511" i="4"/>
  <c r="BV511" i="4"/>
  <c r="CH511" i="4" s="1"/>
  <c r="CT511" i="4" s="1"/>
  <c r="BW511" i="4"/>
  <c r="CI511" i="4" s="1"/>
  <c r="CU511" i="4" s="1"/>
  <c r="BX511" i="4"/>
  <c r="BY511" i="4"/>
  <c r="CK511" i="4" s="1"/>
  <c r="CB511" i="4"/>
  <c r="CN511" i="4" s="1"/>
  <c r="CC511" i="4"/>
  <c r="CO511" i="4" s="1"/>
  <c r="CF511" i="4"/>
  <c r="CR511" i="4" s="1"/>
  <c r="DT511" i="4" s="1"/>
  <c r="CG511" i="4"/>
  <c r="CS511" i="4" s="1"/>
  <c r="CJ511" i="4"/>
  <c r="CV511" i="4" s="1"/>
  <c r="CW511" i="4"/>
  <c r="CZ511" i="4"/>
  <c r="DA511" i="4"/>
  <c r="DB511" i="4"/>
  <c r="DC511" i="4"/>
  <c r="DD511" i="4"/>
  <c r="DE511" i="4"/>
  <c r="DF511" i="4"/>
  <c r="DG511" i="4"/>
  <c r="DU511" i="4" s="1"/>
  <c r="DH511" i="4"/>
  <c r="DI511" i="4"/>
  <c r="DJ511" i="4"/>
  <c r="DK511" i="4"/>
  <c r="BN512" i="4"/>
  <c r="BO512" i="4"/>
  <c r="BP512" i="4"/>
  <c r="CB512" i="4" s="1"/>
  <c r="CN512" i="4" s="1"/>
  <c r="BQ512" i="4"/>
  <c r="CC512" i="4" s="1"/>
  <c r="CO512" i="4" s="1"/>
  <c r="BR512" i="4"/>
  <c r="CD512" i="4" s="1"/>
  <c r="CP512" i="4" s="1"/>
  <c r="BS512" i="4"/>
  <c r="CE512" i="4" s="1"/>
  <c r="CQ512" i="4" s="1"/>
  <c r="BT512" i="4"/>
  <c r="BU512" i="4"/>
  <c r="CG512" i="4" s="1"/>
  <c r="CS512" i="4" s="1"/>
  <c r="BV512" i="4"/>
  <c r="CH512" i="4" s="1"/>
  <c r="CT512" i="4" s="1"/>
  <c r="BW512" i="4"/>
  <c r="BX512" i="4"/>
  <c r="CJ512" i="4" s="1"/>
  <c r="CV512" i="4" s="1"/>
  <c r="BY512" i="4"/>
  <c r="CK512" i="4" s="1"/>
  <c r="CW512" i="4" s="1"/>
  <c r="DY512" i="4" s="1"/>
  <c r="BZ512" i="4"/>
  <c r="CL512" i="4" s="1"/>
  <c r="DN512" i="4" s="1"/>
  <c r="CA512" i="4"/>
  <c r="CM512" i="4" s="1"/>
  <c r="CF512" i="4"/>
  <c r="CR512" i="4" s="1"/>
  <c r="CI512" i="4"/>
  <c r="CU512" i="4" s="1"/>
  <c r="CZ512" i="4"/>
  <c r="DA512" i="4"/>
  <c r="DB512" i="4"/>
  <c r="DC512" i="4"/>
  <c r="DD512" i="4"/>
  <c r="DE512" i="4"/>
  <c r="DF512" i="4"/>
  <c r="DG512" i="4"/>
  <c r="DH512" i="4"/>
  <c r="DI512" i="4"/>
  <c r="DW512" i="4" s="1"/>
  <c r="DJ512" i="4"/>
  <c r="DK512" i="4"/>
  <c r="DV512" i="4"/>
  <c r="BN513" i="4"/>
  <c r="BZ513" i="4" s="1"/>
  <c r="CL513" i="4" s="1"/>
  <c r="BO513" i="4"/>
  <c r="BP513" i="4"/>
  <c r="CB513" i="4" s="1"/>
  <c r="CN513" i="4" s="1"/>
  <c r="BQ513" i="4"/>
  <c r="CC513" i="4" s="1"/>
  <c r="CO513" i="4" s="1"/>
  <c r="DQ513" i="4" s="1"/>
  <c r="BR513" i="4"/>
  <c r="CD513" i="4" s="1"/>
  <c r="CP513" i="4" s="1"/>
  <c r="BS513" i="4"/>
  <c r="CE513" i="4" s="1"/>
  <c r="CQ513" i="4" s="1"/>
  <c r="BT513" i="4"/>
  <c r="CF513" i="4" s="1"/>
  <c r="CR513" i="4" s="1"/>
  <c r="BU513" i="4"/>
  <c r="CG513" i="4" s="1"/>
  <c r="CS513" i="4" s="1"/>
  <c r="DU513" i="4" s="1"/>
  <c r="BV513" i="4"/>
  <c r="CH513" i="4" s="1"/>
  <c r="CT513" i="4" s="1"/>
  <c r="BW513" i="4"/>
  <c r="BX513" i="4"/>
  <c r="CJ513" i="4" s="1"/>
  <c r="CV513" i="4" s="1"/>
  <c r="BY513" i="4"/>
  <c r="CK513" i="4" s="1"/>
  <c r="CW513" i="4" s="1"/>
  <c r="DY513" i="4" s="1"/>
  <c r="CA513" i="4"/>
  <c r="CM513" i="4" s="1"/>
  <c r="CI513" i="4"/>
  <c r="CU513" i="4" s="1"/>
  <c r="CZ513" i="4"/>
  <c r="DA513" i="4"/>
  <c r="DB513" i="4"/>
  <c r="DC513" i="4"/>
  <c r="DD513" i="4"/>
  <c r="DE513" i="4"/>
  <c r="DF513" i="4"/>
  <c r="DG513" i="4"/>
  <c r="DH513" i="4"/>
  <c r="DI513" i="4"/>
  <c r="DJ513" i="4"/>
  <c r="DK513" i="4"/>
  <c r="DR513" i="4"/>
  <c r="BN514" i="4"/>
  <c r="BZ514" i="4" s="1"/>
  <c r="CL514" i="4" s="1"/>
  <c r="BO514" i="4"/>
  <c r="CA514" i="4" s="1"/>
  <c r="BP514" i="4"/>
  <c r="CB514" i="4" s="1"/>
  <c r="BQ514" i="4"/>
  <c r="CC514" i="4" s="1"/>
  <c r="CO514" i="4" s="1"/>
  <c r="BR514" i="4"/>
  <c r="CD514" i="4" s="1"/>
  <c r="CP514" i="4" s="1"/>
  <c r="BS514" i="4"/>
  <c r="CE514" i="4" s="1"/>
  <c r="CQ514" i="4" s="1"/>
  <c r="BT514" i="4"/>
  <c r="CF514" i="4" s="1"/>
  <c r="CR514" i="4" s="1"/>
  <c r="DT514" i="4" s="1"/>
  <c r="BU514" i="4"/>
  <c r="CG514" i="4" s="1"/>
  <c r="CS514" i="4" s="1"/>
  <c r="BV514" i="4"/>
  <c r="CH514" i="4" s="1"/>
  <c r="CT514" i="4" s="1"/>
  <c r="BW514" i="4"/>
  <c r="BX514" i="4"/>
  <c r="CJ514" i="4" s="1"/>
  <c r="CV514" i="4" s="1"/>
  <c r="DX514" i="4" s="1"/>
  <c r="BY514" i="4"/>
  <c r="CK514" i="4" s="1"/>
  <c r="CW514" i="4" s="1"/>
  <c r="CI514" i="4"/>
  <c r="CU514" i="4" s="1"/>
  <c r="DW514" i="4" s="1"/>
  <c r="CM514" i="4"/>
  <c r="DO514" i="4" s="1"/>
  <c r="CN514" i="4"/>
  <c r="DP514" i="4" s="1"/>
  <c r="CZ514" i="4"/>
  <c r="DN514" i="4" s="1"/>
  <c r="DA514" i="4"/>
  <c r="DB514" i="4"/>
  <c r="DC514" i="4"/>
  <c r="DD514" i="4"/>
  <c r="DE514" i="4"/>
  <c r="DS514" i="4" s="1"/>
  <c r="DF514" i="4"/>
  <c r="DG514" i="4"/>
  <c r="DH514" i="4"/>
  <c r="DI514" i="4"/>
  <c r="DJ514" i="4"/>
  <c r="DK514" i="4"/>
  <c r="BN515" i="4"/>
  <c r="BZ515" i="4" s="1"/>
  <c r="CL515" i="4" s="1"/>
  <c r="DN515" i="4" s="1"/>
  <c r="BO515" i="4"/>
  <c r="CA515" i="4" s="1"/>
  <c r="CM515" i="4" s="1"/>
  <c r="BP515" i="4"/>
  <c r="CB515" i="4" s="1"/>
  <c r="CN515" i="4" s="1"/>
  <c r="DP515" i="4" s="1"/>
  <c r="BQ515" i="4"/>
  <c r="CC515" i="4" s="1"/>
  <c r="CO515" i="4" s="1"/>
  <c r="BR515" i="4"/>
  <c r="BS515" i="4"/>
  <c r="BT515" i="4"/>
  <c r="CF515" i="4" s="1"/>
  <c r="CR515" i="4" s="1"/>
  <c r="BU515" i="4"/>
  <c r="CG515" i="4" s="1"/>
  <c r="CS515" i="4" s="1"/>
  <c r="BV515" i="4"/>
  <c r="CH515" i="4" s="1"/>
  <c r="CT515" i="4" s="1"/>
  <c r="BW515" i="4"/>
  <c r="CI515" i="4" s="1"/>
  <c r="BX515" i="4"/>
  <c r="CJ515" i="4" s="1"/>
  <c r="CV515" i="4" s="1"/>
  <c r="DX515" i="4" s="1"/>
  <c r="BY515" i="4"/>
  <c r="CD515" i="4"/>
  <c r="CE515" i="4"/>
  <c r="CQ515" i="4" s="1"/>
  <c r="CK515" i="4"/>
  <c r="CW515" i="4" s="1"/>
  <c r="CP515" i="4"/>
  <c r="CU515" i="4"/>
  <c r="CZ515" i="4"/>
  <c r="DA515" i="4"/>
  <c r="DB515" i="4"/>
  <c r="DC515" i="4"/>
  <c r="DD515" i="4"/>
  <c r="DE515" i="4"/>
  <c r="DS515" i="4" s="1"/>
  <c r="DF515" i="4"/>
  <c r="DG515" i="4"/>
  <c r="DH515" i="4"/>
  <c r="DI515" i="4"/>
  <c r="DJ515" i="4"/>
  <c r="DK515" i="4"/>
  <c r="DQ515" i="4"/>
  <c r="DT515" i="4"/>
  <c r="BN516" i="4"/>
  <c r="BO516" i="4"/>
  <c r="CA516" i="4" s="1"/>
  <c r="CM516" i="4" s="1"/>
  <c r="BP516" i="4"/>
  <c r="CB516" i="4" s="1"/>
  <c r="CN516" i="4" s="1"/>
  <c r="DP516" i="4" s="1"/>
  <c r="BQ516" i="4"/>
  <c r="BR516" i="4"/>
  <c r="CD516" i="4" s="1"/>
  <c r="CP516" i="4" s="1"/>
  <c r="BS516" i="4"/>
  <c r="CE516" i="4" s="1"/>
  <c r="CQ516" i="4" s="1"/>
  <c r="BT516" i="4"/>
  <c r="CF516" i="4" s="1"/>
  <c r="CR516" i="4" s="1"/>
  <c r="BU516" i="4"/>
  <c r="CG516" i="4" s="1"/>
  <c r="CS516" i="4" s="1"/>
  <c r="BV516" i="4"/>
  <c r="BW516" i="4"/>
  <c r="CI516" i="4" s="1"/>
  <c r="CU516" i="4" s="1"/>
  <c r="BX516" i="4"/>
  <c r="CJ516" i="4" s="1"/>
  <c r="CV516" i="4" s="1"/>
  <c r="BY516" i="4"/>
  <c r="BZ516" i="4"/>
  <c r="CL516" i="4" s="1"/>
  <c r="CC516" i="4"/>
  <c r="CO516" i="4" s="1"/>
  <c r="CH516" i="4"/>
  <c r="CK516" i="4"/>
  <c r="CW516" i="4" s="1"/>
  <c r="DY516" i="4" s="1"/>
  <c r="CT516" i="4"/>
  <c r="CZ516" i="4"/>
  <c r="DA516" i="4"/>
  <c r="DO516" i="4" s="1"/>
  <c r="DB516" i="4"/>
  <c r="DC516" i="4"/>
  <c r="DD516" i="4"/>
  <c r="DE516" i="4"/>
  <c r="DF516" i="4"/>
  <c r="DG516" i="4"/>
  <c r="DU516" i="4" s="1"/>
  <c r="DH516" i="4"/>
  <c r="DI516" i="4"/>
  <c r="DJ516" i="4"/>
  <c r="DK516" i="4"/>
  <c r="DT516" i="4"/>
  <c r="BN517" i="4"/>
  <c r="BZ517" i="4" s="1"/>
  <c r="CL517" i="4" s="1"/>
  <c r="BO517" i="4"/>
  <c r="CA517" i="4" s="1"/>
  <c r="CM517" i="4" s="1"/>
  <c r="DO517" i="4" s="1"/>
  <c r="BP517" i="4"/>
  <c r="CB517" i="4" s="1"/>
  <c r="CN517" i="4" s="1"/>
  <c r="BQ517" i="4"/>
  <c r="BR517" i="4"/>
  <c r="CD517" i="4" s="1"/>
  <c r="BS517" i="4"/>
  <c r="CE517" i="4" s="1"/>
  <c r="CQ517" i="4" s="1"/>
  <c r="BT517" i="4"/>
  <c r="CF517" i="4" s="1"/>
  <c r="CR517" i="4" s="1"/>
  <c r="BU517" i="4"/>
  <c r="BV517" i="4"/>
  <c r="CH517" i="4" s="1"/>
  <c r="CT517" i="4" s="1"/>
  <c r="BW517" i="4"/>
  <c r="CI517" i="4" s="1"/>
  <c r="CU517" i="4" s="1"/>
  <c r="DW517" i="4" s="1"/>
  <c r="BX517" i="4"/>
  <c r="CJ517" i="4" s="1"/>
  <c r="CV517" i="4" s="1"/>
  <c r="BY517" i="4"/>
  <c r="CC517" i="4"/>
  <c r="CO517" i="4" s="1"/>
  <c r="CG517" i="4"/>
  <c r="CS517" i="4" s="1"/>
  <c r="DU517" i="4" s="1"/>
  <c r="CK517" i="4"/>
  <c r="CW517" i="4" s="1"/>
  <c r="CP517" i="4"/>
  <c r="CZ517" i="4"/>
  <c r="DN517" i="4" s="1"/>
  <c r="DA517" i="4"/>
  <c r="DB517" i="4"/>
  <c r="DC517" i="4"/>
  <c r="DD517" i="4"/>
  <c r="DE517" i="4"/>
  <c r="DF517" i="4"/>
  <c r="DG517" i="4"/>
  <c r="DH517" i="4"/>
  <c r="DI517" i="4"/>
  <c r="DJ517" i="4"/>
  <c r="DK517" i="4"/>
  <c r="BN518" i="4"/>
  <c r="BZ518" i="4" s="1"/>
  <c r="CL518" i="4" s="1"/>
  <c r="BO518" i="4"/>
  <c r="BP518" i="4"/>
  <c r="CB518" i="4" s="1"/>
  <c r="BQ518" i="4"/>
  <c r="CC518" i="4" s="1"/>
  <c r="CO518" i="4" s="1"/>
  <c r="BR518" i="4"/>
  <c r="BS518" i="4"/>
  <c r="CE518" i="4" s="1"/>
  <c r="CQ518" i="4" s="1"/>
  <c r="BT518" i="4"/>
  <c r="BU518" i="4"/>
  <c r="BV518" i="4"/>
  <c r="CH518" i="4" s="1"/>
  <c r="CT518" i="4" s="1"/>
  <c r="BW518" i="4"/>
  <c r="CI518" i="4" s="1"/>
  <c r="CU518" i="4" s="1"/>
  <c r="DW518" i="4" s="1"/>
  <c r="BX518" i="4"/>
  <c r="CJ518" i="4" s="1"/>
  <c r="BY518" i="4"/>
  <c r="CK518" i="4" s="1"/>
  <c r="CA518" i="4"/>
  <c r="CM518" i="4" s="1"/>
  <c r="DO518" i="4" s="1"/>
  <c r="CD518" i="4"/>
  <c r="CP518" i="4" s="1"/>
  <c r="CF518" i="4"/>
  <c r="CR518" i="4" s="1"/>
  <c r="CG518" i="4"/>
  <c r="CS518" i="4" s="1"/>
  <c r="CN518" i="4"/>
  <c r="CV518" i="4"/>
  <c r="CW518" i="4"/>
  <c r="CZ518" i="4"/>
  <c r="DA518" i="4"/>
  <c r="DB518" i="4"/>
  <c r="DC518" i="4"/>
  <c r="DD518" i="4"/>
  <c r="DE518" i="4"/>
  <c r="DF518" i="4"/>
  <c r="DG518" i="4"/>
  <c r="DH518" i="4"/>
  <c r="DI518" i="4"/>
  <c r="DJ518" i="4"/>
  <c r="DK518" i="4"/>
  <c r="BN519" i="4"/>
  <c r="BZ519" i="4" s="1"/>
  <c r="CL519" i="4" s="1"/>
  <c r="DN519" i="4" s="1"/>
  <c r="BO519" i="4"/>
  <c r="CA519" i="4" s="1"/>
  <c r="CM519" i="4" s="1"/>
  <c r="BP519" i="4"/>
  <c r="CB519" i="4" s="1"/>
  <c r="CN519" i="4" s="1"/>
  <c r="BQ519" i="4"/>
  <c r="CC519" i="4" s="1"/>
  <c r="CO519" i="4" s="1"/>
  <c r="BR519" i="4"/>
  <c r="BS519" i="4"/>
  <c r="BT519" i="4"/>
  <c r="CF519" i="4" s="1"/>
  <c r="BU519" i="4"/>
  <c r="CG519" i="4" s="1"/>
  <c r="CS519" i="4" s="1"/>
  <c r="BV519" i="4"/>
  <c r="CH519" i="4" s="1"/>
  <c r="CT519" i="4" s="1"/>
  <c r="DV519" i="4" s="1"/>
  <c r="BW519" i="4"/>
  <c r="CI519" i="4" s="1"/>
  <c r="CU519" i="4" s="1"/>
  <c r="BX519" i="4"/>
  <c r="CJ519" i="4" s="1"/>
  <c r="CV519" i="4" s="1"/>
  <c r="DX519" i="4" s="1"/>
  <c r="BY519" i="4"/>
  <c r="CK519" i="4" s="1"/>
  <c r="CW519" i="4" s="1"/>
  <c r="CD519" i="4"/>
  <c r="CP519" i="4" s="1"/>
  <c r="DR519" i="4" s="1"/>
  <c r="CE519" i="4"/>
  <c r="CQ519" i="4" s="1"/>
  <c r="CR519" i="4"/>
  <c r="CZ519" i="4"/>
  <c r="DA519" i="4"/>
  <c r="DB519" i="4"/>
  <c r="DC519" i="4"/>
  <c r="DQ519" i="4" s="1"/>
  <c r="DD519" i="4"/>
  <c r="DE519" i="4"/>
  <c r="DF519" i="4"/>
  <c r="DG519" i="4"/>
  <c r="DH519" i="4"/>
  <c r="DI519" i="4"/>
  <c r="DJ519" i="4"/>
  <c r="DK519" i="4"/>
  <c r="BN520" i="4"/>
  <c r="BZ520" i="4" s="1"/>
  <c r="CL520" i="4" s="1"/>
  <c r="BO520" i="4"/>
  <c r="CA520" i="4" s="1"/>
  <c r="CM520" i="4" s="1"/>
  <c r="BP520" i="4"/>
  <c r="CB520" i="4" s="1"/>
  <c r="CN520" i="4" s="1"/>
  <c r="DP520" i="4" s="1"/>
  <c r="BQ520" i="4"/>
  <c r="BR520" i="4"/>
  <c r="CD520" i="4" s="1"/>
  <c r="CP520" i="4" s="1"/>
  <c r="DR520" i="4" s="1"/>
  <c r="BS520" i="4"/>
  <c r="CE520" i="4" s="1"/>
  <c r="CQ520" i="4" s="1"/>
  <c r="DS520" i="4" s="1"/>
  <c r="BT520" i="4"/>
  <c r="CF520" i="4" s="1"/>
  <c r="CR520" i="4" s="1"/>
  <c r="BU520" i="4"/>
  <c r="CG520" i="4" s="1"/>
  <c r="CS520" i="4" s="1"/>
  <c r="BV520" i="4"/>
  <c r="BW520" i="4"/>
  <c r="CI520" i="4" s="1"/>
  <c r="CU520" i="4" s="1"/>
  <c r="BX520" i="4"/>
  <c r="CJ520" i="4" s="1"/>
  <c r="CV520" i="4" s="1"/>
  <c r="BY520" i="4"/>
  <c r="CC520" i="4"/>
  <c r="CO520" i="4" s="1"/>
  <c r="CH520" i="4"/>
  <c r="CT520" i="4" s="1"/>
  <c r="CK520" i="4"/>
  <c r="CW520" i="4" s="1"/>
  <c r="CZ520" i="4"/>
  <c r="DA520" i="4"/>
  <c r="DB520" i="4"/>
  <c r="DC520" i="4"/>
  <c r="DD520" i="4"/>
  <c r="DE520" i="4"/>
  <c r="DF520" i="4"/>
  <c r="DG520" i="4"/>
  <c r="DH520" i="4"/>
  <c r="DI520" i="4"/>
  <c r="DJ520" i="4"/>
  <c r="DK520" i="4"/>
  <c r="DX520" i="4"/>
  <c r="BN521" i="4"/>
  <c r="BZ521" i="4" s="1"/>
  <c r="CL521" i="4" s="1"/>
  <c r="BO521" i="4"/>
  <c r="CA521" i="4" s="1"/>
  <c r="CM521" i="4" s="1"/>
  <c r="BP521" i="4"/>
  <c r="CB521" i="4" s="1"/>
  <c r="CN521" i="4" s="1"/>
  <c r="BQ521" i="4"/>
  <c r="CC521" i="4" s="1"/>
  <c r="CO521" i="4" s="1"/>
  <c r="DQ521" i="4" s="1"/>
  <c r="BR521" i="4"/>
  <c r="CD521" i="4" s="1"/>
  <c r="BS521" i="4"/>
  <c r="CE521" i="4" s="1"/>
  <c r="CQ521" i="4" s="1"/>
  <c r="BT521" i="4"/>
  <c r="CF521" i="4" s="1"/>
  <c r="CR521" i="4" s="1"/>
  <c r="BU521" i="4"/>
  <c r="CG521" i="4" s="1"/>
  <c r="CS521" i="4" s="1"/>
  <c r="DU521" i="4" s="1"/>
  <c r="BV521" i="4"/>
  <c r="CH521" i="4" s="1"/>
  <c r="CT521" i="4" s="1"/>
  <c r="BW521" i="4"/>
  <c r="CI521" i="4" s="1"/>
  <c r="CU521" i="4" s="1"/>
  <c r="BX521" i="4"/>
  <c r="CJ521" i="4" s="1"/>
  <c r="CV521" i="4" s="1"/>
  <c r="BY521" i="4"/>
  <c r="CK521" i="4" s="1"/>
  <c r="CW521" i="4" s="1"/>
  <c r="DY521" i="4" s="1"/>
  <c r="CP521" i="4"/>
  <c r="CZ521" i="4"/>
  <c r="DA521" i="4"/>
  <c r="DB521" i="4"/>
  <c r="DC521" i="4"/>
  <c r="DD521" i="4"/>
  <c r="DE521" i="4"/>
  <c r="DF521" i="4"/>
  <c r="DG521" i="4"/>
  <c r="DH521" i="4"/>
  <c r="DI521" i="4"/>
  <c r="DJ521" i="4"/>
  <c r="DK521" i="4"/>
  <c r="BN522" i="4"/>
  <c r="BO522" i="4"/>
  <c r="CA522" i="4" s="1"/>
  <c r="CM522" i="4" s="1"/>
  <c r="DO522" i="4" s="1"/>
  <c r="BP522" i="4"/>
  <c r="CB522" i="4" s="1"/>
  <c r="CN522" i="4" s="1"/>
  <c r="BQ522" i="4"/>
  <c r="CC522" i="4" s="1"/>
  <c r="CO522" i="4" s="1"/>
  <c r="BR522" i="4"/>
  <c r="CD522" i="4" s="1"/>
  <c r="CP522" i="4" s="1"/>
  <c r="BS522" i="4"/>
  <c r="CE522" i="4" s="1"/>
  <c r="CQ522" i="4" s="1"/>
  <c r="BT522" i="4"/>
  <c r="BU522" i="4"/>
  <c r="BV522" i="4"/>
  <c r="CH522" i="4" s="1"/>
  <c r="CT522" i="4" s="1"/>
  <c r="BW522" i="4"/>
  <c r="CI522" i="4" s="1"/>
  <c r="CU522" i="4" s="1"/>
  <c r="DW522" i="4" s="1"/>
  <c r="BX522" i="4"/>
  <c r="CJ522" i="4" s="1"/>
  <c r="CV522" i="4" s="1"/>
  <c r="BY522" i="4"/>
  <c r="CK522" i="4" s="1"/>
  <c r="CW522" i="4" s="1"/>
  <c r="BZ522" i="4"/>
  <c r="CL522" i="4" s="1"/>
  <c r="CF522" i="4"/>
  <c r="CR522" i="4" s="1"/>
  <c r="CG522" i="4"/>
  <c r="CS522" i="4" s="1"/>
  <c r="DU522" i="4" s="1"/>
  <c r="CZ522" i="4"/>
  <c r="DA522" i="4"/>
  <c r="DB522" i="4"/>
  <c r="DC522" i="4"/>
  <c r="DD522" i="4"/>
  <c r="DE522" i="4"/>
  <c r="DF522" i="4"/>
  <c r="DG522" i="4"/>
  <c r="DH522" i="4"/>
  <c r="DI522" i="4"/>
  <c r="DJ522" i="4"/>
  <c r="DK522" i="4"/>
  <c r="BN523" i="4"/>
  <c r="BO523" i="4"/>
  <c r="CA523" i="4" s="1"/>
  <c r="BP523" i="4"/>
  <c r="CB523" i="4" s="1"/>
  <c r="CN523" i="4" s="1"/>
  <c r="BQ523" i="4"/>
  <c r="CC523" i="4" s="1"/>
  <c r="CO523" i="4" s="1"/>
  <c r="BR523" i="4"/>
  <c r="CD523" i="4" s="1"/>
  <c r="CP523" i="4" s="1"/>
  <c r="DR523" i="4" s="1"/>
  <c r="BS523" i="4"/>
  <c r="BT523" i="4"/>
  <c r="BU523" i="4"/>
  <c r="CG523" i="4" s="1"/>
  <c r="CS523" i="4" s="1"/>
  <c r="DU523" i="4" s="1"/>
  <c r="BV523" i="4"/>
  <c r="CH523" i="4" s="1"/>
  <c r="CT523" i="4" s="1"/>
  <c r="BW523" i="4"/>
  <c r="CI523" i="4" s="1"/>
  <c r="CU523" i="4" s="1"/>
  <c r="BX523" i="4"/>
  <c r="BY523" i="4"/>
  <c r="CK523" i="4" s="1"/>
  <c r="CW523" i="4" s="1"/>
  <c r="BZ523" i="4"/>
  <c r="CL523" i="4" s="1"/>
  <c r="CE523" i="4"/>
  <c r="CQ523" i="4" s="1"/>
  <c r="DS523" i="4" s="1"/>
  <c r="CF523" i="4"/>
  <c r="CR523" i="4" s="1"/>
  <c r="CJ523" i="4"/>
  <c r="CM523" i="4"/>
  <c r="CV523" i="4"/>
  <c r="CZ523" i="4"/>
  <c r="DA523" i="4"/>
  <c r="DB523" i="4"/>
  <c r="DC523" i="4"/>
  <c r="DD523" i="4"/>
  <c r="DE523" i="4"/>
  <c r="DF523" i="4"/>
  <c r="DT523" i="4" s="1"/>
  <c r="DG523" i="4"/>
  <c r="DH523" i="4"/>
  <c r="DV523" i="4" s="1"/>
  <c r="DI523" i="4"/>
  <c r="DJ523" i="4"/>
  <c r="DK523" i="4"/>
  <c r="BN524" i="4"/>
  <c r="BO524" i="4"/>
  <c r="CA524" i="4" s="1"/>
  <c r="CM524" i="4" s="1"/>
  <c r="BP524" i="4"/>
  <c r="CB524" i="4" s="1"/>
  <c r="CN524" i="4" s="1"/>
  <c r="BQ524" i="4"/>
  <c r="CC524" i="4" s="1"/>
  <c r="CO524" i="4" s="1"/>
  <c r="BR524" i="4"/>
  <c r="CD524" i="4" s="1"/>
  <c r="CP524" i="4" s="1"/>
  <c r="BS524" i="4"/>
  <c r="BT524" i="4"/>
  <c r="CF524" i="4" s="1"/>
  <c r="CR524" i="4" s="1"/>
  <c r="BU524" i="4"/>
  <c r="CG524" i="4" s="1"/>
  <c r="CS524" i="4" s="1"/>
  <c r="BV524" i="4"/>
  <c r="CH524" i="4" s="1"/>
  <c r="CT524" i="4" s="1"/>
  <c r="BW524" i="4"/>
  <c r="BX524" i="4"/>
  <c r="BY524" i="4"/>
  <c r="CK524" i="4" s="1"/>
  <c r="CW524" i="4" s="1"/>
  <c r="BZ524" i="4"/>
  <c r="CL524" i="4" s="1"/>
  <c r="CE524" i="4"/>
  <c r="CQ524" i="4" s="1"/>
  <c r="CI524" i="4"/>
  <c r="CU524" i="4" s="1"/>
  <c r="CJ524" i="4"/>
  <c r="CV524" i="4" s="1"/>
  <c r="CZ524" i="4"/>
  <c r="DA524" i="4"/>
  <c r="DB524" i="4"/>
  <c r="DC524" i="4"/>
  <c r="DD524" i="4"/>
  <c r="DE524" i="4"/>
  <c r="DF524" i="4"/>
  <c r="DG524" i="4"/>
  <c r="DH524" i="4"/>
  <c r="DI524" i="4"/>
  <c r="DJ524" i="4"/>
  <c r="DK524" i="4"/>
  <c r="DX524" i="4"/>
  <c r="BN525" i="4"/>
  <c r="BO525" i="4"/>
  <c r="CA525" i="4" s="1"/>
  <c r="CM525" i="4" s="1"/>
  <c r="BP525" i="4"/>
  <c r="BQ525" i="4"/>
  <c r="CC525" i="4" s="1"/>
  <c r="CO525" i="4" s="1"/>
  <c r="BR525" i="4"/>
  <c r="CD525" i="4" s="1"/>
  <c r="CP525" i="4" s="1"/>
  <c r="BS525" i="4"/>
  <c r="CE525" i="4" s="1"/>
  <c r="BT525" i="4"/>
  <c r="CF525" i="4" s="1"/>
  <c r="CR525" i="4" s="1"/>
  <c r="BU525" i="4"/>
  <c r="CG525" i="4" s="1"/>
  <c r="CS525" i="4" s="1"/>
  <c r="DU525" i="4" s="1"/>
  <c r="BV525" i="4"/>
  <c r="CH525" i="4" s="1"/>
  <c r="CT525" i="4" s="1"/>
  <c r="BW525" i="4"/>
  <c r="BX525" i="4"/>
  <c r="CJ525" i="4" s="1"/>
  <c r="CV525" i="4" s="1"/>
  <c r="BY525" i="4"/>
  <c r="CK525" i="4" s="1"/>
  <c r="CW525" i="4" s="1"/>
  <c r="BZ525" i="4"/>
  <c r="CL525" i="4" s="1"/>
  <c r="CB525" i="4"/>
  <c r="CN525" i="4" s="1"/>
  <c r="DP525" i="4" s="1"/>
  <c r="CI525" i="4"/>
  <c r="CU525" i="4" s="1"/>
  <c r="DW525" i="4" s="1"/>
  <c r="CQ525" i="4"/>
  <c r="CZ525" i="4"/>
  <c r="DA525" i="4"/>
  <c r="DB525" i="4"/>
  <c r="DC525" i="4"/>
  <c r="DD525" i="4"/>
  <c r="DR525" i="4" s="1"/>
  <c r="DE525" i="4"/>
  <c r="DF525" i="4"/>
  <c r="DG525" i="4"/>
  <c r="DH525" i="4"/>
  <c r="DI525" i="4"/>
  <c r="DJ525" i="4"/>
  <c r="DK525" i="4"/>
  <c r="DT525" i="4"/>
  <c r="BN526" i="4"/>
  <c r="BZ526" i="4" s="1"/>
  <c r="CL526" i="4" s="1"/>
  <c r="DN526" i="4" s="1"/>
  <c r="BO526" i="4"/>
  <c r="CA526" i="4" s="1"/>
  <c r="CM526" i="4" s="1"/>
  <c r="BP526" i="4"/>
  <c r="CB526" i="4" s="1"/>
  <c r="CN526" i="4" s="1"/>
  <c r="BQ526" i="4"/>
  <c r="CC526" i="4" s="1"/>
  <c r="CO526" i="4" s="1"/>
  <c r="BR526" i="4"/>
  <c r="BS526" i="4"/>
  <c r="CE526" i="4" s="1"/>
  <c r="CQ526" i="4" s="1"/>
  <c r="DS526" i="4" s="1"/>
  <c r="BT526" i="4"/>
  <c r="CF526" i="4" s="1"/>
  <c r="CR526" i="4" s="1"/>
  <c r="BU526" i="4"/>
  <c r="CG526" i="4" s="1"/>
  <c r="CS526" i="4" s="1"/>
  <c r="BV526" i="4"/>
  <c r="BW526" i="4"/>
  <c r="CI526" i="4" s="1"/>
  <c r="CU526" i="4" s="1"/>
  <c r="DW526" i="4" s="1"/>
  <c r="BX526" i="4"/>
  <c r="CJ526" i="4" s="1"/>
  <c r="CV526" i="4" s="1"/>
  <c r="BY526" i="4"/>
  <c r="CK526" i="4" s="1"/>
  <c r="CW526" i="4" s="1"/>
  <c r="CD526" i="4"/>
  <c r="CP526" i="4" s="1"/>
  <c r="CH526" i="4"/>
  <c r="CT526" i="4" s="1"/>
  <c r="CZ526" i="4"/>
  <c r="DA526" i="4"/>
  <c r="DO526" i="4" s="1"/>
  <c r="DB526" i="4"/>
  <c r="DC526" i="4"/>
  <c r="DD526" i="4"/>
  <c r="DE526" i="4"/>
  <c r="DF526" i="4"/>
  <c r="DG526" i="4"/>
  <c r="DH526" i="4"/>
  <c r="DI526" i="4"/>
  <c r="DJ526" i="4"/>
  <c r="DK526" i="4"/>
  <c r="BN527" i="4"/>
  <c r="BO527" i="4"/>
  <c r="CA527" i="4" s="1"/>
  <c r="CM527" i="4" s="1"/>
  <c r="BP527" i="4"/>
  <c r="CB527" i="4" s="1"/>
  <c r="CN527" i="4" s="1"/>
  <c r="DP527" i="4" s="1"/>
  <c r="BQ527" i="4"/>
  <c r="CC527" i="4" s="1"/>
  <c r="CO527" i="4" s="1"/>
  <c r="BR527" i="4"/>
  <c r="CD527" i="4" s="1"/>
  <c r="CP527" i="4" s="1"/>
  <c r="BS527" i="4"/>
  <c r="BT527" i="4"/>
  <c r="BU527" i="4"/>
  <c r="CG527" i="4" s="1"/>
  <c r="CS527" i="4" s="1"/>
  <c r="BV527" i="4"/>
  <c r="CH527" i="4" s="1"/>
  <c r="BW527" i="4"/>
  <c r="CI527" i="4" s="1"/>
  <c r="CU527" i="4" s="1"/>
  <c r="BX527" i="4"/>
  <c r="CJ527" i="4" s="1"/>
  <c r="CV527" i="4" s="1"/>
  <c r="BY527" i="4"/>
  <c r="CK527" i="4" s="1"/>
  <c r="CW527" i="4" s="1"/>
  <c r="BZ527" i="4"/>
  <c r="CL527" i="4" s="1"/>
  <c r="CE527" i="4"/>
  <c r="CQ527" i="4" s="1"/>
  <c r="CF527" i="4"/>
  <c r="CR527" i="4" s="1"/>
  <c r="DT527" i="4" s="1"/>
  <c r="CT527" i="4"/>
  <c r="CZ527" i="4"/>
  <c r="DA527" i="4"/>
  <c r="DM527" i="4" s="1"/>
  <c r="DB527" i="4"/>
  <c r="DC527" i="4"/>
  <c r="DQ527" i="4" s="1"/>
  <c r="DD527" i="4"/>
  <c r="DE527" i="4"/>
  <c r="DF527" i="4"/>
  <c r="DG527" i="4"/>
  <c r="DH527" i="4"/>
  <c r="DI527" i="4"/>
  <c r="DJ527" i="4"/>
  <c r="DK527" i="4"/>
  <c r="DY527" i="4" s="1"/>
  <c r="DS527" i="4"/>
  <c r="BN528" i="4"/>
  <c r="BZ528" i="4" s="1"/>
  <c r="CL528" i="4" s="1"/>
  <c r="BO528" i="4"/>
  <c r="BP528" i="4"/>
  <c r="CB528" i="4" s="1"/>
  <c r="CN528" i="4" s="1"/>
  <c r="BQ528" i="4"/>
  <c r="BR528" i="4"/>
  <c r="BS528" i="4"/>
  <c r="BT528" i="4"/>
  <c r="CF528" i="4" s="1"/>
  <c r="CR528" i="4" s="1"/>
  <c r="BU528" i="4"/>
  <c r="CG528" i="4" s="1"/>
  <c r="BV528" i="4"/>
  <c r="CH528" i="4" s="1"/>
  <c r="CT528" i="4" s="1"/>
  <c r="BW528" i="4"/>
  <c r="CI528" i="4" s="1"/>
  <c r="CU528" i="4" s="1"/>
  <c r="BX528" i="4"/>
  <c r="BY528" i="4"/>
  <c r="CA528" i="4"/>
  <c r="CC528" i="4"/>
  <c r="CO528" i="4" s="1"/>
  <c r="DQ528" i="4" s="1"/>
  <c r="CD528" i="4"/>
  <c r="CP528" i="4" s="1"/>
  <c r="DR528" i="4" s="1"/>
  <c r="CE528" i="4"/>
  <c r="CQ528" i="4" s="1"/>
  <c r="DS528" i="4" s="1"/>
  <c r="CJ528" i="4"/>
  <c r="CK528" i="4"/>
  <c r="CW528" i="4" s="1"/>
  <c r="CM528" i="4"/>
  <c r="DO528" i="4" s="1"/>
  <c r="CS528" i="4"/>
  <c r="CV528" i="4"/>
  <c r="DX528" i="4" s="1"/>
  <c r="CZ528" i="4"/>
  <c r="DA528" i="4"/>
  <c r="DB528" i="4"/>
  <c r="DC528" i="4"/>
  <c r="DD528" i="4"/>
  <c r="DE528" i="4"/>
  <c r="DF528" i="4"/>
  <c r="DT528" i="4" s="1"/>
  <c r="DG528" i="4"/>
  <c r="DH528" i="4"/>
  <c r="DI528" i="4"/>
  <c r="DJ528" i="4"/>
  <c r="DK528" i="4"/>
  <c r="BN529" i="4"/>
  <c r="BZ529" i="4" s="1"/>
  <c r="CL529" i="4" s="1"/>
  <c r="BO529" i="4"/>
  <c r="CA529" i="4" s="1"/>
  <c r="CM529" i="4" s="1"/>
  <c r="BP529" i="4"/>
  <c r="BQ529" i="4"/>
  <c r="CC529" i="4" s="1"/>
  <c r="BR529" i="4"/>
  <c r="CD529" i="4" s="1"/>
  <c r="CP529" i="4" s="1"/>
  <c r="BS529" i="4"/>
  <c r="CE529" i="4" s="1"/>
  <c r="BT529" i="4"/>
  <c r="CF529" i="4" s="1"/>
  <c r="CR529" i="4" s="1"/>
  <c r="BU529" i="4"/>
  <c r="CG529" i="4" s="1"/>
  <c r="CS529" i="4" s="1"/>
  <c r="BV529" i="4"/>
  <c r="CH529" i="4" s="1"/>
  <c r="CT529" i="4" s="1"/>
  <c r="BW529" i="4"/>
  <c r="CI529" i="4" s="1"/>
  <c r="CU529" i="4" s="1"/>
  <c r="BX529" i="4"/>
  <c r="CJ529" i="4" s="1"/>
  <c r="CV529" i="4" s="1"/>
  <c r="BY529" i="4"/>
  <c r="CB529" i="4"/>
  <c r="CN529" i="4" s="1"/>
  <c r="DP529" i="4" s="1"/>
  <c r="CK529" i="4"/>
  <c r="CW529" i="4" s="1"/>
  <c r="CO529" i="4"/>
  <c r="CQ529" i="4"/>
  <c r="CZ529" i="4"/>
  <c r="DA529" i="4"/>
  <c r="DB529" i="4"/>
  <c r="DC529" i="4"/>
  <c r="DD529" i="4"/>
  <c r="DR529" i="4" s="1"/>
  <c r="DE529" i="4"/>
  <c r="DF529" i="4"/>
  <c r="DT529" i="4" s="1"/>
  <c r="DG529" i="4"/>
  <c r="DH529" i="4"/>
  <c r="DI529" i="4"/>
  <c r="DJ529" i="4"/>
  <c r="DK529" i="4"/>
  <c r="DQ529" i="4"/>
  <c r="BN530" i="4"/>
  <c r="BZ530" i="4" s="1"/>
  <c r="CL530" i="4" s="1"/>
  <c r="BO530" i="4"/>
  <c r="CA530" i="4" s="1"/>
  <c r="CM530" i="4" s="1"/>
  <c r="BP530" i="4"/>
  <c r="CB530" i="4" s="1"/>
  <c r="CN530" i="4" s="1"/>
  <c r="BQ530" i="4"/>
  <c r="CC530" i="4" s="1"/>
  <c r="CO530" i="4" s="1"/>
  <c r="BR530" i="4"/>
  <c r="BS530" i="4"/>
  <c r="CE530" i="4" s="1"/>
  <c r="BT530" i="4"/>
  <c r="CF530" i="4" s="1"/>
  <c r="CR530" i="4" s="1"/>
  <c r="BU530" i="4"/>
  <c r="BV530" i="4"/>
  <c r="BW530" i="4"/>
  <c r="CI530" i="4" s="1"/>
  <c r="CU530" i="4" s="1"/>
  <c r="BX530" i="4"/>
  <c r="CJ530" i="4" s="1"/>
  <c r="CV530" i="4" s="1"/>
  <c r="DX530" i="4" s="1"/>
  <c r="BY530" i="4"/>
  <c r="CK530" i="4" s="1"/>
  <c r="CW530" i="4" s="1"/>
  <c r="CD530" i="4"/>
  <c r="CP530" i="4" s="1"/>
  <c r="CG530" i="4"/>
  <c r="CS530" i="4" s="1"/>
  <c r="DU530" i="4" s="1"/>
  <c r="CH530" i="4"/>
  <c r="CT530" i="4" s="1"/>
  <c r="CQ530" i="4"/>
  <c r="CZ530" i="4"/>
  <c r="DA530" i="4"/>
  <c r="DB530" i="4"/>
  <c r="DC530" i="4"/>
  <c r="DD530" i="4"/>
  <c r="DE530" i="4"/>
  <c r="DF530" i="4"/>
  <c r="DG530" i="4"/>
  <c r="DH530" i="4"/>
  <c r="DI530" i="4"/>
  <c r="DJ530" i="4"/>
  <c r="DK530" i="4"/>
  <c r="DY530" i="4" s="1"/>
  <c r="BN531" i="4"/>
  <c r="BO531" i="4"/>
  <c r="CA531" i="4" s="1"/>
  <c r="CM531" i="4" s="1"/>
  <c r="BP531" i="4"/>
  <c r="CB531" i="4" s="1"/>
  <c r="CN531" i="4" s="1"/>
  <c r="DP531" i="4" s="1"/>
  <c r="BQ531" i="4"/>
  <c r="CC531" i="4" s="1"/>
  <c r="CO531" i="4" s="1"/>
  <c r="DQ531" i="4" s="1"/>
  <c r="BR531" i="4"/>
  <c r="BS531" i="4"/>
  <c r="BT531" i="4"/>
  <c r="CF531" i="4" s="1"/>
  <c r="CR531" i="4" s="1"/>
  <c r="DT531" i="4" s="1"/>
  <c r="BU531" i="4"/>
  <c r="CG531" i="4" s="1"/>
  <c r="CS531" i="4" s="1"/>
  <c r="DU531" i="4" s="1"/>
  <c r="BV531" i="4"/>
  <c r="BW531" i="4"/>
  <c r="CI531" i="4" s="1"/>
  <c r="CU531" i="4" s="1"/>
  <c r="BX531" i="4"/>
  <c r="CJ531" i="4" s="1"/>
  <c r="CV531" i="4" s="1"/>
  <c r="BY531" i="4"/>
  <c r="BZ531" i="4"/>
  <c r="CD531" i="4"/>
  <c r="CP531" i="4" s="1"/>
  <c r="CE531" i="4"/>
  <c r="CQ531" i="4" s="1"/>
  <c r="CH531" i="4"/>
  <c r="CT531" i="4" s="1"/>
  <c r="CK531" i="4"/>
  <c r="CW531" i="4" s="1"/>
  <c r="CL531" i="4"/>
  <c r="CZ531" i="4"/>
  <c r="DA531" i="4"/>
  <c r="DB531" i="4"/>
  <c r="DC531" i="4"/>
  <c r="DD531" i="4"/>
  <c r="DE531" i="4"/>
  <c r="DF531" i="4"/>
  <c r="DG531" i="4"/>
  <c r="DH531" i="4"/>
  <c r="DI531" i="4"/>
  <c r="DJ531" i="4"/>
  <c r="DK531" i="4"/>
  <c r="DS531" i="4"/>
  <c r="BN532" i="4"/>
  <c r="BZ532" i="4" s="1"/>
  <c r="CL532" i="4" s="1"/>
  <c r="BO532" i="4"/>
  <c r="BP532" i="4"/>
  <c r="CB532" i="4" s="1"/>
  <c r="CN532" i="4" s="1"/>
  <c r="BQ532" i="4"/>
  <c r="BR532" i="4"/>
  <c r="CD532" i="4" s="1"/>
  <c r="CP532" i="4" s="1"/>
  <c r="BS532" i="4"/>
  <c r="CE532" i="4" s="1"/>
  <c r="BT532" i="4"/>
  <c r="CF532" i="4" s="1"/>
  <c r="CR532" i="4" s="1"/>
  <c r="BU532" i="4"/>
  <c r="CG532" i="4" s="1"/>
  <c r="CS532" i="4" s="1"/>
  <c r="BV532" i="4"/>
  <c r="CH532" i="4" s="1"/>
  <c r="CT532" i="4" s="1"/>
  <c r="BW532" i="4"/>
  <c r="CI532" i="4" s="1"/>
  <c r="CU532" i="4" s="1"/>
  <c r="BX532" i="4"/>
  <c r="CJ532" i="4" s="1"/>
  <c r="CV532" i="4" s="1"/>
  <c r="BY532" i="4"/>
  <c r="CA532" i="4"/>
  <c r="CM532" i="4" s="1"/>
  <c r="DO532" i="4" s="1"/>
  <c r="CC532" i="4"/>
  <c r="CO532" i="4" s="1"/>
  <c r="CK532" i="4"/>
  <c r="CW532" i="4" s="1"/>
  <c r="CQ532" i="4"/>
  <c r="DS532" i="4" s="1"/>
  <c r="CZ532" i="4"/>
  <c r="DN532" i="4" s="1"/>
  <c r="DA532" i="4"/>
  <c r="DB532" i="4"/>
  <c r="DC532" i="4"/>
  <c r="DD532" i="4"/>
  <c r="DE532" i="4"/>
  <c r="DF532" i="4"/>
  <c r="DT532" i="4" s="1"/>
  <c r="DG532" i="4"/>
  <c r="DH532" i="4"/>
  <c r="DI532" i="4"/>
  <c r="DW532" i="4" s="1"/>
  <c r="DJ532" i="4"/>
  <c r="DK532" i="4"/>
  <c r="BN533" i="4"/>
  <c r="BZ533" i="4" s="1"/>
  <c r="CL533" i="4" s="1"/>
  <c r="BO533" i="4"/>
  <c r="CA533" i="4" s="1"/>
  <c r="CM533" i="4" s="1"/>
  <c r="DO533" i="4" s="1"/>
  <c r="BP533" i="4"/>
  <c r="CB533" i="4" s="1"/>
  <c r="CN533" i="4" s="1"/>
  <c r="BQ533" i="4"/>
  <c r="CC533" i="4" s="1"/>
  <c r="CO533" i="4" s="1"/>
  <c r="BR533" i="4"/>
  <c r="BS533" i="4"/>
  <c r="CE533" i="4" s="1"/>
  <c r="BT533" i="4"/>
  <c r="BU533" i="4"/>
  <c r="CG533" i="4" s="1"/>
  <c r="CS533" i="4" s="1"/>
  <c r="BV533" i="4"/>
  <c r="CH533" i="4" s="1"/>
  <c r="CT533" i="4" s="1"/>
  <c r="BW533" i="4"/>
  <c r="BX533" i="4"/>
  <c r="CJ533" i="4" s="1"/>
  <c r="CV533" i="4" s="1"/>
  <c r="BY533" i="4"/>
  <c r="CK533" i="4" s="1"/>
  <c r="CW533" i="4" s="1"/>
  <c r="CD533" i="4"/>
  <c r="CP533" i="4" s="1"/>
  <c r="CF533" i="4"/>
  <c r="CR533" i="4" s="1"/>
  <c r="DT533" i="4" s="1"/>
  <c r="CI533" i="4"/>
  <c r="CU533" i="4" s="1"/>
  <c r="DW533" i="4" s="1"/>
  <c r="CQ533" i="4"/>
  <c r="CZ533" i="4"/>
  <c r="DN533" i="4" s="1"/>
  <c r="DA533" i="4"/>
  <c r="DB533" i="4"/>
  <c r="DC533" i="4"/>
  <c r="DD533" i="4"/>
  <c r="DR533" i="4" s="1"/>
  <c r="DE533" i="4"/>
  <c r="DF533" i="4"/>
  <c r="DG533" i="4"/>
  <c r="DH533" i="4"/>
  <c r="DV533" i="4" s="1"/>
  <c r="DI533" i="4"/>
  <c r="DJ533" i="4"/>
  <c r="DK533" i="4"/>
  <c r="DQ533" i="4"/>
  <c r="BN534" i="4"/>
  <c r="BZ534" i="4" s="1"/>
  <c r="CL534" i="4" s="1"/>
  <c r="BO534" i="4"/>
  <c r="BP534" i="4"/>
  <c r="BQ534" i="4"/>
  <c r="CC534" i="4" s="1"/>
  <c r="CO534" i="4" s="1"/>
  <c r="BR534" i="4"/>
  <c r="CD534" i="4" s="1"/>
  <c r="CP534" i="4" s="1"/>
  <c r="DR534" i="4" s="1"/>
  <c r="BS534" i="4"/>
  <c r="CE534" i="4" s="1"/>
  <c r="CQ534" i="4" s="1"/>
  <c r="BT534" i="4"/>
  <c r="CF534" i="4" s="1"/>
  <c r="CR534" i="4" s="1"/>
  <c r="BU534" i="4"/>
  <c r="BV534" i="4"/>
  <c r="CH534" i="4" s="1"/>
  <c r="BW534" i="4"/>
  <c r="CI534" i="4" s="1"/>
  <c r="BX534" i="4"/>
  <c r="BY534" i="4"/>
  <c r="CK534" i="4" s="1"/>
  <c r="CW534" i="4" s="1"/>
  <c r="CA534" i="4"/>
  <c r="CM534" i="4" s="1"/>
  <c r="DO534" i="4" s="1"/>
  <c r="CB534" i="4"/>
  <c r="CN534" i="4" s="1"/>
  <c r="CG534" i="4"/>
  <c r="CS534" i="4" s="1"/>
  <c r="CJ534" i="4"/>
  <c r="CV534" i="4" s="1"/>
  <c r="CT534" i="4"/>
  <c r="CU534" i="4"/>
  <c r="DW534" i="4" s="1"/>
  <c r="CZ534" i="4"/>
  <c r="DA534" i="4"/>
  <c r="DB534" i="4"/>
  <c r="DP534" i="4" s="1"/>
  <c r="DC534" i="4"/>
  <c r="DD534" i="4"/>
  <c r="DE534" i="4"/>
  <c r="DF534" i="4"/>
  <c r="DT534" i="4" s="1"/>
  <c r="DG534" i="4"/>
  <c r="DH534" i="4"/>
  <c r="DI534" i="4"/>
  <c r="DJ534" i="4"/>
  <c r="DK534" i="4"/>
  <c r="DU534" i="4"/>
  <c r="BN535" i="4"/>
  <c r="BZ535" i="4" s="1"/>
  <c r="CL535" i="4" s="1"/>
  <c r="BO535" i="4"/>
  <c r="CA535" i="4" s="1"/>
  <c r="CM535" i="4" s="1"/>
  <c r="BP535" i="4"/>
  <c r="BQ535" i="4"/>
  <c r="CC535" i="4" s="1"/>
  <c r="CO535" i="4" s="1"/>
  <c r="BR535" i="4"/>
  <c r="CD535" i="4" s="1"/>
  <c r="CP535" i="4" s="1"/>
  <c r="BS535" i="4"/>
  <c r="CE535" i="4" s="1"/>
  <c r="CQ535" i="4" s="1"/>
  <c r="DS535" i="4" s="1"/>
  <c r="BT535" i="4"/>
  <c r="CF535" i="4" s="1"/>
  <c r="BU535" i="4"/>
  <c r="CG535" i="4" s="1"/>
  <c r="CS535" i="4" s="1"/>
  <c r="DU535" i="4" s="1"/>
  <c r="BV535" i="4"/>
  <c r="BW535" i="4"/>
  <c r="CI535" i="4" s="1"/>
  <c r="BX535" i="4"/>
  <c r="BY535" i="4"/>
  <c r="CK535" i="4" s="1"/>
  <c r="CW535" i="4" s="1"/>
  <c r="CB535" i="4"/>
  <c r="CN535" i="4" s="1"/>
  <c r="CH535" i="4"/>
  <c r="CT535" i="4" s="1"/>
  <c r="DV535" i="4" s="1"/>
  <c r="CJ535" i="4"/>
  <c r="CV535" i="4" s="1"/>
  <c r="CR535" i="4"/>
  <c r="CU535" i="4"/>
  <c r="CZ535" i="4"/>
  <c r="DA535" i="4"/>
  <c r="DB535" i="4"/>
  <c r="DC535" i="4"/>
  <c r="DQ535" i="4" s="1"/>
  <c r="DD535" i="4"/>
  <c r="DE535" i="4"/>
  <c r="DF535" i="4"/>
  <c r="DG535" i="4"/>
  <c r="DH535" i="4"/>
  <c r="DI535" i="4"/>
  <c r="DW535" i="4" s="1"/>
  <c r="DJ535" i="4"/>
  <c r="DK535" i="4"/>
  <c r="BN536" i="4"/>
  <c r="BZ536" i="4" s="1"/>
  <c r="CL536" i="4" s="1"/>
  <c r="DN536" i="4" s="1"/>
  <c r="BO536" i="4"/>
  <c r="CA536" i="4" s="1"/>
  <c r="CM536" i="4" s="1"/>
  <c r="BP536" i="4"/>
  <c r="CB536" i="4" s="1"/>
  <c r="CN536" i="4" s="1"/>
  <c r="BQ536" i="4"/>
  <c r="CC536" i="4" s="1"/>
  <c r="CO536" i="4" s="1"/>
  <c r="BR536" i="4"/>
  <c r="CD536" i="4" s="1"/>
  <c r="BS536" i="4"/>
  <c r="CE536" i="4" s="1"/>
  <c r="CQ536" i="4" s="1"/>
  <c r="BT536" i="4"/>
  <c r="BU536" i="4"/>
  <c r="CG536" i="4" s="1"/>
  <c r="BV536" i="4"/>
  <c r="CH536" i="4" s="1"/>
  <c r="CT536" i="4" s="1"/>
  <c r="DV536" i="4" s="1"/>
  <c r="BW536" i="4"/>
  <c r="CI536" i="4" s="1"/>
  <c r="CU536" i="4" s="1"/>
  <c r="BX536" i="4"/>
  <c r="CJ536" i="4" s="1"/>
  <c r="BY536" i="4"/>
  <c r="CF536" i="4"/>
  <c r="CR536" i="4" s="1"/>
  <c r="CK536" i="4"/>
  <c r="CW536" i="4" s="1"/>
  <c r="CP536" i="4"/>
  <c r="CS536" i="4"/>
  <c r="CV536" i="4"/>
  <c r="CZ536" i="4"/>
  <c r="DA536" i="4"/>
  <c r="DB536" i="4"/>
  <c r="DC536" i="4"/>
  <c r="DD536" i="4"/>
  <c r="DE536" i="4"/>
  <c r="DF536" i="4"/>
  <c r="DG536" i="4"/>
  <c r="DH536" i="4"/>
  <c r="DI536" i="4"/>
  <c r="DW536" i="4" s="1"/>
  <c r="DJ536" i="4"/>
  <c r="DK536" i="4"/>
  <c r="DY536" i="4" s="1"/>
  <c r="DS536" i="4"/>
  <c r="BN537" i="4"/>
  <c r="BZ537" i="4" s="1"/>
  <c r="CL537" i="4" s="1"/>
  <c r="BO537" i="4"/>
  <c r="BP537" i="4"/>
  <c r="CB537" i="4" s="1"/>
  <c r="CN537" i="4" s="1"/>
  <c r="BQ537" i="4"/>
  <c r="CC537" i="4" s="1"/>
  <c r="CO537" i="4" s="1"/>
  <c r="DQ537" i="4" s="1"/>
  <c r="BR537" i="4"/>
  <c r="CD537" i="4" s="1"/>
  <c r="CP537" i="4" s="1"/>
  <c r="BS537" i="4"/>
  <c r="CE537" i="4" s="1"/>
  <c r="CQ537" i="4" s="1"/>
  <c r="BT537" i="4"/>
  <c r="CF537" i="4" s="1"/>
  <c r="CR537" i="4" s="1"/>
  <c r="BU537" i="4"/>
  <c r="CG537" i="4" s="1"/>
  <c r="CS537" i="4" s="1"/>
  <c r="BV537" i="4"/>
  <c r="CH537" i="4" s="1"/>
  <c r="CT537" i="4" s="1"/>
  <c r="BW537" i="4"/>
  <c r="BX537" i="4"/>
  <c r="CJ537" i="4" s="1"/>
  <c r="CV537" i="4" s="1"/>
  <c r="BY537" i="4"/>
  <c r="CK537" i="4" s="1"/>
  <c r="CW537" i="4" s="1"/>
  <c r="DY537" i="4" s="1"/>
  <c r="CA537" i="4"/>
  <c r="CM537" i="4" s="1"/>
  <c r="CI537" i="4"/>
  <c r="CU537" i="4" s="1"/>
  <c r="CZ537" i="4"/>
  <c r="DA537" i="4"/>
  <c r="DB537" i="4"/>
  <c r="DC537" i="4"/>
  <c r="DD537" i="4"/>
  <c r="DE537" i="4"/>
  <c r="DF537" i="4"/>
  <c r="DG537" i="4"/>
  <c r="DH537" i="4"/>
  <c r="DI537" i="4"/>
  <c r="DJ537" i="4"/>
  <c r="DX537" i="4" s="1"/>
  <c r="DK537" i="4"/>
  <c r="BN538" i="4"/>
  <c r="BZ538" i="4" s="1"/>
  <c r="CL538" i="4" s="1"/>
  <c r="BO538" i="4"/>
  <c r="CA538" i="4" s="1"/>
  <c r="CM538" i="4" s="1"/>
  <c r="BP538" i="4"/>
  <c r="BQ538" i="4"/>
  <c r="CC538" i="4" s="1"/>
  <c r="CO538" i="4" s="1"/>
  <c r="BR538" i="4"/>
  <c r="BS538" i="4"/>
  <c r="CE538" i="4" s="1"/>
  <c r="CQ538" i="4" s="1"/>
  <c r="BT538" i="4"/>
  <c r="CF538" i="4" s="1"/>
  <c r="BU538" i="4"/>
  <c r="CG538" i="4" s="1"/>
  <c r="CS538" i="4" s="1"/>
  <c r="BV538" i="4"/>
  <c r="CH538" i="4" s="1"/>
  <c r="CT538" i="4" s="1"/>
  <c r="BW538" i="4"/>
  <c r="CI538" i="4" s="1"/>
  <c r="CU538" i="4" s="1"/>
  <c r="BX538" i="4"/>
  <c r="BY538" i="4"/>
  <c r="CK538" i="4" s="1"/>
  <c r="CW538" i="4" s="1"/>
  <c r="CB538" i="4"/>
  <c r="CN538" i="4" s="1"/>
  <c r="CD538" i="4"/>
  <c r="CP538" i="4" s="1"/>
  <c r="DR538" i="4" s="1"/>
  <c r="CJ538" i="4"/>
  <c r="CV538" i="4" s="1"/>
  <c r="DX538" i="4" s="1"/>
  <c r="CR538" i="4"/>
  <c r="CZ538" i="4"/>
  <c r="DA538" i="4"/>
  <c r="DB538" i="4"/>
  <c r="DC538" i="4"/>
  <c r="DD538" i="4"/>
  <c r="DE538" i="4"/>
  <c r="DF538" i="4"/>
  <c r="DG538" i="4"/>
  <c r="DH538" i="4"/>
  <c r="DI538" i="4"/>
  <c r="DJ538" i="4"/>
  <c r="DK538" i="4"/>
  <c r="DS538" i="4"/>
  <c r="BN539" i="4"/>
  <c r="BO539" i="4"/>
  <c r="CA539" i="4" s="1"/>
  <c r="CM539" i="4" s="1"/>
  <c r="BP539" i="4"/>
  <c r="CB539" i="4" s="1"/>
  <c r="CN539" i="4" s="1"/>
  <c r="DP539" i="4" s="1"/>
  <c r="BQ539" i="4"/>
  <c r="BR539" i="4"/>
  <c r="CD539" i="4" s="1"/>
  <c r="CP539" i="4" s="1"/>
  <c r="BS539" i="4"/>
  <c r="CE539" i="4" s="1"/>
  <c r="CQ539" i="4" s="1"/>
  <c r="BT539" i="4"/>
  <c r="CF539" i="4" s="1"/>
  <c r="BU539" i="4"/>
  <c r="CG539" i="4" s="1"/>
  <c r="CS539" i="4" s="1"/>
  <c r="BV539" i="4"/>
  <c r="BW539" i="4"/>
  <c r="CI539" i="4" s="1"/>
  <c r="BX539" i="4"/>
  <c r="CJ539" i="4" s="1"/>
  <c r="CV539" i="4" s="1"/>
  <c r="DX539" i="4" s="1"/>
  <c r="BY539" i="4"/>
  <c r="BZ539" i="4"/>
  <c r="CL539" i="4" s="1"/>
  <c r="CC539" i="4"/>
  <c r="CO539" i="4" s="1"/>
  <c r="CH539" i="4"/>
  <c r="CT539" i="4" s="1"/>
  <c r="CK539" i="4"/>
  <c r="CR539" i="4"/>
  <c r="CU539" i="4"/>
  <c r="CW539" i="4"/>
  <c r="CZ539" i="4"/>
  <c r="DN539" i="4" s="1"/>
  <c r="DA539" i="4"/>
  <c r="DB539" i="4"/>
  <c r="DC539" i="4"/>
  <c r="DQ539" i="4" s="1"/>
  <c r="DD539" i="4"/>
  <c r="DE539" i="4"/>
  <c r="DS539" i="4" s="1"/>
  <c r="DF539" i="4"/>
  <c r="DG539" i="4"/>
  <c r="DH539" i="4"/>
  <c r="DI539" i="4"/>
  <c r="DJ539" i="4"/>
  <c r="DK539" i="4"/>
  <c r="DV539" i="4"/>
  <c r="BN540" i="4"/>
  <c r="BZ540" i="4" s="1"/>
  <c r="CL540" i="4" s="1"/>
  <c r="BO540" i="4"/>
  <c r="CA540" i="4" s="1"/>
  <c r="CM540" i="4" s="1"/>
  <c r="DO540" i="4" s="1"/>
  <c r="BP540" i="4"/>
  <c r="CB540" i="4" s="1"/>
  <c r="BQ540" i="4"/>
  <c r="BR540" i="4"/>
  <c r="CD540" i="4" s="1"/>
  <c r="CP540" i="4" s="1"/>
  <c r="BS540" i="4"/>
  <c r="BT540" i="4"/>
  <c r="BU540" i="4"/>
  <c r="CG540" i="4" s="1"/>
  <c r="CS540" i="4" s="1"/>
  <c r="BV540" i="4"/>
  <c r="CH540" i="4" s="1"/>
  <c r="CT540" i="4" s="1"/>
  <c r="BW540" i="4"/>
  <c r="CI540" i="4" s="1"/>
  <c r="CU540" i="4" s="1"/>
  <c r="BX540" i="4"/>
  <c r="CJ540" i="4" s="1"/>
  <c r="CV540" i="4" s="1"/>
  <c r="BY540" i="4"/>
  <c r="CK540" i="4" s="1"/>
  <c r="CW540" i="4" s="1"/>
  <c r="CC540" i="4"/>
  <c r="CO540" i="4" s="1"/>
  <c r="CE540" i="4"/>
  <c r="CQ540" i="4" s="1"/>
  <c r="DS540" i="4" s="1"/>
  <c r="CF540" i="4"/>
  <c r="CR540" i="4" s="1"/>
  <c r="CN540" i="4"/>
  <c r="CZ540" i="4"/>
  <c r="DA540" i="4"/>
  <c r="DB540" i="4"/>
  <c r="DC540" i="4"/>
  <c r="DD540" i="4"/>
  <c r="DE540" i="4"/>
  <c r="DF540" i="4"/>
  <c r="DG540" i="4"/>
  <c r="DH540" i="4"/>
  <c r="DV540" i="4" s="1"/>
  <c r="DI540" i="4"/>
  <c r="DJ540" i="4"/>
  <c r="DK540" i="4"/>
  <c r="BN541" i="4"/>
  <c r="BZ541" i="4" s="1"/>
  <c r="CL541" i="4" s="1"/>
  <c r="BO541" i="4"/>
  <c r="CA541" i="4" s="1"/>
  <c r="CM541" i="4" s="1"/>
  <c r="DO541" i="4" s="1"/>
  <c r="BP541" i="4"/>
  <c r="CB541" i="4" s="1"/>
  <c r="BQ541" i="4"/>
  <c r="BR541" i="4"/>
  <c r="CD541" i="4" s="1"/>
  <c r="CP541" i="4" s="1"/>
  <c r="BS541" i="4"/>
  <c r="CE541" i="4" s="1"/>
  <c r="CQ541" i="4" s="1"/>
  <c r="BT541" i="4"/>
  <c r="BU541" i="4"/>
  <c r="BV541" i="4"/>
  <c r="CH541" i="4" s="1"/>
  <c r="BW541" i="4"/>
  <c r="CI541" i="4" s="1"/>
  <c r="CU541" i="4" s="1"/>
  <c r="BX541" i="4"/>
  <c r="CJ541" i="4" s="1"/>
  <c r="BY541" i="4"/>
  <c r="CK541" i="4" s="1"/>
  <c r="CW541" i="4" s="1"/>
  <c r="DY541" i="4" s="1"/>
  <c r="CC541" i="4"/>
  <c r="CF541" i="4"/>
  <c r="CR541" i="4" s="1"/>
  <c r="CG541" i="4"/>
  <c r="CS541" i="4" s="1"/>
  <c r="DU541" i="4" s="1"/>
  <c r="CN541" i="4"/>
  <c r="CO541" i="4"/>
  <c r="DQ541" i="4" s="1"/>
  <c r="CT541" i="4"/>
  <c r="CV541" i="4"/>
  <c r="CZ541" i="4"/>
  <c r="DA541" i="4"/>
  <c r="DB541" i="4"/>
  <c r="DC541" i="4"/>
  <c r="DD541" i="4"/>
  <c r="DR541" i="4" s="1"/>
  <c r="DE541" i="4"/>
  <c r="DS541" i="4" s="1"/>
  <c r="DF541" i="4"/>
  <c r="DT541" i="4" s="1"/>
  <c r="DG541" i="4"/>
  <c r="DH541" i="4"/>
  <c r="DI541" i="4"/>
  <c r="DJ541" i="4"/>
  <c r="DK541" i="4"/>
  <c r="DL541" i="4"/>
  <c r="BN542" i="4"/>
  <c r="BZ542" i="4" s="1"/>
  <c r="CL542" i="4" s="1"/>
  <c r="BO542" i="4"/>
  <c r="BP542" i="4"/>
  <c r="BQ542" i="4"/>
  <c r="CC542" i="4" s="1"/>
  <c r="CO542" i="4" s="1"/>
  <c r="BR542" i="4"/>
  <c r="BS542" i="4"/>
  <c r="CE542" i="4" s="1"/>
  <c r="CQ542" i="4" s="1"/>
  <c r="DS542" i="4" s="1"/>
  <c r="BT542" i="4"/>
  <c r="CF542" i="4" s="1"/>
  <c r="CR542" i="4" s="1"/>
  <c r="BU542" i="4"/>
  <c r="BV542" i="4"/>
  <c r="CH542" i="4" s="1"/>
  <c r="CT542" i="4" s="1"/>
  <c r="BW542" i="4"/>
  <c r="BX542" i="4"/>
  <c r="BY542" i="4"/>
  <c r="CK542" i="4" s="1"/>
  <c r="CA542" i="4"/>
  <c r="CM542" i="4" s="1"/>
  <c r="DO542" i="4" s="1"/>
  <c r="CB542" i="4"/>
  <c r="CN542" i="4" s="1"/>
  <c r="CD542" i="4"/>
  <c r="CP542" i="4" s="1"/>
  <c r="DR542" i="4" s="1"/>
  <c r="CG542" i="4"/>
  <c r="CS542" i="4" s="1"/>
  <c r="CI542" i="4"/>
  <c r="CJ542" i="4"/>
  <c r="CV542" i="4" s="1"/>
  <c r="DX542" i="4" s="1"/>
  <c r="CU542" i="4"/>
  <c r="CW542" i="4"/>
  <c r="CZ542" i="4"/>
  <c r="DA542" i="4"/>
  <c r="DB542" i="4"/>
  <c r="DC542" i="4"/>
  <c r="DQ542" i="4" s="1"/>
  <c r="DD542" i="4"/>
  <c r="DE542" i="4"/>
  <c r="DF542" i="4"/>
  <c r="DG542" i="4"/>
  <c r="DU542" i="4" s="1"/>
  <c r="DH542" i="4"/>
  <c r="DI542" i="4"/>
  <c r="DJ542" i="4"/>
  <c r="DK542" i="4"/>
  <c r="DW542" i="4"/>
  <c r="BN543" i="4"/>
  <c r="BZ543" i="4" s="1"/>
  <c r="CL543" i="4" s="1"/>
  <c r="BO543" i="4"/>
  <c r="CA543" i="4" s="1"/>
  <c r="CM543" i="4" s="1"/>
  <c r="BP543" i="4"/>
  <c r="BQ543" i="4"/>
  <c r="BR543" i="4"/>
  <c r="CD543" i="4" s="1"/>
  <c r="CP543" i="4" s="1"/>
  <c r="BS543" i="4"/>
  <c r="CE543" i="4" s="1"/>
  <c r="CQ543" i="4" s="1"/>
  <c r="BT543" i="4"/>
  <c r="CF543" i="4" s="1"/>
  <c r="CR543" i="4" s="1"/>
  <c r="BU543" i="4"/>
  <c r="CG543" i="4" s="1"/>
  <c r="CS543" i="4" s="1"/>
  <c r="BV543" i="4"/>
  <c r="BW543" i="4"/>
  <c r="CI543" i="4" s="1"/>
  <c r="BX543" i="4"/>
  <c r="BY543" i="4"/>
  <c r="CB543" i="4"/>
  <c r="CN543" i="4" s="1"/>
  <c r="DP543" i="4" s="1"/>
  <c r="CC543" i="4"/>
  <c r="CO543" i="4" s="1"/>
  <c r="DQ543" i="4" s="1"/>
  <c r="CH543" i="4"/>
  <c r="CT543" i="4" s="1"/>
  <c r="CJ543" i="4"/>
  <c r="CV543" i="4" s="1"/>
  <c r="CK543" i="4"/>
  <c r="CW543" i="4" s="1"/>
  <c r="DY543" i="4" s="1"/>
  <c r="CU543" i="4"/>
  <c r="CZ543" i="4"/>
  <c r="DA543" i="4"/>
  <c r="DB543" i="4"/>
  <c r="DC543" i="4"/>
  <c r="DD543" i="4"/>
  <c r="DE543" i="4"/>
  <c r="DS543" i="4" s="1"/>
  <c r="DF543" i="4"/>
  <c r="DG543" i="4"/>
  <c r="DH543" i="4"/>
  <c r="DI543" i="4"/>
  <c r="DJ543" i="4"/>
  <c r="DK543" i="4"/>
  <c r="DV543" i="4"/>
  <c r="BN544" i="4"/>
  <c r="BZ544" i="4" s="1"/>
  <c r="CL544" i="4" s="1"/>
  <c r="DN544" i="4" s="1"/>
  <c r="BO544" i="4"/>
  <c r="CA544" i="4" s="1"/>
  <c r="BP544" i="4"/>
  <c r="CB544" i="4" s="1"/>
  <c r="CN544" i="4" s="1"/>
  <c r="BQ544" i="4"/>
  <c r="BR544" i="4"/>
  <c r="CD544" i="4" s="1"/>
  <c r="BS544" i="4"/>
  <c r="BT544" i="4"/>
  <c r="BU544" i="4"/>
  <c r="CG544" i="4" s="1"/>
  <c r="CS544" i="4" s="1"/>
  <c r="BV544" i="4"/>
  <c r="BW544" i="4"/>
  <c r="BX544" i="4"/>
  <c r="CJ544" i="4" s="1"/>
  <c r="BY544" i="4"/>
  <c r="CK544" i="4" s="1"/>
  <c r="CW544" i="4" s="1"/>
  <c r="CC544" i="4"/>
  <c r="CO544" i="4" s="1"/>
  <c r="DQ544" i="4" s="1"/>
  <c r="CE544" i="4"/>
  <c r="CQ544" i="4" s="1"/>
  <c r="DS544" i="4" s="1"/>
  <c r="CF544" i="4"/>
  <c r="CR544" i="4" s="1"/>
  <c r="CH544" i="4"/>
  <c r="CT544" i="4" s="1"/>
  <c r="CI544" i="4"/>
  <c r="CU544" i="4" s="1"/>
  <c r="CM544" i="4"/>
  <c r="CP544" i="4"/>
  <c r="CV544" i="4"/>
  <c r="CZ544" i="4"/>
  <c r="DA544" i="4"/>
  <c r="DB544" i="4"/>
  <c r="DC544" i="4"/>
  <c r="DD544" i="4"/>
  <c r="DE544" i="4"/>
  <c r="DF544" i="4"/>
  <c r="DG544" i="4"/>
  <c r="DH544" i="4"/>
  <c r="DV544" i="4" s="1"/>
  <c r="DI544" i="4"/>
  <c r="DJ544" i="4"/>
  <c r="DK544" i="4"/>
  <c r="DT544" i="4"/>
  <c r="BN545" i="4"/>
  <c r="BZ545" i="4" s="1"/>
  <c r="CL545" i="4" s="1"/>
  <c r="BO545" i="4"/>
  <c r="CA545" i="4" s="1"/>
  <c r="CM545" i="4" s="1"/>
  <c r="BP545" i="4"/>
  <c r="CB545" i="4" s="1"/>
  <c r="BQ545" i="4"/>
  <c r="CC545" i="4" s="1"/>
  <c r="CO545" i="4" s="1"/>
  <c r="BR545" i="4"/>
  <c r="BS545" i="4"/>
  <c r="CE545" i="4" s="1"/>
  <c r="CQ545" i="4" s="1"/>
  <c r="BT545" i="4"/>
  <c r="BU545" i="4"/>
  <c r="BV545" i="4"/>
  <c r="CH545" i="4" s="1"/>
  <c r="CT545" i="4" s="1"/>
  <c r="BW545" i="4"/>
  <c r="BX545" i="4"/>
  <c r="CJ545" i="4" s="1"/>
  <c r="CV545" i="4" s="1"/>
  <c r="BY545" i="4"/>
  <c r="CK545" i="4" s="1"/>
  <c r="CW545" i="4" s="1"/>
  <c r="CD545" i="4"/>
  <c r="CP545" i="4" s="1"/>
  <c r="CF545" i="4"/>
  <c r="CR545" i="4" s="1"/>
  <c r="DT545" i="4" s="1"/>
  <c r="CG545" i="4"/>
  <c r="CI545" i="4"/>
  <c r="CU545" i="4" s="1"/>
  <c r="DW545" i="4" s="1"/>
  <c r="CN545" i="4"/>
  <c r="CS545" i="4"/>
  <c r="CZ545" i="4"/>
  <c r="DA545" i="4"/>
  <c r="DB545" i="4"/>
  <c r="DC545" i="4"/>
  <c r="DD545" i="4"/>
  <c r="DR545" i="4" s="1"/>
  <c r="DE545" i="4"/>
  <c r="DM545" i="4" s="1"/>
  <c r="CY545" i="4" s="1"/>
  <c r="DF545" i="4"/>
  <c r="DG545" i="4"/>
  <c r="DH545" i="4"/>
  <c r="DI545" i="4"/>
  <c r="DJ545" i="4"/>
  <c r="DK545" i="4"/>
  <c r="DQ545" i="4"/>
  <c r="DY545" i="4"/>
  <c r="BN546" i="4"/>
  <c r="BZ546" i="4" s="1"/>
  <c r="BO546" i="4"/>
  <c r="CA546" i="4" s="1"/>
  <c r="CM546" i="4" s="1"/>
  <c r="DO546" i="4" s="1"/>
  <c r="BP546" i="4"/>
  <c r="BQ546" i="4"/>
  <c r="CC546" i="4" s="1"/>
  <c r="CO546" i="4" s="1"/>
  <c r="BR546" i="4"/>
  <c r="BS546" i="4"/>
  <c r="CE546" i="4" s="1"/>
  <c r="CQ546" i="4" s="1"/>
  <c r="BT546" i="4"/>
  <c r="CF546" i="4" s="1"/>
  <c r="CR546" i="4" s="1"/>
  <c r="BU546" i="4"/>
  <c r="BV546" i="4"/>
  <c r="CH546" i="4" s="1"/>
  <c r="BW546" i="4"/>
  <c r="CI546" i="4" s="1"/>
  <c r="CU546" i="4" s="1"/>
  <c r="DW546" i="4" s="1"/>
  <c r="BX546" i="4"/>
  <c r="BY546" i="4"/>
  <c r="CK546" i="4" s="1"/>
  <c r="CW546" i="4" s="1"/>
  <c r="CB546" i="4"/>
  <c r="CN546" i="4" s="1"/>
  <c r="CD546" i="4"/>
  <c r="CP546" i="4" s="1"/>
  <c r="DR546" i="4" s="1"/>
  <c r="CG546" i="4"/>
  <c r="CS546" i="4" s="1"/>
  <c r="CJ546" i="4"/>
  <c r="CV546" i="4" s="1"/>
  <c r="CL546" i="4"/>
  <c r="CT546" i="4"/>
  <c r="CZ546" i="4"/>
  <c r="DA546" i="4"/>
  <c r="DB546" i="4"/>
  <c r="DC546" i="4"/>
  <c r="DD546" i="4"/>
  <c r="DE546" i="4"/>
  <c r="DF546" i="4"/>
  <c r="DG546" i="4"/>
  <c r="DU546" i="4" s="1"/>
  <c r="DH546" i="4"/>
  <c r="DV546" i="4" s="1"/>
  <c r="DI546" i="4"/>
  <c r="DJ546" i="4"/>
  <c r="DK546" i="4"/>
  <c r="BN547" i="4"/>
  <c r="BO547" i="4"/>
  <c r="CA547" i="4" s="1"/>
  <c r="CM547" i="4" s="1"/>
  <c r="BP547" i="4"/>
  <c r="CB547" i="4" s="1"/>
  <c r="CN547" i="4" s="1"/>
  <c r="DP547" i="4" s="1"/>
  <c r="BQ547" i="4"/>
  <c r="CC547" i="4" s="1"/>
  <c r="CO547" i="4" s="1"/>
  <c r="BR547" i="4"/>
  <c r="CD547" i="4" s="1"/>
  <c r="CP547" i="4" s="1"/>
  <c r="BS547" i="4"/>
  <c r="BT547" i="4"/>
  <c r="CF547" i="4" s="1"/>
  <c r="BU547" i="4"/>
  <c r="CG547" i="4" s="1"/>
  <c r="CS547" i="4" s="1"/>
  <c r="BV547" i="4"/>
  <c r="BW547" i="4"/>
  <c r="CI547" i="4" s="1"/>
  <c r="BX547" i="4"/>
  <c r="CJ547" i="4" s="1"/>
  <c r="CV547" i="4" s="1"/>
  <c r="DX547" i="4" s="1"/>
  <c r="BY547" i="4"/>
  <c r="CK547" i="4" s="1"/>
  <c r="CW547" i="4" s="1"/>
  <c r="BZ547" i="4"/>
  <c r="CL547" i="4" s="1"/>
  <c r="CE547" i="4"/>
  <c r="CQ547" i="4" s="1"/>
  <c r="CH547" i="4"/>
  <c r="CT547" i="4" s="1"/>
  <c r="CR547" i="4"/>
  <c r="CU547" i="4"/>
  <c r="CZ547" i="4"/>
  <c r="DA547" i="4"/>
  <c r="DB547" i="4"/>
  <c r="DC547" i="4"/>
  <c r="DD547" i="4"/>
  <c r="DE547" i="4"/>
  <c r="DS547" i="4" s="1"/>
  <c r="DF547" i="4"/>
  <c r="DG547" i="4"/>
  <c r="DH547" i="4"/>
  <c r="DI547" i="4"/>
  <c r="DJ547" i="4"/>
  <c r="DK547" i="4"/>
  <c r="DY547" i="4" s="1"/>
  <c r="BN548" i="4"/>
  <c r="BZ548" i="4" s="1"/>
  <c r="CL548" i="4" s="1"/>
  <c r="BO548" i="4"/>
  <c r="BP548" i="4"/>
  <c r="CB548" i="4" s="1"/>
  <c r="BQ548" i="4"/>
  <c r="CC548" i="4" s="1"/>
  <c r="CO548" i="4" s="1"/>
  <c r="BR548" i="4"/>
  <c r="CD548" i="4" s="1"/>
  <c r="BS548" i="4"/>
  <c r="CE548" i="4" s="1"/>
  <c r="CQ548" i="4" s="1"/>
  <c r="DS548" i="4" s="1"/>
  <c r="BT548" i="4"/>
  <c r="BU548" i="4"/>
  <c r="CG548" i="4" s="1"/>
  <c r="CS548" i="4" s="1"/>
  <c r="BV548" i="4"/>
  <c r="BW548" i="4"/>
  <c r="BX548" i="4"/>
  <c r="CJ548" i="4" s="1"/>
  <c r="CV548" i="4" s="1"/>
  <c r="BY548" i="4"/>
  <c r="CK548" i="4" s="1"/>
  <c r="CW548" i="4" s="1"/>
  <c r="DY548" i="4" s="1"/>
  <c r="CA548" i="4"/>
  <c r="CM548" i="4" s="1"/>
  <c r="DO548" i="4" s="1"/>
  <c r="CF548" i="4"/>
  <c r="CR548" i="4" s="1"/>
  <c r="CH548" i="4"/>
  <c r="CT548" i="4" s="1"/>
  <c r="DV548" i="4" s="1"/>
  <c r="CI548" i="4"/>
  <c r="CU548" i="4" s="1"/>
  <c r="CN548" i="4"/>
  <c r="CP548" i="4"/>
  <c r="CZ548" i="4"/>
  <c r="DN548" i="4" s="1"/>
  <c r="DA548" i="4"/>
  <c r="DB548" i="4"/>
  <c r="DC548" i="4"/>
  <c r="DD548" i="4"/>
  <c r="DE548" i="4"/>
  <c r="DF548" i="4"/>
  <c r="DG548" i="4"/>
  <c r="DH548" i="4"/>
  <c r="DI548" i="4"/>
  <c r="DJ548" i="4"/>
  <c r="DK548" i="4"/>
  <c r="BN549" i="4"/>
  <c r="BZ549" i="4" s="1"/>
  <c r="BO549" i="4"/>
  <c r="CA549" i="4" s="1"/>
  <c r="CM549" i="4" s="1"/>
  <c r="BP549" i="4"/>
  <c r="CB549" i="4" s="1"/>
  <c r="CN549" i="4" s="1"/>
  <c r="BQ549" i="4"/>
  <c r="CC549" i="4" s="1"/>
  <c r="CO549" i="4" s="1"/>
  <c r="DQ549" i="4" s="1"/>
  <c r="BR549" i="4"/>
  <c r="BS549" i="4"/>
  <c r="CE549" i="4" s="1"/>
  <c r="BT549" i="4"/>
  <c r="BU549" i="4"/>
  <c r="CG549" i="4" s="1"/>
  <c r="CS549" i="4" s="1"/>
  <c r="DU549" i="4" s="1"/>
  <c r="BV549" i="4"/>
  <c r="CH549" i="4" s="1"/>
  <c r="BW549" i="4"/>
  <c r="CI549" i="4" s="1"/>
  <c r="CU549" i="4" s="1"/>
  <c r="BX549" i="4"/>
  <c r="CJ549" i="4" s="1"/>
  <c r="CV549" i="4" s="1"/>
  <c r="BY549" i="4"/>
  <c r="CD549" i="4"/>
  <c r="CP549" i="4" s="1"/>
  <c r="CF549" i="4"/>
  <c r="CR549" i="4" s="1"/>
  <c r="CK549" i="4"/>
  <c r="CW549" i="4" s="1"/>
  <c r="DY549" i="4" s="1"/>
  <c r="CL549" i="4"/>
  <c r="CQ549" i="4"/>
  <c r="CT549" i="4"/>
  <c r="CZ549" i="4"/>
  <c r="DA549" i="4"/>
  <c r="DB549" i="4"/>
  <c r="DC549" i="4"/>
  <c r="DD549" i="4"/>
  <c r="DE549" i="4"/>
  <c r="DF549" i="4"/>
  <c r="DG549" i="4"/>
  <c r="DH549" i="4"/>
  <c r="DI549" i="4"/>
  <c r="DJ549" i="4"/>
  <c r="DX549" i="4" s="1"/>
  <c r="DK549" i="4"/>
  <c r="DO549" i="4"/>
  <c r="DW549" i="4"/>
  <c r="BN550" i="4"/>
  <c r="BZ550" i="4" s="1"/>
  <c r="CL550" i="4" s="1"/>
  <c r="BO550" i="4"/>
  <c r="CA550" i="4" s="1"/>
  <c r="CM550" i="4" s="1"/>
  <c r="DO550" i="4" s="1"/>
  <c r="BP550" i="4"/>
  <c r="BQ550" i="4"/>
  <c r="CC550" i="4" s="1"/>
  <c r="CO550" i="4" s="1"/>
  <c r="BR550" i="4"/>
  <c r="CD550" i="4" s="1"/>
  <c r="CP550" i="4" s="1"/>
  <c r="BS550" i="4"/>
  <c r="CE550" i="4" s="1"/>
  <c r="BT550" i="4"/>
  <c r="CF550" i="4" s="1"/>
  <c r="CR550" i="4" s="1"/>
  <c r="BU550" i="4"/>
  <c r="BV550" i="4"/>
  <c r="CH550" i="4" s="1"/>
  <c r="CT550" i="4" s="1"/>
  <c r="BW550" i="4"/>
  <c r="BX550" i="4"/>
  <c r="BY550" i="4"/>
  <c r="CK550" i="4" s="1"/>
  <c r="CB550" i="4"/>
  <c r="CN550" i="4" s="1"/>
  <c r="CG550" i="4"/>
  <c r="CS550" i="4" s="1"/>
  <c r="CI550" i="4"/>
  <c r="CU550" i="4" s="1"/>
  <c r="DW550" i="4" s="1"/>
  <c r="CJ550" i="4"/>
  <c r="CV550" i="4" s="1"/>
  <c r="CQ550" i="4"/>
  <c r="DS550" i="4" s="1"/>
  <c r="CW550" i="4"/>
  <c r="CZ550" i="4"/>
  <c r="DA550" i="4"/>
  <c r="DB550" i="4"/>
  <c r="DC550" i="4"/>
  <c r="DD550" i="4"/>
  <c r="DE550" i="4"/>
  <c r="DF550" i="4"/>
  <c r="DG550" i="4"/>
  <c r="DH550" i="4"/>
  <c r="DI550" i="4"/>
  <c r="DJ550" i="4"/>
  <c r="DX550" i="4" s="1"/>
  <c r="DK550" i="4"/>
  <c r="DM550" i="4"/>
  <c r="BN551" i="4"/>
  <c r="BO551" i="4"/>
  <c r="CA551" i="4" s="1"/>
  <c r="CM551" i="4" s="1"/>
  <c r="BP551" i="4"/>
  <c r="BQ551" i="4"/>
  <c r="CC551" i="4" s="1"/>
  <c r="CO551" i="4" s="1"/>
  <c r="BR551" i="4"/>
  <c r="CD551" i="4" s="1"/>
  <c r="CP551" i="4" s="1"/>
  <c r="BS551" i="4"/>
  <c r="CE551" i="4" s="1"/>
  <c r="CQ551" i="4" s="1"/>
  <c r="DS551" i="4" s="1"/>
  <c r="BT551" i="4"/>
  <c r="CF551" i="4" s="1"/>
  <c r="BU551" i="4"/>
  <c r="CG551" i="4" s="1"/>
  <c r="CS551" i="4" s="1"/>
  <c r="BV551" i="4"/>
  <c r="BW551" i="4"/>
  <c r="CI551" i="4" s="1"/>
  <c r="BX551" i="4"/>
  <c r="BY551" i="4"/>
  <c r="CK551" i="4" s="1"/>
  <c r="CW551" i="4" s="1"/>
  <c r="BZ551" i="4"/>
  <c r="CL551" i="4" s="1"/>
  <c r="CB551" i="4"/>
  <c r="CN551" i="4" s="1"/>
  <c r="CH551" i="4"/>
  <c r="CT551" i="4" s="1"/>
  <c r="CJ551" i="4"/>
  <c r="CV551" i="4" s="1"/>
  <c r="DX551" i="4" s="1"/>
  <c r="CR551" i="4"/>
  <c r="CU551" i="4"/>
  <c r="CZ551" i="4"/>
  <c r="DA551" i="4"/>
  <c r="DB551" i="4"/>
  <c r="DC551" i="4"/>
  <c r="DD551" i="4"/>
  <c r="DE551" i="4"/>
  <c r="DF551" i="4"/>
  <c r="DG551" i="4"/>
  <c r="DH551" i="4"/>
  <c r="DI551" i="4"/>
  <c r="DJ551" i="4"/>
  <c r="DK551" i="4"/>
  <c r="DP551" i="4"/>
  <c r="DV551" i="4"/>
  <c r="BN552" i="4"/>
  <c r="BO552" i="4"/>
  <c r="CA552" i="4" s="1"/>
  <c r="CM552" i="4" s="1"/>
  <c r="BP552" i="4"/>
  <c r="CB552" i="4" s="1"/>
  <c r="CN552" i="4" s="1"/>
  <c r="BQ552" i="4"/>
  <c r="CC552" i="4" s="1"/>
  <c r="CO552" i="4" s="1"/>
  <c r="BR552" i="4"/>
  <c r="CD552" i="4" s="1"/>
  <c r="CP552" i="4" s="1"/>
  <c r="BS552" i="4"/>
  <c r="CE552" i="4" s="1"/>
  <c r="CQ552" i="4" s="1"/>
  <c r="BT552" i="4"/>
  <c r="BU552" i="4"/>
  <c r="CG552" i="4" s="1"/>
  <c r="CS552" i="4" s="1"/>
  <c r="BV552" i="4"/>
  <c r="BW552" i="4"/>
  <c r="BX552" i="4"/>
  <c r="CJ552" i="4" s="1"/>
  <c r="CV552" i="4" s="1"/>
  <c r="BY552" i="4"/>
  <c r="CK552" i="4" s="1"/>
  <c r="CW552" i="4" s="1"/>
  <c r="BZ552" i="4"/>
  <c r="CL552" i="4" s="1"/>
  <c r="CF552" i="4"/>
  <c r="CR552" i="4" s="1"/>
  <c r="DT552" i="4" s="1"/>
  <c r="CH552" i="4"/>
  <c r="CT552" i="4" s="1"/>
  <c r="DV552" i="4" s="1"/>
  <c r="CI552" i="4"/>
  <c r="CU552" i="4" s="1"/>
  <c r="DW552" i="4" s="1"/>
  <c r="CZ552" i="4"/>
  <c r="DA552" i="4"/>
  <c r="DB552" i="4"/>
  <c r="DC552" i="4"/>
  <c r="DQ552" i="4" s="1"/>
  <c r="DD552" i="4"/>
  <c r="DE552" i="4"/>
  <c r="DF552" i="4"/>
  <c r="DG552" i="4"/>
  <c r="DH552" i="4"/>
  <c r="DI552" i="4"/>
  <c r="DJ552" i="4"/>
  <c r="DK552" i="4"/>
  <c r="DY552" i="4" s="1"/>
  <c r="DS552" i="4"/>
  <c r="BN553" i="4"/>
  <c r="BZ553" i="4" s="1"/>
  <c r="CL553" i="4" s="1"/>
  <c r="BO553" i="4"/>
  <c r="BP553" i="4"/>
  <c r="CB553" i="4" s="1"/>
  <c r="CN553" i="4" s="1"/>
  <c r="BQ553" i="4"/>
  <c r="CC553" i="4" s="1"/>
  <c r="CO553" i="4" s="1"/>
  <c r="DQ553" i="4" s="1"/>
  <c r="BR553" i="4"/>
  <c r="CD553" i="4" s="1"/>
  <c r="CP553" i="4" s="1"/>
  <c r="DR553" i="4" s="1"/>
  <c r="BS553" i="4"/>
  <c r="CE553" i="4" s="1"/>
  <c r="CQ553" i="4" s="1"/>
  <c r="BT553" i="4"/>
  <c r="BU553" i="4"/>
  <c r="CG553" i="4" s="1"/>
  <c r="CS553" i="4" s="1"/>
  <c r="DU553" i="4" s="1"/>
  <c r="BV553" i="4"/>
  <c r="CH553" i="4" s="1"/>
  <c r="BW553" i="4"/>
  <c r="BX553" i="4"/>
  <c r="CJ553" i="4" s="1"/>
  <c r="BY553" i="4"/>
  <c r="CK553" i="4" s="1"/>
  <c r="CW553" i="4" s="1"/>
  <c r="DY553" i="4" s="1"/>
  <c r="CA553" i="4"/>
  <c r="CM553" i="4" s="1"/>
  <c r="CF553" i="4"/>
  <c r="CR553" i="4" s="1"/>
  <c r="CI553" i="4"/>
  <c r="CU553" i="4" s="1"/>
  <c r="CT553" i="4"/>
  <c r="CV553" i="4"/>
  <c r="CZ553" i="4"/>
  <c r="DA553" i="4"/>
  <c r="DB553" i="4"/>
  <c r="DC553" i="4"/>
  <c r="DD553" i="4"/>
  <c r="DE553" i="4"/>
  <c r="DF553" i="4"/>
  <c r="DT553" i="4" s="1"/>
  <c r="DG553" i="4"/>
  <c r="DH553" i="4"/>
  <c r="DI553" i="4"/>
  <c r="DJ553" i="4"/>
  <c r="DK553" i="4"/>
  <c r="BN554" i="4"/>
  <c r="BZ554" i="4" s="1"/>
  <c r="CL554" i="4" s="1"/>
  <c r="BO554" i="4"/>
  <c r="CA554" i="4" s="1"/>
  <c r="CM554" i="4" s="1"/>
  <c r="DO554" i="4" s="1"/>
  <c r="BP554" i="4"/>
  <c r="BQ554" i="4"/>
  <c r="CC554" i="4" s="1"/>
  <c r="CO554" i="4" s="1"/>
  <c r="BR554" i="4"/>
  <c r="CD554" i="4" s="1"/>
  <c r="CP554" i="4" s="1"/>
  <c r="DR554" i="4" s="1"/>
  <c r="BS554" i="4"/>
  <c r="BT554" i="4"/>
  <c r="CF554" i="4" s="1"/>
  <c r="BU554" i="4"/>
  <c r="BV554" i="4"/>
  <c r="CH554" i="4" s="1"/>
  <c r="CT554" i="4" s="1"/>
  <c r="BW554" i="4"/>
  <c r="CI554" i="4" s="1"/>
  <c r="CU554" i="4" s="1"/>
  <c r="DW554" i="4" s="1"/>
  <c r="BX554" i="4"/>
  <c r="BY554" i="4"/>
  <c r="CK554" i="4" s="1"/>
  <c r="CW554" i="4" s="1"/>
  <c r="CB554" i="4"/>
  <c r="CN554" i="4" s="1"/>
  <c r="DP554" i="4" s="1"/>
  <c r="CE554" i="4"/>
  <c r="CQ554" i="4" s="1"/>
  <c r="CG554" i="4"/>
  <c r="CS554" i="4" s="1"/>
  <c r="DU554" i="4" s="1"/>
  <c r="CJ554" i="4"/>
  <c r="CV554" i="4" s="1"/>
  <c r="CR554" i="4"/>
  <c r="CZ554" i="4"/>
  <c r="DA554" i="4"/>
  <c r="DB554" i="4"/>
  <c r="DC554" i="4"/>
  <c r="DD554" i="4"/>
  <c r="DE554" i="4"/>
  <c r="DF554" i="4"/>
  <c r="DG554" i="4"/>
  <c r="DH554" i="4"/>
  <c r="DI554" i="4"/>
  <c r="DJ554" i="4"/>
  <c r="DK554" i="4"/>
  <c r="DX554" i="4"/>
  <c r="BN555" i="4"/>
  <c r="BO555" i="4"/>
  <c r="CA555" i="4" s="1"/>
  <c r="CM555" i="4" s="1"/>
  <c r="BP555" i="4"/>
  <c r="CB555" i="4" s="1"/>
  <c r="CN555" i="4" s="1"/>
  <c r="BQ555" i="4"/>
  <c r="CC555" i="4" s="1"/>
  <c r="CO555" i="4" s="1"/>
  <c r="DQ555" i="4" s="1"/>
  <c r="BR555" i="4"/>
  <c r="CD555" i="4" s="1"/>
  <c r="BS555" i="4"/>
  <c r="BT555" i="4"/>
  <c r="CF555" i="4" s="1"/>
  <c r="CR555" i="4" s="1"/>
  <c r="BU555" i="4"/>
  <c r="CG555" i="4" s="1"/>
  <c r="CS555" i="4" s="1"/>
  <c r="BV555" i="4"/>
  <c r="BW555" i="4"/>
  <c r="CI555" i="4" s="1"/>
  <c r="CU555" i="4" s="1"/>
  <c r="BX555" i="4"/>
  <c r="CJ555" i="4" s="1"/>
  <c r="CV555" i="4" s="1"/>
  <c r="DX555" i="4" s="1"/>
  <c r="BY555" i="4"/>
  <c r="CK555" i="4" s="1"/>
  <c r="CW555" i="4" s="1"/>
  <c r="BZ555" i="4"/>
  <c r="CL555" i="4" s="1"/>
  <c r="CE555" i="4"/>
  <c r="CQ555" i="4" s="1"/>
  <c r="CH555" i="4"/>
  <c r="CT555" i="4" s="1"/>
  <c r="CP555" i="4"/>
  <c r="CZ555" i="4"/>
  <c r="DN555" i="4" s="1"/>
  <c r="DA555" i="4"/>
  <c r="DB555" i="4"/>
  <c r="DC555" i="4"/>
  <c r="DD555" i="4"/>
  <c r="DE555" i="4"/>
  <c r="DS555" i="4" s="1"/>
  <c r="DF555" i="4"/>
  <c r="DG555" i="4"/>
  <c r="DH555" i="4"/>
  <c r="DV555" i="4" s="1"/>
  <c r="DI555" i="4"/>
  <c r="DJ555" i="4"/>
  <c r="DK555" i="4"/>
  <c r="DP555" i="4"/>
  <c r="BN556" i="4"/>
  <c r="BZ556" i="4" s="1"/>
  <c r="CL556" i="4" s="1"/>
  <c r="DN556" i="4" s="1"/>
  <c r="BO556" i="4"/>
  <c r="CA556" i="4" s="1"/>
  <c r="CM556" i="4" s="1"/>
  <c r="DO556" i="4" s="1"/>
  <c r="BP556" i="4"/>
  <c r="CB556" i="4" s="1"/>
  <c r="BQ556" i="4"/>
  <c r="BR556" i="4"/>
  <c r="CD556" i="4" s="1"/>
  <c r="CP556" i="4" s="1"/>
  <c r="BS556" i="4"/>
  <c r="BT556" i="4"/>
  <c r="CF556" i="4" s="1"/>
  <c r="CR556" i="4" s="1"/>
  <c r="BU556" i="4"/>
  <c r="CG556" i="4" s="1"/>
  <c r="BV556" i="4"/>
  <c r="CH556" i="4" s="1"/>
  <c r="CT556" i="4" s="1"/>
  <c r="BW556" i="4"/>
  <c r="CI556" i="4" s="1"/>
  <c r="CU556" i="4" s="1"/>
  <c r="DW556" i="4" s="1"/>
  <c r="BX556" i="4"/>
  <c r="CJ556" i="4" s="1"/>
  <c r="CV556" i="4" s="1"/>
  <c r="BY556" i="4"/>
  <c r="CC556" i="4"/>
  <c r="CO556" i="4" s="1"/>
  <c r="CE556" i="4"/>
  <c r="CQ556" i="4" s="1"/>
  <c r="DS556" i="4" s="1"/>
  <c r="CK556" i="4"/>
  <c r="CW556" i="4" s="1"/>
  <c r="CN556" i="4"/>
  <c r="CS556" i="4"/>
  <c r="CZ556" i="4"/>
  <c r="DA556" i="4"/>
  <c r="DB556" i="4"/>
  <c r="DC556" i="4"/>
  <c r="DQ556" i="4" s="1"/>
  <c r="DD556" i="4"/>
  <c r="DR556" i="4" s="1"/>
  <c r="DE556" i="4"/>
  <c r="DF556" i="4"/>
  <c r="DG556" i="4"/>
  <c r="DU556" i="4" s="1"/>
  <c r="DH556" i="4"/>
  <c r="DV556" i="4" s="1"/>
  <c r="DI556" i="4"/>
  <c r="DJ556" i="4"/>
  <c r="DX556" i="4" s="1"/>
  <c r="DK556" i="4"/>
  <c r="BN557" i="4"/>
  <c r="BZ557" i="4" s="1"/>
  <c r="CL557" i="4" s="1"/>
  <c r="BO557" i="4"/>
  <c r="CA557" i="4" s="1"/>
  <c r="CM557" i="4" s="1"/>
  <c r="BP557" i="4"/>
  <c r="CB557" i="4" s="1"/>
  <c r="BQ557" i="4"/>
  <c r="BR557" i="4"/>
  <c r="BS557" i="4"/>
  <c r="CE557" i="4" s="1"/>
  <c r="CQ557" i="4" s="1"/>
  <c r="BT557" i="4"/>
  <c r="BU557" i="4"/>
  <c r="CG557" i="4" s="1"/>
  <c r="CS557" i="4" s="1"/>
  <c r="BV557" i="4"/>
  <c r="CH557" i="4" s="1"/>
  <c r="CT557" i="4" s="1"/>
  <c r="BW557" i="4"/>
  <c r="BX557" i="4"/>
  <c r="CJ557" i="4" s="1"/>
  <c r="BY557" i="4"/>
  <c r="CK557" i="4" s="1"/>
  <c r="CC557" i="4"/>
  <c r="CO557" i="4" s="1"/>
  <c r="DQ557" i="4" s="1"/>
  <c r="CD557" i="4"/>
  <c r="CP557" i="4" s="1"/>
  <c r="CF557" i="4"/>
  <c r="CR557" i="4" s="1"/>
  <c r="CI557" i="4"/>
  <c r="CU557" i="4" s="1"/>
  <c r="CN557" i="4"/>
  <c r="CV557" i="4"/>
  <c r="CW557" i="4"/>
  <c r="CZ557" i="4"/>
  <c r="DN557" i="4" s="1"/>
  <c r="DA557" i="4"/>
  <c r="DB557" i="4"/>
  <c r="DC557" i="4"/>
  <c r="DD557" i="4"/>
  <c r="DE557" i="4"/>
  <c r="DF557" i="4"/>
  <c r="DT557" i="4" s="1"/>
  <c r="DG557" i="4"/>
  <c r="DU557" i="4" s="1"/>
  <c r="DH557" i="4"/>
  <c r="DI557" i="4"/>
  <c r="DJ557" i="4"/>
  <c r="DK557" i="4"/>
  <c r="DY557" i="4"/>
  <c r="BN558" i="4"/>
  <c r="BZ558" i="4" s="1"/>
  <c r="CL558" i="4" s="1"/>
  <c r="BO558" i="4"/>
  <c r="BP558" i="4"/>
  <c r="CB558" i="4" s="1"/>
  <c r="CN558" i="4" s="1"/>
  <c r="BQ558" i="4"/>
  <c r="CC558" i="4" s="1"/>
  <c r="CO558" i="4" s="1"/>
  <c r="BR558" i="4"/>
  <c r="CD558" i="4" s="1"/>
  <c r="CP558" i="4" s="1"/>
  <c r="DR558" i="4" s="1"/>
  <c r="BS558" i="4"/>
  <c r="BT558" i="4"/>
  <c r="CF558" i="4" s="1"/>
  <c r="BU558" i="4"/>
  <c r="CG558" i="4" s="1"/>
  <c r="CS558" i="4" s="1"/>
  <c r="BV558" i="4"/>
  <c r="CH558" i="4" s="1"/>
  <c r="CT558" i="4" s="1"/>
  <c r="BW558" i="4"/>
  <c r="BX558" i="4"/>
  <c r="BY558" i="4"/>
  <c r="CK558" i="4" s="1"/>
  <c r="CW558" i="4" s="1"/>
  <c r="CA558" i="4"/>
  <c r="CE558" i="4"/>
  <c r="CQ558" i="4" s="1"/>
  <c r="CI558" i="4"/>
  <c r="CJ558" i="4"/>
  <c r="CV558" i="4" s="1"/>
  <c r="CM558" i="4"/>
  <c r="DO558" i="4" s="1"/>
  <c r="CR558" i="4"/>
  <c r="CU558" i="4"/>
  <c r="CZ558" i="4"/>
  <c r="DA558" i="4"/>
  <c r="DB558" i="4"/>
  <c r="DC558" i="4"/>
  <c r="DD558" i="4"/>
  <c r="DE558" i="4"/>
  <c r="DS558" i="4" s="1"/>
  <c r="DF558" i="4"/>
  <c r="DG558" i="4"/>
  <c r="DH558" i="4"/>
  <c r="DI558" i="4"/>
  <c r="DJ558" i="4"/>
  <c r="DX558" i="4" s="1"/>
  <c r="DK558" i="4"/>
  <c r="DW558" i="4"/>
  <c r="BN559" i="4"/>
  <c r="BO559" i="4"/>
  <c r="CA559" i="4" s="1"/>
  <c r="CM559" i="4" s="1"/>
  <c r="BP559" i="4"/>
  <c r="CB559" i="4" s="1"/>
  <c r="CN559" i="4" s="1"/>
  <c r="BQ559" i="4"/>
  <c r="BR559" i="4"/>
  <c r="CD559" i="4" s="1"/>
  <c r="CP559" i="4" s="1"/>
  <c r="BS559" i="4"/>
  <c r="BT559" i="4"/>
  <c r="CF559" i="4" s="1"/>
  <c r="CR559" i="4" s="1"/>
  <c r="BU559" i="4"/>
  <c r="BV559" i="4"/>
  <c r="CH559" i="4" s="1"/>
  <c r="CT559" i="4" s="1"/>
  <c r="BW559" i="4"/>
  <c r="CI559" i="4" s="1"/>
  <c r="CU559" i="4" s="1"/>
  <c r="BX559" i="4"/>
  <c r="BY559" i="4"/>
  <c r="BZ559" i="4"/>
  <c r="CL559" i="4" s="1"/>
  <c r="CC559" i="4"/>
  <c r="CO559" i="4" s="1"/>
  <c r="CE559" i="4"/>
  <c r="CQ559" i="4" s="1"/>
  <c r="CG559" i="4"/>
  <c r="CS559" i="4" s="1"/>
  <c r="DU559" i="4" s="1"/>
  <c r="CJ559" i="4"/>
  <c r="CV559" i="4" s="1"/>
  <c r="CK559" i="4"/>
  <c r="CW559" i="4" s="1"/>
  <c r="DY559" i="4" s="1"/>
  <c r="CZ559" i="4"/>
  <c r="DA559" i="4"/>
  <c r="DB559" i="4"/>
  <c r="DC559" i="4"/>
  <c r="DD559" i="4"/>
  <c r="DE559" i="4"/>
  <c r="DF559" i="4"/>
  <c r="DG559" i="4"/>
  <c r="DH559" i="4"/>
  <c r="DV559" i="4" s="1"/>
  <c r="DI559" i="4"/>
  <c r="DJ559" i="4"/>
  <c r="DK559" i="4"/>
  <c r="BN560" i="4"/>
  <c r="BO560" i="4"/>
  <c r="BP560" i="4"/>
  <c r="CB560" i="4" s="1"/>
  <c r="CN560" i="4" s="1"/>
  <c r="BQ560" i="4"/>
  <c r="CC560" i="4" s="1"/>
  <c r="CO560" i="4" s="1"/>
  <c r="BR560" i="4"/>
  <c r="CD560" i="4" s="1"/>
  <c r="CP560" i="4" s="1"/>
  <c r="BS560" i="4"/>
  <c r="BT560" i="4"/>
  <c r="BU560" i="4"/>
  <c r="CG560" i="4" s="1"/>
  <c r="BV560" i="4"/>
  <c r="CH560" i="4" s="1"/>
  <c r="CT560" i="4" s="1"/>
  <c r="BW560" i="4"/>
  <c r="BX560" i="4"/>
  <c r="CJ560" i="4" s="1"/>
  <c r="CV560" i="4" s="1"/>
  <c r="BY560" i="4"/>
  <c r="CK560" i="4" s="1"/>
  <c r="CW560" i="4" s="1"/>
  <c r="BZ560" i="4"/>
  <c r="CL560" i="4" s="1"/>
  <c r="CA560" i="4"/>
  <c r="CE560" i="4"/>
  <c r="CQ560" i="4" s="1"/>
  <c r="DS560" i="4" s="1"/>
  <c r="CF560" i="4"/>
  <c r="CR560" i="4" s="1"/>
  <c r="DT560" i="4" s="1"/>
  <c r="CI560" i="4"/>
  <c r="CU560" i="4" s="1"/>
  <c r="DW560" i="4" s="1"/>
  <c r="CM560" i="4"/>
  <c r="DO560" i="4" s="1"/>
  <c r="CS560" i="4"/>
  <c r="CZ560" i="4"/>
  <c r="DA560" i="4"/>
  <c r="DB560" i="4"/>
  <c r="DP560" i="4" s="1"/>
  <c r="DC560" i="4"/>
  <c r="DD560" i="4"/>
  <c r="DE560" i="4"/>
  <c r="DF560" i="4"/>
  <c r="DG560" i="4"/>
  <c r="DH560" i="4"/>
  <c r="DV560" i="4" s="1"/>
  <c r="DI560" i="4"/>
  <c r="DJ560" i="4"/>
  <c r="DK560" i="4"/>
  <c r="DY560" i="4" s="1"/>
  <c r="DN560" i="4"/>
  <c r="BN561" i="4"/>
  <c r="BZ561" i="4" s="1"/>
  <c r="BO561" i="4"/>
  <c r="CA561" i="4" s="1"/>
  <c r="CM561" i="4" s="1"/>
  <c r="BP561" i="4"/>
  <c r="CB561" i="4" s="1"/>
  <c r="CN561" i="4" s="1"/>
  <c r="BQ561" i="4"/>
  <c r="CC561" i="4" s="1"/>
  <c r="CO561" i="4" s="1"/>
  <c r="DQ561" i="4" s="1"/>
  <c r="BR561" i="4"/>
  <c r="BS561" i="4"/>
  <c r="CE561" i="4" s="1"/>
  <c r="CQ561" i="4" s="1"/>
  <c r="BT561" i="4"/>
  <c r="BU561" i="4"/>
  <c r="CG561" i="4" s="1"/>
  <c r="CS561" i="4" s="1"/>
  <c r="BV561" i="4"/>
  <c r="CH561" i="4" s="1"/>
  <c r="CT561" i="4" s="1"/>
  <c r="BW561" i="4"/>
  <c r="BX561" i="4"/>
  <c r="CJ561" i="4" s="1"/>
  <c r="CV561" i="4" s="1"/>
  <c r="BY561" i="4"/>
  <c r="CK561" i="4" s="1"/>
  <c r="CW561" i="4" s="1"/>
  <c r="CD561" i="4"/>
  <c r="CP561" i="4" s="1"/>
  <c r="CF561" i="4"/>
  <c r="CR561" i="4" s="1"/>
  <c r="CI561" i="4"/>
  <c r="CU561" i="4" s="1"/>
  <c r="CL561" i="4"/>
  <c r="CZ561" i="4"/>
  <c r="DA561" i="4"/>
  <c r="DB561" i="4"/>
  <c r="DC561" i="4"/>
  <c r="DD561" i="4"/>
  <c r="DR561" i="4" s="1"/>
  <c r="DE561" i="4"/>
  <c r="DF561" i="4"/>
  <c r="DG561" i="4"/>
  <c r="DH561" i="4"/>
  <c r="DI561" i="4"/>
  <c r="DJ561" i="4"/>
  <c r="DK561" i="4"/>
  <c r="DL561" i="4"/>
  <c r="DT561" i="4"/>
  <c r="BN562" i="4"/>
  <c r="BZ562" i="4" s="1"/>
  <c r="BO562" i="4"/>
  <c r="CA562" i="4" s="1"/>
  <c r="CM562" i="4" s="1"/>
  <c r="BP562" i="4"/>
  <c r="BQ562" i="4"/>
  <c r="CC562" i="4" s="1"/>
  <c r="BR562" i="4"/>
  <c r="CD562" i="4" s="1"/>
  <c r="CP562" i="4" s="1"/>
  <c r="DR562" i="4" s="1"/>
  <c r="BS562" i="4"/>
  <c r="CE562" i="4" s="1"/>
  <c r="CQ562" i="4" s="1"/>
  <c r="BT562" i="4"/>
  <c r="CF562" i="4" s="1"/>
  <c r="CR562" i="4" s="1"/>
  <c r="BU562" i="4"/>
  <c r="BV562" i="4"/>
  <c r="CH562" i="4" s="1"/>
  <c r="CT562" i="4" s="1"/>
  <c r="BW562" i="4"/>
  <c r="CI562" i="4" s="1"/>
  <c r="CU562" i="4" s="1"/>
  <c r="BX562" i="4"/>
  <c r="CJ562" i="4" s="1"/>
  <c r="CV562" i="4" s="1"/>
  <c r="BY562" i="4"/>
  <c r="CK562" i="4" s="1"/>
  <c r="CB562" i="4"/>
  <c r="CN562" i="4" s="1"/>
  <c r="CG562" i="4"/>
  <c r="CS562" i="4" s="1"/>
  <c r="CL562" i="4"/>
  <c r="CO562" i="4"/>
  <c r="CW562" i="4"/>
  <c r="CZ562" i="4"/>
  <c r="DA562" i="4"/>
  <c r="DO562" i="4" s="1"/>
  <c r="DB562" i="4"/>
  <c r="DC562" i="4"/>
  <c r="DD562" i="4"/>
  <c r="DE562" i="4"/>
  <c r="DF562" i="4"/>
  <c r="DG562" i="4"/>
  <c r="DH562" i="4"/>
  <c r="DI562" i="4"/>
  <c r="DJ562" i="4"/>
  <c r="DK562" i="4"/>
  <c r="BN563" i="4"/>
  <c r="BO563" i="4"/>
  <c r="CA563" i="4" s="1"/>
  <c r="BP563" i="4"/>
  <c r="CB563" i="4" s="1"/>
  <c r="CN563" i="4" s="1"/>
  <c r="DP563" i="4" s="1"/>
  <c r="BQ563" i="4"/>
  <c r="CC563" i="4" s="1"/>
  <c r="CO563" i="4" s="1"/>
  <c r="BR563" i="4"/>
  <c r="CD563" i="4" s="1"/>
  <c r="CP563" i="4" s="1"/>
  <c r="BS563" i="4"/>
  <c r="BT563" i="4"/>
  <c r="CF563" i="4" s="1"/>
  <c r="BU563" i="4"/>
  <c r="CG563" i="4" s="1"/>
  <c r="CS563" i="4" s="1"/>
  <c r="DU563" i="4" s="1"/>
  <c r="BV563" i="4"/>
  <c r="BW563" i="4"/>
  <c r="CI563" i="4" s="1"/>
  <c r="CU563" i="4" s="1"/>
  <c r="BX563" i="4"/>
  <c r="BY563" i="4"/>
  <c r="CK563" i="4" s="1"/>
  <c r="CW563" i="4" s="1"/>
  <c r="BZ563" i="4"/>
  <c r="CL563" i="4" s="1"/>
  <c r="CE563" i="4"/>
  <c r="CQ563" i="4" s="1"/>
  <c r="CH563" i="4"/>
  <c r="CT563" i="4" s="1"/>
  <c r="CJ563" i="4"/>
  <c r="CV563" i="4" s="1"/>
  <c r="DX563" i="4" s="1"/>
  <c r="CM563" i="4"/>
  <c r="CR563" i="4"/>
  <c r="CZ563" i="4"/>
  <c r="DA563" i="4"/>
  <c r="DB563" i="4"/>
  <c r="DC563" i="4"/>
  <c r="DD563" i="4"/>
  <c r="DE563" i="4"/>
  <c r="DF563" i="4"/>
  <c r="DG563" i="4"/>
  <c r="DH563" i="4"/>
  <c r="DV563" i="4" s="1"/>
  <c r="DI563" i="4"/>
  <c r="DJ563" i="4"/>
  <c r="DK563" i="4"/>
  <c r="DY563" i="4" s="1"/>
  <c r="DN563" i="4"/>
  <c r="DQ563" i="4"/>
  <c r="BN564" i="4"/>
  <c r="BO564" i="4"/>
  <c r="BP564" i="4"/>
  <c r="CB564" i="4" s="1"/>
  <c r="CN564" i="4" s="1"/>
  <c r="BQ564" i="4"/>
  <c r="BR564" i="4"/>
  <c r="CD564" i="4" s="1"/>
  <c r="CP564" i="4" s="1"/>
  <c r="BS564" i="4"/>
  <c r="CE564" i="4" s="1"/>
  <c r="CQ564" i="4" s="1"/>
  <c r="DS564" i="4" s="1"/>
  <c r="BT564" i="4"/>
  <c r="CF564" i="4" s="1"/>
  <c r="CR564" i="4" s="1"/>
  <c r="BU564" i="4"/>
  <c r="CG564" i="4" s="1"/>
  <c r="CS564" i="4" s="1"/>
  <c r="BV564" i="4"/>
  <c r="BW564" i="4"/>
  <c r="BX564" i="4"/>
  <c r="CJ564" i="4" s="1"/>
  <c r="CV564" i="4" s="1"/>
  <c r="BY564" i="4"/>
  <c r="BZ564" i="4"/>
  <c r="CL564" i="4" s="1"/>
  <c r="CA564" i="4"/>
  <c r="CM564" i="4" s="1"/>
  <c r="CC564" i="4"/>
  <c r="CO564" i="4" s="1"/>
  <c r="DQ564" i="4" s="1"/>
  <c r="CH564" i="4"/>
  <c r="CT564" i="4" s="1"/>
  <c r="CI564" i="4"/>
  <c r="CU564" i="4" s="1"/>
  <c r="CK564" i="4"/>
  <c r="CW564" i="4" s="1"/>
  <c r="CZ564" i="4"/>
  <c r="DA564" i="4"/>
  <c r="DB564" i="4"/>
  <c r="DC564" i="4"/>
  <c r="DD564" i="4"/>
  <c r="DE564" i="4"/>
  <c r="DF564" i="4"/>
  <c r="DG564" i="4"/>
  <c r="DH564" i="4"/>
  <c r="DV564" i="4" s="1"/>
  <c r="DI564" i="4"/>
  <c r="DJ564" i="4"/>
  <c r="DK564" i="4"/>
  <c r="DT564" i="4"/>
  <c r="DY564" i="4"/>
  <c r="BN565" i="4"/>
  <c r="BZ565" i="4" s="1"/>
  <c r="BO565" i="4"/>
  <c r="CA565" i="4" s="1"/>
  <c r="CM565" i="4" s="1"/>
  <c r="BP565" i="4"/>
  <c r="CB565" i="4" s="1"/>
  <c r="BQ565" i="4"/>
  <c r="CC565" i="4" s="1"/>
  <c r="CO565" i="4" s="1"/>
  <c r="BR565" i="4"/>
  <c r="BS565" i="4"/>
  <c r="CE565" i="4" s="1"/>
  <c r="CQ565" i="4" s="1"/>
  <c r="BT565" i="4"/>
  <c r="BU565" i="4"/>
  <c r="CG565" i="4" s="1"/>
  <c r="CS565" i="4" s="1"/>
  <c r="DU565" i="4" s="1"/>
  <c r="BV565" i="4"/>
  <c r="CH565" i="4" s="1"/>
  <c r="CT565" i="4" s="1"/>
  <c r="BW565" i="4"/>
  <c r="BX565" i="4"/>
  <c r="CJ565" i="4" s="1"/>
  <c r="CV565" i="4" s="1"/>
  <c r="BY565" i="4"/>
  <c r="CK565" i="4" s="1"/>
  <c r="CW565" i="4" s="1"/>
  <c r="CD565" i="4"/>
  <c r="CP565" i="4" s="1"/>
  <c r="CF565" i="4"/>
  <c r="CR565" i="4" s="1"/>
  <c r="CI565" i="4"/>
  <c r="CU565" i="4" s="1"/>
  <c r="CL565" i="4"/>
  <c r="CN565" i="4"/>
  <c r="CZ565" i="4"/>
  <c r="DA565" i="4"/>
  <c r="DB565" i="4"/>
  <c r="DC565" i="4"/>
  <c r="DD565" i="4"/>
  <c r="DE565" i="4"/>
  <c r="DF565" i="4"/>
  <c r="DG565" i="4"/>
  <c r="DH565" i="4"/>
  <c r="DI565" i="4"/>
  <c r="DJ565" i="4"/>
  <c r="DK565" i="4"/>
  <c r="DO565" i="4"/>
  <c r="DQ565" i="4"/>
  <c r="BN566" i="4"/>
  <c r="BZ566" i="4" s="1"/>
  <c r="CL566" i="4" s="1"/>
  <c r="BO566" i="4"/>
  <c r="BP566" i="4"/>
  <c r="BQ566" i="4"/>
  <c r="CC566" i="4" s="1"/>
  <c r="CO566" i="4" s="1"/>
  <c r="BR566" i="4"/>
  <c r="CD566" i="4" s="1"/>
  <c r="CP566" i="4" s="1"/>
  <c r="DR566" i="4" s="1"/>
  <c r="BS566" i="4"/>
  <c r="CE566" i="4" s="1"/>
  <c r="CQ566" i="4" s="1"/>
  <c r="BT566" i="4"/>
  <c r="CF566" i="4" s="1"/>
  <c r="CR566" i="4" s="1"/>
  <c r="BU566" i="4"/>
  <c r="BV566" i="4"/>
  <c r="CH566" i="4" s="1"/>
  <c r="CT566" i="4" s="1"/>
  <c r="BW566" i="4"/>
  <c r="CI566" i="4" s="1"/>
  <c r="BX566" i="4"/>
  <c r="BY566" i="4"/>
  <c r="CK566" i="4" s="1"/>
  <c r="CW566" i="4" s="1"/>
  <c r="CA566" i="4"/>
  <c r="CM566" i="4" s="1"/>
  <c r="DO566" i="4" s="1"/>
  <c r="CB566" i="4"/>
  <c r="CN566" i="4" s="1"/>
  <c r="DP566" i="4" s="1"/>
  <c r="CG566" i="4"/>
  <c r="CS566" i="4" s="1"/>
  <c r="CJ566" i="4"/>
  <c r="CV566" i="4" s="1"/>
  <c r="CU566" i="4"/>
  <c r="DW566" i="4" s="1"/>
  <c r="CZ566" i="4"/>
  <c r="DA566" i="4"/>
  <c r="DB566" i="4"/>
  <c r="DC566" i="4"/>
  <c r="DD566" i="4"/>
  <c r="DE566" i="4"/>
  <c r="DF566" i="4"/>
  <c r="DT566" i="4" s="1"/>
  <c r="DG566" i="4"/>
  <c r="DU566" i="4" s="1"/>
  <c r="DH566" i="4"/>
  <c r="DI566" i="4"/>
  <c r="DJ566" i="4"/>
  <c r="DK566" i="4"/>
  <c r="BN567" i="4"/>
  <c r="BZ567" i="4" s="1"/>
  <c r="CL567" i="4" s="1"/>
  <c r="BO567" i="4"/>
  <c r="CA567" i="4" s="1"/>
  <c r="BP567" i="4"/>
  <c r="CB567" i="4" s="1"/>
  <c r="CN567" i="4" s="1"/>
  <c r="BQ567" i="4"/>
  <c r="CC567" i="4" s="1"/>
  <c r="CO567" i="4" s="1"/>
  <c r="BR567" i="4"/>
  <c r="CD567" i="4" s="1"/>
  <c r="BS567" i="4"/>
  <c r="BT567" i="4"/>
  <c r="CF567" i="4" s="1"/>
  <c r="CR567" i="4" s="1"/>
  <c r="BU567" i="4"/>
  <c r="CG567" i="4" s="1"/>
  <c r="CS567" i="4" s="1"/>
  <c r="BV567" i="4"/>
  <c r="CH567" i="4" s="1"/>
  <c r="CT567" i="4" s="1"/>
  <c r="BW567" i="4"/>
  <c r="CI567" i="4" s="1"/>
  <c r="CU567" i="4" s="1"/>
  <c r="BX567" i="4"/>
  <c r="BY567" i="4"/>
  <c r="CK567" i="4" s="1"/>
  <c r="CW567" i="4" s="1"/>
  <c r="CE567" i="4"/>
  <c r="CQ567" i="4" s="1"/>
  <c r="CJ567" i="4"/>
  <c r="CV567" i="4" s="1"/>
  <c r="DX567" i="4" s="1"/>
  <c r="CM567" i="4"/>
  <c r="CP567" i="4"/>
  <c r="CZ567" i="4"/>
  <c r="DA567" i="4"/>
  <c r="DB567" i="4"/>
  <c r="DC567" i="4"/>
  <c r="DD567" i="4"/>
  <c r="DE567" i="4"/>
  <c r="DF567" i="4"/>
  <c r="DG567" i="4"/>
  <c r="DH567" i="4"/>
  <c r="DI567" i="4"/>
  <c r="DW567" i="4" s="1"/>
  <c r="DJ567" i="4"/>
  <c r="DK567" i="4"/>
  <c r="DY567" i="4" s="1"/>
  <c r="DP567" i="4"/>
  <c r="DV567" i="4"/>
  <c r="BN568" i="4"/>
  <c r="BO568" i="4"/>
  <c r="CA568" i="4" s="1"/>
  <c r="CM568" i="4" s="1"/>
  <c r="BP568" i="4"/>
  <c r="CB568" i="4" s="1"/>
  <c r="CN568" i="4" s="1"/>
  <c r="BQ568" i="4"/>
  <c r="BR568" i="4"/>
  <c r="CD568" i="4" s="1"/>
  <c r="BS568" i="4"/>
  <c r="CE568" i="4" s="1"/>
  <c r="CQ568" i="4" s="1"/>
  <c r="DS568" i="4" s="1"/>
  <c r="BT568" i="4"/>
  <c r="BU568" i="4"/>
  <c r="CG568" i="4" s="1"/>
  <c r="CS568" i="4" s="1"/>
  <c r="BV568" i="4"/>
  <c r="CH568" i="4" s="1"/>
  <c r="CT568" i="4" s="1"/>
  <c r="DV568" i="4" s="1"/>
  <c r="BW568" i="4"/>
  <c r="CI568" i="4" s="1"/>
  <c r="BX568" i="4"/>
  <c r="CJ568" i="4" s="1"/>
  <c r="BY568" i="4"/>
  <c r="BZ568" i="4"/>
  <c r="CL568" i="4" s="1"/>
  <c r="CC568" i="4"/>
  <c r="CO568" i="4" s="1"/>
  <c r="CF568" i="4"/>
  <c r="CR568" i="4" s="1"/>
  <c r="CK568" i="4"/>
  <c r="CW568" i="4" s="1"/>
  <c r="CP568" i="4"/>
  <c r="CU568" i="4"/>
  <c r="DW568" i="4" s="1"/>
  <c r="CV568" i="4"/>
  <c r="CZ568" i="4"/>
  <c r="DA568" i="4"/>
  <c r="DB568" i="4"/>
  <c r="DC568" i="4"/>
  <c r="DD568" i="4"/>
  <c r="DE568" i="4"/>
  <c r="DF568" i="4"/>
  <c r="DG568" i="4"/>
  <c r="DH568" i="4"/>
  <c r="DI568" i="4"/>
  <c r="DJ568" i="4"/>
  <c r="DK568" i="4"/>
  <c r="DY568" i="4" s="1"/>
  <c r="DQ568" i="4"/>
  <c r="BN569" i="4"/>
  <c r="BZ569" i="4" s="1"/>
  <c r="BO569" i="4"/>
  <c r="CA569" i="4" s="1"/>
  <c r="CM569" i="4" s="1"/>
  <c r="BP569" i="4"/>
  <c r="CB569" i="4" s="1"/>
  <c r="CN569" i="4" s="1"/>
  <c r="BQ569" i="4"/>
  <c r="CC569" i="4" s="1"/>
  <c r="CO569" i="4" s="1"/>
  <c r="DQ569" i="4" s="1"/>
  <c r="BR569" i="4"/>
  <c r="BS569" i="4"/>
  <c r="CE569" i="4" s="1"/>
  <c r="BT569" i="4"/>
  <c r="BU569" i="4"/>
  <c r="CG569" i="4" s="1"/>
  <c r="CS569" i="4" s="1"/>
  <c r="BV569" i="4"/>
  <c r="CH569" i="4" s="1"/>
  <c r="BW569" i="4"/>
  <c r="CI569" i="4" s="1"/>
  <c r="CU569" i="4" s="1"/>
  <c r="BX569" i="4"/>
  <c r="CJ569" i="4" s="1"/>
  <c r="BY569" i="4"/>
  <c r="CK569" i="4" s="1"/>
  <c r="CW569" i="4" s="1"/>
  <c r="DY569" i="4" s="1"/>
  <c r="CD569" i="4"/>
  <c r="CP569" i="4" s="1"/>
  <c r="CF569" i="4"/>
  <c r="CR569" i="4" s="1"/>
  <c r="CL569" i="4"/>
  <c r="CQ569" i="4"/>
  <c r="CT569" i="4"/>
  <c r="CV569" i="4"/>
  <c r="CZ569" i="4"/>
  <c r="DA569" i="4"/>
  <c r="DB569" i="4"/>
  <c r="DC569" i="4"/>
  <c r="DD569" i="4"/>
  <c r="DE569" i="4"/>
  <c r="DS569" i="4" s="1"/>
  <c r="DF569" i="4"/>
  <c r="DG569" i="4"/>
  <c r="DU569" i="4" s="1"/>
  <c r="DH569" i="4"/>
  <c r="DI569" i="4"/>
  <c r="DJ569" i="4"/>
  <c r="DK569" i="4"/>
  <c r="DT569" i="4"/>
  <c r="BN570" i="4"/>
  <c r="BZ570" i="4" s="1"/>
  <c r="CL570" i="4" s="1"/>
  <c r="BO570" i="4"/>
  <c r="CA570" i="4" s="1"/>
  <c r="CM570" i="4" s="1"/>
  <c r="DO570" i="4" s="1"/>
  <c r="BP570" i="4"/>
  <c r="BQ570" i="4"/>
  <c r="CC570" i="4" s="1"/>
  <c r="CO570" i="4" s="1"/>
  <c r="BR570" i="4"/>
  <c r="CD570" i="4" s="1"/>
  <c r="CP570" i="4" s="1"/>
  <c r="BS570" i="4"/>
  <c r="BT570" i="4"/>
  <c r="CF570" i="4" s="1"/>
  <c r="CR570" i="4" s="1"/>
  <c r="BU570" i="4"/>
  <c r="CG570" i="4" s="1"/>
  <c r="CS570" i="4" s="1"/>
  <c r="BV570" i="4"/>
  <c r="CH570" i="4" s="1"/>
  <c r="CT570" i="4" s="1"/>
  <c r="BW570" i="4"/>
  <c r="BX570" i="4"/>
  <c r="CJ570" i="4" s="1"/>
  <c r="CV570" i="4" s="1"/>
  <c r="BY570" i="4"/>
  <c r="CK570" i="4" s="1"/>
  <c r="CW570" i="4" s="1"/>
  <c r="CB570" i="4"/>
  <c r="CN570" i="4" s="1"/>
  <c r="CE570" i="4"/>
  <c r="CQ570" i="4" s="1"/>
  <c r="DS570" i="4" s="1"/>
  <c r="CI570" i="4"/>
  <c r="CU570" i="4" s="1"/>
  <c r="DW570" i="4" s="1"/>
  <c r="CZ570" i="4"/>
  <c r="DA570" i="4"/>
  <c r="DB570" i="4"/>
  <c r="DP570" i="4" s="1"/>
  <c r="DC570" i="4"/>
  <c r="DD570" i="4"/>
  <c r="DE570" i="4"/>
  <c r="DF570" i="4"/>
  <c r="DG570" i="4"/>
  <c r="DH570" i="4"/>
  <c r="DI570" i="4"/>
  <c r="DJ570" i="4"/>
  <c r="DX570" i="4" s="1"/>
  <c r="DK570" i="4"/>
  <c r="DR570" i="4"/>
  <c r="BN571" i="4"/>
  <c r="BO571" i="4"/>
  <c r="CA571" i="4" s="1"/>
  <c r="CM571" i="4" s="1"/>
  <c r="BP571" i="4"/>
  <c r="BQ571" i="4"/>
  <c r="CC571" i="4" s="1"/>
  <c r="CO571" i="4" s="1"/>
  <c r="BR571" i="4"/>
  <c r="CD571" i="4" s="1"/>
  <c r="CP571" i="4" s="1"/>
  <c r="BS571" i="4"/>
  <c r="CE571" i="4" s="1"/>
  <c r="CQ571" i="4" s="1"/>
  <c r="BT571" i="4"/>
  <c r="CF571" i="4" s="1"/>
  <c r="BU571" i="4"/>
  <c r="CG571" i="4" s="1"/>
  <c r="CS571" i="4" s="1"/>
  <c r="DU571" i="4" s="1"/>
  <c r="BV571" i="4"/>
  <c r="BW571" i="4"/>
  <c r="CI571" i="4" s="1"/>
  <c r="CU571" i="4" s="1"/>
  <c r="BX571" i="4"/>
  <c r="BY571" i="4"/>
  <c r="CK571" i="4" s="1"/>
  <c r="CW571" i="4" s="1"/>
  <c r="BZ571" i="4"/>
  <c r="CL571" i="4" s="1"/>
  <c r="DN571" i="4" s="1"/>
  <c r="CB571" i="4"/>
  <c r="CN571" i="4" s="1"/>
  <c r="CH571" i="4"/>
  <c r="CT571" i="4" s="1"/>
  <c r="CJ571" i="4"/>
  <c r="CV571" i="4" s="1"/>
  <c r="CR571" i="4"/>
  <c r="CZ571" i="4"/>
  <c r="DA571" i="4"/>
  <c r="DB571" i="4"/>
  <c r="DP571" i="4" s="1"/>
  <c r="DC571" i="4"/>
  <c r="DD571" i="4"/>
  <c r="DE571" i="4"/>
  <c r="DF571" i="4"/>
  <c r="DG571" i="4"/>
  <c r="DH571" i="4"/>
  <c r="DI571" i="4"/>
  <c r="DJ571" i="4"/>
  <c r="DX571" i="4" s="1"/>
  <c r="DK571" i="4"/>
  <c r="DV571" i="4"/>
  <c r="BN572" i="4"/>
  <c r="BO572" i="4"/>
  <c r="BP572" i="4"/>
  <c r="CB572" i="4" s="1"/>
  <c r="CN572" i="4" s="1"/>
  <c r="BQ572" i="4"/>
  <c r="BR572" i="4"/>
  <c r="CD572" i="4" s="1"/>
  <c r="CP572" i="4" s="1"/>
  <c r="BS572" i="4"/>
  <c r="CE572" i="4" s="1"/>
  <c r="CQ572" i="4" s="1"/>
  <c r="BT572" i="4"/>
  <c r="CF572" i="4" s="1"/>
  <c r="CR572" i="4" s="1"/>
  <c r="BU572" i="4"/>
  <c r="CG572" i="4" s="1"/>
  <c r="CS572" i="4" s="1"/>
  <c r="BV572" i="4"/>
  <c r="BW572" i="4"/>
  <c r="CI572" i="4" s="1"/>
  <c r="CU572" i="4" s="1"/>
  <c r="BX572" i="4"/>
  <c r="CJ572" i="4" s="1"/>
  <c r="CV572" i="4" s="1"/>
  <c r="BY572" i="4"/>
  <c r="BZ572" i="4"/>
  <c r="CL572" i="4" s="1"/>
  <c r="CA572" i="4"/>
  <c r="CM572" i="4" s="1"/>
  <c r="CC572" i="4"/>
  <c r="CO572" i="4" s="1"/>
  <c r="CH572" i="4"/>
  <c r="CT572" i="4" s="1"/>
  <c r="CK572" i="4"/>
  <c r="CW572" i="4" s="1"/>
  <c r="CZ572" i="4"/>
  <c r="DA572" i="4"/>
  <c r="DB572" i="4"/>
  <c r="DC572" i="4"/>
  <c r="DD572" i="4"/>
  <c r="DE572" i="4"/>
  <c r="DF572" i="4"/>
  <c r="DG572" i="4"/>
  <c r="DH572" i="4"/>
  <c r="DV572" i="4" s="1"/>
  <c r="DI572" i="4"/>
  <c r="DJ572" i="4"/>
  <c r="DK572" i="4"/>
  <c r="DW572" i="4"/>
  <c r="BN573" i="4"/>
  <c r="BZ573" i="4" s="1"/>
  <c r="CL573" i="4" s="1"/>
  <c r="BO573" i="4"/>
  <c r="CA573" i="4" s="1"/>
  <c r="CM573" i="4" s="1"/>
  <c r="DO573" i="4" s="1"/>
  <c r="BP573" i="4"/>
  <c r="CB573" i="4" s="1"/>
  <c r="CN573" i="4" s="1"/>
  <c r="BQ573" i="4"/>
  <c r="CC573" i="4" s="1"/>
  <c r="CO573" i="4" s="1"/>
  <c r="DQ573" i="4" s="1"/>
  <c r="BR573" i="4"/>
  <c r="BS573" i="4"/>
  <c r="CE573" i="4" s="1"/>
  <c r="CQ573" i="4" s="1"/>
  <c r="BT573" i="4"/>
  <c r="BU573" i="4"/>
  <c r="CG573" i="4" s="1"/>
  <c r="CS573" i="4" s="1"/>
  <c r="BV573" i="4"/>
  <c r="CH573" i="4" s="1"/>
  <c r="CT573" i="4" s="1"/>
  <c r="BW573" i="4"/>
  <c r="CI573" i="4" s="1"/>
  <c r="CU573" i="4" s="1"/>
  <c r="BX573" i="4"/>
  <c r="CJ573" i="4" s="1"/>
  <c r="CV573" i="4" s="1"/>
  <c r="BY573" i="4"/>
  <c r="CD573" i="4"/>
  <c r="CP573" i="4" s="1"/>
  <c r="CF573" i="4"/>
  <c r="CR573" i="4" s="1"/>
  <c r="CK573" i="4"/>
  <c r="CW573" i="4" s="1"/>
  <c r="DY573" i="4" s="1"/>
  <c r="CZ573" i="4"/>
  <c r="DN573" i="4" s="1"/>
  <c r="DA573" i="4"/>
  <c r="DB573" i="4"/>
  <c r="DC573" i="4"/>
  <c r="DM573" i="4" s="1"/>
  <c r="DD573" i="4"/>
  <c r="DE573" i="4"/>
  <c r="DS573" i="4" s="1"/>
  <c r="DF573" i="4"/>
  <c r="DT573" i="4" s="1"/>
  <c r="DG573" i="4"/>
  <c r="DH573" i="4"/>
  <c r="DI573" i="4"/>
  <c r="DJ573" i="4"/>
  <c r="DK573" i="4"/>
  <c r="DR573" i="4"/>
  <c r="BN574" i="4"/>
  <c r="BZ574" i="4" s="1"/>
  <c r="CL574" i="4" s="1"/>
  <c r="BO574" i="4"/>
  <c r="BP574" i="4"/>
  <c r="CB574" i="4" s="1"/>
  <c r="CN574" i="4" s="1"/>
  <c r="BQ574" i="4"/>
  <c r="CC574" i="4" s="1"/>
  <c r="CO574" i="4" s="1"/>
  <c r="BR574" i="4"/>
  <c r="BS574" i="4"/>
  <c r="CE574" i="4" s="1"/>
  <c r="CQ574" i="4" s="1"/>
  <c r="BT574" i="4"/>
  <c r="CF574" i="4" s="1"/>
  <c r="BU574" i="4"/>
  <c r="BV574" i="4"/>
  <c r="CH574" i="4" s="1"/>
  <c r="BW574" i="4"/>
  <c r="BX574" i="4"/>
  <c r="CJ574" i="4" s="1"/>
  <c r="CV574" i="4" s="1"/>
  <c r="BY574" i="4"/>
  <c r="CK574" i="4" s="1"/>
  <c r="CW574" i="4" s="1"/>
  <c r="CA574" i="4"/>
  <c r="CD574" i="4"/>
  <c r="CP574" i="4" s="1"/>
  <c r="CG574" i="4"/>
  <c r="CS574" i="4" s="1"/>
  <c r="CI574" i="4"/>
  <c r="CU574" i="4" s="1"/>
  <c r="CM574" i="4"/>
  <c r="DO574" i="4" s="1"/>
  <c r="CR574" i="4"/>
  <c r="CT574" i="4"/>
  <c r="CZ574" i="4"/>
  <c r="DA574" i="4"/>
  <c r="DB574" i="4"/>
  <c r="DP574" i="4" s="1"/>
  <c r="DC574" i="4"/>
  <c r="DD574" i="4"/>
  <c r="DE574" i="4"/>
  <c r="DM574" i="4" s="1"/>
  <c r="DF574" i="4"/>
  <c r="DT574" i="4" s="1"/>
  <c r="DG574" i="4"/>
  <c r="DH574" i="4"/>
  <c r="DI574" i="4"/>
  <c r="DJ574" i="4"/>
  <c r="DX574" i="4" s="1"/>
  <c r="DK574" i="4"/>
  <c r="DR574" i="4"/>
  <c r="DW574" i="4"/>
  <c r="BN575" i="4"/>
  <c r="BO575" i="4"/>
  <c r="CA575" i="4" s="1"/>
  <c r="BP575" i="4"/>
  <c r="BQ575" i="4"/>
  <c r="BR575" i="4"/>
  <c r="CD575" i="4" s="1"/>
  <c r="BS575" i="4"/>
  <c r="CE575" i="4" s="1"/>
  <c r="CQ575" i="4" s="1"/>
  <c r="BT575" i="4"/>
  <c r="CF575" i="4" s="1"/>
  <c r="CR575" i="4" s="1"/>
  <c r="BU575" i="4"/>
  <c r="BV575" i="4"/>
  <c r="BW575" i="4"/>
  <c r="CI575" i="4" s="1"/>
  <c r="CU575" i="4" s="1"/>
  <c r="BX575" i="4"/>
  <c r="CJ575" i="4" s="1"/>
  <c r="CV575" i="4" s="1"/>
  <c r="DX575" i="4" s="1"/>
  <c r="BY575" i="4"/>
  <c r="BZ575" i="4"/>
  <c r="CL575" i="4" s="1"/>
  <c r="CB575" i="4"/>
  <c r="CN575" i="4" s="1"/>
  <c r="DP575" i="4" s="1"/>
  <c r="CC575" i="4"/>
  <c r="CO575" i="4" s="1"/>
  <c r="DQ575" i="4" s="1"/>
  <c r="CG575" i="4"/>
  <c r="CH575" i="4"/>
  <c r="CT575" i="4" s="1"/>
  <c r="CK575" i="4"/>
  <c r="CM575" i="4"/>
  <c r="CP575" i="4"/>
  <c r="CS575" i="4"/>
  <c r="DU575" i="4" s="1"/>
  <c r="CW575" i="4"/>
  <c r="CZ575" i="4"/>
  <c r="DA575" i="4"/>
  <c r="DB575" i="4"/>
  <c r="DC575" i="4"/>
  <c r="DD575" i="4"/>
  <c r="DE575" i="4"/>
  <c r="DM575" i="4" s="1"/>
  <c r="DF575" i="4"/>
  <c r="DG575" i="4"/>
  <c r="DH575" i="4"/>
  <c r="DI575" i="4"/>
  <c r="DJ575" i="4"/>
  <c r="DK575" i="4"/>
  <c r="DY575" i="4" s="1"/>
  <c r="DN575" i="4"/>
  <c r="DV575" i="4"/>
  <c r="BN576" i="4"/>
  <c r="BO576" i="4"/>
  <c r="CA576" i="4" s="1"/>
  <c r="CM576" i="4" s="1"/>
  <c r="BP576" i="4"/>
  <c r="CB576" i="4" s="1"/>
  <c r="CN576" i="4" s="1"/>
  <c r="BQ576" i="4"/>
  <c r="BR576" i="4"/>
  <c r="CD576" i="4" s="1"/>
  <c r="CP576" i="4" s="1"/>
  <c r="BS576" i="4"/>
  <c r="BT576" i="4"/>
  <c r="CF576" i="4" s="1"/>
  <c r="CR576" i="4" s="1"/>
  <c r="BU576" i="4"/>
  <c r="CG576" i="4" s="1"/>
  <c r="CS576" i="4" s="1"/>
  <c r="BV576" i="4"/>
  <c r="BW576" i="4"/>
  <c r="BX576" i="4"/>
  <c r="CJ576" i="4" s="1"/>
  <c r="CV576" i="4" s="1"/>
  <c r="BY576" i="4"/>
  <c r="BZ576" i="4"/>
  <c r="CL576" i="4" s="1"/>
  <c r="CC576" i="4"/>
  <c r="CO576" i="4" s="1"/>
  <c r="DQ576" i="4" s="1"/>
  <c r="CE576" i="4"/>
  <c r="CQ576" i="4" s="1"/>
  <c r="DS576" i="4" s="1"/>
  <c r="CH576" i="4"/>
  <c r="CT576" i="4" s="1"/>
  <c r="CI576" i="4"/>
  <c r="CU576" i="4" s="1"/>
  <c r="CK576" i="4"/>
  <c r="CW576" i="4" s="1"/>
  <c r="CZ576" i="4"/>
  <c r="DN576" i="4" s="1"/>
  <c r="DA576" i="4"/>
  <c r="DB576" i="4"/>
  <c r="DC576" i="4"/>
  <c r="DD576" i="4"/>
  <c r="DE576" i="4"/>
  <c r="DF576" i="4"/>
  <c r="DG576" i="4"/>
  <c r="DU576" i="4" s="1"/>
  <c r="DH576" i="4"/>
  <c r="DV576" i="4" s="1"/>
  <c r="DI576" i="4"/>
  <c r="DW576" i="4" s="1"/>
  <c r="DJ576" i="4"/>
  <c r="DK576" i="4"/>
  <c r="DT576" i="4"/>
  <c r="BN577" i="4"/>
  <c r="BZ577" i="4" s="1"/>
  <c r="CL577" i="4" s="1"/>
  <c r="BO577" i="4"/>
  <c r="CA577" i="4" s="1"/>
  <c r="CM577" i="4" s="1"/>
  <c r="BP577" i="4"/>
  <c r="CB577" i="4" s="1"/>
  <c r="CN577" i="4" s="1"/>
  <c r="BQ577" i="4"/>
  <c r="CC577" i="4" s="1"/>
  <c r="CO577" i="4" s="1"/>
  <c r="BR577" i="4"/>
  <c r="BS577" i="4"/>
  <c r="CE577" i="4" s="1"/>
  <c r="CQ577" i="4" s="1"/>
  <c r="BT577" i="4"/>
  <c r="CF577" i="4" s="1"/>
  <c r="CR577" i="4" s="1"/>
  <c r="DT577" i="4" s="1"/>
  <c r="BU577" i="4"/>
  <c r="CG577" i="4" s="1"/>
  <c r="CS577" i="4" s="1"/>
  <c r="BV577" i="4"/>
  <c r="CH577" i="4" s="1"/>
  <c r="CT577" i="4" s="1"/>
  <c r="BW577" i="4"/>
  <c r="CI577" i="4" s="1"/>
  <c r="CU577" i="4" s="1"/>
  <c r="BX577" i="4"/>
  <c r="CJ577" i="4" s="1"/>
  <c r="BY577" i="4"/>
  <c r="CK577" i="4" s="1"/>
  <c r="CW577" i="4" s="1"/>
  <c r="CD577" i="4"/>
  <c r="CP577" i="4" s="1"/>
  <c r="CV577" i="4"/>
  <c r="CZ577" i="4"/>
  <c r="DL577" i="4" s="1"/>
  <c r="DA577" i="4"/>
  <c r="DB577" i="4"/>
  <c r="DC577" i="4"/>
  <c r="DQ577" i="4" s="1"/>
  <c r="DD577" i="4"/>
  <c r="DE577" i="4"/>
  <c r="DF577" i="4"/>
  <c r="DG577" i="4"/>
  <c r="DM577" i="4" s="1"/>
  <c r="DH577" i="4"/>
  <c r="DI577" i="4"/>
  <c r="DJ577" i="4"/>
  <c r="DK577" i="4"/>
  <c r="DR577" i="4"/>
  <c r="DW577" i="4"/>
  <c r="DY577" i="4"/>
  <c r="BN578" i="4"/>
  <c r="BZ578" i="4" s="1"/>
  <c r="BO578" i="4"/>
  <c r="CA578" i="4" s="1"/>
  <c r="CM578" i="4" s="1"/>
  <c r="BP578" i="4"/>
  <c r="CB578" i="4" s="1"/>
  <c r="CN578" i="4" s="1"/>
  <c r="DP578" i="4" s="1"/>
  <c r="BQ578" i="4"/>
  <c r="CC578" i="4" s="1"/>
  <c r="CO578" i="4" s="1"/>
  <c r="BR578" i="4"/>
  <c r="BS578" i="4"/>
  <c r="CE578" i="4" s="1"/>
  <c r="CQ578" i="4" s="1"/>
  <c r="BT578" i="4"/>
  <c r="CF578" i="4" s="1"/>
  <c r="CR578" i="4" s="1"/>
  <c r="BU578" i="4"/>
  <c r="CG578" i="4" s="1"/>
  <c r="CS578" i="4" s="1"/>
  <c r="BV578" i="4"/>
  <c r="CH578" i="4" s="1"/>
  <c r="CT578" i="4" s="1"/>
  <c r="BW578" i="4"/>
  <c r="BX578" i="4"/>
  <c r="CJ578" i="4" s="1"/>
  <c r="CV578" i="4" s="1"/>
  <c r="BY578" i="4"/>
  <c r="CK578" i="4" s="1"/>
  <c r="CD578" i="4"/>
  <c r="CP578" i="4" s="1"/>
  <c r="DR578" i="4" s="1"/>
  <c r="CI578" i="4"/>
  <c r="CU578" i="4" s="1"/>
  <c r="DW578" i="4" s="1"/>
  <c r="CL578" i="4"/>
  <c r="CW578" i="4"/>
  <c r="CZ578" i="4"/>
  <c r="DA578" i="4"/>
  <c r="DO578" i="4" s="1"/>
  <c r="DB578" i="4"/>
  <c r="DC578" i="4"/>
  <c r="DD578" i="4"/>
  <c r="DE578" i="4"/>
  <c r="DF578" i="4"/>
  <c r="DG578" i="4"/>
  <c r="DH578" i="4"/>
  <c r="DV578" i="4" s="1"/>
  <c r="DI578" i="4"/>
  <c r="DJ578" i="4"/>
  <c r="DK578" i="4"/>
  <c r="DU578" i="4"/>
  <c r="BN579" i="4"/>
  <c r="BO579" i="4"/>
  <c r="CA579" i="4" s="1"/>
  <c r="BP579" i="4"/>
  <c r="CB579" i="4" s="1"/>
  <c r="CN579" i="4" s="1"/>
  <c r="DP579" i="4" s="1"/>
  <c r="BQ579" i="4"/>
  <c r="CC579" i="4" s="1"/>
  <c r="CO579" i="4" s="1"/>
  <c r="DQ579" i="4" s="1"/>
  <c r="BR579" i="4"/>
  <c r="CD579" i="4" s="1"/>
  <c r="CP579" i="4" s="1"/>
  <c r="BS579" i="4"/>
  <c r="BT579" i="4"/>
  <c r="CF579" i="4" s="1"/>
  <c r="CR579" i="4" s="1"/>
  <c r="BU579" i="4"/>
  <c r="CG579" i="4" s="1"/>
  <c r="CS579" i="4" s="1"/>
  <c r="DU579" i="4" s="1"/>
  <c r="BV579" i="4"/>
  <c r="BW579" i="4"/>
  <c r="CI579" i="4" s="1"/>
  <c r="CU579" i="4" s="1"/>
  <c r="BX579" i="4"/>
  <c r="BY579" i="4"/>
  <c r="CK579" i="4" s="1"/>
  <c r="CW579" i="4" s="1"/>
  <c r="BZ579" i="4"/>
  <c r="CL579" i="4" s="1"/>
  <c r="CE579" i="4"/>
  <c r="CQ579" i="4" s="1"/>
  <c r="DS579" i="4" s="1"/>
  <c r="CH579" i="4"/>
  <c r="CT579" i="4" s="1"/>
  <c r="CJ579" i="4"/>
  <c r="CV579" i="4" s="1"/>
  <c r="CM579" i="4"/>
  <c r="CZ579" i="4"/>
  <c r="DA579" i="4"/>
  <c r="DB579" i="4"/>
  <c r="DC579" i="4"/>
  <c r="DD579" i="4"/>
  <c r="DR579" i="4" s="1"/>
  <c r="DE579" i="4"/>
  <c r="DF579" i="4"/>
  <c r="DG579" i="4"/>
  <c r="DH579" i="4"/>
  <c r="DV579" i="4" s="1"/>
  <c r="DI579" i="4"/>
  <c r="DJ579" i="4"/>
  <c r="DK579" i="4"/>
  <c r="BN580" i="4"/>
  <c r="BO580" i="4"/>
  <c r="CA580" i="4" s="1"/>
  <c r="CM580" i="4" s="1"/>
  <c r="BP580" i="4"/>
  <c r="CB580" i="4" s="1"/>
  <c r="CN580" i="4" s="1"/>
  <c r="BQ580" i="4"/>
  <c r="CC580" i="4" s="1"/>
  <c r="CO580" i="4" s="1"/>
  <c r="BR580" i="4"/>
  <c r="CD580" i="4" s="1"/>
  <c r="BS580" i="4"/>
  <c r="CE580" i="4" s="1"/>
  <c r="CQ580" i="4" s="1"/>
  <c r="BT580" i="4"/>
  <c r="BU580" i="4"/>
  <c r="CG580" i="4" s="1"/>
  <c r="CS580" i="4" s="1"/>
  <c r="BV580" i="4"/>
  <c r="BW580" i="4"/>
  <c r="BX580" i="4"/>
  <c r="CJ580" i="4" s="1"/>
  <c r="CV580" i="4" s="1"/>
  <c r="BY580" i="4"/>
  <c r="CK580" i="4" s="1"/>
  <c r="CW580" i="4" s="1"/>
  <c r="DY580" i="4" s="1"/>
  <c r="BZ580" i="4"/>
  <c r="CL580" i="4" s="1"/>
  <c r="CF580" i="4"/>
  <c r="CR580" i="4" s="1"/>
  <c r="CH580" i="4"/>
  <c r="CT580" i="4" s="1"/>
  <c r="CI580" i="4"/>
  <c r="CP580" i="4"/>
  <c r="CU580" i="4"/>
  <c r="CZ580" i="4"/>
  <c r="DA580" i="4"/>
  <c r="DB580" i="4"/>
  <c r="DC580" i="4"/>
  <c r="DD580" i="4"/>
  <c r="DR580" i="4" s="1"/>
  <c r="DE580" i="4"/>
  <c r="DF580" i="4"/>
  <c r="DG580" i="4"/>
  <c r="DH580" i="4"/>
  <c r="DI580" i="4"/>
  <c r="DJ580" i="4"/>
  <c r="DK580" i="4"/>
  <c r="DN580" i="4"/>
  <c r="DS580" i="4"/>
  <c r="BN581" i="4"/>
  <c r="BZ581" i="4" s="1"/>
  <c r="BO581" i="4"/>
  <c r="CA581" i="4" s="1"/>
  <c r="CM581" i="4" s="1"/>
  <c r="DO581" i="4" s="1"/>
  <c r="BP581" i="4"/>
  <c r="CB581" i="4" s="1"/>
  <c r="CN581" i="4" s="1"/>
  <c r="BQ581" i="4"/>
  <c r="CC581" i="4" s="1"/>
  <c r="CO581" i="4" s="1"/>
  <c r="BR581" i="4"/>
  <c r="BS581" i="4"/>
  <c r="CE581" i="4" s="1"/>
  <c r="CQ581" i="4" s="1"/>
  <c r="BT581" i="4"/>
  <c r="BU581" i="4"/>
  <c r="BV581" i="4"/>
  <c r="CH581" i="4" s="1"/>
  <c r="CT581" i="4" s="1"/>
  <c r="BW581" i="4"/>
  <c r="CI581" i="4" s="1"/>
  <c r="CU581" i="4" s="1"/>
  <c r="DW581" i="4" s="1"/>
  <c r="BX581" i="4"/>
  <c r="CJ581" i="4" s="1"/>
  <c r="CV581" i="4" s="1"/>
  <c r="BY581" i="4"/>
  <c r="CK581" i="4" s="1"/>
  <c r="CW581" i="4" s="1"/>
  <c r="CD581" i="4"/>
  <c r="CP581" i="4" s="1"/>
  <c r="CF581" i="4"/>
  <c r="CR581" i="4" s="1"/>
  <c r="CG581" i="4"/>
  <c r="CS581" i="4" s="1"/>
  <c r="DU581" i="4" s="1"/>
  <c r="CL581" i="4"/>
  <c r="CZ581" i="4"/>
  <c r="DA581" i="4"/>
  <c r="DB581" i="4"/>
  <c r="DP581" i="4" s="1"/>
  <c r="DC581" i="4"/>
  <c r="DD581" i="4"/>
  <c r="DR581" i="4" s="1"/>
  <c r="DE581" i="4"/>
  <c r="DF581" i="4"/>
  <c r="DG581" i="4"/>
  <c r="DH581" i="4"/>
  <c r="DI581" i="4"/>
  <c r="DJ581" i="4"/>
  <c r="DX581" i="4" s="1"/>
  <c r="DK581" i="4"/>
  <c r="BN582" i="4"/>
  <c r="BZ582" i="4" s="1"/>
  <c r="CL582" i="4" s="1"/>
  <c r="BO582" i="4"/>
  <c r="CA582" i="4" s="1"/>
  <c r="CM582" i="4" s="1"/>
  <c r="BP582" i="4"/>
  <c r="BQ582" i="4"/>
  <c r="CC582" i="4" s="1"/>
  <c r="BR582" i="4"/>
  <c r="CD582" i="4" s="1"/>
  <c r="CP582" i="4" s="1"/>
  <c r="DR582" i="4" s="1"/>
  <c r="BS582" i="4"/>
  <c r="CE582" i="4" s="1"/>
  <c r="CQ582" i="4" s="1"/>
  <c r="BT582" i="4"/>
  <c r="CF582" i="4" s="1"/>
  <c r="CR582" i="4" s="1"/>
  <c r="BU582" i="4"/>
  <c r="BV582" i="4"/>
  <c r="CH582" i="4" s="1"/>
  <c r="BW582" i="4"/>
  <c r="CI582" i="4" s="1"/>
  <c r="CU582" i="4" s="1"/>
  <c r="BX582" i="4"/>
  <c r="CJ582" i="4" s="1"/>
  <c r="CV582" i="4" s="1"/>
  <c r="BY582" i="4"/>
  <c r="CK582" i="4" s="1"/>
  <c r="CB582" i="4"/>
  <c r="CN582" i="4" s="1"/>
  <c r="CG582" i="4"/>
  <c r="CS582" i="4" s="1"/>
  <c r="CO582" i="4"/>
  <c r="CT582" i="4"/>
  <c r="CW582" i="4"/>
  <c r="CZ582" i="4"/>
  <c r="DA582" i="4"/>
  <c r="DB582" i="4"/>
  <c r="DC582" i="4"/>
  <c r="DD582" i="4"/>
  <c r="DE582" i="4"/>
  <c r="DF582" i="4"/>
  <c r="DG582" i="4"/>
  <c r="DU582" i="4" s="1"/>
  <c r="DH582" i="4"/>
  <c r="DI582" i="4"/>
  <c r="DJ582" i="4"/>
  <c r="DX582" i="4" s="1"/>
  <c r="DK582" i="4"/>
  <c r="BN583" i="4"/>
  <c r="BO583" i="4"/>
  <c r="CA583" i="4" s="1"/>
  <c r="CM583" i="4" s="1"/>
  <c r="BP583" i="4"/>
  <c r="BQ583" i="4"/>
  <c r="BR583" i="4"/>
  <c r="CD583" i="4" s="1"/>
  <c r="CP583" i="4" s="1"/>
  <c r="BS583" i="4"/>
  <c r="CE583" i="4" s="1"/>
  <c r="CQ583" i="4" s="1"/>
  <c r="BT583" i="4"/>
  <c r="CF583" i="4" s="1"/>
  <c r="CR583" i="4" s="1"/>
  <c r="BU583" i="4"/>
  <c r="CG583" i="4" s="1"/>
  <c r="CS583" i="4" s="1"/>
  <c r="BV583" i="4"/>
  <c r="BW583" i="4"/>
  <c r="CI583" i="4" s="1"/>
  <c r="BX583" i="4"/>
  <c r="CJ583" i="4" s="1"/>
  <c r="CV583" i="4" s="1"/>
  <c r="BY583" i="4"/>
  <c r="BZ583" i="4"/>
  <c r="CL583" i="4" s="1"/>
  <c r="CB583" i="4"/>
  <c r="CN583" i="4" s="1"/>
  <c r="CC583" i="4"/>
  <c r="CO583" i="4" s="1"/>
  <c r="DQ583" i="4" s="1"/>
  <c r="CH583" i="4"/>
  <c r="CT583" i="4" s="1"/>
  <c r="CK583" i="4"/>
  <c r="CU583" i="4"/>
  <c r="CW583" i="4"/>
  <c r="CZ583" i="4"/>
  <c r="DA583" i="4"/>
  <c r="DB583" i="4"/>
  <c r="DP583" i="4" s="1"/>
  <c r="DC583" i="4"/>
  <c r="DD583" i="4"/>
  <c r="DE583" i="4"/>
  <c r="DS583" i="4" s="1"/>
  <c r="DF583" i="4"/>
  <c r="DG583" i="4"/>
  <c r="DH583" i="4"/>
  <c r="DI583" i="4"/>
  <c r="DJ583" i="4"/>
  <c r="DK583" i="4"/>
  <c r="DV583" i="4"/>
  <c r="DX583" i="4"/>
  <c r="BN584" i="4"/>
  <c r="BZ584" i="4" s="1"/>
  <c r="CL584" i="4" s="1"/>
  <c r="DN584" i="4" s="1"/>
  <c r="BO584" i="4"/>
  <c r="BP584" i="4"/>
  <c r="CB584" i="4" s="1"/>
  <c r="BQ584" i="4"/>
  <c r="CC584" i="4" s="1"/>
  <c r="CO584" i="4" s="1"/>
  <c r="BR584" i="4"/>
  <c r="CD584" i="4" s="1"/>
  <c r="CP584" i="4" s="1"/>
  <c r="BS584" i="4"/>
  <c r="CE584" i="4" s="1"/>
  <c r="CQ584" i="4" s="1"/>
  <c r="BT584" i="4"/>
  <c r="BU584" i="4"/>
  <c r="CG584" i="4" s="1"/>
  <c r="CS584" i="4" s="1"/>
  <c r="BV584" i="4"/>
  <c r="BW584" i="4"/>
  <c r="BX584" i="4"/>
  <c r="CJ584" i="4" s="1"/>
  <c r="CV584" i="4" s="1"/>
  <c r="BY584" i="4"/>
  <c r="CK584" i="4" s="1"/>
  <c r="CW584" i="4" s="1"/>
  <c r="CA584" i="4"/>
  <c r="CM584" i="4" s="1"/>
  <c r="CF584" i="4"/>
  <c r="CR584" i="4" s="1"/>
  <c r="DT584" i="4" s="1"/>
  <c r="CH584" i="4"/>
  <c r="CT584" i="4" s="1"/>
  <c r="CI584" i="4"/>
  <c r="CN584" i="4"/>
  <c r="CU584" i="4"/>
  <c r="DW584" i="4" s="1"/>
  <c r="CZ584" i="4"/>
  <c r="DA584" i="4"/>
  <c r="DB584" i="4"/>
  <c r="DC584" i="4"/>
  <c r="DD584" i="4"/>
  <c r="DR584" i="4" s="1"/>
  <c r="DE584" i="4"/>
  <c r="DF584" i="4"/>
  <c r="DG584" i="4"/>
  <c r="DH584" i="4"/>
  <c r="DI584" i="4"/>
  <c r="DJ584" i="4"/>
  <c r="DK584" i="4"/>
  <c r="BN585" i="4"/>
  <c r="BZ585" i="4" s="1"/>
  <c r="CL585" i="4" s="1"/>
  <c r="BO585" i="4"/>
  <c r="BP585" i="4"/>
  <c r="CB585" i="4" s="1"/>
  <c r="CN585" i="4" s="1"/>
  <c r="BQ585" i="4"/>
  <c r="CC585" i="4" s="1"/>
  <c r="CO585" i="4" s="1"/>
  <c r="DQ585" i="4" s="1"/>
  <c r="BR585" i="4"/>
  <c r="CD585" i="4" s="1"/>
  <c r="CP585" i="4" s="1"/>
  <c r="DR585" i="4" s="1"/>
  <c r="BS585" i="4"/>
  <c r="CE585" i="4" s="1"/>
  <c r="BT585" i="4"/>
  <c r="BU585" i="4"/>
  <c r="CG585" i="4" s="1"/>
  <c r="CS585" i="4" s="1"/>
  <c r="BV585" i="4"/>
  <c r="CH585" i="4" s="1"/>
  <c r="BW585" i="4"/>
  <c r="BX585" i="4"/>
  <c r="CJ585" i="4" s="1"/>
  <c r="CV585" i="4" s="1"/>
  <c r="BY585" i="4"/>
  <c r="CK585" i="4" s="1"/>
  <c r="CW585" i="4" s="1"/>
  <c r="DY585" i="4" s="1"/>
  <c r="CA585" i="4"/>
  <c r="CM585" i="4" s="1"/>
  <c r="CF585" i="4"/>
  <c r="CR585" i="4" s="1"/>
  <c r="CI585" i="4"/>
  <c r="CU585" i="4" s="1"/>
  <c r="CQ585" i="4"/>
  <c r="CT585" i="4"/>
  <c r="CZ585" i="4"/>
  <c r="DA585" i="4"/>
  <c r="DB585" i="4"/>
  <c r="DC585" i="4"/>
  <c r="DD585" i="4"/>
  <c r="DE585" i="4"/>
  <c r="DF585" i="4"/>
  <c r="DT585" i="4" s="1"/>
  <c r="DG585" i="4"/>
  <c r="DH585" i="4"/>
  <c r="DI585" i="4"/>
  <c r="DJ585" i="4"/>
  <c r="DK585" i="4"/>
  <c r="DW585" i="4"/>
  <c r="BN586" i="4"/>
  <c r="BZ586" i="4" s="1"/>
  <c r="CL586" i="4" s="1"/>
  <c r="BO586" i="4"/>
  <c r="CA586" i="4" s="1"/>
  <c r="CM586" i="4" s="1"/>
  <c r="BP586" i="4"/>
  <c r="BQ586" i="4"/>
  <c r="CC586" i="4" s="1"/>
  <c r="BR586" i="4"/>
  <c r="CD586" i="4" s="1"/>
  <c r="CP586" i="4" s="1"/>
  <c r="DR586" i="4" s="1"/>
  <c r="BS586" i="4"/>
  <c r="CE586" i="4" s="1"/>
  <c r="CQ586" i="4" s="1"/>
  <c r="DS586" i="4" s="1"/>
  <c r="BT586" i="4"/>
  <c r="CF586" i="4" s="1"/>
  <c r="BU586" i="4"/>
  <c r="BV586" i="4"/>
  <c r="CH586" i="4" s="1"/>
  <c r="CT586" i="4" s="1"/>
  <c r="BW586" i="4"/>
  <c r="CI586" i="4" s="1"/>
  <c r="BX586" i="4"/>
  <c r="BY586" i="4"/>
  <c r="CK586" i="4" s="1"/>
  <c r="CW586" i="4" s="1"/>
  <c r="CB586" i="4"/>
  <c r="CN586" i="4" s="1"/>
  <c r="DP586" i="4" s="1"/>
  <c r="CG586" i="4"/>
  <c r="CS586" i="4" s="1"/>
  <c r="CJ586" i="4"/>
  <c r="CV586" i="4" s="1"/>
  <c r="CO586" i="4"/>
  <c r="CR586" i="4"/>
  <c r="CU586" i="4"/>
  <c r="CZ586" i="4"/>
  <c r="DA586" i="4"/>
  <c r="DM586" i="4" s="1"/>
  <c r="DB586" i="4"/>
  <c r="DC586" i="4"/>
  <c r="DD586" i="4"/>
  <c r="DE586" i="4"/>
  <c r="DF586" i="4"/>
  <c r="DG586" i="4"/>
  <c r="DU586" i="4" s="1"/>
  <c r="DH586" i="4"/>
  <c r="DI586" i="4"/>
  <c r="DJ586" i="4"/>
  <c r="DK586" i="4"/>
  <c r="DY586" i="4" s="1"/>
  <c r="DX586" i="4"/>
  <c r="BN587" i="4"/>
  <c r="BZ587" i="4" s="1"/>
  <c r="CL587" i="4" s="1"/>
  <c r="DN587" i="4" s="1"/>
  <c r="BO587" i="4"/>
  <c r="CA587" i="4" s="1"/>
  <c r="CM587" i="4" s="1"/>
  <c r="BP587" i="4"/>
  <c r="BQ587" i="4"/>
  <c r="CC587" i="4" s="1"/>
  <c r="CO587" i="4" s="1"/>
  <c r="BR587" i="4"/>
  <c r="CD587" i="4" s="1"/>
  <c r="CP587" i="4" s="1"/>
  <c r="BS587" i="4"/>
  <c r="CE587" i="4" s="1"/>
  <c r="CQ587" i="4" s="1"/>
  <c r="BT587" i="4"/>
  <c r="CF587" i="4" s="1"/>
  <c r="CR587" i="4" s="1"/>
  <c r="BU587" i="4"/>
  <c r="CG587" i="4" s="1"/>
  <c r="CS587" i="4" s="1"/>
  <c r="BV587" i="4"/>
  <c r="CH587" i="4" s="1"/>
  <c r="CT587" i="4" s="1"/>
  <c r="BW587" i="4"/>
  <c r="CI587" i="4" s="1"/>
  <c r="CU587" i="4" s="1"/>
  <c r="BX587" i="4"/>
  <c r="BY587" i="4"/>
  <c r="CB587" i="4"/>
  <c r="CN587" i="4" s="1"/>
  <c r="DP587" i="4" s="1"/>
  <c r="CJ587" i="4"/>
  <c r="CV587" i="4" s="1"/>
  <c r="DX587" i="4" s="1"/>
  <c r="CK587" i="4"/>
  <c r="CW587" i="4" s="1"/>
  <c r="CZ587" i="4"/>
  <c r="DA587" i="4"/>
  <c r="DB587" i="4"/>
  <c r="DC587" i="4"/>
  <c r="DD587" i="4"/>
  <c r="DE587" i="4"/>
  <c r="DS587" i="4" s="1"/>
  <c r="DF587" i="4"/>
  <c r="DT587" i="4" s="1"/>
  <c r="DG587" i="4"/>
  <c r="DU587" i="4" s="1"/>
  <c r="DH587" i="4"/>
  <c r="DI587" i="4"/>
  <c r="DJ587" i="4"/>
  <c r="DK587" i="4"/>
  <c r="BN588" i="4"/>
  <c r="BO588" i="4"/>
  <c r="CA588" i="4" s="1"/>
  <c r="CM588" i="4" s="1"/>
  <c r="BP588" i="4"/>
  <c r="CB588" i="4" s="1"/>
  <c r="BQ588" i="4"/>
  <c r="CC588" i="4" s="1"/>
  <c r="CO588" i="4" s="1"/>
  <c r="DQ588" i="4" s="1"/>
  <c r="BR588" i="4"/>
  <c r="CD588" i="4" s="1"/>
  <c r="CP588" i="4" s="1"/>
  <c r="BS588" i="4"/>
  <c r="CE588" i="4" s="1"/>
  <c r="CQ588" i="4" s="1"/>
  <c r="DS588" i="4" s="1"/>
  <c r="BT588" i="4"/>
  <c r="BU588" i="4"/>
  <c r="CG588" i="4" s="1"/>
  <c r="CS588" i="4" s="1"/>
  <c r="BV588" i="4"/>
  <c r="BW588" i="4"/>
  <c r="CI588" i="4" s="1"/>
  <c r="CU588" i="4" s="1"/>
  <c r="BX588" i="4"/>
  <c r="CJ588" i="4" s="1"/>
  <c r="BY588" i="4"/>
  <c r="CK588" i="4" s="1"/>
  <c r="CW588" i="4" s="1"/>
  <c r="DY588" i="4" s="1"/>
  <c r="BZ588" i="4"/>
  <c r="CL588" i="4" s="1"/>
  <c r="CF588" i="4"/>
  <c r="CR588" i="4" s="1"/>
  <c r="CH588" i="4"/>
  <c r="CT588" i="4" s="1"/>
  <c r="CN588" i="4"/>
  <c r="CV588" i="4"/>
  <c r="CZ588" i="4"/>
  <c r="DA588" i="4"/>
  <c r="DB588" i="4"/>
  <c r="DP588" i="4" s="1"/>
  <c r="DC588" i="4"/>
  <c r="DD588" i="4"/>
  <c r="DE588" i="4"/>
  <c r="DF588" i="4"/>
  <c r="DG588" i="4"/>
  <c r="DH588" i="4"/>
  <c r="DI588" i="4"/>
  <c r="DJ588" i="4"/>
  <c r="DK588" i="4"/>
  <c r="BN589" i="4"/>
  <c r="BZ589" i="4" s="1"/>
  <c r="CL589" i="4" s="1"/>
  <c r="BO589" i="4"/>
  <c r="CA589" i="4" s="1"/>
  <c r="CM589" i="4" s="1"/>
  <c r="BP589" i="4"/>
  <c r="CB589" i="4" s="1"/>
  <c r="CN589" i="4" s="1"/>
  <c r="BQ589" i="4"/>
  <c r="CC589" i="4" s="1"/>
  <c r="CO589" i="4" s="1"/>
  <c r="DQ589" i="4" s="1"/>
  <c r="BR589" i="4"/>
  <c r="BS589" i="4"/>
  <c r="CE589" i="4" s="1"/>
  <c r="BT589" i="4"/>
  <c r="BU589" i="4"/>
  <c r="CG589" i="4" s="1"/>
  <c r="CS589" i="4" s="1"/>
  <c r="BV589" i="4"/>
  <c r="CH589" i="4" s="1"/>
  <c r="CT589" i="4" s="1"/>
  <c r="BW589" i="4"/>
  <c r="BX589" i="4"/>
  <c r="CJ589" i="4" s="1"/>
  <c r="CV589" i="4" s="1"/>
  <c r="BY589" i="4"/>
  <c r="CK589" i="4" s="1"/>
  <c r="CW589" i="4" s="1"/>
  <c r="CD589" i="4"/>
  <c r="CP589" i="4" s="1"/>
  <c r="DR589" i="4" s="1"/>
  <c r="CF589" i="4"/>
  <c r="CR589" i="4" s="1"/>
  <c r="CI589" i="4"/>
  <c r="CU589" i="4" s="1"/>
  <c r="CQ589" i="4"/>
  <c r="CZ589" i="4"/>
  <c r="DA589" i="4"/>
  <c r="DB589" i="4"/>
  <c r="DP589" i="4" s="1"/>
  <c r="DC589" i="4"/>
  <c r="DD589" i="4"/>
  <c r="DE589" i="4"/>
  <c r="DF589" i="4"/>
  <c r="DG589" i="4"/>
  <c r="DH589" i="4"/>
  <c r="DI589" i="4"/>
  <c r="DJ589" i="4"/>
  <c r="DK589" i="4"/>
  <c r="BN590" i="4"/>
  <c r="BZ590" i="4" s="1"/>
  <c r="CL590" i="4" s="1"/>
  <c r="BO590" i="4"/>
  <c r="BP590" i="4"/>
  <c r="CB590" i="4" s="1"/>
  <c r="CN590" i="4" s="1"/>
  <c r="BQ590" i="4"/>
  <c r="CC590" i="4" s="1"/>
  <c r="CO590" i="4" s="1"/>
  <c r="BR590" i="4"/>
  <c r="CD590" i="4" s="1"/>
  <c r="CP590" i="4" s="1"/>
  <c r="BS590" i="4"/>
  <c r="BT590" i="4"/>
  <c r="CF590" i="4" s="1"/>
  <c r="CR590" i="4" s="1"/>
  <c r="BU590" i="4"/>
  <c r="BV590" i="4"/>
  <c r="CH590" i="4" s="1"/>
  <c r="CT590" i="4" s="1"/>
  <c r="BW590" i="4"/>
  <c r="BX590" i="4"/>
  <c r="CJ590" i="4" s="1"/>
  <c r="CV590" i="4" s="1"/>
  <c r="BY590" i="4"/>
  <c r="CK590" i="4" s="1"/>
  <c r="CW590" i="4" s="1"/>
  <c r="CA590" i="4"/>
  <c r="CM590" i="4" s="1"/>
  <c r="DO590" i="4" s="1"/>
  <c r="CE590" i="4"/>
  <c r="CQ590" i="4" s="1"/>
  <c r="DS590" i="4" s="1"/>
  <c r="CG590" i="4"/>
  <c r="CS590" i="4" s="1"/>
  <c r="CI590" i="4"/>
  <c r="CU590" i="4"/>
  <c r="DW590" i="4" s="1"/>
  <c r="CZ590" i="4"/>
  <c r="DA590" i="4"/>
  <c r="DB590" i="4"/>
  <c r="DP590" i="4" s="1"/>
  <c r="DC590" i="4"/>
  <c r="DD590" i="4"/>
  <c r="DE590" i="4"/>
  <c r="DF590" i="4"/>
  <c r="DG590" i="4"/>
  <c r="DH590" i="4"/>
  <c r="DV590" i="4" s="1"/>
  <c r="DI590" i="4"/>
  <c r="DJ590" i="4"/>
  <c r="DX590" i="4" s="1"/>
  <c r="DK590" i="4"/>
  <c r="BN591" i="4"/>
  <c r="BO591" i="4"/>
  <c r="CA591" i="4" s="1"/>
  <c r="BP591" i="4"/>
  <c r="CB591" i="4" s="1"/>
  <c r="CN591" i="4" s="1"/>
  <c r="BQ591" i="4"/>
  <c r="CC591" i="4" s="1"/>
  <c r="CO591" i="4" s="1"/>
  <c r="BR591" i="4"/>
  <c r="CD591" i="4" s="1"/>
  <c r="CP591" i="4" s="1"/>
  <c r="BS591" i="4"/>
  <c r="BT591" i="4"/>
  <c r="CF591" i="4" s="1"/>
  <c r="CR591" i="4" s="1"/>
  <c r="BU591" i="4"/>
  <c r="BV591" i="4"/>
  <c r="CH591" i="4" s="1"/>
  <c r="CT591" i="4" s="1"/>
  <c r="BW591" i="4"/>
  <c r="CI591" i="4" s="1"/>
  <c r="BX591" i="4"/>
  <c r="CJ591" i="4" s="1"/>
  <c r="CV591" i="4" s="1"/>
  <c r="BY591" i="4"/>
  <c r="CK591" i="4" s="1"/>
  <c r="CW591" i="4" s="1"/>
  <c r="BZ591" i="4"/>
  <c r="CL591" i="4" s="1"/>
  <c r="CE591" i="4"/>
  <c r="CQ591" i="4" s="1"/>
  <c r="DS591" i="4" s="1"/>
  <c r="CG591" i="4"/>
  <c r="CS591" i="4" s="1"/>
  <c r="DU591" i="4" s="1"/>
  <c r="CM591" i="4"/>
  <c r="CU591" i="4"/>
  <c r="CZ591" i="4"/>
  <c r="DN591" i="4" s="1"/>
  <c r="DA591" i="4"/>
  <c r="DB591" i="4"/>
  <c r="DP591" i="4" s="1"/>
  <c r="DC591" i="4"/>
  <c r="DD591" i="4"/>
  <c r="DE591" i="4"/>
  <c r="DF591" i="4"/>
  <c r="DT591" i="4" s="1"/>
  <c r="DG591" i="4"/>
  <c r="DH591" i="4"/>
  <c r="DV591" i="4" s="1"/>
  <c r="DI591" i="4"/>
  <c r="DJ591" i="4"/>
  <c r="DK591" i="4"/>
  <c r="DY591" i="4" s="1"/>
  <c r="BN592" i="4"/>
  <c r="BO592" i="4"/>
  <c r="BP592" i="4"/>
  <c r="CB592" i="4" s="1"/>
  <c r="CN592" i="4" s="1"/>
  <c r="BQ592" i="4"/>
  <c r="CC592" i="4" s="1"/>
  <c r="CO592" i="4" s="1"/>
  <c r="BR592" i="4"/>
  <c r="CD592" i="4" s="1"/>
  <c r="CP592" i="4" s="1"/>
  <c r="BS592" i="4"/>
  <c r="BT592" i="4"/>
  <c r="BU592" i="4"/>
  <c r="CG592" i="4" s="1"/>
  <c r="CS592" i="4" s="1"/>
  <c r="BV592" i="4"/>
  <c r="CH592" i="4" s="1"/>
  <c r="CT592" i="4" s="1"/>
  <c r="BW592" i="4"/>
  <c r="BX592" i="4"/>
  <c r="CJ592" i="4" s="1"/>
  <c r="CV592" i="4" s="1"/>
  <c r="BY592" i="4"/>
  <c r="CK592" i="4" s="1"/>
  <c r="CW592" i="4" s="1"/>
  <c r="BZ592" i="4"/>
  <c r="CL592" i="4" s="1"/>
  <c r="DN592" i="4" s="1"/>
  <c r="CA592" i="4"/>
  <c r="CE592" i="4"/>
  <c r="CQ592" i="4" s="1"/>
  <c r="CF592" i="4"/>
  <c r="CR592" i="4" s="1"/>
  <c r="DT592" i="4" s="1"/>
  <c r="CI592" i="4"/>
  <c r="CU592" i="4" s="1"/>
  <c r="CM592" i="4"/>
  <c r="CZ592" i="4"/>
  <c r="DA592" i="4"/>
  <c r="DB592" i="4"/>
  <c r="DC592" i="4"/>
  <c r="DD592" i="4"/>
  <c r="DE592" i="4"/>
  <c r="DF592" i="4"/>
  <c r="DG592" i="4"/>
  <c r="DH592" i="4"/>
  <c r="DV592" i="4" s="1"/>
  <c r="DI592" i="4"/>
  <c r="DW592" i="4" s="1"/>
  <c r="DJ592" i="4"/>
  <c r="DK592" i="4"/>
  <c r="BN593" i="4"/>
  <c r="BZ593" i="4" s="1"/>
  <c r="BO593" i="4"/>
  <c r="BP593" i="4"/>
  <c r="BQ593" i="4"/>
  <c r="CC593" i="4" s="1"/>
  <c r="BR593" i="4"/>
  <c r="CD593" i="4" s="1"/>
  <c r="CP593" i="4" s="1"/>
  <c r="BS593" i="4"/>
  <c r="CE593" i="4" s="1"/>
  <c r="CQ593" i="4" s="1"/>
  <c r="BT593" i="4"/>
  <c r="CF593" i="4" s="1"/>
  <c r="CR593" i="4" s="1"/>
  <c r="BU593" i="4"/>
  <c r="CG593" i="4" s="1"/>
  <c r="CS593" i="4" s="1"/>
  <c r="BV593" i="4"/>
  <c r="CH593" i="4" s="1"/>
  <c r="CT593" i="4" s="1"/>
  <c r="BW593" i="4"/>
  <c r="CI593" i="4" s="1"/>
  <c r="CU593" i="4" s="1"/>
  <c r="BX593" i="4"/>
  <c r="CJ593" i="4" s="1"/>
  <c r="BY593" i="4"/>
  <c r="CK593" i="4" s="1"/>
  <c r="CW593" i="4" s="1"/>
  <c r="CA593" i="4"/>
  <c r="CM593" i="4" s="1"/>
  <c r="DO593" i="4" s="1"/>
  <c r="CB593" i="4"/>
  <c r="CN593" i="4" s="1"/>
  <c r="CL593" i="4"/>
  <c r="CO593" i="4"/>
  <c r="CV593" i="4"/>
  <c r="DX593" i="4" s="1"/>
  <c r="CZ593" i="4"/>
  <c r="DA593" i="4"/>
  <c r="DB593" i="4"/>
  <c r="DC593" i="4"/>
  <c r="DD593" i="4"/>
  <c r="DE593" i="4"/>
  <c r="DF593" i="4"/>
  <c r="DG593" i="4"/>
  <c r="DH593" i="4"/>
  <c r="DI593" i="4"/>
  <c r="DJ593" i="4"/>
  <c r="DK593" i="4"/>
  <c r="BN594" i="4"/>
  <c r="BZ594" i="4" s="1"/>
  <c r="CL594" i="4" s="1"/>
  <c r="DN594" i="4" s="1"/>
  <c r="BO594" i="4"/>
  <c r="CA594" i="4" s="1"/>
  <c r="CM594" i="4" s="1"/>
  <c r="DO594" i="4" s="1"/>
  <c r="BP594" i="4"/>
  <c r="CB594" i="4" s="1"/>
  <c r="CN594" i="4" s="1"/>
  <c r="BQ594" i="4"/>
  <c r="CC594" i="4" s="1"/>
  <c r="BR594" i="4"/>
  <c r="CD594" i="4" s="1"/>
  <c r="CP594" i="4" s="1"/>
  <c r="BS594" i="4"/>
  <c r="BT594" i="4"/>
  <c r="CF594" i="4" s="1"/>
  <c r="CR594" i="4" s="1"/>
  <c r="BU594" i="4"/>
  <c r="BV594" i="4"/>
  <c r="CH594" i="4" s="1"/>
  <c r="CT594" i="4" s="1"/>
  <c r="DV594" i="4" s="1"/>
  <c r="BW594" i="4"/>
  <c r="CI594" i="4" s="1"/>
  <c r="CU594" i="4" s="1"/>
  <c r="DW594" i="4" s="1"/>
  <c r="BX594" i="4"/>
  <c r="CJ594" i="4" s="1"/>
  <c r="CV594" i="4" s="1"/>
  <c r="BY594" i="4"/>
  <c r="CK594" i="4" s="1"/>
  <c r="CE594" i="4"/>
  <c r="CQ594" i="4" s="1"/>
  <c r="DS594" i="4" s="1"/>
  <c r="CG594" i="4"/>
  <c r="CS594" i="4" s="1"/>
  <c r="CO594" i="4"/>
  <c r="CW594" i="4"/>
  <c r="CZ594" i="4"/>
  <c r="DA594" i="4"/>
  <c r="DB594" i="4"/>
  <c r="DC594" i="4"/>
  <c r="DQ594" i="4" s="1"/>
  <c r="DD594" i="4"/>
  <c r="DE594" i="4"/>
  <c r="DF594" i="4"/>
  <c r="DG594" i="4"/>
  <c r="DU594" i="4" s="1"/>
  <c r="DH594" i="4"/>
  <c r="DI594" i="4"/>
  <c r="DJ594" i="4"/>
  <c r="DK594" i="4"/>
  <c r="DY594" i="4" s="1"/>
  <c r="DR594" i="4"/>
  <c r="BN595" i="4"/>
  <c r="BZ595" i="4" s="1"/>
  <c r="CL595" i="4" s="1"/>
  <c r="DN595" i="4" s="1"/>
  <c r="BO595" i="4"/>
  <c r="CA595" i="4" s="1"/>
  <c r="BP595" i="4"/>
  <c r="BQ595" i="4"/>
  <c r="CC595" i="4" s="1"/>
  <c r="BR595" i="4"/>
  <c r="CD595" i="4" s="1"/>
  <c r="CP595" i="4" s="1"/>
  <c r="DR595" i="4" s="1"/>
  <c r="BS595" i="4"/>
  <c r="BT595" i="4"/>
  <c r="BU595" i="4"/>
  <c r="CG595" i="4" s="1"/>
  <c r="CS595" i="4" s="1"/>
  <c r="BV595" i="4"/>
  <c r="CH595" i="4" s="1"/>
  <c r="CT595" i="4" s="1"/>
  <c r="DV595" i="4" s="1"/>
  <c r="BW595" i="4"/>
  <c r="CI595" i="4" s="1"/>
  <c r="CU595" i="4" s="1"/>
  <c r="BX595" i="4"/>
  <c r="BY595" i="4"/>
  <c r="CK595" i="4" s="1"/>
  <c r="CW595" i="4" s="1"/>
  <c r="CB595" i="4"/>
  <c r="CN595" i="4" s="1"/>
  <c r="CE595" i="4"/>
  <c r="CQ595" i="4" s="1"/>
  <c r="CF595" i="4"/>
  <c r="CR595" i="4" s="1"/>
  <c r="CJ595" i="4"/>
  <c r="CV595" i="4" s="1"/>
  <c r="CM595" i="4"/>
  <c r="CO595" i="4"/>
  <c r="CZ595" i="4"/>
  <c r="DA595" i="4"/>
  <c r="DB595" i="4"/>
  <c r="DP595" i="4" s="1"/>
  <c r="DC595" i="4"/>
  <c r="DQ595" i="4" s="1"/>
  <c r="DD595" i="4"/>
  <c r="DE595" i="4"/>
  <c r="DF595" i="4"/>
  <c r="DG595" i="4"/>
  <c r="DH595" i="4"/>
  <c r="DI595" i="4"/>
  <c r="DW595" i="4" s="1"/>
  <c r="DJ595" i="4"/>
  <c r="DK595" i="4"/>
  <c r="BN596" i="4"/>
  <c r="BZ596" i="4" s="1"/>
  <c r="CL596" i="4" s="1"/>
  <c r="BO596" i="4"/>
  <c r="BP596" i="4"/>
  <c r="CB596" i="4" s="1"/>
  <c r="CN596" i="4" s="1"/>
  <c r="BQ596" i="4"/>
  <c r="CC596" i="4" s="1"/>
  <c r="CO596" i="4" s="1"/>
  <c r="BR596" i="4"/>
  <c r="CD596" i="4" s="1"/>
  <c r="CP596" i="4" s="1"/>
  <c r="BS596" i="4"/>
  <c r="CE596" i="4" s="1"/>
  <c r="CQ596" i="4" s="1"/>
  <c r="DS596" i="4" s="1"/>
  <c r="BT596" i="4"/>
  <c r="BU596" i="4"/>
  <c r="CG596" i="4" s="1"/>
  <c r="CS596" i="4" s="1"/>
  <c r="BV596" i="4"/>
  <c r="CH596" i="4" s="1"/>
  <c r="CT596" i="4" s="1"/>
  <c r="BW596" i="4"/>
  <c r="CI596" i="4" s="1"/>
  <c r="CU596" i="4" s="1"/>
  <c r="BX596" i="4"/>
  <c r="BY596" i="4"/>
  <c r="CK596" i="4" s="1"/>
  <c r="CW596" i="4" s="1"/>
  <c r="CA596" i="4"/>
  <c r="CM596" i="4" s="1"/>
  <c r="CF596" i="4"/>
  <c r="CJ596" i="4"/>
  <c r="CV596" i="4" s="1"/>
  <c r="CR596" i="4"/>
  <c r="CZ596" i="4"/>
  <c r="DN596" i="4" s="1"/>
  <c r="DA596" i="4"/>
  <c r="DB596" i="4"/>
  <c r="DC596" i="4"/>
  <c r="DD596" i="4"/>
  <c r="DE596" i="4"/>
  <c r="DF596" i="4"/>
  <c r="DG596" i="4"/>
  <c r="DH596" i="4"/>
  <c r="DI596" i="4"/>
  <c r="DJ596" i="4"/>
  <c r="DK596" i="4"/>
  <c r="DY596" i="4" s="1"/>
  <c r="DQ596" i="4"/>
  <c r="BN597" i="4"/>
  <c r="BZ597" i="4" s="1"/>
  <c r="CL597" i="4" s="1"/>
  <c r="BO597" i="4"/>
  <c r="CA597" i="4" s="1"/>
  <c r="CM597" i="4" s="1"/>
  <c r="BP597" i="4"/>
  <c r="BQ597" i="4"/>
  <c r="BR597" i="4"/>
  <c r="BS597" i="4"/>
  <c r="CE597" i="4" s="1"/>
  <c r="CQ597" i="4" s="1"/>
  <c r="BT597" i="4"/>
  <c r="CF597" i="4" s="1"/>
  <c r="CR597" i="4" s="1"/>
  <c r="DT597" i="4" s="1"/>
  <c r="BU597" i="4"/>
  <c r="CG597" i="4" s="1"/>
  <c r="CS597" i="4" s="1"/>
  <c r="BV597" i="4"/>
  <c r="CH597" i="4" s="1"/>
  <c r="CT597" i="4" s="1"/>
  <c r="BW597" i="4"/>
  <c r="BX597" i="4"/>
  <c r="CJ597" i="4" s="1"/>
  <c r="BY597" i="4"/>
  <c r="CK597" i="4" s="1"/>
  <c r="CW597" i="4" s="1"/>
  <c r="DY597" i="4" s="1"/>
  <c r="CB597" i="4"/>
  <c r="CN597" i="4" s="1"/>
  <c r="DP597" i="4" s="1"/>
  <c r="CC597" i="4"/>
  <c r="CO597" i="4" s="1"/>
  <c r="DQ597" i="4" s="1"/>
  <c r="CD597" i="4"/>
  <c r="CP597" i="4" s="1"/>
  <c r="CI597" i="4"/>
  <c r="CU597" i="4" s="1"/>
  <c r="CV597" i="4"/>
  <c r="DX597" i="4" s="1"/>
  <c r="CZ597" i="4"/>
  <c r="DA597" i="4"/>
  <c r="DO597" i="4" s="1"/>
  <c r="DB597" i="4"/>
  <c r="DC597" i="4"/>
  <c r="DD597" i="4"/>
  <c r="DE597" i="4"/>
  <c r="DF597" i="4"/>
  <c r="DG597" i="4"/>
  <c r="DH597" i="4"/>
  <c r="DI597" i="4"/>
  <c r="DW597" i="4" s="1"/>
  <c r="DJ597" i="4"/>
  <c r="DK597" i="4"/>
  <c r="BN598" i="4"/>
  <c r="BZ598" i="4" s="1"/>
  <c r="CL598" i="4" s="1"/>
  <c r="BO598" i="4"/>
  <c r="CA598" i="4" s="1"/>
  <c r="CM598" i="4" s="1"/>
  <c r="BP598" i="4"/>
  <c r="BQ598" i="4"/>
  <c r="CC598" i="4" s="1"/>
  <c r="BR598" i="4"/>
  <c r="CD598" i="4" s="1"/>
  <c r="BS598" i="4"/>
  <c r="CE598" i="4" s="1"/>
  <c r="CQ598" i="4" s="1"/>
  <c r="DS598" i="4" s="1"/>
  <c r="BT598" i="4"/>
  <c r="BU598" i="4"/>
  <c r="BV598" i="4"/>
  <c r="BW598" i="4"/>
  <c r="CI598" i="4" s="1"/>
  <c r="BX598" i="4"/>
  <c r="BY598" i="4"/>
  <c r="CK598" i="4" s="1"/>
  <c r="CW598" i="4" s="1"/>
  <c r="CB598" i="4"/>
  <c r="CN598" i="4" s="1"/>
  <c r="CF598" i="4"/>
  <c r="CR598" i="4" s="1"/>
  <c r="DT598" i="4" s="1"/>
  <c r="CG598" i="4"/>
  <c r="CS598" i="4" s="1"/>
  <c r="CH598" i="4"/>
  <c r="CT598" i="4" s="1"/>
  <c r="CJ598" i="4"/>
  <c r="CV598" i="4" s="1"/>
  <c r="CO598" i="4"/>
  <c r="CP598" i="4"/>
  <c r="CU598" i="4"/>
  <c r="CZ598" i="4"/>
  <c r="DN598" i="4" s="1"/>
  <c r="DA598" i="4"/>
  <c r="DB598" i="4"/>
  <c r="DC598" i="4"/>
  <c r="DD598" i="4"/>
  <c r="DE598" i="4"/>
  <c r="DF598" i="4"/>
  <c r="DG598" i="4"/>
  <c r="DU598" i="4" s="1"/>
  <c r="DH598" i="4"/>
  <c r="DI598" i="4"/>
  <c r="DJ598" i="4"/>
  <c r="DX598" i="4" s="1"/>
  <c r="DK598" i="4"/>
  <c r="BN599" i="4"/>
  <c r="BZ599" i="4" s="1"/>
  <c r="CL599" i="4" s="1"/>
  <c r="BO599" i="4"/>
  <c r="CA599" i="4" s="1"/>
  <c r="CM599" i="4" s="1"/>
  <c r="BP599" i="4"/>
  <c r="CB599" i="4" s="1"/>
  <c r="CN599" i="4" s="1"/>
  <c r="BQ599" i="4"/>
  <c r="BR599" i="4"/>
  <c r="CD599" i="4" s="1"/>
  <c r="CP599" i="4" s="1"/>
  <c r="BS599" i="4"/>
  <c r="BT599" i="4"/>
  <c r="CF599" i="4" s="1"/>
  <c r="CR599" i="4" s="1"/>
  <c r="BU599" i="4"/>
  <c r="BV599" i="4"/>
  <c r="CH599" i="4" s="1"/>
  <c r="BW599" i="4"/>
  <c r="CI599" i="4" s="1"/>
  <c r="CU599" i="4" s="1"/>
  <c r="BX599" i="4"/>
  <c r="CJ599" i="4" s="1"/>
  <c r="CV599" i="4" s="1"/>
  <c r="BY599" i="4"/>
  <c r="CC599" i="4"/>
  <c r="CO599" i="4" s="1"/>
  <c r="CE599" i="4"/>
  <c r="CQ599" i="4" s="1"/>
  <c r="DS599" i="4" s="1"/>
  <c r="CG599" i="4"/>
  <c r="CS599" i="4" s="1"/>
  <c r="CK599" i="4"/>
  <c r="CW599" i="4" s="1"/>
  <c r="DY599" i="4" s="1"/>
  <c r="CT599" i="4"/>
  <c r="CZ599" i="4"/>
  <c r="DA599" i="4"/>
  <c r="DB599" i="4"/>
  <c r="DP599" i="4" s="1"/>
  <c r="DC599" i="4"/>
  <c r="DD599" i="4"/>
  <c r="DR599" i="4" s="1"/>
  <c r="DE599" i="4"/>
  <c r="DF599" i="4"/>
  <c r="DG599" i="4"/>
  <c r="DH599" i="4"/>
  <c r="DI599" i="4"/>
  <c r="DJ599" i="4"/>
  <c r="DX599" i="4" s="1"/>
  <c r="DK599" i="4"/>
  <c r="DU599" i="4"/>
  <c r="BN600" i="4"/>
  <c r="BZ600" i="4" s="1"/>
  <c r="CL600" i="4" s="1"/>
  <c r="DN600" i="4" s="1"/>
  <c r="BO600" i="4"/>
  <c r="CA600" i="4" s="1"/>
  <c r="CM600" i="4" s="1"/>
  <c r="BP600" i="4"/>
  <c r="CB600" i="4" s="1"/>
  <c r="CN600" i="4" s="1"/>
  <c r="DP600" i="4" s="1"/>
  <c r="BQ600" i="4"/>
  <c r="BR600" i="4"/>
  <c r="CD600" i="4" s="1"/>
  <c r="CP600" i="4" s="1"/>
  <c r="BS600" i="4"/>
  <c r="CE600" i="4" s="1"/>
  <c r="CQ600" i="4" s="1"/>
  <c r="BT600" i="4"/>
  <c r="CF600" i="4" s="1"/>
  <c r="CR600" i="4" s="1"/>
  <c r="BU600" i="4"/>
  <c r="CG600" i="4" s="1"/>
  <c r="BV600" i="4"/>
  <c r="CH600" i="4" s="1"/>
  <c r="CT600" i="4" s="1"/>
  <c r="DV600" i="4" s="1"/>
  <c r="BW600" i="4"/>
  <c r="CI600" i="4" s="1"/>
  <c r="CU600" i="4" s="1"/>
  <c r="DW600" i="4" s="1"/>
  <c r="BX600" i="4"/>
  <c r="CJ600" i="4" s="1"/>
  <c r="CV600" i="4" s="1"/>
  <c r="DX600" i="4" s="1"/>
  <c r="BY600" i="4"/>
  <c r="CC600" i="4"/>
  <c r="CO600" i="4" s="1"/>
  <c r="CK600" i="4"/>
  <c r="CW600" i="4" s="1"/>
  <c r="DY600" i="4" s="1"/>
  <c r="CS600" i="4"/>
  <c r="CZ600" i="4"/>
  <c r="DA600" i="4"/>
  <c r="DB600" i="4"/>
  <c r="DC600" i="4"/>
  <c r="DD600" i="4"/>
  <c r="DE600" i="4"/>
  <c r="DF600" i="4"/>
  <c r="DG600" i="4"/>
  <c r="DU600" i="4" s="1"/>
  <c r="DH600" i="4"/>
  <c r="DI600" i="4"/>
  <c r="DJ600" i="4"/>
  <c r="DK600" i="4"/>
  <c r="BN601" i="4"/>
  <c r="BZ601" i="4" s="1"/>
  <c r="CL601" i="4" s="1"/>
  <c r="BO601" i="4"/>
  <c r="BP601" i="4"/>
  <c r="CB601" i="4" s="1"/>
  <c r="CN601" i="4" s="1"/>
  <c r="BQ601" i="4"/>
  <c r="CC601" i="4" s="1"/>
  <c r="CO601" i="4" s="1"/>
  <c r="BR601" i="4"/>
  <c r="CD601" i="4" s="1"/>
  <c r="CP601" i="4" s="1"/>
  <c r="BS601" i="4"/>
  <c r="CE601" i="4" s="1"/>
  <c r="CQ601" i="4" s="1"/>
  <c r="BT601" i="4"/>
  <c r="BU601" i="4"/>
  <c r="CG601" i="4" s="1"/>
  <c r="CS601" i="4" s="1"/>
  <c r="DU601" i="4" s="1"/>
  <c r="BV601" i="4"/>
  <c r="BW601" i="4"/>
  <c r="BX601" i="4"/>
  <c r="BY601" i="4"/>
  <c r="CK601" i="4" s="1"/>
  <c r="CW601" i="4" s="1"/>
  <c r="CA601" i="4"/>
  <c r="CM601" i="4" s="1"/>
  <c r="CF601" i="4"/>
  <c r="CH601" i="4"/>
  <c r="CT601" i="4" s="1"/>
  <c r="CI601" i="4"/>
  <c r="CU601" i="4" s="1"/>
  <c r="CJ601" i="4"/>
  <c r="CV601" i="4" s="1"/>
  <c r="CR601" i="4"/>
  <c r="CZ601" i="4"/>
  <c r="DN601" i="4" s="1"/>
  <c r="DA601" i="4"/>
  <c r="DB601" i="4"/>
  <c r="DC601" i="4"/>
  <c r="DD601" i="4"/>
  <c r="DE601" i="4"/>
  <c r="DF601" i="4"/>
  <c r="DG601" i="4"/>
  <c r="DH601" i="4"/>
  <c r="DI601" i="4"/>
  <c r="DJ601" i="4"/>
  <c r="DK601" i="4"/>
  <c r="BN602" i="4"/>
  <c r="BZ602" i="4" s="1"/>
  <c r="CL602" i="4" s="1"/>
  <c r="BO602" i="4"/>
  <c r="BP602" i="4"/>
  <c r="CB602" i="4" s="1"/>
  <c r="CN602" i="4" s="1"/>
  <c r="DP602" i="4" s="1"/>
  <c r="BQ602" i="4"/>
  <c r="CC602" i="4" s="1"/>
  <c r="CO602" i="4" s="1"/>
  <c r="BR602" i="4"/>
  <c r="CD602" i="4" s="1"/>
  <c r="BS602" i="4"/>
  <c r="BT602" i="4"/>
  <c r="CF602" i="4" s="1"/>
  <c r="CR602" i="4" s="1"/>
  <c r="DT602" i="4" s="1"/>
  <c r="BU602" i="4"/>
  <c r="BV602" i="4"/>
  <c r="CH602" i="4" s="1"/>
  <c r="CT602" i="4" s="1"/>
  <c r="DV602" i="4" s="1"/>
  <c r="BW602" i="4"/>
  <c r="BX602" i="4"/>
  <c r="CJ602" i="4" s="1"/>
  <c r="CV602" i="4" s="1"/>
  <c r="DX602" i="4" s="1"/>
  <c r="BY602" i="4"/>
  <c r="CK602" i="4" s="1"/>
  <c r="CW602" i="4" s="1"/>
  <c r="CA602" i="4"/>
  <c r="CM602" i="4" s="1"/>
  <c r="CE602" i="4"/>
  <c r="CQ602" i="4" s="1"/>
  <c r="CG602" i="4"/>
  <c r="CS602" i="4" s="1"/>
  <c r="CI602" i="4"/>
  <c r="CP602" i="4"/>
  <c r="CU602" i="4"/>
  <c r="CZ602" i="4"/>
  <c r="DA602" i="4"/>
  <c r="DO602" i="4" s="1"/>
  <c r="DB602" i="4"/>
  <c r="DC602" i="4"/>
  <c r="DD602" i="4"/>
  <c r="DE602" i="4"/>
  <c r="DS602" i="4" s="1"/>
  <c r="DF602" i="4"/>
  <c r="DG602" i="4"/>
  <c r="DH602" i="4"/>
  <c r="DI602" i="4"/>
  <c r="DJ602" i="4"/>
  <c r="DK602" i="4"/>
  <c r="BN603" i="4"/>
  <c r="BZ603" i="4" s="1"/>
  <c r="CL603" i="4" s="1"/>
  <c r="BO603" i="4"/>
  <c r="CA603" i="4" s="1"/>
  <c r="CM603" i="4" s="1"/>
  <c r="BP603" i="4"/>
  <c r="CB603" i="4" s="1"/>
  <c r="CN603" i="4" s="1"/>
  <c r="DP603" i="4" s="1"/>
  <c r="BQ603" i="4"/>
  <c r="CC603" i="4" s="1"/>
  <c r="BR603" i="4"/>
  <c r="BS603" i="4"/>
  <c r="BT603" i="4"/>
  <c r="BU603" i="4"/>
  <c r="CG603" i="4" s="1"/>
  <c r="CS603" i="4" s="1"/>
  <c r="DU603" i="4" s="1"/>
  <c r="BV603" i="4"/>
  <c r="BW603" i="4"/>
  <c r="CI603" i="4" s="1"/>
  <c r="CU603" i="4" s="1"/>
  <c r="BX603" i="4"/>
  <c r="CJ603" i="4" s="1"/>
  <c r="CV603" i="4" s="1"/>
  <c r="DX603" i="4" s="1"/>
  <c r="BY603" i="4"/>
  <c r="CD603" i="4"/>
  <c r="CP603" i="4" s="1"/>
  <c r="CE603" i="4"/>
  <c r="CQ603" i="4" s="1"/>
  <c r="CF603" i="4"/>
  <c r="CR603" i="4" s="1"/>
  <c r="DT603" i="4" s="1"/>
  <c r="CH603" i="4"/>
  <c r="CT603" i="4" s="1"/>
  <c r="CK603" i="4"/>
  <c r="CW603" i="4" s="1"/>
  <c r="CO603" i="4"/>
  <c r="CZ603" i="4"/>
  <c r="DA603" i="4"/>
  <c r="DB603" i="4"/>
  <c r="DC603" i="4"/>
  <c r="DD603" i="4"/>
  <c r="DE603" i="4"/>
  <c r="DS603" i="4" s="1"/>
  <c r="DF603" i="4"/>
  <c r="DG603" i="4"/>
  <c r="DH603" i="4"/>
  <c r="DI603" i="4"/>
  <c r="DJ603" i="4"/>
  <c r="DK603" i="4"/>
  <c r="DY603" i="4" s="1"/>
  <c r="DR603" i="4"/>
  <c r="BN604" i="4"/>
  <c r="BZ604" i="4" s="1"/>
  <c r="CL604" i="4" s="1"/>
  <c r="BO604" i="4"/>
  <c r="BP604" i="4"/>
  <c r="CB604" i="4" s="1"/>
  <c r="CN604" i="4" s="1"/>
  <c r="DP604" i="4" s="1"/>
  <c r="BQ604" i="4"/>
  <c r="BR604" i="4"/>
  <c r="CD604" i="4" s="1"/>
  <c r="BS604" i="4"/>
  <c r="CE604" i="4" s="1"/>
  <c r="CQ604" i="4" s="1"/>
  <c r="DS604" i="4" s="1"/>
  <c r="BT604" i="4"/>
  <c r="BU604" i="4"/>
  <c r="CG604" i="4" s="1"/>
  <c r="CS604" i="4" s="1"/>
  <c r="BV604" i="4"/>
  <c r="BW604" i="4"/>
  <c r="CI604" i="4" s="1"/>
  <c r="BX604" i="4"/>
  <c r="CJ604" i="4" s="1"/>
  <c r="CV604" i="4" s="1"/>
  <c r="DX604" i="4" s="1"/>
  <c r="BY604" i="4"/>
  <c r="CK604" i="4" s="1"/>
  <c r="CW604" i="4" s="1"/>
  <c r="CA604" i="4"/>
  <c r="CM604" i="4" s="1"/>
  <c r="CC604" i="4"/>
  <c r="CO604" i="4" s="1"/>
  <c r="CF604" i="4"/>
  <c r="CR604" i="4" s="1"/>
  <c r="CH604" i="4"/>
  <c r="CP604" i="4"/>
  <c r="CT604" i="4"/>
  <c r="DV604" i="4" s="1"/>
  <c r="CU604" i="4"/>
  <c r="CZ604" i="4"/>
  <c r="DA604" i="4"/>
  <c r="DO604" i="4" s="1"/>
  <c r="DB604" i="4"/>
  <c r="DC604" i="4"/>
  <c r="DD604" i="4"/>
  <c r="DE604" i="4"/>
  <c r="DF604" i="4"/>
  <c r="DL604" i="4" s="1"/>
  <c r="DG604" i="4"/>
  <c r="DH604" i="4"/>
  <c r="DI604" i="4"/>
  <c r="DJ604" i="4"/>
  <c r="DK604" i="4"/>
  <c r="DY604" i="4"/>
  <c r="BN605" i="4"/>
  <c r="BO605" i="4"/>
  <c r="CA605" i="4" s="1"/>
  <c r="CM605" i="4" s="1"/>
  <c r="BP605" i="4"/>
  <c r="CB605" i="4" s="1"/>
  <c r="CN605" i="4" s="1"/>
  <c r="BQ605" i="4"/>
  <c r="BR605" i="4"/>
  <c r="CD605" i="4" s="1"/>
  <c r="CP605" i="4" s="1"/>
  <c r="DR605" i="4" s="1"/>
  <c r="BS605" i="4"/>
  <c r="CE605" i="4" s="1"/>
  <c r="CQ605" i="4" s="1"/>
  <c r="BT605" i="4"/>
  <c r="BU605" i="4"/>
  <c r="BV605" i="4"/>
  <c r="CH605" i="4" s="1"/>
  <c r="CT605" i="4" s="1"/>
  <c r="BW605" i="4"/>
  <c r="BX605" i="4"/>
  <c r="CJ605" i="4" s="1"/>
  <c r="CV605" i="4" s="1"/>
  <c r="BY605" i="4"/>
  <c r="CK605" i="4" s="1"/>
  <c r="CW605" i="4" s="1"/>
  <c r="DY605" i="4" s="1"/>
  <c r="BZ605" i="4"/>
  <c r="CL605" i="4" s="1"/>
  <c r="DN605" i="4" s="1"/>
  <c r="CC605" i="4"/>
  <c r="CO605" i="4" s="1"/>
  <c r="DQ605" i="4" s="1"/>
  <c r="CF605" i="4"/>
  <c r="CR605" i="4" s="1"/>
  <c r="CG605" i="4"/>
  <c r="CS605" i="4" s="1"/>
  <c r="CI605" i="4"/>
  <c r="CU605" i="4" s="1"/>
  <c r="CZ605" i="4"/>
  <c r="DA605" i="4"/>
  <c r="DB605" i="4"/>
  <c r="DC605" i="4"/>
  <c r="DD605" i="4"/>
  <c r="DE605" i="4"/>
  <c r="DS605" i="4" s="1"/>
  <c r="DF605" i="4"/>
  <c r="DG605" i="4"/>
  <c r="DH605" i="4"/>
  <c r="DI605" i="4"/>
  <c r="DJ605" i="4"/>
  <c r="DK605" i="4"/>
  <c r="BN606" i="4"/>
  <c r="BZ606" i="4" s="1"/>
  <c r="CL606" i="4" s="1"/>
  <c r="BO606" i="4"/>
  <c r="BP606" i="4"/>
  <c r="CB606" i="4" s="1"/>
  <c r="CN606" i="4" s="1"/>
  <c r="BQ606" i="4"/>
  <c r="CC606" i="4" s="1"/>
  <c r="CO606" i="4" s="1"/>
  <c r="BR606" i="4"/>
  <c r="CD606" i="4" s="1"/>
  <c r="CP606" i="4" s="1"/>
  <c r="BS606" i="4"/>
  <c r="BT606" i="4"/>
  <c r="BU606" i="4"/>
  <c r="BV606" i="4"/>
  <c r="CH606" i="4" s="1"/>
  <c r="CT606" i="4" s="1"/>
  <c r="DV606" i="4" s="1"/>
  <c r="BW606" i="4"/>
  <c r="BX606" i="4"/>
  <c r="BY606" i="4"/>
  <c r="CK606" i="4" s="1"/>
  <c r="CA606" i="4"/>
  <c r="CM606" i="4" s="1"/>
  <c r="DO606" i="4" s="1"/>
  <c r="CE606" i="4"/>
  <c r="CQ606" i="4" s="1"/>
  <c r="DS606" i="4" s="1"/>
  <c r="CF606" i="4"/>
  <c r="CR606" i="4" s="1"/>
  <c r="CG606" i="4"/>
  <c r="CS606" i="4" s="1"/>
  <c r="CI606" i="4"/>
  <c r="CU606" i="4" s="1"/>
  <c r="DW606" i="4" s="1"/>
  <c r="CJ606" i="4"/>
  <c r="CV606" i="4" s="1"/>
  <c r="CW606" i="4"/>
  <c r="CZ606" i="4"/>
  <c r="DA606" i="4"/>
  <c r="DB606" i="4"/>
  <c r="DL606" i="4" s="1"/>
  <c r="DC606" i="4"/>
  <c r="DD606" i="4"/>
  <c r="DE606" i="4"/>
  <c r="DF606" i="4"/>
  <c r="DG606" i="4"/>
  <c r="DH606" i="4"/>
  <c r="DI606" i="4"/>
  <c r="DJ606" i="4"/>
  <c r="DK606" i="4"/>
  <c r="BN607" i="4"/>
  <c r="BZ607" i="4" s="1"/>
  <c r="BO607" i="4"/>
  <c r="CA607" i="4" s="1"/>
  <c r="CM607" i="4" s="1"/>
  <c r="BP607" i="4"/>
  <c r="CB607" i="4" s="1"/>
  <c r="CN607" i="4" s="1"/>
  <c r="BQ607" i="4"/>
  <c r="BR607" i="4"/>
  <c r="BS607" i="4"/>
  <c r="CE607" i="4" s="1"/>
  <c r="CQ607" i="4" s="1"/>
  <c r="BT607" i="4"/>
  <c r="CF607" i="4" s="1"/>
  <c r="CR607" i="4" s="1"/>
  <c r="BU607" i="4"/>
  <c r="BV607" i="4"/>
  <c r="BW607" i="4"/>
  <c r="CI607" i="4" s="1"/>
  <c r="BX607" i="4"/>
  <c r="CJ607" i="4" s="1"/>
  <c r="BY607" i="4"/>
  <c r="CK607" i="4" s="1"/>
  <c r="CW607" i="4" s="1"/>
  <c r="CC607" i="4"/>
  <c r="CO607" i="4" s="1"/>
  <c r="DQ607" i="4" s="1"/>
  <c r="CD607" i="4"/>
  <c r="CP607" i="4" s="1"/>
  <c r="DR607" i="4" s="1"/>
  <c r="CG607" i="4"/>
  <c r="CS607" i="4" s="1"/>
  <c r="CH607" i="4"/>
  <c r="CT607" i="4" s="1"/>
  <c r="CL607" i="4"/>
  <c r="CU607" i="4"/>
  <c r="CV607" i="4"/>
  <c r="DX607" i="4" s="1"/>
  <c r="CZ607" i="4"/>
  <c r="DA607" i="4"/>
  <c r="DB607" i="4"/>
  <c r="DC607" i="4"/>
  <c r="DD607" i="4"/>
  <c r="DE607" i="4"/>
  <c r="DF607" i="4"/>
  <c r="DG607" i="4"/>
  <c r="DH607" i="4"/>
  <c r="DV607" i="4" s="1"/>
  <c r="DI607" i="4"/>
  <c r="DJ607" i="4"/>
  <c r="DK607" i="4"/>
  <c r="DM607" i="4"/>
  <c r="BN608" i="4"/>
  <c r="BO608" i="4"/>
  <c r="CA608" i="4" s="1"/>
  <c r="CM608" i="4" s="1"/>
  <c r="BP608" i="4"/>
  <c r="CB608" i="4" s="1"/>
  <c r="CN608" i="4" s="1"/>
  <c r="DP608" i="4" s="1"/>
  <c r="BQ608" i="4"/>
  <c r="CC608" i="4" s="1"/>
  <c r="CO608" i="4" s="1"/>
  <c r="BR608" i="4"/>
  <c r="CD608" i="4" s="1"/>
  <c r="BS608" i="4"/>
  <c r="BT608" i="4"/>
  <c r="CF608" i="4" s="1"/>
  <c r="CR608" i="4" s="1"/>
  <c r="DT608" i="4" s="1"/>
  <c r="BU608" i="4"/>
  <c r="CG608" i="4" s="1"/>
  <c r="CS608" i="4" s="1"/>
  <c r="BV608" i="4"/>
  <c r="BW608" i="4"/>
  <c r="CI608" i="4" s="1"/>
  <c r="CU608" i="4" s="1"/>
  <c r="BX608" i="4"/>
  <c r="CJ608" i="4" s="1"/>
  <c r="CV608" i="4" s="1"/>
  <c r="DX608" i="4" s="1"/>
  <c r="BY608" i="4"/>
  <c r="BZ608" i="4"/>
  <c r="CE608" i="4"/>
  <c r="CQ608" i="4" s="1"/>
  <c r="DS608" i="4" s="1"/>
  <c r="CH608" i="4"/>
  <c r="CT608" i="4" s="1"/>
  <c r="CK608" i="4"/>
  <c r="CW608" i="4" s="1"/>
  <c r="CL608" i="4"/>
  <c r="CP608" i="4"/>
  <c r="CZ608" i="4"/>
  <c r="DA608" i="4"/>
  <c r="DB608" i="4"/>
  <c r="DC608" i="4"/>
  <c r="DQ608" i="4" s="1"/>
  <c r="DD608" i="4"/>
  <c r="DL608" i="4" s="1"/>
  <c r="DE608" i="4"/>
  <c r="DF608" i="4"/>
  <c r="DG608" i="4"/>
  <c r="DH608" i="4"/>
  <c r="DI608" i="4"/>
  <c r="DJ608" i="4"/>
  <c r="DK608" i="4"/>
  <c r="DY608" i="4" s="1"/>
  <c r="BN609" i="4"/>
  <c r="BZ609" i="4" s="1"/>
  <c r="CL609" i="4" s="1"/>
  <c r="DN609" i="4" s="1"/>
  <c r="BO609" i="4"/>
  <c r="CA609" i="4" s="1"/>
  <c r="CM609" i="4" s="1"/>
  <c r="BP609" i="4"/>
  <c r="CB609" i="4" s="1"/>
  <c r="CN609" i="4" s="1"/>
  <c r="BQ609" i="4"/>
  <c r="CC609" i="4" s="1"/>
  <c r="CO609" i="4" s="1"/>
  <c r="DQ609" i="4" s="1"/>
  <c r="BR609" i="4"/>
  <c r="CD609" i="4" s="1"/>
  <c r="BS609" i="4"/>
  <c r="CE609" i="4" s="1"/>
  <c r="CQ609" i="4" s="1"/>
  <c r="BT609" i="4"/>
  <c r="CF609" i="4" s="1"/>
  <c r="CR609" i="4" s="1"/>
  <c r="BU609" i="4"/>
  <c r="CG609" i="4" s="1"/>
  <c r="CS609" i="4" s="1"/>
  <c r="DU609" i="4" s="1"/>
  <c r="BV609" i="4"/>
  <c r="CH609" i="4" s="1"/>
  <c r="CT609" i="4" s="1"/>
  <c r="BW609" i="4"/>
  <c r="CI609" i="4" s="1"/>
  <c r="CU609" i="4" s="1"/>
  <c r="BX609" i="4"/>
  <c r="CJ609" i="4" s="1"/>
  <c r="CV609" i="4" s="1"/>
  <c r="BY609" i="4"/>
  <c r="CK609" i="4"/>
  <c r="CW609" i="4" s="1"/>
  <c r="DY609" i="4" s="1"/>
  <c r="CP609" i="4"/>
  <c r="CZ609" i="4"/>
  <c r="DA609" i="4"/>
  <c r="DB609" i="4"/>
  <c r="DC609" i="4"/>
  <c r="DD609" i="4"/>
  <c r="DE609" i="4"/>
  <c r="DF609" i="4"/>
  <c r="DG609" i="4"/>
  <c r="DH609" i="4"/>
  <c r="DI609" i="4"/>
  <c r="DW609" i="4" s="1"/>
  <c r="DJ609" i="4"/>
  <c r="DX609" i="4" s="1"/>
  <c r="DK609" i="4"/>
  <c r="BN610" i="4"/>
  <c r="BZ610" i="4" s="1"/>
  <c r="CL610" i="4" s="1"/>
  <c r="DN610" i="4" s="1"/>
  <c r="BO610" i="4"/>
  <c r="CA610" i="4" s="1"/>
  <c r="CM610" i="4" s="1"/>
  <c r="DO610" i="4" s="1"/>
  <c r="BP610" i="4"/>
  <c r="CB610" i="4" s="1"/>
  <c r="BQ610" i="4"/>
  <c r="CC610" i="4" s="1"/>
  <c r="CO610" i="4" s="1"/>
  <c r="BR610" i="4"/>
  <c r="CD610" i="4" s="1"/>
  <c r="CP610" i="4" s="1"/>
  <c r="DR610" i="4" s="1"/>
  <c r="BS610" i="4"/>
  <c r="CE610" i="4" s="1"/>
  <c r="CQ610" i="4" s="1"/>
  <c r="BT610" i="4"/>
  <c r="BU610" i="4"/>
  <c r="CG610" i="4" s="1"/>
  <c r="CS610" i="4" s="1"/>
  <c r="BV610" i="4"/>
  <c r="CH610" i="4" s="1"/>
  <c r="CT610" i="4" s="1"/>
  <c r="DV610" i="4" s="1"/>
  <c r="BW610" i="4"/>
  <c r="CI610" i="4" s="1"/>
  <c r="CU610" i="4" s="1"/>
  <c r="BX610" i="4"/>
  <c r="BY610" i="4"/>
  <c r="CK610" i="4" s="1"/>
  <c r="CF610" i="4"/>
  <c r="CR610" i="4" s="1"/>
  <c r="CJ610" i="4"/>
  <c r="CV610" i="4" s="1"/>
  <c r="CN610" i="4"/>
  <c r="CW610" i="4"/>
  <c r="CZ610" i="4"/>
  <c r="DA610" i="4"/>
  <c r="DB610" i="4"/>
  <c r="DC610" i="4"/>
  <c r="DD610" i="4"/>
  <c r="DE610" i="4"/>
  <c r="DF610" i="4"/>
  <c r="DG610" i="4"/>
  <c r="DH610" i="4"/>
  <c r="DI610" i="4"/>
  <c r="DJ610" i="4"/>
  <c r="DX610" i="4" s="1"/>
  <c r="DK610" i="4"/>
  <c r="BN611" i="4"/>
  <c r="BZ611" i="4" s="1"/>
  <c r="CL611" i="4" s="1"/>
  <c r="DN611" i="4" s="1"/>
  <c r="BO611" i="4"/>
  <c r="CA611" i="4" s="1"/>
  <c r="CM611" i="4" s="1"/>
  <c r="BP611" i="4"/>
  <c r="CB611" i="4" s="1"/>
  <c r="CN611" i="4" s="1"/>
  <c r="BQ611" i="4"/>
  <c r="CC611" i="4" s="1"/>
  <c r="CO611" i="4" s="1"/>
  <c r="BR611" i="4"/>
  <c r="CD611" i="4" s="1"/>
  <c r="CP611" i="4" s="1"/>
  <c r="BS611" i="4"/>
  <c r="BT611" i="4"/>
  <c r="CF611" i="4" s="1"/>
  <c r="CR611" i="4" s="1"/>
  <c r="DT611" i="4" s="1"/>
  <c r="BU611" i="4"/>
  <c r="CG611" i="4" s="1"/>
  <c r="BV611" i="4"/>
  <c r="CH611" i="4" s="1"/>
  <c r="CT611" i="4" s="1"/>
  <c r="DV611" i="4" s="1"/>
  <c r="BW611" i="4"/>
  <c r="CI611" i="4" s="1"/>
  <c r="CU611" i="4" s="1"/>
  <c r="BX611" i="4"/>
  <c r="CJ611" i="4" s="1"/>
  <c r="CV611" i="4" s="1"/>
  <c r="BY611" i="4"/>
  <c r="CE611" i="4"/>
  <c r="CQ611" i="4" s="1"/>
  <c r="CK611" i="4"/>
  <c r="CW611" i="4" s="1"/>
  <c r="CS611" i="4"/>
  <c r="CZ611" i="4"/>
  <c r="DA611" i="4"/>
  <c r="DO611" i="4" s="1"/>
  <c r="DB611" i="4"/>
  <c r="DC611" i="4"/>
  <c r="DQ611" i="4" s="1"/>
  <c r="DD611" i="4"/>
  <c r="DE611" i="4"/>
  <c r="DS611" i="4" s="1"/>
  <c r="DF611" i="4"/>
  <c r="DG611" i="4"/>
  <c r="DH611" i="4"/>
  <c r="DI611" i="4"/>
  <c r="DW611" i="4" s="1"/>
  <c r="DJ611" i="4"/>
  <c r="DK611" i="4"/>
  <c r="BN612" i="4"/>
  <c r="BZ612" i="4" s="1"/>
  <c r="CL612" i="4" s="1"/>
  <c r="BO612" i="4"/>
  <c r="CA612" i="4" s="1"/>
  <c r="CM612" i="4" s="1"/>
  <c r="BP612" i="4"/>
  <c r="BQ612" i="4"/>
  <c r="CC612" i="4" s="1"/>
  <c r="CO612" i="4" s="1"/>
  <c r="DQ612" i="4" s="1"/>
  <c r="BR612" i="4"/>
  <c r="BS612" i="4"/>
  <c r="CE612" i="4" s="1"/>
  <c r="CQ612" i="4" s="1"/>
  <c r="DS612" i="4" s="1"/>
  <c r="BT612" i="4"/>
  <c r="CF612" i="4" s="1"/>
  <c r="CR612" i="4" s="1"/>
  <c r="BU612" i="4"/>
  <c r="CG612" i="4" s="1"/>
  <c r="CS612" i="4" s="1"/>
  <c r="BV612" i="4"/>
  <c r="BW612" i="4"/>
  <c r="CI612" i="4" s="1"/>
  <c r="CU612" i="4" s="1"/>
  <c r="BX612" i="4"/>
  <c r="BY612" i="4"/>
  <c r="CB612" i="4"/>
  <c r="CN612" i="4" s="1"/>
  <c r="CD612" i="4"/>
  <c r="CP612" i="4" s="1"/>
  <c r="CH612" i="4"/>
  <c r="CT612" i="4" s="1"/>
  <c r="CJ612" i="4"/>
  <c r="CK612" i="4"/>
  <c r="CW612" i="4" s="1"/>
  <c r="CV612" i="4"/>
  <c r="DX612" i="4" s="1"/>
  <c r="CZ612" i="4"/>
  <c r="DA612" i="4"/>
  <c r="DB612" i="4"/>
  <c r="DC612" i="4"/>
  <c r="DD612" i="4"/>
  <c r="DE612" i="4"/>
  <c r="DF612" i="4"/>
  <c r="DG612" i="4"/>
  <c r="DH612" i="4"/>
  <c r="DI612" i="4"/>
  <c r="DJ612" i="4"/>
  <c r="DK612" i="4"/>
  <c r="DY612" i="4" s="1"/>
  <c r="BN613" i="4"/>
  <c r="BZ613" i="4" s="1"/>
  <c r="BO613" i="4"/>
  <c r="CA613" i="4" s="1"/>
  <c r="CM613" i="4" s="1"/>
  <c r="BP613" i="4"/>
  <c r="CB613" i="4" s="1"/>
  <c r="CN613" i="4" s="1"/>
  <c r="BQ613" i="4"/>
  <c r="CC613" i="4" s="1"/>
  <c r="CO613" i="4" s="1"/>
  <c r="DQ613" i="4" s="1"/>
  <c r="BR613" i="4"/>
  <c r="CD613" i="4" s="1"/>
  <c r="CP613" i="4" s="1"/>
  <c r="BS613" i="4"/>
  <c r="CE613" i="4" s="1"/>
  <c r="CQ613" i="4" s="1"/>
  <c r="BT613" i="4"/>
  <c r="CF613" i="4" s="1"/>
  <c r="CR613" i="4" s="1"/>
  <c r="DT613" i="4" s="1"/>
  <c r="BU613" i="4"/>
  <c r="CG613" i="4" s="1"/>
  <c r="CS613" i="4" s="1"/>
  <c r="BV613" i="4"/>
  <c r="CH613" i="4" s="1"/>
  <c r="CT613" i="4" s="1"/>
  <c r="BW613" i="4"/>
  <c r="BX613" i="4"/>
  <c r="CJ613" i="4" s="1"/>
  <c r="CV613" i="4" s="1"/>
  <c r="BY613" i="4"/>
  <c r="CI613" i="4"/>
  <c r="CU613" i="4" s="1"/>
  <c r="CK613" i="4"/>
  <c r="CW613" i="4" s="1"/>
  <c r="DY613" i="4" s="1"/>
  <c r="CL613" i="4"/>
  <c r="CZ613" i="4"/>
  <c r="DA613" i="4"/>
  <c r="DB613" i="4"/>
  <c r="DC613" i="4"/>
  <c r="DD613" i="4"/>
  <c r="DE613" i="4"/>
  <c r="DF613" i="4"/>
  <c r="DG613" i="4"/>
  <c r="DU613" i="4" s="1"/>
  <c r="DH613" i="4"/>
  <c r="DI613" i="4"/>
  <c r="DJ613" i="4"/>
  <c r="DK613" i="4"/>
  <c r="BN614" i="4"/>
  <c r="BZ614" i="4" s="1"/>
  <c r="BO614" i="4"/>
  <c r="CA614" i="4" s="1"/>
  <c r="CM614" i="4" s="1"/>
  <c r="DO614" i="4" s="1"/>
  <c r="BP614" i="4"/>
  <c r="CB614" i="4" s="1"/>
  <c r="CN614" i="4" s="1"/>
  <c r="BQ614" i="4"/>
  <c r="CC614" i="4" s="1"/>
  <c r="BR614" i="4"/>
  <c r="BS614" i="4"/>
  <c r="CE614" i="4" s="1"/>
  <c r="CQ614" i="4" s="1"/>
  <c r="DS614" i="4" s="1"/>
  <c r="BT614" i="4"/>
  <c r="CF614" i="4" s="1"/>
  <c r="CR614" i="4" s="1"/>
  <c r="BU614" i="4"/>
  <c r="BV614" i="4"/>
  <c r="BW614" i="4"/>
  <c r="CI614" i="4" s="1"/>
  <c r="BX614" i="4"/>
  <c r="CJ614" i="4" s="1"/>
  <c r="CV614" i="4" s="1"/>
  <c r="BY614" i="4"/>
  <c r="CK614" i="4" s="1"/>
  <c r="CW614" i="4" s="1"/>
  <c r="CD614" i="4"/>
  <c r="CP614" i="4" s="1"/>
  <c r="CG614" i="4"/>
  <c r="CS614" i="4" s="1"/>
  <c r="CH614" i="4"/>
  <c r="CT614" i="4" s="1"/>
  <c r="CL614" i="4"/>
  <c r="DN614" i="4" s="1"/>
  <c r="CO614" i="4"/>
  <c r="CU614" i="4"/>
  <c r="DW614" i="4" s="1"/>
  <c r="CZ614" i="4"/>
  <c r="DA614" i="4"/>
  <c r="DB614" i="4"/>
  <c r="DC614" i="4"/>
  <c r="DD614" i="4"/>
  <c r="DE614" i="4"/>
  <c r="DF614" i="4"/>
  <c r="DG614" i="4"/>
  <c r="DU614" i="4" s="1"/>
  <c r="DH614" i="4"/>
  <c r="DI614" i="4"/>
  <c r="DJ614" i="4"/>
  <c r="DK614" i="4"/>
  <c r="BN615" i="4"/>
  <c r="BZ615" i="4" s="1"/>
  <c r="CL615" i="4" s="1"/>
  <c r="BO615" i="4"/>
  <c r="CA615" i="4" s="1"/>
  <c r="CM615" i="4" s="1"/>
  <c r="BP615" i="4"/>
  <c r="CB615" i="4" s="1"/>
  <c r="CN615" i="4" s="1"/>
  <c r="BQ615" i="4"/>
  <c r="CC615" i="4" s="1"/>
  <c r="CO615" i="4" s="1"/>
  <c r="DQ615" i="4" s="1"/>
  <c r="BR615" i="4"/>
  <c r="CD615" i="4" s="1"/>
  <c r="BS615" i="4"/>
  <c r="BT615" i="4"/>
  <c r="BU615" i="4"/>
  <c r="BV615" i="4"/>
  <c r="CH615" i="4" s="1"/>
  <c r="BW615" i="4"/>
  <c r="CI615" i="4" s="1"/>
  <c r="CU615" i="4" s="1"/>
  <c r="BX615" i="4"/>
  <c r="CJ615" i="4" s="1"/>
  <c r="CV615" i="4" s="1"/>
  <c r="BY615" i="4"/>
  <c r="CE615" i="4"/>
  <c r="CQ615" i="4" s="1"/>
  <c r="CF615" i="4"/>
  <c r="CR615" i="4" s="1"/>
  <c r="CG615" i="4"/>
  <c r="CS615" i="4" s="1"/>
  <c r="CK615" i="4"/>
  <c r="CW615" i="4" s="1"/>
  <c r="DY615" i="4" s="1"/>
  <c r="CP615" i="4"/>
  <c r="CT615" i="4"/>
  <c r="CZ615" i="4"/>
  <c r="DA615" i="4"/>
  <c r="DB615" i="4"/>
  <c r="DC615" i="4"/>
  <c r="DD615" i="4"/>
  <c r="DE615" i="4"/>
  <c r="DS615" i="4" s="1"/>
  <c r="DF615" i="4"/>
  <c r="DT615" i="4" s="1"/>
  <c r="DG615" i="4"/>
  <c r="DH615" i="4"/>
  <c r="DI615" i="4"/>
  <c r="DJ615" i="4"/>
  <c r="DK615" i="4"/>
  <c r="BN616" i="4"/>
  <c r="BZ616" i="4" s="1"/>
  <c r="CL616" i="4" s="1"/>
  <c r="DN616" i="4" s="1"/>
  <c r="BO616" i="4"/>
  <c r="CA616" i="4" s="1"/>
  <c r="CM616" i="4" s="1"/>
  <c r="BP616" i="4"/>
  <c r="BQ616" i="4"/>
  <c r="CC616" i="4" s="1"/>
  <c r="CO616" i="4" s="1"/>
  <c r="BR616" i="4"/>
  <c r="CD616" i="4" s="1"/>
  <c r="CP616" i="4" s="1"/>
  <c r="DR616" i="4" s="1"/>
  <c r="BS616" i="4"/>
  <c r="BT616" i="4"/>
  <c r="CF616" i="4" s="1"/>
  <c r="CR616" i="4" s="1"/>
  <c r="BU616" i="4"/>
  <c r="CG616" i="4" s="1"/>
  <c r="CS616" i="4" s="1"/>
  <c r="BV616" i="4"/>
  <c r="CH616" i="4" s="1"/>
  <c r="BW616" i="4"/>
  <c r="BX616" i="4"/>
  <c r="BY616" i="4"/>
  <c r="CK616" i="4" s="1"/>
  <c r="CW616" i="4" s="1"/>
  <c r="CB616" i="4"/>
  <c r="CN616" i="4" s="1"/>
  <c r="CE616" i="4"/>
  <c r="CQ616" i="4" s="1"/>
  <c r="CI616" i="4"/>
  <c r="CU616" i="4" s="1"/>
  <c r="DW616" i="4" s="1"/>
  <c r="CJ616" i="4"/>
  <c r="CV616" i="4" s="1"/>
  <c r="DX616" i="4" s="1"/>
  <c r="CT616" i="4"/>
  <c r="CZ616" i="4"/>
  <c r="DA616" i="4"/>
  <c r="DB616" i="4"/>
  <c r="DP616" i="4" s="1"/>
  <c r="DC616" i="4"/>
  <c r="DD616" i="4"/>
  <c r="DE616" i="4"/>
  <c r="DS616" i="4" s="1"/>
  <c r="DF616" i="4"/>
  <c r="DT616" i="4" s="1"/>
  <c r="DG616" i="4"/>
  <c r="DH616" i="4"/>
  <c r="DI616" i="4"/>
  <c r="DJ616" i="4"/>
  <c r="DK616" i="4"/>
  <c r="BN617" i="4"/>
  <c r="BO617" i="4"/>
  <c r="BP617" i="4"/>
  <c r="CB617" i="4" s="1"/>
  <c r="CN617" i="4" s="1"/>
  <c r="DP617" i="4" s="1"/>
  <c r="BQ617" i="4"/>
  <c r="CC617" i="4" s="1"/>
  <c r="CO617" i="4" s="1"/>
  <c r="BR617" i="4"/>
  <c r="CD617" i="4" s="1"/>
  <c r="CP617" i="4" s="1"/>
  <c r="BS617" i="4"/>
  <c r="CE617" i="4" s="1"/>
  <c r="BT617" i="4"/>
  <c r="CF617" i="4" s="1"/>
  <c r="BU617" i="4"/>
  <c r="CG617" i="4" s="1"/>
  <c r="CS617" i="4" s="1"/>
  <c r="BV617" i="4"/>
  <c r="BW617" i="4"/>
  <c r="BX617" i="4"/>
  <c r="CJ617" i="4" s="1"/>
  <c r="CV617" i="4" s="1"/>
  <c r="BY617" i="4"/>
  <c r="CK617" i="4" s="1"/>
  <c r="CW617" i="4" s="1"/>
  <c r="BZ617" i="4"/>
  <c r="CL617" i="4" s="1"/>
  <c r="DN617" i="4" s="1"/>
  <c r="CA617" i="4"/>
  <c r="CM617" i="4" s="1"/>
  <c r="CH617" i="4"/>
  <c r="CT617" i="4" s="1"/>
  <c r="DV617" i="4" s="1"/>
  <c r="CI617" i="4"/>
  <c r="CU617" i="4" s="1"/>
  <c r="CQ617" i="4"/>
  <c r="CR617" i="4"/>
  <c r="CZ617" i="4"/>
  <c r="DA617" i="4"/>
  <c r="DB617" i="4"/>
  <c r="DC617" i="4"/>
  <c r="DD617" i="4"/>
  <c r="DE617" i="4"/>
  <c r="DS617" i="4" s="1"/>
  <c r="DF617" i="4"/>
  <c r="DT617" i="4" s="1"/>
  <c r="DG617" i="4"/>
  <c r="DU617" i="4" s="1"/>
  <c r="DH617" i="4"/>
  <c r="DI617" i="4"/>
  <c r="DJ617" i="4"/>
  <c r="DK617" i="4"/>
  <c r="BN618" i="4"/>
  <c r="BZ618" i="4" s="1"/>
  <c r="CL618" i="4" s="1"/>
  <c r="BO618" i="4"/>
  <c r="CA618" i="4" s="1"/>
  <c r="CM618" i="4" s="1"/>
  <c r="DO618" i="4" s="1"/>
  <c r="BP618" i="4"/>
  <c r="CB618" i="4" s="1"/>
  <c r="CN618" i="4" s="1"/>
  <c r="BQ618" i="4"/>
  <c r="CC618" i="4" s="1"/>
  <c r="CO618" i="4" s="1"/>
  <c r="BR618" i="4"/>
  <c r="BS618" i="4"/>
  <c r="CE618" i="4" s="1"/>
  <c r="CQ618" i="4" s="1"/>
  <c r="BT618" i="4"/>
  <c r="CF618" i="4" s="1"/>
  <c r="CR618" i="4" s="1"/>
  <c r="BU618" i="4"/>
  <c r="BV618" i="4"/>
  <c r="CH618" i="4" s="1"/>
  <c r="CT618" i="4" s="1"/>
  <c r="BW618" i="4"/>
  <c r="CI618" i="4" s="1"/>
  <c r="BX618" i="4"/>
  <c r="CJ618" i="4" s="1"/>
  <c r="CV618" i="4" s="1"/>
  <c r="BY618" i="4"/>
  <c r="CK618" i="4" s="1"/>
  <c r="CW618" i="4" s="1"/>
  <c r="CD618" i="4"/>
  <c r="CP618" i="4" s="1"/>
  <c r="CG618" i="4"/>
  <c r="CS618" i="4" s="1"/>
  <c r="DU618" i="4" s="1"/>
  <c r="CU618" i="4"/>
  <c r="DW618" i="4" s="1"/>
  <c r="CZ618" i="4"/>
  <c r="DN618" i="4" s="1"/>
  <c r="DA618" i="4"/>
  <c r="DB618" i="4"/>
  <c r="DP618" i="4" s="1"/>
  <c r="DC618" i="4"/>
  <c r="DD618" i="4"/>
  <c r="DE618" i="4"/>
  <c r="DF618" i="4"/>
  <c r="DT618" i="4" s="1"/>
  <c r="DG618" i="4"/>
  <c r="DH618" i="4"/>
  <c r="DI618" i="4"/>
  <c r="DJ618" i="4"/>
  <c r="DK618" i="4"/>
  <c r="BN619" i="4"/>
  <c r="BO619" i="4"/>
  <c r="CA619" i="4" s="1"/>
  <c r="CM619" i="4" s="1"/>
  <c r="BP619" i="4"/>
  <c r="CB619" i="4" s="1"/>
  <c r="CN619" i="4" s="1"/>
  <c r="BQ619" i="4"/>
  <c r="CC619" i="4" s="1"/>
  <c r="CO619" i="4" s="1"/>
  <c r="BR619" i="4"/>
  <c r="CD619" i="4" s="1"/>
  <c r="CP619" i="4" s="1"/>
  <c r="BS619" i="4"/>
  <c r="BT619" i="4"/>
  <c r="CF619" i="4" s="1"/>
  <c r="CR619" i="4" s="1"/>
  <c r="DT619" i="4" s="1"/>
  <c r="BU619" i="4"/>
  <c r="CG619" i="4" s="1"/>
  <c r="CS619" i="4" s="1"/>
  <c r="BV619" i="4"/>
  <c r="BW619" i="4"/>
  <c r="CI619" i="4" s="1"/>
  <c r="CU619" i="4" s="1"/>
  <c r="BX619" i="4"/>
  <c r="CJ619" i="4" s="1"/>
  <c r="CV619" i="4" s="1"/>
  <c r="BY619" i="4"/>
  <c r="BZ619" i="4"/>
  <c r="CL619" i="4" s="1"/>
  <c r="CE619" i="4"/>
  <c r="CQ619" i="4" s="1"/>
  <c r="CH619" i="4"/>
  <c r="CT619" i="4" s="1"/>
  <c r="DV619" i="4" s="1"/>
  <c r="CK619" i="4"/>
  <c r="CW619" i="4" s="1"/>
  <c r="CZ619" i="4"/>
  <c r="DA619" i="4"/>
  <c r="DB619" i="4"/>
  <c r="DC619" i="4"/>
  <c r="DD619" i="4"/>
  <c r="DE619" i="4"/>
  <c r="DF619" i="4"/>
  <c r="DG619" i="4"/>
  <c r="DH619" i="4"/>
  <c r="DI619" i="4"/>
  <c r="DJ619" i="4"/>
  <c r="DK619" i="4"/>
  <c r="BN620" i="4"/>
  <c r="BZ620" i="4" s="1"/>
  <c r="CL620" i="4" s="1"/>
  <c r="BO620" i="4"/>
  <c r="CA620" i="4" s="1"/>
  <c r="CM620" i="4" s="1"/>
  <c r="BP620" i="4"/>
  <c r="BQ620" i="4"/>
  <c r="CC620" i="4" s="1"/>
  <c r="CO620" i="4" s="1"/>
  <c r="BR620" i="4"/>
  <c r="CD620" i="4" s="1"/>
  <c r="BS620" i="4"/>
  <c r="CE620" i="4" s="1"/>
  <c r="CQ620" i="4" s="1"/>
  <c r="BT620" i="4"/>
  <c r="CF620" i="4" s="1"/>
  <c r="CR620" i="4" s="1"/>
  <c r="BU620" i="4"/>
  <c r="CG620" i="4" s="1"/>
  <c r="BV620" i="4"/>
  <c r="CH620" i="4" s="1"/>
  <c r="CT620" i="4" s="1"/>
  <c r="BW620" i="4"/>
  <c r="CI620" i="4" s="1"/>
  <c r="CU620" i="4" s="1"/>
  <c r="BX620" i="4"/>
  <c r="CJ620" i="4" s="1"/>
  <c r="CV620" i="4" s="1"/>
  <c r="BY620" i="4"/>
  <c r="CB620" i="4"/>
  <c r="CN620" i="4" s="1"/>
  <c r="CK620" i="4"/>
  <c r="CW620" i="4" s="1"/>
  <c r="CP620" i="4"/>
  <c r="CS620" i="4"/>
  <c r="CZ620" i="4"/>
  <c r="DA620" i="4"/>
  <c r="DB620" i="4"/>
  <c r="DP620" i="4" s="1"/>
  <c r="DC620" i="4"/>
  <c r="DQ620" i="4" s="1"/>
  <c r="DD620" i="4"/>
  <c r="DE620" i="4"/>
  <c r="DF620" i="4"/>
  <c r="DG620" i="4"/>
  <c r="DU620" i="4" s="1"/>
  <c r="DH620" i="4"/>
  <c r="DI620" i="4"/>
  <c r="DJ620" i="4"/>
  <c r="DX620" i="4" s="1"/>
  <c r="DK620" i="4"/>
  <c r="BN660" i="4"/>
  <c r="BZ660" i="4" s="1"/>
  <c r="CL660" i="4" s="1"/>
  <c r="DN660" i="4" s="1"/>
  <c r="BO660" i="4"/>
  <c r="CA660" i="4" s="1"/>
  <c r="CM660" i="4" s="1"/>
  <c r="BP660" i="4"/>
  <c r="CB660" i="4" s="1"/>
  <c r="CN660" i="4" s="1"/>
  <c r="BQ660" i="4"/>
  <c r="CC660" i="4" s="1"/>
  <c r="BR660" i="4"/>
  <c r="CD660" i="4" s="1"/>
  <c r="CP660" i="4" s="1"/>
  <c r="DR660" i="4" s="1"/>
  <c r="BS660" i="4"/>
  <c r="CE660" i="4" s="1"/>
  <c r="CQ660" i="4" s="1"/>
  <c r="BT660" i="4"/>
  <c r="CF660" i="4" s="1"/>
  <c r="CR660" i="4" s="1"/>
  <c r="BU660" i="4"/>
  <c r="BV660" i="4"/>
  <c r="CH660" i="4" s="1"/>
  <c r="CT660" i="4" s="1"/>
  <c r="DV660" i="4" s="1"/>
  <c r="BW660" i="4"/>
  <c r="BX660" i="4"/>
  <c r="CJ660" i="4" s="1"/>
  <c r="CV660" i="4" s="1"/>
  <c r="BY660" i="4"/>
  <c r="CG660" i="4"/>
  <c r="CI660" i="4"/>
  <c r="CU660" i="4" s="1"/>
  <c r="CK660" i="4"/>
  <c r="CW660" i="4" s="1"/>
  <c r="CO660" i="4"/>
  <c r="CS660" i="4"/>
  <c r="CZ660" i="4"/>
  <c r="DA660" i="4"/>
  <c r="DB660" i="4"/>
  <c r="DC660" i="4"/>
  <c r="DD660" i="4"/>
  <c r="DE660" i="4"/>
  <c r="DF660" i="4"/>
  <c r="DG660" i="4"/>
  <c r="DH660" i="4"/>
  <c r="DI660" i="4"/>
  <c r="DJ660" i="4"/>
  <c r="DK660" i="4"/>
  <c r="BN661" i="4"/>
  <c r="BZ661" i="4" s="1"/>
  <c r="CL661" i="4" s="1"/>
  <c r="BO661" i="4"/>
  <c r="CA661" i="4" s="1"/>
  <c r="CM661" i="4" s="1"/>
  <c r="DO661" i="4" s="1"/>
  <c r="BP661" i="4"/>
  <c r="BQ661" i="4"/>
  <c r="CC661" i="4" s="1"/>
  <c r="BR661" i="4"/>
  <c r="CD661" i="4" s="1"/>
  <c r="CP661" i="4" s="1"/>
  <c r="BS661" i="4"/>
  <c r="CE661" i="4" s="1"/>
  <c r="CQ661" i="4" s="1"/>
  <c r="BT661" i="4"/>
  <c r="BU661" i="4"/>
  <c r="BV661" i="4"/>
  <c r="CH661" i="4" s="1"/>
  <c r="CT661" i="4" s="1"/>
  <c r="BW661" i="4"/>
  <c r="CI661" i="4" s="1"/>
  <c r="CU661" i="4" s="1"/>
  <c r="DW661" i="4" s="1"/>
  <c r="BX661" i="4"/>
  <c r="BY661" i="4"/>
  <c r="CK661" i="4" s="1"/>
  <c r="CB661" i="4"/>
  <c r="CF661" i="4"/>
  <c r="CR661" i="4" s="1"/>
  <c r="CG661" i="4"/>
  <c r="CS661" i="4" s="1"/>
  <c r="CJ661" i="4"/>
  <c r="CV661" i="4" s="1"/>
  <c r="CN661" i="4"/>
  <c r="CO661" i="4"/>
  <c r="CW661" i="4"/>
  <c r="CZ661" i="4"/>
  <c r="DA661" i="4"/>
  <c r="DB661" i="4"/>
  <c r="DC661" i="4"/>
  <c r="DD661" i="4"/>
  <c r="DR661" i="4" s="1"/>
  <c r="DE661" i="4"/>
  <c r="DF661" i="4"/>
  <c r="DG661" i="4"/>
  <c r="DH661" i="4"/>
  <c r="DI661" i="4"/>
  <c r="DJ661" i="4"/>
  <c r="DX661" i="4" s="1"/>
  <c r="DK661" i="4"/>
  <c r="BN662" i="4"/>
  <c r="BZ662" i="4" s="1"/>
  <c r="CL662" i="4" s="1"/>
  <c r="BO662" i="4"/>
  <c r="CA662" i="4" s="1"/>
  <c r="CM662" i="4" s="1"/>
  <c r="BP662" i="4"/>
  <c r="CB662" i="4" s="1"/>
  <c r="CN662" i="4" s="1"/>
  <c r="BQ662" i="4"/>
  <c r="CC662" i="4" s="1"/>
  <c r="CO662" i="4" s="1"/>
  <c r="BR662" i="4"/>
  <c r="BS662" i="4"/>
  <c r="CE662" i="4" s="1"/>
  <c r="CQ662" i="4" s="1"/>
  <c r="DS662" i="4" s="1"/>
  <c r="BT662" i="4"/>
  <c r="CF662" i="4" s="1"/>
  <c r="BU662" i="4"/>
  <c r="CG662" i="4" s="1"/>
  <c r="CS662" i="4" s="1"/>
  <c r="BV662" i="4"/>
  <c r="CH662" i="4" s="1"/>
  <c r="CT662" i="4" s="1"/>
  <c r="BW662" i="4"/>
  <c r="CI662" i="4" s="1"/>
  <c r="BX662" i="4"/>
  <c r="BY662" i="4"/>
  <c r="CK662" i="4" s="1"/>
  <c r="CW662" i="4" s="1"/>
  <c r="CD662" i="4"/>
  <c r="CP662" i="4" s="1"/>
  <c r="CJ662" i="4"/>
  <c r="CV662" i="4" s="1"/>
  <c r="CR662" i="4"/>
  <c r="CU662" i="4"/>
  <c r="CZ662" i="4"/>
  <c r="DA662" i="4"/>
  <c r="DB662" i="4"/>
  <c r="DC662" i="4"/>
  <c r="DD662" i="4"/>
  <c r="DR662" i="4" s="1"/>
  <c r="DE662" i="4"/>
  <c r="DF662" i="4"/>
  <c r="DG662" i="4"/>
  <c r="DH662" i="4"/>
  <c r="DI662" i="4"/>
  <c r="DJ662" i="4"/>
  <c r="DK662" i="4"/>
  <c r="BN663" i="4"/>
  <c r="BZ663" i="4" s="1"/>
  <c r="CL663" i="4" s="1"/>
  <c r="BO663" i="4"/>
  <c r="CA663" i="4" s="1"/>
  <c r="CM663" i="4" s="1"/>
  <c r="BP663" i="4"/>
  <c r="CB663" i="4" s="1"/>
  <c r="CN663" i="4" s="1"/>
  <c r="DP663" i="4" s="1"/>
  <c r="BQ663" i="4"/>
  <c r="BR663" i="4"/>
  <c r="CD663" i="4" s="1"/>
  <c r="CP663" i="4" s="1"/>
  <c r="BS663" i="4"/>
  <c r="CE663" i="4" s="1"/>
  <c r="BT663" i="4"/>
  <c r="CF663" i="4" s="1"/>
  <c r="CR663" i="4" s="1"/>
  <c r="BU663" i="4"/>
  <c r="CG663" i="4" s="1"/>
  <c r="CS663" i="4" s="1"/>
  <c r="BV663" i="4"/>
  <c r="CH663" i="4" s="1"/>
  <c r="CT663" i="4" s="1"/>
  <c r="BW663" i="4"/>
  <c r="CI663" i="4" s="1"/>
  <c r="CU663" i="4" s="1"/>
  <c r="DW663" i="4" s="1"/>
  <c r="BX663" i="4"/>
  <c r="CJ663" i="4" s="1"/>
  <c r="CV663" i="4" s="1"/>
  <c r="BY663" i="4"/>
  <c r="CC663" i="4"/>
  <c r="CO663" i="4" s="1"/>
  <c r="CK663" i="4"/>
  <c r="CW663" i="4" s="1"/>
  <c r="DY663" i="4" s="1"/>
  <c r="CQ663" i="4"/>
  <c r="DS663" i="4" s="1"/>
  <c r="CZ663" i="4"/>
  <c r="DA663" i="4"/>
  <c r="DB663" i="4"/>
  <c r="DC663" i="4"/>
  <c r="DD663" i="4"/>
  <c r="DE663" i="4"/>
  <c r="DF663" i="4"/>
  <c r="DG663" i="4"/>
  <c r="DH663" i="4"/>
  <c r="DI663" i="4"/>
  <c r="DJ663" i="4"/>
  <c r="DK663" i="4"/>
  <c r="BN664" i="4"/>
  <c r="BZ664" i="4" s="1"/>
  <c r="CL664" i="4" s="1"/>
  <c r="BO664" i="4"/>
  <c r="BP664" i="4"/>
  <c r="CB664" i="4" s="1"/>
  <c r="CN664" i="4" s="1"/>
  <c r="BQ664" i="4"/>
  <c r="CC664" i="4" s="1"/>
  <c r="CO664" i="4" s="1"/>
  <c r="DQ664" i="4" s="1"/>
  <c r="BR664" i="4"/>
  <c r="CD664" i="4" s="1"/>
  <c r="BS664" i="4"/>
  <c r="CE664" i="4" s="1"/>
  <c r="BT664" i="4"/>
  <c r="CF664" i="4" s="1"/>
  <c r="CR664" i="4" s="1"/>
  <c r="BU664" i="4"/>
  <c r="CG664" i="4" s="1"/>
  <c r="BV664" i="4"/>
  <c r="CH664" i="4" s="1"/>
  <c r="CT664" i="4" s="1"/>
  <c r="BW664" i="4"/>
  <c r="BX664" i="4"/>
  <c r="CJ664" i="4" s="1"/>
  <c r="CV664" i="4" s="1"/>
  <c r="DX664" i="4" s="1"/>
  <c r="BY664" i="4"/>
  <c r="CK664" i="4" s="1"/>
  <c r="CW664" i="4" s="1"/>
  <c r="DY664" i="4" s="1"/>
  <c r="CA664" i="4"/>
  <c r="CM664" i="4" s="1"/>
  <c r="CI664" i="4"/>
  <c r="CU664" i="4" s="1"/>
  <c r="CP664" i="4"/>
  <c r="DR664" i="4" s="1"/>
  <c r="CQ664" i="4"/>
  <c r="CS664" i="4"/>
  <c r="CZ664" i="4"/>
  <c r="DA664" i="4"/>
  <c r="DB664" i="4"/>
  <c r="DC664" i="4"/>
  <c r="DD664" i="4"/>
  <c r="DE664" i="4"/>
  <c r="DF664" i="4"/>
  <c r="DG664" i="4"/>
  <c r="DH664" i="4"/>
  <c r="DI664" i="4"/>
  <c r="DJ664" i="4"/>
  <c r="DK664" i="4"/>
  <c r="DW664" i="4"/>
  <c r="BN665" i="4"/>
  <c r="BZ665" i="4" s="1"/>
  <c r="BO665" i="4"/>
  <c r="CA665" i="4" s="1"/>
  <c r="CM665" i="4" s="1"/>
  <c r="DO665" i="4" s="1"/>
  <c r="BP665" i="4"/>
  <c r="CB665" i="4" s="1"/>
  <c r="CN665" i="4" s="1"/>
  <c r="BQ665" i="4"/>
  <c r="CC665" i="4" s="1"/>
  <c r="BR665" i="4"/>
  <c r="CD665" i="4" s="1"/>
  <c r="CP665" i="4" s="1"/>
  <c r="BS665" i="4"/>
  <c r="BT665" i="4"/>
  <c r="CF665" i="4" s="1"/>
  <c r="CR665" i="4" s="1"/>
  <c r="BU665" i="4"/>
  <c r="BV665" i="4"/>
  <c r="CH665" i="4" s="1"/>
  <c r="CT665" i="4" s="1"/>
  <c r="DV665" i="4" s="1"/>
  <c r="BW665" i="4"/>
  <c r="BX665" i="4"/>
  <c r="CJ665" i="4" s="1"/>
  <c r="CV665" i="4" s="1"/>
  <c r="BY665" i="4"/>
  <c r="CK665" i="4" s="1"/>
  <c r="CW665" i="4" s="1"/>
  <c r="CE665" i="4"/>
  <c r="CQ665" i="4" s="1"/>
  <c r="CG665" i="4"/>
  <c r="CS665" i="4" s="1"/>
  <c r="CL665" i="4"/>
  <c r="DN665" i="4" s="1"/>
  <c r="CO665" i="4"/>
  <c r="CZ665" i="4"/>
  <c r="DA665" i="4"/>
  <c r="DB665" i="4"/>
  <c r="DC665" i="4"/>
  <c r="DD665" i="4"/>
  <c r="DE665" i="4"/>
  <c r="DF665" i="4"/>
  <c r="DT665" i="4" s="1"/>
  <c r="DG665" i="4"/>
  <c r="DH665" i="4"/>
  <c r="DI665" i="4"/>
  <c r="DJ665" i="4"/>
  <c r="DK665" i="4"/>
  <c r="DR665" i="4"/>
  <c r="DS665" i="4"/>
  <c r="BN666" i="4"/>
  <c r="BO666" i="4"/>
  <c r="CA666" i="4" s="1"/>
  <c r="BP666" i="4"/>
  <c r="BQ666" i="4"/>
  <c r="CC666" i="4" s="1"/>
  <c r="CO666" i="4" s="1"/>
  <c r="BR666" i="4"/>
  <c r="CD666" i="4" s="1"/>
  <c r="CP666" i="4" s="1"/>
  <c r="DR666" i="4" s="1"/>
  <c r="BS666" i="4"/>
  <c r="CE666" i="4" s="1"/>
  <c r="CQ666" i="4" s="1"/>
  <c r="BT666" i="4"/>
  <c r="BU666" i="4"/>
  <c r="CG666" i="4" s="1"/>
  <c r="BV666" i="4"/>
  <c r="CH666" i="4" s="1"/>
  <c r="CT666" i="4" s="1"/>
  <c r="BW666" i="4"/>
  <c r="CI666" i="4" s="1"/>
  <c r="CU666" i="4" s="1"/>
  <c r="BX666" i="4"/>
  <c r="BY666" i="4"/>
  <c r="CK666" i="4" s="1"/>
  <c r="CW666" i="4" s="1"/>
  <c r="BZ666" i="4"/>
  <c r="CL666" i="4" s="1"/>
  <c r="CB666" i="4"/>
  <c r="CN666" i="4" s="1"/>
  <c r="DP666" i="4" s="1"/>
  <c r="CF666" i="4"/>
  <c r="CJ666" i="4"/>
  <c r="CV666" i="4" s="1"/>
  <c r="DX666" i="4" s="1"/>
  <c r="CM666" i="4"/>
  <c r="CR666" i="4"/>
  <c r="CS666" i="4"/>
  <c r="CZ666" i="4"/>
  <c r="DA666" i="4"/>
  <c r="DB666" i="4"/>
  <c r="DC666" i="4"/>
  <c r="DD666" i="4"/>
  <c r="DE666" i="4"/>
  <c r="DF666" i="4"/>
  <c r="DG666" i="4"/>
  <c r="DH666" i="4"/>
  <c r="DV666" i="4" s="1"/>
  <c r="DI666" i="4"/>
  <c r="DW666" i="4" s="1"/>
  <c r="DJ666" i="4"/>
  <c r="DK666" i="4"/>
  <c r="BN667" i="4"/>
  <c r="BZ667" i="4" s="1"/>
  <c r="CL667" i="4" s="1"/>
  <c r="BO667" i="4"/>
  <c r="CA667" i="4" s="1"/>
  <c r="CM667" i="4" s="1"/>
  <c r="BP667" i="4"/>
  <c r="CB667" i="4" s="1"/>
  <c r="CN667" i="4" s="1"/>
  <c r="BQ667" i="4"/>
  <c r="CC667" i="4" s="1"/>
  <c r="CO667" i="4" s="1"/>
  <c r="DQ667" i="4" s="1"/>
  <c r="BR667" i="4"/>
  <c r="CD667" i="4" s="1"/>
  <c r="CP667" i="4" s="1"/>
  <c r="BS667" i="4"/>
  <c r="CE667" i="4" s="1"/>
  <c r="BT667" i="4"/>
  <c r="BU667" i="4"/>
  <c r="CG667" i="4" s="1"/>
  <c r="BV667" i="4"/>
  <c r="CH667" i="4" s="1"/>
  <c r="CT667" i="4" s="1"/>
  <c r="BX667" i="4"/>
  <c r="CJ667" i="4" s="1"/>
  <c r="CV667" i="4" s="1"/>
  <c r="BY667" i="4"/>
  <c r="CF667" i="4"/>
  <c r="CK667" i="4"/>
  <c r="CW667" i="4" s="1"/>
  <c r="DY667" i="4" s="1"/>
  <c r="CQ667" i="4"/>
  <c r="CR667" i="4"/>
  <c r="CS667" i="4"/>
  <c r="CZ667" i="4"/>
  <c r="DA667" i="4"/>
  <c r="DB667" i="4"/>
  <c r="DC667" i="4"/>
  <c r="DD667" i="4"/>
  <c r="DE667" i="4"/>
  <c r="DS667" i="4" s="1"/>
  <c r="DF667" i="4"/>
  <c r="DT667" i="4" s="1"/>
  <c r="DG667" i="4"/>
  <c r="DH667" i="4"/>
  <c r="DJ667" i="4"/>
  <c r="DK667" i="4"/>
  <c r="BN668" i="4"/>
  <c r="BZ668" i="4" s="1"/>
  <c r="CL668" i="4" s="1"/>
  <c r="BO668" i="4"/>
  <c r="CA668" i="4" s="1"/>
  <c r="CM668" i="4" s="1"/>
  <c r="BP668" i="4"/>
  <c r="CB668" i="4" s="1"/>
  <c r="CN668" i="4" s="1"/>
  <c r="BQ668" i="4"/>
  <c r="BR668" i="4"/>
  <c r="CD668" i="4" s="1"/>
  <c r="CP668" i="4" s="1"/>
  <c r="BS668" i="4"/>
  <c r="CE668" i="4" s="1"/>
  <c r="CQ668" i="4" s="1"/>
  <c r="BT668" i="4"/>
  <c r="CF668" i="4" s="1"/>
  <c r="CR668" i="4" s="1"/>
  <c r="BU668" i="4"/>
  <c r="CG668" i="4" s="1"/>
  <c r="CS668" i="4" s="1"/>
  <c r="DU668" i="4" s="1"/>
  <c r="BV668" i="4"/>
  <c r="CH668" i="4" s="1"/>
  <c r="CT668" i="4" s="1"/>
  <c r="BW668" i="4"/>
  <c r="CI668" i="4" s="1"/>
  <c r="CU668" i="4" s="1"/>
  <c r="BX668" i="4"/>
  <c r="CJ668" i="4" s="1"/>
  <c r="CV668" i="4" s="1"/>
  <c r="DX668" i="4" s="1"/>
  <c r="BY668" i="4"/>
  <c r="CC668" i="4"/>
  <c r="CO668" i="4" s="1"/>
  <c r="CK668" i="4"/>
  <c r="CW668" i="4" s="1"/>
  <c r="CZ668" i="4"/>
  <c r="DN668" i="4" s="1"/>
  <c r="DA668" i="4"/>
  <c r="DO668" i="4" s="1"/>
  <c r="DB668" i="4"/>
  <c r="DC668" i="4"/>
  <c r="DD668" i="4"/>
  <c r="DE668" i="4"/>
  <c r="DF668" i="4"/>
  <c r="DG668" i="4"/>
  <c r="DH668" i="4"/>
  <c r="DI668" i="4"/>
  <c r="DJ668" i="4"/>
  <c r="DK668" i="4"/>
  <c r="DY668" i="4" s="1"/>
  <c r="DT668" i="4"/>
  <c r="BN669" i="4"/>
  <c r="BZ669" i="4" s="1"/>
  <c r="CL669" i="4" s="1"/>
  <c r="BO669" i="4"/>
  <c r="CA669" i="4" s="1"/>
  <c r="CM669" i="4" s="1"/>
  <c r="DO669" i="4" s="1"/>
  <c r="BP669" i="4"/>
  <c r="CB669" i="4" s="1"/>
  <c r="CN669" i="4" s="1"/>
  <c r="DP669" i="4" s="1"/>
  <c r="BQ669" i="4"/>
  <c r="CC669" i="4" s="1"/>
  <c r="CO669" i="4" s="1"/>
  <c r="BR669" i="4"/>
  <c r="BS669" i="4"/>
  <c r="CE669" i="4" s="1"/>
  <c r="BT669" i="4"/>
  <c r="BU669" i="4"/>
  <c r="BV669" i="4"/>
  <c r="BW669" i="4"/>
  <c r="CI669" i="4" s="1"/>
  <c r="BX669" i="4"/>
  <c r="CJ669" i="4" s="1"/>
  <c r="CV669" i="4" s="1"/>
  <c r="DX669" i="4" s="1"/>
  <c r="BY669" i="4"/>
  <c r="CK669" i="4" s="1"/>
  <c r="CW669" i="4" s="1"/>
  <c r="CD669" i="4"/>
  <c r="CF669" i="4"/>
  <c r="CR669" i="4" s="1"/>
  <c r="CG669" i="4"/>
  <c r="CS669" i="4" s="1"/>
  <c r="CH669" i="4"/>
  <c r="CP669" i="4"/>
  <c r="CQ669" i="4"/>
  <c r="CT669" i="4"/>
  <c r="CU669" i="4"/>
  <c r="DW669" i="4" s="1"/>
  <c r="CZ669" i="4"/>
  <c r="DA669" i="4"/>
  <c r="DB669" i="4"/>
  <c r="DC669" i="4"/>
  <c r="DD669" i="4"/>
  <c r="DR669" i="4" s="1"/>
  <c r="DE669" i="4"/>
  <c r="DF669" i="4"/>
  <c r="DG669" i="4"/>
  <c r="DH669" i="4"/>
  <c r="DI669" i="4"/>
  <c r="DJ669" i="4"/>
  <c r="DK669" i="4"/>
  <c r="DT669" i="4"/>
  <c r="BN670" i="4"/>
  <c r="BZ670" i="4" s="1"/>
  <c r="CL670" i="4" s="1"/>
  <c r="DN670" i="4" s="1"/>
  <c r="BO670" i="4"/>
  <c r="CA670" i="4" s="1"/>
  <c r="CM670" i="4" s="1"/>
  <c r="BP670" i="4"/>
  <c r="BQ670" i="4"/>
  <c r="BR670" i="4"/>
  <c r="CD670" i="4" s="1"/>
  <c r="CP670" i="4" s="1"/>
  <c r="BS670" i="4"/>
  <c r="CE670" i="4" s="1"/>
  <c r="CQ670" i="4" s="1"/>
  <c r="DS670" i="4" s="1"/>
  <c r="BT670" i="4"/>
  <c r="CF670" i="4" s="1"/>
  <c r="CR670" i="4" s="1"/>
  <c r="BU670" i="4"/>
  <c r="CG670" i="4" s="1"/>
  <c r="BV670" i="4"/>
  <c r="CH670" i="4" s="1"/>
  <c r="CT670" i="4" s="1"/>
  <c r="BW670" i="4"/>
  <c r="CI670" i="4" s="1"/>
  <c r="CU670" i="4" s="1"/>
  <c r="BX670" i="4"/>
  <c r="BY670" i="4"/>
  <c r="CB670" i="4"/>
  <c r="CN670" i="4" s="1"/>
  <c r="DP670" i="4" s="1"/>
  <c r="CC670" i="4"/>
  <c r="CO670" i="4" s="1"/>
  <c r="CJ670" i="4"/>
  <c r="CV670" i="4" s="1"/>
  <c r="DX670" i="4" s="1"/>
  <c r="CK670" i="4"/>
  <c r="CS670" i="4"/>
  <c r="DU670" i="4" s="1"/>
  <c r="CW670" i="4"/>
  <c r="DY670" i="4" s="1"/>
  <c r="CZ670" i="4"/>
  <c r="DA670" i="4"/>
  <c r="DB670" i="4"/>
  <c r="DC670" i="4"/>
  <c r="DD670" i="4"/>
  <c r="DE670" i="4"/>
  <c r="DF670" i="4"/>
  <c r="DT670" i="4" s="1"/>
  <c r="DG670" i="4"/>
  <c r="DH670" i="4"/>
  <c r="DI670" i="4"/>
  <c r="DJ670" i="4"/>
  <c r="DK670" i="4"/>
  <c r="BN671" i="4"/>
  <c r="BZ671" i="4" s="1"/>
  <c r="CL671" i="4" s="1"/>
  <c r="DN671" i="4" s="1"/>
  <c r="BO671" i="4"/>
  <c r="CA671" i="4" s="1"/>
  <c r="CM671" i="4" s="1"/>
  <c r="DO671" i="4" s="1"/>
  <c r="BP671" i="4"/>
  <c r="CB671" i="4" s="1"/>
  <c r="CN671" i="4" s="1"/>
  <c r="BQ671" i="4"/>
  <c r="BR671" i="4"/>
  <c r="CD671" i="4" s="1"/>
  <c r="CP671" i="4" s="1"/>
  <c r="BS671" i="4"/>
  <c r="BT671" i="4"/>
  <c r="BU671" i="4"/>
  <c r="CG671" i="4" s="1"/>
  <c r="CS671" i="4" s="1"/>
  <c r="BV671" i="4"/>
  <c r="CH671" i="4" s="1"/>
  <c r="CT671" i="4" s="1"/>
  <c r="DV671" i="4" s="1"/>
  <c r="BW671" i="4"/>
  <c r="CI671" i="4" s="1"/>
  <c r="CU671" i="4" s="1"/>
  <c r="DW671" i="4" s="1"/>
  <c r="BX671" i="4"/>
  <c r="CJ671" i="4" s="1"/>
  <c r="CV671" i="4" s="1"/>
  <c r="BY671" i="4"/>
  <c r="CC671" i="4"/>
  <c r="CO671" i="4" s="1"/>
  <c r="CE671" i="4"/>
  <c r="CQ671" i="4" s="1"/>
  <c r="CF671" i="4"/>
  <c r="CR671" i="4" s="1"/>
  <c r="CK671" i="4"/>
  <c r="CW671" i="4" s="1"/>
  <c r="CZ671" i="4"/>
  <c r="DA671" i="4"/>
  <c r="DB671" i="4"/>
  <c r="DC671" i="4"/>
  <c r="DD671" i="4"/>
  <c r="DE671" i="4"/>
  <c r="DF671" i="4"/>
  <c r="DG671" i="4"/>
  <c r="DH671" i="4"/>
  <c r="DI671" i="4"/>
  <c r="DJ671" i="4"/>
  <c r="DK671" i="4"/>
  <c r="DY671" i="4"/>
  <c r="BN672" i="4"/>
  <c r="BZ672" i="4" s="1"/>
  <c r="CL672" i="4" s="1"/>
  <c r="BO672" i="4"/>
  <c r="BP672" i="4"/>
  <c r="CB672" i="4" s="1"/>
  <c r="CN672" i="4" s="1"/>
  <c r="BQ672" i="4"/>
  <c r="BR672" i="4"/>
  <c r="BS672" i="4"/>
  <c r="CE672" i="4" s="1"/>
  <c r="CQ672" i="4" s="1"/>
  <c r="BT672" i="4"/>
  <c r="BU672" i="4"/>
  <c r="CG672" i="4" s="1"/>
  <c r="CS672" i="4" s="1"/>
  <c r="DU672" i="4" s="1"/>
  <c r="BV672" i="4"/>
  <c r="CH672" i="4" s="1"/>
  <c r="CT672" i="4" s="1"/>
  <c r="DV672" i="4" s="1"/>
  <c r="BW672" i="4"/>
  <c r="BX672" i="4"/>
  <c r="BY672" i="4"/>
  <c r="CK672" i="4" s="1"/>
  <c r="CA672" i="4"/>
  <c r="CM672" i="4" s="1"/>
  <c r="CC672" i="4"/>
  <c r="CO672" i="4" s="1"/>
  <c r="CD672" i="4"/>
  <c r="CP672" i="4" s="1"/>
  <c r="CF672" i="4"/>
  <c r="CR672" i="4" s="1"/>
  <c r="CI672" i="4"/>
  <c r="CU672" i="4" s="1"/>
  <c r="CJ672" i="4"/>
  <c r="CV672" i="4" s="1"/>
  <c r="CW672" i="4"/>
  <c r="CZ672" i="4"/>
  <c r="DA672" i="4"/>
  <c r="DB672" i="4"/>
  <c r="DC672" i="4"/>
  <c r="DQ672" i="4" s="1"/>
  <c r="DD672" i="4"/>
  <c r="DR672" i="4" s="1"/>
  <c r="DE672" i="4"/>
  <c r="DF672" i="4"/>
  <c r="DG672" i="4"/>
  <c r="DH672" i="4"/>
  <c r="DI672" i="4"/>
  <c r="DJ672" i="4"/>
  <c r="DK672" i="4"/>
  <c r="DL672" i="4"/>
  <c r="BN673" i="4"/>
  <c r="BZ673" i="4" s="1"/>
  <c r="CL673" i="4" s="1"/>
  <c r="BO673" i="4"/>
  <c r="BP673" i="4"/>
  <c r="CB673" i="4" s="1"/>
  <c r="CN673" i="4" s="1"/>
  <c r="DP673" i="4" s="1"/>
  <c r="BQ673" i="4"/>
  <c r="CC673" i="4" s="1"/>
  <c r="CO673" i="4" s="1"/>
  <c r="BR673" i="4"/>
  <c r="BS673" i="4"/>
  <c r="BT673" i="4"/>
  <c r="CF673" i="4" s="1"/>
  <c r="CR673" i="4" s="1"/>
  <c r="DT673" i="4" s="1"/>
  <c r="BU673" i="4"/>
  <c r="BV673" i="4"/>
  <c r="CH673" i="4" s="1"/>
  <c r="CT673" i="4" s="1"/>
  <c r="BW673" i="4"/>
  <c r="BX673" i="4"/>
  <c r="CJ673" i="4" s="1"/>
  <c r="CV673" i="4" s="1"/>
  <c r="DX673" i="4" s="1"/>
  <c r="BY673" i="4"/>
  <c r="CK673" i="4" s="1"/>
  <c r="CA673" i="4"/>
  <c r="CM673" i="4" s="1"/>
  <c r="CD673" i="4"/>
  <c r="CE673" i="4"/>
  <c r="CG673" i="4"/>
  <c r="CS673" i="4" s="1"/>
  <c r="CI673" i="4"/>
  <c r="CP673" i="4"/>
  <c r="CQ673" i="4"/>
  <c r="CU673" i="4"/>
  <c r="DW673" i="4" s="1"/>
  <c r="CW673" i="4"/>
  <c r="CZ673" i="4"/>
  <c r="DA673" i="4"/>
  <c r="DB673" i="4"/>
  <c r="DC673" i="4"/>
  <c r="DD673" i="4"/>
  <c r="DE673" i="4"/>
  <c r="DF673" i="4"/>
  <c r="DG673" i="4"/>
  <c r="DH673" i="4"/>
  <c r="DI673" i="4"/>
  <c r="DJ673" i="4"/>
  <c r="DK673" i="4"/>
  <c r="DL673" i="4"/>
  <c r="DO673" i="4"/>
  <c r="BN674" i="4"/>
  <c r="BZ674" i="4" s="1"/>
  <c r="CL674" i="4" s="1"/>
  <c r="BO674" i="4"/>
  <c r="CA674" i="4" s="1"/>
  <c r="CM674" i="4" s="1"/>
  <c r="BP674" i="4"/>
  <c r="CB674" i="4" s="1"/>
  <c r="CN674" i="4" s="1"/>
  <c r="BQ674" i="4"/>
  <c r="BR674" i="4"/>
  <c r="BS674" i="4"/>
  <c r="BT674" i="4"/>
  <c r="CF674" i="4" s="1"/>
  <c r="CR674" i="4" s="1"/>
  <c r="DT674" i="4" s="1"/>
  <c r="BU674" i="4"/>
  <c r="BV674" i="4"/>
  <c r="BW674" i="4"/>
  <c r="CI674" i="4" s="1"/>
  <c r="CU674" i="4" s="1"/>
  <c r="BX674" i="4"/>
  <c r="CJ674" i="4" s="1"/>
  <c r="CV674" i="4" s="1"/>
  <c r="BY674" i="4"/>
  <c r="CC674" i="4"/>
  <c r="CO674" i="4" s="1"/>
  <c r="CD674" i="4"/>
  <c r="CP674" i="4" s="1"/>
  <c r="CE674" i="4"/>
  <c r="CQ674" i="4" s="1"/>
  <c r="CG674" i="4"/>
  <c r="CS674" i="4" s="1"/>
  <c r="DU674" i="4" s="1"/>
  <c r="CH674" i="4"/>
  <c r="CT674" i="4" s="1"/>
  <c r="CK674" i="4"/>
  <c r="CW674" i="4" s="1"/>
  <c r="CZ674" i="4"/>
  <c r="DA674" i="4"/>
  <c r="DB674" i="4"/>
  <c r="DL674" i="4" s="1"/>
  <c r="CX674" i="4" s="1"/>
  <c r="DZ674" i="4" s="1"/>
  <c r="DC674" i="4"/>
  <c r="DQ674" i="4" s="1"/>
  <c r="DD674" i="4"/>
  <c r="DE674" i="4"/>
  <c r="DF674" i="4"/>
  <c r="DG674" i="4"/>
  <c r="DH674" i="4"/>
  <c r="DI674" i="4"/>
  <c r="DJ674" i="4"/>
  <c r="DK674" i="4"/>
  <c r="DY674" i="4" s="1"/>
  <c r="BN675" i="4"/>
  <c r="BO675" i="4"/>
  <c r="CA675" i="4" s="1"/>
  <c r="CM675" i="4" s="1"/>
  <c r="BP675" i="4"/>
  <c r="BQ675" i="4"/>
  <c r="BR675" i="4"/>
  <c r="CD675" i="4" s="1"/>
  <c r="CP675" i="4" s="1"/>
  <c r="BS675" i="4"/>
  <c r="CE675" i="4" s="1"/>
  <c r="CQ675" i="4" s="1"/>
  <c r="DS675" i="4" s="1"/>
  <c r="BT675" i="4"/>
  <c r="CF675" i="4" s="1"/>
  <c r="CR675" i="4" s="1"/>
  <c r="DT675" i="4" s="1"/>
  <c r="BU675" i="4"/>
  <c r="CG675" i="4" s="1"/>
  <c r="CS675" i="4" s="1"/>
  <c r="BV675" i="4"/>
  <c r="BW675" i="4"/>
  <c r="CI675" i="4" s="1"/>
  <c r="CU675" i="4" s="1"/>
  <c r="BX675" i="4"/>
  <c r="CJ675" i="4" s="1"/>
  <c r="CV675" i="4" s="1"/>
  <c r="BY675" i="4"/>
  <c r="CK675" i="4" s="1"/>
  <c r="CW675" i="4" s="1"/>
  <c r="DY675" i="4" s="1"/>
  <c r="BZ675" i="4"/>
  <c r="CB675" i="4"/>
  <c r="CN675" i="4" s="1"/>
  <c r="CC675" i="4"/>
  <c r="CO675" i="4" s="1"/>
  <c r="CH675" i="4"/>
  <c r="CT675" i="4" s="1"/>
  <c r="CL675" i="4"/>
  <c r="CZ675" i="4"/>
  <c r="DA675" i="4"/>
  <c r="DB675" i="4"/>
  <c r="DC675" i="4"/>
  <c r="DD675" i="4"/>
  <c r="DR675" i="4" s="1"/>
  <c r="DE675" i="4"/>
  <c r="DF675" i="4"/>
  <c r="DG675" i="4"/>
  <c r="DH675" i="4"/>
  <c r="DI675" i="4"/>
  <c r="DJ675" i="4"/>
  <c r="DK675" i="4"/>
  <c r="DL675" i="4"/>
  <c r="BN676" i="4"/>
  <c r="BZ676" i="4" s="1"/>
  <c r="CL676" i="4" s="1"/>
  <c r="BO676" i="4"/>
  <c r="BP676" i="4"/>
  <c r="CB676" i="4" s="1"/>
  <c r="BQ676" i="4"/>
  <c r="CC676" i="4" s="1"/>
  <c r="BR676" i="4"/>
  <c r="CD676" i="4" s="1"/>
  <c r="CP676" i="4" s="1"/>
  <c r="BS676" i="4"/>
  <c r="CE676" i="4" s="1"/>
  <c r="CQ676" i="4" s="1"/>
  <c r="BT676" i="4"/>
  <c r="CF676" i="4" s="1"/>
  <c r="CR676" i="4" s="1"/>
  <c r="BU676" i="4"/>
  <c r="BV676" i="4"/>
  <c r="CH676" i="4" s="1"/>
  <c r="CT676" i="4" s="1"/>
  <c r="BW676" i="4"/>
  <c r="BX676" i="4"/>
  <c r="CJ676" i="4" s="1"/>
  <c r="CV676" i="4" s="1"/>
  <c r="BY676" i="4"/>
  <c r="CK676" i="4" s="1"/>
  <c r="CA676" i="4"/>
  <c r="CM676" i="4" s="1"/>
  <c r="CG676" i="4"/>
  <c r="CI676" i="4"/>
  <c r="CU676" i="4" s="1"/>
  <c r="CN676" i="4"/>
  <c r="CO676" i="4"/>
  <c r="CS676" i="4"/>
  <c r="CW676" i="4"/>
  <c r="DY676" i="4" s="1"/>
  <c r="CZ676" i="4"/>
  <c r="DA676" i="4"/>
  <c r="DB676" i="4"/>
  <c r="DC676" i="4"/>
  <c r="DD676" i="4"/>
  <c r="DE676" i="4"/>
  <c r="DF676" i="4"/>
  <c r="DG676" i="4"/>
  <c r="DH676" i="4"/>
  <c r="DI676" i="4"/>
  <c r="DW676" i="4" s="1"/>
  <c r="DJ676" i="4"/>
  <c r="DK676" i="4"/>
  <c r="DQ676" i="4"/>
  <c r="BN677" i="4"/>
  <c r="BZ677" i="4" s="1"/>
  <c r="CL677" i="4" s="1"/>
  <c r="BO677" i="4"/>
  <c r="CA677" i="4" s="1"/>
  <c r="CM677" i="4" s="1"/>
  <c r="BP677" i="4"/>
  <c r="CB677" i="4" s="1"/>
  <c r="CN677" i="4" s="1"/>
  <c r="BQ677" i="4"/>
  <c r="CC677" i="4" s="1"/>
  <c r="CO677" i="4" s="1"/>
  <c r="DQ677" i="4" s="1"/>
  <c r="BR677" i="4"/>
  <c r="CD677" i="4" s="1"/>
  <c r="CP677" i="4" s="1"/>
  <c r="BS677" i="4"/>
  <c r="CE677" i="4" s="1"/>
  <c r="CQ677" i="4" s="1"/>
  <c r="DS677" i="4" s="1"/>
  <c r="BT677" i="4"/>
  <c r="BU677" i="4"/>
  <c r="BV677" i="4"/>
  <c r="BW677" i="4"/>
  <c r="BX677" i="4"/>
  <c r="BY677" i="4"/>
  <c r="CK677" i="4" s="1"/>
  <c r="CW677" i="4" s="1"/>
  <c r="DY677" i="4" s="1"/>
  <c r="CF677" i="4"/>
  <c r="CR677" i="4" s="1"/>
  <c r="CG677" i="4"/>
  <c r="CH677" i="4"/>
  <c r="CT677" i="4" s="1"/>
  <c r="CI677" i="4"/>
  <c r="CU677" i="4" s="1"/>
  <c r="CJ677" i="4"/>
  <c r="CV677" i="4" s="1"/>
  <c r="DX677" i="4" s="1"/>
  <c r="CS677" i="4"/>
  <c r="CZ677" i="4"/>
  <c r="DA677" i="4"/>
  <c r="DB677" i="4"/>
  <c r="DP677" i="4" s="1"/>
  <c r="DC677" i="4"/>
  <c r="DD677" i="4"/>
  <c r="DE677" i="4"/>
  <c r="DF677" i="4"/>
  <c r="DT677" i="4" s="1"/>
  <c r="DG677" i="4"/>
  <c r="DH677" i="4"/>
  <c r="DI677" i="4"/>
  <c r="DJ677" i="4"/>
  <c r="DK677" i="4"/>
  <c r="BN678" i="4"/>
  <c r="BZ678" i="4" s="1"/>
  <c r="CL678" i="4" s="1"/>
  <c r="DN678" i="4" s="1"/>
  <c r="BO678" i="4"/>
  <c r="CA678" i="4" s="1"/>
  <c r="CM678" i="4" s="1"/>
  <c r="BP678" i="4"/>
  <c r="CB678" i="4" s="1"/>
  <c r="CN678" i="4" s="1"/>
  <c r="BQ678" i="4"/>
  <c r="CC678" i="4" s="1"/>
  <c r="CO678" i="4" s="1"/>
  <c r="BR678" i="4"/>
  <c r="CD678" i="4" s="1"/>
  <c r="CP678" i="4" s="1"/>
  <c r="DR678" i="4" s="1"/>
  <c r="BS678" i="4"/>
  <c r="CE678" i="4" s="1"/>
  <c r="BT678" i="4"/>
  <c r="BU678" i="4"/>
  <c r="CG678" i="4" s="1"/>
  <c r="CS678" i="4" s="1"/>
  <c r="BV678" i="4"/>
  <c r="CH678" i="4" s="1"/>
  <c r="CT678" i="4" s="1"/>
  <c r="DV678" i="4" s="1"/>
  <c r="BW678" i="4"/>
  <c r="CI678" i="4" s="1"/>
  <c r="CU678" i="4" s="1"/>
  <c r="BX678" i="4"/>
  <c r="CJ678" i="4" s="1"/>
  <c r="CV678" i="4" s="1"/>
  <c r="BY678" i="4"/>
  <c r="CK678" i="4" s="1"/>
  <c r="CW678" i="4" s="1"/>
  <c r="CF678" i="4"/>
  <c r="CR678" i="4" s="1"/>
  <c r="CQ678" i="4"/>
  <c r="CZ678" i="4"/>
  <c r="DA678" i="4"/>
  <c r="DB678" i="4"/>
  <c r="DC678" i="4"/>
  <c r="DD678" i="4"/>
  <c r="DE678" i="4"/>
  <c r="DF678" i="4"/>
  <c r="DG678" i="4"/>
  <c r="DH678" i="4"/>
  <c r="DI678" i="4"/>
  <c r="DW678" i="4" s="1"/>
  <c r="DJ678" i="4"/>
  <c r="DK678" i="4"/>
  <c r="BN679" i="4"/>
  <c r="BZ679" i="4" s="1"/>
  <c r="CL679" i="4" s="1"/>
  <c r="BO679" i="4"/>
  <c r="BP679" i="4"/>
  <c r="BQ679" i="4"/>
  <c r="CC679" i="4" s="1"/>
  <c r="CO679" i="4" s="1"/>
  <c r="BR679" i="4"/>
  <c r="CD679" i="4" s="1"/>
  <c r="CP679" i="4" s="1"/>
  <c r="BS679" i="4"/>
  <c r="CE679" i="4" s="1"/>
  <c r="CQ679" i="4" s="1"/>
  <c r="DS679" i="4" s="1"/>
  <c r="BT679" i="4"/>
  <c r="CF679" i="4" s="1"/>
  <c r="BU679" i="4"/>
  <c r="CG679" i="4" s="1"/>
  <c r="CS679" i="4" s="1"/>
  <c r="BV679" i="4"/>
  <c r="CH679" i="4" s="1"/>
  <c r="CT679" i="4" s="1"/>
  <c r="BW679" i="4"/>
  <c r="BX679" i="4"/>
  <c r="BY679" i="4"/>
  <c r="CK679" i="4" s="1"/>
  <c r="CW679" i="4" s="1"/>
  <c r="CA679" i="4"/>
  <c r="CM679" i="4" s="1"/>
  <c r="DO679" i="4" s="1"/>
  <c r="CB679" i="4"/>
  <c r="CN679" i="4" s="1"/>
  <c r="CI679" i="4"/>
  <c r="CU679" i="4" s="1"/>
  <c r="DW679" i="4" s="1"/>
  <c r="CJ679" i="4"/>
  <c r="CV679" i="4" s="1"/>
  <c r="CR679" i="4"/>
  <c r="DT679" i="4" s="1"/>
  <c r="CZ679" i="4"/>
  <c r="DN679" i="4" s="1"/>
  <c r="DA679" i="4"/>
  <c r="DB679" i="4"/>
  <c r="DC679" i="4"/>
  <c r="DD679" i="4"/>
  <c r="DE679" i="4"/>
  <c r="DF679" i="4"/>
  <c r="DG679" i="4"/>
  <c r="DM679" i="4" s="1"/>
  <c r="DH679" i="4"/>
  <c r="DV679" i="4" s="1"/>
  <c r="DI679" i="4"/>
  <c r="DJ679" i="4"/>
  <c r="DK679" i="4"/>
  <c r="BN680" i="4"/>
  <c r="BZ680" i="4" s="1"/>
  <c r="CL680" i="4" s="1"/>
  <c r="BO680" i="4"/>
  <c r="CA680" i="4" s="1"/>
  <c r="CM680" i="4" s="1"/>
  <c r="BP680" i="4"/>
  <c r="BQ680" i="4"/>
  <c r="CC680" i="4" s="1"/>
  <c r="CO680" i="4" s="1"/>
  <c r="BR680" i="4"/>
  <c r="CD680" i="4" s="1"/>
  <c r="CP680" i="4" s="1"/>
  <c r="BS680" i="4"/>
  <c r="CE680" i="4" s="1"/>
  <c r="CQ680" i="4" s="1"/>
  <c r="DS680" i="4" s="1"/>
  <c r="BT680" i="4"/>
  <c r="CF680" i="4" s="1"/>
  <c r="CR680" i="4" s="1"/>
  <c r="BU680" i="4"/>
  <c r="BV680" i="4"/>
  <c r="CH680" i="4" s="1"/>
  <c r="CT680" i="4" s="1"/>
  <c r="BW680" i="4"/>
  <c r="CI680" i="4" s="1"/>
  <c r="CU680" i="4" s="1"/>
  <c r="BX680" i="4"/>
  <c r="CJ680" i="4" s="1"/>
  <c r="CV680" i="4" s="1"/>
  <c r="BY680" i="4"/>
  <c r="CK680" i="4" s="1"/>
  <c r="CW680" i="4" s="1"/>
  <c r="CB680" i="4"/>
  <c r="CN680" i="4" s="1"/>
  <c r="CG680" i="4"/>
  <c r="CS680" i="4" s="1"/>
  <c r="CZ680" i="4"/>
  <c r="DA680" i="4"/>
  <c r="DB680" i="4"/>
  <c r="DC680" i="4"/>
  <c r="DD680" i="4"/>
  <c r="DE680" i="4"/>
  <c r="DF680" i="4"/>
  <c r="DG680" i="4"/>
  <c r="DH680" i="4"/>
  <c r="DI680" i="4"/>
  <c r="DJ680" i="4"/>
  <c r="DK680" i="4"/>
  <c r="BN621" i="4"/>
  <c r="BO621" i="4"/>
  <c r="BP621" i="4"/>
  <c r="BQ621" i="4"/>
  <c r="CC621" i="4" s="1"/>
  <c r="CO621" i="4" s="1"/>
  <c r="DQ621" i="4" s="1"/>
  <c r="BR621" i="4"/>
  <c r="CD621" i="4" s="1"/>
  <c r="CP621" i="4" s="1"/>
  <c r="BS621" i="4"/>
  <c r="CE621" i="4" s="1"/>
  <c r="CQ621" i="4" s="1"/>
  <c r="DS621" i="4" s="1"/>
  <c r="BT621" i="4"/>
  <c r="CF621" i="4" s="1"/>
  <c r="CR621" i="4" s="1"/>
  <c r="BU621" i="4"/>
  <c r="CG621" i="4" s="1"/>
  <c r="BV621" i="4"/>
  <c r="BW621" i="4"/>
  <c r="BX621" i="4"/>
  <c r="BY621" i="4"/>
  <c r="CK621" i="4" s="1"/>
  <c r="CW621" i="4" s="1"/>
  <c r="DY621" i="4" s="1"/>
  <c r="BZ621" i="4"/>
  <c r="CL621" i="4" s="1"/>
  <c r="CA621" i="4"/>
  <c r="CM621" i="4" s="1"/>
  <c r="DO621" i="4" s="1"/>
  <c r="CB621" i="4"/>
  <c r="CN621" i="4" s="1"/>
  <c r="CH621" i="4"/>
  <c r="CT621" i="4" s="1"/>
  <c r="CI621" i="4"/>
  <c r="CU621" i="4" s="1"/>
  <c r="DW621" i="4" s="1"/>
  <c r="CJ621" i="4"/>
  <c r="CS621" i="4"/>
  <c r="CV621" i="4"/>
  <c r="CZ621" i="4"/>
  <c r="DA621" i="4"/>
  <c r="DB621" i="4"/>
  <c r="DC621" i="4"/>
  <c r="DD621" i="4"/>
  <c r="DE621" i="4"/>
  <c r="DF621" i="4"/>
  <c r="DG621" i="4"/>
  <c r="DH621" i="4"/>
  <c r="DV621" i="4" s="1"/>
  <c r="DI621" i="4"/>
  <c r="DJ621" i="4"/>
  <c r="DK621" i="4"/>
  <c r="BN622" i="4"/>
  <c r="BO622" i="4"/>
  <c r="CA622" i="4" s="1"/>
  <c r="CM622" i="4" s="1"/>
  <c r="BP622" i="4"/>
  <c r="CB622" i="4" s="1"/>
  <c r="CN622" i="4" s="1"/>
  <c r="BQ622" i="4"/>
  <c r="BR622" i="4"/>
  <c r="CD622" i="4" s="1"/>
  <c r="CP622" i="4" s="1"/>
  <c r="DR622" i="4" s="1"/>
  <c r="BS622" i="4"/>
  <c r="CE622" i="4" s="1"/>
  <c r="BT622" i="4"/>
  <c r="BU622" i="4"/>
  <c r="BV622" i="4"/>
  <c r="CH622" i="4" s="1"/>
  <c r="CT622" i="4" s="1"/>
  <c r="DV622" i="4" s="1"/>
  <c r="BW622" i="4"/>
  <c r="BX622" i="4"/>
  <c r="CJ622" i="4" s="1"/>
  <c r="CV622" i="4" s="1"/>
  <c r="BY622" i="4"/>
  <c r="BZ622" i="4"/>
  <c r="CL622" i="4" s="1"/>
  <c r="DN622" i="4" s="1"/>
  <c r="CC622" i="4"/>
  <c r="CO622" i="4" s="1"/>
  <c r="CF622" i="4"/>
  <c r="CR622" i="4" s="1"/>
  <c r="CG622" i="4"/>
  <c r="CS622" i="4" s="1"/>
  <c r="DU622" i="4" s="1"/>
  <c r="CI622" i="4"/>
  <c r="CU622" i="4" s="1"/>
  <c r="CK622" i="4"/>
  <c r="CW622" i="4" s="1"/>
  <c r="CQ622" i="4"/>
  <c r="CZ622" i="4"/>
  <c r="DA622" i="4"/>
  <c r="DO622" i="4" s="1"/>
  <c r="DB622" i="4"/>
  <c r="DC622" i="4"/>
  <c r="DD622" i="4"/>
  <c r="DE622" i="4"/>
  <c r="DF622" i="4"/>
  <c r="DG622" i="4"/>
  <c r="DH622" i="4"/>
  <c r="DI622" i="4"/>
  <c r="DW622" i="4" s="1"/>
  <c r="DJ622" i="4"/>
  <c r="DX622" i="4" s="1"/>
  <c r="DK622" i="4"/>
  <c r="BN623" i="4"/>
  <c r="BZ623" i="4" s="1"/>
  <c r="CL623" i="4" s="1"/>
  <c r="BO623" i="4"/>
  <c r="BP623" i="4"/>
  <c r="CB623" i="4" s="1"/>
  <c r="CN623" i="4" s="1"/>
  <c r="DP623" i="4" s="1"/>
  <c r="BQ623" i="4"/>
  <c r="CC623" i="4" s="1"/>
  <c r="BR623" i="4"/>
  <c r="CD623" i="4" s="1"/>
  <c r="CP623" i="4" s="1"/>
  <c r="BS623" i="4"/>
  <c r="CE623" i="4" s="1"/>
  <c r="CQ623" i="4" s="1"/>
  <c r="BT623" i="4"/>
  <c r="CF623" i="4" s="1"/>
  <c r="CR623" i="4" s="1"/>
  <c r="BU623" i="4"/>
  <c r="BV623" i="4"/>
  <c r="CH623" i="4" s="1"/>
  <c r="CT623" i="4" s="1"/>
  <c r="BW623" i="4"/>
  <c r="BX623" i="4"/>
  <c r="CJ623" i="4" s="1"/>
  <c r="CV623" i="4" s="1"/>
  <c r="DX623" i="4" s="1"/>
  <c r="BY623" i="4"/>
  <c r="CK623" i="4" s="1"/>
  <c r="CA623" i="4"/>
  <c r="CM623" i="4" s="1"/>
  <c r="DO623" i="4" s="1"/>
  <c r="CG623" i="4"/>
  <c r="CS623" i="4" s="1"/>
  <c r="CI623" i="4"/>
  <c r="CU623" i="4" s="1"/>
  <c r="CO623" i="4"/>
  <c r="CW623" i="4"/>
  <c r="CZ623" i="4"/>
  <c r="DN623" i="4" s="1"/>
  <c r="DA623" i="4"/>
  <c r="DB623" i="4"/>
  <c r="DC623" i="4"/>
  <c r="DD623" i="4"/>
  <c r="DE623" i="4"/>
  <c r="DF623" i="4"/>
  <c r="DG623" i="4"/>
  <c r="DU623" i="4" s="1"/>
  <c r="DH623" i="4"/>
  <c r="DI623" i="4"/>
  <c r="DJ623" i="4"/>
  <c r="DK623" i="4"/>
  <c r="BN624" i="4"/>
  <c r="BZ624" i="4" s="1"/>
  <c r="CL624" i="4" s="1"/>
  <c r="BO624" i="4"/>
  <c r="CA624" i="4" s="1"/>
  <c r="CM624" i="4" s="1"/>
  <c r="BP624" i="4"/>
  <c r="CB624" i="4" s="1"/>
  <c r="CN624" i="4" s="1"/>
  <c r="BQ624" i="4"/>
  <c r="CC624" i="4" s="1"/>
  <c r="CO624" i="4" s="1"/>
  <c r="BR624" i="4"/>
  <c r="CD624" i="4" s="1"/>
  <c r="CP624" i="4" s="1"/>
  <c r="DR624" i="4" s="1"/>
  <c r="BS624" i="4"/>
  <c r="CE624" i="4" s="1"/>
  <c r="CQ624" i="4" s="1"/>
  <c r="BT624" i="4"/>
  <c r="CF624" i="4" s="1"/>
  <c r="CR624" i="4" s="1"/>
  <c r="BU624" i="4"/>
  <c r="BV624" i="4"/>
  <c r="BW624" i="4"/>
  <c r="CI624" i="4" s="1"/>
  <c r="CU624" i="4" s="1"/>
  <c r="BX624" i="4"/>
  <c r="CJ624" i="4" s="1"/>
  <c r="CV624" i="4" s="1"/>
  <c r="BY624" i="4"/>
  <c r="CK624" i="4" s="1"/>
  <c r="CW624" i="4" s="1"/>
  <c r="DY624" i="4" s="1"/>
  <c r="CG624" i="4"/>
  <c r="CH624" i="4"/>
  <c r="CT624" i="4" s="1"/>
  <c r="CS624" i="4"/>
  <c r="CZ624" i="4"/>
  <c r="DA624" i="4"/>
  <c r="DM624" i="4" s="1"/>
  <c r="DB624" i="4"/>
  <c r="DC624" i="4"/>
  <c r="DD624" i="4"/>
  <c r="DE624" i="4"/>
  <c r="DF624" i="4"/>
  <c r="DG624" i="4"/>
  <c r="DH624" i="4"/>
  <c r="DI624" i="4"/>
  <c r="DJ624" i="4"/>
  <c r="DK624" i="4"/>
  <c r="BN625" i="4"/>
  <c r="BO625" i="4"/>
  <c r="CA625" i="4" s="1"/>
  <c r="CM625" i="4" s="1"/>
  <c r="BP625" i="4"/>
  <c r="CB625" i="4" s="1"/>
  <c r="CN625" i="4" s="1"/>
  <c r="BQ625" i="4"/>
  <c r="CC625" i="4" s="1"/>
  <c r="CO625" i="4" s="1"/>
  <c r="BR625" i="4"/>
  <c r="CD625" i="4" s="1"/>
  <c r="CP625" i="4" s="1"/>
  <c r="BS625" i="4"/>
  <c r="CE625" i="4" s="1"/>
  <c r="CQ625" i="4" s="1"/>
  <c r="DS625" i="4" s="1"/>
  <c r="BT625" i="4"/>
  <c r="CF625" i="4" s="1"/>
  <c r="CR625" i="4" s="1"/>
  <c r="BU625" i="4"/>
  <c r="CG625" i="4" s="1"/>
  <c r="CS625" i="4" s="1"/>
  <c r="BV625" i="4"/>
  <c r="BW625" i="4"/>
  <c r="CI625" i="4" s="1"/>
  <c r="CU625" i="4" s="1"/>
  <c r="BX625" i="4"/>
  <c r="CJ625" i="4" s="1"/>
  <c r="BY625" i="4"/>
  <c r="BZ625" i="4"/>
  <c r="CL625" i="4" s="1"/>
  <c r="CH625" i="4"/>
  <c r="CT625" i="4" s="1"/>
  <c r="CK625" i="4"/>
  <c r="CW625" i="4" s="1"/>
  <c r="CV625" i="4"/>
  <c r="CZ625" i="4"/>
  <c r="DA625" i="4"/>
  <c r="DB625" i="4"/>
  <c r="DC625" i="4"/>
  <c r="DD625" i="4"/>
  <c r="DE625" i="4"/>
  <c r="DF625" i="4"/>
  <c r="DG625" i="4"/>
  <c r="DH625" i="4"/>
  <c r="DI625" i="4"/>
  <c r="DJ625" i="4"/>
  <c r="DK625" i="4"/>
  <c r="BN626" i="4"/>
  <c r="BZ626" i="4" s="1"/>
  <c r="CL626" i="4" s="1"/>
  <c r="BO626" i="4"/>
  <c r="CA626" i="4" s="1"/>
  <c r="CM626" i="4" s="1"/>
  <c r="BP626" i="4"/>
  <c r="CB626" i="4" s="1"/>
  <c r="CN626" i="4" s="1"/>
  <c r="BQ626" i="4"/>
  <c r="CC626" i="4" s="1"/>
  <c r="CO626" i="4" s="1"/>
  <c r="DQ626" i="4" s="1"/>
  <c r="BR626" i="4"/>
  <c r="CD626" i="4" s="1"/>
  <c r="CP626" i="4" s="1"/>
  <c r="DR626" i="4" s="1"/>
  <c r="BS626" i="4"/>
  <c r="CE626" i="4" s="1"/>
  <c r="CQ626" i="4" s="1"/>
  <c r="BT626" i="4"/>
  <c r="BU626" i="4"/>
  <c r="BV626" i="4"/>
  <c r="BW626" i="4"/>
  <c r="CI626" i="4" s="1"/>
  <c r="CU626" i="4" s="1"/>
  <c r="BX626" i="4"/>
  <c r="CJ626" i="4" s="1"/>
  <c r="CV626" i="4" s="1"/>
  <c r="BY626" i="4"/>
  <c r="CK626" i="4" s="1"/>
  <c r="CW626" i="4" s="1"/>
  <c r="DY626" i="4" s="1"/>
  <c r="CF626" i="4"/>
  <c r="CR626" i="4" s="1"/>
  <c r="CG626" i="4"/>
  <c r="CS626" i="4" s="1"/>
  <c r="CH626" i="4"/>
  <c r="CT626" i="4" s="1"/>
  <c r="CZ626" i="4"/>
  <c r="DA626" i="4"/>
  <c r="DB626" i="4"/>
  <c r="DC626" i="4"/>
  <c r="DD626" i="4"/>
  <c r="DE626" i="4"/>
  <c r="DF626" i="4"/>
  <c r="DG626" i="4"/>
  <c r="DU626" i="4" s="1"/>
  <c r="DH626" i="4"/>
  <c r="DI626" i="4"/>
  <c r="DJ626" i="4"/>
  <c r="DK626" i="4"/>
  <c r="BN627" i="4"/>
  <c r="BZ627" i="4" s="1"/>
  <c r="CL627" i="4" s="1"/>
  <c r="BO627" i="4"/>
  <c r="CA627" i="4" s="1"/>
  <c r="CM627" i="4" s="1"/>
  <c r="DO627" i="4" s="1"/>
  <c r="BP627" i="4"/>
  <c r="CB627" i="4" s="1"/>
  <c r="CN627" i="4" s="1"/>
  <c r="DP627" i="4" s="1"/>
  <c r="BQ627" i="4"/>
  <c r="CC627" i="4" s="1"/>
  <c r="CO627" i="4" s="1"/>
  <c r="BR627" i="4"/>
  <c r="BS627" i="4"/>
  <c r="CE627" i="4" s="1"/>
  <c r="CQ627" i="4" s="1"/>
  <c r="DS627" i="4" s="1"/>
  <c r="BT627" i="4"/>
  <c r="CF627" i="4" s="1"/>
  <c r="CR627" i="4" s="1"/>
  <c r="DT627" i="4" s="1"/>
  <c r="BU627" i="4"/>
  <c r="BV627" i="4"/>
  <c r="CH627" i="4" s="1"/>
  <c r="CT627" i="4" s="1"/>
  <c r="BW627" i="4"/>
  <c r="CI627" i="4" s="1"/>
  <c r="CU627" i="4" s="1"/>
  <c r="DW627" i="4" s="1"/>
  <c r="BX627" i="4"/>
  <c r="CJ627" i="4" s="1"/>
  <c r="CV627" i="4" s="1"/>
  <c r="DX627" i="4" s="1"/>
  <c r="BY627" i="4"/>
  <c r="CK627" i="4" s="1"/>
  <c r="CW627" i="4" s="1"/>
  <c r="CD627" i="4"/>
  <c r="CP627" i="4" s="1"/>
  <c r="CG627" i="4"/>
  <c r="CS627" i="4" s="1"/>
  <c r="DU627" i="4" s="1"/>
  <c r="CZ627" i="4"/>
  <c r="DA627" i="4"/>
  <c r="DB627" i="4"/>
  <c r="DC627" i="4"/>
  <c r="DD627" i="4"/>
  <c r="DE627" i="4"/>
  <c r="DF627" i="4"/>
  <c r="DG627" i="4"/>
  <c r="DH627" i="4"/>
  <c r="DV627" i="4" s="1"/>
  <c r="DI627" i="4"/>
  <c r="DJ627" i="4"/>
  <c r="DK627" i="4"/>
  <c r="DL627" i="4"/>
  <c r="BN628" i="4"/>
  <c r="BO628" i="4"/>
  <c r="CA628" i="4" s="1"/>
  <c r="BP628" i="4"/>
  <c r="BQ628" i="4"/>
  <c r="CC628" i="4" s="1"/>
  <c r="CO628" i="4" s="1"/>
  <c r="DQ628" i="4" s="1"/>
  <c r="BR628" i="4"/>
  <c r="CD628" i="4" s="1"/>
  <c r="CP628" i="4" s="1"/>
  <c r="DR628" i="4" s="1"/>
  <c r="BS628" i="4"/>
  <c r="BT628" i="4"/>
  <c r="CF628" i="4" s="1"/>
  <c r="CR628" i="4" s="1"/>
  <c r="BU628" i="4"/>
  <c r="CG628" i="4" s="1"/>
  <c r="CS628" i="4" s="1"/>
  <c r="DU628" i="4" s="1"/>
  <c r="BV628" i="4"/>
  <c r="BW628" i="4"/>
  <c r="CI628" i="4" s="1"/>
  <c r="BX628" i="4"/>
  <c r="BY628" i="4"/>
  <c r="CK628" i="4" s="1"/>
  <c r="CW628" i="4" s="1"/>
  <c r="DY628" i="4" s="1"/>
  <c r="BZ628" i="4"/>
  <c r="CL628" i="4" s="1"/>
  <c r="CB628" i="4"/>
  <c r="CN628" i="4" s="1"/>
  <c r="CE628" i="4"/>
  <c r="CQ628" i="4" s="1"/>
  <c r="CH628" i="4"/>
  <c r="CT628" i="4" s="1"/>
  <c r="CJ628" i="4"/>
  <c r="CV628" i="4" s="1"/>
  <c r="CM628" i="4"/>
  <c r="CU628" i="4"/>
  <c r="CZ628" i="4"/>
  <c r="DA628" i="4"/>
  <c r="DB628" i="4"/>
  <c r="DC628" i="4"/>
  <c r="DD628" i="4"/>
  <c r="DE628" i="4"/>
  <c r="DF628" i="4"/>
  <c r="DG628" i="4"/>
  <c r="DH628" i="4"/>
  <c r="DI628" i="4"/>
  <c r="DJ628" i="4"/>
  <c r="DK628" i="4"/>
  <c r="BN629" i="4"/>
  <c r="BO629" i="4"/>
  <c r="BP629" i="4"/>
  <c r="CB629" i="4" s="1"/>
  <c r="CN629" i="4" s="1"/>
  <c r="DP629" i="4" s="1"/>
  <c r="BQ629" i="4"/>
  <c r="BR629" i="4"/>
  <c r="CD629" i="4" s="1"/>
  <c r="CP629" i="4" s="1"/>
  <c r="BS629" i="4"/>
  <c r="CE629" i="4" s="1"/>
  <c r="CQ629" i="4" s="1"/>
  <c r="BT629" i="4"/>
  <c r="CF629" i="4" s="1"/>
  <c r="CR629" i="4" s="1"/>
  <c r="DT629" i="4" s="1"/>
  <c r="BU629" i="4"/>
  <c r="CG629" i="4" s="1"/>
  <c r="CS629" i="4" s="1"/>
  <c r="BV629" i="4"/>
  <c r="BW629" i="4"/>
  <c r="BX629" i="4"/>
  <c r="CJ629" i="4" s="1"/>
  <c r="CV629" i="4" s="1"/>
  <c r="BY629" i="4"/>
  <c r="CK629" i="4" s="1"/>
  <c r="CW629" i="4" s="1"/>
  <c r="BZ629" i="4"/>
  <c r="CL629" i="4" s="1"/>
  <c r="CA629" i="4"/>
  <c r="CM629" i="4" s="1"/>
  <c r="CC629" i="4"/>
  <c r="CO629" i="4" s="1"/>
  <c r="DQ629" i="4" s="1"/>
  <c r="CH629" i="4"/>
  <c r="CT629" i="4" s="1"/>
  <c r="CZ629" i="4"/>
  <c r="DA629" i="4"/>
  <c r="DB629" i="4"/>
  <c r="DC629" i="4"/>
  <c r="DD629" i="4"/>
  <c r="DE629" i="4"/>
  <c r="DF629" i="4"/>
  <c r="DG629" i="4"/>
  <c r="DH629" i="4"/>
  <c r="DJ629" i="4"/>
  <c r="DK629" i="4"/>
  <c r="DY629" i="4"/>
  <c r="BN630" i="4"/>
  <c r="BZ630" i="4" s="1"/>
  <c r="CL630" i="4" s="1"/>
  <c r="BO630" i="4"/>
  <c r="CA630" i="4" s="1"/>
  <c r="CM630" i="4" s="1"/>
  <c r="DO630" i="4" s="1"/>
  <c r="BP630" i="4"/>
  <c r="CB630" i="4" s="1"/>
  <c r="CN630" i="4" s="1"/>
  <c r="BQ630" i="4"/>
  <c r="CC630" i="4" s="1"/>
  <c r="CO630" i="4" s="1"/>
  <c r="DQ630" i="4" s="1"/>
  <c r="BR630" i="4"/>
  <c r="CD630" i="4" s="1"/>
  <c r="CP630" i="4" s="1"/>
  <c r="BS630" i="4"/>
  <c r="CE630" i="4" s="1"/>
  <c r="CQ630" i="4" s="1"/>
  <c r="BT630" i="4"/>
  <c r="BU630" i="4"/>
  <c r="CG630" i="4" s="1"/>
  <c r="CS630" i="4" s="1"/>
  <c r="DU630" i="4" s="1"/>
  <c r="BV630" i="4"/>
  <c r="BW630" i="4"/>
  <c r="BX630" i="4"/>
  <c r="CJ630" i="4" s="1"/>
  <c r="CV630" i="4" s="1"/>
  <c r="BY630" i="4"/>
  <c r="CK630" i="4" s="1"/>
  <c r="CW630" i="4" s="1"/>
  <c r="DY630" i="4" s="1"/>
  <c r="CF630" i="4"/>
  <c r="CR630" i="4" s="1"/>
  <c r="CH630" i="4"/>
  <c r="CT630" i="4" s="1"/>
  <c r="DV630" i="4" s="1"/>
  <c r="CI630" i="4"/>
  <c r="CU630" i="4" s="1"/>
  <c r="DW630" i="4" s="1"/>
  <c r="CZ630" i="4"/>
  <c r="DA630" i="4"/>
  <c r="DB630" i="4"/>
  <c r="DC630" i="4"/>
  <c r="DD630" i="4"/>
  <c r="DE630" i="4"/>
  <c r="DS630" i="4" s="1"/>
  <c r="DF630" i="4"/>
  <c r="DG630" i="4"/>
  <c r="DH630" i="4"/>
  <c r="DI630" i="4"/>
  <c r="DJ630" i="4"/>
  <c r="DK630" i="4"/>
  <c r="BN631" i="4"/>
  <c r="BZ631" i="4" s="1"/>
  <c r="CL631" i="4" s="1"/>
  <c r="BO631" i="4"/>
  <c r="BP631" i="4"/>
  <c r="CB631" i="4" s="1"/>
  <c r="CN631" i="4" s="1"/>
  <c r="DP631" i="4" s="1"/>
  <c r="BQ631" i="4"/>
  <c r="CC631" i="4" s="1"/>
  <c r="BR631" i="4"/>
  <c r="CD631" i="4" s="1"/>
  <c r="CP631" i="4" s="1"/>
  <c r="BS631" i="4"/>
  <c r="BT631" i="4"/>
  <c r="CF631" i="4" s="1"/>
  <c r="CR631" i="4" s="1"/>
  <c r="BU631" i="4"/>
  <c r="CG631" i="4" s="1"/>
  <c r="CS631" i="4" s="1"/>
  <c r="BV631" i="4"/>
  <c r="CH631" i="4" s="1"/>
  <c r="CT631" i="4" s="1"/>
  <c r="BW631" i="4"/>
  <c r="BX631" i="4"/>
  <c r="CJ631" i="4" s="1"/>
  <c r="CV631" i="4" s="1"/>
  <c r="DX631" i="4" s="1"/>
  <c r="BY631" i="4"/>
  <c r="CK631" i="4" s="1"/>
  <c r="CA631" i="4"/>
  <c r="CM631" i="4" s="1"/>
  <c r="CE631" i="4"/>
  <c r="CQ631" i="4" s="1"/>
  <c r="CI631" i="4"/>
  <c r="CU631" i="4" s="1"/>
  <c r="DW631" i="4" s="1"/>
  <c r="CO631" i="4"/>
  <c r="CW631" i="4"/>
  <c r="CZ631" i="4"/>
  <c r="DA631" i="4"/>
  <c r="DB631" i="4"/>
  <c r="DC631" i="4"/>
  <c r="DD631" i="4"/>
  <c r="DE631" i="4"/>
  <c r="DF631" i="4"/>
  <c r="DG631" i="4"/>
  <c r="DM631" i="4" s="1"/>
  <c r="DH631" i="4"/>
  <c r="DI631" i="4"/>
  <c r="DJ631" i="4"/>
  <c r="DK631" i="4"/>
  <c r="BN632" i="4"/>
  <c r="BZ632" i="4" s="1"/>
  <c r="CL632" i="4" s="1"/>
  <c r="DN632" i="4" s="1"/>
  <c r="BO632" i="4"/>
  <c r="CA632" i="4" s="1"/>
  <c r="CM632" i="4" s="1"/>
  <c r="BP632" i="4"/>
  <c r="CB632" i="4" s="1"/>
  <c r="CN632" i="4" s="1"/>
  <c r="BQ632" i="4"/>
  <c r="CC632" i="4" s="1"/>
  <c r="CO632" i="4" s="1"/>
  <c r="DQ632" i="4" s="1"/>
  <c r="BR632" i="4"/>
  <c r="CD632" i="4" s="1"/>
  <c r="CP632" i="4" s="1"/>
  <c r="BS632" i="4"/>
  <c r="BT632" i="4"/>
  <c r="CF632" i="4" s="1"/>
  <c r="CR632" i="4" s="1"/>
  <c r="BU632" i="4"/>
  <c r="CG632" i="4" s="1"/>
  <c r="CS632" i="4" s="1"/>
  <c r="BV632" i="4"/>
  <c r="CH632" i="4" s="1"/>
  <c r="CT632" i="4" s="1"/>
  <c r="DV632" i="4" s="1"/>
  <c r="BW632" i="4"/>
  <c r="CI632" i="4" s="1"/>
  <c r="CU632" i="4" s="1"/>
  <c r="BX632" i="4"/>
  <c r="CJ632" i="4" s="1"/>
  <c r="CV632" i="4" s="1"/>
  <c r="BY632" i="4"/>
  <c r="CK632" i="4" s="1"/>
  <c r="CW632" i="4" s="1"/>
  <c r="DY632" i="4" s="1"/>
  <c r="CE632" i="4"/>
  <c r="CQ632" i="4" s="1"/>
  <c r="CZ632" i="4"/>
  <c r="DA632" i="4"/>
  <c r="DB632" i="4"/>
  <c r="DC632" i="4"/>
  <c r="DD632" i="4"/>
  <c r="DE632" i="4"/>
  <c r="DS632" i="4" s="1"/>
  <c r="DF632" i="4"/>
  <c r="DT632" i="4" s="1"/>
  <c r="DG632" i="4"/>
  <c r="DH632" i="4"/>
  <c r="DI632" i="4"/>
  <c r="DJ632" i="4"/>
  <c r="DK632" i="4"/>
  <c r="BN633" i="4"/>
  <c r="BZ633" i="4" s="1"/>
  <c r="CL633" i="4" s="1"/>
  <c r="BO633" i="4"/>
  <c r="CA633" i="4" s="1"/>
  <c r="CM633" i="4" s="1"/>
  <c r="BP633" i="4"/>
  <c r="CB633" i="4" s="1"/>
  <c r="CN633" i="4" s="1"/>
  <c r="BQ633" i="4"/>
  <c r="CC633" i="4" s="1"/>
  <c r="CO633" i="4" s="1"/>
  <c r="BR633" i="4"/>
  <c r="CD633" i="4" s="1"/>
  <c r="CP633" i="4" s="1"/>
  <c r="BS633" i="4"/>
  <c r="BT633" i="4"/>
  <c r="BU633" i="4"/>
  <c r="CG633" i="4" s="1"/>
  <c r="CS633" i="4" s="1"/>
  <c r="BV633" i="4"/>
  <c r="BW633" i="4"/>
  <c r="CI633" i="4" s="1"/>
  <c r="CU633" i="4" s="1"/>
  <c r="BX633" i="4"/>
  <c r="CJ633" i="4" s="1"/>
  <c r="CV633" i="4" s="1"/>
  <c r="BY633" i="4"/>
  <c r="CK633" i="4" s="1"/>
  <c r="CW633" i="4" s="1"/>
  <c r="CE633" i="4"/>
  <c r="CQ633" i="4" s="1"/>
  <c r="CF633" i="4"/>
  <c r="CR633" i="4" s="1"/>
  <c r="DT633" i="4" s="1"/>
  <c r="CH633" i="4"/>
  <c r="CT633" i="4" s="1"/>
  <c r="CZ633" i="4"/>
  <c r="DA633" i="4"/>
  <c r="DM633" i="4" s="1"/>
  <c r="DB633" i="4"/>
  <c r="DC633" i="4"/>
  <c r="DD633" i="4"/>
  <c r="DE633" i="4"/>
  <c r="DF633" i="4"/>
  <c r="DG633" i="4"/>
  <c r="DH633" i="4"/>
  <c r="DI633" i="4"/>
  <c r="DJ633" i="4"/>
  <c r="DX633" i="4" s="1"/>
  <c r="DK633" i="4"/>
  <c r="BN634" i="4"/>
  <c r="BO634" i="4"/>
  <c r="BP634" i="4"/>
  <c r="CB634" i="4" s="1"/>
  <c r="CN634" i="4" s="1"/>
  <c r="BQ634" i="4"/>
  <c r="CC634" i="4" s="1"/>
  <c r="CO634" i="4" s="1"/>
  <c r="BR634" i="4"/>
  <c r="CD634" i="4" s="1"/>
  <c r="CP634" i="4" s="1"/>
  <c r="DR634" i="4" s="1"/>
  <c r="BS634" i="4"/>
  <c r="CE634" i="4" s="1"/>
  <c r="CQ634" i="4" s="1"/>
  <c r="BT634" i="4"/>
  <c r="BU634" i="4"/>
  <c r="CG634" i="4" s="1"/>
  <c r="CS634" i="4" s="1"/>
  <c r="DU634" i="4" s="1"/>
  <c r="BV634" i="4"/>
  <c r="BW634" i="4"/>
  <c r="CI634" i="4" s="1"/>
  <c r="CU634" i="4" s="1"/>
  <c r="BX634" i="4"/>
  <c r="CJ634" i="4" s="1"/>
  <c r="CV634" i="4" s="1"/>
  <c r="BY634" i="4"/>
  <c r="CK634" i="4" s="1"/>
  <c r="CW634" i="4" s="1"/>
  <c r="BZ634" i="4"/>
  <c r="CL634" i="4" s="1"/>
  <c r="DN634" i="4" s="1"/>
  <c r="CA634" i="4"/>
  <c r="CM634" i="4" s="1"/>
  <c r="CF634" i="4"/>
  <c r="CR634" i="4" s="1"/>
  <c r="CH634" i="4"/>
  <c r="CT634" i="4" s="1"/>
  <c r="DV634" i="4" s="1"/>
  <c r="CZ634" i="4"/>
  <c r="DA634" i="4"/>
  <c r="DB634" i="4"/>
  <c r="DC634" i="4"/>
  <c r="DD634" i="4"/>
  <c r="DE634" i="4"/>
  <c r="DF634" i="4"/>
  <c r="DG634" i="4"/>
  <c r="DH634" i="4"/>
  <c r="DI634" i="4"/>
  <c r="DW634" i="4" s="1"/>
  <c r="DJ634" i="4"/>
  <c r="DK634" i="4"/>
  <c r="DO634" i="4"/>
  <c r="BN635" i="4"/>
  <c r="BZ635" i="4" s="1"/>
  <c r="CL635" i="4" s="1"/>
  <c r="BO635" i="4"/>
  <c r="CA635" i="4" s="1"/>
  <c r="CM635" i="4" s="1"/>
  <c r="BP635" i="4"/>
  <c r="CB635" i="4" s="1"/>
  <c r="CN635" i="4" s="1"/>
  <c r="BQ635" i="4"/>
  <c r="CC635" i="4" s="1"/>
  <c r="CO635" i="4" s="1"/>
  <c r="BR635" i="4"/>
  <c r="BS635" i="4"/>
  <c r="CE635" i="4" s="1"/>
  <c r="CQ635" i="4" s="1"/>
  <c r="DS635" i="4" s="1"/>
  <c r="BT635" i="4"/>
  <c r="CF635" i="4" s="1"/>
  <c r="CR635" i="4" s="1"/>
  <c r="DT635" i="4" s="1"/>
  <c r="BU635" i="4"/>
  <c r="BV635" i="4"/>
  <c r="CH635" i="4" s="1"/>
  <c r="CT635" i="4" s="1"/>
  <c r="BW635" i="4"/>
  <c r="CI635" i="4" s="1"/>
  <c r="CU635" i="4" s="1"/>
  <c r="BX635" i="4"/>
  <c r="CJ635" i="4" s="1"/>
  <c r="CV635" i="4" s="1"/>
  <c r="BY635" i="4"/>
  <c r="CK635" i="4" s="1"/>
  <c r="CD635" i="4"/>
  <c r="CP635" i="4" s="1"/>
  <c r="CG635" i="4"/>
  <c r="CS635" i="4" s="1"/>
  <c r="CW635" i="4"/>
  <c r="CZ635" i="4"/>
  <c r="DA635" i="4"/>
  <c r="DB635" i="4"/>
  <c r="DC635" i="4"/>
  <c r="DD635" i="4"/>
  <c r="DE635" i="4"/>
  <c r="DF635" i="4"/>
  <c r="DG635" i="4"/>
  <c r="DH635" i="4"/>
  <c r="DI635" i="4"/>
  <c r="DJ635" i="4"/>
  <c r="DK635" i="4"/>
  <c r="DY635" i="4" s="1"/>
  <c r="DL635" i="4"/>
  <c r="BN636" i="4"/>
  <c r="BZ636" i="4" s="1"/>
  <c r="CL636" i="4" s="1"/>
  <c r="DN636" i="4" s="1"/>
  <c r="BO636" i="4"/>
  <c r="CA636" i="4" s="1"/>
  <c r="CM636" i="4" s="1"/>
  <c r="BP636" i="4"/>
  <c r="CB636" i="4" s="1"/>
  <c r="CN636" i="4" s="1"/>
  <c r="BQ636" i="4"/>
  <c r="BR636" i="4"/>
  <c r="CD636" i="4" s="1"/>
  <c r="CP636" i="4" s="1"/>
  <c r="BS636" i="4"/>
  <c r="CE636" i="4" s="1"/>
  <c r="CQ636" i="4" s="1"/>
  <c r="DS636" i="4" s="1"/>
  <c r="BT636" i="4"/>
  <c r="CF636" i="4" s="1"/>
  <c r="CR636" i="4" s="1"/>
  <c r="BU636" i="4"/>
  <c r="BV636" i="4"/>
  <c r="CH636" i="4" s="1"/>
  <c r="CT636" i="4" s="1"/>
  <c r="DV636" i="4" s="1"/>
  <c r="BW636" i="4"/>
  <c r="CI636" i="4" s="1"/>
  <c r="CU636" i="4" s="1"/>
  <c r="BX636" i="4"/>
  <c r="BY636" i="4"/>
  <c r="CC636" i="4"/>
  <c r="CO636" i="4" s="1"/>
  <c r="CG636" i="4"/>
  <c r="CJ636" i="4"/>
  <c r="CV636" i="4" s="1"/>
  <c r="CK636" i="4"/>
  <c r="CW636" i="4" s="1"/>
  <c r="DY636" i="4" s="1"/>
  <c r="CS636" i="4"/>
  <c r="CZ636" i="4"/>
  <c r="DA636" i="4"/>
  <c r="DB636" i="4"/>
  <c r="DC636" i="4"/>
  <c r="DD636" i="4"/>
  <c r="DE636" i="4"/>
  <c r="DF636" i="4"/>
  <c r="DG636" i="4"/>
  <c r="DH636" i="4"/>
  <c r="DI636" i="4"/>
  <c r="DJ636" i="4"/>
  <c r="DK636" i="4"/>
  <c r="BN637" i="4"/>
  <c r="BO637" i="4"/>
  <c r="CA637" i="4" s="1"/>
  <c r="CM637" i="4" s="1"/>
  <c r="BP637" i="4"/>
  <c r="CB637" i="4" s="1"/>
  <c r="CN637" i="4" s="1"/>
  <c r="BQ637" i="4"/>
  <c r="BR637" i="4"/>
  <c r="CD637" i="4" s="1"/>
  <c r="CP637" i="4" s="1"/>
  <c r="BS637" i="4"/>
  <c r="CE637" i="4" s="1"/>
  <c r="CQ637" i="4" s="1"/>
  <c r="DS637" i="4" s="1"/>
  <c r="BT637" i="4"/>
  <c r="BU637" i="4"/>
  <c r="CG637" i="4" s="1"/>
  <c r="CS637" i="4" s="1"/>
  <c r="BV637" i="4"/>
  <c r="CH637" i="4" s="1"/>
  <c r="CT637" i="4" s="1"/>
  <c r="BW637" i="4"/>
  <c r="CI637" i="4" s="1"/>
  <c r="CU637" i="4" s="1"/>
  <c r="DW637" i="4" s="1"/>
  <c r="BX637" i="4"/>
  <c r="BY637" i="4"/>
  <c r="BZ637" i="4"/>
  <c r="CL637" i="4" s="1"/>
  <c r="CC637" i="4"/>
  <c r="CO637" i="4" s="1"/>
  <c r="CF637" i="4"/>
  <c r="CR637" i="4" s="1"/>
  <c r="DT637" i="4" s="1"/>
  <c r="CJ637" i="4"/>
  <c r="CV637" i="4" s="1"/>
  <c r="CK637" i="4"/>
  <c r="CW637" i="4" s="1"/>
  <c r="CZ637" i="4"/>
  <c r="DL637" i="4" s="1"/>
  <c r="DA637" i="4"/>
  <c r="DB637" i="4"/>
  <c r="DC637" i="4"/>
  <c r="DQ637" i="4" s="1"/>
  <c r="DD637" i="4"/>
  <c r="DE637" i="4"/>
  <c r="DF637" i="4"/>
  <c r="DG637" i="4"/>
  <c r="DH637" i="4"/>
  <c r="DI637" i="4"/>
  <c r="DJ637" i="4"/>
  <c r="DX637" i="4" s="1"/>
  <c r="DK637" i="4"/>
  <c r="DY637" i="4" s="1"/>
  <c r="BN638" i="4"/>
  <c r="BZ638" i="4" s="1"/>
  <c r="CL638" i="4" s="1"/>
  <c r="BO638" i="4"/>
  <c r="BP638" i="4"/>
  <c r="CB638" i="4" s="1"/>
  <c r="CN638" i="4" s="1"/>
  <c r="BQ638" i="4"/>
  <c r="BR638" i="4"/>
  <c r="CD638" i="4" s="1"/>
  <c r="CP638" i="4" s="1"/>
  <c r="DR638" i="4" s="1"/>
  <c r="BS638" i="4"/>
  <c r="CE638" i="4" s="1"/>
  <c r="CQ638" i="4" s="1"/>
  <c r="BT638" i="4"/>
  <c r="BU638" i="4"/>
  <c r="BV638" i="4"/>
  <c r="CH638" i="4" s="1"/>
  <c r="CT638" i="4" s="1"/>
  <c r="BW638" i="4"/>
  <c r="BX638" i="4"/>
  <c r="CJ638" i="4" s="1"/>
  <c r="CV638" i="4" s="1"/>
  <c r="BY638" i="4"/>
  <c r="CA638" i="4"/>
  <c r="CM638" i="4" s="1"/>
  <c r="CC638" i="4"/>
  <c r="CF638" i="4"/>
  <c r="CR638" i="4" s="1"/>
  <c r="CG638" i="4"/>
  <c r="CS638" i="4" s="1"/>
  <c r="CI638" i="4"/>
  <c r="CU638" i="4" s="1"/>
  <c r="CK638" i="4"/>
  <c r="CW638" i="4" s="1"/>
  <c r="CO638" i="4"/>
  <c r="CZ638" i="4"/>
  <c r="DA638" i="4"/>
  <c r="DB638" i="4"/>
  <c r="DC638" i="4"/>
  <c r="DD638" i="4"/>
  <c r="DE638" i="4"/>
  <c r="DF638" i="4"/>
  <c r="DG638" i="4"/>
  <c r="DH638" i="4"/>
  <c r="DI638" i="4"/>
  <c r="DJ638" i="4"/>
  <c r="DK638" i="4"/>
  <c r="BN639" i="4"/>
  <c r="BZ639" i="4" s="1"/>
  <c r="CL639" i="4" s="1"/>
  <c r="BO639" i="4"/>
  <c r="CA639" i="4" s="1"/>
  <c r="CM639" i="4" s="1"/>
  <c r="BP639" i="4"/>
  <c r="CB639" i="4" s="1"/>
  <c r="CN639" i="4" s="1"/>
  <c r="BQ639" i="4"/>
  <c r="CC639" i="4" s="1"/>
  <c r="CO639" i="4" s="1"/>
  <c r="BR639" i="4"/>
  <c r="CD639" i="4" s="1"/>
  <c r="CP639" i="4" s="1"/>
  <c r="BS639" i="4"/>
  <c r="BT639" i="4"/>
  <c r="BU639" i="4"/>
  <c r="BV639" i="4"/>
  <c r="CH639" i="4" s="1"/>
  <c r="CT639" i="4" s="1"/>
  <c r="BW639" i="4"/>
  <c r="CI639" i="4" s="1"/>
  <c r="CU639" i="4" s="1"/>
  <c r="BX639" i="4"/>
  <c r="CJ639" i="4" s="1"/>
  <c r="CV639" i="4" s="1"/>
  <c r="BY639" i="4"/>
  <c r="CK639" i="4" s="1"/>
  <c r="CW639" i="4" s="1"/>
  <c r="CE639" i="4"/>
  <c r="CQ639" i="4" s="1"/>
  <c r="CF639" i="4"/>
  <c r="CR639" i="4" s="1"/>
  <c r="DT639" i="4" s="1"/>
  <c r="CG639" i="4"/>
  <c r="CS639" i="4" s="1"/>
  <c r="CZ639" i="4"/>
  <c r="DA639" i="4"/>
  <c r="DB639" i="4"/>
  <c r="DC639" i="4"/>
  <c r="DQ639" i="4" s="1"/>
  <c r="DD639" i="4"/>
  <c r="DE639" i="4"/>
  <c r="DF639" i="4"/>
  <c r="DG639" i="4"/>
  <c r="DU639" i="4" s="1"/>
  <c r="DH639" i="4"/>
  <c r="DI639" i="4"/>
  <c r="DJ639" i="4"/>
  <c r="DK639" i="4"/>
  <c r="BN640" i="4"/>
  <c r="BO640" i="4"/>
  <c r="CA640" i="4" s="1"/>
  <c r="BP640" i="4"/>
  <c r="BQ640" i="4"/>
  <c r="BR640" i="4"/>
  <c r="BS640" i="4"/>
  <c r="CE640" i="4" s="1"/>
  <c r="CQ640" i="4" s="1"/>
  <c r="BT640" i="4"/>
  <c r="CF640" i="4" s="1"/>
  <c r="CR640" i="4" s="1"/>
  <c r="BU640" i="4"/>
  <c r="CG640" i="4" s="1"/>
  <c r="CS640" i="4" s="1"/>
  <c r="DU640" i="4" s="1"/>
  <c r="BV640" i="4"/>
  <c r="CH640" i="4" s="1"/>
  <c r="BW640" i="4"/>
  <c r="CI640" i="4" s="1"/>
  <c r="CU640" i="4" s="1"/>
  <c r="BX640" i="4"/>
  <c r="BY640" i="4"/>
  <c r="BZ640" i="4"/>
  <c r="CL640" i="4" s="1"/>
  <c r="DN640" i="4" s="1"/>
  <c r="CB640" i="4"/>
  <c r="CN640" i="4" s="1"/>
  <c r="CC640" i="4"/>
  <c r="CO640" i="4" s="1"/>
  <c r="CD640" i="4"/>
  <c r="CP640" i="4" s="1"/>
  <c r="DR640" i="4" s="1"/>
  <c r="CJ640" i="4"/>
  <c r="CV640" i="4" s="1"/>
  <c r="CK640" i="4"/>
  <c r="CW640" i="4" s="1"/>
  <c r="CM640" i="4"/>
  <c r="CT640" i="4"/>
  <c r="DV640" i="4" s="1"/>
  <c r="CZ640" i="4"/>
  <c r="DA640" i="4"/>
  <c r="DB640" i="4"/>
  <c r="DC640" i="4"/>
  <c r="DD640" i="4"/>
  <c r="DE640" i="4"/>
  <c r="DS640" i="4" s="1"/>
  <c r="DF640" i="4"/>
  <c r="DG640" i="4"/>
  <c r="DH640" i="4"/>
  <c r="DI640" i="4"/>
  <c r="DJ640" i="4"/>
  <c r="DK640" i="4"/>
  <c r="DY640" i="4" s="1"/>
  <c r="BN641" i="4"/>
  <c r="BO641" i="4"/>
  <c r="BP641" i="4"/>
  <c r="CB641" i="4" s="1"/>
  <c r="CN641" i="4" s="1"/>
  <c r="BQ641" i="4"/>
  <c r="BR641" i="4"/>
  <c r="CD641" i="4" s="1"/>
  <c r="CP641" i="4" s="1"/>
  <c r="BS641" i="4"/>
  <c r="CE641" i="4" s="1"/>
  <c r="CQ641" i="4" s="1"/>
  <c r="DS641" i="4" s="1"/>
  <c r="BT641" i="4"/>
  <c r="BU641" i="4"/>
  <c r="CG641" i="4" s="1"/>
  <c r="CS641" i="4" s="1"/>
  <c r="BV641" i="4"/>
  <c r="CH641" i="4" s="1"/>
  <c r="CT641" i="4" s="1"/>
  <c r="BW641" i="4"/>
  <c r="CI641" i="4" s="1"/>
  <c r="CU641" i="4" s="1"/>
  <c r="BX641" i="4"/>
  <c r="CJ641" i="4" s="1"/>
  <c r="CV641" i="4" s="1"/>
  <c r="BY641" i="4"/>
  <c r="BZ641" i="4"/>
  <c r="CL641" i="4" s="1"/>
  <c r="CA641" i="4"/>
  <c r="CM641" i="4" s="1"/>
  <c r="CC641" i="4"/>
  <c r="CO641" i="4" s="1"/>
  <c r="CF641" i="4"/>
  <c r="CR641" i="4" s="1"/>
  <c r="DT641" i="4" s="1"/>
  <c r="CK641" i="4"/>
  <c r="CW641" i="4" s="1"/>
  <c r="CZ641" i="4"/>
  <c r="DA641" i="4"/>
  <c r="DB641" i="4"/>
  <c r="DL641" i="4" s="1"/>
  <c r="DC641" i="4"/>
  <c r="DQ641" i="4" s="1"/>
  <c r="DD641" i="4"/>
  <c r="DE641" i="4"/>
  <c r="DF641" i="4"/>
  <c r="DG641" i="4"/>
  <c r="DH641" i="4"/>
  <c r="DI641" i="4"/>
  <c r="DJ641" i="4"/>
  <c r="DK641" i="4"/>
  <c r="BN642" i="4"/>
  <c r="BO642" i="4"/>
  <c r="BP642" i="4"/>
  <c r="CB642" i="4" s="1"/>
  <c r="CN642" i="4" s="1"/>
  <c r="BQ642" i="4"/>
  <c r="CC642" i="4" s="1"/>
  <c r="CO642" i="4" s="1"/>
  <c r="DQ642" i="4" s="1"/>
  <c r="BR642" i="4"/>
  <c r="CD642" i="4" s="1"/>
  <c r="CP642" i="4" s="1"/>
  <c r="DR642" i="4" s="1"/>
  <c r="BS642" i="4"/>
  <c r="CE642" i="4" s="1"/>
  <c r="CQ642" i="4" s="1"/>
  <c r="BT642" i="4"/>
  <c r="CF642" i="4" s="1"/>
  <c r="CR642" i="4" s="1"/>
  <c r="BU642" i="4"/>
  <c r="CG642" i="4" s="1"/>
  <c r="BV642" i="4"/>
  <c r="BW642" i="4"/>
  <c r="CI642" i="4" s="1"/>
  <c r="CU642" i="4" s="1"/>
  <c r="DW642" i="4" s="1"/>
  <c r="BX642" i="4"/>
  <c r="CJ642" i="4" s="1"/>
  <c r="CV642" i="4" s="1"/>
  <c r="BY642" i="4"/>
  <c r="CK642" i="4" s="1"/>
  <c r="CW642" i="4" s="1"/>
  <c r="DY642" i="4" s="1"/>
  <c r="BZ642" i="4"/>
  <c r="CA642" i="4"/>
  <c r="CM642" i="4" s="1"/>
  <c r="CH642" i="4"/>
  <c r="CT642" i="4" s="1"/>
  <c r="CL642" i="4"/>
  <c r="DN642" i="4" s="1"/>
  <c r="CS642" i="4"/>
  <c r="CZ642" i="4"/>
  <c r="DA642" i="4"/>
  <c r="DB642" i="4"/>
  <c r="DC642" i="4"/>
  <c r="DD642" i="4"/>
  <c r="DE642" i="4"/>
  <c r="DF642" i="4"/>
  <c r="DG642" i="4"/>
  <c r="DU642" i="4" s="1"/>
  <c r="DH642" i="4"/>
  <c r="DI642" i="4"/>
  <c r="DJ642" i="4"/>
  <c r="DK642" i="4"/>
  <c r="BN643" i="4"/>
  <c r="BZ643" i="4" s="1"/>
  <c r="CL643" i="4" s="1"/>
  <c r="BO643" i="4"/>
  <c r="CA643" i="4" s="1"/>
  <c r="CM643" i="4" s="1"/>
  <c r="DO643" i="4" s="1"/>
  <c r="BP643" i="4"/>
  <c r="CB643" i="4" s="1"/>
  <c r="CN643" i="4" s="1"/>
  <c r="DP643" i="4" s="1"/>
  <c r="BQ643" i="4"/>
  <c r="CC643" i="4" s="1"/>
  <c r="CO643" i="4" s="1"/>
  <c r="DQ643" i="4" s="1"/>
  <c r="BR643" i="4"/>
  <c r="BS643" i="4"/>
  <c r="CE643" i="4" s="1"/>
  <c r="CQ643" i="4" s="1"/>
  <c r="BT643" i="4"/>
  <c r="CF643" i="4" s="1"/>
  <c r="BU643" i="4"/>
  <c r="BV643" i="4"/>
  <c r="CH643" i="4" s="1"/>
  <c r="CT643" i="4" s="1"/>
  <c r="BW643" i="4"/>
  <c r="CI643" i="4" s="1"/>
  <c r="CU643" i="4" s="1"/>
  <c r="DW643" i="4" s="1"/>
  <c r="BX643" i="4"/>
  <c r="CJ643" i="4" s="1"/>
  <c r="CV643" i="4" s="1"/>
  <c r="DX643" i="4" s="1"/>
  <c r="BY643" i="4"/>
  <c r="CK643" i="4" s="1"/>
  <c r="CW643" i="4" s="1"/>
  <c r="CD643" i="4"/>
  <c r="CP643" i="4" s="1"/>
  <c r="CG643" i="4"/>
  <c r="CS643" i="4" s="1"/>
  <c r="CR643" i="4"/>
  <c r="CZ643" i="4"/>
  <c r="DA643" i="4"/>
  <c r="DB643" i="4"/>
  <c r="DC643" i="4"/>
  <c r="DD643" i="4"/>
  <c r="DE643" i="4"/>
  <c r="DF643" i="4"/>
  <c r="DG643" i="4"/>
  <c r="DM643" i="4" s="1"/>
  <c r="CY643" i="4" s="1"/>
  <c r="DH643" i="4"/>
  <c r="DI643" i="4"/>
  <c r="DJ643" i="4"/>
  <c r="DK643" i="4"/>
  <c r="BN644" i="4"/>
  <c r="BZ644" i="4" s="1"/>
  <c r="CL644" i="4" s="1"/>
  <c r="DN644" i="4" s="1"/>
  <c r="BO644" i="4"/>
  <c r="CA644" i="4" s="1"/>
  <c r="CM644" i="4" s="1"/>
  <c r="DO644" i="4" s="1"/>
  <c r="BP644" i="4"/>
  <c r="CB644" i="4" s="1"/>
  <c r="CN644" i="4" s="1"/>
  <c r="BQ644" i="4"/>
  <c r="CC644" i="4" s="1"/>
  <c r="CO644" i="4" s="1"/>
  <c r="BR644" i="4"/>
  <c r="CD644" i="4" s="1"/>
  <c r="CP644" i="4" s="1"/>
  <c r="BS644" i="4"/>
  <c r="CE644" i="4" s="1"/>
  <c r="CQ644" i="4" s="1"/>
  <c r="BT644" i="4"/>
  <c r="CF644" i="4" s="1"/>
  <c r="CR644" i="4" s="1"/>
  <c r="BU644" i="4"/>
  <c r="BV644" i="4"/>
  <c r="CH644" i="4" s="1"/>
  <c r="CT644" i="4" s="1"/>
  <c r="DV644" i="4" s="1"/>
  <c r="BW644" i="4"/>
  <c r="BX644" i="4"/>
  <c r="BY644" i="4"/>
  <c r="CG644" i="4"/>
  <c r="CI644" i="4"/>
  <c r="CU644" i="4" s="1"/>
  <c r="DW644" i="4" s="1"/>
  <c r="CJ644" i="4"/>
  <c r="CV644" i="4" s="1"/>
  <c r="CK644" i="4"/>
  <c r="CW644" i="4" s="1"/>
  <c r="CS644" i="4"/>
  <c r="CZ644" i="4"/>
  <c r="DA644" i="4"/>
  <c r="DB644" i="4"/>
  <c r="DC644" i="4"/>
  <c r="DD644" i="4"/>
  <c r="DE644" i="4"/>
  <c r="DF644" i="4"/>
  <c r="DG644" i="4"/>
  <c r="DH644" i="4"/>
  <c r="DI644" i="4"/>
  <c r="DJ644" i="4"/>
  <c r="DK644" i="4"/>
  <c r="DU644" i="4"/>
  <c r="BN645" i="4"/>
  <c r="BO645" i="4"/>
  <c r="CA645" i="4" s="1"/>
  <c r="CM645" i="4" s="1"/>
  <c r="BP645" i="4"/>
  <c r="CB645" i="4" s="1"/>
  <c r="CN645" i="4" s="1"/>
  <c r="BQ645" i="4"/>
  <c r="CC645" i="4" s="1"/>
  <c r="CO645" i="4" s="1"/>
  <c r="BR645" i="4"/>
  <c r="CD645" i="4" s="1"/>
  <c r="CP645" i="4" s="1"/>
  <c r="BS645" i="4"/>
  <c r="BT645" i="4"/>
  <c r="CF645" i="4" s="1"/>
  <c r="CR645" i="4" s="1"/>
  <c r="DT645" i="4" s="1"/>
  <c r="BU645" i="4"/>
  <c r="CG645" i="4" s="1"/>
  <c r="CS645" i="4" s="1"/>
  <c r="DU645" i="4" s="1"/>
  <c r="BV645" i="4"/>
  <c r="BW645" i="4"/>
  <c r="CI645" i="4" s="1"/>
  <c r="CU645" i="4" s="1"/>
  <c r="BX645" i="4"/>
  <c r="CJ645" i="4" s="1"/>
  <c r="CV645" i="4" s="1"/>
  <c r="BY645" i="4"/>
  <c r="BZ645" i="4"/>
  <c r="CL645" i="4" s="1"/>
  <c r="CE645" i="4"/>
  <c r="CQ645" i="4" s="1"/>
  <c r="CH645" i="4"/>
  <c r="CT645" i="4" s="1"/>
  <c r="CK645" i="4"/>
  <c r="CW645" i="4" s="1"/>
  <c r="CZ645" i="4"/>
  <c r="DA645" i="4"/>
  <c r="DB645" i="4"/>
  <c r="DC645" i="4"/>
  <c r="DQ645" i="4" s="1"/>
  <c r="DD645" i="4"/>
  <c r="DE645" i="4"/>
  <c r="DS645" i="4" s="1"/>
  <c r="DF645" i="4"/>
  <c r="DG645" i="4"/>
  <c r="DH645" i="4"/>
  <c r="DI645" i="4"/>
  <c r="DJ645" i="4"/>
  <c r="DK645" i="4"/>
  <c r="BN646" i="4"/>
  <c r="BZ646" i="4" s="1"/>
  <c r="CL646" i="4" s="1"/>
  <c r="DN646" i="4" s="1"/>
  <c r="BO646" i="4"/>
  <c r="CA646" i="4" s="1"/>
  <c r="CM646" i="4" s="1"/>
  <c r="BP646" i="4"/>
  <c r="CB646" i="4" s="1"/>
  <c r="CN646" i="4" s="1"/>
  <c r="BQ646" i="4"/>
  <c r="CC646" i="4" s="1"/>
  <c r="CO646" i="4" s="1"/>
  <c r="BR646" i="4"/>
  <c r="CD646" i="4" s="1"/>
  <c r="BS646" i="4"/>
  <c r="CE646" i="4" s="1"/>
  <c r="CQ646" i="4" s="1"/>
  <c r="BT646" i="4"/>
  <c r="CF646" i="4" s="1"/>
  <c r="CR646" i="4" s="1"/>
  <c r="BU646" i="4"/>
  <c r="BV646" i="4"/>
  <c r="CH646" i="4" s="1"/>
  <c r="CT646" i="4" s="1"/>
  <c r="DV646" i="4" s="1"/>
  <c r="BW646" i="4"/>
  <c r="CI646" i="4" s="1"/>
  <c r="CU646" i="4" s="1"/>
  <c r="DW646" i="4" s="1"/>
  <c r="BX646" i="4"/>
  <c r="CJ646" i="4" s="1"/>
  <c r="CV646" i="4" s="1"/>
  <c r="BY646" i="4"/>
  <c r="CG646" i="4"/>
  <c r="CS646" i="4" s="1"/>
  <c r="CK646" i="4"/>
  <c r="CW646" i="4" s="1"/>
  <c r="DY646" i="4" s="1"/>
  <c r="CP646" i="4"/>
  <c r="DR646" i="4" s="1"/>
  <c r="CZ646" i="4"/>
  <c r="DA646" i="4"/>
  <c r="DB646" i="4"/>
  <c r="DC646" i="4"/>
  <c r="DD646" i="4"/>
  <c r="DE646" i="4"/>
  <c r="DF646" i="4"/>
  <c r="DG646" i="4"/>
  <c r="DH646" i="4"/>
  <c r="DI646" i="4"/>
  <c r="DJ646" i="4"/>
  <c r="DK646" i="4"/>
  <c r="BN647" i="4"/>
  <c r="BZ647" i="4" s="1"/>
  <c r="CL647" i="4" s="1"/>
  <c r="BO647" i="4"/>
  <c r="CA647" i="4" s="1"/>
  <c r="CM647" i="4" s="1"/>
  <c r="BP647" i="4"/>
  <c r="CB647" i="4" s="1"/>
  <c r="CN647" i="4" s="1"/>
  <c r="BQ647" i="4"/>
  <c r="CC647" i="4" s="1"/>
  <c r="CO647" i="4" s="1"/>
  <c r="BR647" i="4"/>
  <c r="CD647" i="4" s="1"/>
  <c r="CP647" i="4" s="1"/>
  <c r="BS647" i="4"/>
  <c r="BT647" i="4"/>
  <c r="BU647" i="4"/>
  <c r="CG647" i="4" s="1"/>
  <c r="CS647" i="4" s="1"/>
  <c r="BV647" i="4"/>
  <c r="CH647" i="4" s="1"/>
  <c r="CT647" i="4" s="1"/>
  <c r="BW647" i="4"/>
  <c r="CI647" i="4" s="1"/>
  <c r="CU647" i="4" s="1"/>
  <c r="BX647" i="4"/>
  <c r="CJ647" i="4" s="1"/>
  <c r="CV647" i="4" s="1"/>
  <c r="DX647" i="4" s="1"/>
  <c r="BY647" i="4"/>
  <c r="CE647" i="4"/>
  <c r="CQ647" i="4" s="1"/>
  <c r="CF647" i="4"/>
  <c r="CR647" i="4" s="1"/>
  <c r="DT647" i="4" s="1"/>
  <c r="CK647" i="4"/>
  <c r="CW647" i="4" s="1"/>
  <c r="CZ647" i="4"/>
  <c r="DA647" i="4"/>
  <c r="DB647" i="4"/>
  <c r="DL647" i="4" s="1"/>
  <c r="DC647" i="4"/>
  <c r="DQ647" i="4" s="1"/>
  <c r="DD647" i="4"/>
  <c r="DR647" i="4" s="1"/>
  <c r="DE647" i="4"/>
  <c r="DF647" i="4"/>
  <c r="DG647" i="4"/>
  <c r="DH647" i="4"/>
  <c r="DI647" i="4"/>
  <c r="DJ647" i="4"/>
  <c r="DK647" i="4"/>
  <c r="DY647" i="4" s="1"/>
  <c r="BN648" i="4"/>
  <c r="BO648" i="4"/>
  <c r="CA648" i="4" s="1"/>
  <c r="CM648" i="4" s="1"/>
  <c r="BP648" i="4"/>
  <c r="CB648" i="4" s="1"/>
  <c r="CN648" i="4" s="1"/>
  <c r="BQ648" i="4"/>
  <c r="CC648" i="4" s="1"/>
  <c r="CO648" i="4" s="1"/>
  <c r="DQ648" i="4" s="1"/>
  <c r="BR648" i="4"/>
  <c r="CD648" i="4" s="1"/>
  <c r="CP648" i="4" s="1"/>
  <c r="DR648" i="4" s="1"/>
  <c r="BS648" i="4"/>
  <c r="CE648" i="4" s="1"/>
  <c r="CQ648" i="4" s="1"/>
  <c r="BT648" i="4"/>
  <c r="CF648" i="4" s="1"/>
  <c r="CR648" i="4" s="1"/>
  <c r="BU648" i="4"/>
  <c r="BV648" i="4"/>
  <c r="CH648" i="4" s="1"/>
  <c r="CT648" i="4" s="1"/>
  <c r="DV648" i="4" s="1"/>
  <c r="BW648" i="4"/>
  <c r="BX648" i="4"/>
  <c r="CJ648" i="4" s="1"/>
  <c r="CV648" i="4" s="1"/>
  <c r="BY648" i="4"/>
  <c r="CK648" i="4" s="1"/>
  <c r="CW648" i="4" s="1"/>
  <c r="DY648" i="4" s="1"/>
  <c r="BZ648" i="4"/>
  <c r="CL648" i="4" s="1"/>
  <c r="DN648" i="4" s="1"/>
  <c r="CG648" i="4"/>
  <c r="CI648" i="4"/>
  <c r="CU648" i="4" s="1"/>
  <c r="DW648" i="4" s="1"/>
  <c r="CS648" i="4"/>
  <c r="CZ648" i="4"/>
  <c r="DA648" i="4"/>
  <c r="DB648" i="4"/>
  <c r="DC648" i="4"/>
  <c r="DD648" i="4"/>
  <c r="DE648" i="4"/>
  <c r="DF648" i="4"/>
  <c r="DG648" i="4"/>
  <c r="DU648" i="4" s="1"/>
  <c r="DH648" i="4"/>
  <c r="DI648" i="4"/>
  <c r="DJ648" i="4"/>
  <c r="DK648" i="4"/>
  <c r="BN649" i="4"/>
  <c r="BZ649" i="4" s="1"/>
  <c r="CL649" i="4" s="1"/>
  <c r="BO649" i="4"/>
  <c r="BP649" i="4"/>
  <c r="CB649" i="4" s="1"/>
  <c r="CN649" i="4" s="1"/>
  <c r="BQ649" i="4"/>
  <c r="BR649" i="4"/>
  <c r="CD649" i="4" s="1"/>
  <c r="CP649" i="4" s="1"/>
  <c r="BS649" i="4"/>
  <c r="BT649" i="4"/>
  <c r="CF649" i="4" s="1"/>
  <c r="CR649" i="4" s="1"/>
  <c r="DT649" i="4" s="1"/>
  <c r="BU649" i="4"/>
  <c r="CG649" i="4" s="1"/>
  <c r="CS649" i="4" s="1"/>
  <c r="BV649" i="4"/>
  <c r="CH649" i="4" s="1"/>
  <c r="CT649" i="4" s="1"/>
  <c r="BW649" i="4"/>
  <c r="BX649" i="4"/>
  <c r="CJ649" i="4" s="1"/>
  <c r="CV649" i="4" s="1"/>
  <c r="BY649" i="4"/>
  <c r="CK649" i="4" s="1"/>
  <c r="CA649" i="4"/>
  <c r="CM649" i="4" s="1"/>
  <c r="CC649" i="4"/>
  <c r="CO649" i="4" s="1"/>
  <c r="CE649" i="4"/>
  <c r="CQ649" i="4" s="1"/>
  <c r="DS649" i="4" s="1"/>
  <c r="CI649" i="4"/>
  <c r="CU649" i="4" s="1"/>
  <c r="CW649" i="4"/>
  <c r="CZ649" i="4"/>
  <c r="DA649" i="4"/>
  <c r="DB649" i="4"/>
  <c r="DC649" i="4"/>
  <c r="DD649" i="4"/>
  <c r="DR649" i="4" s="1"/>
  <c r="DE649" i="4"/>
  <c r="DF649" i="4"/>
  <c r="DG649" i="4"/>
  <c r="DH649" i="4"/>
  <c r="DI649" i="4"/>
  <c r="DJ649" i="4"/>
  <c r="DK649" i="4"/>
  <c r="DY649" i="4"/>
  <c r="BN650" i="4"/>
  <c r="BZ650" i="4" s="1"/>
  <c r="CL650" i="4" s="1"/>
  <c r="DN650" i="4" s="1"/>
  <c r="BO650" i="4"/>
  <c r="CA650" i="4" s="1"/>
  <c r="CM650" i="4" s="1"/>
  <c r="BP650" i="4"/>
  <c r="CB650" i="4" s="1"/>
  <c r="CN650" i="4" s="1"/>
  <c r="BQ650" i="4"/>
  <c r="CC650" i="4" s="1"/>
  <c r="CO650" i="4" s="1"/>
  <c r="BR650" i="4"/>
  <c r="CD650" i="4" s="1"/>
  <c r="CP650" i="4" s="1"/>
  <c r="DR650" i="4" s="1"/>
  <c r="BS650" i="4"/>
  <c r="CE650" i="4" s="1"/>
  <c r="CQ650" i="4" s="1"/>
  <c r="BT650" i="4"/>
  <c r="BU650" i="4"/>
  <c r="CG650" i="4" s="1"/>
  <c r="CS650" i="4" s="1"/>
  <c r="DU650" i="4" s="1"/>
  <c r="BV650" i="4"/>
  <c r="CH650" i="4" s="1"/>
  <c r="CT650" i="4" s="1"/>
  <c r="DV650" i="4" s="1"/>
  <c r="BW650" i="4"/>
  <c r="CI650" i="4" s="1"/>
  <c r="CU650" i="4" s="1"/>
  <c r="BX650" i="4"/>
  <c r="CJ650" i="4" s="1"/>
  <c r="CV650" i="4" s="1"/>
  <c r="BY650" i="4"/>
  <c r="CF650" i="4"/>
  <c r="CR650" i="4" s="1"/>
  <c r="CK650" i="4"/>
  <c r="CW650" i="4" s="1"/>
  <c r="CZ650" i="4"/>
  <c r="DA650" i="4"/>
  <c r="DB650" i="4"/>
  <c r="DC650" i="4"/>
  <c r="DD650" i="4"/>
  <c r="DE650" i="4"/>
  <c r="DF650" i="4"/>
  <c r="DG650" i="4"/>
  <c r="DH650" i="4"/>
  <c r="DI650" i="4"/>
  <c r="DJ650" i="4"/>
  <c r="DX650" i="4" s="1"/>
  <c r="DK650" i="4"/>
  <c r="DY650" i="4" s="1"/>
  <c r="BN651" i="4"/>
  <c r="BZ651" i="4" s="1"/>
  <c r="CL651" i="4" s="1"/>
  <c r="BO651" i="4"/>
  <c r="BP651" i="4"/>
  <c r="BQ651" i="4"/>
  <c r="CC651" i="4" s="1"/>
  <c r="CO651" i="4" s="1"/>
  <c r="DQ651" i="4" s="1"/>
  <c r="BR651" i="4"/>
  <c r="CD651" i="4" s="1"/>
  <c r="CP651" i="4" s="1"/>
  <c r="BS651" i="4"/>
  <c r="BT651" i="4"/>
  <c r="CF651" i="4" s="1"/>
  <c r="CR651" i="4" s="1"/>
  <c r="BU651" i="4"/>
  <c r="BV651" i="4"/>
  <c r="CH651" i="4" s="1"/>
  <c r="CT651" i="4" s="1"/>
  <c r="BW651" i="4"/>
  <c r="CI651" i="4" s="1"/>
  <c r="CU651" i="4" s="1"/>
  <c r="DW651" i="4" s="1"/>
  <c r="BX651" i="4"/>
  <c r="BY651" i="4"/>
  <c r="CK651" i="4" s="1"/>
  <c r="CW651" i="4" s="1"/>
  <c r="DY651" i="4" s="1"/>
  <c r="CA651" i="4"/>
  <c r="CM651" i="4" s="1"/>
  <c r="DO651" i="4" s="1"/>
  <c r="CB651" i="4"/>
  <c r="CN651" i="4" s="1"/>
  <c r="CE651" i="4"/>
  <c r="CQ651" i="4" s="1"/>
  <c r="CG651" i="4"/>
  <c r="CS651" i="4" s="1"/>
  <c r="DU651" i="4" s="1"/>
  <c r="CJ651" i="4"/>
  <c r="CV651" i="4" s="1"/>
  <c r="CZ651" i="4"/>
  <c r="DN651" i="4" s="1"/>
  <c r="DA651" i="4"/>
  <c r="DB651" i="4"/>
  <c r="DC651" i="4"/>
  <c r="DD651" i="4"/>
  <c r="DE651" i="4"/>
  <c r="DF651" i="4"/>
  <c r="DG651" i="4"/>
  <c r="DH651" i="4"/>
  <c r="DV651" i="4" s="1"/>
  <c r="DI651" i="4"/>
  <c r="DJ651" i="4"/>
  <c r="DX651" i="4" s="1"/>
  <c r="DK651" i="4"/>
  <c r="BN652" i="4"/>
  <c r="BZ652" i="4" s="1"/>
  <c r="CL652" i="4" s="1"/>
  <c r="BO652" i="4"/>
  <c r="BP652" i="4"/>
  <c r="CB652" i="4" s="1"/>
  <c r="CN652" i="4" s="1"/>
  <c r="BQ652" i="4"/>
  <c r="CC652" i="4" s="1"/>
  <c r="CO652" i="4" s="1"/>
  <c r="BR652" i="4"/>
  <c r="CD652" i="4" s="1"/>
  <c r="CP652" i="4" s="1"/>
  <c r="DR652" i="4" s="1"/>
  <c r="BS652" i="4"/>
  <c r="CE652" i="4" s="1"/>
  <c r="CQ652" i="4" s="1"/>
  <c r="BT652" i="4"/>
  <c r="CF652" i="4" s="1"/>
  <c r="CR652" i="4" s="1"/>
  <c r="BU652" i="4"/>
  <c r="BV652" i="4"/>
  <c r="CH652" i="4" s="1"/>
  <c r="CT652" i="4" s="1"/>
  <c r="BW652" i="4"/>
  <c r="BX652" i="4"/>
  <c r="CJ652" i="4" s="1"/>
  <c r="CV652" i="4" s="1"/>
  <c r="BY652" i="4"/>
  <c r="CA652" i="4"/>
  <c r="CM652" i="4" s="1"/>
  <c r="CG652" i="4"/>
  <c r="CI652" i="4"/>
  <c r="CU652" i="4" s="1"/>
  <c r="DW652" i="4" s="1"/>
  <c r="CK652" i="4"/>
  <c r="CW652" i="4" s="1"/>
  <c r="CS652" i="4"/>
  <c r="CZ652" i="4"/>
  <c r="DA652" i="4"/>
  <c r="DB652" i="4"/>
  <c r="DC652" i="4"/>
  <c r="DD652" i="4"/>
  <c r="DE652" i="4"/>
  <c r="DF652" i="4"/>
  <c r="DG652" i="4"/>
  <c r="DH652" i="4"/>
  <c r="DI652" i="4"/>
  <c r="DJ652" i="4"/>
  <c r="DK652" i="4"/>
  <c r="DU652" i="4"/>
  <c r="BN653" i="4"/>
  <c r="BZ653" i="4" s="1"/>
  <c r="CL653" i="4" s="1"/>
  <c r="BO653" i="4"/>
  <c r="CA653" i="4" s="1"/>
  <c r="CM653" i="4" s="1"/>
  <c r="BP653" i="4"/>
  <c r="CB653" i="4" s="1"/>
  <c r="CN653" i="4" s="1"/>
  <c r="DP653" i="4" s="1"/>
  <c r="BQ653" i="4"/>
  <c r="CC653" i="4" s="1"/>
  <c r="CO653" i="4" s="1"/>
  <c r="BR653" i="4"/>
  <c r="CD653" i="4" s="1"/>
  <c r="CP653" i="4" s="1"/>
  <c r="BS653" i="4"/>
  <c r="CE653" i="4" s="1"/>
  <c r="BT653" i="4"/>
  <c r="CF653" i="4" s="1"/>
  <c r="CR653" i="4" s="1"/>
  <c r="BU653" i="4"/>
  <c r="CG653" i="4" s="1"/>
  <c r="CS653" i="4" s="1"/>
  <c r="BV653" i="4"/>
  <c r="CH653" i="4" s="1"/>
  <c r="CT653" i="4" s="1"/>
  <c r="BW653" i="4"/>
  <c r="BX653" i="4"/>
  <c r="CJ653" i="4" s="1"/>
  <c r="CV653" i="4" s="1"/>
  <c r="DX653" i="4" s="1"/>
  <c r="BY653" i="4"/>
  <c r="CI653" i="4"/>
  <c r="CU653" i="4" s="1"/>
  <c r="CK653" i="4"/>
  <c r="CW653" i="4" s="1"/>
  <c r="CQ653" i="4"/>
  <c r="CZ653" i="4"/>
  <c r="DA653" i="4"/>
  <c r="DB653" i="4"/>
  <c r="DC653" i="4"/>
  <c r="DD653" i="4"/>
  <c r="DE653" i="4"/>
  <c r="DS653" i="4" s="1"/>
  <c r="DF653" i="4"/>
  <c r="DG653" i="4"/>
  <c r="DH653" i="4"/>
  <c r="DI653" i="4"/>
  <c r="DJ653" i="4"/>
  <c r="DK653" i="4"/>
  <c r="BN654" i="4"/>
  <c r="BZ654" i="4" s="1"/>
  <c r="CL654" i="4" s="1"/>
  <c r="DN654" i="4" s="1"/>
  <c r="BO654" i="4"/>
  <c r="CA654" i="4" s="1"/>
  <c r="CM654" i="4" s="1"/>
  <c r="BP654" i="4"/>
  <c r="CB654" i="4" s="1"/>
  <c r="CN654" i="4" s="1"/>
  <c r="BQ654" i="4"/>
  <c r="CC654" i="4" s="1"/>
  <c r="CO654" i="4" s="1"/>
  <c r="DQ654" i="4" s="1"/>
  <c r="BR654" i="4"/>
  <c r="CD654" i="4" s="1"/>
  <c r="BS654" i="4"/>
  <c r="CE654" i="4" s="1"/>
  <c r="CQ654" i="4" s="1"/>
  <c r="BT654" i="4"/>
  <c r="BU654" i="4"/>
  <c r="CG654" i="4" s="1"/>
  <c r="CS654" i="4" s="1"/>
  <c r="BV654" i="4"/>
  <c r="CH654" i="4" s="1"/>
  <c r="CT654" i="4" s="1"/>
  <c r="DV654" i="4" s="1"/>
  <c r="BW654" i="4"/>
  <c r="CI654" i="4" s="1"/>
  <c r="CU654" i="4" s="1"/>
  <c r="BX654" i="4"/>
  <c r="CJ654" i="4" s="1"/>
  <c r="CV654" i="4" s="1"/>
  <c r="BY654" i="4"/>
  <c r="CK654" i="4" s="1"/>
  <c r="CW654" i="4" s="1"/>
  <c r="DY654" i="4" s="1"/>
  <c r="CF654" i="4"/>
  <c r="CR654" i="4" s="1"/>
  <c r="CP654" i="4"/>
  <c r="DR654" i="4" s="1"/>
  <c r="CZ654" i="4"/>
  <c r="DA654" i="4"/>
  <c r="DB654" i="4"/>
  <c r="DC654" i="4"/>
  <c r="DD654" i="4"/>
  <c r="DE654" i="4"/>
  <c r="DF654" i="4"/>
  <c r="DG654" i="4"/>
  <c r="DH654" i="4"/>
  <c r="DI654" i="4"/>
  <c r="DJ654" i="4"/>
  <c r="DK654" i="4"/>
  <c r="BN655" i="4"/>
  <c r="BZ655" i="4" s="1"/>
  <c r="CL655" i="4" s="1"/>
  <c r="BO655" i="4"/>
  <c r="CA655" i="4" s="1"/>
  <c r="CM655" i="4" s="1"/>
  <c r="BP655" i="4"/>
  <c r="BQ655" i="4"/>
  <c r="CC655" i="4" s="1"/>
  <c r="CO655" i="4" s="1"/>
  <c r="BR655" i="4"/>
  <c r="CD655" i="4" s="1"/>
  <c r="CP655" i="4" s="1"/>
  <c r="DR655" i="4" s="1"/>
  <c r="BS655" i="4"/>
  <c r="BT655" i="4"/>
  <c r="BU655" i="4"/>
  <c r="CG655" i="4" s="1"/>
  <c r="CS655" i="4" s="1"/>
  <c r="BV655" i="4"/>
  <c r="CH655" i="4" s="1"/>
  <c r="CT655" i="4" s="1"/>
  <c r="BW655" i="4"/>
  <c r="CI655" i="4" s="1"/>
  <c r="CU655" i="4" s="1"/>
  <c r="BX655" i="4"/>
  <c r="BY655" i="4"/>
  <c r="CK655" i="4" s="1"/>
  <c r="CW655" i="4" s="1"/>
  <c r="DY655" i="4" s="1"/>
  <c r="CB655" i="4"/>
  <c r="CN655" i="4" s="1"/>
  <c r="DP655" i="4" s="1"/>
  <c r="CE655" i="4"/>
  <c r="CQ655" i="4" s="1"/>
  <c r="CF655" i="4"/>
  <c r="CR655" i="4" s="1"/>
  <c r="CJ655" i="4"/>
  <c r="CV655" i="4" s="1"/>
  <c r="CZ655" i="4"/>
  <c r="DA655" i="4"/>
  <c r="DB655" i="4"/>
  <c r="DC655" i="4"/>
  <c r="DD655" i="4"/>
  <c r="DE655" i="4"/>
  <c r="DF655" i="4"/>
  <c r="DG655" i="4"/>
  <c r="DH655" i="4"/>
  <c r="DI655" i="4"/>
  <c r="DJ655" i="4"/>
  <c r="DK655" i="4"/>
  <c r="BN656" i="4"/>
  <c r="BZ656" i="4" s="1"/>
  <c r="BO656" i="4"/>
  <c r="CA656" i="4" s="1"/>
  <c r="CM656" i="4" s="1"/>
  <c r="BP656" i="4"/>
  <c r="CB656" i="4" s="1"/>
  <c r="CN656" i="4" s="1"/>
  <c r="BQ656" i="4"/>
  <c r="CC656" i="4" s="1"/>
  <c r="CO656" i="4" s="1"/>
  <c r="DQ656" i="4" s="1"/>
  <c r="BR656" i="4"/>
  <c r="CD656" i="4" s="1"/>
  <c r="CP656" i="4" s="1"/>
  <c r="BS656" i="4"/>
  <c r="CE656" i="4" s="1"/>
  <c r="CQ656" i="4" s="1"/>
  <c r="BT656" i="4"/>
  <c r="CF656" i="4" s="1"/>
  <c r="CR656" i="4" s="1"/>
  <c r="BU656" i="4"/>
  <c r="CG656" i="4" s="1"/>
  <c r="CS656" i="4" s="1"/>
  <c r="BV656" i="4"/>
  <c r="CH656" i="4" s="1"/>
  <c r="CT656" i="4" s="1"/>
  <c r="BW656" i="4"/>
  <c r="CI656" i="4" s="1"/>
  <c r="CU656" i="4" s="1"/>
  <c r="BX656" i="4"/>
  <c r="BY656" i="4"/>
  <c r="CK656" i="4" s="1"/>
  <c r="CW656" i="4" s="1"/>
  <c r="DY656" i="4" s="1"/>
  <c r="CJ656" i="4"/>
  <c r="CV656" i="4" s="1"/>
  <c r="CL656" i="4"/>
  <c r="CZ656" i="4"/>
  <c r="DA656" i="4"/>
  <c r="DB656" i="4"/>
  <c r="DC656" i="4"/>
  <c r="DD656" i="4"/>
  <c r="DE656" i="4"/>
  <c r="DF656" i="4"/>
  <c r="DG656" i="4"/>
  <c r="DH656" i="4"/>
  <c r="DI656" i="4"/>
  <c r="DJ656" i="4"/>
  <c r="DK656" i="4"/>
  <c r="BN657" i="4"/>
  <c r="BO657" i="4"/>
  <c r="CA657" i="4" s="1"/>
  <c r="CM657" i="4" s="1"/>
  <c r="DO657" i="4" s="1"/>
  <c r="BP657" i="4"/>
  <c r="CB657" i="4" s="1"/>
  <c r="CN657" i="4" s="1"/>
  <c r="BQ657" i="4"/>
  <c r="CC657" i="4" s="1"/>
  <c r="CO657" i="4" s="1"/>
  <c r="BR657" i="4"/>
  <c r="CD657" i="4" s="1"/>
  <c r="BS657" i="4"/>
  <c r="CE657" i="4" s="1"/>
  <c r="CQ657" i="4" s="1"/>
  <c r="BT657" i="4"/>
  <c r="CF657" i="4" s="1"/>
  <c r="CR657" i="4" s="1"/>
  <c r="BU657" i="4"/>
  <c r="BV657" i="4"/>
  <c r="CH657" i="4" s="1"/>
  <c r="CT657" i="4" s="1"/>
  <c r="DV657" i="4" s="1"/>
  <c r="BW657" i="4"/>
  <c r="CI657" i="4" s="1"/>
  <c r="CU657" i="4" s="1"/>
  <c r="BX657" i="4"/>
  <c r="CJ657" i="4" s="1"/>
  <c r="CV657" i="4" s="1"/>
  <c r="BY657" i="4"/>
  <c r="CK657" i="4" s="1"/>
  <c r="CW657" i="4" s="1"/>
  <c r="BZ657" i="4"/>
  <c r="CL657" i="4" s="1"/>
  <c r="CG657" i="4"/>
  <c r="CS657" i="4" s="1"/>
  <c r="CP657" i="4"/>
  <c r="CZ657" i="4"/>
  <c r="DA657" i="4"/>
  <c r="DB657" i="4"/>
  <c r="DC657" i="4"/>
  <c r="DD657" i="4"/>
  <c r="DE657" i="4"/>
  <c r="DF657" i="4"/>
  <c r="DG657" i="4"/>
  <c r="DH657" i="4"/>
  <c r="DI657" i="4"/>
  <c r="DJ657" i="4"/>
  <c r="DK657" i="4"/>
  <c r="BN658" i="4"/>
  <c r="BZ658" i="4" s="1"/>
  <c r="CL658" i="4" s="1"/>
  <c r="DN658" i="4" s="1"/>
  <c r="BO658" i="4"/>
  <c r="BP658" i="4"/>
  <c r="CB658" i="4" s="1"/>
  <c r="CN658" i="4" s="1"/>
  <c r="BQ658" i="4"/>
  <c r="CC658" i="4" s="1"/>
  <c r="CO658" i="4" s="1"/>
  <c r="BR658" i="4"/>
  <c r="CD658" i="4" s="1"/>
  <c r="CP658" i="4" s="1"/>
  <c r="BS658" i="4"/>
  <c r="CE658" i="4" s="1"/>
  <c r="CQ658" i="4" s="1"/>
  <c r="BT658" i="4"/>
  <c r="BU658" i="4"/>
  <c r="CG658" i="4" s="1"/>
  <c r="CS658" i="4" s="1"/>
  <c r="BV658" i="4"/>
  <c r="CH658" i="4" s="1"/>
  <c r="CT658" i="4" s="1"/>
  <c r="DV658" i="4" s="1"/>
  <c r="BW658" i="4"/>
  <c r="CI658" i="4" s="1"/>
  <c r="CU658" i="4" s="1"/>
  <c r="DW658" i="4" s="1"/>
  <c r="BX658" i="4"/>
  <c r="CJ658" i="4" s="1"/>
  <c r="CV658" i="4" s="1"/>
  <c r="BY658" i="4"/>
  <c r="CA658" i="4"/>
  <c r="CM658" i="4" s="1"/>
  <c r="DO658" i="4" s="1"/>
  <c r="CF658" i="4"/>
  <c r="CR658" i="4" s="1"/>
  <c r="CK658" i="4"/>
  <c r="CW658" i="4" s="1"/>
  <c r="CZ658" i="4"/>
  <c r="DA658" i="4"/>
  <c r="DB658" i="4"/>
  <c r="DC658" i="4"/>
  <c r="DD658" i="4"/>
  <c r="DR658" i="4" s="1"/>
  <c r="DE658" i="4"/>
  <c r="DF658" i="4"/>
  <c r="DG658" i="4"/>
  <c r="DH658" i="4"/>
  <c r="DI658" i="4"/>
  <c r="DJ658" i="4"/>
  <c r="DK658" i="4"/>
  <c r="BN659" i="4"/>
  <c r="BZ659" i="4" s="1"/>
  <c r="CL659" i="4" s="1"/>
  <c r="BO659" i="4"/>
  <c r="CA659" i="4" s="1"/>
  <c r="CM659" i="4" s="1"/>
  <c r="BP659" i="4"/>
  <c r="CB659" i="4" s="1"/>
  <c r="CN659" i="4" s="1"/>
  <c r="BQ659" i="4"/>
  <c r="CC659" i="4" s="1"/>
  <c r="CO659" i="4" s="1"/>
  <c r="BR659" i="4"/>
  <c r="BS659" i="4"/>
  <c r="BT659" i="4"/>
  <c r="CF659" i="4" s="1"/>
  <c r="CR659" i="4" s="1"/>
  <c r="BU659" i="4"/>
  <c r="BV659" i="4"/>
  <c r="CH659" i="4" s="1"/>
  <c r="CT659" i="4" s="1"/>
  <c r="BW659" i="4"/>
  <c r="BX659" i="4"/>
  <c r="BY659" i="4"/>
  <c r="CD659" i="4"/>
  <c r="CP659" i="4" s="1"/>
  <c r="CE659" i="4"/>
  <c r="CQ659" i="4" s="1"/>
  <c r="DS659" i="4" s="1"/>
  <c r="CG659" i="4"/>
  <c r="CS659" i="4" s="1"/>
  <c r="DU659" i="4" s="1"/>
  <c r="CI659" i="4"/>
  <c r="CU659" i="4" s="1"/>
  <c r="CJ659" i="4"/>
  <c r="CV659" i="4" s="1"/>
  <c r="CK659" i="4"/>
  <c r="CW659" i="4"/>
  <c r="CZ659" i="4"/>
  <c r="DA659" i="4"/>
  <c r="DB659" i="4"/>
  <c r="DC659" i="4"/>
  <c r="DQ659" i="4" s="1"/>
  <c r="DD659" i="4"/>
  <c r="DE659" i="4"/>
  <c r="DF659" i="4"/>
  <c r="DG659" i="4"/>
  <c r="DH659" i="4"/>
  <c r="DI659" i="4"/>
  <c r="DW659" i="4" s="1"/>
  <c r="DJ659" i="4"/>
  <c r="DK659" i="4"/>
  <c r="DY659" i="4" s="1"/>
  <c r="BK629" i="4"/>
  <c r="CI629" i="4" s="1"/>
  <c r="CU629" i="4" s="1"/>
  <c r="AM629" i="4"/>
  <c r="DI629" i="4" s="1"/>
  <c r="I201" i="8" l="1"/>
  <c r="G251" i="8"/>
  <c r="G315" i="8"/>
  <c r="I407" i="8"/>
  <c r="G326" i="8"/>
  <c r="G113" i="8"/>
  <c r="I143" i="8"/>
  <c r="G267" i="8"/>
  <c r="I136" i="8"/>
  <c r="I527" i="8"/>
  <c r="I133" i="8"/>
  <c r="G132" i="8"/>
  <c r="I311" i="8"/>
  <c r="I436" i="8"/>
  <c r="I526" i="8"/>
  <c r="G193" i="8"/>
  <c r="G318" i="8"/>
  <c r="G207" i="8"/>
  <c r="G165" i="8"/>
  <c r="I416" i="8"/>
  <c r="G258" i="8"/>
  <c r="G227" i="8"/>
  <c r="G378" i="8"/>
  <c r="G220" i="8"/>
  <c r="G140" i="8"/>
  <c r="I146" i="8"/>
  <c r="I418" i="8"/>
  <c r="I145" i="8"/>
  <c r="G265" i="8"/>
  <c r="I237" i="8"/>
  <c r="G236" i="8"/>
  <c r="I232" i="8"/>
  <c r="G231" i="8"/>
  <c r="G145" i="8"/>
  <c r="G385" i="8"/>
  <c r="I198" i="8"/>
  <c r="G237" i="8"/>
  <c r="I206" i="8"/>
  <c r="G496" i="8"/>
  <c r="G221" i="8"/>
  <c r="I408" i="8"/>
  <c r="I137" i="8"/>
  <c r="I131" i="8"/>
  <c r="G100" i="8"/>
  <c r="I405" i="8"/>
  <c r="I141" i="8"/>
  <c r="G191" i="8"/>
  <c r="G136" i="8"/>
  <c r="I406" i="8"/>
  <c r="I326" i="8"/>
  <c r="G233" i="8"/>
  <c r="G206" i="8"/>
  <c r="G141" i="8"/>
  <c r="G137" i="8"/>
  <c r="I142" i="8"/>
  <c r="I148" i="8"/>
  <c r="G260" i="8"/>
  <c r="I231" i="8"/>
  <c r="I227" i="8"/>
  <c r="G447" i="8"/>
  <c r="I226" i="8"/>
  <c r="G148" i="8"/>
  <c r="G317" i="8"/>
  <c r="G255" i="8"/>
  <c r="I140" i="8"/>
  <c r="I251" i="8"/>
  <c r="I265" i="8"/>
  <c r="I267" i="8"/>
  <c r="I250" i="8"/>
  <c r="I255" i="8"/>
  <c r="I266" i="8"/>
  <c r="I260" i="8"/>
  <c r="G432" i="8"/>
  <c r="G438" i="8"/>
  <c r="G436" i="8"/>
  <c r="G437" i="8"/>
  <c r="I258" i="8"/>
  <c r="G448" i="8"/>
  <c r="G443" i="8"/>
  <c r="I268" i="8"/>
  <c r="I371" i="8"/>
  <c r="I375" i="8"/>
  <c r="I160" i="8"/>
  <c r="I176" i="8"/>
  <c r="I175" i="8"/>
  <c r="I167" i="8"/>
  <c r="I171" i="8"/>
  <c r="I168" i="8"/>
  <c r="I165" i="8"/>
  <c r="I170" i="8"/>
  <c r="I177" i="8"/>
  <c r="I163" i="8"/>
  <c r="I262" i="8"/>
  <c r="I261" i="8"/>
  <c r="G446" i="8"/>
  <c r="G435" i="8"/>
  <c r="I430" i="8"/>
  <c r="I446" i="8"/>
  <c r="I435" i="8"/>
  <c r="I437" i="8"/>
  <c r="I443" i="8"/>
  <c r="I448" i="8"/>
  <c r="I438" i="8"/>
  <c r="I263" i="8"/>
  <c r="I220" i="8"/>
  <c r="I233" i="8"/>
  <c r="I236" i="8"/>
  <c r="I230" i="8"/>
  <c r="I225" i="8"/>
  <c r="I223" i="8"/>
  <c r="G520" i="8"/>
  <c r="G527" i="8"/>
  <c r="G162" i="8"/>
  <c r="G167" i="8"/>
  <c r="G170" i="8"/>
  <c r="G340" i="8"/>
  <c r="G358" i="8"/>
  <c r="G345" i="8"/>
  <c r="G356" i="8"/>
  <c r="I191" i="8"/>
  <c r="I193" i="8"/>
  <c r="I197" i="8"/>
  <c r="I202" i="8"/>
  <c r="I203" i="8"/>
  <c r="I208" i="8"/>
  <c r="I195" i="8"/>
  <c r="I207" i="8"/>
  <c r="I192" i="8"/>
  <c r="I196" i="8"/>
  <c r="G312" i="8"/>
  <c r="G323" i="8"/>
  <c r="G328" i="8"/>
  <c r="G325" i="8"/>
  <c r="G327" i="8"/>
  <c r="G316" i="8"/>
  <c r="G372" i="8"/>
  <c r="G376" i="8"/>
  <c r="G375" i="8"/>
  <c r="G250" i="8"/>
  <c r="I431" i="8"/>
  <c r="G190" i="8"/>
  <c r="G415" i="8"/>
  <c r="I328" i="8"/>
  <c r="I323" i="8"/>
  <c r="G261" i="8"/>
  <c r="G208" i="8"/>
  <c r="G205" i="8"/>
  <c r="G203" i="8"/>
  <c r="G160" i="8"/>
  <c r="G116" i="8"/>
  <c r="G112" i="8"/>
  <c r="G107" i="8"/>
  <c r="G163" i="8"/>
  <c r="I132" i="8"/>
  <c r="I138" i="8"/>
  <c r="I401" i="8"/>
  <c r="I385" i="8"/>
  <c r="G143" i="8"/>
  <c r="G197" i="8"/>
  <c r="G418" i="8"/>
  <c r="G177" i="8"/>
  <c r="G175" i="8"/>
  <c r="G101" i="8"/>
  <c r="G142" i="8"/>
  <c r="G262" i="8"/>
  <c r="G232" i="8"/>
  <c r="G228" i="8"/>
  <c r="G201" i="8"/>
  <c r="G406" i="8"/>
  <c r="G133" i="8"/>
  <c r="G226" i="8"/>
  <c r="I221" i="8"/>
  <c r="G168" i="8"/>
  <c r="I376" i="8"/>
  <c r="G135" i="8"/>
  <c r="G146" i="8"/>
  <c r="G405" i="8"/>
  <c r="I130" i="8"/>
  <c r="G196" i="8"/>
  <c r="G192" i="8"/>
  <c r="I190" i="8"/>
  <c r="I415" i="8"/>
  <c r="G111" i="8"/>
  <c r="G106" i="8"/>
  <c r="I315" i="8"/>
  <c r="I327" i="8"/>
  <c r="I325" i="8"/>
  <c r="G118" i="8"/>
  <c r="G115" i="8"/>
  <c r="G110" i="8"/>
  <c r="G105" i="8"/>
  <c r="G401" i="8"/>
  <c r="I317" i="8"/>
  <c r="G223" i="8"/>
  <c r="I377" i="8"/>
  <c r="I386" i="8"/>
  <c r="E11" i="8"/>
  <c r="G268" i="8"/>
  <c r="G263" i="8"/>
  <c r="I318" i="8"/>
  <c r="G230" i="8"/>
  <c r="G198" i="8"/>
  <c r="G225" i="8"/>
  <c r="G408" i="8"/>
  <c r="G407" i="8"/>
  <c r="G131" i="8"/>
  <c r="I378" i="8"/>
  <c r="I316" i="8"/>
  <c r="G311" i="8"/>
  <c r="G147" i="8"/>
  <c r="G377" i="8"/>
  <c r="I147" i="8"/>
  <c r="G386" i="8"/>
  <c r="I135" i="8"/>
  <c r="G130" i="8"/>
  <c r="G431" i="8"/>
  <c r="G416" i="8"/>
  <c r="G171" i="8"/>
  <c r="DX9" i="4"/>
  <c r="DP26" i="4"/>
  <c r="DS13" i="4"/>
  <c r="DS9" i="4"/>
  <c r="DU79" i="4"/>
  <c r="DU59" i="4"/>
  <c r="DO54" i="4"/>
  <c r="DT52" i="4"/>
  <c r="DR51" i="4"/>
  <c r="DN50" i="4"/>
  <c r="DQ49" i="4"/>
  <c r="DX43" i="4"/>
  <c r="DV36" i="4"/>
  <c r="DS34" i="4"/>
  <c r="DX28" i="4"/>
  <c r="DT22" i="4"/>
  <c r="DT75" i="4"/>
  <c r="DL59" i="4"/>
  <c r="DY25" i="4"/>
  <c r="DV37" i="4"/>
  <c r="DT33" i="4"/>
  <c r="DT16" i="4"/>
  <c r="DS12" i="4"/>
  <c r="DP77" i="4"/>
  <c r="DV71" i="4"/>
  <c r="DN64" i="4"/>
  <c r="DS59" i="4"/>
  <c r="DW48" i="4"/>
  <c r="DQ18" i="4"/>
  <c r="DQ10" i="4"/>
  <c r="DS45" i="4"/>
  <c r="DS30" i="4"/>
  <c r="DY9" i="4"/>
  <c r="DR69" i="4"/>
  <c r="DN37" i="4"/>
  <c r="DN75" i="4"/>
  <c r="DW69" i="4"/>
  <c r="DN53" i="4"/>
  <c r="DR35" i="4"/>
  <c r="DX32" i="4"/>
  <c r="DP32" i="4"/>
  <c r="DT29" i="4"/>
  <c r="DY12" i="4"/>
  <c r="DQ9" i="4"/>
  <c r="DU14" i="4"/>
  <c r="DW13" i="4"/>
  <c r="DT73" i="4"/>
  <c r="DO58" i="4"/>
  <c r="DW50" i="4"/>
  <c r="DO50" i="4"/>
  <c r="DR43" i="4"/>
  <c r="DV41" i="4"/>
  <c r="DN41" i="4"/>
  <c r="DR31" i="4"/>
  <c r="DU30" i="4"/>
  <c r="DO10" i="4"/>
  <c r="DL10" i="4"/>
  <c r="DR76" i="4"/>
  <c r="DX56" i="4"/>
  <c r="DX20" i="4"/>
  <c r="DL14" i="4"/>
  <c r="CX14" i="4" s="1"/>
  <c r="DS33" i="4"/>
  <c r="DU31" i="4"/>
  <c r="DQ24" i="4"/>
  <c r="DO9" i="4"/>
  <c r="DO66" i="4"/>
  <c r="DO45" i="4"/>
  <c r="DY42" i="4"/>
  <c r="DQ12" i="4"/>
  <c r="DL37" i="4"/>
  <c r="CX37" i="4" s="1"/>
  <c r="DX16" i="4"/>
  <c r="DO56" i="4"/>
  <c r="DP67" i="4"/>
  <c r="DP63" i="4"/>
  <c r="DT49" i="4"/>
  <c r="DV31" i="4"/>
  <c r="DN31" i="4"/>
  <c r="DS25" i="4"/>
  <c r="DV22" i="4"/>
  <c r="DN22" i="4"/>
  <c r="DX19" i="4"/>
  <c r="DP19" i="4"/>
  <c r="DP14" i="4"/>
  <c r="DW75" i="4"/>
  <c r="DQ74" i="4"/>
  <c r="DX63" i="4"/>
  <c r="DS57" i="4"/>
  <c r="DX48" i="4"/>
  <c r="DP48" i="4"/>
  <c r="DS47" i="4"/>
  <c r="DW45" i="4"/>
  <c r="DW42" i="4"/>
  <c r="DP40" i="4"/>
  <c r="DQ36" i="4"/>
  <c r="DX30" i="4"/>
  <c r="DR25" i="4"/>
  <c r="DU22" i="4"/>
  <c r="DS21" i="4"/>
  <c r="DP17" i="4"/>
  <c r="DO11" i="4"/>
  <c r="DW11" i="4"/>
  <c r="DV75" i="4"/>
  <c r="DX74" i="4"/>
  <c r="DP74" i="4"/>
  <c r="DO70" i="4"/>
  <c r="DP69" i="4"/>
  <c r="DR68" i="4"/>
  <c r="DV67" i="4"/>
  <c r="DX67" i="4"/>
  <c r="DQ60" i="4"/>
  <c r="DR57" i="4"/>
  <c r="DX54" i="4"/>
  <c r="DO52" i="4"/>
  <c r="DP47" i="4"/>
  <c r="DT44" i="4"/>
  <c r="DY43" i="4"/>
  <c r="DQ43" i="4"/>
  <c r="DX42" i="4"/>
  <c r="DP42" i="4"/>
  <c r="DU41" i="4"/>
  <c r="DW40" i="4"/>
  <c r="DP38" i="4"/>
  <c r="DT34" i="4"/>
  <c r="DQ33" i="4"/>
  <c r="DU32" i="4"/>
  <c r="DO30" i="4"/>
  <c r="DR30" i="4"/>
  <c r="DP29" i="4"/>
  <c r="DV28" i="4"/>
  <c r="DV20" i="4"/>
  <c r="DX14" i="4"/>
  <c r="DN10" i="4"/>
  <c r="DX52" i="4"/>
  <c r="DW43" i="4"/>
  <c r="DS39" i="4"/>
  <c r="DS26" i="4"/>
  <c r="DO14" i="4"/>
  <c r="DR78" i="4"/>
  <c r="DX73" i="4"/>
  <c r="DV64" i="4"/>
  <c r="DO64" i="4"/>
  <c r="DR53" i="4"/>
  <c r="DT50" i="4"/>
  <c r="DV45" i="4"/>
  <c r="DT37" i="4"/>
  <c r="DQ37" i="4"/>
  <c r="DT32" i="4"/>
  <c r="DX26" i="4"/>
  <c r="DU24" i="4"/>
  <c r="DU23" i="4"/>
  <c r="DV17" i="4"/>
  <c r="DN14" i="4"/>
  <c r="DU12" i="4"/>
  <c r="DN9" i="4"/>
  <c r="DX75" i="4"/>
  <c r="DV48" i="4"/>
  <c r="DS15" i="4"/>
  <c r="DT13" i="4"/>
  <c r="DU76" i="4"/>
  <c r="DP75" i="4"/>
  <c r="DS74" i="4"/>
  <c r="DQ71" i="4"/>
  <c r="DQ66" i="4"/>
  <c r="DT58" i="4"/>
  <c r="DO49" i="4"/>
  <c r="DQ45" i="4"/>
  <c r="DP39" i="4"/>
  <c r="DX38" i="4"/>
  <c r="DX31" i="4"/>
  <c r="DP31" i="4"/>
  <c r="DL30" i="4"/>
  <c r="DR19" i="4"/>
  <c r="DX18" i="4"/>
  <c r="DP18" i="4"/>
  <c r="DQ15" i="4"/>
  <c r="DV13" i="4"/>
  <c r="DT12" i="4"/>
  <c r="DX60" i="4"/>
  <c r="DT59" i="4"/>
  <c r="DW14" i="4"/>
  <c r="DP13" i="4"/>
  <c r="DR10" i="4"/>
  <c r="DS72" i="4"/>
  <c r="DO71" i="4"/>
  <c r="DT64" i="4"/>
  <c r="DQ63" i="4"/>
  <c r="DS60" i="4"/>
  <c r="DS58" i="4"/>
  <c r="DR58" i="4"/>
  <c r="DX53" i="4"/>
  <c r="DQ53" i="4"/>
  <c r="DL47" i="4"/>
  <c r="CX47" i="4" s="1"/>
  <c r="DZ47" i="4" s="1"/>
  <c r="DX46" i="4"/>
  <c r="DW44" i="4"/>
  <c r="DT42" i="4"/>
  <c r="DT38" i="4"/>
  <c r="DR37" i="4"/>
  <c r="DT36" i="4"/>
  <c r="DU33" i="4"/>
  <c r="DU29" i="4"/>
  <c r="DS28" i="4"/>
  <c r="DW27" i="4"/>
  <c r="DO27" i="4"/>
  <c r="DR27" i="4"/>
  <c r="DW23" i="4"/>
  <c r="DS17" i="4"/>
  <c r="DT15" i="4"/>
  <c r="DS80" i="4"/>
  <c r="DY57" i="4"/>
  <c r="DY53" i="4"/>
  <c r="DY49" i="4"/>
  <c r="DY74" i="4"/>
  <c r="DY48" i="4"/>
  <c r="DY64" i="4"/>
  <c r="DY52" i="4"/>
  <c r="DY66" i="4"/>
  <c r="DY73" i="4"/>
  <c r="DY55" i="4"/>
  <c r="DW58" i="4"/>
  <c r="DW61" i="4"/>
  <c r="DW67" i="4"/>
  <c r="DW68" i="4"/>
  <c r="DM70" i="4"/>
  <c r="CY70" i="4" s="1"/>
  <c r="EA70" i="4" s="1"/>
  <c r="DW54" i="4"/>
  <c r="DM69" i="4"/>
  <c r="CY69" i="4" s="1"/>
  <c r="EA69" i="4" s="1"/>
  <c r="DW60" i="4"/>
  <c r="DW66" i="4"/>
  <c r="DW63" i="4"/>
  <c r="DM66" i="4"/>
  <c r="CY66" i="4" s="1"/>
  <c r="EA66" i="4" s="1"/>
  <c r="DW57" i="4"/>
  <c r="DU58" i="4"/>
  <c r="DU47" i="4"/>
  <c r="DU68" i="4"/>
  <c r="DM73" i="4"/>
  <c r="CY73" i="4" s="1"/>
  <c r="EA73" i="4" s="1"/>
  <c r="DU70" i="4"/>
  <c r="DU54" i="4"/>
  <c r="DU72" i="4"/>
  <c r="DU64" i="4"/>
  <c r="DU62" i="4"/>
  <c r="DU55" i="4"/>
  <c r="DU63" i="4"/>
  <c r="DU78" i="4"/>
  <c r="DU67" i="4"/>
  <c r="DU51" i="4"/>
  <c r="DU73" i="4"/>
  <c r="DU224" i="4"/>
  <c r="DS227" i="4"/>
  <c r="DS224" i="4"/>
  <c r="DS234" i="4"/>
  <c r="DM227" i="4"/>
  <c r="CY227" i="4" s="1"/>
  <c r="EA227" i="4" s="1"/>
  <c r="DS223" i="4"/>
  <c r="DX313" i="4"/>
  <c r="DU356" i="4"/>
  <c r="DY349" i="4"/>
  <c r="DU349" i="4"/>
  <c r="DY347" i="4"/>
  <c r="DU346" i="4"/>
  <c r="DU337" i="4"/>
  <c r="DY324" i="4"/>
  <c r="DU321" i="4"/>
  <c r="DU319" i="4"/>
  <c r="DU313" i="4"/>
  <c r="DY60" i="4"/>
  <c r="DW633" i="4"/>
  <c r="CY631" i="4"/>
  <c r="EA631" i="4" s="1"/>
  <c r="DY643" i="4"/>
  <c r="DL661" i="4"/>
  <c r="CX661" i="4" s="1"/>
  <c r="DZ661" i="4" s="1"/>
  <c r="DT663" i="4"/>
  <c r="DX659" i="4"/>
  <c r="DW656" i="4"/>
  <c r="DO656" i="4"/>
  <c r="DM656" i="4"/>
  <c r="DL653" i="4"/>
  <c r="DO641" i="4"/>
  <c r="DX638" i="4"/>
  <c r="DS629" i="4"/>
  <c r="DW626" i="4"/>
  <c r="DO626" i="4"/>
  <c r="DM626" i="4"/>
  <c r="CY626" i="4" s="1"/>
  <c r="DP679" i="4"/>
  <c r="DQ668" i="4"/>
  <c r="DM665" i="4"/>
  <c r="DQ591" i="4"/>
  <c r="DM591" i="4"/>
  <c r="DL508" i="4"/>
  <c r="DS481" i="4"/>
  <c r="DN473" i="4"/>
  <c r="DL473" i="4"/>
  <c r="CA361" i="4"/>
  <c r="CM361" i="4" s="1"/>
  <c r="DO361" i="4" s="1"/>
  <c r="DO335" i="4"/>
  <c r="DM335" i="4"/>
  <c r="DL280" i="4"/>
  <c r="DL656" i="4"/>
  <c r="DV656" i="4"/>
  <c r="DU653" i="4"/>
  <c r="DW650" i="4"/>
  <c r="DO650" i="4"/>
  <c r="DO638" i="4"/>
  <c r="DY633" i="4"/>
  <c r="DQ633" i="4"/>
  <c r="DL631" i="4"/>
  <c r="DN630" i="4"/>
  <c r="DX678" i="4"/>
  <c r="DR674" i="4"/>
  <c r="DU666" i="4"/>
  <c r="DN666" i="4"/>
  <c r="DM661" i="4"/>
  <c r="DX660" i="4"/>
  <c r="DL597" i="4"/>
  <c r="DV587" i="4"/>
  <c r="DL584" i="4"/>
  <c r="CX584" i="4" s="1"/>
  <c r="DZ584" i="4" s="1"/>
  <c r="DR575" i="4"/>
  <c r="DW561" i="4"/>
  <c r="DT537" i="4"/>
  <c r="DX523" i="4"/>
  <c r="DT453" i="4"/>
  <c r="CE370" i="4"/>
  <c r="CQ370" i="4" s="1"/>
  <c r="DO609" i="4"/>
  <c r="DX591" i="4"/>
  <c r="DY589" i="4"/>
  <c r="DU573" i="4"/>
  <c r="DO544" i="4"/>
  <c r="DW538" i="4"/>
  <c r="DO538" i="4"/>
  <c r="DY533" i="4"/>
  <c r="DQ517" i="4"/>
  <c r="DY511" i="4"/>
  <c r="DX510" i="4"/>
  <c r="DP510" i="4"/>
  <c r="DR504" i="4"/>
  <c r="DR487" i="4"/>
  <c r="DO477" i="4"/>
  <c r="DM477" i="4"/>
  <c r="CY477" i="4" s="1"/>
  <c r="DM467" i="4"/>
  <c r="CY467" i="4" s="1"/>
  <c r="EA467" i="4" s="1"/>
  <c r="DS453" i="4"/>
  <c r="DU400" i="4"/>
  <c r="DM400" i="4"/>
  <c r="CY400" i="4" s="1"/>
  <c r="EA400" i="4" s="1"/>
  <c r="DS388" i="4"/>
  <c r="DM388" i="4"/>
  <c r="DX655" i="4"/>
  <c r="DS671" i="4"/>
  <c r="DR596" i="4"/>
  <c r="DL552" i="4"/>
  <c r="DM648" i="4"/>
  <c r="CY648" i="4" s="1"/>
  <c r="EA648" i="4" s="1"/>
  <c r="DW647" i="4"/>
  <c r="DY645" i="4"/>
  <c r="DP633" i="4"/>
  <c r="DL628" i="4"/>
  <c r="DL662" i="4"/>
  <c r="DQ603" i="4"/>
  <c r="DP558" i="4"/>
  <c r="DW521" i="4"/>
  <c r="DM513" i="4"/>
  <c r="DO513" i="4"/>
  <c r="DR644" i="4"/>
  <c r="DO633" i="4"/>
  <c r="DN628" i="4"/>
  <c r="DU624" i="4"/>
  <c r="DM622" i="4"/>
  <c r="DW677" i="4"/>
  <c r="DP675" i="4"/>
  <c r="DX674" i="4"/>
  <c r="DP674" i="4"/>
  <c r="DQ671" i="4"/>
  <c r="DR671" i="4"/>
  <c r="DQ670" i="4"/>
  <c r="DL619" i="4"/>
  <c r="CX619" i="4" s="1"/>
  <c r="DZ619" i="4" s="1"/>
  <c r="DP619" i="4"/>
  <c r="DV612" i="4"/>
  <c r="DN612" i="4"/>
  <c r="DL612" i="4"/>
  <c r="CX612" i="4" s="1"/>
  <c r="DZ612" i="4" s="1"/>
  <c r="CX604" i="4"/>
  <c r="DR568" i="4"/>
  <c r="DM559" i="4"/>
  <c r="CY559" i="4" s="1"/>
  <c r="EA559" i="4" s="1"/>
  <c r="DS554" i="4"/>
  <c r="DN540" i="4"/>
  <c r="DM531" i="4"/>
  <c r="DR512" i="4"/>
  <c r="DM491" i="4"/>
  <c r="DY475" i="4"/>
  <c r="DY372" i="4"/>
  <c r="CE371" i="4"/>
  <c r="CQ371" i="4" s="1"/>
  <c r="DS371" i="4" s="1"/>
  <c r="DO255" i="4"/>
  <c r="DM255" i="4"/>
  <c r="CY255" i="4" s="1"/>
  <c r="EA255" i="4" s="1"/>
  <c r="CG188" i="4"/>
  <c r="CS188" i="4" s="1"/>
  <c r="DU188" i="4" s="1"/>
  <c r="DW654" i="4"/>
  <c r="DU631" i="4"/>
  <c r="DW668" i="4"/>
  <c r="DP647" i="4"/>
  <c r="DY634" i="4"/>
  <c r="DV668" i="4"/>
  <c r="DL599" i="4"/>
  <c r="CX599" i="4" s="1"/>
  <c r="DZ599" i="4" s="1"/>
  <c r="DW530" i="4"/>
  <c r="DR524" i="4"/>
  <c r="DM653" i="4"/>
  <c r="CY653" i="4" s="1"/>
  <c r="DM609" i="4"/>
  <c r="CY609" i="4" s="1"/>
  <c r="DM606" i="4"/>
  <c r="CY606" i="4" s="1"/>
  <c r="EA606" i="4" s="1"/>
  <c r="DP556" i="4"/>
  <c r="DN530" i="4"/>
  <c r="DL530" i="4"/>
  <c r="CX530" i="4" s="1"/>
  <c r="DZ530" i="4" s="1"/>
  <c r="DM514" i="4"/>
  <c r="DM465" i="4"/>
  <c r="DM636" i="4"/>
  <c r="DT658" i="4"/>
  <c r="DQ636" i="4"/>
  <c r="DX629" i="4"/>
  <c r="DX625" i="4"/>
  <c r="DP625" i="4"/>
  <c r="DT623" i="4"/>
  <c r="DL677" i="4"/>
  <c r="DR676" i="4"/>
  <c r="DM672" i="4"/>
  <c r="DP667" i="4"/>
  <c r="DY620" i="4"/>
  <c r="DO616" i="4"/>
  <c r="DW610" i="4"/>
  <c r="DW593" i="4"/>
  <c r="DW586" i="4"/>
  <c r="DO586" i="4"/>
  <c r="DP582" i="4"/>
  <c r="DM547" i="4"/>
  <c r="CY547" i="4" s="1"/>
  <c r="DL545" i="4"/>
  <c r="CX545" i="4" s="1"/>
  <c r="DX535" i="4"/>
  <c r="DP535" i="4"/>
  <c r="DV517" i="4"/>
  <c r="DQ504" i="4"/>
  <c r="DU497" i="4"/>
  <c r="DW486" i="4"/>
  <c r="DO486" i="4"/>
  <c r="DM436" i="4"/>
  <c r="DO398" i="4"/>
  <c r="DM398" i="4"/>
  <c r="DS349" i="4"/>
  <c r="DM349" i="4"/>
  <c r="CY349" i="4" s="1"/>
  <c r="EA349" i="4" s="1"/>
  <c r="DL146" i="4"/>
  <c r="DM654" i="4"/>
  <c r="CY654" i="4" s="1"/>
  <c r="DY639" i="4"/>
  <c r="DO678" i="4"/>
  <c r="DS669" i="4"/>
  <c r="DM647" i="4"/>
  <c r="CY647" i="4" s="1"/>
  <c r="EA647" i="4" s="1"/>
  <c r="DQ634" i="4"/>
  <c r="DS666" i="4"/>
  <c r="DV618" i="4"/>
  <c r="DO605" i="4"/>
  <c r="DM605" i="4"/>
  <c r="CY605" i="4" s="1"/>
  <c r="DO530" i="4"/>
  <c r="DM659" i="4"/>
  <c r="DM635" i="4"/>
  <c r="DR514" i="4"/>
  <c r="CY503" i="4"/>
  <c r="DY658" i="4"/>
  <c r="DN643" i="4"/>
  <c r="DL629" i="4"/>
  <c r="DO659" i="4"/>
  <c r="DM658" i="4"/>
  <c r="DV652" i="4"/>
  <c r="DN652" i="4"/>
  <c r="DL649" i="4"/>
  <c r="DS647" i="4"/>
  <c r="DX645" i="4"/>
  <c r="DP645" i="4"/>
  <c r="DT643" i="4"/>
  <c r="DR641" i="4"/>
  <c r="DQ638" i="4"/>
  <c r="DP635" i="4"/>
  <c r="DS623" i="4"/>
  <c r="DQ622" i="4"/>
  <c r="DY678" i="4"/>
  <c r="DQ678" i="4"/>
  <c r="DU677" i="4"/>
  <c r="DU676" i="4"/>
  <c r="DV675" i="4"/>
  <c r="DP661" i="4"/>
  <c r="DX613" i="4"/>
  <c r="DP613" i="4"/>
  <c r="DT604" i="4"/>
  <c r="DW598" i="4"/>
  <c r="DL593" i="4"/>
  <c r="CX593" i="4" s="1"/>
  <c r="DZ593" i="4" s="1"/>
  <c r="DU572" i="4"/>
  <c r="DM563" i="4"/>
  <c r="CY563" i="4" s="1"/>
  <c r="EA563" i="4" s="1"/>
  <c r="DQ547" i="4"/>
  <c r="DL540" i="4"/>
  <c r="DU526" i="4"/>
  <c r="DX522" i="4"/>
  <c r="DL522" i="4"/>
  <c r="CX522" i="4" s="1"/>
  <c r="DZ522" i="4" s="1"/>
  <c r="DS519" i="4"/>
  <c r="DL518" i="4"/>
  <c r="DS496" i="4"/>
  <c r="DR464" i="4"/>
  <c r="DQ454" i="4"/>
  <c r="DL450" i="4"/>
  <c r="DL441" i="4"/>
  <c r="DX511" i="4"/>
  <c r="DP511" i="4"/>
  <c r="DX509" i="4"/>
  <c r="DO509" i="4"/>
  <c r="DW500" i="4"/>
  <c r="DV499" i="4"/>
  <c r="DP499" i="4"/>
  <c r="DO496" i="4"/>
  <c r="DT495" i="4"/>
  <c r="DU495" i="4"/>
  <c r="DT489" i="4"/>
  <c r="DY480" i="4"/>
  <c r="DY473" i="4"/>
  <c r="DV470" i="4"/>
  <c r="DO466" i="4"/>
  <c r="DM466" i="4"/>
  <c r="DV465" i="4"/>
  <c r="DW465" i="4"/>
  <c r="DT463" i="4"/>
  <c r="DW461" i="4"/>
  <c r="DN460" i="4"/>
  <c r="DL445" i="4"/>
  <c r="DT435" i="4"/>
  <c r="DM403" i="4"/>
  <c r="DV401" i="4"/>
  <c r="DY376" i="4"/>
  <c r="DN361" i="4"/>
  <c r="DQ345" i="4"/>
  <c r="DS341" i="4"/>
  <c r="DM341" i="4"/>
  <c r="DT338" i="4"/>
  <c r="DO298" i="4"/>
  <c r="DS75" i="4"/>
  <c r="DM75" i="4"/>
  <c r="CY75" i="4" s="1"/>
  <c r="EA75" i="4" s="1"/>
  <c r="DM57" i="4"/>
  <c r="CY57" i="4" s="1"/>
  <c r="DY619" i="4"/>
  <c r="DQ619" i="4"/>
  <c r="DX618" i="4"/>
  <c r="DR604" i="4"/>
  <c r="DM599" i="4"/>
  <c r="DM595" i="4"/>
  <c r="CY595" i="4" s="1"/>
  <c r="DW589" i="4"/>
  <c r="DM589" i="4"/>
  <c r="DN588" i="4"/>
  <c r="DL580" i="4"/>
  <c r="DZ580" i="4" s="1"/>
  <c r="DR565" i="4"/>
  <c r="DY561" i="4"/>
  <c r="DU555" i="4"/>
  <c r="DR550" i="4"/>
  <c r="DL549" i="4"/>
  <c r="DZ549" i="4" s="1"/>
  <c r="DP542" i="4"/>
  <c r="DX533" i="4"/>
  <c r="DP532" i="4"/>
  <c r="DY524" i="4"/>
  <c r="DQ524" i="4"/>
  <c r="DS524" i="4"/>
  <c r="DL521" i="4"/>
  <c r="DN521" i="4"/>
  <c r="DX521" i="4"/>
  <c r="DM518" i="4"/>
  <c r="CY518" i="4" s="1"/>
  <c r="EA518" i="4" s="1"/>
  <c r="DX517" i="4"/>
  <c r="DV516" i="4"/>
  <c r="DU515" i="4"/>
  <c r="DP501" i="4"/>
  <c r="DV476" i="4"/>
  <c r="DN476" i="4"/>
  <c r="DY459" i="4"/>
  <c r="DN450" i="4"/>
  <c r="DM445" i="4"/>
  <c r="CY445" i="4" s="1"/>
  <c r="DW440" i="4"/>
  <c r="DO440" i="4"/>
  <c r="DW406" i="4"/>
  <c r="DM378" i="4"/>
  <c r="EA378" i="4" s="1"/>
  <c r="DM374" i="4"/>
  <c r="CY374" i="4" s="1"/>
  <c r="EA374" i="4" s="1"/>
  <c r="DL363" i="4"/>
  <c r="DM362" i="4"/>
  <c r="DV361" i="4"/>
  <c r="DM358" i="4"/>
  <c r="CY358" i="4" s="1"/>
  <c r="EA358" i="4" s="1"/>
  <c r="DN332" i="4"/>
  <c r="DL332" i="4"/>
  <c r="DL317" i="4"/>
  <c r="DU233" i="4"/>
  <c r="DU231" i="4"/>
  <c r="DN71" i="4"/>
  <c r="DL71" i="4"/>
  <c r="CX71" i="4" s="1"/>
  <c r="DZ71" i="4" s="1"/>
  <c r="DQ658" i="4"/>
  <c r="DW657" i="4"/>
  <c r="DL655" i="4"/>
  <c r="DY653" i="4"/>
  <c r="DQ653" i="4"/>
  <c r="DO648" i="4"/>
  <c r="DV647" i="4"/>
  <c r="DS646" i="4"/>
  <c r="DW645" i="4"/>
  <c r="DO645" i="4"/>
  <c r="DM645" i="4"/>
  <c r="CY645" i="4" s="1"/>
  <c r="DW639" i="4"/>
  <c r="DO639" i="4"/>
  <c r="DY638" i="4"/>
  <c r="DR636" i="4"/>
  <c r="DM634" i="4"/>
  <c r="CY634" i="4" s="1"/>
  <c r="EA634" i="4" s="1"/>
  <c r="DN633" i="4"/>
  <c r="DS633" i="4"/>
  <c r="DY631" i="4"/>
  <c r="DT631" i="4"/>
  <c r="DM628" i="4"/>
  <c r="DM627" i="4"/>
  <c r="DY623" i="4"/>
  <c r="DQ623" i="4"/>
  <c r="DV680" i="4"/>
  <c r="DN680" i="4"/>
  <c r="DU678" i="4"/>
  <c r="DY673" i="4"/>
  <c r="DQ673" i="4"/>
  <c r="DY672" i="4"/>
  <c r="DY666" i="4"/>
  <c r="DW660" i="4"/>
  <c r="DO660" i="4"/>
  <c r="DT660" i="4"/>
  <c r="DX614" i="4"/>
  <c r="DS610" i="4"/>
  <c r="DV601" i="4"/>
  <c r="DN599" i="4"/>
  <c r="DO598" i="4"/>
  <c r="DM597" i="4"/>
  <c r="CY597" i="4" s="1"/>
  <c r="EA597" i="4" s="1"/>
  <c r="DT589" i="4"/>
  <c r="DW588" i="4"/>
  <c r="DO588" i="4"/>
  <c r="DY579" i="4"/>
  <c r="DT568" i="4"/>
  <c r="DR567" i="4"/>
  <c r="DS567" i="4"/>
  <c r="DW565" i="4"/>
  <c r="DL564" i="4"/>
  <c r="DN564" i="4"/>
  <c r="DP559" i="4"/>
  <c r="DU550" i="4"/>
  <c r="DY539" i="4"/>
  <c r="DM538" i="4"/>
  <c r="DQ525" i="4"/>
  <c r="DT518" i="4"/>
  <c r="DY517" i="4"/>
  <c r="DR515" i="4"/>
  <c r="DL513" i="4"/>
  <c r="DU501" i="4"/>
  <c r="DT499" i="4"/>
  <c r="DN494" i="4"/>
  <c r="DP489" i="4"/>
  <c r="DL489" i="4"/>
  <c r="DZ489" i="4" s="1"/>
  <c r="DS488" i="4"/>
  <c r="DN482" i="4"/>
  <c r="DY476" i="4"/>
  <c r="DL446" i="4"/>
  <c r="DU445" i="4"/>
  <c r="DY443" i="4"/>
  <c r="DO441" i="4"/>
  <c r="DO434" i="4"/>
  <c r="DM434" i="4"/>
  <c r="DO429" i="4"/>
  <c r="DT426" i="4"/>
  <c r="DM419" i="4"/>
  <c r="CY419" i="4" s="1"/>
  <c r="EA419" i="4" s="1"/>
  <c r="DU419" i="4"/>
  <c r="DS403" i="4"/>
  <c r="CA362" i="4"/>
  <c r="CM362" i="4" s="1"/>
  <c r="DO362" i="4" s="1"/>
  <c r="DL312" i="4"/>
  <c r="DM168" i="4"/>
  <c r="DW629" i="4"/>
  <c r="DN657" i="4"/>
  <c r="DT657" i="4"/>
  <c r="DT655" i="4"/>
  <c r="DT654" i="4"/>
  <c r="DT651" i="4"/>
  <c r="DQ650" i="4"/>
  <c r="DX648" i="4"/>
  <c r="DP648" i="4"/>
  <c r="DO646" i="4"/>
  <c r="DM646" i="4"/>
  <c r="CY646" i="4" s="1"/>
  <c r="DL645" i="4"/>
  <c r="CX645" i="4" s="1"/>
  <c r="DZ645" i="4" s="1"/>
  <c r="DU643" i="4"/>
  <c r="DV642" i="4"/>
  <c r="DU641" i="4"/>
  <c r="DS639" i="4"/>
  <c r="DW638" i="4"/>
  <c r="DV638" i="4"/>
  <c r="DN638" i="4"/>
  <c r="DP637" i="4"/>
  <c r="DU636" i="4"/>
  <c r="DW632" i="4"/>
  <c r="DT625" i="4"/>
  <c r="DT622" i="4"/>
  <c r="DY680" i="4"/>
  <c r="DM680" i="4"/>
  <c r="CY680" i="4" s="1"/>
  <c r="EA680" i="4" s="1"/>
  <c r="DU680" i="4"/>
  <c r="DR679" i="4"/>
  <c r="DX679" i="4"/>
  <c r="DX676" i="4"/>
  <c r="DV676" i="4"/>
  <c r="DN676" i="4"/>
  <c r="DX675" i="4"/>
  <c r="DV673" i="4"/>
  <c r="DX671" i="4"/>
  <c r="DV667" i="4"/>
  <c r="DL667" i="4"/>
  <c r="CX667" i="4" s="1"/>
  <c r="DP664" i="4"/>
  <c r="DO664" i="4"/>
  <c r="DO663" i="4"/>
  <c r="DY662" i="4"/>
  <c r="DQ662" i="4"/>
  <c r="DV661" i="4"/>
  <c r="DN661" i="4"/>
  <c r="DQ616" i="4"/>
  <c r="DL607" i="4"/>
  <c r="DU606" i="4"/>
  <c r="DN604" i="4"/>
  <c r="DW596" i="4"/>
  <c r="DR593" i="4"/>
  <c r="DS584" i="4"/>
  <c r="DX579" i="4"/>
  <c r="DS574" i="4"/>
  <c r="DO572" i="4"/>
  <c r="DS572" i="4"/>
  <c r="DM567" i="4"/>
  <c r="DU562" i="4"/>
  <c r="DW562" i="4"/>
  <c r="DL557" i="4"/>
  <c r="DR557" i="4"/>
  <c r="DN552" i="4"/>
  <c r="DT548" i="4"/>
  <c r="DU544" i="4"/>
  <c r="DU543" i="4"/>
  <c r="DT542" i="4"/>
  <c r="DY520" i="4"/>
  <c r="DQ520" i="4"/>
  <c r="DS516" i="4"/>
  <c r="DR510" i="4"/>
  <c r="DX505" i="4"/>
  <c r="DL503" i="4"/>
  <c r="DO502" i="4"/>
  <c r="DW493" i="4"/>
  <c r="DM489" i="4"/>
  <c r="DW484" i="4"/>
  <c r="DO484" i="4"/>
  <c r="DX476" i="4"/>
  <c r="DP476" i="4"/>
  <c r="DM475" i="4"/>
  <c r="DQ465" i="4"/>
  <c r="DS459" i="4"/>
  <c r="DW458" i="4"/>
  <c r="DS454" i="4"/>
  <c r="DV438" i="4"/>
  <c r="DW422" i="4"/>
  <c r="DO422" i="4"/>
  <c r="DN412" i="4"/>
  <c r="DL412" i="4"/>
  <c r="DT407" i="4"/>
  <c r="DL353" i="4"/>
  <c r="DU658" i="4"/>
  <c r="DX656" i="4"/>
  <c r="DP656" i="4"/>
  <c r="DS656" i="4"/>
  <c r="DO652" i="4"/>
  <c r="DS652" i="4"/>
  <c r="DP651" i="4"/>
  <c r="DQ649" i="4"/>
  <c r="DX649" i="4"/>
  <c r="DP649" i="4"/>
  <c r="DQ646" i="4"/>
  <c r="DS644" i="4"/>
  <c r="DY641" i="4"/>
  <c r="DW641" i="4"/>
  <c r="DU635" i="4"/>
  <c r="DX635" i="4"/>
  <c r="DR632" i="4"/>
  <c r="DO631" i="4"/>
  <c r="DR630" i="4"/>
  <c r="DY625" i="4"/>
  <c r="DQ625" i="4"/>
  <c r="DY622" i="4"/>
  <c r="DU621" i="4"/>
  <c r="DX621" i="4"/>
  <c r="DP621" i="4"/>
  <c r="DT621" i="4"/>
  <c r="DX680" i="4"/>
  <c r="DP680" i="4"/>
  <c r="DM676" i="4"/>
  <c r="DO675" i="4"/>
  <c r="DV669" i="4"/>
  <c r="DS668" i="4"/>
  <c r="DP668" i="4"/>
  <c r="DV663" i="4"/>
  <c r="DL663" i="4"/>
  <c r="DV662" i="4"/>
  <c r="DU661" i="4"/>
  <c r="DU660" i="4"/>
  <c r="DR612" i="4"/>
  <c r="DL609" i="4"/>
  <c r="DP606" i="4"/>
  <c r="DV605" i="4"/>
  <c r="DM602" i="4"/>
  <c r="DW602" i="4"/>
  <c r="DT599" i="4"/>
  <c r="DU597" i="4"/>
  <c r="DS597" i="4"/>
  <c r="DX595" i="4"/>
  <c r="DU595" i="4"/>
  <c r="DT593" i="4"/>
  <c r="DR590" i="4"/>
  <c r="DU589" i="4"/>
  <c r="DO580" i="4"/>
  <c r="DO575" i="4"/>
  <c r="DN572" i="4"/>
  <c r="DM570" i="4"/>
  <c r="DO569" i="4"/>
  <c r="DN568" i="4"/>
  <c r="DS559" i="4"/>
  <c r="DY556" i="4"/>
  <c r="DU547" i="4"/>
  <c r="DM543" i="4"/>
  <c r="CY543" i="4" s="1"/>
  <c r="EA543" i="4" s="1"/>
  <c r="DX540" i="4"/>
  <c r="DL536" i="4"/>
  <c r="DM534" i="4"/>
  <c r="CY534" i="4" s="1"/>
  <c r="EA534" i="4" s="1"/>
  <c r="DY531" i="4"/>
  <c r="DP530" i="4"/>
  <c r="DV529" i="4"/>
  <c r="DX516" i="4"/>
  <c r="DT513" i="4"/>
  <c r="DT509" i="4"/>
  <c r="DS508" i="4"/>
  <c r="DN508" i="4"/>
  <c r="DS506" i="4"/>
  <c r="DM505" i="4"/>
  <c r="DT492" i="4"/>
  <c r="DX486" i="4"/>
  <c r="DP486" i="4"/>
  <c r="DM485" i="4"/>
  <c r="EA485" i="4" s="1"/>
  <c r="DT482" i="4"/>
  <c r="DL477" i="4"/>
  <c r="CX477" i="4" s="1"/>
  <c r="DZ477" i="4" s="1"/>
  <c r="DL475" i="4"/>
  <c r="CX475" i="4" s="1"/>
  <c r="DZ475" i="4" s="1"/>
  <c r="DR470" i="4"/>
  <c r="DN466" i="4"/>
  <c r="DM455" i="4"/>
  <c r="DV446" i="4"/>
  <c r="DX444" i="4"/>
  <c r="DN438" i="4"/>
  <c r="DU424" i="4"/>
  <c r="DY413" i="4"/>
  <c r="DS405" i="4"/>
  <c r="DQ398" i="4"/>
  <c r="DO282" i="4"/>
  <c r="DM282" i="4"/>
  <c r="DL251" i="4"/>
  <c r="DT659" i="4"/>
  <c r="DS658" i="4"/>
  <c r="DX657" i="4"/>
  <c r="DP657" i="4"/>
  <c r="DR656" i="4"/>
  <c r="DW655" i="4"/>
  <c r="DO655" i="4"/>
  <c r="DS654" i="4"/>
  <c r="DT653" i="4"/>
  <c r="DW649" i="4"/>
  <c r="DM649" i="4"/>
  <c r="DU647" i="4"/>
  <c r="DU646" i="4"/>
  <c r="DT644" i="4"/>
  <c r="DM642" i="4"/>
  <c r="DX641" i="4"/>
  <c r="DP641" i="4"/>
  <c r="DL640" i="4"/>
  <c r="CX640" i="4" s="1"/>
  <c r="DZ640" i="4" s="1"/>
  <c r="DX639" i="4"/>
  <c r="DP639" i="4"/>
  <c r="DU638" i="4"/>
  <c r="DX636" i="4"/>
  <c r="DW635" i="4"/>
  <c r="DO635" i="4"/>
  <c r="DT634" i="4"/>
  <c r="DU632" i="4"/>
  <c r="DS631" i="4"/>
  <c r="DV628" i="4"/>
  <c r="DV626" i="4"/>
  <c r="DN626" i="4"/>
  <c r="DS624" i="4"/>
  <c r="DV624" i="4"/>
  <c r="DN624" i="4"/>
  <c r="DW623" i="4"/>
  <c r="DT680" i="4"/>
  <c r="DR680" i="4"/>
  <c r="DS674" i="4"/>
  <c r="DU673" i="4"/>
  <c r="DR667" i="4"/>
  <c r="DU665" i="4"/>
  <c r="DW620" i="4"/>
  <c r="DO620" i="4"/>
  <c r="DN619" i="4"/>
  <c r="DY617" i="4"/>
  <c r="DQ617" i="4"/>
  <c r="DV616" i="4"/>
  <c r="DX611" i="4"/>
  <c r="DT609" i="4"/>
  <c r="DS607" i="4"/>
  <c r="DO601" i="4"/>
  <c r="DQ600" i="4"/>
  <c r="DX596" i="4"/>
  <c r="DL596" i="4"/>
  <c r="DX594" i="4"/>
  <c r="DQ593" i="4"/>
  <c r="DY593" i="4"/>
  <c r="DP592" i="4"/>
  <c r="DT588" i="4"/>
  <c r="DT581" i="4"/>
  <c r="DW579" i="4"/>
  <c r="DO579" i="4"/>
  <c r="DL576" i="4"/>
  <c r="DZ576" i="4" s="1"/>
  <c r="DL573" i="4"/>
  <c r="DQ571" i="4"/>
  <c r="DU567" i="4"/>
  <c r="DM566" i="4"/>
  <c r="DX565" i="4"/>
  <c r="DT565" i="4"/>
  <c r="DY558" i="4"/>
  <c r="DT555" i="4"/>
  <c r="DL544" i="4"/>
  <c r="CX544" i="4" s="1"/>
  <c r="DZ544" i="4" s="1"/>
  <c r="DP538" i="4"/>
  <c r="DR536" i="4"/>
  <c r="DN535" i="4"/>
  <c r="DS529" i="4"/>
  <c r="DU529" i="4"/>
  <c r="DR527" i="4"/>
  <c r="DV526" i="4"/>
  <c r="DW524" i="4"/>
  <c r="DO524" i="4"/>
  <c r="DV522" i="4"/>
  <c r="DT521" i="4"/>
  <c r="DU519" i="4"/>
  <c r="DP512" i="4"/>
  <c r="DY510" i="4"/>
  <c r="DQ510" i="4"/>
  <c r="DM509" i="4"/>
  <c r="DX507" i="4"/>
  <c r="DP507" i="4"/>
  <c r="DS507" i="4"/>
  <c r="DQ505" i="4"/>
  <c r="DX502" i="4"/>
  <c r="DV501" i="4"/>
  <c r="DN501" i="4"/>
  <c r="DP496" i="4"/>
  <c r="DQ482" i="4"/>
  <c r="DY481" i="4"/>
  <c r="DO476" i="4"/>
  <c r="DY474" i="4"/>
  <c r="DW473" i="4"/>
  <c r="DY469" i="4"/>
  <c r="DQ466" i="4"/>
  <c r="DW464" i="4"/>
  <c r="DM463" i="4"/>
  <c r="DU462" i="4"/>
  <c r="DR459" i="4"/>
  <c r="DW459" i="4"/>
  <c r="DL458" i="4"/>
  <c r="CX458" i="4" s="1"/>
  <c r="DY453" i="4"/>
  <c r="DQ453" i="4"/>
  <c r="DW444" i="4"/>
  <c r="DX436" i="4"/>
  <c r="DP436" i="4"/>
  <c r="DN434" i="4"/>
  <c r="DY431" i="4"/>
  <c r="DV429" i="4"/>
  <c r="DR427" i="4"/>
  <c r="DR424" i="4"/>
  <c r="DR421" i="4"/>
  <c r="DP409" i="4"/>
  <c r="DO407" i="4"/>
  <c r="DL400" i="4"/>
  <c r="CX400" i="4" s="1"/>
  <c r="DZ400" i="4" s="1"/>
  <c r="DU399" i="4"/>
  <c r="DW399" i="4"/>
  <c r="DO381" i="4"/>
  <c r="DT371" i="4"/>
  <c r="DY370" i="4"/>
  <c r="DP367" i="4"/>
  <c r="CA364" i="4"/>
  <c r="CM364" i="4" s="1"/>
  <c r="DP348" i="4"/>
  <c r="DL348" i="4"/>
  <c r="DT339" i="4"/>
  <c r="DU314" i="4"/>
  <c r="DL261" i="4"/>
  <c r="DL245" i="4"/>
  <c r="DM226" i="4"/>
  <c r="CY226" i="4" s="1"/>
  <c r="EA226" i="4" s="1"/>
  <c r="DS226" i="4"/>
  <c r="DM221" i="4"/>
  <c r="DQ168" i="4"/>
  <c r="DM160" i="4"/>
  <c r="DO160" i="4"/>
  <c r="DU619" i="4"/>
  <c r="DS618" i="4"/>
  <c r="DX615" i="4"/>
  <c r="DP615" i="4"/>
  <c r="DU615" i="4"/>
  <c r="DL614" i="4"/>
  <c r="DV608" i="4"/>
  <c r="DN608" i="4"/>
  <c r="DT606" i="4"/>
  <c r="DQ604" i="4"/>
  <c r="DR601" i="4"/>
  <c r="DS600" i="4"/>
  <c r="DR598" i="4"/>
  <c r="DR597" i="4"/>
  <c r="DV596" i="4"/>
  <c r="DY595" i="4"/>
  <c r="DS592" i="4"/>
  <c r="DU590" i="4"/>
  <c r="DR588" i="4"/>
  <c r="DV588" i="4"/>
  <c r="DU585" i="4"/>
  <c r="DW582" i="4"/>
  <c r="DO582" i="4"/>
  <c r="DV580" i="4"/>
  <c r="DU570" i="4"/>
  <c r="DX569" i="4"/>
  <c r="DN567" i="4"/>
  <c r="DV565" i="4"/>
  <c r="DW553" i="4"/>
  <c r="DM553" i="4"/>
  <c r="DU552" i="4"/>
  <c r="DQ551" i="4"/>
  <c r="DM549" i="4"/>
  <c r="CY549" i="4" s="1"/>
  <c r="DT549" i="4"/>
  <c r="DY546" i="4"/>
  <c r="DO545" i="4"/>
  <c r="DX543" i="4"/>
  <c r="DW541" i="4"/>
  <c r="DM541" i="4"/>
  <c r="DW537" i="4"/>
  <c r="DX534" i="4"/>
  <c r="DM533" i="4"/>
  <c r="DV531" i="4"/>
  <c r="DN531" i="4"/>
  <c r="DU527" i="4"/>
  <c r="DL526" i="4"/>
  <c r="CX526" i="4" s="1"/>
  <c r="DX526" i="4"/>
  <c r="DY525" i="4"/>
  <c r="DV524" i="4"/>
  <c r="DP519" i="4"/>
  <c r="DV518" i="4"/>
  <c r="DL516" i="4"/>
  <c r="DL511" i="4"/>
  <c r="CX511" i="4" s="1"/>
  <c r="DP509" i="4"/>
  <c r="DY507" i="4"/>
  <c r="DS498" i="4"/>
  <c r="DQ497" i="4"/>
  <c r="DN496" i="4"/>
  <c r="DR494" i="4"/>
  <c r="DW494" i="4"/>
  <c r="DO494" i="4"/>
  <c r="DP492" i="4"/>
  <c r="DT491" i="4"/>
  <c r="DP490" i="4"/>
  <c r="DU485" i="4"/>
  <c r="DY482" i="4"/>
  <c r="DU480" i="4"/>
  <c r="DR475" i="4"/>
  <c r="DX473" i="4"/>
  <c r="DP473" i="4"/>
  <c r="DN470" i="4"/>
  <c r="DS469" i="4"/>
  <c r="DW469" i="4"/>
  <c r="DR467" i="4"/>
  <c r="DW467" i="4"/>
  <c r="DY464" i="4"/>
  <c r="DR460" i="4"/>
  <c r="DX459" i="4"/>
  <c r="DP459" i="4"/>
  <c r="DR458" i="4"/>
  <c r="DX456" i="4"/>
  <c r="DP456" i="4"/>
  <c r="DP455" i="4"/>
  <c r="DV448" i="4"/>
  <c r="DN448" i="4"/>
  <c r="DS448" i="4"/>
  <c r="DN446" i="4"/>
  <c r="DP445" i="4"/>
  <c r="DX443" i="4"/>
  <c r="DS443" i="4"/>
  <c r="DX441" i="4"/>
  <c r="DP441" i="4"/>
  <c r="DV436" i="4"/>
  <c r="DQ436" i="4"/>
  <c r="DO431" i="4"/>
  <c r="DN430" i="4"/>
  <c r="DM426" i="4"/>
  <c r="DO426" i="4"/>
  <c r="DL409" i="4"/>
  <c r="CX409" i="4" s="1"/>
  <c r="DZ409" i="4" s="1"/>
  <c r="DL405" i="4"/>
  <c r="DN405" i="4"/>
  <c r="DY392" i="4"/>
  <c r="DQ392" i="4"/>
  <c r="DY384" i="4"/>
  <c r="DS368" i="4"/>
  <c r="DQ359" i="4"/>
  <c r="DM359" i="4"/>
  <c r="DL325" i="4"/>
  <c r="DP318" i="4"/>
  <c r="DO280" i="4"/>
  <c r="DP191" i="4"/>
  <c r="DL191" i="4"/>
  <c r="DV664" i="4"/>
  <c r="DU662" i="4"/>
  <c r="DS660" i="4"/>
  <c r="DQ660" i="4"/>
  <c r="DT620" i="4"/>
  <c r="DS619" i="4"/>
  <c r="DW617" i="4"/>
  <c r="DO617" i="4"/>
  <c r="DN613" i="4"/>
  <c r="DP612" i="4"/>
  <c r="DR611" i="4"/>
  <c r="DU607" i="4"/>
  <c r="DX605" i="4"/>
  <c r="DT601" i="4"/>
  <c r="DY601" i="4"/>
  <c r="DQ601" i="4"/>
  <c r="DR600" i="4"/>
  <c r="DS595" i="4"/>
  <c r="DP593" i="4"/>
  <c r="DT590" i="4"/>
  <c r="DQ587" i="4"/>
  <c r="DQ586" i="4"/>
  <c r="DM585" i="4"/>
  <c r="CY585" i="4" s="1"/>
  <c r="EA585" i="4" s="1"/>
  <c r="DY584" i="4"/>
  <c r="DQ584" i="4"/>
  <c r="DS582" i="4"/>
  <c r="DY581" i="4"/>
  <c r="DQ581" i="4"/>
  <c r="DW573" i="4"/>
  <c r="DQ572" i="4"/>
  <c r="DW569" i="4"/>
  <c r="DM569" i="4"/>
  <c r="CY569" i="4" s="1"/>
  <c r="EA569" i="4" s="1"/>
  <c r="DX566" i="4"/>
  <c r="DM565" i="4"/>
  <c r="DY565" i="4"/>
  <c r="DR564" i="4"/>
  <c r="DL560" i="4"/>
  <c r="CX560" i="4" s="1"/>
  <c r="DR559" i="4"/>
  <c r="DX559" i="4"/>
  <c r="DV558" i="4"/>
  <c r="DX557" i="4"/>
  <c r="DP557" i="4"/>
  <c r="DM554" i="4"/>
  <c r="DV553" i="4"/>
  <c r="DU551" i="4"/>
  <c r="DR548" i="4"/>
  <c r="DW547" i="4"/>
  <c r="DX546" i="4"/>
  <c r="DP546" i="4"/>
  <c r="DY544" i="4"/>
  <c r="DV541" i="4"/>
  <c r="DN541" i="4"/>
  <c r="DU538" i="4"/>
  <c r="DT536" i="4"/>
  <c r="DY535" i="4"/>
  <c r="DR532" i="4"/>
  <c r="DR530" i="4"/>
  <c r="DX529" i="4"/>
  <c r="DP528" i="4"/>
  <c r="DT526" i="4"/>
  <c r="DX525" i="4"/>
  <c r="DT524" i="4"/>
  <c r="DS522" i="4"/>
  <c r="DW519" i="4"/>
  <c r="DO519" i="4"/>
  <c r="DX518" i="4"/>
  <c r="DP518" i="4"/>
  <c r="DU518" i="4"/>
  <c r="DR517" i="4"/>
  <c r="DQ516" i="4"/>
  <c r="DU514" i="4"/>
  <c r="DU512" i="4"/>
  <c r="DS510" i="4"/>
  <c r="DT510" i="4"/>
  <c r="DR506" i="4"/>
  <c r="DY500" i="4"/>
  <c r="DX497" i="4"/>
  <c r="DQ493" i="4"/>
  <c r="DS491" i="4"/>
  <c r="DX489" i="4"/>
  <c r="DN487" i="4"/>
  <c r="DT485" i="4"/>
  <c r="DV482" i="4"/>
  <c r="DW478" i="4"/>
  <c r="DP477" i="4"/>
  <c r="DT476" i="4"/>
  <c r="DV474" i="4"/>
  <c r="DN474" i="4"/>
  <c r="DW472" i="4"/>
  <c r="DU465" i="4"/>
  <c r="DO461" i="4"/>
  <c r="DU461" i="4"/>
  <c r="DV457" i="4"/>
  <c r="DN457" i="4"/>
  <c r="DW456" i="4"/>
  <c r="DV453" i="4"/>
  <c r="DP451" i="4"/>
  <c r="DR450" i="4"/>
  <c r="DY450" i="4"/>
  <c r="DX449" i="4"/>
  <c r="DP449" i="4"/>
  <c r="DM448" i="4"/>
  <c r="DT444" i="4"/>
  <c r="DY438" i="4"/>
  <c r="DV430" i="4"/>
  <c r="DL426" i="4"/>
  <c r="DT421" i="4"/>
  <c r="DU420" i="4"/>
  <c r="DO415" i="4"/>
  <c r="DO406" i="4"/>
  <c r="DR378" i="4"/>
  <c r="DM368" i="4"/>
  <c r="DL366" i="4"/>
  <c r="DU358" i="4"/>
  <c r="DW343" i="4"/>
  <c r="DT342" i="4"/>
  <c r="DY327" i="4"/>
  <c r="DQ663" i="4"/>
  <c r="DW662" i="4"/>
  <c r="DO662" i="4"/>
  <c r="DY660" i="4"/>
  <c r="DS620" i="4"/>
  <c r="DV615" i="4"/>
  <c r="DR614" i="4"/>
  <c r="DM612" i="4"/>
  <c r="DU611" i="4"/>
  <c r="DR609" i="4"/>
  <c r="DO607" i="4"/>
  <c r="DR606" i="4"/>
  <c r="DW605" i="4"/>
  <c r="DP601" i="4"/>
  <c r="DP598" i="4"/>
  <c r="DT596" i="4"/>
  <c r="DM593" i="4"/>
  <c r="CY593" i="4" s="1"/>
  <c r="EA593" i="4" s="1"/>
  <c r="DU593" i="4"/>
  <c r="DL592" i="4"/>
  <c r="CX592" i="4" s="1"/>
  <c r="DX588" i="4"/>
  <c r="DV585" i="4"/>
  <c r="DV584" i="4"/>
  <c r="DU583" i="4"/>
  <c r="DX578" i="4"/>
  <c r="DO577" i="4"/>
  <c r="DU574" i="4"/>
  <c r="DX572" i="4"/>
  <c r="DP572" i="4"/>
  <c r="DX562" i="4"/>
  <c r="DP562" i="4"/>
  <c r="DU558" i="4"/>
  <c r="DW557" i="4"/>
  <c r="DO557" i="4"/>
  <c r="DV547" i="4"/>
  <c r="DU545" i="4"/>
  <c r="DX544" i="4"/>
  <c r="DP544" i="4"/>
  <c r="DN543" i="4"/>
  <c r="DY540" i="4"/>
  <c r="DQ540" i="4"/>
  <c r="DW540" i="4"/>
  <c r="DU539" i="4"/>
  <c r="DU537" i="4"/>
  <c r="DR535" i="4"/>
  <c r="DV534" i="4"/>
  <c r="DQ532" i="4"/>
  <c r="DO529" i="4"/>
  <c r="DY529" i="4"/>
  <c r="DW528" i="4"/>
  <c r="DY523" i="4"/>
  <c r="DM522" i="4"/>
  <c r="DN522" i="4"/>
  <c r="DV513" i="4"/>
  <c r="DT512" i="4"/>
  <c r="DS512" i="4"/>
  <c r="DU510" i="4"/>
  <c r="DW510" i="4"/>
  <c r="DS503" i="4"/>
  <c r="DQ501" i="4"/>
  <c r="DO497" i="4"/>
  <c r="DN492" i="4"/>
  <c r="DR489" i="4"/>
  <c r="DT488" i="4"/>
  <c r="DW488" i="4"/>
  <c r="DV485" i="4"/>
  <c r="DN480" i="4"/>
  <c r="DL478" i="4"/>
  <c r="DQ478" i="4"/>
  <c r="DO470" i="4"/>
  <c r="DT470" i="4"/>
  <c r="DR468" i="4"/>
  <c r="DV461" i="4"/>
  <c r="DX460" i="4"/>
  <c r="DV459" i="4"/>
  <c r="DY449" i="4"/>
  <c r="DO449" i="4"/>
  <c r="DQ447" i="4"/>
  <c r="DL443" i="4"/>
  <c r="DP439" i="4"/>
  <c r="DW437" i="4"/>
  <c r="DY436" i="4"/>
  <c r="DU432" i="4"/>
  <c r="DL430" i="4"/>
  <c r="DN429" i="4"/>
  <c r="DV427" i="4"/>
  <c r="DN427" i="4"/>
  <c r="DP419" i="4"/>
  <c r="DL419" i="4"/>
  <c r="CX419" i="4" s="1"/>
  <c r="DW414" i="4"/>
  <c r="DW411" i="4"/>
  <c r="DO411" i="4"/>
  <c r="DR407" i="4"/>
  <c r="DT403" i="4"/>
  <c r="DT388" i="4"/>
  <c r="DQ378" i="4"/>
  <c r="DQ376" i="4"/>
  <c r="CE364" i="4"/>
  <c r="CQ364" i="4" s="1"/>
  <c r="DS364" i="4" s="1"/>
  <c r="DM363" i="4"/>
  <c r="DL351" i="4"/>
  <c r="DL343" i="4"/>
  <c r="DV325" i="4"/>
  <c r="DV316" i="4"/>
  <c r="DV308" i="4"/>
  <c r="DY307" i="4"/>
  <c r="DO305" i="4"/>
  <c r="DM305" i="4"/>
  <c r="CY305" i="4" s="1"/>
  <c r="EA305" i="4" s="1"/>
  <c r="DW234" i="4"/>
  <c r="DP199" i="4"/>
  <c r="DV495" i="4"/>
  <c r="DU494" i="4"/>
  <c r="DY492" i="4"/>
  <c r="DQ492" i="4"/>
  <c r="DT490" i="4"/>
  <c r="DS489" i="4"/>
  <c r="DY489" i="4"/>
  <c r="DQ489" i="4"/>
  <c r="DS485" i="4"/>
  <c r="DP485" i="4"/>
  <c r="DX485" i="4"/>
  <c r="DP483" i="4"/>
  <c r="DN478" i="4"/>
  <c r="DN477" i="4"/>
  <c r="DU477" i="4"/>
  <c r="DO475" i="4"/>
  <c r="DW474" i="4"/>
  <c r="DM473" i="4"/>
  <c r="DX472" i="4"/>
  <c r="DP472" i="4"/>
  <c r="DY471" i="4"/>
  <c r="DU470" i="4"/>
  <c r="DR463" i="4"/>
  <c r="DW463" i="4"/>
  <c r="DY461" i="4"/>
  <c r="DQ461" i="4"/>
  <c r="DW460" i="4"/>
  <c r="DO460" i="4"/>
  <c r="DS457" i="4"/>
  <c r="DW453" i="4"/>
  <c r="DO453" i="4"/>
  <c r="DQ450" i="4"/>
  <c r="DV449" i="4"/>
  <c r="DY448" i="4"/>
  <c r="DL447" i="4"/>
  <c r="DZ447" i="4" s="1"/>
  <c r="DN445" i="4"/>
  <c r="DW443" i="4"/>
  <c r="DS440" i="4"/>
  <c r="DY439" i="4"/>
  <c r="DU428" i="4"/>
  <c r="DO427" i="4"/>
  <c r="DU427" i="4"/>
  <c r="DX425" i="4"/>
  <c r="DY423" i="4"/>
  <c r="DY421" i="4"/>
  <c r="DN421" i="4"/>
  <c r="DN419" i="4"/>
  <c r="DR418" i="4"/>
  <c r="DW417" i="4"/>
  <c r="DY416" i="4"/>
  <c r="DP410" i="4"/>
  <c r="DU410" i="4"/>
  <c r="DW402" i="4"/>
  <c r="DV402" i="4"/>
  <c r="DS400" i="4"/>
  <c r="DP389" i="4"/>
  <c r="DT383" i="4"/>
  <c r="DP379" i="4"/>
  <c r="DV377" i="4"/>
  <c r="DL377" i="4"/>
  <c r="DW375" i="4"/>
  <c r="DU372" i="4"/>
  <c r="CE369" i="4"/>
  <c r="CQ369" i="4" s="1"/>
  <c r="DS369" i="4" s="1"/>
  <c r="DR368" i="4"/>
  <c r="DM366" i="4"/>
  <c r="DM365" i="4"/>
  <c r="DV359" i="4"/>
  <c r="DL358" i="4"/>
  <c r="DQ355" i="4"/>
  <c r="DW352" i="4"/>
  <c r="DY348" i="4"/>
  <c r="DP347" i="4"/>
  <c r="DO345" i="4"/>
  <c r="DV337" i="4"/>
  <c r="DL330" i="4"/>
  <c r="DW322" i="4"/>
  <c r="DS315" i="4"/>
  <c r="DM312" i="4"/>
  <c r="CY312" i="4" s="1"/>
  <c r="DW312" i="4"/>
  <c r="DL309" i="4"/>
  <c r="CX309" i="4" s="1"/>
  <c r="DZ309" i="4" s="1"/>
  <c r="DO306" i="4"/>
  <c r="DN300" i="4"/>
  <c r="DV293" i="4"/>
  <c r="DT292" i="4"/>
  <c r="DP279" i="4"/>
  <c r="DN278" i="4"/>
  <c r="DN264" i="4"/>
  <c r="DQ259" i="4"/>
  <c r="DW244" i="4"/>
  <c r="DV210" i="4"/>
  <c r="DN210" i="4"/>
  <c r="CA195" i="4"/>
  <c r="CM195" i="4" s="1"/>
  <c r="DO195" i="4" s="1"/>
  <c r="DN162" i="4"/>
  <c r="DL162" i="4"/>
  <c r="DZ162" i="4" s="1"/>
  <c r="DU438" i="4"/>
  <c r="DS438" i="4"/>
  <c r="DX429" i="4"/>
  <c r="DR422" i="4"/>
  <c r="DT418" i="4"/>
  <c r="DW416" i="4"/>
  <c r="DT416" i="4"/>
  <c r="DS413" i="4"/>
  <c r="DN410" i="4"/>
  <c r="DY407" i="4"/>
  <c r="DX403" i="4"/>
  <c r="DU402" i="4"/>
  <c r="DY402" i="4"/>
  <c r="DL397" i="4"/>
  <c r="CX397" i="4" s="1"/>
  <c r="DZ397" i="4" s="1"/>
  <c r="DX384" i="4"/>
  <c r="DR380" i="4"/>
  <c r="DS373" i="4"/>
  <c r="DT370" i="4"/>
  <c r="CA367" i="4"/>
  <c r="CM367" i="4" s="1"/>
  <c r="DO367" i="4" s="1"/>
  <c r="DT363" i="4"/>
  <c r="CE362" i="4"/>
  <c r="CQ362" i="4" s="1"/>
  <c r="DS362" i="4" s="1"/>
  <c r="DT358" i="4"/>
  <c r="DY356" i="4"/>
  <c r="DW355" i="4"/>
  <c r="DW353" i="4"/>
  <c r="DO353" i="4"/>
  <c r="DM353" i="4"/>
  <c r="EA353" i="4" s="1"/>
  <c r="DP342" i="4"/>
  <c r="DY340" i="4"/>
  <c r="DP338" i="4"/>
  <c r="DL333" i="4"/>
  <c r="DU333" i="4"/>
  <c r="DT323" i="4"/>
  <c r="DT318" i="4"/>
  <c r="DX312" i="4"/>
  <c r="DV294" i="4"/>
  <c r="DN287" i="4"/>
  <c r="DV276" i="4"/>
  <c r="DM261" i="4"/>
  <c r="DN239" i="4"/>
  <c r="DL239" i="4"/>
  <c r="CX239" i="4" s="1"/>
  <c r="DS215" i="4"/>
  <c r="DM198" i="4"/>
  <c r="CA187" i="4"/>
  <c r="CM187" i="4" s="1"/>
  <c r="DO187" i="4" s="1"/>
  <c r="DO448" i="4"/>
  <c r="DU448" i="4"/>
  <c r="DT447" i="4"/>
  <c r="DW446" i="4"/>
  <c r="DS445" i="4"/>
  <c r="DQ445" i="4"/>
  <c r="DQ442" i="4"/>
  <c r="DT441" i="4"/>
  <c r="DX440" i="4"/>
  <c r="DP440" i="4"/>
  <c r="DT438" i="4"/>
  <c r="DR438" i="4"/>
  <c r="DS437" i="4"/>
  <c r="DX435" i="4"/>
  <c r="DS433" i="4"/>
  <c r="DX432" i="4"/>
  <c r="DP432" i="4"/>
  <c r="DR426" i="4"/>
  <c r="DQ426" i="4"/>
  <c r="DO425" i="4"/>
  <c r="DX424" i="4"/>
  <c r="DL423" i="4"/>
  <c r="DO418" i="4"/>
  <c r="DV416" i="4"/>
  <c r="DY415" i="4"/>
  <c r="DY414" i="4"/>
  <c r="DQ414" i="4"/>
  <c r="DQ405" i="4"/>
  <c r="DV404" i="4"/>
  <c r="DY401" i="4"/>
  <c r="DX400" i="4"/>
  <c r="DU398" i="4"/>
  <c r="DN397" i="4"/>
  <c r="DL395" i="4"/>
  <c r="DX388" i="4"/>
  <c r="DM387" i="4"/>
  <c r="CY387" i="4" s="1"/>
  <c r="EA387" i="4" s="1"/>
  <c r="DU387" i="4"/>
  <c r="DX380" i="4"/>
  <c r="DT376" i="4"/>
  <c r="DX375" i="4"/>
  <c r="CX369" i="4"/>
  <c r="DX356" i="4"/>
  <c r="DL349" i="4"/>
  <c r="DZ349" i="4" s="1"/>
  <c r="DL339" i="4"/>
  <c r="DU335" i="4"/>
  <c r="DW333" i="4"/>
  <c r="DP328" i="4"/>
  <c r="DX315" i="4"/>
  <c r="DT312" i="4"/>
  <c r="DL300" i="4"/>
  <c r="DX283" i="4"/>
  <c r="DV253" i="4"/>
  <c r="DN253" i="4"/>
  <c r="DY243" i="4"/>
  <c r="DL237" i="4"/>
  <c r="DS228" i="4"/>
  <c r="DX223" i="4"/>
  <c r="DP223" i="4"/>
  <c r="DL201" i="4"/>
  <c r="CX201" i="4" s="1"/>
  <c r="DZ201" i="4" s="1"/>
  <c r="DR199" i="4"/>
  <c r="DR183" i="4"/>
  <c r="DX172" i="4"/>
  <c r="DV434" i="4"/>
  <c r="DW424" i="4"/>
  <c r="DP422" i="4"/>
  <c r="DX416" i="4"/>
  <c r="DT396" i="4"/>
  <c r="DO386" i="4"/>
  <c r="DT382" i="4"/>
  <c r="DU355" i="4"/>
  <c r="DU350" i="4"/>
  <c r="DL344" i="4"/>
  <c r="CX344" i="4" s="1"/>
  <c r="DZ344" i="4" s="1"/>
  <c r="DP344" i="4"/>
  <c r="DY337" i="4"/>
  <c r="DL336" i="4"/>
  <c r="DR330" i="4"/>
  <c r="DV328" i="4"/>
  <c r="DN328" i="4"/>
  <c r="DN325" i="4"/>
  <c r="DR323" i="4"/>
  <c r="DM308" i="4"/>
  <c r="CY308" i="4" s="1"/>
  <c r="EA308" i="4" s="1"/>
  <c r="DU306" i="4"/>
  <c r="DL304" i="4"/>
  <c r="DU301" i="4"/>
  <c r="DX277" i="4"/>
  <c r="DY275" i="4"/>
  <c r="DV273" i="4"/>
  <c r="DL267" i="4"/>
  <c r="DY265" i="4"/>
  <c r="DQ265" i="4"/>
  <c r="DU259" i="4"/>
  <c r="DW253" i="4"/>
  <c r="DL233" i="4"/>
  <c r="CX233" i="4" s="1"/>
  <c r="DZ233" i="4" s="1"/>
  <c r="DU210" i="4"/>
  <c r="CG196" i="4"/>
  <c r="CS196" i="4" s="1"/>
  <c r="DU196" i="4" s="1"/>
  <c r="DY458" i="4"/>
  <c r="DQ458" i="4"/>
  <c r="DS458" i="4"/>
  <c r="DT456" i="4"/>
  <c r="DX453" i="4"/>
  <c r="DW452" i="4"/>
  <c r="DO452" i="4"/>
  <c r="DS449" i="4"/>
  <c r="DM446" i="4"/>
  <c r="CY446" i="4" s="1"/>
  <c r="EA446" i="4" s="1"/>
  <c r="DR443" i="4"/>
  <c r="DN441" i="4"/>
  <c r="DV440" i="4"/>
  <c r="DN440" i="4"/>
  <c r="DO438" i="4"/>
  <c r="DO436" i="4"/>
  <c r="DW434" i="4"/>
  <c r="DY432" i="4"/>
  <c r="DV431" i="4"/>
  <c r="DN431" i="4"/>
  <c r="DT431" i="4"/>
  <c r="DO423" i="4"/>
  <c r="DV420" i="4"/>
  <c r="DT414" i="4"/>
  <c r="DX412" i="4"/>
  <c r="DN411" i="4"/>
  <c r="DS408" i="4"/>
  <c r="DQ406" i="4"/>
  <c r="DR405" i="4"/>
  <c r="DX402" i="4"/>
  <c r="DQ402" i="4"/>
  <c r="DR400" i="4"/>
  <c r="DT397" i="4"/>
  <c r="DS395" i="4"/>
  <c r="DW394" i="4"/>
  <c r="DO394" i="4"/>
  <c r="DP392" i="4"/>
  <c r="DX390" i="4"/>
  <c r="DU389" i="4"/>
  <c r="DU388" i="4"/>
  <c r="DR387" i="4"/>
  <c r="DR385" i="4"/>
  <c r="DR383" i="4"/>
  <c r="DR382" i="4"/>
  <c r="DM376" i="4"/>
  <c r="DX372" i="4"/>
  <c r="DX369" i="4"/>
  <c r="DP369" i="4"/>
  <c r="DW364" i="4"/>
  <c r="DX360" i="4"/>
  <c r="DW359" i="4"/>
  <c r="DO359" i="4"/>
  <c r="DX352" i="4"/>
  <c r="DV352" i="4"/>
  <c r="DV348" i="4"/>
  <c r="DV347" i="4"/>
  <c r="DN347" i="4"/>
  <c r="DS346" i="4"/>
  <c r="DO337" i="4"/>
  <c r="DU334" i="4"/>
  <c r="DX327" i="4"/>
  <c r="DP327" i="4"/>
  <c r="DS323" i="4"/>
  <c r="DV322" i="4"/>
  <c r="DM316" i="4"/>
  <c r="DS316" i="4"/>
  <c r="DV315" i="4"/>
  <c r="DU311" i="4"/>
  <c r="DT309" i="4"/>
  <c r="DU308" i="4"/>
  <c r="DP307" i="4"/>
  <c r="DS306" i="4"/>
  <c r="DS299" i="4"/>
  <c r="DW296" i="4"/>
  <c r="DL295" i="4"/>
  <c r="DS289" i="4"/>
  <c r="DU285" i="4"/>
  <c r="DL284" i="4"/>
  <c r="CX284" i="4" s="1"/>
  <c r="DZ284" i="4" s="1"/>
  <c r="DN284" i="4"/>
  <c r="DQ280" i="4"/>
  <c r="DR275" i="4"/>
  <c r="DX272" i="4"/>
  <c r="DT268" i="4"/>
  <c r="DV264" i="4"/>
  <c r="DX263" i="4"/>
  <c r="DR261" i="4"/>
  <c r="DR258" i="4"/>
  <c r="DW250" i="4"/>
  <c r="DM249" i="4"/>
  <c r="DS243" i="4"/>
  <c r="DU240" i="4"/>
  <c r="DV232" i="4"/>
  <c r="DW225" i="4"/>
  <c r="DR221" i="4"/>
  <c r="DT216" i="4"/>
  <c r="DV213" i="4"/>
  <c r="DT212" i="4"/>
  <c r="DQ208" i="4"/>
  <c r="CA202" i="4"/>
  <c r="CM202" i="4" s="1"/>
  <c r="DO202" i="4" s="1"/>
  <c r="DY184" i="4"/>
  <c r="DN179" i="4"/>
  <c r="DT173" i="4"/>
  <c r="DV146" i="4"/>
  <c r="DT141" i="4"/>
  <c r="DV399" i="4"/>
  <c r="DR398" i="4"/>
  <c r="DP395" i="4"/>
  <c r="DU394" i="4"/>
  <c r="DY393" i="4"/>
  <c r="DU391" i="4"/>
  <c r="DX391" i="4"/>
  <c r="DU390" i="4"/>
  <c r="DX385" i="4"/>
  <c r="DP384" i="4"/>
  <c r="DY383" i="4"/>
  <c r="DQ383" i="4"/>
  <c r="DX382" i="4"/>
  <c r="DV381" i="4"/>
  <c r="DU380" i="4"/>
  <c r="DO379" i="4"/>
  <c r="DS374" i="4"/>
  <c r="DV368" i="4"/>
  <c r="DT367" i="4"/>
  <c r="DR366" i="4"/>
  <c r="DX359" i="4"/>
  <c r="DP358" i="4"/>
  <c r="DV357" i="4"/>
  <c r="DT354" i="4"/>
  <c r="DT353" i="4"/>
  <c r="DN351" i="4"/>
  <c r="DW350" i="4"/>
  <c r="DT348" i="4"/>
  <c r="DY346" i="4"/>
  <c r="DQ344" i="4"/>
  <c r="DR340" i="4"/>
  <c r="DP339" i="4"/>
  <c r="DY336" i="4"/>
  <c r="DQ336" i="4"/>
  <c r="DR336" i="4"/>
  <c r="DO334" i="4"/>
  <c r="DW331" i="4"/>
  <c r="DO331" i="4"/>
  <c r="DU328" i="4"/>
  <c r="DT326" i="4"/>
  <c r="DY325" i="4"/>
  <c r="DV324" i="4"/>
  <c r="DS320" i="4"/>
  <c r="DW315" i="4"/>
  <c r="DN313" i="4"/>
  <c r="DP312" i="4"/>
  <c r="DS311" i="4"/>
  <c r="DS310" i="4"/>
  <c r="DX307" i="4"/>
  <c r="DN303" i="4"/>
  <c r="DY299" i="4"/>
  <c r="DQ299" i="4"/>
  <c r="DR298" i="4"/>
  <c r="DM297" i="4"/>
  <c r="DW292" i="4"/>
  <c r="DT284" i="4"/>
  <c r="DS282" i="4"/>
  <c r="DY278" i="4"/>
  <c r="DM274" i="4"/>
  <c r="DO252" i="4"/>
  <c r="DU250" i="4"/>
  <c r="DN232" i="4"/>
  <c r="DL232" i="4"/>
  <c r="DV217" i="4"/>
  <c r="DN217" i="4"/>
  <c r="DL217" i="4"/>
  <c r="DZ217" i="4" s="1"/>
  <c r="DX201" i="4"/>
  <c r="DP201" i="4"/>
  <c r="DL188" i="4"/>
  <c r="DT154" i="4"/>
  <c r="DX389" i="4"/>
  <c r="DV388" i="4"/>
  <c r="DX387" i="4"/>
  <c r="DU386" i="4"/>
  <c r="DS384" i="4"/>
  <c r="DQ384" i="4"/>
  <c r="DP380" i="4"/>
  <c r="DR379" i="4"/>
  <c r="DW379" i="4"/>
  <c r="DW377" i="4"/>
  <c r="DU376" i="4"/>
  <c r="DV374" i="4"/>
  <c r="DN374" i="4"/>
  <c r="DW372" i="4"/>
  <c r="DS370" i="4"/>
  <c r="CC367" i="4"/>
  <c r="CO367" i="4" s="1"/>
  <c r="DQ367" i="4" s="1"/>
  <c r="DN363" i="4"/>
  <c r="DP361" i="4"/>
  <c r="CG360" i="4"/>
  <c r="CS360" i="4" s="1"/>
  <c r="DW358" i="4"/>
  <c r="DL356" i="4"/>
  <c r="DL354" i="4"/>
  <c r="CX354" i="4" s="1"/>
  <c r="DZ354" i="4" s="1"/>
  <c r="DR351" i="4"/>
  <c r="DT351" i="4"/>
  <c r="DW349" i="4"/>
  <c r="DS348" i="4"/>
  <c r="DX346" i="4"/>
  <c r="DP346" i="4"/>
  <c r="DV346" i="4"/>
  <c r="DS344" i="4"/>
  <c r="DR339" i="4"/>
  <c r="DW334" i="4"/>
  <c r="DV334" i="4"/>
  <c r="DO326" i="4"/>
  <c r="DN321" i="4"/>
  <c r="DS318" i="4"/>
  <c r="DR317" i="4"/>
  <c r="DM309" i="4"/>
  <c r="CY309" i="4" s="1"/>
  <c r="DY305" i="4"/>
  <c r="DU305" i="4"/>
  <c r="DL297" i="4"/>
  <c r="DP294" i="4"/>
  <c r="DL292" i="4"/>
  <c r="DQ288" i="4"/>
  <c r="DP287" i="4"/>
  <c r="DT271" i="4"/>
  <c r="DT261" i="4"/>
  <c r="DT251" i="4"/>
  <c r="DL242" i="4"/>
  <c r="DN242" i="4"/>
  <c r="DM209" i="4"/>
  <c r="CY209" i="4" s="1"/>
  <c r="EA209" i="4" s="1"/>
  <c r="DS168" i="4"/>
  <c r="DM165" i="4"/>
  <c r="DO145" i="4"/>
  <c r="DT401" i="4"/>
  <c r="DW401" i="4"/>
  <c r="DO401" i="4"/>
  <c r="DN400" i="4"/>
  <c r="DX398" i="4"/>
  <c r="DQ394" i="4"/>
  <c r="DS391" i="4"/>
  <c r="DN391" i="4"/>
  <c r="DQ389" i="4"/>
  <c r="DT385" i="4"/>
  <c r="DV376" i="4"/>
  <c r="DN376" i="4"/>
  <c r="CK375" i="4"/>
  <c r="CW375" i="4" s="1"/>
  <c r="DY375" i="4" s="1"/>
  <c r="DV372" i="4"/>
  <c r="DR370" i="4"/>
  <c r="DT368" i="4"/>
  <c r="DV366" i="4"/>
  <c r="DN366" i="4"/>
  <c r="DN365" i="4"/>
  <c r="DR364" i="4"/>
  <c r="DR359" i="4"/>
  <c r="DV358" i="4"/>
  <c r="DN358" i="4"/>
  <c r="DU354" i="4"/>
  <c r="DN352" i="4"/>
  <c r="DR352" i="4"/>
  <c r="DT349" i="4"/>
  <c r="DN343" i="4"/>
  <c r="DY339" i="4"/>
  <c r="DX338" i="4"/>
  <c r="DS337" i="4"/>
  <c r="DR333" i="4"/>
  <c r="DX333" i="4"/>
  <c r="DP333" i="4"/>
  <c r="DM332" i="4"/>
  <c r="DP331" i="4"/>
  <c r="DL329" i="4"/>
  <c r="CX329" i="4" s="1"/>
  <c r="DZ329" i="4" s="1"/>
  <c r="DN329" i="4"/>
  <c r="DR329" i="4"/>
  <c r="DT327" i="4"/>
  <c r="DV327" i="4"/>
  <c r="DW323" i="4"/>
  <c r="DU323" i="4"/>
  <c r="DV321" i="4"/>
  <c r="DV319" i="4"/>
  <c r="DW318" i="4"/>
  <c r="DN315" i="4"/>
  <c r="DR315" i="4"/>
  <c r="DR314" i="4"/>
  <c r="DT313" i="4"/>
  <c r="DP309" i="4"/>
  <c r="DQ308" i="4"/>
  <c r="DP306" i="4"/>
  <c r="DW299" i="4"/>
  <c r="DU297" i="4"/>
  <c r="DW290" i="4"/>
  <c r="DO290" i="4"/>
  <c r="DM290" i="4"/>
  <c r="CY290" i="4" s="1"/>
  <c r="EA290" i="4" s="1"/>
  <c r="DR289" i="4"/>
  <c r="DW287" i="4"/>
  <c r="DN275" i="4"/>
  <c r="DQ275" i="4"/>
  <c r="DO272" i="4"/>
  <c r="DM258" i="4"/>
  <c r="DU252" i="4"/>
  <c r="DP245" i="4"/>
  <c r="DU242" i="4"/>
  <c r="DQ240" i="4"/>
  <c r="DM239" i="4"/>
  <c r="DN230" i="4"/>
  <c r="DU229" i="4"/>
  <c r="DS225" i="4"/>
  <c r="DN209" i="4"/>
  <c r="DL209" i="4"/>
  <c r="CX209" i="4" s="1"/>
  <c r="DZ209" i="4" s="1"/>
  <c r="DN198" i="4"/>
  <c r="DX173" i="4"/>
  <c r="DT341" i="4"/>
  <c r="DQ341" i="4"/>
  <c r="DX340" i="4"/>
  <c r="DS339" i="4"/>
  <c r="DY333" i="4"/>
  <c r="DW332" i="4"/>
  <c r="DO332" i="4"/>
  <c r="DV329" i="4"/>
  <c r="DM328" i="4"/>
  <c r="CY328" i="4" s="1"/>
  <c r="EA328" i="4" s="1"/>
  <c r="DX323" i="4"/>
  <c r="DO322" i="4"/>
  <c r="DY321" i="4"/>
  <c r="DQ321" i="4"/>
  <c r="DY318" i="4"/>
  <c r="DY317" i="4"/>
  <c r="DQ317" i="4"/>
  <c r="DT315" i="4"/>
  <c r="DT308" i="4"/>
  <c r="DW306" i="4"/>
  <c r="DV305" i="4"/>
  <c r="DN305" i="4"/>
  <c r="DY304" i="4"/>
  <c r="DQ304" i="4"/>
  <c r="DY302" i="4"/>
  <c r="DU300" i="4"/>
  <c r="DP298" i="4"/>
  <c r="DU298" i="4"/>
  <c r="DW295" i="4"/>
  <c r="DO295" i="4"/>
  <c r="DY289" i="4"/>
  <c r="DX288" i="4"/>
  <c r="DU287" i="4"/>
  <c r="DY286" i="4"/>
  <c r="DV285" i="4"/>
  <c r="DT285" i="4"/>
  <c r="DU284" i="4"/>
  <c r="DQ283" i="4"/>
  <c r="DY279" i="4"/>
  <c r="DQ279" i="4"/>
  <c r="DS274" i="4"/>
  <c r="DR271" i="4"/>
  <c r="DV266" i="4"/>
  <c r="DR265" i="4"/>
  <c r="DS264" i="4"/>
  <c r="DV263" i="4"/>
  <c r="DN263" i="4"/>
  <c r="DS261" i="4"/>
  <c r="DP258" i="4"/>
  <c r="DW257" i="4"/>
  <c r="DT253" i="4"/>
  <c r="DS251" i="4"/>
  <c r="DV249" i="4"/>
  <c r="DU248" i="4"/>
  <c r="DT242" i="4"/>
  <c r="DX239" i="4"/>
  <c r="DO238" i="4"/>
  <c r="DW226" i="4"/>
  <c r="DX225" i="4"/>
  <c r="DP225" i="4"/>
  <c r="DM224" i="4"/>
  <c r="CY224" i="4" s="1"/>
  <c r="DV223" i="4"/>
  <c r="DW223" i="4"/>
  <c r="DR222" i="4"/>
  <c r="DP221" i="4"/>
  <c r="DM220" i="4"/>
  <c r="CY220" i="4" s="1"/>
  <c r="DV218" i="4"/>
  <c r="DU215" i="4"/>
  <c r="DU214" i="4"/>
  <c r="DU209" i="4"/>
  <c r="DU198" i="4"/>
  <c r="CA191" i="4"/>
  <c r="CM191" i="4" s="1"/>
  <c r="DO191" i="4" s="1"/>
  <c r="DV188" i="4"/>
  <c r="DT188" i="4"/>
  <c r="DT185" i="4"/>
  <c r="CI182" i="4"/>
  <c r="CU182" i="4" s="1"/>
  <c r="DS179" i="4"/>
  <c r="DT172" i="4"/>
  <c r="DL167" i="4"/>
  <c r="DW160" i="4"/>
  <c r="DR142" i="4"/>
  <c r="DQ309" i="4"/>
  <c r="DT307" i="4"/>
  <c r="DP305" i="4"/>
  <c r="DV304" i="4"/>
  <c r="DX303" i="4"/>
  <c r="DM302" i="4"/>
  <c r="EA302" i="4" s="1"/>
  <c r="DR302" i="4"/>
  <c r="DR301" i="4"/>
  <c r="DM300" i="4"/>
  <c r="DS300" i="4"/>
  <c r="DT296" i="4"/>
  <c r="DS296" i="4"/>
  <c r="DR295" i="4"/>
  <c r="DU295" i="4"/>
  <c r="DS294" i="4"/>
  <c r="DR294" i="4"/>
  <c r="DY293" i="4"/>
  <c r="DU293" i="4"/>
  <c r="DY291" i="4"/>
  <c r="DT280" i="4"/>
  <c r="DW279" i="4"/>
  <c r="DP278" i="4"/>
  <c r="DW277" i="4"/>
  <c r="DW276" i="4"/>
  <c r="DT274" i="4"/>
  <c r="DT272" i="4"/>
  <c r="DM270" i="4"/>
  <c r="CY270" i="4" s="1"/>
  <c r="DV270" i="4"/>
  <c r="DX269" i="4"/>
  <c r="DP266" i="4"/>
  <c r="DT265" i="4"/>
  <c r="DT262" i="4"/>
  <c r="DT260" i="4"/>
  <c r="DQ256" i="4"/>
  <c r="DV255" i="4"/>
  <c r="DQ255" i="4"/>
  <c r="DT245" i="4"/>
  <c r="DQ244" i="4"/>
  <c r="DY242" i="4"/>
  <c r="DR242" i="4"/>
  <c r="DW241" i="4"/>
  <c r="DO241" i="4"/>
  <c r="DM241" i="4"/>
  <c r="DR239" i="4"/>
  <c r="DU239" i="4"/>
  <c r="DW238" i="4"/>
  <c r="DX235" i="4"/>
  <c r="DQ235" i="4"/>
  <c r="DS229" i="4"/>
  <c r="DY221" i="4"/>
  <c r="DQ221" i="4"/>
  <c r="DY213" i="4"/>
  <c r="DR211" i="4"/>
  <c r="DV187" i="4"/>
  <c r="DX182" i="4"/>
  <c r="DY181" i="4"/>
  <c r="DT176" i="4"/>
  <c r="DV162" i="4"/>
  <c r="DY161" i="4"/>
  <c r="DN143" i="4"/>
  <c r="DL143" i="4"/>
  <c r="DP122" i="4"/>
  <c r="DL122" i="4"/>
  <c r="DT293" i="4"/>
  <c r="DR292" i="4"/>
  <c r="DV289" i="4"/>
  <c r="DS286" i="4"/>
  <c r="DR284" i="4"/>
  <c r="DS283" i="4"/>
  <c r="DY280" i="4"/>
  <c r="DV279" i="4"/>
  <c r="DN279" i="4"/>
  <c r="DL277" i="4"/>
  <c r="DX270" i="4"/>
  <c r="DP270" i="4"/>
  <c r="DU270" i="4"/>
  <c r="DP269" i="4"/>
  <c r="DQ267" i="4"/>
  <c r="DW266" i="4"/>
  <c r="DO266" i="4"/>
  <c r="DS262" i="4"/>
  <c r="DW260" i="4"/>
  <c r="DW259" i="4"/>
  <c r="DT257" i="4"/>
  <c r="DS256" i="4"/>
  <c r="DX250" i="4"/>
  <c r="DP250" i="4"/>
  <c r="DW243" i="4"/>
  <c r="DS240" i="4"/>
  <c r="DY238" i="4"/>
  <c r="DM238" i="4"/>
  <c r="CY238" i="4" s="1"/>
  <c r="DR237" i="4"/>
  <c r="DN236" i="4"/>
  <c r="DX234" i="4"/>
  <c r="DW227" i="4"/>
  <c r="DY226" i="4"/>
  <c r="DQ226" i="4"/>
  <c r="DY225" i="4"/>
  <c r="DV220" i="4"/>
  <c r="DM217" i="4"/>
  <c r="DQ217" i="4"/>
  <c r="DV215" i="4"/>
  <c r="DX213" i="4"/>
  <c r="DN212" i="4"/>
  <c r="CE201" i="4"/>
  <c r="CQ201" i="4" s="1"/>
  <c r="DS201" i="4" s="1"/>
  <c r="DY200" i="4"/>
  <c r="DX197" i="4"/>
  <c r="CI193" i="4"/>
  <c r="CU193" i="4" s="1"/>
  <c r="DW193" i="4" s="1"/>
  <c r="CA193" i="4"/>
  <c r="CM193" i="4" s="1"/>
  <c r="DO193" i="4" s="1"/>
  <c r="DT192" i="4"/>
  <c r="DN188" i="4"/>
  <c r="DO174" i="4"/>
  <c r="DM174" i="4"/>
  <c r="DL171" i="4"/>
  <c r="DQ166" i="4"/>
  <c r="CX162" i="4"/>
  <c r="DV157" i="4"/>
  <c r="DL157" i="4"/>
  <c r="DX147" i="4"/>
  <c r="DR312" i="4"/>
  <c r="DP310" i="4"/>
  <c r="DS309" i="4"/>
  <c r="DX308" i="4"/>
  <c r="DV306" i="4"/>
  <c r="DW301" i="4"/>
  <c r="DO301" i="4"/>
  <c r="DQ298" i="4"/>
  <c r="DS295" i="4"/>
  <c r="DN292" i="4"/>
  <c r="DT289" i="4"/>
  <c r="DY287" i="4"/>
  <c r="DU283" i="4"/>
  <c r="DX282" i="4"/>
  <c r="DV282" i="4"/>
  <c r="DN282" i="4"/>
  <c r="DU277" i="4"/>
  <c r="DV271" i="4"/>
  <c r="DN271" i="4"/>
  <c r="DW270" i="4"/>
  <c r="DS269" i="4"/>
  <c r="DU268" i="4"/>
  <c r="DL266" i="4"/>
  <c r="DW264" i="4"/>
  <c r="DR263" i="4"/>
  <c r="DV254" i="4"/>
  <c r="DW251" i="4"/>
  <c r="DT249" i="4"/>
  <c r="DR249" i="4"/>
  <c r="DQ248" i="4"/>
  <c r="DQ247" i="4"/>
  <c r="DR244" i="4"/>
  <c r="DL240" i="4"/>
  <c r="DP238" i="4"/>
  <c r="DO234" i="4"/>
  <c r="DL229" i="4"/>
  <c r="CX229" i="4" s="1"/>
  <c r="DZ229" i="4" s="1"/>
  <c r="DV227" i="4"/>
  <c r="DN227" i="4"/>
  <c r="DL227" i="4"/>
  <c r="CX227" i="4" s="1"/>
  <c r="DZ227" i="4" s="1"/>
  <c r="DO223" i="4"/>
  <c r="DS220" i="4"/>
  <c r="DL216" i="4"/>
  <c r="DR214" i="4"/>
  <c r="DX211" i="4"/>
  <c r="DR207" i="4"/>
  <c r="DV203" i="4"/>
  <c r="CE198" i="4"/>
  <c r="CQ198" i="4" s="1"/>
  <c r="DS198" i="4" s="1"/>
  <c r="DR191" i="4"/>
  <c r="DY182" i="4"/>
  <c r="DT180" i="4"/>
  <c r="DT177" i="4"/>
  <c r="DY175" i="4"/>
  <c r="DQ175" i="4"/>
  <c r="DM169" i="4"/>
  <c r="CY169" i="4" s="1"/>
  <c r="EA169" i="4" s="1"/>
  <c r="DY259" i="4"/>
  <c r="DL258" i="4"/>
  <c r="CX258" i="4" s="1"/>
  <c r="DZ258" i="4" s="1"/>
  <c r="DY257" i="4"/>
  <c r="DQ257" i="4"/>
  <c r="DT252" i="4"/>
  <c r="DR251" i="4"/>
  <c r="DX251" i="4"/>
  <c r="DT250" i="4"/>
  <c r="DS245" i="4"/>
  <c r="DX244" i="4"/>
  <c r="DX243" i="4"/>
  <c r="DU243" i="4"/>
  <c r="DV241" i="4"/>
  <c r="DS237" i="4"/>
  <c r="DL236" i="4"/>
  <c r="CX236" i="4" s="1"/>
  <c r="DZ236" i="4" s="1"/>
  <c r="DV235" i="4"/>
  <c r="DU235" i="4"/>
  <c r="DV234" i="4"/>
  <c r="DM232" i="4"/>
  <c r="CY232" i="4" s="1"/>
  <c r="EA232" i="4" s="1"/>
  <c r="DS232" i="4"/>
  <c r="DR230" i="4"/>
  <c r="DR229" i="4"/>
  <c r="DX226" i="4"/>
  <c r="DP226" i="4"/>
  <c r="DW218" i="4"/>
  <c r="DY211" i="4"/>
  <c r="DQ211" i="4"/>
  <c r="DW211" i="4"/>
  <c r="DX202" i="4"/>
  <c r="DT200" i="4"/>
  <c r="DX193" i="4"/>
  <c r="DP193" i="4"/>
  <c r="DY192" i="4"/>
  <c r="DR187" i="4"/>
  <c r="DW187" i="4"/>
  <c r="DL186" i="4"/>
  <c r="DN182" i="4"/>
  <c r="DU180" i="4"/>
  <c r="DL178" i="4"/>
  <c r="CX178" i="4" s="1"/>
  <c r="DZ178" i="4" s="1"/>
  <c r="DV174" i="4"/>
  <c r="DM173" i="4"/>
  <c r="EA173" i="4" s="1"/>
  <c r="DU172" i="4"/>
  <c r="DQ170" i="4"/>
  <c r="DX168" i="4"/>
  <c r="DP168" i="4"/>
  <c r="DQ167" i="4"/>
  <c r="DX165" i="4"/>
  <c r="DT160" i="4"/>
  <c r="CX136" i="4"/>
  <c r="DZ136" i="4" s="1"/>
  <c r="DX135" i="4"/>
  <c r="DR130" i="4"/>
  <c r="DR120" i="4"/>
  <c r="DM119" i="4"/>
  <c r="DU119" i="4"/>
  <c r="DU117" i="4"/>
  <c r="DL116" i="4"/>
  <c r="DT116" i="4"/>
  <c r="DW92" i="4"/>
  <c r="DM92" i="4"/>
  <c r="DV90" i="4"/>
  <c r="DQ242" i="4"/>
  <c r="DX241" i="4"/>
  <c r="DY239" i="4"/>
  <c r="DV236" i="4"/>
  <c r="DT235" i="4"/>
  <c r="DT234" i="4"/>
  <c r="DU232" i="4"/>
  <c r="DY230" i="4"/>
  <c r="DQ230" i="4"/>
  <c r="DY227" i="4"/>
  <c r="DW224" i="4"/>
  <c r="DV222" i="4"/>
  <c r="DQ220" i="4"/>
  <c r="DY218" i="4"/>
  <c r="DU218" i="4"/>
  <c r="DQ215" i="4"/>
  <c r="DY212" i="4"/>
  <c r="DR209" i="4"/>
  <c r="DQ207" i="4"/>
  <c r="DT205" i="4"/>
  <c r="DR203" i="4"/>
  <c r="DW199" i="4"/>
  <c r="DT197" i="4"/>
  <c r="DW196" i="4"/>
  <c r="DX195" i="4"/>
  <c r="DP187" i="4"/>
  <c r="CG187" i="4"/>
  <c r="CS187" i="4" s="1"/>
  <c r="DU187" i="4" s="1"/>
  <c r="DX181" i="4"/>
  <c r="DP179" i="4"/>
  <c r="DT174" i="4"/>
  <c r="DY174" i="4"/>
  <c r="DY170" i="4"/>
  <c r="DR169" i="4"/>
  <c r="DY168" i="4"/>
  <c r="DU161" i="4"/>
  <c r="DW154" i="4"/>
  <c r="DP151" i="4"/>
  <c r="DN150" i="4"/>
  <c r="DL150" i="4"/>
  <c r="DS144" i="4"/>
  <c r="DR141" i="4"/>
  <c r="DV140" i="4"/>
  <c r="DP138" i="4"/>
  <c r="DN131" i="4"/>
  <c r="DL131" i="4"/>
  <c r="DR126" i="4"/>
  <c r="DN105" i="4"/>
  <c r="DL105" i="4"/>
  <c r="DW101" i="4"/>
  <c r="DO101" i="4"/>
  <c r="DV79" i="4"/>
  <c r="DM58" i="4"/>
  <c r="CY58" i="4" s="1"/>
  <c r="EA58" i="4" s="1"/>
  <c r="DL20" i="4"/>
  <c r="CX20" i="4" s="1"/>
  <c r="DZ20" i="4" s="1"/>
  <c r="DW231" i="4"/>
  <c r="DP230" i="4"/>
  <c r="DW229" i="4"/>
  <c r="DM229" i="4"/>
  <c r="DU226" i="4"/>
  <c r="DV224" i="4"/>
  <c r="DN224" i="4"/>
  <c r="DP217" i="4"/>
  <c r="DP214" i="4"/>
  <c r="DV212" i="4"/>
  <c r="DN211" i="4"/>
  <c r="DY210" i="4"/>
  <c r="DQ203" i="4"/>
  <c r="DW202" i="4"/>
  <c r="DN196" i="4"/>
  <c r="DX196" i="4"/>
  <c r="CG195" i="4"/>
  <c r="CS195" i="4" s="1"/>
  <c r="DU195" i="4" s="1"/>
  <c r="DV190" i="4"/>
  <c r="DY183" i="4"/>
  <c r="DP176" i="4"/>
  <c r="DQ174" i="4"/>
  <c r="DP174" i="4"/>
  <c r="DN173" i="4"/>
  <c r="DQ171" i="4"/>
  <c r="DS164" i="4"/>
  <c r="DX159" i="4"/>
  <c r="DP157" i="4"/>
  <c r="DL154" i="4"/>
  <c r="DP147" i="4"/>
  <c r="DV145" i="4"/>
  <c r="DO136" i="4"/>
  <c r="DU132" i="4"/>
  <c r="DX122" i="4"/>
  <c r="DL109" i="4"/>
  <c r="DN109" i="4"/>
  <c r="DY91" i="4"/>
  <c r="DV248" i="4"/>
  <c r="DL247" i="4"/>
  <c r="CX247" i="4" s="1"/>
  <c r="DT239" i="4"/>
  <c r="DW237" i="4"/>
  <c r="DM237" i="4"/>
  <c r="DX236" i="4"/>
  <c r="DO233" i="4"/>
  <c r="DY231" i="4"/>
  <c r="DQ231" i="4"/>
  <c r="DV230" i="4"/>
  <c r="DX224" i="4"/>
  <c r="DY223" i="4"/>
  <c r="DS221" i="4"/>
  <c r="DT219" i="4"/>
  <c r="DM214" i="4"/>
  <c r="EA214" i="4" s="1"/>
  <c r="DM212" i="4"/>
  <c r="DS211" i="4"/>
  <c r="DW209" i="4"/>
  <c r="DW203" i="4"/>
  <c r="DR197" i="4"/>
  <c r="DM196" i="4"/>
  <c r="DV195" i="4"/>
  <c r="DV192" i="4"/>
  <c r="DP186" i="4"/>
  <c r="DV185" i="4"/>
  <c r="DL183" i="4"/>
  <c r="DV181" i="4"/>
  <c r="DL179" i="4"/>
  <c r="DU173" i="4"/>
  <c r="DO173" i="4"/>
  <c r="DS173" i="4"/>
  <c r="DY172" i="4"/>
  <c r="DT168" i="4"/>
  <c r="DL166" i="4"/>
  <c r="DP160" i="4"/>
  <c r="DM157" i="4"/>
  <c r="DX156" i="4"/>
  <c r="DV152" i="4"/>
  <c r="DR138" i="4"/>
  <c r="DL137" i="4"/>
  <c r="DP134" i="4"/>
  <c r="CX132" i="4"/>
  <c r="DZ132" i="4"/>
  <c r="DL126" i="4"/>
  <c r="DR122" i="4"/>
  <c r="DR118" i="4"/>
  <c r="DR198" i="4"/>
  <c r="DT195" i="4"/>
  <c r="DV194" i="4"/>
  <c r="DN194" i="4"/>
  <c r="DX192" i="4"/>
  <c r="DP192" i="4"/>
  <c r="DT191" i="4"/>
  <c r="DR188" i="4"/>
  <c r="DR186" i="4"/>
  <c r="DP185" i="4"/>
  <c r="DX184" i="4"/>
  <c r="DR179" i="4"/>
  <c r="DU177" i="4"/>
  <c r="DX177" i="4"/>
  <c r="DU176" i="4"/>
  <c r="DO175" i="4"/>
  <c r="DW168" i="4"/>
  <c r="DT167" i="4"/>
  <c r="DY164" i="4"/>
  <c r="DQ164" i="4"/>
  <c r="DP163" i="4"/>
  <c r="DU162" i="4"/>
  <c r="DR159" i="4"/>
  <c r="DV158" i="4"/>
  <c r="DS157" i="4"/>
  <c r="DY156" i="4"/>
  <c r="DQ156" i="4"/>
  <c r="DS155" i="4"/>
  <c r="DT152" i="4"/>
  <c r="DW149" i="4"/>
  <c r="DY147" i="4"/>
  <c r="DW147" i="4"/>
  <c r="DT144" i="4"/>
  <c r="DQ141" i="4"/>
  <c r="DQ138" i="4"/>
  <c r="DT137" i="4"/>
  <c r="DX134" i="4"/>
  <c r="DT78" i="4"/>
  <c r="DL148" i="4"/>
  <c r="DY148" i="4"/>
  <c r="DT147" i="4"/>
  <c r="DP142" i="4"/>
  <c r="DM141" i="4"/>
  <c r="CY141" i="4" s="1"/>
  <c r="EA141" i="4" s="1"/>
  <c r="DO138" i="4"/>
  <c r="DV134" i="4"/>
  <c r="DY133" i="4"/>
  <c r="DY132" i="4"/>
  <c r="DP129" i="4"/>
  <c r="DY127" i="4"/>
  <c r="DM118" i="4"/>
  <c r="DO118" i="4"/>
  <c r="DU115" i="4"/>
  <c r="DW113" i="4"/>
  <c r="DY112" i="4"/>
  <c r="DU112" i="4"/>
  <c r="DM94" i="4"/>
  <c r="CY94" i="4" s="1"/>
  <c r="EA94" i="4" s="1"/>
  <c r="DL85" i="4"/>
  <c r="DQ78" i="4"/>
  <c r="DS37" i="4"/>
  <c r="DM163" i="4"/>
  <c r="DR157" i="4"/>
  <c r="DV156" i="4"/>
  <c r="DU155" i="4"/>
  <c r="DR154" i="4"/>
  <c r="DY152" i="4"/>
  <c r="DQ152" i="4"/>
  <c r="DR150" i="4"/>
  <c r="DV150" i="4"/>
  <c r="DU148" i="4"/>
  <c r="DV147" i="4"/>
  <c r="DN147" i="4"/>
  <c r="DL147" i="4"/>
  <c r="DY144" i="4"/>
  <c r="DV144" i="4"/>
  <c r="DN144" i="4"/>
  <c r="DX143" i="4"/>
  <c r="DV139" i="4"/>
  <c r="DX139" i="4"/>
  <c r="DU136" i="4"/>
  <c r="DX133" i="4"/>
  <c r="DX126" i="4"/>
  <c r="DN121" i="4"/>
  <c r="DN95" i="4"/>
  <c r="DU75" i="4"/>
  <c r="DW73" i="4"/>
  <c r="DO73" i="4"/>
  <c r="DV168" i="4"/>
  <c r="DR165" i="4"/>
  <c r="DW165" i="4"/>
  <c r="DN164" i="4"/>
  <c r="DT155" i="4"/>
  <c r="DN154" i="4"/>
  <c r="DX152" i="4"/>
  <c r="DQ146" i="4"/>
  <c r="DS146" i="4"/>
  <c r="DT145" i="4"/>
  <c r="DX144" i="4"/>
  <c r="DP144" i="4"/>
  <c r="DW142" i="4"/>
  <c r="DN140" i="4"/>
  <c r="DT134" i="4"/>
  <c r="DS120" i="4"/>
  <c r="DR119" i="4"/>
  <c r="DX108" i="4"/>
  <c r="DU102" i="4"/>
  <c r="DT93" i="4"/>
  <c r="DL81" i="4"/>
  <c r="DM62" i="4"/>
  <c r="CY62" i="4" s="1"/>
  <c r="EA62" i="4" s="1"/>
  <c r="DO62" i="4"/>
  <c r="DY162" i="4"/>
  <c r="DS153" i="4"/>
  <c r="DV151" i="4"/>
  <c r="DR146" i="4"/>
  <c r="DW144" i="4"/>
  <c r="DM143" i="4"/>
  <c r="DU140" i="4"/>
  <c r="DT139" i="4"/>
  <c r="DO139" i="4"/>
  <c r="DW135" i="4"/>
  <c r="DW133" i="4"/>
  <c r="DS130" i="4"/>
  <c r="DX127" i="4"/>
  <c r="DR125" i="4"/>
  <c r="DT124" i="4"/>
  <c r="DR123" i="4"/>
  <c r="DS119" i="4"/>
  <c r="DQ111" i="4"/>
  <c r="DS111" i="4"/>
  <c r="DR106" i="4"/>
  <c r="DQ103" i="4"/>
  <c r="DU103" i="4"/>
  <c r="DV101" i="4"/>
  <c r="DQ94" i="4"/>
  <c r="DO90" i="4"/>
  <c r="DQ84" i="4"/>
  <c r="DW82" i="4"/>
  <c r="DO82" i="4"/>
  <c r="DV81" i="4"/>
  <c r="DN72" i="4"/>
  <c r="DX40" i="4"/>
  <c r="DU16" i="4"/>
  <c r="DM16" i="4"/>
  <c r="CY16" i="4" s="1"/>
  <c r="DU11" i="4"/>
  <c r="DO122" i="4"/>
  <c r="DV118" i="4"/>
  <c r="DP117" i="4"/>
  <c r="DQ116" i="4"/>
  <c r="DS113" i="4"/>
  <c r="DX112" i="4"/>
  <c r="DW103" i="4"/>
  <c r="DS94" i="4"/>
  <c r="DW85" i="4"/>
  <c r="DM85" i="4"/>
  <c r="CY85" i="4" s="1"/>
  <c r="EA85" i="4" s="1"/>
  <c r="DO85" i="4"/>
  <c r="DY80" i="4"/>
  <c r="DR77" i="4"/>
  <c r="DR75" i="4"/>
  <c r="DM68" i="4"/>
  <c r="CY68" i="4" s="1"/>
  <c r="EA68" i="4" s="1"/>
  <c r="DS68" i="4"/>
  <c r="DW65" i="4"/>
  <c r="DM43" i="4"/>
  <c r="CY43" i="4" s="1"/>
  <c r="EA43" i="4" s="1"/>
  <c r="DL23" i="4"/>
  <c r="DN23" i="4"/>
  <c r="DS138" i="4"/>
  <c r="DR137" i="4"/>
  <c r="DY137" i="4"/>
  <c r="DP133" i="4"/>
  <c r="DL128" i="4"/>
  <c r="DV128" i="4"/>
  <c r="DP124" i="4"/>
  <c r="DV119" i="4"/>
  <c r="DW114" i="4"/>
  <c r="DR113" i="4"/>
  <c r="DL111" i="4"/>
  <c r="DW110" i="4"/>
  <c r="DO110" i="4"/>
  <c r="DM102" i="4"/>
  <c r="CY102" i="4" s="1"/>
  <c r="EA102" i="4" s="1"/>
  <c r="DS100" i="4"/>
  <c r="DX98" i="4"/>
  <c r="DY96" i="4"/>
  <c r="DY88" i="4"/>
  <c r="DQ88" i="4"/>
  <c r="DO86" i="4"/>
  <c r="DP79" i="4"/>
  <c r="DY77" i="4"/>
  <c r="DY75" i="4"/>
  <c r="DQ75" i="4"/>
  <c r="DU74" i="4"/>
  <c r="DL55" i="4"/>
  <c r="DN132" i="4"/>
  <c r="DP130" i="4"/>
  <c r="DU120" i="4"/>
  <c r="DT118" i="4"/>
  <c r="DM116" i="4"/>
  <c r="CY116" i="4" s="1"/>
  <c r="EA116" i="4" s="1"/>
  <c r="DW115" i="4"/>
  <c r="DV114" i="4"/>
  <c r="DW111" i="4"/>
  <c r="DO111" i="4"/>
  <c r="DP108" i="4"/>
  <c r="DV106" i="4"/>
  <c r="DR97" i="4"/>
  <c r="DY90" i="4"/>
  <c r="DL87" i="4"/>
  <c r="CX87" i="4" s="1"/>
  <c r="DQ80" i="4"/>
  <c r="DL79" i="4"/>
  <c r="DY72" i="4"/>
  <c r="DQ65" i="4"/>
  <c r="DO61" i="4"/>
  <c r="DM61" i="4"/>
  <c r="CY61" i="4" s="1"/>
  <c r="EA61" i="4" s="1"/>
  <c r="DP59" i="4"/>
  <c r="DX57" i="4"/>
  <c r="DL57" i="4"/>
  <c r="DV53" i="4"/>
  <c r="DQ25" i="4"/>
  <c r="DW19" i="4"/>
  <c r="DV132" i="4"/>
  <c r="DR127" i="4"/>
  <c r="DV125" i="4"/>
  <c r="DX120" i="4"/>
  <c r="DP120" i="4"/>
  <c r="DY118" i="4"/>
  <c r="DO117" i="4"/>
  <c r="DX113" i="4"/>
  <c r="DW112" i="4"/>
  <c r="DX111" i="4"/>
  <c r="DT110" i="4"/>
  <c r="DN108" i="4"/>
  <c r="DY104" i="4"/>
  <c r="DW104" i="4"/>
  <c r="DT102" i="4"/>
  <c r="DO102" i="4"/>
  <c r="DW102" i="4"/>
  <c r="DU101" i="4"/>
  <c r="DR100" i="4"/>
  <c r="DW98" i="4"/>
  <c r="DX96" i="4"/>
  <c r="DL95" i="4"/>
  <c r="DT90" i="4"/>
  <c r="DP90" i="4"/>
  <c r="DV89" i="4"/>
  <c r="DL89" i="4"/>
  <c r="CX89" i="4" s="1"/>
  <c r="DZ89" i="4" s="1"/>
  <c r="DP89" i="4"/>
  <c r="DU87" i="4"/>
  <c r="DN83" i="4"/>
  <c r="DW81" i="4"/>
  <c r="DR80" i="4"/>
  <c r="DW79" i="4"/>
  <c r="DR74" i="4"/>
  <c r="DV72" i="4"/>
  <c r="DL65" i="4"/>
  <c r="DV61" i="4"/>
  <c r="DL61" i="4"/>
  <c r="CX61" i="4" s="1"/>
  <c r="DZ61" i="4" s="1"/>
  <c r="DQ57" i="4"/>
  <c r="DV56" i="4"/>
  <c r="DN56" i="4"/>
  <c r="DP56" i="4"/>
  <c r="DV55" i="4"/>
  <c r="DT51" i="4"/>
  <c r="DY47" i="4"/>
  <c r="DQ47" i="4"/>
  <c r="DL46" i="4"/>
  <c r="CX46" i="4" s="1"/>
  <c r="DZ46" i="4" s="1"/>
  <c r="DV44" i="4"/>
  <c r="DN44" i="4"/>
  <c r="DL44" i="4"/>
  <c r="DS35" i="4"/>
  <c r="DQ34" i="4"/>
  <c r="DM28" i="4"/>
  <c r="CY28" i="4" s="1"/>
  <c r="EA28" i="4" s="1"/>
  <c r="DS18" i="4"/>
  <c r="DY107" i="4"/>
  <c r="DR105" i="4"/>
  <c r="DW105" i="4"/>
  <c r="DT103" i="4"/>
  <c r="DW99" i="4"/>
  <c r="DT97" i="4"/>
  <c r="DR96" i="4"/>
  <c r="DR95" i="4"/>
  <c r="DO95" i="4"/>
  <c r="DS93" i="4"/>
  <c r="DS92" i="4"/>
  <c r="DX88" i="4"/>
  <c r="DP88" i="4"/>
  <c r="DX87" i="4"/>
  <c r="DT86" i="4"/>
  <c r="DT85" i="4"/>
  <c r="DQ85" i="4"/>
  <c r="DV84" i="4"/>
  <c r="DY83" i="4"/>
  <c r="DQ83" i="4"/>
  <c r="DX80" i="4"/>
  <c r="DP80" i="4"/>
  <c r="DS76" i="4"/>
  <c r="DL75" i="4"/>
  <c r="CX75" i="4" s="1"/>
  <c r="DZ75" i="4" s="1"/>
  <c r="DL73" i="4"/>
  <c r="CX73" i="4" s="1"/>
  <c r="DZ73" i="4" s="1"/>
  <c r="DS73" i="4"/>
  <c r="DX68" i="4"/>
  <c r="DR66" i="4"/>
  <c r="DO57" i="4"/>
  <c r="DL56" i="4"/>
  <c r="DQ22" i="4"/>
  <c r="DU111" i="4"/>
  <c r="DR101" i="4"/>
  <c r="DP97" i="4"/>
  <c r="DY95" i="4"/>
  <c r="DP85" i="4"/>
  <c r="DU84" i="4"/>
  <c r="DS84" i="4"/>
  <c r="DQ72" i="4"/>
  <c r="DX70" i="4"/>
  <c r="DR70" i="4"/>
  <c r="DX69" i="4"/>
  <c r="DT68" i="4"/>
  <c r="DR67" i="4"/>
  <c r="DY65" i="4"/>
  <c r="DT53" i="4"/>
  <c r="DS46" i="4"/>
  <c r="DO19" i="4"/>
  <c r="DM15" i="4"/>
  <c r="CY15" i="4" s="1"/>
  <c r="EA15" i="4" s="1"/>
  <c r="DT114" i="4"/>
  <c r="DT113" i="4"/>
  <c r="DV112" i="4"/>
  <c r="DN112" i="4"/>
  <c r="DT111" i="4"/>
  <c r="DX109" i="4"/>
  <c r="DT107" i="4"/>
  <c r="DM106" i="4"/>
  <c r="DP102" i="4"/>
  <c r="DQ101" i="4"/>
  <c r="DT92" i="4"/>
  <c r="DQ92" i="4"/>
  <c r="DS90" i="4"/>
  <c r="DS88" i="4"/>
  <c r="DN87" i="4"/>
  <c r="DV86" i="4"/>
  <c r="DL86" i="4"/>
  <c r="DN84" i="4"/>
  <c r="DS81" i="4"/>
  <c r="DV80" i="4"/>
  <c r="DS79" i="4"/>
  <c r="DX71" i="4"/>
  <c r="DW70" i="4"/>
  <c r="DY67" i="4"/>
  <c r="DS66" i="4"/>
  <c r="DT56" i="4"/>
  <c r="DR55" i="4"/>
  <c r="DY45" i="4"/>
  <c r="DX39" i="4"/>
  <c r="DW32" i="4"/>
  <c r="DM23" i="4"/>
  <c r="DO18" i="4"/>
  <c r="DV16" i="4"/>
  <c r="DL15" i="4"/>
  <c r="CX15" i="4" s="1"/>
  <c r="DZ15" i="4" s="1"/>
  <c r="DM14" i="4"/>
  <c r="CY14" i="4" s="1"/>
  <c r="DM90" i="4"/>
  <c r="CY90" i="4" s="1"/>
  <c r="EA90" i="4" s="1"/>
  <c r="DR89" i="4"/>
  <c r="DX89" i="4"/>
  <c r="DQ86" i="4"/>
  <c r="DP84" i="4"/>
  <c r="DL78" i="4"/>
  <c r="CX78" i="4" s="1"/>
  <c r="DZ78" i="4" s="1"/>
  <c r="DW77" i="4"/>
  <c r="DL76" i="4"/>
  <c r="DV76" i="4"/>
  <c r="DN76" i="4"/>
  <c r="DN74" i="4"/>
  <c r="DQ70" i="4"/>
  <c r="DS69" i="4"/>
  <c r="DQ68" i="4"/>
  <c r="DP66" i="4"/>
  <c r="DN65" i="4"/>
  <c r="DR62" i="4"/>
  <c r="DY61" i="4"/>
  <c r="DQ61" i="4"/>
  <c r="DV58" i="4"/>
  <c r="DN58" i="4"/>
  <c r="DU56" i="4"/>
  <c r="DS55" i="4"/>
  <c r="DU53" i="4"/>
  <c r="DY51" i="4"/>
  <c r="DM50" i="4"/>
  <c r="CY50" i="4" s="1"/>
  <c r="EA50" i="4" s="1"/>
  <c r="DR47" i="4"/>
  <c r="DX44" i="4"/>
  <c r="DP43" i="4"/>
  <c r="DL41" i="4"/>
  <c r="CX41" i="4" s="1"/>
  <c r="DZ41" i="4" s="1"/>
  <c r="DQ40" i="4"/>
  <c r="DX34" i="4"/>
  <c r="DL33" i="4"/>
  <c r="CX33" i="4" s="1"/>
  <c r="DZ33" i="4" s="1"/>
  <c r="DW31" i="4"/>
  <c r="DW26" i="4"/>
  <c r="DO26" i="4"/>
  <c r="DT20" i="4"/>
  <c r="DT19" i="4"/>
  <c r="DN67" i="4"/>
  <c r="DR61" i="4"/>
  <c r="DO60" i="4"/>
  <c r="DW59" i="4"/>
  <c r="DM59" i="4"/>
  <c r="CY59" i="4" s="1"/>
  <c r="EA59" i="4" s="1"/>
  <c r="DX58" i="4"/>
  <c r="DP58" i="4"/>
  <c r="DQ55" i="4"/>
  <c r="DT55" i="4"/>
  <c r="DQ54" i="4"/>
  <c r="DT54" i="4"/>
  <c r="DV49" i="4"/>
  <c r="DS48" i="4"/>
  <c r="DO48" i="4"/>
  <c r="DV43" i="4"/>
  <c r="DM35" i="4"/>
  <c r="CY35" i="4" s="1"/>
  <c r="EA35" i="4" s="1"/>
  <c r="DM29" i="4"/>
  <c r="CY29" i="4" s="1"/>
  <c r="EA29" i="4" s="1"/>
  <c r="DS24" i="4"/>
  <c r="DY22" i="4"/>
  <c r="DR20" i="4"/>
  <c r="DO15" i="4"/>
  <c r="DW15" i="4"/>
  <c r="DS10" i="4"/>
  <c r="DN68" i="4"/>
  <c r="DU66" i="4"/>
  <c r="DY63" i="4"/>
  <c r="DS56" i="4"/>
  <c r="DP54" i="4"/>
  <c r="DV51" i="4"/>
  <c r="DR48" i="4"/>
  <c r="DO46" i="4"/>
  <c r="DU44" i="4"/>
  <c r="DR39" i="4"/>
  <c r="DV35" i="4"/>
  <c r="DT30" i="4"/>
  <c r="DL29" i="4"/>
  <c r="CX29" i="4" s="1"/>
  <c r="DZ29" i="4" s="1"/>
  <c r="DY21" i="4"/>
  <c r="DW18" i="4"/>
  <c r="DP16" i="4"/>
  <c r="DN15" i="4"/>
  <c r="DV15" i="4"/>
  <c r="DY11" i="4"/>
  <c r="DM10" i="4"/>
  <c r="CY10" i="4" s="1"/>
  <c r="DU71" i="4"/>
  <c r="DR65" i="4"/>
  <c r="DT62" i="4"/>
  <c r="DW62" i="4"/>
  <c r="DP61" i="4"/>
  <c r="DU61" i="4"/>
  <c r="DX59" i="4"/>
  <c r="DY56" i="4"/>
  <c r="DQ56" i="4"/>
  <c r="DR54" i="4"/>
  <c r="DX50" i="4"/>
  <c r="DW49" i="4"/>
  <c r="DY46" i="4"/>
  <c r="DQ46" i="4"/>
  <c r="DT43" i="4"/>
  <c r="DT41" i="4"/>
  <c r="DU40" i="4"/>
  <c r="DX36" i="4"/>
  <c r="DQ32" i="4"/>
  <c r="DV29" i="4"/>
  <c r="DN29" i="4"/>
  <c r="DY24" i="4"/>
  <c r="DT17" i="4"/>
  <c r="DP15" i="4"/>
  <c r="DU13" i="4"/>
  <c r="DW53" i="4"/>
  <c r="DO53" i="4"/>
  <c r="DR46" i="4"/>
  <c r="DQ44" i="4"/>
  <c r="DL42" i="4"/>
  <c r="CX42" i="4" s="1"/>
  <c r="DZ42" i="4" s="1"/>
  <c r="DV40" i="4"/>
  <c r="DW36" i="4"/>
  <c r="DW34" i="4"/>
  <c r="DV33" i="4"/>
  <c r="DN33" i="4"/>
  <c r="DV32" i="4"/>
  <c r="DV26" i="4"/>
  <c r="DX22" i="4"/>
  <c r="DU21" i="4"/>
  <c r="DU19" i="4"/>
  <c r="DS16" i="4"/>
  <c r="DU15" i="4"/>
  <c r="DR9" i="4"/>
  <c r="DW39" i="4"/>
  <c r="DW37" i="4"/>
  <c r="DY34" i="4"/>
  <c r="DY30" i="4"/>
  <c r="DT26" i="4"/>
  <c r="DX25" i="4"/>
  <c r="DX17" i="4"/>
  <c r="DR13" i="4"/>
  <c r="DP10" i="4"/>
  <c r="DW38" i="4"/>
  <c r="DO38" i="4"/>
  <c r="DW33" i="4"/>
  <c r="DS32" i="4"/>
  <c r="DP30" i="4"/>
  <c r="DR29" i="4"/>
  <c r="DM27" i="4"/>
  <c r="CY27" i="4" s="1"/>
  <c r="EA27" i="4" s="1"/>
  <c r="DW25" i="4"/>
  <c r="DU25" i="4"/>
  <c r="DR23" i="4"/>
  <c r="DO23" i="4"/>
  <c r="DV23" i="4"/>
  <c r="DR21" i="4"/>
  <c r="DN20" i="4"/>
  <c r="DU18" i="4"/>
  <c r="DY18" i="4"/>
  <c r="DY13" i="4"/>
  <c r="DW10" i="4"/>
  <c r="DW9" i="4"/>
  <c r="DR40" i="4"/>
  <c r="DU37" i="4"/>
  <c r="DP35" i="4"/>
  <c r="DR32" i="4"/>
  <c r="DM30" i="4"/>
  <c r="DU28" i="4"/>
  <c r="DT27" i="4"/>
  <c r="DT25" i="4"/>
  <c r="DP21" i="4"/>
  <c r="DU20" i="4"/>
  <c r="DM19" i="4"/>
  <c r="CY19" i="4" s="1"/>
  <c r="EA19" i="4" s="1"/>
  <c r="DQ14" i="4"/>
  <c r="DY14" i="4"/>
  <c r="DX13" i="4"/>
  <c r="DS11" i="4"/>
  <c r="DN11" i="4"/>
  <c r="DV11" i="4"/>
  <c r="DV10" i="4"/>
  <c r="DV633" i="4"/>
  <c r="DV625" i="4"/>
  <c r="DV623" i="4"/>
  <c r="DV643" i="4"/>
  <c r="DT652" i="4"/>
  <c r="DT642" i="4"/>
  <c r="DT630" i="4"/>
  <c r="DT648" i="4"/>
  <c r="DT636" i="4"/>
  <c r="DR643" i="4"/>
  <c r="DR639" i="4"/>
  <c r="DR635" i="4"/>
  <c r="DR629" i="4"/>
  <c r="DR659" i="4"/>
  <c r="DR651" i="4"/>
  <c r="DP652" i="4"/>
  <c r="DP659" i="4"/>
  <c r="DP628" i="4"/>
  <c r="DP644" i="4"/>
  <c r="DN647" i="4"/>
  <c r="DN627" i="4"/>
  <c r="DN625" i="4"/>
  <c r="DN629" i="4"/>
  <c r="DN641" i="4"/>
  <c r="CY627" i="4"/>
  <c r="EA627" i="4" s="1"/>
  <c r="DQ640" i="4"/>
  <c r="CY679" i="4"/>
  <c r="EA679" i="4" s="1"/>
  <c r="CY553" i="4"/>
  <c r="EA553" i="4" s="1"/>
  <c r="CX516" i="4"/>
  <c r="DZ516" i="4" s="1"/>
  <c r="CX655" i="4"/>
  <c r="DZ655" i="4" s="1"/>
  <c r="DU654" i="4"/>
  <c r="CX631" i="4"/>
  <c r="DZ631" i="4" s="1"/>
  <c r="DW625" i="4"/>
  <c r="DP671" i="4"/>
  <c r="CX663" i="4"/>
  <c r="DZ663" i="4" s="1"/>
  <c r="EA602" i="4"/>
  <c r="CY602" i="4"/>
  <c r="CY589" i="4"/>
  <c r="EA589" i="4" s="1"/>
  <c r="CX580" i="4"/>
  <c r="CY567" i="4"/>
  <c r="EA567" i="4" s="1"/>
  <c r="DY657" i="4"/>
  <c r="DQ657" i="4"/>
  <c r="DU656" i="4"/>
  <c r="DQ655" i="4"/>
  <c r="DS651" i="4"/>
  <c r="DS650" i="4"/>
  <c r="CY635" i="4"/>
  <c r="EA635" i="4" s="1"/>
  <c r="CX596" i="4"/>
  <c r="DZ596" i="4"/>
  <c r="CY566" i="4"/>
  <c r="EA566" i="4" s="1"/>
  <c r="DX512" i="4"/>
  <c r="CY649" i="4"/>
  <c r="EA649" i="4" s="1"/>
  <c r="CY659" i="4"/>
  <c r="EA659" i="4"/>
  <c r="EA554" i="4"/>
  <c r="CY554" i="4"/>
  <c r="CY658" i="4"/>
  <c r="EA658" i="4"/>
  <c r="DU657" i="4"/>
  <c r="DU655" i="4"/>
  <c r="DY644" i="4"/>
  <c r="DQ644" i="4"/>
  <c r="CY676" i="4"/>
  <c r="EA676" i="4" s="1"/>
  <c r="DP672" i="4"/>
  <c r="DW612" i="4"/>
  <c r="DT594" i="4"/>
  <c r="CX549" i="4"/>
  <c r="CX614" i="4"/>
  <c r="DZ614" i="4" s="1"/>
  <c r="DU649" i="4"/>
  <c r="CY642" i="4"/>
  <c r="EA642" i="4" s="1"/>
  <c r="DO654" i="4"/>
  <c r="DY652" i="4"/>
  <c r="DS643" i="4"/>
  <c r="DO637" i="4"/>
  <c r="CY636" i="4"/>
  <c r="EA636" i="4" s="1"/>
  <c r="DT664" i="4"/>
  <c r="CX607" i="4"/>
  <c r="DZ607" i="4" s="1"/>
  <c r="CY575" i="4"/>
  <c r="EA575" i="4"/>
  <c r="CY538" i="4"/>
  <c r="EA538" i="4" s="1"/>
  <c r="CX503" i="4"/>
  <c r="DZ503" i="4" s="1"/>
  <c r="CX499" i="4"/>
  <c r="DZ499" i="4" s="1"/>
  <c r="EA489" i="4"/>
  <c r="CY489" i="4"/>
  <c r="CY448" i="4"/>
  <c r="EA448" i="4" s="1"/>
  <c r="CY628" i="4"/>
  <c r="EA628" i="4" s="1"/>
  <c r="CY586" i="4"/>
  <c r="DR618" i="4"/>
  <c r="DW653" i="4"/>
  <c r="DO653" i="4"/>
  <c r="DQ652" i="4"/>
  <c r="DS657" i="4"/>
  <c r="DS655" i="4"/>
  <c r="CX653" i="4"/>
  <c r="DZ653" i="4" s="1"/>
  <c r="CY633" i="4"/>
  <c r="EA633" i="4" s="1"/>
  <c r="DQ624" i="4"/>
  <c r="CX608" i="4"/>
  <c r="DZ608" i="4" s="1"/>
  <c r="CX606" i="4"/>
  <c r="DZ606" i="4" s="1"/>
  <c r="DV597" i="4"/>
  <c r="CY577" i="4"/>
  <c r="EA577" i="4" s="1"/>
  <c r="CY570" i="4"/>
  <c r="EA570" i="4" s="1"/>
  <c r="CY513" i="4"/>
  <c r="EA513" i="4" s="1"/>
  <c r="DP658" i="4"/>
  <c r="CX647" i="4"/>
  <c r="DZ647" i="4" s="1"/>
  <c r="DL638" i="4"/>
  <c r="DP638" i="4"/>
  <c r="DP636" i="4"/>
  <c r="DO632" i="4"/>
  <c r="CX629" i="4"/>
  <c r="DZ629" i="4"/>
  <c r="DS628" i="4"/>
  <c r="CX627" i="4"/>
  <c r="DZ627" i="4" s="1"/>
  <c r="DR627" i="4"/>
  <c r="DQ680" i="4"/>
  <c r="DU679" i="4"/>
  <c r="DS678" i="4"/>
  <c r="DM677" i="4"/>
  <c r="DZ675" i="4"/>
  <c r="DU671" i="4"/>
  <c r="DV670" i="4"/>
  <c r="DL669" i="4"/>
  <c r="DX667" i="4"/>
  <c r="DQ666" i="4"/>
  <c r="DX665" i="4"/>
  <c r="DP665" i="4"/>
  <c r="CX662" i="4"/>
  <c r="DZ662" i="4" s="1"/>
  <c r="DR608" i="4"/>
  <c r="DU608" i="4"/>
  <c r="DU605" i="4"/>
  <c r="CX597" i="4"/>
  <c r="DZ597" i="4" s="1"/>
  <c r="DM592" i="4"/>
  <c r="DL590" i="4"/>
  <c r="DN590" i="4"/>
  <c r="DV655" i="4"/>
  <c r="DN655" i="4"/>
  <c r="DR653" i="4"/>
  <c r="DV649" i="4"/>
  <c r="DN649" i="4"/>
  <c r="DS648" i="4"/>
  <c r="DR645" i="4"/>
  <c r="EA643" i="4"/>
  <c r="DX642" i="4"/>
  <c r="DL642" i="4"/>
  <c r="DP642" i="4"/>
  <c r="DX640" i="4"/>
  <c r="DP640" i="4"/>
  <c r="DW636" i="4"/>
  <c r="DO636" i="4"/>
  <c r="DL633" i="4"/>
  <c r="DR633" i="4"/>
  <c r="DL632" i="4"/>
  <c r="DR631" i="4"/>
  <c r="CX628" i="4"/>
  <c r="DZ628" i="4" s="1"/>
  <c r="DY627" i="4"/>
  <c r="DQ627" i="4"/>
  <c r="DT626" i="4"/>
  <c r="DT624" i="4"/>
  <c r="DS622" i="4"/>
  <c r="DM621" i="4"/>
  <c r="DM678" i="4"/>
  <c r="DV677" i="4"/>
  <c r="DN677" i="4"/>
  <c r="DL676" i="4"/>
  <c r="DP676" i="4"/>
  <c r="DQ675" i="4"/>
  <c r="DM673" i="4"/>
  <c r="DS673" i="4"/>
  <c r="DT672" i="4"/>
  <c r="DT671" i="4"/>
  <c r="DU669" i="4"/>
  <c r="DO667" i="4"/>
  <c r="DL666" i="4"/>
  <c r="DX663" i="4"/>
  <c r="DM660" i="4"/>
  <c r="DR620" i="4"/>
  <c r="DM619" i="4"/>
  <c r="DM616" i="4"/>
  <c r="DT614" i="4"/>
  <c r="DV614" i="4"/>
  <c r="DM611" i="4"/>
  <c r="DM610" i="4"/>
  <c r="DT605" i="4"/>
  <c r="DU604" i="4"/>
  <c r="DW603" i="4"/>
  <c r="DO603" i="4"/>
  <c r="DM603" i="4"/>
  <c r="DU602" i="4"/>
  <c r="DX601" i="4"/>
  <c r="DL600" i="4"/>
  <c r="DQ599" i="4"/>
  <c r="DY598" i="4"/>
  <c r="DQ598" i="4"/>
  <c r="DM598" i="4"/>
  <c r="DT595" i="4"/>
  <c r="DS593" i="4"/>
  <c r="DS589" i="4"/>
  <c r="DX585" i="4"/>
  <c r="DP585" i="4"/>
  <c r="DL585" i="4"/>
  <c r="DL583" i="4"/>
  <c r="DN583" i="4"/>
  <c r="DM582" i="4"/>
  <c r="DW580" i="4"/>
  <c r="DM580" i="4"/>
  <c r="DT578" i="4"/>
  <c r="DY576" i="4"/>
  <c r="DY574" i="4"/>
  <c r="DQ574" i="4"/>
  <c r="DT571" i="4"/>
  <c r="DR569" i="4"/>
  <c r="DU568" i="4"/>
  <c r="DV566" i="4"/>
  <c r="DL566" i="4"/>
  <c r="DN566" i="4"/>
  <c r="DN565" i="4"/>
  <c r="DS563" i="4"/>
  <c r="DQ559" i="4"/>
  <c r="DT556" i="4"/>
  <c r="CX552" i="4"/>
  <c r="DZ552" i="4" s="1"/>
  <c r="DR552" i="4"/>
  <c r="DT551" i="4"/>
  <c r="DP550" i="4"/>
  <c r="DR549" i="4"/>
  <c r="DO547" i="4"/>
  <c r="DV545" i="4"/>
  <c r="DN545" i="4"/>
  <c r="DW544" i="4"/>
  <c r="DM544" i="4"/>
  <c r="DP537" i="4"/>
  <c r="DL537" i="4"/>
  <c r="DQ536" i="4"/>
  <c r="DM535" i="4"/>
  <c r="DU533" i="4"/>
  <c r="DL531" i="4"/>
  <c r="DR531" i="4"/>
  <c r="DT530" i="4"/>
  <c r="DW529" i="4"/>
  <c r="DR526" i="4"/>
  <c r="DP524" i="4"/>
  <c r="DP523" i="4"/>
  <c r="DP521" i="4"/>
  <c r="DP517" i="4"/>
  <c r="DL517" i="4"/>
  <c r="DR516" i="4"/>
  <c r="DL514" i="4"/>
  <c r="DS513" i="4"/>
  <c r="DV511" i="4"/>
  <c r="DM508" i="4"/>
  <c r="DO508" i="4"/>
  <c r="DL507" i="4"/>
  <c r="DR507" i="4"/>
  <c r="DV496" i="4"/>
  <c r="DL496" i="4"/>
  <c r="DL488" i="4"/>
  <c r="DY487" i="4"/>
  <c r="DQ487" i="4"/>
  <c r="DP484" i="4"/>
  <c r="DL484" i="4"/>
  <c r="DP474" i="4"/>
  <c r="DL474" i="4"/>
  <c r="CY463" i="4"/>
  <c r="EA463" i="4" s="1"/>
  <c r="CX462" i="4"/>
  <c r="DZ462" i="4" s="1"/>
  <c r="DS460" i="4"/>
  <c r="CX441" i="4"/>
  <c r="DZ441" i="4" s="1"/>
  <c r="DO435" i="4"/>
  <c r="DM435" i="4"/>
  <c r="DN425" i="4"/>
  <c r="DS420" i="4"/>
  <c r="DM420" i="4"/>
  <c r="CX339" i="4"/>
  <c r="DZ339" i="4" s="1"/>
  <c r="DU584" i="4"/>
  <c r="DM579" i="4"/>
  <c r="DL575" i="4"/>
  <c r="DY572" i="4"/>
  <c r="CX564" i="4"/>
  <c r="DZ564" i="4" s="1"/>
  <c r="DL563" i="4"/>
  <c r="CX561" i="4"/>
  <c r="DZ561" i="4" s="1"/>
  <c r="DT558" i="4"/>
  <c r="CX557" i="4"/>
  <c r="DZ557" i="4" s="1"/>
  <c r="DY555" i="4"/>
  <c r="DS546" i="4"/>
  <c r="CX540" i="4"/>
  <c r="DZ540" i="4" s="1"/>
  <c r="CX536" i="4"/>
  <c r="DZ536" i="4" s="1"/>
  <c r="DL534" i="4"/>
  <c r="DN534" i="4"/>
  <c r="CY533" i="4"/>
  <c r="EA533" i="4" s="1"/>
  <c r="DM523" i="4"/>
  <c r="DQ523" i="4"/>
  <c r="DT520" i="4"/>
  <c r="CX518" i="4"/>
  <c r="DZ518" i="4" s="1"/>
  <c r="DR518" i="4"/>
  <c r="CX504" i="4"/>
  <c r="DZ504" i="4" s="1"/>
  <c r="EA503" i="4"/>
  <c r="DL498" i="4"/>
  <c r="DT498" i="4"/>
  <c r="DL497" i="4"/>
  <c r="DN497" i="4"/>
  <c r="DL495" i="4"/>
  <c r="DN495" i="4"/>
  <c r="DT493" i="4"/>
  <c r="CX487" i="4"/>
  <c r="DZ487" i="4" s="1"/>
  <c r="DM464" i="4"/>
  <c r="DQ464" i="4"/>
  <c r="CX450" i="4"/>
  <c r="DZ450" i="4"/>
  <c r="CY436" i="4"/>
  <c r="EA436" i="4" s="1"/>
  <c r="DP435" i="4"/>
  <c r="DL435" i="4"/>
  <c r="DM430" i="4"/>
  <c r="CY427" i="4"/>
  <c r="EA427" i="4" s="1"/>
  <c r="CX426" i="4"/>
  <c r="DZ426" i="4" s="1"/>
  <c r="CX395" i="4"/>
  <c r="DN379" i="4"/>
  <c r="DL379" i="4"/>
  <c r="DS372" i="4"/>
  <c r="DM372" i="4"/>
  <c r="CX333" i="4"/>
  <c r="DZ333" i="4" s="1"/>
  <c r="CY332" i="4"/>
  <c r="EA332" i="4"/>
  <c r="DQ307" i="4"/>
  <c r="DM307" i="4"/>
  <c r="DM245" i="4"/>
  <c r="DU245" i="4"/>
  <c r="CY229" i="4"/>
  <c r="EA229" i="4" s="1"/>
  <c r="DL43" i="4"/>
  <c r="DN43" i="4"/>
  <c r="DM39" i="4"/>
  <c r="DO39" i="4"/>
  <c r="DL659" i="4"/>
  <c r="DM657" i="4"/>
  <c r="DX654" i="4"/>
  <c r="DL654" i="4"/>
  <c r="DP654" i="4"/>
  <c r="DM652" i="4"/>
  <c r="DT650" i="4"/>
  <c r="DL648" i="4"/>
  <c r="DX646" i="4"/>
  <c r="DL646" i="4"/>
  <c r="DP646" i="4"/>
  <c r="DM644" i="4"/>
  <c r="DW640" i="4"/>
  <c r="DO640" i="4"/>
  <c r="DM639" i="4"/>
  <c r="CX637" i="4"/>
  <c r="DZ637" i="4" s="1"/>
  <c r="DR637" i="4"/>
  <c r="DL636" i="4"/>
  <c r="CX635" i="4"/>
  <c r="DZ635" i="4" s="1"/>
  <c r="DQ631" i="4"/>
  <c r="DT628" i="4"/>
  <c r="DS626" i="4"/>
  <c r="DM625" i="4"/>
  <c r="DN621" i="4"/>
  <c r="CX673" i="4"/>
  <c r="DZ673" i="4" s="1"/>
  <c r="DR673" i="4"/>
  <c r="EA672" i="4"/>
  <c r="CY672" i="4"/>
  <c r="DS672" i="4"/>
  <c r="DO666" i="4"/>
  <c r="DL665" i="4"/>
  <c r="DL664" i="4"/>
  <c r="DX662" i="4"/>
  <c r="DP662" i="4"/>
  <c r="DR619" i="4"/>
  <c r="DL616" i="4"/>
  <c r="DL615" i="4"/>
  <c r="DW613" i="4"/>
  <c r="DM613" i="4"/>
  <c r="DY611" i="4"/>
  <c r="DP609" i="4"/>
  <c r="DN607" i="4"/>
  <c r="DT607" i="4"/>
  <c r="DV603" i="4"/>
  <c r="DN603" i="4"/>
  <c r="DN602" i="4"/>
  <c r="DW601" i="4"/>
  <c r="DM600" i="4"/>
  <c r="DM594" i="4"/>
  <c r="CY591" i="4"/>
  <c r="EA591" i="4" s="1"/>
  <c r="DR591" i="4"/>
  <c r="DL589" i="4"/>
  <c r="DU588" i="4"/>
  <c r="DY587" i="4"/>
  <c r="DT580" i="4"/>
  <c r="DS578" i="4"/>
  <c r="DX576" i="4"/>
  <c r="DP576" i="4"/>
  <c r="DS575" i="4"/>
  <c r="DV573" i="4"/>
  <c r="DS571" i="4"/>
  <c r="DV570" i="4"/>
  <c r="DL570" i="4"/>
  <c r="DN570" i="4"/>
  <c r="DS566" i="4"/>
  <c r="CY565" i="4"/>
  <c r="EA565" i="4" s="1"/>
  <c r="DX564" i="4"/>
  <c r="DP564" i="4"/>
  <c r="DW555" i="4"/>
  <c r="DO555" i="4"/>
  <c r="DM555" i="4"/>
  <c r="DY554" i="4"/>
  <c r="DQ554" i="4"/>
  <c r="DL547" i="4"/>
  <c r="DN547" i="4"/>
  <c r="DQ546" i="4"/>
  <c r="DM546" i="4"/>
  <c r="DR543" i="4"/>
  <c r="DT539" i="4"/>
  <c r="DV538" i="4"/>
  <c r="DL538" i="4"/>
  <c r="DN538" i="4"/>
  <c r="DM537" i="4"/>
  <c r="DS534" i="4"/>
  <c r="DL529" i="4"/>
  <c r="CY527" i="4"/>
  <c r="EA527" i="4" s="1"/>
  <c r="DM521" i="4"/>
  <c r="DO521" i="4"/>
  <c r="DL520" i="4"/>
  <c r="DY519" i="4"/>
  <c r="DL510" i="4"/>
  <c r="DN510" i="4"/>
  <c r="DL506" i="4"/>
  <c r="DN506" i="4"/>
  <c r="DQ491" i="4"/>
  <c r="DM490" i="4"/>
  <c r="DU490" i="4"/>
  <c r="DY488" i="4"/>
  <c r="DQ488" i="4"/>
  <c r="DS482" i="4"/>
  <c r="DM482" i="4"/>
  <c r="DT481" i="4"/>
  <c r="DL481" i="4"/>
  <c r="DZ473" i="4"/>
  <c r="CX473" i="4"/>
  <c r="DM459" i="4"/>
  <c r="DQ459" i="4"/>
  <c r="CX447" i="4"/>
  <c r="DU437" i="4"/>
  <c r="DX431" i="4"/>
  <c r="DO408" i="4"/>
  <c r="DM408" i="4"/>
  <c r="CY407" i="4"/>
  <c r="EA407" i="4" s="1"/>
  <c r="DO343" i="4"/>
  <c r="DM343" i="4"/>
  <c r="DX658" i="4"/>
  <c r="DR657" i="4"/>
  <c r="DO649" i="4"/>
  <c r="DL639" i="4"/>
  <c r="CY624" i="4"/>
  <c r="EA624" i="4" s="1"/>
  <c r="DU664" i="4"/>
  <c r="DM664" i="4"/>
  <c r="DP611" i="4"/>
  <c r="CY607" i="4"/>
  <c r="EA607" i="4" s="1"/>
  <c r="CY599" i="4"/>
  <c r="EA599" i="4"/>
  <c r="EA586" i="4"/>
  <c r="DV577" i="4"/>
  <c r="DM561" i="4"/>
  <c r="DO561" i="4"/>
  <c r="DW559" i="4"/>
  <c r="DL556" i="4"/>
  <c r="DL550" i="4"/>
  <c r="DN550" i="4"/>
  <c r="DP549" i="4"/>
  <c r="DL524" i="4"/>
  <c r="DN524" i="4"/>
  <c r="DL523" i="4"/>
  <c r="DN523" i="4"/>
  <c r="DL505" i="4"/>
  <c r="DN505" i="4"/>
  <c r="DL453" i="4"/>
  <c r="DL352" i="4"/>
  <c r="DP352" i="4"/>
  <c r="DM655" i="4"/>
  <c r="EA654" i="4"/>
  <c r="DX652" i="4"/>
  <c r="DX644" i="4"/>
  <c r="DL622" i="4"/>
  <c r="DP622" i="4"/>
  <c r="DN669" i="4"/>
  <c r="DV609" i="4"/>
  <c r="DZ604" i="4"/>
  <c r="DV599" i="4"/>
  <c r="DO587" i="4"/>
  <c r="DM587" i="4"/>
  <c r="DL568" i="4"/>
  <c r="DR563" i="4"/>
  <c r="DO553" i="4"/>
  <c r="DL512" i="4"/>
  <c r="DN504" i="4"/>
  <c r="DT501" i="4"/>
  <c r="DS425" i="4"/>
  <c r="DM425" i="4"/>
  <c r="DM41" i="4"/>
  <c r="CY656" i="4"/>
  <c r="EA656" i="4" s="1"/>
  <c r="DV653" i="4"/>
  <c r="CX649" i="4"/>
  <c r="DZ649" i="4" s="1"/>
  <c r="EA646" i="4"/>
  <c r="DV645" i="4"/>
  <c r="DN645" i="4"/>
  <c r="DO642" i="4"/>
  <c r="DT640" i="4"/>
  <c r="DS638" i="4"/>
  <c r="DM637" i="4"/>
  <c r="DM632" i="4"/>
  <c r="DV631" i="4"/>
  <c r="DN631" i="4"/>
  <c r="DU629" i="4"/>
  <c r="DX626" i="4"/>
  <c r="DL626" i="4"/>
  <c r="DP626" i="4"/>
  <c r="DX624" i="4"/>
  <c r="DP624" i="4"/>
  <c r="DW680" i="4"/>
  <c r="DO680" i="4"/>
  <c r="CX677" i="4"/>
  <c r="DZ677" i="4" s="1"/>
  <c r="DR677" i="4"/>
  <c r="DO676" i="4"/>
  <c r="DT676" i="4"/>
  <c r="DU675" i="4"/>
  <c r="DW674" i="4"/>
  <c r="DO674" i="4"/>
  <c r="DM674" i="4"/>
  <c r="DX672" i="4"/>
  <c r="DL671" i="4"/>
  <c r="DY669" i="4"/>
  <c r="DQ669" i="4"/>
  <c r="DM669" i="4"/>
  <c r="DN667" i="4"/>
  <c r="DT666" i="4"/>
  <c r="DL660" i="4"/>
  <c r="DV620" i="4"/>
  <c r="DL620" i="4"/>
  <c r="DN620" i="4"/>
  <c r="DY618" i="4"/>
  <c r="DQ618" i="4"/>
  <c r="DM618" i="4"/>
  <c r="DL617" i="4"/>
  <c r="DR617" i="4"/>
  <c r="DL611" i="4"/>
  <c r="DY607" i="4"/>
  <c r="DL605" i="4"/>
  <c r="DP605" i="4"/>
  <c r="DT600" i="4"/>
  <c r="DM596" i="4"/>
  <c r="DO596" i="4"/>
  <c r="DL595" i="4"/>
  <c r="DW591" i="4"/>
  <c r="DO591" i="4"/>
  <c r="DY590" i="4"/>
  <c r="DQ590" i="4"/>
  <c r="DM590" i="4"/>
  <c r="DO589" i="4"/>
  <c r="DL588" i="4"/>
  <c r="DV582" i="4"/>
  <c r="DL582" i="4"/>
  <c r="DN582" i="4"/>
  <c r="CY574" i="4"/>
  <c r="EA574" i="4" s="1"/>
  <c r="CY573" i="4"/>
  <c r="EA573" i="4" s="1"/>
  <c r="DL572" i="4"/>
  <c r="DT572" i="4"/>
  <c r="DQ567" i="4"/>
  <c r="DT567" i="4"/>
  <c r="DS562" i="4"/>
  <c r="DU561" i="4"/>
  <c r="DX560" i="4"/>
  <c r="DV554" i="4"/>
  <c r="DL554" i="4"/>
  <c r="DN554" i="4"/>
  <c r="DQ548" i="4"/>
  <c r="DW543" i="4"/>
  <c r="DO543" i="4"/>
  <c r="DP533" i="4"/>
  <c r="DL533" i="4"/>
  <c r="DN529" i="4"/>
  <c r="DV528" i="4"/>
  <c r="DL528" i="4"/>
  <c r="DN528" i="4"/>
  <c r="DV525" i="4"/>
  <c r="DL525" i="4"/>
  <c r="DN525" i="4"/>
  <c r="DO520" i="4"/>
  <c r="DT517" i="4"/>
  <c r="DV514" i="4"/>
  <c r="DW513" i="4"/>
  <c r="DM512" i="4"/>
  <c r="DO512" i="4"/>
  <c r="DM495" i="4"/>
  <c r="DQ495" i="4"/>
  <c r="DL490" i="4"/>
  <c r="DO489" i="4"/>
  <c r="DX482" i="4"/>
  <c r="DP482" i="4"/>
  <c r="DL482" i="4"/>
  <c r="DX467" i="4"/>
  <c r="DP467" i="4"/>
  <c r="DL467" i="4"/>
  <c r="CY466" i="4"/>
  <c r="EA466" i="4"/>
  <c r="DZ458" i="4"/>
  <c r="DS447" i="4"/>
  <c r="DQ443" i="4"/>
  <c r="DX442" i="4"/>
  <c r="DP442" i="4"/>
  <c r="DL442" i="4"/>
  <c r="DU429" i="4"/>
  <c r="DM424" i="4"/>
  <c r="DL416" i="4"/>
  <c r="DN416" i="4"/>
  <c r="DT411" i="4"/>
  <c r="DL411" i="4"/>
  <c r="DX409" i="4"/>
  <c r="DL408" i="4"/>
  <c r="DT408" i="4"/>
  <c r="CY297" i="4"/>
  <c r="EA297" i="4" s="1"/>
  <c r="CX295" i="4"/>
  <c r="DZ295" i="4" s="1"/>
  <c r="DL657" i="4"/>
  <c r="CX641" i="4"/>
  <c r="DZ641" i="4" s="1"/>
  <c r="DM629" i="4"/>
  <c r="EA626" i="4"/>
  <c r="DW675" i="4"/>
  <c r="DM668" i="4"/>
  <c r="EA609" i="4"/>
  <c r="EA605" i="4"/>
  <c r="DL581" i="4"/>
  <c r="DN577" i="4"/>
  <c r="DP569" i="4"/>
  <c r="DL569" i="4"/>
  <c r="DM564" i="4"/>
  <c r="DO564" i="4"/>
  <c r="DO559" i="4"/>
  <c r="DQ558" i="4"/>
  <c r="DM558" i="4"/>
  <c r="DM536" i="4"/>
  <c r="DO536" i="4"/>
  <c r="DL494" i="4"/>
  <c r="DO487" i="4"/>
  <c r="DM487" i="4"/>
  <c r="CY434" i="4"/>
  <c r="EA434" i="4" s="1"/>
  <c r="DM432" i="4"/>
  <c r="DQ432" i="4"/>
  <c r="DP390" i="4"/>
  <c r="DL390" i="4"/>
  <c r="DL651" i="4"/>
  <c r="DM650" i="4"/>
  <c r="DT638" i="4"/>
  <c r="DM630" i="4"/>
  <c r="DU625" i="4"/>
  <c r="DO677" i="4"/>
  <c r="DN675" i="4"/>
  <c r="DR670" i="4"/>
  <c r="DR668" i="4"/>
  <c r="DU663" i="4"/>
  <c r="DN662" i="4"/>
  <c r="DX619" i="4"/>
  <c r="DX606" i="4"/>
  <c r="DV598" i="4"/>
  <c r="DN597" i="4"/>
  <c r="DP596" i="4"/>
  <c r="DX589" i="4"/>
  <c r="DL579" i="4"/>
  <c r="DN579" i="4"/>
  <c r="DQ578" i="4"/>
  <c r="DM578" i="4"/>
  <c r="DY571" i="4"/>
  <c r="DV561" i="4"/>
  <c r="DQ560" i="4"/>
  <c r="DS553" i="4"/>
  <c r="DO552" i="4"/>
  <c r="DY551" i="4"/>
  <c r="EA545" i="4"/>
  <c r="DY532" i="4"/>
  <c r="DQ494" i="4"/>
  <c r="DM494" i="4"/>
  <c r="CY491" i="4"/>
  <c r="EA491" i="4" s="1"/>
  <c r="DO430" i="4"/>
  <c r="CY388" i="4"/>
  <c r="EA388" i="4" s="1"/>
  <c r="DL364" i="4"/>
  <c r="DN364" i="4"/>
  <c r="DN659" i="4"/>
  <c r="DL658" i="4"/>
  <c r="DT656" i="4"/>
  <c r="CX656" i="4"/>
  <c r="DZ656" i="4" s="1"/>
  <c r="EA653" i="4"/>
  <c r="DL652" i="4"/>
  <c r="DL650" i="4"/>
  <c r="DP650" i="4"/>
  <c r="DO647" i="4"/>
  <c r="DT646" i="4"/>
  <c r="EA645" i="4"/>
  <c r="DL644" i="4"/>
  <c r="DS642" i="4"/>
  <c r="DM641" i="4"/>
  <c r="DM638" i="4"/>
  <c r="DV637" i="4"/>
  <c r="DN637" i="4"/>
  <c r="DV635" i="4"/>
  <c r="DN635" i="4"/>
  <c r="DU633" i="4"/>
  <c r="DX630" i="4"/>
  <c r="DL630" i="4"/>
  <c r="DP630" i="4"/>
  <c r="DX628" i="4"/>
  <c r="DO625" i="4"/>
  <c r="DW624" i="4"/>
  <c r="DO624" i="4"/>
  <c r="DM623" i="4"/>
  <c r="DL621" i="4"/>
  <c r="DR621" i="4"/>
  <c r="DL680" i="4"/>
  <c r="DL679" i="4"/>
  <c r="DS676" i="4"/>
  <c r="CX675" i="4"/>
  <c r="DV674" i="4"/>
  <c r="DN674" i="4"/>
  <c r="DN673" i="4"/>
  <c r="DW672" i="4"/>
  <c r="DO672" i="4"/>
  <c r="DM671" i="4"/>
  <c r="DN664" i="4"/>
  <c r="DN663" i="4"/>
  <c r="DT662" i="4"/>
  <c r="DT661" i="4"/>
  <c r="DN615" i="4"/>
  <c r="DR615" i="4"/>
  <c r="DY614" i="4"/>
  <c r="DQ614" i="4"/>
  <c r="DM614" i="4"/>
  <c r="DO613" i="4"/>
  <c r="DO612" i="4"/>
  <c r="DT612" i="4"/>
  <c r="DU610" i="4"/>
  <c r="CX609" i="4"/>
  <c r="DZ609" i="4" s="1"/>
  <c r="DW608" i="4"/>
  <c r="DM608" i="4"/>
  <c r="DO608" i="4"/>
  <c r="DP607" i="4"/>
  <c r="DN606" i="4"/>
  <c r="DL603" i="4"/>
  <c r="DL602" i="4"/>
  <c r="DR602" i="4"/>
  <c r="DM601" i="4"/>
  <c r="DS601" i="4"/>
  <c r="DO600" i="4"/>
  <c r="DO595" i="4"/>
  <c r="DL594" i="4"/>
  <c r="DV593" i="4"/>
  <c r="DN593" i="4"/>
  <c r="DY592" i="4"/>
  <c r="DQ592" i="4"/>
  <c r="DL591" i="4"/>
  <c r="DV589" i="4"/>
  <c r="DN589" i="4"/>
  <c r="DO585" i="4"/>
  <c r="DS585" i="4"/>
  <c r="DO584" i="4"/>
  <c r="DY583" i="4"/>
  <c r="DM583" i="4"/>
  <c r="DM581" i="4"/>
  <c r="DS577" i="4"/>
  <c r="CX576" i="4"/>
  <c r="CX573" i="4"/>
  <c r="DZ573" i="4" s="1"/>
  <c r="DW571" i="4"/>
  <c r="DO571" i="4"/>
  <c r="DM571" i="4"/>
  <c r="DM560" i="4"/>
  <c r="DT559" i="4"/>
  <c r="DL558" i="4"/>
  <c r="DN558" i="4"/>
  <c r="DR547" i="4"/>
  <c r="DL543" i="4"/>
  <c r="DM542" i="4"/>
  <c r="DM529" i="4"/>
  <c r="DV527" i="4"/>
  <c r="DL527" i="4"/>
  <c r="DN527" i="4"/>
  <c r="DV520" i="4"/>
  <c r="DW515" i="4"/>
  <c r="DO515" i="4"/>
  <c r="DM515" i="4"/>
  <c r="CY514" i="4"/>
  <c r="EA514" i="4" s="1"/>
  <c r="DN513" i="4"/>
  <c r="DQ511" i="4"/>
  <c r="DM510" i="4"/>
  <c r="DL509" i="4"/>
  <c r="CX508" i="4"/>
  <c r="DZ508" i="4" s="1"/>
  <c r="DR508" i="4"/>
  <c r="DM506" i="4"/>
  <c r="CY501" i="4"/>
  <c r="EA501" i="4" s="1"/>
  <c r="DR500" i="4"/>
  <c r="DX495" i="4"/>
  <c r="DP495" i="4"/>
  <c r="DL493" i="4"/>
  <c r="DY486" i="4"/>
  <c r="DQ486" i="4"/>
  <c r="DM486" i="4"/>
  <c r="DM478" i="4"/>
  <c r="DU478" i="4"/>
  <c r="DX471" i="4"/>
  <c r="DL471" i="4"/>
  <c r="DP471" i="4"/>
  <c r="DL469" i="4"/>
  <c r="DN469" i="4"/>
  <c r="CY468" i="4"/>
  <c r="EA468" i="4" s="1"/>
  <c r="DO465" i="4"/>
  <c r="DT458" i="4"/>
  <c r="DM444" i="4"/>
  <c r="DO444" i="4"/>
  <c r="DM440" i="4"/>
  <c r="DN420" i="4"/>
  <c r="DL420" i="4"/>
  <c r="DP374" i="4"/>
  <c r="DL374" i="4"/>
  <c r="DM651" i="4"/>
  <c r="DQ635" i="4"/>
  <c r="DL678" i="4"/>
  <c r="DP678" i="4"/>
  <c r="CX672" i="4"/>
  <c r="DZ672" i="4" s="1"/>
  <c r="DP660" i="4"/>
  <c r="DV613" i="4"/>
  <c r="CY612" i="4"/>
  <c r="EA612" i="4" s="1"/>
  <c r="DL610" i="4"/>
  <c r="DP610" i="4"/>
  <c r="DZ592" i="4"/>
  <c r="DT583" i="4"/>
  <c r="DM576" i="4"/>
  <c r="DW564" i="4"/>
  <c r="DV550" i="4"/>
  <c r="DZ511" i="4"/>
  <c r="DO504" i="4"/>
  <c r="CX483" i="4"/>
  <c r="DZ483" i="4" s="1"/>
  <c r="DU418" i="4"/>
  <c r="DM418" i="4"/>
  <c r="DT381" i="4"/>
  <c r="DL381" i="4"/>
  <c r="DL279" i="4"/>
  <c r="DL643" i="4"/>
  <c r="DS634" i="4"/>
  <c r="DV629" i="4"/>
  <c r="DL670" i="4"/>
  <c r="DL668" i="4"/>
  <c r="DL618" i="4"/>
  <c r="DM617" i="4"/>
  <c r="DL598" i="4"/>
  <c r="DP594" i="4"/>
  <c r="DO592" i="4"/>
  <c r="DW587" i="4"/>
  <c r="DY578" i="4"/>
  <c r="DU577" i="4"/>
  <c r="DT562" i="4"/>
  <c r="DN561" i="4"/>
  <c r="DL559" i="4"/>
  <c r="DV557" i="4"/>
  <c r="DM551" i="4"/>
  <c r="EA549" i="4"/>
  <c r="DL548" i="4"/>
  <c r="DS545" i="4"/>
  <c r="DP540" i="4"/>
  <c r="DQ530" i="4"/>
  <c r="DM530" i="4"/>
  <c r="CY522" i="4"/>
  <c r="EA522" i="4" s="1"/>
  <c r="DX513" i="4"/>
  <c r="DO507" i="4"/>
  <c r="DM507" i="4"/>
  <c r="DR503" i="4"/>
  <c r="DT502" i="4"/>
  <c r="DO488" i="4"/>
  <c r="DU484" i="4"/>
  <c r="DU474" i="4"/>
  <c r="DL234" i="4"/>
  <c r="DN234" i="4"/>
  <c r="DN653" i="4"/>
  <c r="DV659" i="4"/>
  <c r="DN656" i="4"/>
  <c r="DV641" i="4"/>
  <c r="DM640" i="4"/>
  <c r="DV639" i="4"/>
  <c r="DN639" i="4"/>
  <c r="DU637" i="4"/>
  <c r="DX634" i="4"/>
  <c r="DL634" i="4"/>
  <c r="DP634" i="4"/>
  <c r="DX632" i="4"/>
  <c r="DP632" i="4"/>
  <c r="DO629" i="4"/>
  <c r="DW628" i="4"/>
  <c r="DO628" i="4"/>
  <c r="DL625" i="4"/>
  <c r="DR625" i="4"/>
  <c r="DL624" i="4"/>
  <c r="DL623" i="4"/>
  <c r="DR623" i="4"/>
  <c r="CY622" i="4"/>
  <c r="EA622" i="4" s="1"/>
  <c r="DY679" i="4"/>
  <c r="DQ679" i="4"/>
  <c r="DT678" i="4"/>
  <c r="DN672" i="4"/>
  <c r="DM670" i="4"/>
  <c r="DM666" i="4"/>
  <c r="DY665" i="4"/>
  <c r="DQ665" i="4"/>
  <c r="DR663" i="4"/>
  <c r="DM662" i="4"/>
  <c r="CY661" i="4"/>
  <c r="EA661" i="4" s="1"/>
  <c r="DS661" i="4"/>
  <c r="DX617" i="4"/>
  <c r="DY616" i="4"/>
  <c r="DM615" i="4"/>
  <c r="DP614" i="4"/>
  <c r="DL613" i="4"/>
  <c r="DR613" i="4"/>
  <c r="DT610" i="4"/>
  <c r="DW607" i="4"/>
  <c r="DW604" i="4"/>
  <c r="DY602" i="4"/>
  <c r="DQ602" i="4"/>
  <c r="DL601" i="4"/>
  <c r="DX592" i="4"/>
  <c r="DV586" i="4"/>
  <c r="DL586" i="4"/>
  <c r="DN586" i="4"/>
  <c r="DQ580" i="4"/>
  <c r="CX577" i="4"/>
  <c r="DZ577" i="4" s="1"/>
  <c r="DO576" i="4"/>
  <c r="DW575" i="4"/>
  <c r="DY570" i="4"/>
  <c r="DQ570" i="4"/>
  <c r="DM568" i="4"/>
  <c r="DO568" i="4"/>
  <c r="DP565" i="4"/>
  <c r="DL565" i="4"/>
  <c r="DM562" i="4"/>
  <c r="DN559" i="4"/>
  <c r="DM557" i="4"/>
  <c r="DS557" i="4"/>
  <c r="DX553" i="4"/>
  <c r="DP553" i="4"/>
  <c r="DL553" i="4"/>
  <c r="DL551" i="4"/>
  <c r="DN551" i="4"/>
  <c r="CY550" i="4"/>
  <c r="EA550" i="4" s="1"/>
  <c r="DW548" i="4"/>
  <c r="DM548" i="4"/>
  <c r="DT546" i="4"/>
  <c r="DY542" i="4"/>
  <c r="DU540" i="4"/>
  <c r="DM539" i="4"/>
  <c r="DO537" i="4"/>
  <c r="DR537" i="4"/>
  <c r="DT535" i="4"/>
  <c r="DV532" i="4"/>
  <c r="DL532" i="4"/>
  <c r="DZ526" i="4"/>
  <c r="DR522" i="4"/>
  <c r="CX521" i="4"/>
  <c r="DZ521" i="4" s="1"/>
  <c r="DR521" i="4"/>
  <c r="DT519" i="4"/>
  <c r="DS518" i="4"/>
  <c r="DN516" i="4"/>
  <c r="DV515" i="4"/>
  <c r="DL515" i="4"/>
  <c r="EA505" i="4"/>
  <c r="CY505" i="4"/>
  <c r="DW503" i="4"/>
  <c r="DO503" i="4"/>
  <c r="DY502" i="4"/>
  <c r="DQ502" i="4"/>
  <c r="DM502" i="4"/>
  <c r="CY485" i="4"/>
  <c r="DR485" i="4"/>
  <c r="DW481" i="4"/>
  <c r="DM481" i="4"/>
  <c r="DQ479" i="4"/>
  <c r="CY473" i="4"/>
  <c r="EA473" i="4" s="1"/>
  <c r="DM471" i="4"/>
  <c r="DO471" i="4"/>
  <c r="DP470" i="4"/>
  <c r="DL470" i="4"/>
  <c r="CY455" i="4"/>
  <c r="EA455" i="4" s="1"/>
  <c r="DM452" i="4"/>
  <c r="DW451" i="4"/>
  <c r="DM451" i="4"/>
  <c r="DO451" i="4"/>
  <c r="DS450" i="4"/>
  <c r="DM449" i="4"/>
  <c r="DX430" i="4"/>
  <c r="DP430" i="4"/>
  <c r="DM414" i="4"/>
  <c r="DO414" i="4"/>
  <c r="DX401" i="4"/>
  <c r="DP401" i="4"/>
  <c r="DP385" i="4"/>
  <c r="DL385" i="4"/>
  <c r="CY383" i="4"/>
  <c r="EA383" i="4" s="1"/>
  <c r="CX378" i="4"/>
  <c r="DZ378" i="4"/>
  <c r="DP370" i="4"/>
  <c r="DL370" i="4"/>
  <c r="DZ369" i="4"/>
  <c r="DU345" i="4"/>
  <c r="DM345" i="4"/>
  <c r="DL306" i="4"/>
  <c r="DN306" i="4"/>
  <c r="DM620" i="4"/>
  <c r="DW615" i="4"/>
  <c r="DO615" i="4"/>
  <c r="DU612" i="4"/>
  <c r="DS609" i="4"/>
  <c r="DY606" i="4"/>
  <c r="DQ606" i="4"/>
  <c r="DR592" i="4"/>
  <c r="DL587" i="4"/>
  <c r="DW583" i="4"/>
  <c r="DO583" i="4"/>
  <c r="DY582" i="4"/>
  <c r="DQ582" i="4"/>
  <c r="DS581" i="4"/>
  <c r="DU580" i="4"/>
  <c r="DM572" i="4"/>
  <c r="DR571" i="4"/>
  <c r="DT570" i="4"/>
  <c r="DV569" i="4"/>
  <c r="DN569" i="4"/>
  <c r="DX568" i="4"/>
  <c r="DP568" i="4"/>
  <c r="DT563" i="4"/>
  <c r="DV562" i="4"/>
  <c r="DL562" i="4"/>
  <c r="DN562" i="4"/>
  <c r="DX561" i="4"/>
  <c r="DP561" i="4"/>
  <c r="DR560" i="4"/>
  <c r="DL555" i="4"/>
  <c r="DW551" i="4"/>
  <c r="DO551" i="4"/>
  <c r="DY550" i="4"/>
  <c r="DQ550" i="4"/>
  <c r="DS549" i="4"/>
  <c r="DU548" i="4"/>
  <c r="DT540" i="4"/>
  <c r="DM540" i="4"/>
  <c r="DR539" i="4"/>
  <c r="DT538" i="4"/>
  <c r="DV537" i="4"/>
  <c r="DN537" i="4"/>
  <c r="DX536" i="4"/>
  <c r="DP536" i="4"/>
  <c r="DX532" i="4"/>
  <c r="DX531" i="4"/>
  <c r="DS530" i="4"/>
  <c r="DM525" i="4"/>
  <c r="DO525" i="4"/>
  <c r="DM524" i="4"/>
  <c r="DP522" i="4"/>
  <c r="DM519" i="4"/>
  <c r="DW511" i="4"/>
  <c r="DO511" i="4"/>
  <c r="DM511" i="4"/>
  <c r="DX508" i="4"/>
  <c r="DQ507" i="4"/>
  <c r="DX506" i="4"/>
  <c r="DX504" i="4"/>
  <c r="DS501" i="4"/>
  <c r="CY499" i="4"/>
  <c r="EA499" i="4" s="1"/>
  <c r="DV498" i="4"/>
  <c r="DP494" i="4"/>
  <c r="DR493" i="4"/>
  <c r="DU489" i="4"/>
  <c r="DS486" i="4"/>
  <c r="DM484" i="4"/>
  <c r="CY480" i="4"/>
  <c r="EA480" i="4" s="1"/>
  <c r="CX479" i="4"/>
  <c r="DZ479" i="4" s="1"/>
  <c r="DW477" i="4"/>
  <c r="DW475" i="4"/>
  <c r="CY475" i="4"/>
  <c r="EA475" i="4" s="1"/>
  <c r="DS473" i="4"/>
  <c r="DS468" i="4"/>
  <c r="DN463" i="4"/>
  <c r="DL463" i="4"/>
  <c r="DM461" i="4"/>
  <c r="DM443" i="4"/>
  <c r="DY442" i="4"/>
  <c r="DQ441" i="4"/>
  <c r="DW439" i="4"/>
  <c r="DM439" i="4"/>
  <c r="DO439" i="4"/>
  <c r="DL433" i="4"/>
  <c r="DW428" i="4"/>
  <c r="DM428" i="4"/>
  <c r="DO428" i="4"/>
  <c r="CY426" i="4"/>
  <c r="EA426" i="4" s="1"/>
  <c r="DU415" i="4"/>
  <c r="DM415" i="4"/>
  <c r="DV412" i="4"/>
  <c r="DR411" i="4"/>
  <c r="CX366" i="4"/>
  <c r="DZ366" i="4" s="1"/>
  <c r="DV355" i="4"/>
  <c r="DN355" i="4"/>
  <c r="DL355" i="4"/>
  <c r="CX348" i="4"/>
  <c r="DZ348" i="4"/>
  <c r="DS329" i="4"/>
  <c r="DM329" i="4"/>
  <c r="DL316" i="4"/>
  <c r="DT316" i="4"/>
  <c r="DO311" i="4"/>
  <c r="DM311" i="4"/>
  <c r="CX541" i="4"/>
  <c r="DZ541" i="4" s="1"/>
  <c r="DW539" i="4"/>
  <c r="DO539" i="4"/>
  <c r="DY538" i="4"/>
  <c r="DQ538" i="4"/>
  <c r="DS537" i="4"/>
  <c r="DU536" i="4"/>
  <c r="DU532" i="4"/>
  <c r="DV521" i="4"/>
  <c r="DN518" i="4"/>
  <c r="DM517" i="4"/>
  <c r="CX513" i="4"/>
  <c r="DZ513" i="4" s="1"/>
  <c r="DU508" i="4"/>
  <c r="DU505" i="4"/>
  <c r="DU504" i="4"/>
  <c r="DN503" i="4"/>
  <c r="DX501" i="4"/>
  <c r="DX500" i="4"/>
  <c r="DX499" i="4"/>
  <c r="DM493" i="4"/>
  <c r="DO493" i="4"/>
  <c r="DM492" i="4"/>
  <c r="CX489" i="4"/>
  <c r="DN485" i="4"/>
  <c r="DL485" i="4"/>
  <c r="DQ483" i="4"/>
  <c r="DW480" i="4"/>
  <c r="DM472" i="4"/>
  <c r="DS470" i="4"/>
  <c r="DQ462" i="4"/>
  <c r="DV460" i="4"/>
  <c r="DP454" i="4"/>
  <c r="DL454" i="4"/>
  <c r="DU453" i="4"/>
  <c r="CY438" i="4"/>
  <c r="EA438" i="4"/>
  <c r="DL436" i="4"/>
  <c r="DN436" i="4"/>
  <c r="DN407" i="4"/>
  <c r="DM405" i="4"/>
  <c r="DO405" i="4"/>
  <c r="DT393" i="4"/>
  <c r="DL393" i="4"/>
  <c r="DM352" i="4"/>
  <c r="DO352" i="4"/>
  <c r="CX351" i="4"/>
  <c r="DZ351" i="4" s="1"/>
  <c r="DX344" i="4"/>
  <c r="DN336" i="4"/>
  <c r="CX336" i="4"/>
  <c r="DZ336" i="4" s="1"/>
  <c r="DO317" i="4"/>
  <c r="DM317" i="4"/>
  <c r="DU257" i="4"/>
  <c r="DM257" i="4"/>
  <c r="DM675" i="4"/>
  <c r="DW670" i="4"/>
  <c r="DO670" i="4"/>
  <c r="DU667" i="4"/>
  <c r="DS664" i="4"/>
  <c r="DY661" i="4"/>
  <c r="DQ661" i="4"/>
  <c r="DM604" i="4"/>
  <c r="DW599" i="4"/>
  <c r="DO599" i="4"/>
  <c r="DU596" i="4"/>
  <c r="DM588" i="4"/>
  <c r="DR587" i="4"/>
  <c r="DT586" i="4"/>
  <c r="DN585" i="4"/>
  <c r="DX584" i="4"/>
  <c r="DP584" i="4"/>
  <c r="DT579" i="4"/>
  <c r="DL578" i="4"/>
  <c r="DN578" i="4"/>
  <c r="DX577" i="4"/>
  <c r="DP577" i="4"/>
  <c r="DR576" i="4"/>
  <c r="DL571" i="4"/>
  <c r="DO567" i="4"/>
  <c r="DY566" i="4"/>
  <c r="DQ566" i="4"/>
  <c r="DS565" i="4"/>
  <c r="DU564" i="4"/>
  <c r="DM556" i="4"/>
  <c r="DR555" i="4"/>
  <c r="DT554" i="4"/>
  <c r="DN553" i="4"/>
  <c r="DX552" i="4"/>
  <c r="DP552" i="4"/>
  <c r="DT547" i="4"/>
  <c r="DL546" i="4"/>
  <c r="DN546" i="4"/>
  <c r="DX545" i="4"/>
  <c r="DP545" i="4"/>
  <c r="DR544" i="4"/>
  <c r="DL539" i="4"/>
  <c r="DO535" i="4"/>
  <c r="DY534" i="4"/>
  <c r="DQ534" i="4"/>
  <c r="DS533" i="4"/>
  <c r="DY528" i="4"/>
  <c r="DX527" i="4"/>
  <c r="DY526" i="4"/>
  <c r="DQ526" i="4"/>
  <c r="DM526" i="4"/>
  <c r="DT522" i="4"/>
  <c r="DW520" i="4"/>
  <c r="DM520" i="4"/>
  <c r="DL519" i="4"/>
  <c r="DY515" i="4"/>
  <c r="DT508" i="4"/>
  <c r="DL502" i="4"/>
  <c r="DO501" i="4"/>
  <c r="DS497" i="4"/>
  <c r="DV493" i="4"/>
  <c r="DV492" i="4"/>
  <c r="DL492" i="4"/>
  <c r="DL491" i="4"/>
  <c r="DM488" i="4"/>
  <c r="DT487" i="4"/>
  <c r="DS477" i="4"/>
  <c r="DU471" i="4"/>
  <c r="DM470" i="4"/>
  <c r="DO468" i="4"/>
  <c r="DL461" i="4"/>
  <c r="DN461" i="4"/>
  <c r="DY457" i="4"/>
  <c r="CX445" i="4"/>
  <c r="DZ445" i="4" s="1"/>
  <c r="DU441" i="4"/>
  <c r="DM441" i="4"/>
  <c r="DQ438" i="4"/>
  <c r="DT434" i="4"/>
  <c r="DL434" i="4"/>
  <c r="DM431" i="4"/>
  <c r="DU431" i="4"/>
  <c r="DL425" i="4"/>
  <c r="CX412" i="4"/>
  <c r="DZ412" i="4" s="1"/>
  <c r="EA410" i="4"/>
  <c r="CY410" i="4"/>
  <c r="DM406" i="4"/>
  <c r="DU406" i="4"/>
  <c r="DV403" i="4"/>
  <c r="DL403" i="4"/>
  <c r="DN403" i="4"/>
  <c r="DL401" i="4"/>
  <c r="DN401" i="4"/>
  <c r="DR396" i="4"/>
  <c r="DW384" i="4"/>
  <c r="DO384" i="4"/>
  <c r="DM384" i="4"/>
  <c r="CX331" i="4"/>
  <c r="DZ331" i="4" s="1"/>
  <c r="DM296" i="4"/>
  <c r="DO296" i="4"/>
  <c r="DO292" i="4"/>
  <c r="DM292" i="4"/>
  <c r="CX288" i="4"/>
  <c r="DZ288" i="4" s="1"/>
  <c r="EA269" i="4"/>
  <c r="CY269" i="4"/>
  <c r="DM264" i="4"/>
  <c r="DO264" i="4"/>
  <c r="DM663" i="4"/>
  <c r="DW619" i="4"/>
  <c r="DO619" i="4"/>
  <c r="DU616" i="4"/>
  <c r="DS613" i="4"/>
  <c r="DY610" i="4"/>
  <c r="DQ610" i="4"/>
  <c r="DU592" i="4"/>
  <c r="DM584" i="4"/>
  <c r="DR583" i="4"/>
  <c r="DT582" i="4"/>
  <c r="DV581" i="4"/>
  <c r="DN581" i="4"/>
  <c r="DX580" i="4"/>
  <c r="DP580" i="4"/>
  <c r="DT575" i="4"/>
  <c r="DV574" i="4"/>
  <c r="DL574" i="4"/>
  <c r="DN574" i="4"/>
  <c r="DX573" i="4"/>
  <c r="DP573" i="4"/>
  <c r="DR572" i="4"/>
  <c r="DL567" i="4"/>
  <c r="DW563" i="4"/>
  <c r="DO563" i="4"/>
  <c r="DY562" i="4"/>
  <c r="DQ562" i="4"/>
  <c r="DS561" i="4"/>
  <c r="DU560" i="4"/>
  <c r="DM552" i="4"/>
  <c r="DR551" i="4"/>
  <c r="DT550" i="4"/>
  <c r="DV549" i="4"/>
  <c r="DN549" i="4"/>
  <c r="DX548" i="4"/>
  <c r="DP548" i="4"/>
  <c r="DT543" i="4"/>
  <c r="DV542" i="4"/>
  <c r="DL542" i="4"/>
  <c r="DN542" i="4"/>
  <c r="DX541" i="4"/>
  <c r="DP541" i="4"/>
  <c r="DR540" i="4"/>
  <c r="DL535" i="4"/>
  <c r="CY531" i="4"/>
  <c r="EA531" i="4" s="1"/>
  <c r="DV530" i="4"/>
  <c r="DP526" i="4"/>
  <c r="DN520" i="4"/>
  <c r="DW516" i="4"/>
  <c r="DM516" i="4"/>
  <c r="DP513" i="4"/>
  <c r="DQ512" i="4"/>
  <c r="DS509" i="4"/>
  <c r="DT507" i="4"/>
  <c r="DS505" i="4"/>
  <c r="DT503" i="4"/>
  <c r="DL501" i="4"/>
  <c r="DV500" i="4"/>
  <c r="DL500" i="4"/>
  <c r="DN499" i="4"/>
  <c r="DY498" i="4"/>
  <c r="DQ498" i="4"/>
  <c r="DM498" i="4"/>
  <c r="CY497" i="4"/>
  <c r="EA497" i="4" s="1"/>
  <c r="DR497" i="4"/>
  <c r="DR495" i="4"/>
  <c r="DL486" i="4"/>
  <c r="DR484" i="4"/>
  <c r="DO483" i="4"/>
  <c r="DM483" i="4"/>
  <c r="DM474" i="4"/>
  <c r="DQ474" i="4"/>
  <c r="DS466" i="4"/>
  <c r="DN459" i="4"/>
  <c r="DL459" i="4"/>
  <c r="DU458" i="4"/>
  <c r="DM456" i="4"/>
  <c r="DO456" i="4"/>
  <c r="DW450" i="4"/>
  <c r="DO450" i="4"/>
  <c r="DM450" i="4"/>
  <c r="DT449" i="4"/>
  <c r="DL449" i="4"/>
  <c r="CX443" i="4"/>
  <c r="DZ443" i="4" s="1"/>
  <c r="DV437" i="4"/>
  <c r="DL437" i="4"/>
  <c r="DN437" i="4"/>
  <c r="DM433" i="4"/>
  <c r="DV417" i="4"/>
  <c r="DN417" i="4"/>
  <c r="DL417" i="4"/>
  <c r="DM411" i="4"/>
  <c r="DU411" i="4"/>
  <c r="CX404" i="4"/>
  <c r="DZ404" i="4"/>
  <c r="DR404" i="4"/>
  <c r="DQ399" i="4"/>
  <c r="DM399" i="4"/>
  <c r="DV398" i="4"/>
  <c r="DL398" i="4"/>
  <c r="DN398" i="4"/>
  <c r="DN388" i="4"/>
  <c r="DL388" i="4"/>
  <c r="CX382" i="4"/>
  <c r="DZ382" i="4" s="1"/>
  <c r="CY378" i="4"/>
  <c r="CY359" i="4"/>
  <c r="EA359" i="4" s="1"/>
  <c r="DV342" i="4"/>
  <c r="DL342" i="4"/>
  <c r="CY286" i="4"/>
  <c r="EA286" i="4" s="1"/>
  <c r="DS277" i="4"/>
  <c r="DM277" i="4"/>
  <c r="DP272" i="4"/>
  <c r="DL272" i="4"/>
  <c r="DM532" i="4"/>
  <c r="DW527" i="4"/>
  <c r="DO527" i="4"/>
  <c r="DU524" i="4"/>
  <c r="DS521" i="4"/>
  <c r="DY518" i="4"/>
  <c r="DQ518" i="4"/>
  <c r="DM500" i="4"/>
  <c r="DW495" i="4"/>
  <c r="DO495" i="4"/>
  <c r="DU492" i="4"/>
  <c r="DX488" i="4"/>
  <c r="DP488" i="4"/>
  <c r="DS479" i="4"/>
  <c r="DQ475" i="4"/>
  <c r="DY470" i="4"/>
  <c r="DQ470" i="4"/>
  <c r="DU469" i="4"/>
  <c r="DO467" i="4"/>
  <c r="DT466" i="4"/>
  <c r="DL466" i="4"/>
  <c r="DL465" i="4"/>
  <c r="DO463" i="4"/>
  <c r="DS462" i="4"/>
  <c r="DT460" i="4"/>
  <c r="DL457" i="4"/>
  <c r="DV456" i="4"/>
  <c r="DL456" i="4"/>
  <c r="DY455" i="4"/>
  <c r="DQ455" i="4"/>
  <c r="DM454" i="4"/>
  <c r="DY452" i="4"/>
  <c r="DV451" i="4"/>
  <c r="DN451" i="4"/>
  <c r="DL451" i="4"/>
  <c r="DX450" i="4"/>
  <c r="DP450" i="4"/>
  <c r="DU449" i="4"/>
  <c r="DT448" i="4"/>
  <c r="DT445" i="4"/>
  <c r="DQ444" i="4"/>
  <c r="DS441" i="4"/>
  <c r="DU439" i="4"/>
  <c r="DX438" i="4"/>
  <c r="DP438" i="4"/>
  <c r="DL438" i="4"/>
  <c r="DS434" i="4"/>
  <c r="DU433" i="4"/>
  <c r="DQ430" i="4"/>
  <c r="DT429" i="4"/>
  <c r="DU425" i="4"/>
  <c r="DU423" i="4"/>
  <c r="DU421" i="4"/>
  <c r="DV419" i="4"/>
  <c r="DO416" i="4"/>
  <c r="DM416" i="4"/>
  <c r="DN415" i="4"/>
  <c r="DV414" i="4"/>
  <c r="DL414" i="4"/>
  <c r="DN409" i="4"/>
  <c r="DV406" i="4"/>
  <c r="DZ395" i="4"/>
  <c r="DR395" i="4"/>
  <c r="DV389" i="4"/>
  <c r="DL389" i="4"/>
  <c r="DN389" i="4"/>
  <c r="DW385" i="4"/>
  <c r="DO370" i="4"/>
  <c r="DM370" i="4"/>
  <c r="CX363" i="4"/>
  <c r="DZ363" i="4" s="1"/>
  <c r="DP359" i="4"/>
  <c r="CY353" i="4"/>
  <c r="DN344" i="4"/>
  <c r="DN324" i="4"/>
  <c r="DL324" i="4"/>
  <c r="CY302" i="4"/>
  <c r="CY300" i="4"/>
  <c r="EA300" i="4" s="1"/>
  <c r="DM528" i="4"/>
  <c r="DW523" i="4"/>
  <c r="DO523" i="4"/>
  <c r="DU520" i="4"/>
  <c r="DS517" i="4"/>
  <c r="DY514" i="4"/>
  <c r="DQ514" i="4"/>
  <c r="DM496" i="4"/>
  <c r="DW491" i="4"/>
  <c r="DO491" i="4"/>
  <c r="DV489" i="4"/>
  <c r="DN489" i="4"/>
  <c r="DU488" i="4"/>
  <c r="DT486" i="4"/>
  <c r="DW482" i="4"/>
  <c r="DR477" i="4"/>
  <c r="DW476" i="4"/>
  <c r="DM476" i="4"/>
  <c r="DQ473" i="4"/>
  <c r="DO472" i="4"/>
  <c r="DL468" i="4"/>
  <c r="DY466" i="4"/>
  <c r="DX464" i="4"/>
  <c r="DY460" i="4"/>
  <c r="DQ460" i="4"/>
  <c r="DW457" i="4"/>
  <c r="DM457" i="4"/>
  <c r="DO457" i="4"/>
  <c r="DS456" i="4"/>
  <c r="DL455" i="4"/>
  <c r="DL452" i="4"/>
  <c r="DN452" i="4"/>
  <c r="DS451" i="4"/>
  <c r="DQ448" i="4"/>
  <c r="DW447" i="4"/>
  <c r="DM447" i="4"/>
  <c r="DO447" i="4"/>
  <c r="DS446" i="4"/>
  <c r="DM437" i="4"/>
  <c r="DQ437" i="4"/>
  <c r="DU436" i="4"/>
  <c r="DS431" i="4"/>
  <c r="DQ429" i="4"/>
  <c r="DQ427" i="4"/>
  <c r="DU426" i="4"/>
  <c r="DR425" i="4"/>
  <c r="DP424" i="4"/>
  <c r="CX423" i="4"/>
  <c r="DZ423" i="4" s="1"/>
  <c r="DX422" i="4"/>
  <c r="CX418" i="4"/>
  <c r="DZ418" i="4" s="1"/>
  <c r="DS415" i="4"/>
  <c r="DQ412" i="4"/>
  <c r="DN404" i="4"/>
  <c r="CY402" i="4"/>
  <c r="EA402" i="4" s="1"/>
  <c r="DM392" i="4"/>
  <c r="DP391" i="4"/>
  <c r="DR388" i="4"/>
  <c r="DV387" i="4"/>
  <c r="DN387" i="4"/>
  <c r="DL387" i="4"/>
  <c r="CX373" i="4"/>
  <c r="DZ373" i="4" s="1"/>
  <c r="DM371" i="4"/>
  <c r="DL357" i="4"/>
  <c r="DP357" i="4"/>
  <c r="DW356" i="4"/>
  <c r="DS354" i="4"/>
  <c r="DM354" i="4"/>
  <c r="CY341" i="4"/>
  <c r="EA341" i="4" s="1"/>
  <c r="DL340" i="4"/>
  <c r="DN340" i="4"/>
  <c r="DM299" i="4"/>
  <c r="DO299" i="4"/>
  <c r="DU288" i="4"/>
  <c r="DR481" i="4"/>
  <c r="DQ480" i="4"/>
  <c r="DW479" i="4"/>
  <c r="DM479" i="4"/>
  <c r="DO479" i="4"/>
  <c r="DS478" i="4"/>
  <c r="DM469" i="4"/>
  <c r="DQ469" i="4"/>
  <c r="DU468" i="4"/>
  <c r="CY465" i="4"/>
  <c r="EA465" i="4" s="1"/>
  <c r="DS463" i="4"/>
  <c r="DW462" i="4"/>
  <c r="DM462" i="4"/>
  <c r="DO462" i="4"/>
  <c r="DT461" i="4"/>
  <c r="DP460" i="4"/>
  <c r="DM458" i="4"/>
  <c r="DU455" i="4"/>
  <c r="DM453" i="4"/>
  <c r="DV447" i="4"/>
  <c r="DN447" i="4"/>
  <c r="CX446" i="4"/>
  <c r="DZ446" i="4" s="1"/>
  <c r="DR446" i="4"/>
  <c r="DU444" i="4"/>
  <c r="DU440" i="4"/>
  <c r="DY433" i="4"/>
  <c r="DQ433" i="4"/>
  <c r="DV432" i="4"/>
  <c r="DL432" i="4"/>
  <c r="DN432" i="4"/>
  <c r="CX431" i="4"/>
  <c r="DU430" i="4"/>
  <c r="DY425" i="4"/>
  <c r="DQ423" i="4"/>
  <c r="DM423" i="4"/>
  <c r="CX415" i="4"/>
  <c r="DZ415" i="4" s="1"/>
  <c r="CX406" i="4"/>
  <c r="DZ406" i="4" s="1"/>
  <c r="DP396" i="4"/>
  <c r="DV395" i="4"/>
  <c r="CX377" i="4"/>
  <c r="DZ377" i="4" s="1"/>
  <c r="DR377" i="4"/>
  <c r="DV367" i="4"/>
  <c r="DL367" i="4"/>
  <c r="DN367" i="4"/>
  <c r="CX365" i="4"/>
  <c r="DZ365" i="4" s="1"/>
  <c r="DR365" i="4"/>
  <c r="DV336" i="4"/>
  <c r="DX331" i="4"/>
  <c r="DM291" i="4"/>
  <c r="DO291" i="4"/>
  <c r="DQ278" i="4"/>
  <c r="DM278" i="4"/>
  <c r="DM250" i="4"/>
  <c r="DN125" i="4"/>
  <c r="DL125" i="4"/>
  <c r="DW531" i="4"/>
  <c r="DO531" i="4"/>
  <c r="DU528" i="4"/>
  <c r="DS525" i="4"/>
  <c r="DY522" i="4"/>
  <c r="DQ522" i="4"/>
  <c r="DM504" i="4"/>
  <c r="DW499" i="4"/>
  <c r="DO499" i="4"/>
  <c r="DU496" i="4"/>
  <c r="DS493" i="4"/>
  <c r="DY490" i="4"/>
  <c r="DQ490" i="4"/>
  <c r="DV479" i="4"/>
  <c r="DN479" i="4"/>
  <c r="CX478" i="4"/>
  <c r="DZ478" i="4" s="1"/>
  <c r="DR478" i="4"/>
  <c r="DU476" i="4"/>
  <c r="DR474" i="4"/>
  <c r="DU472" i="4"/>
  <c r="DQ471" i="4"/>
  <c r="DY465" i="4"/>
  <c r="DV464" i="4"/>
  <c r="DL464" i="4"/>
  <c r="DN464" i="4"/>
  <c r="DS461" i="4"/>
  <c r="DM460" i="4"/>
  <c r="DY456" i="4"/>
  <c r="DY451" i="4"/>
  <c r="DW448" i="4"/>
  <c r="DW445" i="4"/>
  <c r="DO445" i="4"/>
  <c r="DM442" i="4"/>
  <c r="DL439" i="4"/>
  <c r="DS436" i="4"/>
  <c r="DZ431" i="4"/>
  <c r="CX430" i="4"/>
  <c r="DZ430" i="4" s="1"/>
  <c r="DW429" i="4"/>
  <c r="DM429" i="4"/>
  <c r="DT428" i="4"/>
  <c r="DW427" i="4"/>
  <c r="DS426" i="4"/>
  <c r="DV424" i="4"/>
  <c r="DN424" i="4"/>
  <c r="DL424" i="4"/>
  <c r="DL422" i="4"/>
  <c r="DX420" i="4"/>
  <c r="DL368" i="4"/>
  <c r="DN368" i="4"/>
  <c r="DS342" i="4"/>
  <c r="DM342" i="4"/>
  <c r="CX328" i="4"/>
  <c r="DZ328" i="4" s="1"/>
  <c r="DR328" i="4"/>
  <c r="DS285" i="4"/>
  <c r="DM285" i="4"/>
  <c r="CX252" i="4"/>
  <c r="DZ252" i="4" s="1"/>
  <c r="CY237" i="4"/>
  <c r="EA237" i="4" s="1"/>
  <c r="DL476" i="4"/>
  <c r="DV471" i="4"/>
  <c r="DN471" i="4"/>
  <c r="DT468" i="4"/>
  <c r="DR465" i="4"/>
  <c r="DX462" i="4"/>
  <c r="DP462" i="4"/>
  <c r="DL444" i="4"/>
  <c r="DV439" i="4"/>
  <c r="DN439" i="4"/>
  <c r="DT436" i="4"/>
  <c r="DR433" i="4"/>
  <c r="DL429" i="4"/>
  <c r="DV428" i="4"/>
  <c r="DN428" i="4"/>
  <c r="DL428" i="4"/>
  <c r="DT425" i="4"/>
  <c r="DT424" i="4"/>
  <c r="DP423" i="4"/>
  <c r="DT420" i="4"/>
  <c r="DT419" i="4"/>
  <c r="CX413" i="4"/>
  <c r="DZ413" i="4" s="1"/>
  <c r="CX410" i="4"/>
  <c r="DZ410" i="4" s="1"/>
  <c r="DR410" i="4"/>
  <c r="DT409" i="4"/>
  <c r="DT406" i="4"/>
  <c r="DU405" i="4"/>
  <c r="DT404" i="4"/>
  <c r="DS402" i="4"/>
  <c r="DS399" i="4"/>
  <c r="DR394" i="4"/>
  <c r="DM389" i="4"/>
  <c r="DO389" i="4"/>
  <c r="DT386" i="4"/>
  <c r="DL386" i="4"/>
  <c r="DQ385" i="4"/>
  <c r="DV384" i="4"/>
  <c r="DL384" i="4"/>
  <c r="DN384" i="4"/>
  <c r="DO380" i="4"/>
  <c r="DM380" i="4"/>
  <c r="DX379" i="4"/>
  <c r="DQ377" i="4"/>
  <c r="CY376" i="4"/>
  <c r="EA376" i="4" s="1"/>
  <c r="DP371" i="4"/>
  <c r="DL362" i="4"/>
  <c r="DP362" i="4"/>
  <c r="DY359" i="4"/>
  <c r="DO357" i="4"/>
  <c r="DN356" i="4"/>
  <c r="DV338" i="4"/>
  <c r="DN338" i="4"/>
  <c r="DL338" i="4"/>
  <c r="DO327" i="4"/>
  <c r="DM327" i="4"/>
  <c r="DV323" i="4"/>
  <c r="DL323" i="4"/>
  <c r="DN323" i="4"/>
  <c r="DP313" i="4"/>
  <c r="DL313" i="4"/>
  <c r="DL305" i="4"/>
  <c r="DR305" i="4"/>
  <c r="DM301" i="4"/>
  <c r="DQ301" i="4"/>
  <c r="DN293" i="4"/>
  <c r="DL293" i="4"/>
  <c r="DR276" i="4"/>
  <c r="DX273" i="4"/>
  <c r="DP273" i="4"/>
  <c r="CY258" i="4"/>
  <c r="EA258" i="4" s="1"/>
  <c r="DS254" i="4"/>
  <c r="DM254" i="4"/>
  <c r="DY236" i="4"/>
  <c r="DL472" i="4"/>
  <c r="DV467" i="4"/>
  <c r="DN467" i="4"/>
  <c r="DT464" i="4"/>
  <c r="DR461" i="4"/>
  <c r="DX458" i="4"/>
  <c r="DP458" i="4"/>
  <c r="DL440" i="4"/>
  <c r="DV435" i="4"/>
  <c r="DN435" i="4"/>
  <c r="DT432" i="4"/>
  <c r="CX427" i="4"/>
  <c r="DZ427" i="4" s="1"/>
  <c r="DY420" i="4"/>
  <c r="DR417" i="4"/>
  <c r="DQ415" i="4"/>
  <c r="DY412" i="4"/>
  <c r="DW410" i="4"/>
  <c r="DQ407" i="4"/>
  <c r="CX405" i="4"/>
  <c r="DZ405" i="4" s="1"/>
  <c r="DP402" i="4"/>
  <c r="DQ400" i="4"/>
  <c r="DT398" i="4"/>
  <c r="DY397" i="4"/>
  <c r="DV396" i="4"/>
  <c r="DL396" i="4"/>
  <c r="DY395" i="4"/>
  <c r="DQ395" i="4"/>
  <c r="DM395" i="4"/>
  <c r="DM394" i="4"/>
  <c r="DW392" i="4"/>
  <c r="DO392" i="4"/>
  <c r="DT391" i="4"/>
  <c r="DL391" i="4"/>
  <c r="DV390" i="4"/>
  <c r="DY388" i="4"/>
  <c r="DT387" i="4"/>
  <c r="DN385" i="4"/>
  <c r="DL383" i="4"/>
  <c r="DL372" i="4"/>
  <c r="DX348" i="4"/>
  <c r="DQ347" i="4"/>
  <c r="DX341" i="4"/>
  <c r="DP341" i="4"/>
  <c r="EA335" i="4"/>
  <c r="DR335" i="4"/>
  <c r="DP326" i="4"/>
  <c r="DL326" i="4"/>
  <c r="DO303" i="4"/>
  <c r="DM303" i="4"/>
  <c r="DY271" i="4"/>
  <c r="DN269" i="4"/>
  <c r="DL269" i="4"/>
  <c r="DW248" i="4"/>
  <c r="DM248" i="4"/>
  <c r="DO248" i="4"/>
  <c r="CY217" i="4"/>
  <c r="EA217" i="4" s="1"/>
  <c r="CY214" i="4"/>
  <c r="CY212" i="4"/>
  <c r="EA212" i="4" s="1"/>
  <c r="DM202" i="4"/>
  <c r="DN163" i="4"/>
  <c r="DL163" i="4"/>
  <c r="CX146" i="4"/>
  <c r="DZ146" i="4" s="1"/>
  <c r="DL106" i="4"/>
  <c r="DN106" i="4"/>
  <c r="DX478" i="4"/>
  <c r="DP478" i="4"/>
  <c r="DL460" i="4"/>
  <c r="DV455" i="4"/>
  <c r="DN455" i="4"/>
  <c r="DT452" i="4"/>
  <c r="DR449" i="4"/>
  <c r="DX446" i="4"/>
  <c r="DP446" i="4"/>
  <c r="DR430" i="4"/>
  <c r="DR429" i="4"/>
  <c r="DX426" i="4"/>
  <c r="DP426" i="4"/>
  <c r="DV422" i="4"/>
  <c r="DM421" i="4"/>
  <c r="DO421" i="4"/>
  <c r="DP420" i="4"/>
  <c r="DX419" i="4"/>
  <c r="DP418" i="4"/>
  <c r="DY417" i="4"/>
  <c r="DP415" i="4"/>
  <c r="DP412" i="4"/>
  <c r="DQ408" i="4"/>
  <c r="DP407" i="4"/>
  <c r="DX404" i="4"/>
  <c r="DP404" i="4"/>
  <c r="CY403" i="4"/>
  <c r="EA403" i="4" s="1"/>
  <c r="DO402" i="4"/>
  <c r="DX397" i="4"/>
  <c r="DP397" i="4"/>
  <c r="DX395" i="4"/>
  <c r="DV394" i="4"/>
  <c r="DL394" i="4"/>
  <c r="DN394" i="4"/>
  <c r="DN392" i="4"/>
  <c r="DP388" i="4"/>
  <c r="DP386" i="4"/>
  <c r="DP382" i="4"/>
  <c r="DS380" i="4"/>
  <c r="DV375" i="4"/>
  <c r="DL375" i="4"/>
  <c r="DN375" i="4"/>
  <c r="DX366" i="4"/>
  <c r="DP366" i="4"/>
  <c r="DX363" i="4"/>
  <c r="DP363" i="4"/>
  <c r="DT362" i="4"/>
  <c r="DZ361" i="4"/>
  <c r="CX361" i="4"/>
  <c r="DN360" i="4"/>
  <c r="DL360" i="4"/>
  <c r="CX358" i="4"/>
  <c r="DZ358" i="4" s="1"/>
  <c r="DY334" i="4"/>
  <c r="DM334" i="4"/>
  <c r="DQ334" i="4"/>
  <c r="DY330" i="4"/>
  <c r="DM330" i="4"/>
  <c r="DQ330" i="4"/>
  <c r="CY316" i="4"/>
  <c r="DY306" i="4"/>
  <c r="DL303" i="4"/>
  <c r="CX300" i="4"/>
  <c r="DZ300" i="4" s="1"/>
  <c r="DR300" i="4"/>
  <c r="DQ266" i="4"/>
  <c r="DM266" i="4"/>
  <c r="DL243" i="4"/>
  <c r="DP243" i="4"/>
  <c r="DL218" i="4"/>
  <c r="DN218" i="4"/>
  <c r="CX217" i="4"/>
  <c r="CX179" i="4"/>
  <c r="DZ179" i="4" s="1"/>
  <c r="DL480" i="4"/>
  <c r="DV475" i="4"/>
  <c r="DN475" i="4"/>
  <c r="DT472" i="4"/>
  <c r="DR469" i="4"/>
  <c r="DX466" i="4"/>
  <c r="DP466" i="4"/>
  <c r="DL448" i="4"/>
  <c r="DV443" i="4"/>
  <c r="DN443" i="4"/>
  <c r="DT440" i="4"/>
  <c r="DR437" i="4"/>
  <c r="DX434" i="4"/>
  <c r="DP434" i="4"/>
  <c r="DX427" i="4"/>
  <c r="DP427" i="4"/>
  <c r="DS423" i="4"/>
  <c r="DV421" i="4"/>
  <c r="DL421" i="4"/>
  <c r="DP417" i="4"/>
  <c r="DX414" i="4"/>
  <c r="DM413" i="4"/>
  <c r="DM412" i="4"/>
  <c r="DV411" i="4"/>
  <c r="DW409" i="4"/>
  <c r="DM409" i="4"/>
  <c r="DX405" i="4"/>
  <c r="DW404" i="4"/>
  <c r="DO404" i="4"/>
  <c r="DM404" i="4"/>
  <c r="DR403" i="4"/>
  <c r="DN402" i="4"/>
  <c r="DR401" i="4"/>
  <c r="DL399" i="4"/>
  <c r="DN399" i="4"/>
  <c r="DM397" i="4"/>
  <c r="DO397" i="4"/>
  <c r="DM391" i="4"/>
  <c r="DM382" i="4"/>
  <c r="DO382" i="4"/>
  <c r="DT377" i="4"/>
  <c r="DT372" i="4"/>
  <c r="DT361" i="4"/>
  <c r="DT359" i="4"/>
  <c r="DY350" i="4"/>
  <c r="DQ350" i="4"/>
  <c r="DM350" i="4"/>
  <c r="DW347" i="4"/>
  <c r="DO347" i="4"/>
  <c r="DM347" i="4"/>
  <c r="DQ346" i="4"/>
  <c r="DM346" i="4"/>
  <c r="DR344" i="4"/>
  <c r="DL341" i="4"/>
  <c r="DM339" i="4"/>
  <c r="DM337" i="4"/>
  <c r="DX334" i="4"/>
  <c r="DP334" i="4"/>
  <c r="DN322" i="4"/>
  <c r="DL322" i="4"/>
  <c r="DL319" i="4"/>
  <c r="DN319" i="4"/>
  <c r="DS313" i="4"/>
  <c r="DM313" i="4"/>
  <c r="CX297" i="4"/>
  <c r="DZ297" i="4" s="1"/>
  <c r="DY294" i="4"/>
  <c r="CX280" i="4"/>
  <c r="DZ280" i="4" s="1"/>
  <c r="DU276" i="4"/>
  <c r="DO243" i="4"/>
  <c r="DM243" i="4"/>
  <c r="DL215" i="4"/>
  <c r="DN215" i="4"/>
  <c r="DU207" i="4"/>
  <c r="DM207" i="4"/>
  <c r="DM422" i="4"/>
  <c r="DS422" i="4"/>
  <c r="DY419" i="4"/>
  <c r="DQ419" i="4"/>
  <c r="DL407" i="4"/>
  <c r="DL402" i="4"/>
  <c r="DM401" i="4"/>
  <c r="DW396" i="4"/>
  <c r="DO396" i="4"/>
  <c r="DU393" i="4"/>
  <c r="DL392" i="4"/>
  <c r="DM390" i="4"/>
  <c r="DS390" i="4"/>
  <c r="DY387" i="4"/>
  <c r="DQ387" i="4"/>
  <c r="DU381" i="4"/>
  <c r="DU379" i="4"/>
  <c r="DM375" i="4"/>
  <c r="DQ375" i="4"/>
  <c r="DW374" i="4"/>
  <c r="DO374" i="4"/>
  <c r="DU373" i="4"/>
  <c r="DM369" i="4"/>
  <c r="DW368" i="4"/>
  <c r="DS366" i="4"/>
  <c r="DY365" i="4"/>
  <c r="DM361" i="4"/>
  <c r="DW360" i="4"/>
  <c r="DM360" i="4"/>
  <c r="DS359" i="4"/>
  <c r="DR354" i="4"/>
  <c r="DM351" i="4"/>
  <c r="DR350" i="4"/>
  <c r="DN349" i="4"/>
  <c r="DL347" i="4"/>
  <c r="DV345" i="4"/>
  <c r="DL345" i="4"/>
  <c r="DN345" i="4"/>
  <c r="DX343" i="4"/>
  <c r="DU340" i="4"/>
  <c r="DT337" i="4"/>
  <c r="DP336" i="4"/>
  <c r="DT333" i="4"/>
  <c r="DM324" i="4"/>
  <c r="DO323" i="4"/>
  <c r="DM323" i="4"/>
  <c r="CX320" i="4"/>
  <c r="DZ320" i="4" s="1"/>
  <c r="DR320" i="4"/>
  <c r="CX312" i="4"/>
  <c r="DZ312" i="4" s="1"/>
  <c r="DZ304" i="4"/>
  <c r="DR304" i="4"/>
  <c r="DY300" i="4"/>
  <c r="DQ300" i="4"/>
  <c r="DV299" i="4"/>
  <c r="DN299" i="4"/>
  <c r="DL299" i="4"/>
  <c r="DL290" i="4"/>
  <c r="DN290" i="4"/>
  <c r="DL287" i="4"/>
  <c r="DT287" i="4"/>
  <c r="DQ286" i="4"/>
  <c r="DS273" i="4"/>
  <c r="DM273" i="4"/>
  <c r="CX271" i="4"/>
  <c r="DZ271" i="4" s="1"/>
  <c r="DL263" i="4"/>
  <c r="CX244" i="4"/>
  <c r="DZ244" i="4" s="1"/>
  <c r="DU230" i="4"/>
  <c r="DP224" i="4"/>
  <c r="DL224" i="4"/>
  <c r="DQ210" i="4"/>
  <c r="DM210" i="4"/>
  <c r="DL198" i="4"/>
  <c r="DT198" i="4"/>
  <c r="DM417" i="4"/>
  <c r="DW412" i="4"/>
  <c r="DO412" i="4"/>
  <c r="DU409" i="4"/>
  <c r="DS406" i="4"/>
  <c r="DY403" i="4"/>
  <c r="DQ403" i="4"/>
  <c r="CY396" i="4"/>
  <c r="EA396" i="4" s="1"/>
  <c r="DM385" i="4"/>
  <c r="DV383" i="4"/>
  <c r="DN383" i="4"/>
  <c r="DQ381" i="4"/>
  <c r="DL380" i="4"/>
  <c r="DM379" i="4"/>
  <c r="DQ379" i="4"/>
  <c r="DM377" i="4"/>
  <c r="DU375" i="4"/>
  <c r="DQ373" i="4"/>
  <c r="DM367" i="4"/>
  <c r="DM357" i="4"/>
  <c r="DY355" i="4"/>
  <c r="DN354" i="4"/>
  <c r="CX353" i="4"/>
  <c r="DZ353" i="4" s="1"/>
  <c r="DV350" i="4"/>
  <c r="DL350" i="4"/>
  <c r="DN350" i="4"/>
  <c r="CX349" i="4"/>
  <c r="DR349" i="4"/>
  <c r="DM348" i="4"/>
  <c r="DO348" i="4"/>
  <c r="DT347" i="4"/>
  <c r="DL346" i="4"/>
  <c r="DO344" i="4"/>
  <c r="DT343" i="4"/>
  <c r="DU341" i="4"/>
  <c r="DN339" i="4"/>
  <c r="DS338" i="4"/>
  <c r="DX337" i="4"/>
  <c r="DX335" i="4"/>
  <c r="DL334" i="4"/>
  <c r="DN334" i="4"/>
  <c r="CX332" i="4"/>
  <c r="DZ332" i="4" s="1"/>
  <c r="DX330" i="4"/>
  <c r="CY325" i="4"/>
  <c r="EA325" i="4" s="1"/>
  <c r="DS325" i="4"/>
  <c r="DL311" i="4"/>
  <c r="DN311" i="4"/>
  <c r="DM294" i="4"/>
  <c r="CY274" i="4"/>
  <c r="EA274" i="4"/>
  <c r="CX266" i="4"/>
  <c r="DZ266" i="4" s="1"/>
  <c r="CX257" i="4"/>
  <c r="DZ257" i="4" s="1"/>
  <c r="DR257" i="4"/>
  <c r="DL253" i="4"/>
  <c r="DP253" i="4"/>
  <c r="CY242" i="4"/>
  <c r="EA242" i="4" s="1"/>
  <c r="DQ219" i="4"/>
  <c r="DM219" i="4"/>
  <c r="DO178" i="4"/>
  <c r="DM178" i="4"/>
  <c r="DW400" i="4"/>
  <c r="DO400" i="4"/>
  <c r="DU397" i="4"/>
  <c r="DS394" i="4"/>
  <c r="DY391" i="4"/>
  <c r="DQ391" i="4"/>
  <c r="DX378" i="4"/>
  <c r="DP378" i="4"/>
  <c r="DL376" i="4"/>
  <c r="DV371" i="4"/>
  <c r="DL371" i="4"/>
  <c r="DN371" i="4"/>
  <c r="DR369" i="4"/>
  <c r="DT364" i="4"/>
  <c r="CY363" i="4"/>
  <c r="EA363" i="4"/>
  <c r="DR361" i="4"/>
  <c r="DL359" i="4"/>
  <c r="DX358" i="4"/>
  <c r="DU352" i="4"/>
  <c r="DO333" i="4"/>
  <c r="DM333" i="4"/>
  <c r="DR326" i="4"/>
  <c r="DX321" i="4"/>
  <c r="DP321" i="4"/>
  <c r="DL321" i="4"/>
  <c r="DS319" i="4"/>
  <c r="DM318" i="4"/>
  <c r="DQ318" i="4"/>
  <c r="DO315" i="4"/>
  <c r="DM315" i="4"/>
  <c r="DV314" i="4"/>
  <c r="DL314" i="4"/>
  <c r="DN314" i="4"/>
  <c r="DT303" i="4"/>
  <c r="DQ302" i="4"/>
  <c r="DM298" i="4"/>
  <c r="DP293" i="4"/>
  <c r="DT291" i="4"/>
  <c r="DL291" i="4"/>
  <c r="DQ285" i="4"/>
  <c r="CX281" i="4"/>
  <c r="DZ281" i="4"/>
  <c r="CX267" i="4"/>
  <c r="DZ267" i="4"/>
  <c r="DN265" i="4"/>
  <c r="DL265" i="4"/>
  <c r="DM259" i="4"/>
  <c r="DO259" i="4"/>
  <c r="DW420" i="4"/>
  <c r="DO420" i="4"/>
  <c r="DU417" i="4"/>
  <c r="DS414" i="4"/>
  <c r="DY411" i="4"/>
  <c r="DQ411" i="4"/>
  <c r="DM393" i="4"/>
  <c r="DW388" i="4"/>
  <c r="DO388" i="4"/>
  <c r="DU385" i="4"/>
  <c r="DS382" i="4"/>
  <c r="DM381" i="4"/>
  <c r="DT380" i="4"/>
  <c r="DO378" i="4"/>
  <c r="DU377" i="4"/>
  <c r="DM373" i="4"/>
  <c r="DU371" i="4"/>
  <c r="DY369" i="4"/>
  <c r="DY363" i="4"/>
  <c r="DQ363" i="4"/>
  <c r="DY360" i="4"/>
  <c r="DU357" i="4"/>
  <c r="DR356" i="4"/>
  <c r="DO355" i="4"/>
  <c r="DM355" i="4"/>
  <c r="DX353" i="4"/>
  <c r="DP353" i="4"/>
  <c r="DT352" i="4"/>
  <c r="DQ351" i="4"/>
  <c r="CX343" i="4"/>
  <c r="DZ343" i="4"/>
  <c r="DY338" i="4"/>
  <c r="DQ338" i="4"/>
  <c r="DM338" i="4"/>
  <c r="DL337" i="4"/>
  <c r="DV335" i="4"/>
  <c r="DL335" i="4"/>
  <c r="DN335" i="4"/>
  <c r="DN333" i="4"/>
  <c r="DP332" i="4"/>
  <c r="CX330" i="4"/>
  <c r="DZ330" i="4" s="1"/>
  <c r="DQ324" i="4"/>
  <c r="DM322" i="4"/>
  <c r="DQ322" i="4"/>
  <c r="DW321" i="4"/>
  <c r="DO321" i="4"/>
  <c r="DM321" i="4"/>
  <c r="DM319" i="4"/>
  <c r="EA316" i="4"/>
  <c r="DO308" i="4"/>
  <c r="DM306" i="4"/>
  <c r="DQ306" i="4"/>
  <c r="DS303" i="4"/>
  <c r="DS297" i="4"/>
  <c r="DS292" i="4"/>
  <c r="DN289" i="4"/>
  <c r="DL289" i="4"/>
  <c r="DX285" i="4"/>
  <c r="DP285" i="4"/>
  <c r="DW284" i="4"/>
  <c r="DT283" i="4"/>
  <c r="CY282" i="4"/>
  <c r="EA282" i="4" s="1"/>
  <c r="DY281" i="4"/>
  <c r="DQ281" i="4"/>
  <c r="CX277" i="4"/>
  <c r="DZ277" i="4" s="1"/>
  <c r="DO270" i="4"/>
  <c r="DM265" i="4"/>
  <c r="DU265" i="4"/>
  <c r="DL260" i="4"/>
  <c r="DP260" i="4"/>
  <c r="DL255" i="4"/>
  <c r="DN255" i="4"/>
  <c r="DX254" i="4"/>
  <c r="DP254" i="4"/>
  <c r="DL254" i="4"/>
  <c r="CX251" i="4"/>
  <c r="DZ251" i="4" s="1"/>
  <c r="CY249" i="4"/>
  <c r="EA249" i="4" s="1"/>
  <c r="DT247" i="4"/>
  <c r="DT243" i="4"/>
  <c r="DM190" i="4"/>
  <c r="DY358" i="4"/>
  <c r="DQ358" i="4"/>
  <c r="DM340" i="4"/>
  <c r="DY332" i="4"/>
  <c r="DQ332" i="4"/>
  <c r="DM331" i="4"/>
  <c r="DS331" i="4"/>
  <c r="DY328" i="4"/>
  <c r="DQ328" i="4"/>
  <c r="DL327" i="4"/>
  <c r="DY326" i="4"/>
  <c r="DM326" i="4"/>
  <c r="DQ326" i="4"/>
  <c r="DT319" i="4"/>
  <c r="DX317" i="4"/>
  <c r="DP317" i="4"/>
  <c r="DL315" i="4"/>
  <c r="DV310" i="4"/>
  <c r="DL310" i="4"/>
  <c r="DN310" i="4"/>
  <c r="DL308" i="4"/>
  <c r="DX306" i="4"/>
  <c r="DW304" i="4"/>
  <c r="DM304" i="4"/>
  <c r="DO304" i="4"/>
  <c r="DP302" i="4"/>
  <c r="DY298" i="4"/>
  <c r="DX296" i="4"/>
  <c r="DP296" i="4"/>
  <c r="DL296" i="4"/>
  <c r="DL283" i="4"/>
  <c r="DN283" i="4"/>
  <c r="DP282" i="4"/>
  <c r="DW275" i="4"/>
  <c r="DM275" i="4"/>
  <c r="DO275" i="4"/>
  <c r="DY274" i="4"/>
  <c r="DQ274" i="4"/>
  <c r="DY262" i="4"/>
  <c r="DQ262" i="4"/>
  <c r="DM262" i="4"/>
  <c r="DR254" i="4"/>
  <c r="DX249" i="4"/>
  <c r="DP249" i="4"/>
  <c r="DL249" i="4"/>
  <c r="DL248" i="4"/>
  <c r="DP248" i="4"/>
  <c r="DY246" i="4"/>
  <c r="DQ246" i="4"/>
  <c r="DM246" i="4"/>
  <c r="DV245" i="4"/>
  <c r="DN245" i="4"/>
  <c r="DS242" i="4"/>
  <c r="DU228" i="4"/>
  <c r="DU192" i="4"/>
  <c r="CX186" i="4"/>
  <c r="DZ186" i="4" s="1"/>
  <c r="DW363" i="4"/>
  <c r="DO363" i="4"/>
  <c r="DU360" i="4"/>
  <c r="DS357" i="4"/>
  <c r="DY354" i="4"/>
  <c r="DQ354" i="4"/>
  <c r="DM336" i="4"/>
  <c r="DS327" i="4"/>
  <c r="DV326" i="4"/>
  <c r="DN326" i="4"/>
  <c r="DU324" i="4"/>
  <c r="DU322" i="4"/>
  <c r="DS321" i="4"/>
  <c r="DY320" i="4"/>
  <c r="DQ320" i="4"/>
  <c r="DY314" i="4"/>
  <c r="DM314" i="4"/>
  <c r="DQ314" i="4"/>
  <c r="DW313" i="4"/>
  <c r="DO313" i="4"/>
  <c r="DU312" i="4"/>
  <c r="DX301" i="4"/>
  <c r="DV298" i="4"/>
  <c r="DL298" i="4"/>
  <c r="DY297" i="4"/>
  <c r="DQ297" i="4"/>
  <c r="DU296" i="4"/>
  <c r="DY295" i="4"/>
  <c r="DQ295" i="4"/>
  <c r="DW294" i="4"/>
  <c r="DO294" i="4"/>
  <c r="DY290" i="4"/>
  <c r="DQ290" i="4"/>
  <c r="DT288" i="4"/>
  <c r="DM287" i="4"/>
  <c r="DO287" i="4"/>
  <c r="DU281" i="4"/>
  <c r="DM281" i="4"/>
  <c r="DM280" i="4"/>
  <c r="DT278" i="4"/>
  <c r="DP276" i="4"/>
  <c r="DL276" i="4"/>
  <c r="DV274" i="4"/>
  <c r="DN274" i="4"/>
  <c r="DQ263" i="4"/>
  <c r="DS258" i="4"/>
  <c r="DL256" i="4"/>
  <c r="DP256" i="4"/>
  <c r="DY255" i="4"/>
  <c r="DM253" i="4"/>
  <c r="DO253" i="4"/>
  <c r="DY252" i="4"/>
  <c r="DN250" i="4"/>
  <c r="DL250" i="4"/>
  <c r="DV246" i="4"/>
  <c r="DL246" i="4"/>
  <c r="DN246" i="4"/>
  <c r="CX237" i="4"/>
  <c r="DZ237" i="4" s="1"/>
  <c r="DO231" i="4"/>
  <c r="DM231" i="4"/>
  <c r="DM223" i="4"/>
  <c r="DQ223" i="4"/>
  <c r="DU222" i="4"/>
  <c r="DM222" i="4"/>
  <c r="CX154" i="4"/>
  <c r="DZ154" i="4" s="1"/>
  <c r="DM356" i="4"/>
  <c r="DW351" i="4"/>
  <c r="DO351" i="4"/>
  <c r="DU348" i="4"/>
  <c r="DS345" i="4"/>
  <c r="DY342" i="4"/>
  <c r="DQ342" i="4"/>
  <c r="CY335" i="4"/>
  <c r="DU332" i="4"/>
  <c r="DN330" i="4"/>
  <c r="DU326" i="4"/>
  <c r="DX325" i="4"/>
  <c r="DP325" i="4"/>
  <c r="DV318" i="4"/>
  <c r="DL318" i="4"/>
  <c r="DN318" i="4"/>
  <c r="DR316" i="4"/>
  <c r="DT311" i="4"/>
  <c r="DX309" i="4"/>
  <c r="DL307" i="4"/>
  <c r="DX305" i="4"/>
  <c r="DS304" i="4"/>
  <c r="DT302" i="4"/>
  <c r="DP297" i="4"/>
  <c r="DL294" i="4"/>
  <c r="DN294" i="4"/>
  <c r="DS293" i="4"/>
  <c r="DQ289" i="4"/>
  <c r="DM289" i="4"/>
  <c r="DO286" i="4"/>
  <c r="DL285" i="4"/>
  <c r="DM279" i="4"/>
  <c r="DO279" i="4"/>
  <c r="DS278" i="4"/>
  <c r="DV277" i="4"/>
  <c r="DN277" i="4"/>
  <c r="DM276" i="4"/>
  <c r="DN273" i="4"/>
  <c r="DL273" i="4"/>
  <c r="DW271" i="4"/>
  <c r="DM271" i="4"/>
  <c r="DO271" i="4"/>
  <c r="CY261" i="4"/>
  <c r="EA261" i="4" s="1"/>
  <c r="DM256" i="4"/>
  <c r="DP255" i="4"/>
  <c r="DO251" i="4"/>
  <c r="DM251" i="4"/>
  <c r="DT248" i="4"/>
  <c r="CX245" i="4"/>
  <c r="DZ245" i="4" s="1"/>
  <c r="DR245" i="4"/>
  <c r="CY221" i="4"/>
  <c r="EA221" i="4"/>
  <c r="DM218" i="4"/>
  <c r="DQ218" i="4"/>
  <c r="CX212" i="4"/>
  <c r="DZ212" i="4" s="1"/>
  <c r="DR212" i="4"/>
  <c r="DL187" i="4"/>
  <c r="DN187" i="4"/>
  <c r="DL185" i="4"/>
  <c r="DN185" i="4"/>
  <c r="DT184" i="4"/>
  <c r="DL184" i="4"/>
  <c r="DN155" i="4"/>
  <c r="DL155" i="4"/>
  <c r="DM344" i="4"/>
  <c r="DW339" i="4"/>
  <c r="DO339" i="4"/>
  <c r="DU336" i="4"/>
  <c r="DS333" i="4"/>
  <c r="DX329" i="4"/>
  <c r="DP329" i="4"/>
  <c r="DW325" i="4"/>
  <c r="DO325" i="4"/>
  <c r="DM320" i="4"/>
  <c r="DW319" i="4"/>
  <c r="DO319" i="4"/>
  <c r="DU318" i="4"/>
  <c r="DS317" i="4"/>
  <c r="DY316" i="4"/>
  <c r="DQ316" i="4"/>
  <c r="DY310" i="4"/>
  <c r="DM310" i="4"/>
  <c r="DQ310" i="4"/>
  <c r="DW309" i="4"/>
  <c r="DO309" i="4"/>
  <c r="DS308" i="4"/>
  <c r="CX304" i="4"/>
  <c r="DV301" i="4"/>
  <c r="DN301" i="4"/>
  <c r="DL301" i="4"/>
  <c r="DT298" i="4"/>
  <c r="DM295" i="4"/>
  <c r="CY293" i="4"/>
  <c r="EA293" i="4" s="1"/>
  <c r="DX289" i="4"/>
  <c r="DR288" i="4"/>
  <c r="DV286" i="4"/>
  <c r="DL286" i="4"/>
  <c r="DN286" i="4"/>
  <c r="DY283" i="4"/>
  <c r="CX275" i="4"/>
  <c r="DZ275" i="4" s="1"/>
  <c r="DU272" i="4"/>
  <c r="DS266" i="4"/>
  <c r="CX261" i="4"/>
  <c r="DZ261" i="4" s="1"/>
  <c r="DU253" i="4"/>
  <c r="DY247" i="4"/>
  <c r="DM244" i="4"/>
  <c r="DO244" i="4"/>
  <c r="CX242" i="4"/>
  <c r="DZ242" i="4" s="1"/>
  <c r="CX221" i="4"/>
  <c r="DZ221" i="4" s="1"/>
  <c r="DN200" i="4"/>
  <c r="DL200" i="4"/>
  <c r="DW180" i="4"/>
  <c r="DM180" i="4"/>
  <c r="DO180" i="4"/>
  <c r="DR307" i="4"/>
  <c r="DX304" i="4"/>
  <c r="DP304" i="4"/>
  <c r="DS288" i="4"/>
  <c r="DW283" i="4"/>
  <c r="DM283" i="4"/>
  <c r="DO283" i="4"/>
  <c r="DY282" i="4"/>
  <c r="DQ282" i="4"/>
  <c r="DS281" i="4"/>
  <c r="DU280" i="4"/>
  <c r="DM272" i="4"/>
  <c r="DL270" i="4"/>
  <c r="DS268" i="4"/>
  <c r="DR267" i="4"/>
  <c r="DX266" i="4"/>
  <c r="DU264" i="4"/>
  <c r="DY261" i="4"/>
  <c r="DQ261" i="4"/>
  <c r="DM260" i="4"/>
  <c r="DV259" i="4"/>
  <c r="DN259" i="4"/>
  <c r="DT258" i="4"/>
  <c r="DS257" i="4"/>
  <c r="DY251" i="4"/>
  <c r="DX242" i="4"/>
  <c r="DP242" i="4"/>
  <c r="DS241" i="4"/>
  <c r="CY239" i="4"/>
  <c r="EA239" i="4" s="1"/>
  <c r="DS239" i="4"/>
  <c r="DN238" i="4"/>
  <c r="DL235" i="4"/>
  <c r="DN235" i="4"/>
  <c r="DU227" i="4"/>
  <c r="CX216" i="4"/>
  <c r="DZ216" i="4" s="1"/>
  <c r="DR216" i="4"/>
  <c r="DO215" i="4"/>
  <c r="DM215" i="4"/>
  <c r="DQ212" i="4"/>
  <c r="CX191" i="4"/>
  <c r="DZ191" i="4" s="1"/>
  <c r="DR182" i="4"/>
  <c r="DP181" i="4"/>
  <c r="DL181" i="4"/>
  <c r="DS177" i="4"/>
  <c r="DM177" i="4"/>
  <c r="CY173" i="4"/>
  <c r="DN171" i="4"/>
  <c r="CX171" i="4"/>
  <c r="CY168" i="4"/>
  <c r="EA168" i="4" s="1"/>
  <c r="DV161" i="4"/>
  <c r="DL161" i="4"/>
  <c r="DN161" i="4"/>
  <c r="DL130" i="4"/>
  <c r="DN130" i="4"/>
  <c r="CX129" i="4"/>
  <c r="DZ129" i="4" s="1"/>
  <c r="DT306" i="4"/>
  <c r="DR303" i="4"/>
  <c r="DX300" i="4"/>
  <c r="DP300" i="4"/>
  <c r="DP288" i="4"/>
  <c r="DL282" i="4"/>
  <c r="DU279" i="4"/>
  <c r="DW278" i="4"/>
  <c r="DO278" i="4"/>
  <c r="DY277" i="4"/>
  <c r="DQ277" i="4"/>
  <c r="DS276" i="4"/>
  <c r="DU271" i="4"/>
  <c r="DX268" i="4"/>
  <c r="DL268" i="4"/>
  <c r="DP268" i="4"/>
  <c r="DW267" i="4"/>
  <c r="DM267" i="4"/>
  <c r="DO267" i="4"/>
  <c r="DW262" i="4"/>
  <c r="DO262" i="4"/>
  <c r="DV261" i="4"/>
  <c r="DN261" i="4"/>
  <c r="DY258" i="4"/>
  <c r="DQ258" i="4"/>
  <c r="DT255" i="4"/>
  <c r="DN254" i="4"/>
  <c r="DQ252" i="4"/>
  <c r="DV251" i="4"/>
  <c r="DN251" i="4"/>
  <c r="DR250" i="4"/>
  <c r="DP241" i="4"/>
  <c r="DX237" i="4"/>
  <c r="DS231" i="4"/>
  <c r="DR227" i="4"/>
  <c r="DO224" i="4"/>
  <c r="DM216" i="4"/>
  <c r="DO216" i="4"/>
  <c r="DT215" i="4"/>
  <c r="DS214" i="4"/>
  <c r="DU208" i="4"/>
  <c r="DN190" i="4"/>
  <c r="DL190" i="4"/>
  <c r="DL180" i="4"/>
  <c r="DN180" i="4"/>
  <c r="DL177" i="4"/>
  <c r="CX116" i="4"/>
  <c r="DZ116" i="4" s="1"/>
  <c r="DQ107" i="4"/>
  <c r="DM107" i="4"/>
  <c r="CX105" i="4"/>
  <c r="DZ105" i="4" s="1"/>
  <c r="DL302" i="4"/>
  <c r="DV297" i="4"/>
  <c r="DN297" i="4"/>
  <c r="DT294" i="4"/>
  <c r="DR291" i="4"/>
  <c r="DT290" i="4"/>
  <c r="DM288" i="4"/>
  <c r="DR287" i="4"/>
  <c r="DT286" i="4"/>
  <c r="DN285" i="4"/>
  <c r="DX284" i="4"/>
  <c r="DP284" i="4"/>
  <c r="DL278" i="4"/>
  <c r="DU275" i="4"/>
  <c r="DO274" i="4"/>
  <c r="DY273" i="4"/>
  <c r="DQ273" i="4"/>
  <c r="DS272" i="4"/>
  <c r="DY269" i="4"/>
  <c r="DQ269" i="4"/>
  <c r="DM268" i="4"/>
  <c r="DV267" i="4"/>
  <c r="DN267" i="4"/>
  <c r="DT266" i="4"/>
  <c r="DS265" i="4"/>
  <c r="DL262" i="4"/>
  <c r="DS260" i="4"/>
  <c r="CX259" i="4"/>
  <c r="DZ259" i="4" s="1"/>
  <c r="DR259" i="4"/>
  <c r="DX258" i="4"/>
  <c r="DU256" i="4"/>
  <c r="DS255" i="4"/>
  <c r="DN249" i="4"/>
  <c r="DM247" i="4"/>
  <c r="CX240" i="4"/>
  <c r="DZ240" i="4" s="1"/>
  <c r="DO237" i="4"/>
  <c r="DR231" i="4"/>
  <c r="DX230" i="4"/>
  <c r="DN213" i="4"/>
  <c r="DL213" i="4"/>
  <c r="DV182" i="4"/>
  <c r="DL182" i="4"/>
  <c r="DP308" i="4"/>
  <c r="DM284" i="4"/>
  <c r="DR283" i="4"/>
  <c r="DT282" i="4"/>
  <c r="DV281" i="4"/>
  <c r="DN281" i="4"/>
  <c r="DX280" i="4"/>
  <c r="DP280" i="4"/>
  <c r="DL274" i="4"/>
  <c r="DY270" i="4"/>
  <c r="DQ270" i="4"/>
  <c r="DU267" i="4"/>
  <c r="DL264" i="4"/>
  <c r="DP264" i="4"/>
  <c r="DW263" i="4"/>
  <c r="DM263" i="4"/>
  <c r="DO263" i="4"/>
  <c r="DW258" i="4"/>
  <c r="DV257" i="4"/>
  <c r="DN257" i="4"/>
  <c r="DT256" i="4"/>
  <c r="DT254" i="4"/>
  <c r="DW252" i="4"/>
  <c r="DV247" i="4"/>
  <c r="DT244" i="4"/>
  <c r="DN241" i="4"/>
  <c r="DL241" i="4"/>
  <c r="DQ238" i="4"/>
  <c r="CX232" i="4"/>
  <c r="DZ232" i="4" s="1"/>
  <c r="DO222" i="4"/>
  <c r="DO220" i="4"/>
  <c r="DU219" i="4"/>
  <c r="DU213" i="4"/>
  <c r="DV206" i="4"/>
  <c r="DN206" i="4"/>
  <c r="CY205" i="4"/>
  <c r="EA205" i="4" s="1"/>
  <c r="DS205" i="4"/>
  <c r="DL203" i="4"/>
  <c r="DN203" i="4"/>
  <c r="DM200" i="4"/>
  <c r="DL195" i="4"/>
  <c r="DL192" i="4"/>
  <c r="DN192" i="4"/>
  <c r="CX183" i="4"/>
  <c r="DZ183" i="4"/>
  <c r="DS158" i="4"/>
  <c r="DM158" i="4"/>
  <c r="DQ150" i="4"/>
  <c r="DM150" i="4"/>
  <c r="DO142" i="4"/>
  <c r="DY254" i="4"/>
  <c r="DQ254" i="4"/>
  <c r="DM236" i="4"/>
  <c r="DW235" i="4"/>
  <c r="DO235" i="4"/>
  <c r="DU234" i="4"/>
  <c r="DM233" i="4"/>
  <c r="DS233" i="4"/>
  <c r="DY232" i="4"/>
  <c r="DQ232" i="4"/>
  <c r="DM230" i="4"/>
  <c r="DQ227" i="4"/>
  <c r="DO226" i="4"/>
  <c r="DL222" i="4"/>
  <c r="DY220" i="4"/>
  <c r="DX218" i="4"/>
  <c r="DY214" i="4"/>
  <c r="DQ214" i="4"/>
  <c r="DU211" i="4"/>
  <c r="DW210" i="4"/>
  <c r="DO210" i="4"/>
  <c r="DT207" i="4"/>
  <c r="DU206" i="4"/>
  <c r="DM204" i="4"/>
  <c r="DR204" i="4"/>
  <c r="DN201" i="4"/>
  <c r="DP197" i="4"/>
  <c r="DL189" i="4"/>
  <c r="DL174" i="4"/>
  <c r="DZ171" i="4"/>
  <c r="DR171" i="4"/>
  <c r="CX166" i="4"/>
  <c r="DZ166" i="4" s="1"/>
  <c r="DO165" i="4"/>
  <c r="DQ162" i="4"/>
  <c r="DO159" i="4"/>
  <c r="DM159" i="4"/>
  <c r="DT158" i="4"/>
  <c r="CX150" i="4"/>
  <c r="DZ150" i="4" s="1"/>
  <c r="DO135" i="4"/>
  <c r="DU134" i="4"/>
  <c r="DL127" i="4"/>
  <c r="DT127" i="4"/>
  <c r="DS253" i="4"/>
  <c r="DY250" i="4"/>
  <c r="DQ250" i="4"/>
  <c r="DV237" i="4"/>
  <c r="DN237" i="4"/>
  <c r="DX233" i="4"/>
  <c r="DL231" i="4"/>
  <c r="DT230" i="4"/>
  <c r="DM228" i="4"/>
  <c r="DL225" i="4"/>
  <c r="DS222" i="4"/>
  <c r="DV214" i="4"/>
  <c r="DM213" i="4"/>
  <c r="DM211" i="4"/>
  <c r="DO209" i="4"/>
  <c r="DY208" i="4"/>
  <c r="DM208" i="4"/>
  <c r="DV202" i="4"/>
  <c r="DL202" i="4"/>
  <c r="DN202" i="4"/>
  <c r="DM193" i="4"/>
  <c r="DR190" i="4"/>
  <c r="DL170" i="4"/>
  <c r="DW156" i="4"/>
  <c r="DM156" i="4"/>
  <c r="DO156" i="4"/>
  <c r="DQ149" i="4"/>
  <c r="DM252" i="4"/>
  <c r="DW247" i="4"/>
  <c r="DO247" i="4"/>
  <c r="DU244" i="4"/>
  <c r="DX240" i="4"/>
  <c r="DP240" i="4"/>
  <c r="DY234" i="4"/>
  <c r="DM234" i="4"/>
  <c r="DQ234" i="4"/>
  <c r="DW233" i="4"/>
  <c r="DP228" i="4"/>
  <c r="DL228" i="4"/>
  <c r="DM225" i="4"/>
  <c r="DL223" i="4"/>
  <c r="DN223" i="4"/>
  <c r="DX221" i="4"/>
  <c r="DO219" i="4"/>
  <c r="DX217" i="4"/>
  <c r="DM206" i="4"/>
  <c r="DQ206" i="4"/>
  <c r="DR201" i="4"/>
  <c r="DM199" i="4"/>
  <c r="DV198" i="4"/>
  <c r="CX188" i="4"/>
  <c r="CY174" i="4"/>
  <c r="EA174" i="4" s="1"/>
  <c r="CY163" i="4"/>
  <c r="EA163" i="4" s="1"/>
  <c r="DL160" i="4"/>
  <c r="DN160" i="4"/>
  <c r="DL156" i="4"/>
  <c r="DN156" i="4"/>
  <c r="DM240" i="4"/>
  <c r="DW239" i="4"/>
  <c r="DO239" i="4"/>
  <c r="DL238" i="4"/>
  <c r="DR236" i="4"/>
  <c r="DM235" i="4"/>
  <c r="DR235" i="4"/>
  <c r="DV233" i="4"/>
  <c r="DN233" i="4"/>
  <c r="DT231" i="4"/>
  <c r="DQ229" i="4"/>
  <c r="DY224" i="4"/>
  <c r="DQ224" i="4"/>
  <c r="DU223" i="4"/>
  <c r="DO221" i="4"/>
  <c r="DT220" i="4"/>
  <c r="DL220" i="4"/>
  <c r="DL219" i="4"/>
  <c r="DO217" i="4"/>
  <c r="DS216" i="4"/>
  <c r="DT214" i="4"/>
  <c r="DW207" i="4"/>
  <c r="DO207" i="4"/>
  <c r="DP206" i="4"/>
  <c r="DX205" i="4"/>
  <c r="DP205" i="4"/>
  <c r="DM201" i="4"/>
  <c r="CX196" i="4"/>
  <c r="DZ196" i="4" s="1"/>
  <c r="DZ188" i="4"/>
  <c r="DM155" i="4"/>
  <c r="DN151" i="4"/>
  <c r="DL151" i="4"/>
  <c r="DS148" i="4"/>
  <c r="CY111" i="4"/>
  <c r="EA111" i="4" s="1"/>
  <c r="DL230" i="4"/>
  <c r="DV225" i="4"/>
  <c r="DN225" i="4"/>
  <c r="DT222" i="4"/>
  <c r="DR219" i="4"/>
  <c r="DX216" i="4"/>
  <c r="DP216" i="4"/>
  <c r="DX210" i="4"/>
  <c r="DP210" i="4"/>
  <c r="CX205" i="4"/>
  <c r="DZ205" i="4" s="1"/>
  <c r="DR205" i="4"/>
  <c r="DX204" i="4"/>
  <c r="DP204" i="4"/>
  <c r="DM203" i="4"/>
  <c r="DW194" i="4"/>
  <c r="DX190" i="4"/>
  <c r="DT189" i="4"/>
  <c r="DX188" i="4"/>
  <c r="DP188" i="4"/>
  <c r="DX183" i="4"/>
  <c r="DP183" i="4"/>
  <c r="DR174" i="4"/>
  <c r="DX167" i="4"/>
  <c r="DY166" i="4"/>
  <c r="DU163" i="4"/>
  <c r="DR162" i="4"/>
  <c r="DL159" i="4"/>
  <c r="DT153" i="4"/>
  <c r="DL153" i="4"/>
  <c r="DW151" i="4"/>
  <c r="DM151" i="4"/>
  <c r="DO151" i="4"/>
  <c r="DU149" i="4"/>
  <c r="DU142" i="4"/>
  <c r="DY136" i="4"/>
  <c r="DT84" i="4"/>
  <c r="DL84" i="4"/>
  <c r="DW76" i="4"/>
  <c r="DL226" i="4"/>
  <c r="DV221" i="4"/>
  <c r="DN221" i="4"/>
  <c r="DT218" i="4"/>
  <c r="DR215" i="4"/>
  <c r="DX212" i="4"/>
  <c r="DP212" i="4"/>
  <c r="DL208" i="4"/>
  <c r="DT208" i="4"/>
  <c r="DT206" i="4"/>
  <c r="DT203" i="4"/>
  <c r="DV197" i="4"/>
  <c r="DL197" i="4"/>
  <c r="DW195" i="4"/>
  <c r="DM195" i="4"/>
  <c r="DT194" i="4"/>
  <c r="DL194" i="4"/>
  <c r="DX191" i="4"/>
  <c r="DN186" i="4"/>
  <c r="DR180" i="4"/>
  <c r="DX176" i="4"/>
  <c r="DM172" i="4"/>
  <c r="DO172" i="4"/>
  <c r="DY171" i="4"/>
  <c r="DL169" i="4"/>
  <c r="DL165" i="4"/>
  <c r="DN165" i="4"/>
  <c r="DR155" i="4"/>
  <c r="DU150" i="4"/>
  <c r="DM148" i="4"/>
  <c r="DY143" i="4"/>
  <c r="CY143" i="4"/>
  <c r="EA143" i="4" s="1"/>
  <c r="DL120" i="4"/>
  <c r="DT120" i="4"/>
  <c r="DL214" i="4"/>
  <c r="DT210" i="4"/>
  <c r="DX209" i="4"/>
  <c r="DP209" i="4"/>
  <c r="DV205" i="4"/>
  <c r="DN205" i="4"/>
  <c r="DL204" i="4"/>
  <c r="DT204" i="4"/>
  <c r="DY198" i="4"/>
  <c r="DQ198" i="4"/>
  <c r="DM197" i="4"/>
  <c r="DP196" i="4"/>
  <c r="DN195" i="4"/>
  <c r="DN193" i="4"/>
  <c r="DT190" i="4"/>
  <c r="DX189" i="4"/>
  <c r="DX175" i="4"/>
  <c r="DP175" i="4"/>
  <c r="DL175" i="4"/>
  <c r="DL172" i="4"/>
  <c r="CY157" i="4"/>
  <c r="EA157" i="4"/>
  <c r="DM154" i="4"/>
  <c r="DO154" i="4"/>
  <c r="DU146" i="4"/>
  <c r="DP113" i="4"/>
  <c r="DL113" i="4"/>
  <c r="DV229" i="4"/>
  <c r="DN229" i="4"/>
  <c r="DT226" i="4"/>
  <c r="DR223" i="4"/>
  <c r="DX220" i="4"/>
  <c r="DP220" i="4"/>
  <c r="DL211" i="4"/>
  <c r="DR208" i="4"/>
  <c r="DV207" i="4"/>
  <c r="DL207" i="4"/>
  <c r="DN207" i="4"/>
  <c r="DX200" i="4"/>
  <c r="DT199" i="4"/>
  <c r="DL199" i="4"/>
  <c r="DP198" i="4"/>
  <c r="DT179" i="4"/>
  <c r="DX178" i="4"/>
  <c r="DP178" i="4"/>
  <c r="DN176" i="4"/>
  <c r="DL176" i="4"/>
  <c r="DM175" i="4"/>
  <c r="DM171" i="4"/>
  <c r="DT169" i="4"/>
  <c r="DW161" i="4"/>
  <c r="DM161" i="4"/>
  <c r="DS160" i="4"/>
  <c r="DM153" i="4"/>
  <c r="DP152" i="4"/>
  <c r="DS150" i="4"/>
  <c r="DW148" i="4"/>
  <c r="DT146" i="4"/>
  <c r="DO144" i="4"/>
  <c r="DP123" i="4"/>
  <c r="DL123" i="4"/>
  <c r="CX121" i="4"/>
  <c r="DN101" i="4"/>
  <c r="DL101" i="4"/>
  <c r="DL100" i="4"/>
  <c r="DT100" i="4"/>
  <c r="DL210" i="4"/>
  <c r="DL206" i="4"/>
  <c r="DL193" i="4"/>
  <c r="DW182" i="4"/>
  <c r="DU179" i="4"/>
  <c r="DP177" i="4"/>
  <c r="DW176" i="4"/>
  <c r="DO176" i="4"/>
  <c r="DX171" i="4"/>
  <c r="DP171" i="4"/>
  <c r="DW170" i="4"/>
  <c r="DO170" i="4"/>
  <c r="DU169" i="4"/>
  <c r="DO167" i="4"/>
  <c r="DS166" i="4"/>
  <c r="DY159" i="4"/>
  <c r="DU158" i="4"/>
  <c r="DY157" i="4"/>
  <c r="DQ157" i="4"/>
  <c r="DU147" i="4"/>
  <c r="DL145" i="4"/>
  <c r="DN145" i="4"/>
  <c r="CX137" i="4"/>
  <c r="DZ137" i="4"/>
  <c r="DW132" i="4"/>
  <c r="DO132" i="4"/>
  <c r="DW128" i="4"/>
  <c r="DX115" i="4"/>
  <c r="DP115" i="4"/>
  <c r="CX104" i="4"/>
  <c r="DZ104" i="4" s="1"/>
  <c r="DL102" i="4"/>
  <c r="DN102" i="4"/>
  <c r="DW198" i="4"/>
  <c r="DY189" i="4"/>
  <c r="CY176" i="4"/>
  <c r="EA176" i="4"/>
  <c r="DS176" i="4"/>
  <c r="DV172" i="4"/>
  <c r="DN172" i="4"/>
  <c r="CY170" i="4"/>
  <c r="EA170" i="4" s="1"/>
  <c r="DS170" i="4"/>
  <c r="DY169" i="4"/>
  <c r="DM167" i="4"/>
  <c r="DW166" i="4"/>
  <c r="DM166" i="4"/>
  <c r="DX164" i="4"/>
  <c r="DP164" i="4"/>
  <c r="DP162" i="4"/>
  <c r="DY160" i="4"/>
  <c r="DU159" i="4"/>
  <c r="DQ158" i="4"/>
  <c r="DY155" i="4"/>
  <c r="DW152" i="4"/>
  <c r="DT131" i="4"/>
  <c r="CY119" i="4"/>
  <c r="EA119" i="4" s="1"/>
  <c r="DN114" i="4"/>
  <c r="DL114" i="4"/>
  <c r="DM191" i="4"/>
  <c r="DS180" i="4"/>
  <c r="DY177" i="4"/>
  <c r="DQ177" i="4"/>
  <c r="DL173" i="4"/>
  <c r="DR170" i="4"/>
  <c r="DL168" i="4"/>
  <c r="DN168" i="4"/>
  <c r="CX167" i="4"/>
  <c r="DZ167" i="4"/>
  <c r="DR167" i="4"/>
  <c r="CY165" i="4"/>
  <c r="EA165" i="4" s="1"/>
  <c r="DS165" i="4"/>
  <c r="DO164" i="4"/>
  <c r="DM164" i="4"/>
  <c r="DM162" i="4"/>
  <c r="DL158" i="4"/>
  <c r="DP155" i="4"/>
  <c r="DY153" i="4"/>
  <c r="DN152" i="4"/>
  <c r="DS151" i="4"/>
  <c r="DW150" i="4"/>
  <c r="DM149" i="4"/>
  <c r="DO149" i="4"/>
  <c r="DQ148" i="4"/>
  <c r="CY146" i="4"/>
  <c r="EA146" i="4" s="1"/>
  <c r="DY145" i="4"/>
  <c r="DO129" i="4"/>
  <c r="DY124" i="4"/>
  <c r="CX122" i="4"/>
  <c r="DZ122" i="4"/>
  <c r="CY106" i="4"/>
  <c r="EA106" i="4" s="1"/>
  <c r="DM99" i="4"/>
  <c r="DO99" i="4"/>
  <c r="DM93" i="4"/>
  <c r="DO93" i="4"/>
  <c r="DY197" i="4"/>
  <c r="DM179" i="4"/>
  <c r="DU168" i="4"/>
  <c r="DU166" i="4"/>
  <c r="DV164" i="4"/>
  <c r="DS161" i="4"/>
  <c r="DL149" i="4"/>
  <c r="DN149" i="4"/>
  <c r="DM147" i="4"/>
  <c r="DO147" i="4"/>
  <c r="DW140" i="4"/>
  <c r="DO140" i="4"/>
  <c r="CX131" i="4"/>
  <c r="DZ131" i="4" s="1"/>
  <c r="DV129" i="4"/>
  <c r="DN129" i="4"/>
  <c r="DL107" i="4"/>
  <c r="DN107" i="4"/>
  <c r="DO98" i="4"/>
  <c r="DP96" i="4"/>
  <c r="DL96" i="4"/>
  <c r="DQ173" i="4"/>
  <c r="DQ169" i="4"/>
  <c r="DX166" i="4"/>
  <c r="DP166" i="4"/>
  <c r="DT148" i="4"/>
  <c r="DL142" i="4"/>
  <c r="DN142" i="4"/>
  <c r="DY135" i="4"/>
  <c r="DL134" i="4"/>
  <c r="DN134" i="4"/>
  <c r="CX133" i="4"/>
  <c r="DZ133" i="4"/>
  <c r="DR133" i="4"/>
  <c r="DX130" i="4"/>
  <c r="DW120" i="4"/>
  <c r="DO120" i="4"/>
  <c r="DM120" i="4"/>
  <c r="DM113" i="4"/>
  <c r="DO113" i="4"/>
  <c r="DL112" i="4"/>
  <c r="DP112" i="4"/>
  <c r="DO103" i="4"/>
  <c r="DM103" i="4"/>
  <c r="DO100" i="4"/>
  <c r="DM95" i="4"/>
  <c r="DS89" i="4"/>
  <c r="DL164" i="4"/>
  <c r="DV159" i="4"/>
  <c r="DN159" i="4"/>
  <c r="DT156" i="4"/>
  <c r="DR153" i="4"/>
  <c r="DX150" i="4"/>
  <c r="DP150" i="4"/>
  <c r="DX148" i="4"/>
  <c r="DP148" i="4"/>
  <c r="DM138" i="4"/>
  <c r="DT136" i="4"/>
  <c r="DU135" i="4"/>
  <c r="DO131" i="4"/>
  <c r="DU129" i="4"/>
  <c r="DW122" i="4"/>
  <c r="DL117" i="4"/>
  <c r="DY116" i="4"/>
  <c r="CY114" i="4"/>
  <c r="EA114" i="4" s="1"/>
  <c r="DT112" i="4"/>
  <c r="DP111" i="4"/>
  <c r="DV110" i="4"/>
  <c r="DL110" i="4"/>
  <c r="DN110" i="4"/>
  <c r="DR92" i="4"/>
  <c r="DS78" i="4"/>
  <c r="DM78" i="4"/>
  <c r="DM65" i="4"/>
  <c r="DU65" i="4"/>
  <c r="DL152" i="4"/>
  <c r="DR145" i="4"/>
  <c r="DL144" i="4"/>
  <c r="CX143" i="4"/>
  <c r="DZ143" i="4" s="1"/>
  <c r="DR143" i="4"/>
  <c r="DY140" i="4"/>
  <c r="DL139" i="4"/>
  <c r="DW137" i="4"/>
  <c r="DM137" i="4"/>
  <c r="DO137" i="4"/>
  <c r="CY136" i="4"/>
  <c r="EA136" i="4" s="1"/>
  <c r="DS136" i="4"/>
  <c r="CX128" i="4"/>
  <c r="DZ128" i="4" s="1"/>
  <c r="CX126" i="4"/>
  <c r="DZ126" i="4"/>
  <c r="DV124" i="4"/>
  <c r="DV115" i="4"/>
  <c r="DL115" i="4"/>
  <c r="DN115" i="4"/>
  <c r="DR114" i="4"/>
  <c r="DO109" i="4"/>
  <c r="DM101" i="4"/>
  <c r="DZ87" i="4"/>
  <c r="DR87" i="4"/>
  <c r="DV167" i="4"/>
  <c r="DN167" i="4"/>
  <c r="DT164" i="4"/>
  <c r="DR161" i="4"/>
  <c r="DX158" i="4"/>
  <c r="DP158" i="4"/>
  <c r="CX148" i="4"/>
  <c r="DZ148" i="4" s="1"/>
  <c r="DR147" i="4"/>
  <c r="DU141" i="4"/>
  <c r="DP140" i="4"/>
  <c r="DL140" i="4"/>
  <c r="DU139" i="4"/>
  <c r="DN137" i="4"/>
  <c r="DU122" i="4"/>
  <c r="DZ121" i="4"/>
  <c r="DR121" i="4"/>
  <c r="CX111" i="4"/>
  <c r="DZ111" i="4" s="1"/>
  <c r="CX109" i="4"/>
  <c r="DZ109" i="4" s="1"/>
  <c r="CY104" i="4"/>
  <c r="EA104" i="4"/>
  <c r="DV94" i="4"/>
  <c r="DL94" i="4"/>
  <c r="DN94" i="4"/>
  <c r="CX86" i="4"/>
  <c r="DZ86" i="4" s="1"/>
  <c r="DP146" i="4"/>
  <c r="DV141" i="4"/>
  <c r="DN141" i="4"/>
  <c r="DT138" i="4"/>
  <c r="DL135" i="4"/>
  <c r="DR135" i="4"/>
  <c r="DX132" i="4"/>
  <c r="DP132" i="4"/>
  <c r="DT128" i="4"/>
  <c r="DX128" i="4"/>
  <c r="DP128" i="4"/>
  <c r="DY125" i="4"/>
  <c r="DT122" i="4"/>
  <c r="DU121" i="4"/>
  <c r="DV120" i="4"/>
  <c r="DN119" i="4"/>
  <c r="DW117" i="4"/>
  <c r="DM117" i="4"/>
  <c r="DV116" i="4"/>
  <c r="DQ115" i="4"/>
  <c r="DM115" i="4"/>
  <c r="DO112" i="4"/>
  <c r="DM112" i="4"/>
  <c r="DY111" i="4"/>
  <c r="DU110" i="4"/>
  <c r="DM110" i="4"/>
  <c r="DR109" i="4"/>
  <c r="DP106" i="4"/>
  <c r="DY98" i="4"/>
  <c r="DQ96" i="4"/>
  <c r="CY92" i="4"/>
  <c r="EA92" i="4" s="1"/>
  <c r="DM91" i="4"/>
  <c r="DO91" i="4"/>
  <c r="DN89" i="4"/>
  <c r="DL88" i="4"/>
  <c r="DT87" i="4"/>
  <c r="DN80" i="4"/>
  <c r="DL80" i="4"/>
  <c r="DP71" i="4"/>
  <c r="CX141" i="4"/>
  <c r="DZ141" i="4" s="1"/>
  <c r="DQ121" i="4"/>
  <c r="CX119" i="4"/>
  <c r="DZ119" i="4" s="1"/>
  <c r="CX118" i="4"/>
  <c r="DZ118" i="4" s="1"/>
  <c r="DR116" i="4"/>
  <c r="DO105" i="4"/>
  <c r="DM105" i="4"/>
  <c r="DS101" i="4"/>
  <c r="DW100" i="4"/>
  <c r="DM100" i="4"/>
  <c r="DL99" i="4"/>
  <c r="DT99" i="4"/>
  <c r="DU97" i="4"/>
  <c r="CX95" i="4"/>
  <c r="DZ95" i="4" s="1"/>
  <c r="DO63" i="4"/>
  <c r="DM63" i="4"/>
  <c r="DT142" i="4"/>
  <c r="DR139" i="4"/>
  <c r="DX136" i="4"/>
  <c r="DP136" i="4"/>
  <c r="DT130" i="4"/>
  <c r="DL124" i="4"/>
  <c r="DM122" i="4"/>
  <c r="DY120" i="4"/>
  <c r="DU109" i="4"/>
  <c r="DT96" i="4"/>
  <c r="CX92" i="4"/>
  <c r="DZ92" i="4" s="1"/>
  <c r="CX85" i="4"/>
  <c r="DZ85" i="4" s="1"/>
  <c r="DR85" i="4"/>
  <c r="DX83" i="4"/>
  <c r="CX79" i="4"/>
  <c r="DZ79" i="4" s="1"/>
  <c r="DO74" i="4"/>
  <c r="DY71" i="4"/>
  <c r="DL138" i="4"/>
  <c r="DV133" i="4"/>
  <c r="DN133" i="4"/>
  <c r="DS129" i="4"/>
  <c r="DP127" i="4"/>
  <c r="DV126" i="4"/>
  <c r="DT123" i="4"/>
  <c r="DW121" i="4"/>
  <c r="DM121" i="4"/>
  <c r="DP118" i="4"/>
  <c r="DM108" i="4"/>
  <c r="DU105" i="4"/>
  <c r="DS102" i="4"/>
  <c r="DO79" i="4"/>
  <c r="DM79" i="4"/>
  <c r="DO75" i="4"/>
  <c r="DY123" i="4"/>
  <c r="DT108" i="4"/>
  <c r="DX105" i="4"/>
  <c r="DL103" i="4"/>
  <c r="DV99" i="4"/>
  <c r="DS98" i="4"/>
  <c r="DL97" i="4"/>
  <c r="DY93" i="4"/>
  <c r="DN90" i="4"/>
  <c r="DM81" i="4"/>
  <c r="CX76" i="4"/>
  <c r="DZ76" i="4"/>
  <c r="DL67" i="4"/>
  <c r="DU125" i="4"/>
  <c r="DS122" i="4"/>
  <c r="DY119" i="4"/>
  <c r="DQ119" i="4"/>
  <c r="DU107" i="4"/>
  <c r="DS103" i="4"/>
  <c r="DS99" i="4"/>
  <c r="DM96" i="4"/>
  <c r="DY94" i="4"/>
  <c r="DV93" i="4"/>
  <c r="DN93" i="4"/>
  <c r="DL93" i="4"/>
  <c r="DX92" i="4"/>
  <c r="DP92" i="4"/>
  <c r="DU91" i="4"/>
  <c r="DY89" i="4"/>
  <c r="DM86" i="4"/>
  <c r="DX82" i="4"/>
  <c r="DQ73" i="4"/>
  <c r="DO67" i="4"/>
  <c r="DM67" i="4"/>
  <c r="DL45" i="4"/>
  <c r="DT45" i="4"/>
  <c r="DW116" i="4"/>
  <c r="DO116" i="4"/>
  <c r="DU113" i="4"/>
  <c r="DS110" i="4"/>
  <c r="DL108" i="4"/>
  <c r="DX106" i="4"/>
  <c r="DY102" i="4"/>
  <c r="DQ100" i="4"/>
  <c r="DM98" i="4"/>
  <c r="CY97" i="4"/>
  <c r="EA97" i="4"/>
  <c r="DO92" i="4"/>
  <c r="DT91" i="4"/>
  <c r="DL91" i="4"/>
  <c r="DM87" i="4"/>
  <c r="DY86" i="4"/>
  <c r="DR84" i="4"/>
  <c r="DL83" i="4"/>
  <c r="DW72" i="4"/>
  <c r="DM72" i="4"/>
  <c r="DO72" i="4"/>
  <c r="CX65" i="4"/>
  <c r="DM109" i="4"/>
  <c r="DW108" i="4"/>
  <c r="DO108" i="4"/>
  <c r="DO104" i="4"/>
  <c r="DV98" i="4"/>
  <c r="DL98" i="4"/>
  <c r="DY97" i="4"/>
  <c r="DQ97" i="4"/>
  <c r="DU96" i="4"/>
  <c r="DQ95" i="4"/>
  <c r="DW94" i="4"/>
  <c r="DO94" i="4"/>
  <c r="DQ90" i="4"/>
  <c r="DW89" i="4"/>
  <c r="DM89" i="4"/>
  <c r="DO89" i="4"/>
  <c r="DP86" i="4"/>
  <c r="DV82" i="4"/>
  <c r="DL82" i="4"/>
  <c r="DN81" i="4"/>
  <c r="DO76" i="4"/>
  <c r="DM76" i="4"/>
  <c r="DP70" i="4"/>
  <c r="DV66" i="4"/>
  <c r="CX57" i="4"/>
  <c r="DZ57" i="4" s="1"/>
  <c r="DL52" i="4"/>
  <c r="DP52" i="4"/>
  <c r="DR107" i="4"/>
  <c r="DX104" i="4"/>
  <c r="DP104" i="4"/>
  <c r="DS87" i="4"/>
  <c r="DS85" i="4"/>
  <c r="DR83" i="4"/>
  <c r="DT80" i="4"/>
  <c r="DQ79" i="4"/>
  <c r="DW71" i="4"/>
  <c r="DM71" i="4"/>
  <c r="DY70" i="4"/>
  <c r="DW64" i="4"/>
  <c r="DM64" i="4"/>
  <c r="DS62" i="4"/>
  <c r="DY59" i="4"/>
  <c r="DX49" i="4"/>
  <c r="DL49" i="4"/>
  <c r="DP49" i="4"/>
  <c r="DM33" i="4"/>
  <c r="DO33" i="4"/>
  <c r="DT106" i="4"/>
  <c r="DR103" i="4"/>
  <c r="DX100" i="4"/>
  <c r="DP100" i="4"/>
  <c r="DW88" i="4"/>
  <c r="DM88" i="4"/>
  <c r="DM83" i="4"/>
  <c r="DR82" i="4"/>
  <c r="CX81" i="4"/>
  <c r="DZ81" i="4" s="1"/>
  <c r="DR81" i="4"/>
  <c r="DY78" i="4"/>
  <c r="DV77" i="4"/>
  <c r="DL77" i="4"/>
  <c r="DM74" i="4"/>
  <c r="DP73" i="4"/>
  <c r="DN70" i="4"/>
  <c r="DY69" i="4"/>
  <c r="DQ69" i="4"/>
  <c r="DY68" i="4"/>
  <c r="DN61" i="4"/>
  <c r="CX56" i="4"/>
  <c r="DZ56" i="4" s="1"/>
  <c r="DL53" i="4"/>
  <c r="DP53" i="4"/>
  <c r="DV97" i="4"/>
  <c r="DN97" i="4"/>
  <c r="DT94" i="4"/>
  <c r="DR91" i="4"/>
  <c r="DN88" i="4"/>
  <c r="DW87" i="4"/>
  <c r="DO87" i="4"/>
  <c r="DN86" i="4"/>
  <c r="DM84" i="4"/>
  <c r="DV83" i="4"/>
  <c r="DY82" i="4"/>
  <c r="DQ82" i="4"/>
  <c r="DM82" i="4"/>
  <c r="DX78" i="4"/>
  <c r="DP78" i="4"/>
  <c r="DU77" i="4"/>
  <c r="DM77" i="4"/>
  <c r="DY76" i="4"/>
  <c r="DQ76" i="4"/>
  <c r="DP68" i="4"/>
  <c r="DL68" i="4"/>
  <c r="DL90" i="4"/>
  <c r="DU88" i="4"/>
  <c r="DW80" i="4"/>
  <c r="DM80" i="4"/>
  <c r="DO80" i="4"/>
  <c r="DT79" i="4"/>
  <c r="DT77" i="4"/>
  <c r="DX72" i="4"/>
  <c r="DP72" i="4"/>
  <c r="DL72" i="4"/>
  <c r="DR71" i="4"/>
  <c r="DT70" i="4"/>
  <c r="DO69" i="4"/>
  <c r="DO68" i="4"/>
  <c r="DT63" i="4"/>
  <c r="DL63" i="4"/>
  <c r="DV62" i="4"/>
  <c r="DL62" i="4"/>
  <c r="DL60" i="4"/>
  <c r="DP60" i="4"/>
  <c r="DN55" i="4"/>
  <c r="CX55" i="4"/>
  <c r="DZ55" i="4" s="1"/>
  <c r="DS54" i="4"/>
  <c r="DM54" i="4"/>
  <c r="DL51" i="4"/>
  <c r="DN51" i="4"/>
  <c r="DR73" i="4"/>
  <c r="DS71" i="4"/>
  <c r="DT66" i="4"/>
  <c r="DV65" i="4"/>
  <c r="DM49" i="4"/>
  <c r="DY38" i="4"/>
  <c r="DM38" i="4"/>
  <c r="DQ38" i="4"/>
  <c r="DW83" i="4"/>
  <c r="DO83" i="4"/>
  <c r="DU80" i="4"/>
  <c r="DS77" i="4"/>
  <c r="DV74" i="4"/>
  <c r="DL74" i="4"/>
  <c r="DV73" i="4"/>
  <c r="DN73" i="4"/>
  <c r="DR64" i="4"/>
  <c r="DM60" i="4"/>
  <c r="DO59" i="4"/>
  <c r="DL58" i="4"/>
  <c r="DU57" i="4"/>
  <c r="DW56" i="4"/>
  <c r="DW55" i="4"/>
  <c r="DO55" i="4"/>
  <c r="DM55" i="4"/>
  <c r="DL70" i="4"/>
  <c r="DV69" i="4"/>
  <c r="DN69" i="4"/>
  <c r="DL69" i="4"/>
  <c r="DT67" i="4"/>
  <c r="DP62" i="4"/>
  <c r="DL48" i="4"/>
  <c r="DN48" i="4"/>
  <c r="DW47" i="4"/>
  <c r="DO47" i="4"/>
  <c r="DM47" i="4"/>
  <c r="DY44" i="4"/>
  <c r="DO42" i="4"/>
  <c r="DM42" i="4"/>
  <c r="DM36" i="4"/>
  <c r="DO36" i="4"/>
  <c r="DO34" i="4"/>
  <c r="DM34" i="4"/>
  <c r="DT74" i="4"/>
  <c r="DU69" i="4"/>
  <c r="DL66" i="4"/>
  <c r="DN66" i="4"/>
  <c r="DX65" i="4"/>
  <c r="DX64" i="4"/>
  <c r="DP64" i="4"/>
  <c r="DL64" i="4"/>
  <c r="DS61" i="4"/>
  <c r="DU52" i="4"/>
  <c r="DQ51" i="4"/>
  <c r="DU50" i="4"/>
  <c r="DX76" i="4"/>
  <c r="DP76" i="4"/>
  <c r="DV59" i="4"/>
  <c r="DN59" i="4"/>
  <c r="DY58" i="4"/>
  <c r="DQ58" i="4"/>
  <c r="DR56" i="4"/>
  <c r="DW52" i="4"/>
  <c r="DM52" i="4"/>
  <c r="DX51" i="4"/>
  <c r="DP51" i="4"/>
  <c r="DL50" i="4"/>
  <c r="DP50" i="4"/>
  <c r="DU48" i="4"/>
  <c r="DS65" i="4"/>
  <c r="DR63" i="4"/>
  <c r="DY62" i="4"/>
  <c r="DQ62" i="4"/>
  <c r="CX59" i="4"/>
  <c r="DZ59" i="4"/>
  <c r="DR59" i="4"/>
  <c r="DV54" i="4"/>
  <c r="DN54" i="4"/>
  <c r="DL54" i="4"/>
  <c r="DM53" i="4"/>
  <c r="DU49" i="4"/>
  <c r="DT47" i="4"/>
  <c r="DN36" i="4"/>
  <c r="DL36" i="4"/>
  <c r="DU60" i="4"/>
  <c r="DR52" i="4"/>
  <c r="DO44" i="4"/>
  <c r="DM44" i="4"/>
  <c r="DQ42" i="4"/>
  <c r="DL28" i="4"/>
  <c r="DT28" i="4"/>
  <c r="DT60" i="4"/>
  <c r="DV57" i="4"/>
  <c r="DN57" i="4"/>
  <c r="DU46" i="4"/>
  <c r="DO43" i="4"/>
  <c r="DO24" i="4"/>
  <c r="DM24" i="4"/>
  <c r="DW51" i="4"/>
  <c r="DO51" i="4"/>
  <c r="DM51" i="4"/>
  <c r="DN49" i="4"/>
  <c r="DM48" i="4"/>
  <c r="DU45" i="4"/>
  <c r="DT40" i="4"/>
  <c r="DU39" i="4"/>
  <c r="DU36" i="4"/>
  <c r="DP34" i="4"/>
  <c r="DS31" i="4"/>
  <c r="CX30" i="4"/>
  <c r="DZ30" i="4" s="1"/>
  <c r="DS53" i="4"/>
  <c r="DS49" i="4"/>
  <c r="DT48" i="4"/>
  <c r="DP46" i="4"/>
  <c r="DR45" i="4"/>
  <c r="DS44" i="4"/>
  <c r="DU43" i="4"/>
  <c r="DU42" i="4"/>
  <c r="DR36" i="4"/>
  <c r="DL26" i="4"/>
  <c r="DN26" i="4"/>
  <c r="DM56" i="4"/>
  <c r="DY54" i="4"/>
  <c r="DR50" i="4"/>
  <c r="DW46" i="4"/>
  <c r="DM46" i="4"/>
  <c r="DM45" i="4"/>
  <c r="CX44" i="4"/>
  <c r="DZ44" i="4" s="1"/>
  <c r="DR44" i="4"/>
  <c r="DY39" i="4"/>
  <c r="DQ39" i="4"/>
  <c r="DM37" i="4"/>
  <c r="DO37" i="4"/>
  <c r="DO35" i="4"/>
  <c r="DO31" i="4"/>
  <c r="DM31" i="4"/>
  <c r="DQ52" i="4"/>
  <c r="DY50" i="4"/>
  <c r="DQ50" i="4"/>
  <c r="DV46" i="4"/>
  <c r="DN46" i="4"/>
  <c r="DO40" i="4"/>
  <c r="DM40" i="4"/>
  <c r="DL35" i="4"/>
  <c r="DN35" i="4"/>
  <c r="DN32" i="4"/>
  <c r="DL32" i="4"/>
  <c r="DU27" i="4"/>
  <c r="DX45" i="4"/>
  <c r="DP45" i="4"/>
  <c r="DS42" i="4"/>
  <c r="DY41" i="4"/>
  <c r="DY40" i="4"/>
  <c r="DV39" i="4"/>
  <c r="DL39" i="4"/>
  <c r="DN39" i="4"/>
  <c r="DV38" i="4"/>
  <c r="DN38" i="4"/>
  <c r="DL38" i="4"/>
  <c r="DY37" i="4"/>
  <c r="DV34" i="4"/>
  <c r="DN34" i="4"/>
  <c r="DL34" i="4"/>
  <c r="DM32" i="4"/>
  <c r="DO32" i="4"/>
  <c r="DY31" i="4"/>
  <c r="DQ31" i="4"/>
  <c r="DW29" i="4"/>
  <c r="DM26" i="4"/>
  <c r="CX10" i="4"/>
  <c r="DZ10" i="4" s="1"/>
  <c r="DL40" i="4"/>
  <c r="DN40" i="4"/>
  <c r="DQ30" i="4"/>
  <c r="DN16" i="4"/>
  <c r="DL16" i="4"/>
  <c r="DX35" i="4"/>
  <c r="DP25" i="4"/>
  <c r="DL25" i="4"/>
  <c r="DY33" i="4"/>
  <c r="CY30" i="4"/>
  <c r="EA30" i="4" s="1"/>
  <c r="DY28" i="4"/>
  <c r="DQ28" i="4"/>
  <c r="DM25" i="4"/>
  <c r="DO25" i="4"/>
  <c r="CX23" i="4"/>
  <c r="DY20" i="4"/>
  <c r="DQ20" i="4"/>
  <c r="DM20" i="4"/>
  <c r="DV42" i="4"/>
  <c r="DN42" i="4"/>
  <c r="DX37" i="4"/>
  <c r="DY35" i="4"/>
  <c r="DX33" i="4"/>
  <c r="DP33" i="4"/>
  <c r="DV27" i="4"/>
  <c r="DL27" i="4"/>
  <c r="DN27" i="4"/>
  <c r="DT21" i="4"/>
  <c r="DT39" i="4"/>
  <c r="DU34" i="4"/>
  <c r="DL31" i="4"/>
  <c r="DV24" i="4"/>
  <c r="DL24" i="4"/>
  <c r="DN24" i="4"/>
  <c r="DT18" i="4"/>
  <c r="DL18" i="4"/>
  <c r="DL17" i="4"/>
  <c r="DR17" i="4"/>
  <c r="DS41" i="4"/>
  <c r="DT35" i="4"/>
  <c r="DV30" i="4"/>
  <c r="DN30" i="4"/>
  <c r="DX29" i="4"/>
  <c r="DT23" i="4"/>
  <c r="DP22" i="4"/>
  <c r="DL22" i="4"/>
  <c r="DR38" i="4"/>
  <c r="DS36" i="4"/>
  <c r="DT31" i="4"/>
  <c r="DO29" i="4"/>
  <c r="CY23" i="4"/>
  <c r="EA23" i="4" s="1"/>
  <c r="DS23" i="4"/>
  <c r="DM18" i="4"/>
  <c r="DX41" i="4"/>
  <c r="DP41" i="4"/>
  <c r="DS27" i="4"/>
  <c r="DX24" i="4"/>
  <c r="DP24" i="4"/>
  <c r="DW22" i="4"/>
  <c r="DM22" i="4"/>
  <c r="DO22" i="4"/>
  <c r="DR28" i="4"/>
  <c r="DU26" i="4"/>
  <c r="DW21" i="4"/>
  <c r="DM21" i="4"/>
  <c r="DR18" i="4"/>
  <c r="DW17" i="4"/>
  <c r="DM17" i="4"/>
  <c r="DO17" i="4"/>
  <c r="DM13" i="4"/>
  <c r="DO13" i="4"/>
  <c r="DQ11" i="4"/>
  <c r="DM11" i="4"/>
  <c r="DU10" i="4"/>
  <c r="DV21" i="4"/>
  <c r="DL21" i="4"/>
  <c r="DN21" i="4"/>
  <c r="DS20" i="4"/>
  <c r="DV19" i="4"/>
  <c r="DL19" i="4"/>
  <c r="DN19" i="4"/>
  <c r="DL13" i="4"/>
  <c r="DN13" i="4"/>
  <c r="DX11" i="4"/>
  <c r="DP11" i="4"/>
  <c r="DL11" i="4"/>
  <c r="DT10" i="4"/>
  <c r="EA10" i="4"/>
  <c r="DY23" i="4"/>
  <c r="DQ23" i="4"/>
  <c r="DY15" i="4"/>
  <c r="DM9" i="4"/>
  <c r="DW20" i="4"/>
  <c r="DO20" i="4"/>
  <c r="DU17" i="4"/>
  <c r="DX15" i="4"/>
  <c r="DL9" i="4"/>
  <c r="EA14" i="4"/>
  <c r="DS14" i="4"/>
  <c r="DW12" i="4"/>
  <c r="DM12" i="4"/>
  <c r="DO12" i="4"/>
  <c r="DU9" i="4"/>
  <c r="DS22" i="4"/>
  <c r="DY19" i="4"/>
  <c r="DQ19" i="4"/>
  <c r="DW16" i="4"/>
  <c r="DO16" i="4"/>
  <c r="DR14" i="4"/>
  <c r="DV12" i="4"/>
  <c r="DL12" i="4"/>
  <c r="DN12" i="4"/>
  <c r="DT9" i="4"/>
  <c r="BN8" i="4"/>
  <c r="BZ8" i="4" s="1"/>
  <c r="CL8" i="4" s="1"/>
  <c r="BO8" i="4"/>
  <c r="CA8" i="4" s="1"/>
  <c r="CM8" i="4" s="1"/>
  <c r="BP8" i="4"/>
  <c r="CB8" i="4" s="1"/>
  <c r="CN8" i="4" s="1"/>
  <c r="BQ8" i="4"/>
  <c r="CC8" i="4" s="1"/>
  <c r="CO8" i="4" s="1"/>
  <c r="BR8" i="4"/>
  <c r="CD8" i="4" s="1"/>
  <c r="CP8" i="4" s="1"/>
  <c r="BS8" i="4"/>
  <c r="CE8" i="4" s="1"/>
  <c r="CQ8" i="4" s="1"/>
  <c r="BT8" i="4"/>
  <c r="CF8" i="4" s="1"/>
  <c r="CR8" i="4" s="1"/>
  <c r="BU8" i="4"/>
  <c r="CG8" i="4" s="1"/>
  <c r="CS8" i="4" s="1"/>
  <c r="BV8" i="4"/>
  <c r="CH8" i="4" s="1"/>
  <c r="CT8" i="4" s="1"/>
  <c r="BW8" i="4"/>
  <c r="CI8" i="4" s="1"/>
  <c r="CU8" i="4" s="1"/>
  <c r="BX8" i="4"/>
  <c r="CJ8" i="4" s="1"/>
  <c r="CV8" i="4" s="1"/>
  <c r="BY8" i="4"/>
  <c r="CK8" i="4" s="1"/>
  <c r="CW8" i="4" s="1"/>
  <c r="CZ8" i="4"/>
  <c r="DB8" i="4"/>
  <c r="DD8" i="4"/>
  <c r="DF8" i="4"/>
  <c r="DH8" i="4"/>
  <c r="DJ8" i="4"/>
  <c r="DA8" i="4"/>
  <c r="DC8" i="4"/>
  <c r="DE8" i="4"/>
  <c r="DG8" i="4"/>
  <c r="DI8" i="4"/>
  <c r="DK8" i="4"/>
  <c r="W152" i="4"/>
  <c r="AE145" i="4"/>
  <c r="W145" i="4"/>
  <c r="O145" i="4"/>
  <c r="O144" i="4"/>
  <c r="W142" i="4"/>
  <c r="O142" i="4"/>
  <c r="W140" i="4"/>
  <c r="O140" i="4"/>
  <c r="W139" i="4"/>
  <c r="O139" i="4"/>
  <c r="W135" i="4"/>
  <c r="O135" i="4"/>
  <c r="W131" i="4"/>
  <c r="O131" i="4"/>
  <c r="AM134" i="4"/>
  <c r="W134" i="4"/>
  <c r="O134" i="4"/>
  <c r="G134" i="4"/>
  <c r="W133" i="4"/>
  <c r="O133" i="4"/>
  <c r="W132" i="4"/>
  <c r="O132" i="4"/>
  <c r="O130" i="4"/>
  <c r="O129" i="4"/>
  <c r="W128" i="4"/>
  <c r="G128" i="4"/>
  <c r="BK127" i="4"/>
  <c r="CI127" i="4" s="1"/>
  <c r="CU127" i="4" s="1"/>
  <c r="DW127" i="4" s="1"/>
  <c r="BI127" i="4"/>
  <c r="BG127" i="4"/>
  <c r="BE127" i="4"/>
  <c r="BC127" i="4"/>
  <c r="AE127" i="4"/>
  <c r="W127" i="4"/>
  <c r="O127" i="4"/>
  <c r="G127" i="4"/>
  <c r="AE126" i="4"/>
  <c r="W126" i="4"/>
  <c r="O126" i="4"/>
  <c r="G126" i="4"/>
  <c r="AM125" i="4"/>
  <c r="W125" i="4"/>
  <c r="O125" i="4"/>
  <c r="K125" i="4"/>
  <c r="G125" i="4"/>
  <c r="AM124" i="4"/>
  <c r="AE124" i="4"/>
  <c r="AA124" i="4"/>
  <c r="W124" i="4"/>
  <c r="S124" i="4"/>
  <c r="O124" i="4"/>
  <c r="K124" i="4"/>
  <c r="G124" i="4"/>
  <c r="AM123" i="4"/>
  <c r="W123" i="4"/>
  <c r="O123" i="4"/>
  <c r="G123" i="4"/>
  <c r="BI203" i="4"/>
  <c r="CG203" i="4" s="1"/>
  <c r="CS203" i="4" s="1"/>
  <c r="DU203" i="4" s="1"/>
  <c r="BG203" i="4"/>
  <c r="CE203" i="4" s="1"/>
  <c r="CQ203" i="4" s="1"/>
  <c r="DS203" i="4" s="1"/>
  <c r="BE203" i="4"/>
  <c r="CC203" i="4" s="1"/>
  <c r="CO203" i="4" s="1"/>
  <c r="BC203" i="4"/>
  <c r="CA203" i="4" s="1"/>
  <c r="CM203" i="4" s="1"/>
  <c r="DO203" i="4" s="1"/>
  <c r="BI204" i="4"/>
  <c r="CG204" i="4" s="1"/>
  <c r="CS204" i="4" s="1"/>
  <c r="DU204" i="4" s="1"/>
  <c r="BG204" i="4"/>
  <c r="CE204" i="4" s="1"/>
  <c r="CQ204" i="4" s="1"/>
  <c r="DS204" i="4" s="1"/>
  <c r="BE204" i="4"/>
  <c r="CC204" i="4" s="1"/>
  <c r="CO204" i="4" s="1"/>
  <c r="DQ204" i="4" s="1"/>
  <c r="BC204" i="4"/>
  <c r="CA204" i="4" s="1"/>
  <c r="CM204" i="4" s="1"/>
  <c r="DO204" i="4" s="1"/>
  <c r="BI202" i="4"/>
  <c r="CG202" i="4" s="1"/>
  <c r="CS202" i="4" s="1"/>
  <c r="DU202" i="4" s="1"/>
  <c r="BG202" i="4"/>
  <c r="CE202" i="4" s="1"/>
  <c r="CQ202" i="4" s="1"/>
  <c r="DS202" i="4" s="1"/>
  <c r="BE202" i="4"/>
  <c r="CC202" i="4" s="1"/>
  <c r="CO202" i="4" s="1"/>
  <c r="DQ202" i="4" s="1"/>
  <c r="BC202" i="4"/>
  <c r="BI194" i="4"/>
  <c r="CG194" i="4" s="1"/>
  <c r="CS194" i="4" s="1"/>
  <c r="DU194" i="4" s="1"/>
  <c r="BG194" i="4"/>
  <c r="CE194" i="4" s="1"/>
  <c r="CQ194" i="4" s="1"/>
  <c r="DS194" i="4" s="1"/>
  <c r="BE194" i="4"/>
  <c r="CC194" i="4" s="1"/>
  <c r="CO194" i="4" s="1"/>
  <c r="DQ194" i="4" s="1"/>
  <c r="BC194" i="4"/>
  <c r="I194" i="4"/>
  <c r="BI201" i="4"/>
  <c r="CG201" i="4" s="1"/>
  <c r="CS201" i="4" s="1"/>
  <c r="DU201" i="4" s="1"/>
  <c r="BG201" i="4"/>
  <c r="BE201" i="4"/>
  <c r="CC201" i="4" s="1"/>
  <c r="CO201" i="4" s="1"/>
  <c r="DQ201" i="4" s="1"/>
  <c r="BC201" i="4"/>
  <c r="CA201" i="4" s="1"/>
  <c r="CM201" i="4" s="1"/>
  <c r="DO201" i="4" s="1"/>
  <c r="BI200" i="4"/>
  <c r="CG200" i="4" s="1"/>
  <c r="CS200" i="4" s="1"/>
  <c r="DU200" i="4" s="1"/>
  <c r="BG200" i="4"/>
  <c r="CE200" i="4" s="1"/>
  <c r="CQ200" i="4" s="1"/>
  <c r="DS200" i="4" s="1"/>
  <c r="BE200" i="4"/>
  <c r="CC200" i="4" s="1"/>
  <c r="CO200" i="4" s="1"/>
  <c r="DQ200" i="4" s="1"/>
  <c r="BC200" i="4"/>
  <c r="CA200" i="4" s="1"/>
  <c r="CM200" i="4" s="1"/>
  <c r="DO200" i="4" s="1"/>
  <c r="BI199" i="4"/>
  <c r="CG199" i="4" s="1"/>
  <c r="CS199" i="4" s="1"/>
  <c r="DU199" i="4" s="1"/>
  <c r="BG199" i="4"/>
  <c r="CE199" i="4" s="1"/>
  <c r="CQ199" i="4" s="1"/>
  <c r="DS199" i="4" s="1"/>
  <c r="BE199" i="4"/>
  <c r="CC199" i="4" s="1"/>
  <c r="CO199" i="4" s="1"/>
  <c r="DQ199" i="4" s="1"/>
  <c r="BC199" i="4"/>
  <c r="CA199" i="4" s="1"/>
  <c r="CM199" i="4" s="1"/>
  <c r="DO199" i="4" s="1"/>
  <c r="BI198" i="4"/>
  <c r="CG198" i="4" s="1"/>
  <c r="CS198" i="4" s="1"/>
  <c r="BG198" i="4"/>
  <c r="BE198" i="4"/>
  <c r="CC198" i="4" s="1"/>
  <c r="CO198" i="4" s="1"/>
  <c r="BC198" i="4"/>
  <c r="CA198" i="4" s="1"/>
  <c r="CM198" i="4" s="1"/>
  <c r="BK197" i="4"/>
  <c r="CI197" i="4" s="1"/>
  <c r="CU197" i="4" s="1"/>
  <c r="DW197" i="4" s="1"/>
  <c r="BI197" i="4"/>
  <c r="CG197" i="4" s="1"/>
  <c r="CS197" i="4" s="1"/>
  <c r="DU197" i="4" s="1"/>
  <c r="BG197" i="4"/>
  <c r="CE197" i="4" s="1"/>
  <c r="CQ197" i="4" s="1"/>
  <c r="DS197" i="4" s="1"/>
  <c r="BE197" i="4"/>
  <c r="CC197" i="4" s="1"/>
  <c r="CO197" i="4" s="1"/>
  <c r="DQ197" i="4" s="1"/>
  <c r="BC197" i="4"/>
  <c r="CA197" i="4" s="1"/>
  <c r="CM197" i="4" s="1"/>
  <c r="DO197" i="4" s="1"/>
  <c r="BI196" i="4"/>
  <c r="BG196" i="4"/>
  <c r="CE196" i="4" s="1"/>
  <c r="CQ196" i="4" s="1"/>
  <c r="DS196" i="4" s="1"/>
  <c r="BE196" i="4"/>
  <c r="CC196" i="4" s="1"/>
  <c r="CO196" i="4" s="1"/>
  <c r="DQ196" i="4" s="1"/>
  <c r="BC196" i="4"/>
  <c r="CA196" i="4" s="1"/>
  <c r="CM196" i="4" s="1"/>
  <c r="DO196" i="4" s="1"/>
  <c r="BI195" i="4"/>
  <c r="BG195" i="4"/>
  <c r="CE195" i="4" s="1"/>
  <c r="CQ195" i="4" s="1"/>
  <c r="DS195" i="4" s="1"/>
  <c r="BE195" i="4"/>
  <c r="CC195" i="4" s="1"/>
  <c r="CO195" i="4" s="1"/>
  <c r="DQ195" i="4" s="1"/>
  <c r="BC195" i="4"/>
  <c r="BK193" i="4"/>
  <c r="BI193" i="4"/>
  <c r="CG193" i="4" s="1"/>
  <c r="CS193" i="4" s="1"/>
  <c r="DU193" i="4" s="1"/>
  <c r="BG193" i="4"/>
  <c r="CE193" i="4" s="1"/>
  <c r="CQ193" i="4" s="1"/>
  <c r="DS193" i="4" s="1"/>
  <c r="BE193" i="4"/>
  <c r="CC193" i="4" s="1"/>
  <c r="CO193" i="4" s="1"/>
  <c r="DQ193" i="4" s="1"/>
  <c r="BC193" i="4"/>
  <c r="BI192" i="4"/>
  <c r="CG192" i="4" s="1"/>
  <c r="CS192" i="4" s="1"/>
  <c r="BG192" i="4"/>
  <c r="CE192" i="4" s="1"/>
  <c r="CQ192" i="4" s="1"/>
  <c r="DS192" i="4" s="1"/>
  <c r="BE192" i="4"/>
  <c r="BC192" i="4"/>
  <c r="Q192" i="4"/>
  <c r="M192" i="4"/>
  <c r="I192" i="4"/>
  <c r="BK191" i="4"/>
  <c r="CI191" i="4" s="1"/>
  <c r="CU191" i="4" s="1"/>
  <c r="DW191" i="4" s="1"/>
  <c r="BI191" i="4"/>
  <c r="CG191" i="4" s="1"/>
  <c r="CS191" i="4" s="1"/>
  <c r="DU191" i="4" s="1"/>
  <c r="BG191" i="4"/>
  <c r="CE191" i="4" s="1"/>
  <c r="CQ191" i="4" s="1"/>
  <c r="DS191" i="4" s="1"/>
  <c r="BE191" i="4"/>
  <c r="CC191" i="4" s="1"/>
  <c r="CO191" i="4" s="1"/>
  <c r="DQ191" i="4" s="1"/>
  <c r="BC191" i="4"/>
  <c r="BK190" i="4"/>
  <c r="CI190" i="4" s="1"/>
  <c r="CU190" i="4" s="1"/>
  <c r="DW190" i="4" s="1"/>
  <c r="BI190" i="4"/>
  <c r="CG190" i="4" s="1"/>
  <c r="CS190" i="4" s="1"/>
  <c r="DU190" i="4" s="1"/>
  <c r="BG190" i="4"/>
  <c r="CE190" i="4" s="1"/>
  <c r="CQ190" i="4" s="1"/>
  <c r="DS190" i="4" s="1"/>
  <c r="BE190" i="4"/>
  <c r="CC190" i="4" s="1"/>
  <c r="CO190" i="4" s="1"/>
  <c r="DQ190" i="4" s="1"/>
  <c r="BC190" i="4"/>
  <c r="CA190" i="4" s="1"/>
  <c r="CM190" i="4" s="1"/>
  <c r="DO190" i="4" s="1"/>
  <c r="BI189" i="4"/>
  <c r="CG189" i="4" s="1"/>
  <c r="CS189" i="4" s="1"/>
  <c r="DU189" i="4" s="1"/>
  <c r="BG189" i="4"/>
  <c r="CE189" i="4" s="1"/>
  <c r="CQ189" i="4" s="1"/>
  <c r="DS189" i="4" s="1"/>
  <c r="BE189" i="4"/>
  <c r="BC189" i="4"/>
  <c r="Q189" i="4"/>
  <c r="I189" i="4"/>
  <c r="BK188" i="4"/>
  <c r="BI188" i="4"/>
  <c r="BG188" i="4"/>
  <c r="BE188" i="4"/>
  <c r="BC188" i="4"/>
  <c r="AO188" i="4"/>
  <c r="Y188" i="4"/>
  <c r="Q188" i="4"/>
  <c r="I188" i="4"/>
  <c r="BI187" i="4"/>
  <c r="BG187" i="4"/>
  <c r="BE187" i="4"/>
  <c r="BC187" i="4"/>
  <c r="W187" i="4"/>
  <c r="O187" i="4"/>
  <c r="BK186" i="4"/>
  <c r="CI186" i="4" s="1"/>
  <c r="CU186" i="4" s="1"/>
  <c r="DW186" i="4" s="1"/>
  <c r="BI186" i="4"/>
  <c r="BG186" i="4"/>
  <c r="BE186" i="4"/>
  <c r="BC186" i="4"/>
  <c r="AE186" i="4"/>
  <c r="W186" i="4"/>
  <c r="O186" i="4"/>
  <c r="G186" i="4"/>
  <c r="BK185" i="4"/>
  <c r="BG185" i="4"/>
  <c r="BE185" i="4"/>
  <c r="BC185" i="4"/>
  <c r="AM185" i="4"/>
  <c r="W185" i="4"/>
  <c r="O185" i="4"/>
  <c r="G185" i="4"/>
  <c r="BI184" i="4"/>
  <c r="BG184" i="4"/>
  <c r="BE184" i="4"/>
  <c r="BC184" i="4"/>
  <c r="AE184" i="4"/>
  <c r="W184" i="4"/>
  <c r="O184" i="4"/>
  <c r="G184" i="4"/>
  <c r="BK183" i="4"/>
  <c r="BI183" i="4"/>
  <c r="BG183" i="4"/>
  <c r="BE183" i="4"/>
  <c r="BC183" i="4"/>
  <c r="AM183" i="4"/>
  <c r="AE183" i="4"/>
  <c r="W183" i="4"/>
  <c r="O183" i="4"/>
  <c r="M183" i="4"/>
  <c r="G183" i="4"/>
  <c r="BK182" i="4"/>
  <c r="BI182" i="4"/>
  <c r="BG182" i="4"/>
  <c r="BE182" i="4"/>
  <c r="BC182" i="4"/>
  <c r="AI182" i="4"/>
  <c r="AE182" i="4"/>
  <c r="AA182" i="4"/>
  <c r="W182" i="4"/>
  <c r="S182" i="4"/>
  <c r="O182" i="4"/>
  <c r="K182" i="4"/>
  <c r="G182" i="4"/>
  <c r="BK181" i="4"/>
  <c r="BG181" i="4"/>
  <c r="BE181" i="4"/>
  <c r="BC181" i="4"/>
  <c r="AM181" i="4"/>
  <c r="AC181" i="4"/>
  <c r="W181" i="4"/>
  <c r="O181" i="4"/>
  <c r="M181" i="4"/>
  <c r="G181" i="4"/>
  <c r="BM386" i="4"/>
  <c r="CK386" i="4" s="1"/>
  <c r="CW386" i="4" s="1"/>
  <c r="DY386" i="4" s="1"/>
  <c r="BM385" i="4"/>
  <c r="CK385" i="4" s="1"/>
  <c r="CW385" i="4" s="1"/>
  <c r="DY385" i="4" s="1"/>
  <c r="BM384" i="4"/>
  <c r="CK384" i="4" s="1"/>
  <c r="CW384" i="4" s="1"/>
  <c r="BM382" i="4"/>
  <c r="CK382" i="4" s="1"/>
  <c r="CW382" i="4" s="1"/>
  <c r="DY382" i="4" s="1"/>
  <c r="BM381" i="4"/>
  <c r="CK381" i="4" s="1"/>
  <c r="CW381" i="4" s="1"/>
  <c r="DY381" i="4" s="1"/>
  <c r="BM380" i="4"/>
  <c r="CK380" i="4" s="1"/>
  <c r="CW380" i="4" s="1"/>
  <c r="DY380" i="4" s="1"/>
  <c r="BM378" i="4"/>
  <c r="CK378" i="4" s="1"/>
  <c r="CW378" i="4" s="1"/>
  <c r="DY378" i="4" s="1"/>
  <c r="BM379" i="4"/>
  <c r="CK379" i="4" s="1"/>
  <c r="CW379" i="4" s="1"/>
  <c r="DY379" i="4" s="1"/>
  <c r="BM377" i="4"/>
  <c r="CK377" i="4" s="1"/>
  <c r="CW377" i="4" s="1"/>
  <c r="DY377" i="4" s="1"/>
  <c r="BM376" i="4"/>
  <c r="CK376" i="4" s="1"/>
  <c r="CW376" i="4" s="1"/>
  <c r="BM375" i="4"/>
  <c r="BM374" i="4"/>
  <c r="CK374" i="4" s="1"/>
  <c r="CW374" i="4" s="1"/>
  <c r="DY374" i="4" s="1"/>
  <c r="BE372" i="4"/>
  <c r="CC372" i="4" s="1"/>
  <c r="CO372" i="4" s="1"/>
  <c r="DQ372" i="4" s="1"/>
  <c r="BC372" i="4"/>
  <c r="CA372" i="4" s="1"/>
  <c r="CM372" i="4" s="1"/>
  <c r="DO372" i="4" s="1"/>
  <c r="BI371" i="4"/>
  <c r="CG371" i="4" s="1"/>
  <c r="CS371" i="4" s="1"/>
  <c r="BG371" i="4"/>
  <c r="BE371" i="4"/>
  <c r="CC371" i="4" s="1"/>
  <c r="CO371" i="4" s="1"/>
  <c r="DQ371" i="4" s="1"/>
  <c r="BC371" i="4"/>
  <c r="CA371" i="4" s="1"/>
  <c r="CM371" i="4" s="1"/>
  <c r="DO371" i="4" s="1"/>
  <c r="BI370" i="4"/>
  <c r="CG370" i="4" s="1"/>
  <c r="CS370" i="4" s="1"/>
  <c r="DU370" i="4" s="1"/>
  <c r="BG370" i="4"/>
  <c r="BE370" i="4"/>
  <c r="CC370" i="4" s="1"/>
  <c r="CO370" i="4" s="1"/>
  <c r="DQ370" i="4" s="1"/>
  <c r="BI369" i="4"/>
  <c r="CG369" i="4" s="1"/>
  <c r="CS369" i="4" s="1"/>
  <c r="DU369" i="4" s="1"/>
  <c r="BG369" i="4"/>
  <c r="BE369" i="4"/>
  <c r="CC369" i="4" s="1"/>
  <c r="CO369" i="4" s="1"/>
  <c r="DQ369" i="4" s="1"/>
  <c r="BC369" i="4"/>
  <c r="CA369" i="4" s="1"/>
  <c r="CM369" i="4" s="1"/>
  <c r="DO369" i="4" s="1"/>
  <c r="BI364" i="4"/>
  <c r="CG364" i="4" s="1"/>
  <c r="CS364" i="4" s="1"/>
  <c r="DU364" i="4" s="1"/>
  <c r="BG364" i="4"/>
  <c r="BE364" i="4"/>
  <c r="CC364" i="4" s="1"/>
  <c r="CO364" i="4" s="1"/>
  <c r="DQ364" i="4" s="1"/>
  <c r="BC364" i="4"/>
  <c r="BI368" i="4"/>
  <c r="CG368" i="4" s="1"/>
  <c r="CS368" i="4" s="1"/>
  <c r="DU368" i="4" s="1"/>
  <c r="BG368" i="4"/>
  <c r="CE368" i="4" s="1"/>
  <c r="CQ368" i="4" s="1"/>
  <c r="BE368" i="4"/>
  <c r="CC368" i="4" s="1"/>
  <c r="CO368" i="4" s="1"/>
  <c r="DQ368" i="4" s="1"/>
  <c r="BC368" i="4"/>
  <c r="CA368" i="4" s="1"/>
  <c r="CM368" i="4" s="1"/>
  <c r="DO368" i="4" s="1"/>
  <c r="BI367" i="4"/>
  <c r="CG367" i="4" s="1"/>
  <c r="CS367" i="4" s="1"/>
  <c r="DU367" i="4" s="1"/>
  <c r="BG367" i="4"/>
  <c r="CE367" i="4" s="1"/>
  <c r="CQ367" i="4" s="1"/>
  <c r="DS367" i="4" s="1"/>
  <c r="BE367" i="4"/>
  <c r="BC367" i="4"/>
  <c r="BI366" i="4"/>
  <c r="CG366" i="4" s="1"/>
  <c r="CS366" i="4" s="1"/>
  <c r="DU366" i="4" s="1"/>
  <c r="BE366" i="4"/>
  <c r="CC366" i="4" s="1"/>
  <c r="CO366" i="4" s="1"/>
  <c r="DQ366" i="4" s="1"/>
  <c r="BC366" i="4"/>
  <c r="CA366" i="4" s="1"/>
  <c r="CM366" i="4" s="1"/>
  <c r="BI365" i="4"/>
  <c r="CG365" i="4" s="1"/>
  <c r="CS365" i="4" s="1"/>
  <c r="DU365" i="4" s="1"/>
  <c r="BG365" i="4"/>
  <c r="CE365" i="4" s="1"/>
  <c r="CQ365" i="4" s="1"/>
  <c r="DS365" i="4" s="1"/>
  <c r="BE365" i="4"/>
  <c r="CC365" i="4" s="1"/>
  <c r="CO365" i="4" s="1"/>
  <c r="DQ365" i="4" s="1"/>
  <c r="BI362" i="4"/>
  <c r="CG362" i="4" s="1"/>
  <c r="CS362" i="4" s="1"/>
  <c r="DU362" i="4" s="1"/>
  <c r="BG362" i="4"/>
  <c r="BE362" i="4"/>
  <c r="CC362" i="4" s="1"/>
  <c r="CO362" i="4" s="1"/>
  <c r="DQ362" i="4" s="1"/>
  <c r="BC362" i="4"/>
  <c r="BI361" i="4"/>
  <c r="CG361" i="4" s="1"/>
  <c r="CS361" i="4" s="1"/>
  <c r="DU361" i="4" s="1"/>
  <c r="BG361" i="4"/>
  <c r="CE361" i="4" s="1"/>
  <c r="CQ361" i="4" s="1"/>
  <c r="DS361" i="4" s="1"/>
  <c r="BE361" i="4"/>
  <c r="CC361" i="4" s="1"/>
  <c r="CO361" i="4" s="1"/>
  <c r="DQ361" i="4" s="1"/>
  <c r="BC361" i="4"/>
  <c r="BI360" i="4"/>
  <c r="BG360" i="4"/>
  <c r="CE360" i="4" s="1"/>
  <c r="CQ360" i="4" s="1"/>
  <c r="DS360" i="4" s="1"/>
  <c r="BE360" i="4"/>
  <c r="CC360" i="4" s="1"/>
  <c r="CO360" i="4" s="1"/>
  <c r="DQ360" i="4" s="1"/>
  <c r="BC360" i="4"/>
  <c r="CA360" i="4" s="1"/>
  <c r="CM360" i="4" s="1"/>
  <c r="DO360" i="4" s="1"/>
  <c r="BK667" i="4"/>
  <c r="AM667" i="4"/>
  <c r="BK665" i="4"/>
  <c r="CI665" i="4" s="1"/>
  <c r="CU665" i="4" s="1"/>
  <c r="DW665" i="4" s="1"/>
  <c r="AX467" i="11"/>
  <c r="AW467" i="11"/>
  <c r="AV467" i="11"/>
  <c r="AU467" i="11"/>
  <c r="AT467" i="11"/>
  <c r="AS467" i="11"/>
  <c r="AR467" i="11"/>
  <c r="AQ467" i="11"/>
  <c r="AP467" i="11"/>
  <c r="AO467" i="11"/>
  <c r="AN467" i="11"/>
  <c r="AM467" i="11"/>
  <c r="AL467" i="11"/>
  <c r="AK467" i="11"/>
  <c r="AJ467" i="11"/>
  <c r="AI467" i="11"/>
  <c r="AX463" i="11"/>
  <c r="AW463" i="11"/>
  <c r="AV463" i="11"/>
  <c r="AU463" i="11"/>
  <c r="AT463" i="11"/>
  <c r="AS463" i="11"/>
  <c r="AR463" i="11"/>
  <c r="AQ463" i="11"/>
  <c r="AP463" i="11"/>
  <c r="AO463" i="11"/>
  <c r="AN463" i="11"/>
  <c r="AM463" i="11"/>
  <c r="AL463" i="11"/>
  <c r="AK463" i="11"/>
  <c r="AJ463" i="11"/>
  <c r="AI463" i="11"/>
  <c r="AX459" i="11"/>
  <c r="AW459" i="11"/>
  <c r="AV459" i="11"/>
  <c r="AU459" i="11"/>
  <c r="AT459" i="11"/>
  <c r="AS459" i="11"/>
  <c r="AR459" i="11"/>
  <c r="AQ459" i="11"/>
  <c r="AP459" i="11"/>
  <c r="AO459" i="11"/>
  <c r="AN459" i="11"/>
  <c r="AM459" i="11"/>
  <c r="AL459" i="11"/>
  <c r="AK459" i="11"/>
  <c r="AJ459" i="11"/>
  <c r="AI459" i="11"/>
  <c r="AX447" i="11"/>
  <c r="AW447" i="11"/>
  <c r="AV447" i="11"/>
  <c r="AU447" i="11"/>
  <c r="AT447" i="11"/>
  <c r="AS447" i="11"/>
  <c r="AR447" i="11"/>
  <c r="AQ447" i="11"/>
  <c r="AP447" i="11"/>
  <c r="AO447" i="11"/>
  <c r="AN447" i="11"/>
  <c r="AM447" i="11"/>
  <c r="AL447" i="11"/>
  <c r="AK447" i="11"/>
  <c r="AJ447" i="11"/>
  <c r="AI447" i="11"/>
  <c r="AX443" i="11"/>
  <c r="AW443" i="11"/>
  <c r="AV443" i="11"/>
  <c r="AU443" i="11"/>
  <c r="AT443" i="11"/>
  <c r="AS443" i="11"/>
  <c r="AR443" i="11"/>
  <c r="AQ443" i="11"/>
  <c r="AP443" i="11"/>
  <c r="AO443" i="11"/>
  <c r="AN443" i="11"/>
  <c r="AM443" i="11"/>
  <c r="AL443" i="11"/>
  <c r="AK443" i="11"/>
  <c r="AJ443" i="11"/>
  <c r="AI443" i="11"/>
  <c r="AX438" i="11"/>
  <c r="AW438" i="11"/>
  <c r="AV438" i="11"/>
  <c r="AU438" i="11"/>
  <c r="AT438" i="11"/>
  <c r="AS438" i="11"/>
  <c r="AR438" i="11"/>
  <c r="AQ438" i="11"/>
  <c r="AP438" i="11"/>
  <c r="AO438" i="11"/>
  <c r="AN438" i="11"/>
  <c r="AM438" i="11"/>
  <c r="AL438" i="11"/>
  <c r="AK438" i="11"/>
  <c r="AJ438" i="11"/>
  <c r="AI438" i="11"/>
  <c r="AX434" i="11"/>
  <c r="AW434" i="11"/>
  <c r="AV434" i="11"/>
  <c r="AU434" i="11"/>
  <c r="AT434" i="11"/>
  <c r="AS434" i="11"/>
  <c r="AR434" i="11"/>
  <c r="AQ434" i="11"/>
  <c r="AP434" i="11"/>
  <c r="AO434" i="11"/>
  <c r="AN434" i="11"/>
  <c r="AM434" i="11"/>
  <c r="AL434" i="11"/>
  <c r="AK434" i="11"/>
  <c r="AJ434" i="11"/>
  <c r="AI434" i="11"/>
  <c r="AX430" i="11"/>
  <c r="AW430" i="11"/>
  <c r="AV430" i="11"/>
  <c r="AU430" i="11"/>
  <c r="AT430" i="11"/>
  <c r="AS430" i="11"/>
  <c r="AR430" i="11"/>
  <c r="AQ430" i="11"/>
  <c r="AP430" i="11"/>
  <c r="AO430" i="11"/>
  <c r="AN430" i="11"/>
  <c r="AM430" i="11"/>
  <c r="AL430" i="11"/>
  <c r="AK430" i="11"/>
  <c r="AJ430" i="11"/>
  <c r="AI430" i="11"/>
  <c r="AX418" i="11"/>
  <c r="AW418" i="11"/>
  <c r="AV418" i="11"/>
  <c r="AU418" i="11"/>
  <c r="AT418" i="11"/>
  <c r="AS418" i="11"/>
  <c r="AR418" i="11"/>
  <c r="AQ418" i="11"/>
  <c r="AP418" i="11"/>
  <c r="AO418" i="11"/>
  <c r="AN418" i="11"/>
  <c r="AM418" i="11"/>
  <c r="AL418" i="11"/>
  <c r="AK418" i="11"/>
  <c r="AJ418" i="11"/>
  <c r="AI418" i="11"/>
  <c r="AX414" i="11"/>
  <c r="AW414" i="11"/>
  <c r="AV414" i="11"/>
  <c r="AU414" i="11"/>
  <c r="AT414" i="11"/>
  <c r="AS414" i="11"/>
  <c r="AR414" i="11"/>
  <c r="AQ414" i="11"/>
  <c r="AP414" i="11"/>
  <c r="AO414" i="11"/>
  <c r="AN414" i="11"/>
  <c r="AM414" i="11"/>
  <c r="AL414" i="11"/>
  <c r="AK414" i="11"/>
  <c r="AJ414" i="11"/>
  <c r="AI414" i="11"/>
  <c r="AX409" i="11"/>
  <c r="AW409" i="11"/>
  <c r="AV409" i="11"/>
  <c r="AU409" i="11"/>
  <c r="AT409" i="11"/>
  <c r="AS409" i="11"/>
  <c r="AR409" i="11"/>
  <c r="AQ409" i="11"/>
  <c r="AP409" i="11"/>
  <c r="AO409" i="11"/>
  <c r="AN409" i="11"/>
  <c r="AM409" i="11"/>
  <c r="AL409" i="11"/>
  <c r="AK409" i="11"/>
  <c r="AJ409" i="11"/>
  <c r="AI409" i="11"/>
  <c r="AX405" i="11"/>
  <c r="AW405" i="11"/>
  <c r="AV405" i="11"/>
  <c r="AU405" i="11"/>
  <c r="AT405" i="11"/>
  <c r="AS405" i="11"/>
  <c r="AR405" i="11"/>
  <c r="AQ405" i="11"/>
  <c r="AP405" i="11"/>
  <c r="AO405" i="11"/>
  <c r="AN405" i="11"/>
  <c r="AM405" i="11"/>
  <c r="AL405" i="11"/>
  <c r="AK405" i="11"/>
  <c r="AJ405" i="11"/>
  <c r="AI405" i="11"/>
  <c r="AX401" i="11"/>
  <c r="AW401" i="11"/>
  <c r="AV401" i="11"/>
  <c r="AU401" i="11"/>
  <c r="AT401" i="11"/>
  <c r="AS401" i="11"/>
  <c r="AR401" i="11"/>
  <c r="AQ401" i="11"/>
  <c r="AP401" i="11"/>
  <c r="AO401" i="11"/>
  <c r="AN401" i="11"/>
  <c r="AM401" i="11"/>
  <c r="AL401" i="11"/>
  <c r="AK401" i="11"/>
  <c r="AJ401" i="11"/>
  <c r="AI401" i="11"/>
  <c r="AX389" i="11"/>
  <c r="AW389" i="11"/>
  <c r="AV389" i="11"/>
  <c r="AU389" i="11"/>
  <c r="AT389" i="11"/>
  <c r="AS389" i="11"/>
  <c r="AR389" i="11"/>
  <c r="AQ389" i="11"/>
  <c r="AP389" i="11"/>
  <c r="AO389" i="11"/>
  <c r="AN389" i="11"/>
  <c r="AM389" i="11"/>
  <c r="AL389" i="11"/>
  <c r="AK389" i="11"/>
  <c r="AJ389" i="11"/>
  <c r="AI389" i="11"/>
  <c r="AX385" i="11"/>
  <c r="AW385" i="11"/>
  <c r="AV385" i="11"/>
  <c r="AU385" i="11"/>
  <c r="AT385" i="11"/>
  <c r="AS385" i="11"/>
  <c r="AR385" i="11"/>
  <c r="AQ385" i="11"/>
  <c r="AP385" i="11"/>
  <c r="AO385" i="11"/>
  <c r="AN385" i="11"/>
  <c r="AM385" i="11"/>
  <c r="AL385" i="11"/>
  <c r="AK385" i="11"/>
  <c r="AJ385" i="11"/>
  <c r="AI385" i="11"/>
  <c r="AX380" i="11"/>
  <c r="AW380" i="11"/>
  <c r="AV380" i="11"/>
  <c r="AU380" i="11"/>
  <c r="AT380" i="11"/>
  <c r="AS380" i="11"/>
  <c r="AR380" i="11"/>
  <c r="AQ380" i="11"/>
  <c r="AP380" i="11"/>
  <c r="AO380" i="11"/>
  <c r="AN380" i="11"/>
  <c r="AM380" i="11"/>
  <c r="AL380" i="11"/>
  <c r="AK380" i="11"/>
  <c r="AJ380" i="11"/>
  <c r="AI380" i="11"/>
  <c r="AX376" i="11"/>
  <c r="AW376" i="11"/>
  <c r="AV376" i="11"/>
  <c r="AU376" i="11"/>
  <c r="AT376" i="11"/>
  <c r="AS376" i="11"/>
  <c r="AR376" i="11"/>
  <c r="AQ376" i="11"/>
  <c r="AP376" i="11"/>
  <c r="AO376" i="11"/>
  <c r="AN376" i="11"/>
  <c r="AM376" i="11"/>
  <c r="AL376" i="11"/>
  <c r="AK376" i="11"/>
  <c r="AJ376" i="11"/>
  <c r="AI376" i="11"/>
  <c r="AX372" i="11"/>
  <c r="AW372" i="11"/>
  <c r="AV372" i="11"/>
  <c r="AU372" i="11"/>
  <c r="AT372" i="11"/>
  <c r="AS372" i="11"/>
  <c r="AR372" i="11"/>
  <c r="AQ372" i="11"/>
  <c r="AP372" i="11"/>
  <c r="AO372" i="11"/>
  <c r="AN372" i="11"/>
  <c r="AM372" i="11"/>
  <c r="AL372" i="11"/>
  <c r="AK372" i="11"/>
  <c r="AJ372" i="11"/>
  <c r="AI372" i="11"/>
  <c r="AX360" i="11"/>
  <c r="AW360" i="11"/>
  <c r="AV360" i="11"/>
  <c r="AU360" i="11"/>
  <c r="AT360" i="11"/>
  <c r="AS360" i="11"/>
  <c r="AR360" i="11"/>
  <c r="AQ360" i="11"/>
  <c r="AP360" i="11"/>
  <c r="AO360" i="11"/>
  <c r="AN360" i="11"/>
  <c r="AM360" i="11"/>
  <c r="AL360" i="11"/>
  <c r="AK360" i="11"/>
  <c r="AJ360" i="11"/>
  <c r="AI360" i="11"/>
  <c r="AX356" i="11"/>
  <c r="AW356" i="11"/>
  <c r="AV356" i="11"/>
  <c r="AU356" i="11"/>
  <c r="AT356" i="11"/>
  <c r="AS356" i="11"/>
  <c r="AR356" i="11"/>
  <c r="AQ356" i="11"/>
  <c r="AP356" i="11"/>
  <c r="AO356" i="11"/>
  <c r="AN356" i="11"/>
  <c r="AM356" i="11"/>
  <c r="AL356" i="11"/>
  <c r="AK356" i="11"/>
  <c r="AJ356" i="11"/>
  <c r="AI356" i="11"/>
  <c r="AX351" i="11"/>
  <c r="AW351" i="11"/>
  <c r="AV351" i="11"/>
  <c r="AU351" i="11"/>
  <c r="AT351" i="11"/>
  <c r="AS351" i="11"/>
  <c r="AR351" i="11"/>
  <c r="AQ351" i="11"/>
  <c r="AP351" i="11"/>
  <c r="AO351" i="11"/>
  <c r="AN351" i="11"/>
  <c r="AM351" i="11"/>
  <c r="AL351" i="11"/>
  <c r="AK351" i="11"/>
  <c r="AJ351" i="11"/>
  <c r="AI351" i="11"/>
  <c r="AX347" i="11"/>
  <c r="AW347" i="11"/>
  <c r="AV347" i="11"/>
  <c r="AU347" i="11"/>
  <c r="AT347" i="11"/>
  <c r="AS347" i="11"/>
  <c r="AR347" i="11"/>
  <c r="AQ347" i="11"/>
  <c r="AP347" i="11"/>
  <c r="AO347" i="11"/>
  <c r="AN347" i="11"/>
  <c r="AM347" i="11"/>
  <c r="AL347" i="11"/>
  <c r="AK347" i="11"/>
  <c r="AJ347" i="11"/>
  <c r="AI347" i="11"/>
  <c r="AX343" i="11"/>
  <c r="AW343" i="11"/>
  <c r="AV343" i="11"/>
  <c r="AU343" i="11"/>
  <c r="AT343" i="11"/>
  <c r="AS343" i="11"/>
  <c r="AR343" i="11"/>
  <c r="AQ343" i="11"/>
  <c r="AP343" i="11"/>
  <c r="AO343" i="11"/>
  <c r="AN343" i="11"/>
  <c r="AM343" i="11"/>
  <c r="AL343" i="11"/>
  <c r="AK343" i="11"/>
  <c r="AJ343" i="11"/>
  <c r="AI343" i="11"/>
  <c r="AX331" i="11"/>
  <c r="AW331" i="11"/>
  <c r="AV331" i="11"/>
  <c r="AU331" i="11"/>
  <c r="AT331" i="11"/>
  <c r="AS331" i="11"/>
  <c r="AR331" i="11"/>
  <c r="AQ331" i="11"/>
  <c r="AP331" i="11"/>
  <c r="AO331" i="11"/>
  <c r="AN331" i="11"/>
  <c r="AM331" i="11"/>
  <c r="AL331" i="11"/>
  <c r="AK331" i="11"/>
  <c r="AJ331" i="11"/>
  <c r="AI331" i="11"/>
  <c r="AX327" i="11"/>
  <c r="AW327" i="11"/>
  <c r="AV327" i="11"/>
  <c r="AU327" i="11"/>
  <c r="AT327" i="11"/>
  <c r="AS327" i="11"/>
  <c r="AR327" i="11"/>
  <c r="AQ327" i="11"/>
  <c r="AP327" i="11"/>
  <c r="AO327" i="11"/>
  <c r="AN327" i="11"/>
  <c r="AM327" i="11"/>
  <c r="AL327" i="11"/>
  <c r="AK327" i="11"/>
  <c r="AJ327" i="11"/>
  <c r="AI327" i="11"/>
  <c r="AX322" i="11"/>
  <c r="AW322" i="11"/>
  <c r="AV322" i="11"/>
  <c r="AU322" i="11"/>
  <c r="AT322" i="11"/>
  <c r="AS322" i="11"/>
  <c r="AR322" i="11"/>
  <c r="AQ322" i="11"/>
  <c r="AP322" i="11"/>
  <c r="AO322" i="11"/>
  <c r="AN322" i="11"/>
  <c r="AM322" i="11"/>
  <c r="AL322" i="11"/>
  <c r="AK322" i="11"/>
  <c r="AJ322" i="11"/>
  <c r="AI322" i="11"/>
  <c r="AX318" i="11"/>
  <c r="AW318" i="11"/>
  <c r="AV318" i="11"/>
  <c r="AU318" i="11"/>
  <c r="AT318" i="11"/>
  <c r="AS318" i="11"/>
  <c r="AR318" i="11"/>
  <c r="AQ318" i="11"/>
  <c r="AP318" i="11"/>
  <c r="AO318" i="11"/>
  <c r="AN318" i="11"/>
  <c r="AM318" i="11"/>
  <c r="AL318" i="11"/>
  <c r="AK318" i="11"/>
  <c r="AJ318" i="11"/>
  <c r="AI318" i="11"/>
  <c r="AX314" i="11"/>
  <c r="AW314" i="11"/>
  <c r="AV314" i="11"/>
  <c r="AU314" i="11"/>
  <c r="AT314" i="11"/>
  <c r="AS314" i="11"/>
  <c r="AR314" i="11"/>
  <c r="AQ314" i="11"/>
  <c r="AP314" i="11"/>
  <c r="AO314" i="11"/>
  <c r="AN314" i="11"/>
  <c r="AM314" i="11"/>
  <c r="AL314" i="11"/>
  <c r="AK314" i="11"/>
  <c r="AJ314" i="11"/>
  <c r="AI314" i="11"/>
  <c r="AX302" i="11"/>
  <c r="AW302" i="11"/>
  <c r="AV302" i="11"/>
  <c r="AU302" i="11"/>
  <c r="AT302" i="11"/>
  <c r="AS302" i="11"/>
  <c r="AR302" i="11"/>
  <c r="AQ302" i="11"/>
  <c r="AP302" i="11"/>
  <c r="AO302" i="11"/>
  <c r="AN302" i="11"/>
  <c r="AM302" i="11"/>
  <c r="AL302" i="11"/>
  <c r="AK302" i="11"/>
  <c r="AJ302" i="11"/>
  <c r="AI302" i="11"/>
  <c r="AX298" i="11"/>
  <c r="AW298" i="11"/>
  <c r="AV298" i="11"/>
  <c r="AU298" i="11"/>
  <c r="AT298" i="11"/>
  <c r="AS298" i="11"/>
  <c r="AR298" i="11"/>
  <c r="AQ298" i="11"/>
  <c r="AP298" i="11"/>
  <c r="AO298" i="11"/>
  <c r="AN298" i="11"/>
  <c r="AM298" i="11"/>
  <c r="AL298" i="11"/>
  <c r="AK298" i="11"/>
  <c r="AJ298" i="11"/>
  <c r="AI298" i="11"/>
  <c r="AX293" i="11"/>
  <c r="AW293" i="11"/>
  <c r="AV293" i="11"/>
  <c r="AU293" i="11"/>
  <c r="AT293" i="11"/>
  <c r="AS293" i="11"/>
  <c r="AR293" i="11"/>
  <c r="AQ293" i="11"/>
  <c r="AP293" i="11"/>
  <c r="AO293" i="11"/>
  <c r="AN293" i="11"/>
  <c r="AM293" i="11"/>
  <c r="AL293" i="11"/>
  <c r="AK293" i="11"/>
  <c r="AJ293" i="11"/>
  <c r="AI293" i="11"/>
  <c r="AX289" i="11"/>
  <c r="AW289" i="11"/>
  <c r="AV289" i="11"/>
  <c r="AU289" i="11"/>
  <c r="AT289" i="11"/>
  <c r="AS289" i="11"/>
  <c r="AR289" i="11"/>
  <c r="AQ289" i="11"/>
  <c r="AP289" i="11"/>
  <c r="AO289" i="11"/>
  <c r="AN289" i="11"/>
  <c r="AM289" i="11"/>
  <c r="AL289" i="11"/>
  <c r="AK289" i="11"/>
  <c r="AJ289" i="11"/>
  <c r="AI289" i="11"/>
  <c r="AX285" i="11"/>
  <c r="AW285" i="11"/>
  <c r="AV285" i="11"/>
  <c r="AU285" i="11"/>
  <c r="AT285" i="11"/>
  <c r="AS285" i="11"/>
  <c r="AR285" i="11"/>
  <c r="AQ285" i="11"/>
  <c r="AP285" i="11"/>
  <c r="AO285" i="11"/>
  <c r="AN285" i="11"/>
  <c r="AM285" i="11"/>
  <c r="AL285" i="11"/>
  <c r="AK285" i="11"/>
  <c r="AJ285" i="11"/>
  <c r="AI285" i="11"/>
  <c r="AX273" i="11"/>
  <c r="AW273" i="11"/>
  <c r="AV273" i="11"/>
  <c r="AU273" i="11"/>
  <c r="AT273" i="11"/>
  <c r="AS273" i="11"/>
  <c r="AR273" i="11"/>
  <c r="AQ273" i="11"/>
  <c r="AP273" i="11"/>
  <c r="AO273" i="11"/>
  <c r="AN273" i="11"/>
  <c r="AM273" i="11"/>
  <c r="AL273" i="11"/>
  <c r="AK273" i="11"/>
  <c r="AJ273" i="11"/>
  <c r="AI273" i="11"/>
  <c r="AX269" i="11"/>
  <c r="AW269" i="11"/>
  <c r="AV269" i="11"/>
  <c r="AU269" i="11"/>
  <c r="AT269" i="11"/>
  <c r="AS269" i="11"/>
  <c r="AR269" i="11"/>
  <c r="AQ269" i="11"/>
  <c r="AP269" i="11"/>
  <c r="AO269" i="11"/>
  <c r="AN269" i="11"/>
  <c r="AM269" i="11"/>
  <c r="AL269" i="11"/>
  <c r="AK269" i="11"/>
  <c r="AJ269" i="11"/>
  <c r="AI269" i="11"/>
  <c r="AX264" i="11"/>
  <c r="AW264" i="11"/>
  <c r="AV264" i="11"/>
  <c r="AU264" i="11"/>
  <c r="AT264" i="11"/>
  <c r="AS264" i="11"/>
  <c r="AR264" i="11"/>
  <c r="AQ264" i="11"/>
  <c r="AP264" i="11"/>
  <c r="AO264" i="11"/>
  <c r="AN264" i="11"/>
  <c r="AM264" i="11"/>
  <c r="AL264" i="11"/>
  <c r="AK264" i="11"/>
  <c r="AJ264" i="11"/>
  <c r="AI264" i="11"/>
  <c r="AX260" i="11"/>
  <c r="AW260" i="11"/>
  <c r="AV260" i="11"/>
  <c r="AU260" i="11"/>
  <c r="AT260" i="11"/>
  <c r="AS260" i="11"/>
  <c r="AR260" i="11"/>
  <c r="AQ260" i="11"/>
  <c r="AP260" i="11"/>
  <c r="AO260" i="11"/>
  <c r="AN260" i="11"/>
  <c r="AM260" i="11"/>
  <c r="AL260" i="11"/>
  <c r="AK260" i="11"/>
  <c r="AJ260" i="11"/>
  <c r="AI260" i="11"/>
  <c r="AX256" i="11"/>
  <c r="AW256" i="11"/>
  <c r="AV256" i="11"/>
  <c r="AU256" i="11"/>
  <c r="AT256" i="11"/>
  <c r="AS256" i="11"/>
  <c r="AR256" i="11"/>
  <c r="AQ256" i="11"/>
  <c r="AP256" i="11"/>
  <c r="AO256" i="11"/>
  <c r="AN256" i="11"/>
  <c r="AM256" i="11"/>
  <c r="AL256" i="11"/>
  <c r="AK256" i="11"/>
  <c r="AJ256" i="11"/>
  <c r="AI256" i="11"/>
  <c r="AX244" i="11"/>
  <c r="AW244" i="11"/>
  <c r="AV244" i="11"/>
  <c r="AU244" i="11"/>
  <c r="AT244" i="11"/>
  <c r="AS244" i="11"/>
  <c r="AR244" i="11"/>
  <c r="AQ244" i="11"/>
  <c r="AP244" i="11"/>
  <c r="AO244" i="11"/>
  <c r="AN244" i="11"/>
  <c r="AM244" i="11"/>
  <c r="AL244" i="11"/>
  <c r="AK244" i="11"/>
  <c r="AJ244" i="11"/>
  <c r="AI244" i="11"/>
  <c r="AX240" i="11"/>
  <c r="AW240" i="11"/>
  <c r="AV240" i="11"/>
  <c r="AU240" i="11"/>
  <c r="AT240" i="11"/>
  <c r="AS240" i="11"/>
  <c r="AR240" i="11"/>
  <c r="AQ240" i="11"/>
  <c r="AP240" i="11"/>
  <c r="AO240" i="11"/>
  <c r="AN240" i="11"/>
  <c r="AM240" i="11"/>
  <c r="AL240" i="11"/>
  <c r="AK240" i="11"/>
  <c r="AJ240" i="11"/>
  <c r="AI240" i="11"/>
  <c r="AX235" i="11"/>
  <c r="AW235" i="11"/>
  <c r="AV235" i="11"/>
  <c r="AU235" i="11"/>
  <c r="AT235" i="11"/>
  <c r="AS235" i="11"/>
  <c r="AR235" i="11"/>
  <c r="AQ235" i="11"/>
  <c r="AP235" i="11"/>
  <c r="AO235" i="11"/>
  <c r="AN235" i="11"/>
  <c r="AM235" i="11"/>
  <c r="AL235" i="11"/>
  <c r="AK235" i="11"/>
  <c r="AJ235" i="11"/>
  <c r="AI235" i="11"/>
  <c r="AX231" i="11"/>
  <c r="AW231" i="11"/>
  <c r="AV231" i="11"/>
  <c r="AU231" i="11"/>
  <c r="AT231" i="11"/>
  <c r="AS231" i="11"/>
  <c r="AR231" i="11"/>
  <c r="AQ231" i="11"/>
  <c r="AP231" i="11"/>
  <c r="AO231" i="11"/>
  <c r="AN231" i="11"/>
  <c r="AM231" i="11"/>
  <c r="AL231" i="11"/>
  <c r="AK231" i="11"/>
  <c r="AJ231" i="11"/>
  <c r="AI231" i="11"/>
  <c r="AX227" i="11"/>
  <c r="AW227" i="11"/>
  <c r="AV227" i="11"/>
  <c r="AU227" i="11"/>
  <c r="AT227" i="11"/>
  <c r="AS227" i="11"/>
  <c r="AR227" i="11"/>
  <c r="AQ227" i="11"/>
  <c r="AP227" i="11"/>
  <c r="AO227" i="11"/>
  <c r="AN227" i="11"/>
  <c r="AM227" i="11"/>
  <c r="AL227" i="11"/>
  <c r="AK227" i="11"/>
  <c r="AJ227" i="11"/>
  <c r="AI227" i="11"/>
  <c r="AX215" i="11"/>
  <c r="AW215" i="11"/>
  <c r="AV215" i="11"/>
  <c r="AU215" i="11"/>
  <c r="AT215" i="11"/>
  <c r="AS215" i="11"/>
  <c r="AR215" i="11"/>
  <c r="AQ215" i="11"/>
  <c r="AP215" i="11"/>
  <c r="AO215" i="11"/>
  <c r="AN215" i="11"/>
  <c r="AM215" i="11"/>
  <c r="AL215" i="11"/>
  <c r="AK215" i="11"/>
  <c r="AJ215" i="11"/>
  <c r="AI215" i="11"/>
  <c r="AX211" i="11"/>
  <c r="AW211" i="11"/>
  <c r="AV211" i="11"/>
  <c r="AU211" i="11"/>
  <c r="AT211" i="11"/>
  <c r="AS211" i="11"/>
  <c r="AR211" i="11"/>
  <c r="AQ211" i="11"/>
  <c r="AP211" i="11"/>
  <c r="AO211" i="11"/>
  <c r="AN211" i="11"/>
  <c r="AM211" i="11"/>
  <c r="AL211" i="11"/>
  <c r="AK211" i="11"/>
  <c r="AJ211" i="11"/>
  <c r="AI211" i="11"/>
  <c r="AX206" i="11"/>
  <c r="AW206" i="11"/>
  <c r="AV206" i="11"/>
  <c r="AU206" i="11"/>
  <c r="AT206" i="11"/>
  <c r="AS206" i="11"/>
  <c r="AR206" i="11"/>
  <c r="AQ206" i="11"/>
  <c r="AP206" i="11"/>
  <c r="AO206" i="11"/>
  <c r="AN206" i="11"/>
  <c r="AM206" i="11"/>
  <c r="AL206" i="11"/>
  <c r="AK206" i="11"/>
  <c r="AJ206" i="11"/>
  <c r="AI206" i="11"/>
  <c r="AX202" i="11"/>
  <c r="AW202" i="11"/>
  <c r="AV202" i="11"/>
  <c r="AU202" i="11"/>
  <c r="AT202" i="11"/>
  <c r="AS202" i="11"/>
  <c r="AR202" i="11"/>
  <c r="AQ202" i="11"/>
  <c r="AP202" i="11"/>
  <c r="AO202" i="11"/>
  <c r="AN202" i="11"/>
  <c r="AM202" i="11"/>
  <c r="AL202" i="11"/>
  <c r="AK202" i="11"/>
  <c r="AJ202" i="11"/>
  <c r="AI202" i="11"/>
  <c r="AX198" i="11"/>
  <c r="AW198" i="11"/>
  <c r="AU198" i="11"/>
  <c r="AT198" i="11"/>
  <c r="AS198" i="11"/>
  <c r="AR198" i="11"/>
  <c r="AQ198" i="11"/>
  <c r="AP198" i="11"/>
  <c r="AO198" i="11"/>
  <c r="AN198" i="11"/>
  <c r="AM198" i="11"/>
  <c r="AL198" i="11"/>
  <c r="AK198" i="11"/>
  <c r="AJ198" i="11"/>
  <c r="AI198" i="11"/>
  <c r="AX186" i="11"/>
  <c r="AW186" i="11"/>
  <c r="AV186" i="11"/>
  <c r="AU186" i="11"/>
  <c r="AT186" i="11"/>
  <c r="AS186" i="11"/>
  <c r="AR186" i="11"/>
  <c r="AQ186" i="11"/>
  <c r="AP186" i="11"/>
  <c r="AO186" i="11"/>
  <c r="AN186" i="11"/>
  <c r="AM186" i="11"/>
  <c r="AL186" i="11"/>
  <c r="AK186" i="11"/>
  <c r="AJ186" i="11"/>
  <c r="AI186" i="11"/>
  <c r="AX182" i="11"/>
  <c r="AW182" i="11"/>
  <c r="AV182" i="11"/>
  <c r="AU182" i="11"/>
  <c r="AT182" i="11"/>
  <c r="AS182" i="11"/>
  <c r="AR182" i="11"/>
  <c r="AQ182" i="11"/>
  <c r="AP182" i="11"/>
  <c r="AO182" i="11"/>
  <c r="AN182" i="11"/>
  <c r="AM182" i="11"/>
  <c r="AL182" i="11"/>
  <c r="AK182" i="11"/>
  <c r="AJ182" i="11"/>
  <c r="AI182" i="11"/>
  <c r="AX177" i="11"/>
  <c r="AW177" i="11"/>
  <c r="AV177" i="11"/>
  <c r="AU177" i="11"/>
  <c r="AT177" i="11"/>
  <c r="AS177" i="11"/>
  <c r="AR177" i="11"/>
  <c r="AQ177" i="11"/>
  <c r="AP177" i="11"/>
  <c r="AO177" i="11"/>
  <c r="AN177" i="11"/>
  <c r="AM177" i="11"/>
  <c r="AL177" i="11"/>
  <c r="AK177" i="11"/>
  <c r="AJ177" i="11"/>
  <c r="AI177" i="11"/>
  <c r="AX173" i="11"/>
  <c r="AW173" i="11"/>
  <c r="AV173" i="11"/>
  <c r="AU173" i="11"/>
  <c r="AT173" i="11"/>
  <c r="AS173" i="11"/>
  <c r="AR173" i="11"/>
  <c r="AQ173" i="11"/>
  <c r="AP173" i="11"/>
  <c r="AO173" i="11"/>
  <c r="AN173" i="11"/>
  <c r="AM173" i="11"/>
  <c r="AL173" i="11"/>
  <c r="AK173" i="11"/>
  <c r="AJ173" i="11"/>
  <c r="AI173" i="11"/>
  <c r="AX169" i="11"/>
  <c r="AW169" i="11"/>
  <c r="AV169" i="11"/>
  <c r="AU169" i="11"/>
  <c r="AT169" i="11"/>
  <c r="AS169" i="11"/>
  <c r="AR169" i="11"/>
  <c r="AQ169" i="11"/>
  <c r="AP169" i="11"/>
  <c r="AO169" i="11"/>
  <c r="AN169" i="11"/>
  <c r="AM169" i="11"/>
  <c r="AL169" i="11"/>
  <c r="AK169" i="11"/>
  <c r="AJ169" i="11"/>
  <c r="AI169" i="11"/>
  <c r="AX157" i="11"/>
  <c r="AW157" i="11"/>
  <c r="AV157" i="11"/>
  <c r="AU157" i="11"/>
  <c r="AT157" i="11"/>
  <c r="AS157" i="11"/>
  <c r="AR157" i="11"/>
  <c r="AQ157" i="11"/>
  <c r="AP157" i="11"/>
  <c r="AO157" i="11"/>
  <c r="AN157" i="11"/>
  <c r="AM157" i="11"/>
  <c r="AL157" i="11"/>
  <c r="AK157" i="11"/>
  <c r="AJ157" i="11"/>
  <c r="AI157" i="11"/>
  <c r="AX153" i="11"/>
  <c r="AW153" i="11"/>
  <c r="AV153" i="11"/>
  <c r="AU153" i="11"/>
  <c r="AT153" i="11"/>
  <c r="AS153" i="11"/>
  <c r="AR153" i="11"/>
  <c r="AQ153" i="11"/>
  <c r="AP153" i="11"/>
  <c r="AO153" i="11"/>
  <c r="AN153" i="11"/>
  <c r="AM153" i="11"/>
  <c r="AL153" i="11"/>
  <c r="AK153" i="11"/>
  <c r="AJ153" i="11"/>
  <c r="AI153" i="11"/>
  <c r="AX148" i="11"/>
  <c r="AW148" i="11"/>
  <c r="AV148" i="11"/>
  <c r="AU148" i="11"/>
  <c r="AT148" i="11"/>
  <c r="AS148" i="11"/>
  <c r="AR148" i="11"/>
  <c r="AQ148" i="11"/>
  <c r="AP148" i="11"/>
  <c r="AO148" i="11"/>
  <c r="AN148" i="11"/>
  <c r="AM148" i="11"/>
  <c r="AL148" i="11"/>
  <c r="AK148" i="11"/>
  <c r="AJ148" i="11"/>
  <c r="AI148" i="11"/>
  <c r="AX144" i="11"/>
  <c r="AW144" i="11"/>
  <c r="AV144" i="11"/>
  <c r="AU144" i="11"/>
  <c r="AT144" i="11"/>
  <c r="AS144" i="11"/>
  <c r="AR144" i="11"/>
  <c r="AQ144" i="11"/>
  <c r="AP144" i="11"/>
  <c r="AO144" i="11"/>
  <c r="AN144" i="11"/>
  <c r="AM144" i="11"/>
  <c r="AL144" i="11"/>
  <c r="AK144" i="11"/>
  <c r="AJ144" i="11"/>
  <c r="AI144" i="11"/>
  <c r="AX140" i="11"/>
  <c r="AW140" i="11"/>
  <c r="AV140" i="11"/>
  <c r="AU140" i="11"/>
  <c r="AT140" i="11"/>
  <c r="AS140" i="11"/>
  <c r="AR140" i="11"/>
  <c r="AQ140" i="11"/>
  <c r="AP140" i="11"/>
  <c r="AO140" i="11"/>
  <c r="AN140" i="11"/>
  <c r="AM140" i="11"/>
  <c r="AL140" i="11"/>
  <c r="AK140" i="11"/>
  <c r="AJ140" i="11"/>
  <c r="AI140" i="11"/>
  <c r="AX128" i="11"/>
  <c r="AW128" i="11"/>
  <c r="AV128" i="11"/>
  <c r="AU128" i="11"/>
  <c r="AT128" i="11"/>
  <c r="AS128" i="11"/>
  <c r="AR128" i="11"/>
  <c r="AQ128" i="11"/>
  <c r="AP128" i="11"/>
  <c r="AO128" i="11"/>
  <c r="AN128" i="11"/>
  <c r="AM128" i="11"/>
  <c r="AL128" i="11"/>
  <c r="AK128" i="11"/>
  <c r="AJ128" i="11"/>
  <c r="AI128" i="11"/>
  <c r="AX124" i="11"/>
  <c r="AW124" i="11"/>
  <c r="AV124" i="11"/>
  <c r="AU124" i="11"/>
  <c r="AT124" i="11"/>
  <c r="AS124" i="11"/>
  <c r="AR124" i="11"/>
  <c r="AQ124" i="11"/>
  <c r="AP124" i="11"/>
  <c r="AO124" i="11"/>
  <c r="AN124" i="11"/>
  <c r="AM124" i="11"/>
  <c r="AL124" i="11"/>
  <c r="AK124" i="11"/>
  <c r="AJ124" i="11"/>
  <c r="AI124" i="11"/>
  <c r="AX119" i="11"/>
  <c r="AW119" i="11"/>
  <c r="AV119" i="11"/>
  <c r="AU119" i="11"/>
  <c r="AT119" i="11"/>
  <c r="AS119" i="11"/>
  <c r="AR119" i="11"/>
  <c r="AQ119" i="11"/>
  <c r="AP119" i="11"/>
  <c r="AO119" i="11"/>
  <c r="AN119" i="11"/>
  <c r="AM119" i="11"/>
  <c r="AL119" i="11"/>
  <c r="AK119" i="11"/>
  <c r="AJ119" i="11"/>
  <c r="AI119" i="11"/>
  <c r="AX115" i="11"/>
  <c r="AW115" i="11"/>
  <c r="AV115" i="11"/>
  <c r="AU115" i="11"/>
  <c r="AT115" i="11"/>
  <c r="AS115" i="11"/>
  <c r="AR115" i="11"/>
  <c r="AQ115" i="11"/>
  <c r="AP115" i="11"/>
  <c r="AO115" i="11"/>
  <c r="AN115" i="11"/>
  <c r="AM115" i="11"/>
  <c r="AL115" i="11"/>
  <c r="AK115" i="11"/>
  <c r="AJ115" i="11"/>
  <c r="AI115" i="11"/>
  <c r="AX111" i="11"/>
  <c r="AW111" i="11"/>
  <c r="AV111" i="11"/>
  <c r="AU111" i="11"/>
  <c r="AT111" i="11"/>
  <c r="AS111" i="11"/>
  <c r="AR111" i="11"/>
  <c r="AQ111" i="11"/>
  <c r="AP111" i="11"/>
  <c r="AO111" i="11"/>
  <c r="AN111" i="11"/>
  <c r="AM111" i="11"/>
  <c r="AL111" i="11"/>
  <c r="AK111" i="11"/>
  <c r="AJ111" i="11"/>
  <c r="AI111" i="11"/>
  <c r="AX99" i="11"/>
  <c r="AW99" i="11"/>
  <c r="AV99" i="11"/>
  <c r="AU99" i="11"/>
  <c r="AT99" i="11"/>
  <c r="AS99" i="11"/>
  <c r="AR99" i="11"/>
  <c r="AQ99" i="11"/>
  <c r="AP99" i="11"/>
  <c r="AO99" i="11"/>
  <c r="AN99" i="11"/>
  <c r="AM99" i="11"/>
  <c r="AL99" i="11"/>
  <c r="AK99" i="11"/>
  <c r="AJ99" i="11"/>
  <c r="AI99" i="11"/>
  <c r="AX95" i="11"/>
  <c r="AW95" i="11"/>
  <c r="AV95" i="11"/>
  <c r="AU95" i="11"/>
  <c r="AT95" i="11"/>
  <c r="AS95" i="11"/>
  <c r="AR95" i="11"/>
  <c r="AQ95" i="11"/>
  <c r="AP95" i="11"/>
  <c r="AO95" i="11"/>
  <c r="AN95" i="11"/>
  <c r="AM95" i="11"/>
  <c r="AL95" i="11"/>
  <c r="AK95" i="11"/>
  <c r="AJ95" i="11"/>
  <c r="AI95" i="11"/>
  <c r="AX90" i="11"/>
  <c r="AW90" i="11"/>
  <c r="AV90" i="11"/>
  <c r="AU90" i="11"/>
  <c r="AT90" i="11"/>
  <c r="AS90" i="11"/>
  <c r="AR90" i="11"/>
  <c r="AQ90" i="11"/>
  <c r="AP90" i="11"/>
  <c r="AO90" i="11"/>
  <c r="AN90" i="11"/>
  <c r="AM90" i="11"/>
  <c r="AL90" i="11"/>
  <c r="AK90" i="11"/>
  <c r="AJ90" i="11"/>
  <c r="AI90" i="11"/>
  <c r="AX86" i="11"/>
  <c r="AW86" i="11"/>
  <c r="AV86" i="11"/>
  <c r="AU86" i="11"/>
  <c r="AT86" i="11"/>
  <c r="AS86" i="11"/>
  <c r="AR86" i="11"/>
  <c r="AQ86" i="11"/>
  <c r="AP86" i="11"/>
  <c r="AO86" i="11"/>
  <c r="AN86" i="11"/>
  <c r="AM86" i="11"/>
  <c r="AL86" i="11"/>
  <c r="AK86" i="11"/>
  <c r="AJ86" i="11"/>
  <c r="AI86" i="11"/>
  <c r="AX82" i="11"/>
  <c r="AW82" i="11"/>
  <c r="AV82" i="11"/>
  <c r="AU82" i="11"/>
  <c r="AT82" i="11"/>
  <c r="AS82" i="11"/>
  <c r="AR82" i="11"/>
  <c r="AQ82" i="11"/>
  <c r="AP82" i="11"/>
  <c r="AO82" i="11"/>
  <c r="AN82" i="11"/>
  <c r="AM82" i="11"/>
  <c r="AL82" i="11"/>
  <c r="AK82" i="11"/>
  <c r="AJ82" i="11"/>
  <c r="AI82" i="11"/>
  <c r="AX70" i="11"/>
  <c r="AW70" i="11"/>
  <c r="AV70" i="11"/>
  <c r="AU70" i="11"/>
  <c r="AT70" i="11"/>
  <c r="AS70" i="11"/>
  <c r="AR70" i="11"/>
  <c r="AQ70" i="11"/>
  <c r="AP70" i="11"/>
  <c r="AO70" i="11"/>
  <c r="AN70" i="11"/>
  <c r="AM70" i="11"/>
  <c r="AL70" i="11"/>
  <c r="AK70" i="11"/>
  <c r="AJ70" i="11"/>
  <c r="AI70" i="11"/>
  <c r="AX66" i="11"/>
  <c r="AW66" i="11"/>
  <c r="AV66" i="11"/>
  <c r="AU66" i="11"/>
  <c r="AT66" i="11"/>
  <c r="AS66" i="11"/>
  <c r="AR66" i="11"/>
  <c r="AQ66" i="11"/>
  <c r="AP66" i="11"/>
  <c r="AO66" i="11"/>
  <c r="AN66" i="11"/>
  <c r="AM66" i="11"/>
  <c r="AL66" i="11"/>
  <c r="AK66" i="11"/>
  <c r="AJ66" i="11"/>
  <c r="AI66" i="11"/>
  <c r="AX61" i="11"/>
  <c r="AW61" i="11"/>
  <c r="AV61" i="11"/>
  <c r="AU61" i="11"/>
  <c r="AT61" i="11"/>
  <c r="AS61" i="11"/>
  <c r="AR61" i="11"/>
  <c r="AQ61" i="11"/>
  <c r="AP61" i="11"/>
  <c r="AO61" i="11"/>
  <c r="AN61" i="11"/>
  <c r="AM61" i="11"/>
  <c r="AL61" i="11"/>
  <c r="AK61" i="11"/>
  <c r="AJ61" i="11"/>
  <c r="AI61" i="11"/>
  <c r="AX57" i="11"/>
  <c r="AW57" i="11"/>
  <c r="AV57" i="11"/>
  <c r="AU57" i="11"/>
  <c r="AT57" i="11"/>
  <c r="AS57" i="11"/>
  <c r="AR57" i="11"/>
  <c r="AQ57" i="11"/>
  <c r="AP57" i="11"/>
  <c r="AO57" i="11"/>
  <c r="AN57" i="11"/>
  <c r="AM57" i="11"/>
  <c r="AL57" i="11"/>
  <c r="AK57" i="11"/>
  <c r="AJ57" i="11"/>
  <c r="AI57" i="11"/>
  <c r="AX53" i="11"/>
  <c r="AW53" i="11"/>
  <c r="AV53" i="11"/>
  <c r="AU53" i="11"/>
  <c r="AT53" i="11"/>
  <c r="AS53" i="11"/>
  <c r="AR53" i="11"/>
  <c r="AQ53" i="11"/>
  <c r="AP53" i="11"/>
  <c r="AO53" i="11"/>
  <c r="AN53" i="11"/>
  <c r="AM53" i="11"/>
  <c r="AL53" i="11"/>
  <c r="AK53" i="11"/>
  <c r="AJ53" i="11"/>
  <c r="AI53" i="11"/>
  <c r="AX41" i="11"/>
  <c r="AW41" i="11"/>
  <c r="AV41" i="11"/>
  <c r="AU41" i="11"/>
  <c r="AT41" i="11"/>
  <c r="AS41" i="11"/>
  <c r="AR41" i="11"/>
  <c r="AQ41" i="11"/>
  <c r="AP41" i="11"/>
  <c r="AO41" i="11"/>
  <c r="AN41" i="11"/>
  <c r="AM41" i="11"/>
  <c r="AL41" i="11"/>
  <c r="AK41" i="11"/>
  <c r="AJ41" i="11"/>
  <c r="AI41" i="11"/>
  <c r="AX37" i="11"/>
  <c r="AW37" i="11"/>
  <c r="AV37" i="11"/>
  <c r="AU37" i="11"/>
  <c r="AT37" i="11"/>
  <c r="AS37" i="11"/>
  <c r="AR37" i="11"/>
  <c r="AQ37" i="11"/>
  <c r="AP37" i="11"/>
  <c r="AO37" i="11"/>
  <c r="AN37" i="11"/>
  <c r="AM37" i="11"/>
  <c r="AL37" i="11"/>
  <c r="AK37" i="11"/>
  <c r="AJ37" i="11"/>
  <c r="AI37" i="11"/>
  <c r="AH32" i="11"/>
  <c r="AG32" i="11"/>
  <c r="AF32" i="11"/>
  <c r="AE32" i="11"/>
  <c r="AD32" i="11"/>
  <c r="AC32" i="11"/>
  <c r="AB32" i="11"/>
  <c r="AA32" i="11"/>
  <c r="Z32" i="11"/>
  <c r="Y32" i="11"/>
  <c r="X32" i="11"/>
  <c r="W32" i="11"/>
  <c r="V32" i="11"/>
  <c r="U32" i="11"/>
  <c r="T32" i="11"/>
  <c r="S32" i="11"/>
  <c r="AH30" i="11"/>
  <c r="AG30" i="11"/>
  <c r="AF30" i="11"/>
  <c r="AE30" i="11"/>
  <c r="AD30" i="11"/>
  <c r="AT32" i="11" s="1"/>
  <c r="AC30" i="11"/>
  <c r="AB30" i="11"/>
  <c r="AA30" i="11"/>
  <c r="Z30" i="11"/>
  <c r="Y30" i="11"/>
  <c r="X30" i="11"/>
  <c r="W30" i="11"/>
  <c r="V30" i="11"/>
  <c r="U30" i="11"/>
  <c r="T30" i="11"/>
  <c r="S30" i="11"/>
  <c r="AH28" i="11"/>
  <c r="L490" i="7" s="1"/>
  <c r="AG28" i="11"/>
  <c r="L550" i="7" s="1"/>
  <c r="AF28" i="11"/>
  <c r="L520" i="7" s="1"/>
  <c r="AE28" i="11"/>
  <c r="L310" i="7" s="1"/>
  <c r="AD28" i="11"/>
  <c r="AC28" i="11"/>
  <c r="L430" i="7" s="1"/>
  <c r="AB28" i="11"/>
  <c r="L400" i="7" s="1"/>
  <c r="AA28" i="11"/>
  <c r="L370" i="7" s="1"/>
  <c r="Z28" i="11"/>
  <c r="L340" i="7" s="1"/>
  <c r="Y28" i="11"/>
  <c r="X28" i="11"/>
  <c r="W28" i="11"/>
  <c r="V28" i="11"/>
  <c r="U28" i="11"/>
  <c r="T28" i="11"/>
  <c r="S28" i="11"/>
  <c r="AX28" i="11"/>
  <c r="AV28" i="11"/>
  <c r="AU28" i="11"/>
  <c r="AT28" i="11"/>
  <c r="AS28" i="11"/>
  <c r="AR28" i="11"/>
  <c r="AP28" i="11"/>
  <c r="AO28" i="11"/>
  <c r="AN28" i="11"/>
  <c r="AM28" i="11"/>
  <c r="AL28" i="11"/>
  <c r="AK28" i="11"/>
  <c r="AJ28" i="11"/>
  <c r="AI28" i="11"/>
  <c r="AH22" i="11"/>
  <c r="AG22" i="11"/>
  <c r="AF22" i="11"/>
  <c r="AE22" i="11"/>
  <c r="AD22" i="11"/>
  <c r="AT24" i="11" s="1"/>
  <c r="AC22" i="11"/>
  <c r="AB22" i="11"/>
  <c r="AA22" i="11"/>
  <c r="Z22" i="11"/>
  <c r="Y22" i="11"/>
  <c r="X22" i="11"/>
  <c r="W22" i="11"/>
  <c r="V22" i="11"/>
  <c r="U22" i="11"/>
  <c r="T22" i="11"/>
  <c r="S22" i="11"/>
  <c r="AH16" i="11"/>
  <c r="F490" i="7" s="1"/>
  <c r="AG16" i="11"/>
  <c r="F550" i="7" s="1"/>
  <c r="G550" i="7" s="1"/>
  <c r="AF16" i="11"/>
  <c r="F520" i="7" s="1"/>
  <c r="AE16" i="11"/>
  <c r="F310" i="7" s="1"/>
  <c r="AD16" i="11"/>
  <c r="AC16" i="11"/>
  <c r="F430" i="7" s="1"/>
  <c r="AB16" i="11"/>
  <c r="F400" i="7" s="1"/>
  <c r="AA16" i="11"/>
  <c r="F370" i="7" s="1"/>
  <c r="Z16" i="11"/>
  <c r="F340" i="7" s="1"/>
  <c r="Y16" i="11"/>
  <c r="X16" i="11"/>
  <c r="W16" i="11"/>
  <c r="V16" i="11"/>
  <c r="U16" i="11"/>
  <c r="T16" i="11"/>
  <c r="S16" i="11"/>
  <c r="AH12" i="11"/>
  <c r="D490" i="7" s="1"/>
  <c r="AG12" i="11"/>
  <c r="D550" i="7" s="1"/>
  <c r="E550" i="7" s="1"/>
  <c r="AF12" i="11"/>
  <c r="D520" i="7" s="1"/>
  <c r="AE12" i="11"/>
  <c r="D310" i="7" s="1"/>
  <c r="AD12" i="11"/>
  <c r="AC12" i="11"/>
  <c r="D430" i="7" s="1"/>
  <c r="AB12" i="11"/>
  <c r="D400" i="7" s="1"/>
  <c r="AA12" i="11"/>
  <c r="D370" i="7" s="1"/>
  <c r="Z12" i="11"/>
  <c r="D340" i="7" s="1"/>
  <c r="Y12" i="11"/>
  <c r="D100" i="7" s="1"/>
  <c r="X12" i="11"/>
  <c r="D280" i="7" s="1"/>
  <c r="W12" i="11"/>
  <c r="D250" i="7" s="1"/>
  <c r="V12" i="11"/>
  <c r="D220" i="7" s="1"/>
  <c r="U12" i="11"/>
  <c r="D190" i="7" s="1"/>
  <c r="T12" i="11"/>
  <c r="D160" i="7" s="1"/>
  <c r="S12" i="11"/>
  <c r="D130" i="7" s="1"/>
  <c r="AH10" i="11"/>
  <c r="AG10" i="11"/>
  <c r="AF10" i="11"/>
  <c r="AE10" i="11"/>
  <c r="AD10" i="11"/>
  <c r="AT12" i="11" s="1"/>
  <c r="AC10" i="11"/>
  <c r="AB10" i="11"/>
  <c r="AA10" i="11"/>
  <c r="Z10" i="11"/>
  <c r="Y10" i="11"/>
  <c r="X10" i="11"/>
  <c r="W10" i="11"/>
  <c r="D250" i="8" s="1"/>
  <c r="V10" i="11"/>
  <c r="U10" i="11"/>
  <c r="T10" i="11"/>
  <c r="S10" i="11"/>
  <c r="AH8" i="11"/>
  <c r="B490" i="7" s="1"/>
  <c r="AG8" i="11"/>
  <c r="B550" i="7" s="1"/>
  <c r="C550" i="7" s="1"/>
  <c r="AF8" i="11"/>
  <c r="B520" i="7" s="1"/>
  <c r="AE8" i="11"/>
  <c r="B310" i="7" s="1"/>
  <c r="AD8" i="11"/>
  <c r="AC8" i="11"/>
  <c r="B430" i="7" s="1"/>
  <c r="AB8" i="11"/>
  <c r="B400" i="7" s="1"/>
  <c r="AA8" i="11"/>
  <c r="B370" i="7" s="1"/>
  <c r="Z8" i="11"/>
  <c r="B340" i="7" s="1"/>
  <c r="Y8" i="11"/>
  <c r="B100" i="7" s="1"/>
  <c r="X8" i="11"/>
  <c r="B280" i="7" s="1"/>
  <c r="W8" i="11"/>
  <c r="B250" i="7" s="1"/>
  <c r="V8" i="11"/>
  <c r="B220" i="7" s="1"/>
  <c r="U8" i="11"/>
  <c r="B190" i="7" s="1"/>
  <c r="T8" i="11"/>
  <c r="B160" i="7" s="1"/>
  <c r="S8" i="11"/>
  <c r="B130" i="7" s="1"/>
  <c r="T6" i="11"/>
  <c r="B160" i="8" s="1"/>
  <c r="U6" i="11"/>
  <c r="B190" i="8" s="1"/>
  <c r="V6" i="11"/>
  <c r="B220" i="8" s="1"/>
  <c r="W6" i="11"/>
  <c r="X6" i="11"/>
  <c r="B280" i="8" s="1"/>
  <c r="Y6" i="11"/>
  <c r="B100" i="8" s="1"/>
  <c r="Z6" i="11"/>
  <c r="AA6" i="11"/>
  <c r="AB6" i="11"/>
  <c r="AC6" i="11"/>
  <c r="AD6" i="11"/>
  <c r="AT8" i="11" s="1"/>
  <c r="AE6" i="11"/>
  <c r="AF6" i="11"/>
  <c r="AG6" i="11"/>
  <c r="AH6" i="11"/>
  <c r="S6" i="11"/>
  <c r="BN1" i="4"/>
  <c r="BZ1" i="4" s="1"/>
  <c r="CL1" i="4" s="1"/>
  <c r="BO1" i="4"/>
  <c r="CA1" i="4" s="1"/>
  <c r="CM1" i="4" s="1"/>
  <c r="BP1" i="4"/>
  <c r="CB1" i="4" s="1"/>
  <c r="CN1" i="4" s="1"/>
  <c r="BQ1" i="4"/>
  <c r="CC1" i="4" s="1"/>
  <c r="CO1" i="4" s="1"/>
  <c r="BR1" i="4"/>
  <c r="CD1" i="4" s="1"/>
  <c r="CP1" i="4" s="1"/>
  <c r="BS1" i="4"/>
  <c r="CE1" i="4" s="1"/>
  <c r="CQ1" i="4" s="1"/>
  <c r="BT1" i="4"/>
  <c r="CF1" i="4" s="1"/>
  <c r="CR1" i="4" s="1"/>
  <c r="BU1" i="4"/>
  <c r="CG1" i="4" s="1"/>
  <c r="CS1" i="4" s="1"/>
  <c r="BV1" i="4"/>
  <c r="CH1" i="4" s="1"/>
  <c r="CT1" i="4" s="1"/>
  <c r="BW1" i="4"/>
  <c r="CI1" i="4" s="1"/>
  <c r="CU1" i="4" s="1"/>
  <c r="BX1" i="4"/>
  <c r="CJ1" i="4" s="1"/>
  <c r="BY1" i="4"/>
  <c r="CK1" i="4" s="1"/>
  <c r="DK1" i="4"/>
  <c r="DY1" i="4" s="1"/>
  <c r="DJ1" i="4"/>
  <c r="DX1" i="4" s="1"/>
  <c r="DI1" i="4"/>
  <c r="DH1" i="4"/>
  <c r="DG1" i="4"/>
  <c r="DF1" i="4"/>
  <c r="DE1" i="4"/>
  <c r="DD1" i="4"/>
  <c r="DC1" i="4"/>
  <c r="DB1" i="4"/>
  <c r="DA1" i="4"/>
  <c r="CZ1" i="4"/>
  <c r="AW28" i="11" l="1"/>
  <c r="AN12" i="11"/>
  <c r="D280" i="8"/>
  <c r="G520" i="7"/>
  <c r="G527" i="7"/>
  <c r="G526" i="7"/>
  <c r="AV32" i="11"/>
  <c r="N520" i="8"/>
  <c r="B70" i="8"/>
  <c r="AS8" i="11"/>
  <c r="B430" i="8"/>
  <c r="C190" i="8"/>
  <c r="C198" i="8"/>
  <c r="C206" i="8"/>
  <c r="C205" i="8"/>
  <c r="C193" i="8"/>
  <c r="C196" i="8"/>
  <c r="C202" i="8"/>
  <c r="C191" i="8"/>
  <c r="C192" i="8"/>
  <c r="C197" i="8"/>
  <c r="C203" i="8"/>
  <c r="C208" i="8"/>
  <c r="C195" i="8"/>
  <c r="C201" i="8"/>
  <c r="C207" i="8"/>
  <c r="C100" i="7"/>
  <c r="C101" i="7"/>
  <c r="C106" i="7"/>
  <c r="C111" i="7"/>
  <c r="C102" i="7"/>
  <c r="C107" i="7"/>
  <c r="C112" i="7"/>
  <c r="C116" i="7"/>
  <c r="C105" i="7"/>
  <c r="C110" i="7"/>
  <c r="C115" i="7"/>
  <c r="C118" i="7"/>
  <c r="C113" i="7"/>
  <c r="C103" i="7"/>
  <c r="C108" i="7"/>
  <c r="C117" i="7"/>
  <c r="AO12" i="11"/>
  <c r="D100" i="8"/>
  <c r="AW12" i="11"/>
  <c r="D550" i="8"/>
  <c r="E550" i="8" s="1"/>
  <c r="E100" i="7"/>
  <c r="E105" i="7"/>
  <c r="E110" i="7"/>
  <c r="E115" i="7"/>
  <c r="E118" i="7"/>
  <c r="E101" i="7"/>
  <c r="E106" i="7"/>
  <c r="E111" i="7"/>
  <c r="E103" i="7"/>
  <c r="E108" i="7"/>
  <c r="E113" i="7"/>
  <c r="E117" i="7"/>
  <c r="E107" i="7"/>
  <c r="E102" i="7"/>
  <c r="E112" i="7"/>
  <c r="E116" i="7"/>
  <c r="AO16" i="11"/>
  <c r="F100" i="7"/>
  <c r="AO24" i="11"/>
  <c r="J100" i="8"/>
  <c r="AW24" i="11"/>
  <c r="J550" i="8"/>
  <c r="K550" i="8" s="1"/>
  <c r="M550" i="7"/>
  <c r="M565" i="7"/>
  <c r="M562" i="7"/>
  <c r="AO32" i="11"/>
  <c r="N10" i="8"/>
  <c r="L100" i="8"/>
  <c r="AW32" i="11"/>
  <c r="N550" i="8"/>
  <c r="D70" i="8"/>
  <c r="L100" i="7"/>
  <c r="N10" i="7"/>
  <c r="N550" i="7"/>
  <c r="D70" i="7"/>
  <c r="AR8" i="11"/>
  <c r="B400" i="8"/>
  <c r="C160" i="8"/>
  <c r="C167" i="8"/>
  <c r="C168" i="8"/>
  <c r="C177" i="8"/>
  <c r="C175" i="8"/>
  <c r="C165" i="8"/>
  <c r="C170" i="8"/>
  <c r="C163" i="8"/>
  <c r="C176" i="8"/>
  <c r="C171" i="8"/>
  <c r="C340" i="7"/>
  <c r="C356" i="7"/>
  <c r="C358" i="7"/>
  <c r="C345" i="7"/>
  <c r="C490" i="7"/>
  <c r="C496" i="7"/>
  <c r="C497" i="7"/>
  <c r="AP12" i="11"/>
  <c r="D340" i="8"/>
  <c r="AX12" i="11"/>
  <c r="D490" i="8"/>
  <c r="E340" i="7"/>
  <c r="E345" i="7"/>
  <c r="E356" i="7"/>
  <c r="E358" i="7"/>
  <c r="E490" i="7"/>
  <c r="E496" i="7"/>
  <c r="E497" i="7"/>
  <c r="G340" i="7"/>
  <c r="G358" i="7"/>
  <c r="G345" i="7"/>
  <c r="G356" i="7"/>
  <c r="G490" i="7"/>
  <c r="G496" i="7"/>
  <c r="G497" i="7"/>
  <c r="AP24" i="11"/>
  <c r="J340" i="8"/>
  <c r="AX24" i="11"/>
  <c r="J490" i="8"/>
  <c r="M340" i="7"/>
  <c r="M356" i="7"/>
  <c r="M343" i="7"/>
  <c r="M352" i="7"/>
  <c r="M490" i="7"/>
  <c r="M495" i="7"/>
  <c r="M505" i="7"/>
  <c r="M502" i="7"/>
  <c r="AP32" i="11"/>
  <c r="N340" i="8"/>
  <c r="B40" i="8"/>
  <c r="AX32" i="11"/>
  <c r="F70" i="8"/>
  <c r="N490" i="8"/>
  <c r="N340" i="7"/>
  <c r="B40" i="7"/>
  <c r="N490" i="7"/>
  <c r="F70" i="7"/>
  <c r="C280" i="7"/>
  <c r="C281" i="7"/>
  <c r="C293" i="7"/>
  <c r="C287" i="7"/>
  <c r="C283" i="7"/>
  <c r="C285" i="7"/>
  <c r="C291" i="7"/>
  <c r="C296" i="7"/>
  <c r="C292" i="7"/>
  <c r="C298" i="7"/>
  <c r="C288" i="7"/>
  <c r="C297" i="7"/>
  <c r="AV12" i="11"/>
  <c r="D520" i="8"/>
  <c r="AN24" i="11"/>
  <c r="J280" i="8"/>
  <c r="M520" i="7"/>
  <c r="M535" i="7"/>
  <c r="M532" i="7"/>
  <c r="M525" i="7"/>
  <c r="N520" i="7"/>
  <c r="B70" i="7"/>
  <c r="AI8" i="11"/>
  <c r="B130" i="8"/>
  <c r="C370" i="7"/>
  <c r="C378" i="7"/>
  <c r="C386" i="7"/>
  <c r="C377" i="7"/>
  <c r="C375" i="7"/>
  <c r="C376" i="7"/>
  <c r="C385" i="7"/>
  <c r="AQ12" i="11"/>
  <c r="D370" i="8"/>
  <c r="G370" i="7"/>
  <c r="G375" i="7"/>
  <c r="G386" i="7"/>
  <c r="G376" i="7"/>
  <c r="G385" i="7"/>
  <c r="G378" i="7"/>
  <c r="G377" i="7"/>
  <c r="M370" i="7"/>
  <c r="M371" i="7"/>
  <c r="M372" i="7"/>
  <c r="M373" i="7"/>
  <c r="M380" i="7"/>
  <c r="M382" i="7"/>
  <c r="M386" i="7"/>
  <c r="L130" i="7"/>
  <c r="B10" i="7"/>
  <c r="AP8" i="11"/>
  <c r="B340" i="8"/>
  <c r="E160" i="7"/>
  <c r="E170" i="7"/>
  <c r="E163" i="7"/>
  <c r="E175" i="7"/>
  <c r="E168" i="7"/>
  <c r="E176" i="7"/>
  <c r="E177" i="7"/>
  <c r="E171" i="7"/>
  <c r="E165" i="7"/>
  <c r="E167" i="7"/>
  <c r="AJ16" i="11"/>
  <c r="F160" i="7"/>
  <c r="AJ24" i="11"/>
  <c r="J160" i="8"/>
  <c r="L160" i="8"/>
  <c r="D10" i="8"/>
  <c r="N400" i="7"/>
  <c r="F40" i="7"/>
  <c r="C190" i="7"/>
  <c r="C195" i="7"/>
  <c r="C207" i="7"/>
  <c r="C198" i="7"/>
  <c r="C205" i="7"/>
  <c r="C193" i="7"/>
  <c r="C206" i="7"/>
  <c r="C192" i="7"/>
  <c r="C202" i="7"/>
  <c r="C196" i="7"/>
  <c r="C197" i="7"/>
  <c r="C203" i="7"/>
  <c r="C201" i="7"/>
  <c r="C208" i="7"/>
  <c r="C191" i="7"/>
  <c r="AS12" i="11"/>
  <c r="D430" i="8"/>
  <c r="AK24" i="11"/>
  <c r="J190" i="8"/>
  <c r="M430" i="7"/>
  <c r="M433" i="7"/>
  <c r="M440" i="7"/>
  <c r="M442" i="7"/>
  <c r="M431" i="7"/>
  <c r="AK32" i="11"/>
  <c r="L190" i="8"/>
  <c r="F10" i="8"/>
  <c r="AS32" i="11"/>
  <c r="N430" i="8"/>
  <c r="H40" i="8"/>
  <c r="L190" i="7"/>
  <c r="F10" i="7"/>
  <c r="N430" i="7"/>
  <c r="H40" i="7"/>
  <c r="C520" i="7"/>
  <c r="C526" i="7"/>
  <c r="C527" i="7"/>
  <c r="E520" i="7"/>
  <c r="E526" i="7"/>
  <c r="E527" i="7"/>
  <c r="AN32" i="11"/>
  <c r="L280" i="8"/>
  <c r="L10" i="8"/>
  <c r="AQ8" i="11"/>
  <c r="B370" i="8"/>
  <c r="AI12" i="11"/>
  <c r="D130" i="8"/>
  <c r="E370" i="7"/>
  <c r="E385" i="7"/>
  <c r="E378" i="7"/>
  <c r="E377" i="7"/>
  <c r="E376" i="7"/>
  <c r="E375" i="7"/>
  <c r="E386" i="7"/>
  <c r="AI24" i="11"/>
  <c r="J130" i="8"/>
  <c r="AI32" i="11"/>
  <c r="L130" i="8"/>
  <c r="B10" i="8"/>
  <c r="N370" i="7"/>
  <c r="D40" i="7"/>
  <c r="AX8" i="11"/>
  <c r="B490" i="8"/>
  <c r="C400" i="7"/>
  <c r="C415" i="7"/>
  <c r="C407" i="7"/>
  <c r="C416" i="7"/>
  <c r="C418" i="7"/>
  <c r="C408" i="7"/>
  <c r="C406" i="7"/>
  <c r="C401" i="7"/>
  <c r="C405" i="7"/>
  <c r="AJ12" i="11"/>
  <c r="D160" i="8"/>
  <c r="E400" i="7"/>
  <c r="E405" i="7"/>
  <c r="E406" i="7"/>
  <c r="E407" i="7"/>
  <c r="E416" i="7"/>
  <c r="E401" i="7"/>
  <c r="E408" i="7"/>
  <c r="E415" i="7"/>
  <c r="E418" i="7"/>
  <c r="AR24" i="11"/>
  <c r="J400" i="8"/>
  <c r="M416" i="7"/>
  <c r="M400" i="7"/>
  <c r="M410" i="7"/>
  <c r="M412" i="7"/>
  <c r="M402" i="7"/>
  <c r="M403" i="7"/>
  <c r="M401" i="7"/>
  <c r="L160" i="7"/>
  <c r="D10" i="7"/>
  <c r="AW8" i="11"/>
  <c r="B550" i="8"/>
  <c r="C550" i="8" s="1"/>
  <c r="C430" i="7"/>
  <c r="C431" i="7"/>
  <c r="C437" i="7"/>
  <c r="C443" i="7"/>
  <c r="C448" i="7"/>
  <c r="C438" i="7"/>
  <c r="C435" i="7"/>
  <c r="C447" i="7"/>
  <c r="C436" i="7"/>
  <c r="C446" i="7"/>
  <c r="E190" i="7"/>
  <c r="E192" i="7"/>
  <c r="E196" i="7"/>
  <c r="E197" i="7"/>
  <c r="E203" i="7"/>
  <c r="E201" i="7"/>
  <c r="E206" i="7"/>
  <c r="E191" i="7"/>
  <c r="E208" i="7"/>
  <c r="E193" i="7"/>
  <c r="E198" i="7"/>
  <c r="E202" i="7"/>
  <c r="E195" i="7"/>
  <c r="E205" i="7"/>
  <c r="E207" i="7"/>
  <c r="G430" i="7"/>
  <c r="G437" i="7"/>
  <c r="G443" i="7"/>
  <c r="G448" i="7"/>
  <c r="G435" i="7"/>
  <c r="G447" i="7"/>
  <c r="G431" i="7"/>
  <c r="G438" i="7"/>
  <c r="G436" i="7"/>
  <c r="G446" i="7"/>
  <c r="AV8" i="11"/>
  <c r="B520" i="8"/>
  <c r="C280" i="8"/>
  <c r="C287" i="8"/>
  <c r="C293" i="8"/>
  <c r="C281" i="8"/>
  <c r="C288" i="8"/>
  <c r="C297" i="8"/>
  <c r="C298" i="8"/>
  <c r="C283" i="8"/>
  <c r="C291" i="8"/>
  <c r="C292" i="8"/>
  <c r="C296" i="8"/>
  <c r="C285" i="8"/>
  <c r="C220" i="7"/>
  <c r="C223" i="7"/>
  <c r="C221" i="7"/>
  <c r="C236" i="7"/>
  <c r="C226" i="7"/>
  <c r="C227" i="7"/>
  <c r="C231" i="7"/>
  <c r="C237" i="7"/>
  <c r="C233" i="7"/>
  <c r="C230" i="7"/>
  <c r="C228" i="7"/>
  <c r="C225" i="7"/>
  <c r="C232" i="7"/>
  <c r="AL12" i="11"/>
  <c r="D220" i="8"/>
  <c r="E220" i="7"/>
  <c r="E237" i="7"/>
  <c r="E221" i="7"/>
  <c r="E228" i="7"/>
  <c r="E232" i="7"/>
  <c r="E227" i="7"/>
  <c r="E231" i="7"/>
  <c r="E226" i="7"/>
  <c r="E223" i="7"/>
  <c r="E233" i="7"/>
  <c r="E236" i="7"/>
  <c r="E225" i="7"/>
  <c r="E230" i="7"/>
  <c r="AL16" i="11"/>
  <c r="F220" i="7"/>
  <c r="AL24" i="11"/>
  <c r="J220" i="8"/>
  <c r="AL32" i="11"/>
  <c r="L220" i="8"/>
  <c r="H10" i="8"/>
  <c r="L220" i="7"/>
  <c r="H10" i="7"/>
  <c r="C220" i="8"/>
  <c r="C221" i="8"/>
  <c r="C227" i="8"/>
  <c r="C231" i="8"/>
  <c r="C237" i="8"/>
  <c r="C233" i="8"/>
  <c r="C236" i="8"/>
  <c r="C225" i="8"/>
  <c r="C226" i="8"/>
  <c r="C228" i="8"/>
  <c r="C223" i="8"/>
  <c r="C230" i="8"/>
  <c r="C232" i="8"/>
  <c r="E280" i="7"/>
  <c r="E297" i="7"/>
  <c r="E292" i="7"/>
  <c r="E298" i="7"/>
  <c r="E293" i="7"/>
  <c r="E281" i="7"/>
  <c r="E287" i="7"/>
  <c r="E285" i="7"/>
  <c r="E296" i="7"/>
  <c r="E283" i="7"/>
  <c r="E291" i="7"/>
  <c r="E288" i="7"/>
  <c r="AN16" i="11"/>
  <c r="F280" i="7"/>
  <c r="AV24" i="11"/>
  <c r="J520" i="8"/>
  <c r="L280" i="7"/>
  <c r="L10" i="7"/>
  <c r="C130" i="7"/>
  <c r="C140" i="7"/>
  <c r="C135" i="7"/>
  <c r="C141" i="7"/>
  <c r="C146" i="7"/>
  <c r="C142" i="7"/>
  <c r="C131" i="7"/>
  <c r="C133" i="7"/>
  <c r="C137" i="7"/>
  <c r="C132" i="7"/>
  <c r="C138" i="7"/>
  <c r="C147" i="7"/>
  <c r="C145" i="7"/>
  <c r="C136" i="7"/>
  <c r="C148" i="7"/>
  <c r="C143" i="7"/>
  <c r="E130" i="7"/>
  <c r="E131" i="7"/>
  <c r="E136" i="7"/>
  <c r="E143" i="7"/>
  <c r="E135" i="7"/>
  <c r="E141" i="7"/>
  <c r="E146" i="7"/>
  <c r="E142" i="7"/>
  <c r="E132" i="7"/>
  <c r="E147" i="7"/>
  <c r="E145" i="7"/>
  <c r="E148" i="7"/>
  <c r="E138" i="7"/>
  <c r="E137" i="7"/>
  <c r="E133" i="7"/>
  <c r="E140" i="7"/>
  <c r="AI16" i="11"/>
  <c r="F130" i="7"/>
  <c r="AQ24" i="11"/>
  <c r="J370" i="8"/>
  <c r="AQ28" i="11"/>
  <c r="AQ32" i="11"/>
  <c r="N370" i="8"/>
  <c r="D40" i="8"/>
  <c r="C177" i="7"/>
  <c r="C160" i="7"/>
  <c r="C168" i="7"/>
  <c r="C165" i="7"/>
  <c r="C170" i="7"/>
  <c r="C176" i="7"/>
  <c r="C171" i="7"/>
  <c r="C167" i="7"/>
  <c r="C175" i="7"/>
  <c r="C163" i="7"/>
  <c r="AR12" i="11"/>
  <c r="D400" i="8"/>
  <c r="G400" i="7"/>
  <c r="G415" i="7"/>
  <c r="G408" i="7"/>
  <c r="G401" i="7"/>
  <c r="G405" i="7"/>
  <c r="G416" i="7"/>
  <c r="G418" i="7"/>
  <c r="G406" i="7"/>
  <c r="G407" i="7"/>
  <c r="N400" i="8"/>
  <c r="F40" i="8"/>
  <c r="C100" i="8"/>
  <c r="C117" i="8"/>
  <c r="C102" i="8"/>
  <c r="C107" i="8"/>
  <c r="C112" i="8"/>
  <c r="C116" i="8"/>
  <c r="C103" i="8"/>
  <c r="C108" i="8"/>
  <c r="C113" i="8"/>
  <c r="C105" i="8"/>
  <c r="C110" i="8"/>
  <c r="C115" i="8"/>
  <c r="C118" i="8"/>
  <c r="C106" i="8"/>
  <c r="C101" i="8"/>
  <c r="C111" i="8"/>
  <c r="AK12" i="11"/>
  <c r="D190" i="8"/>
  <c r="E430" i="7"/>
  <c r="E436" i="7"/>
  <c r="E446" i="7"/>
  <c r="E435" i="7"/>
  <c r="E447" i="7"/>
  <c r="E448" i="7"/>
  <c r="E443" i="7"/>
  <c r="E437" i="7"/>
  <c r="E438" i="7"/>
  <c r="E431" i="7"/>
  <c r="AK16" i="11"/>
  <c r="F190" i="7"/>
  <c r="AS24" i="11"/>
  <c r="J430" i="8"/>
  <c r="AU8" i="11"/>
  <c r="B310" i="8"/>
  <c r="AM8" i="11"/>
  <c r="B250" i="8"/>
  <c r="C250" i="7"/>
  <c r="C255" i="7"/>
  <c r="C260" i="7"/>
  <c r="C266" i="7"/>
  <c r="C261" i="7"/>
  <c r="C263" i="7"/>
  <c r="C268" i="7"/>
  <c r="C258" i="7"/>
  <c r="C251" i="7"/>
  <c r="C262" i="7"/>
  <c r="C267" i="7"/>
  <c r="C265" i="7"/>
  <c r="C310" i="7"/>
  <c r="C311" i="7"/>
  <c r="C328" i="7"/>
  <c r="C315" i="7"/>
  <c r="C326" i="7"/>
  <c r="C316" i="7"/>
  <c r="C323" i="7"/>
  <c r="C318" i="7"/>
  <c r="C325" i="7"/>
  <c r="C317" i="7"/>
  <c r="C327" i="7"/>
  <c r="E250" i="8"/>
  <c r="E262" i="8"/>
  <c r="E265" i="8"/>
  <c r="E267" i="8"/>
  <c r="E251" i="8"/>
  <c r="E260" i="8"/>
  <c r="E261" i="8"/>
  <c r="E255" i="8"/>
  <c r="E266" i="8"/>
  <c r="E268" i="8"/>
  <c r="E258" i="8"/>
  <c r="E263" i="8"/>
  <c r="AU12" i="11"/>
  <c r="D310" i="8"/>
  <c r="E250" i="7"/>
  <c r="E251" i="7"/>
  <c r="E258" i="7"/>
  <c r="E262" i="7"/>
  <c r="E260" i="7"/>
  <c r="E265" i="7"/>
  <c r="E267" i="7"/>
  <c r="E261" i="7"/>
  <c r="E268" i="7"/>
  <c r="E266" i="7"/>
  <c r="E255" i="7"/>
  <c r="E263" i="7"/>
  <c r="E310" i="7"/>
  <c r="E325" i="7"/>
  <c r="E327" i="7"/>
  <c r="E318" i="7"/>
  <c r="E315" i="7"/>
  <c r="E316" i="7"/>
  <c r="E326" i="7"/>
  <c r="E317" i="7"/>
  <c r="E323" i="7"/>
  <c r="E311" i="7"/>
  <c r="E328" i="7"/>
  <c r="AM16" i="11"/>
  <c r="F250" i="7"/>
  <c r="G310" i="7"/>
  <c r="G317" i="7"/>
  <c r="G323" i="7"/>
  <c r="G315" i="7"/>
  <c r="G326" i="7"/>
  <c r="G328" i="7"/>
  <c r="G311" i="7"/>
  <c r="G325" i="7"/>
  <c r="G327" i="7"/>
  <c r="G318" i="7"/>
  <c r="G316" i="7"/>
  <c r="AM24" i="11"/>
  <c r="J250" i="8"/>
  <c r="AU24" i="11"/>
  <c r="J310" i="8"/>
  <c r="M310" i="7"/>
  <c r="M320" i="7"/>
  <c r="M326" i="7"/>
  <c r="M311" i="7"/>
  <c r="M312" i="7"/>
  <c r="M313" i="7"/>
  <c r="M322" i="7"/>
  <c r="AM32" i="11"/>
  <c r="J10" i="8"/>
  <c r="L250" i="8"/>
  <c r="AU32" i="11"/>
  <c r="N310" i="8"/>
  <c r="J40" i="8"/>
  <c r="L250" i="7"/>
  <c r="J10" i="7"/>
  <c r="N310" i="7"/>
  <c r="J40" i="7"/>
  <c r="DZ14" i="4"/>
  <c r="DZ65" i="4"/>
  <c r="DZ23" i="4"/>
  <c r="DZ37" i="4"/>
  <c r="AJ32" i="11"/>
  <c r="EA57" i="4"/>
  <c r="AM12" i="11"/>
  <c r="AR32" i="11"/>
  <c r="AN8" i="11"/>
  <c r="AK8" i="11"/>
  <c r="AO8" i="11"/>
  <c r="AL8" i="11"/>
  <c r="AJ8" i="11"/>
  <c r="EA541" i="4"/>
  <c r="EA160" i="4"/>
  <c r="CY366" i="4"/>
  <c r="EA366" i="4" s="1"/>
  <c r="DO366" i="4"/>
  <c r="DO198" i="4"/>
  <c r="CY198" i="4"/>
  <c r="EA198" i="4" s="1"/>
  <c r="DZ292" i="4"/>
  <c r="CY665" i="4"/>
  <c r="EA665" i="4" s="1"/>
  <c r="EA241" i="4"/>
  <c r="CY364" i="4"/>
  <c r="EA364" i="4" s="1"/>
  <c r="CY365" i="4"/>
  <c r="EA365" i="4" s="1"/>
  <c r="CY368" i="4"/>
  <c r="EA368" i="4" s="1"/>
  <c r="CY196" i="4"/>
  <c r="EA196" i="4" s="1"/>
  <c r="EA312" i="4"/>
  <c r="DA181" i="4"/>
  <c r="BO181" i="4"/>
  <c r="CA181" i="4" s="1"/>
  <c r="CM181" i="4" s="1"/>
  <c r="DG182" i="4"/>
  <c r="BU182" i="4"/>
  <c r="CG182" i="4" s="1"/>
  <c r="CS182" i="4" s="1"/>
  <c r="DU182" i="4" s="1"/>
  <c r="DA124" i="4"/>
  <c r="BO124" i="4"/>
  <c r="CA124" i="4" s="1"/>
  <c r="CM124" i="4" s="1"/>
  <c r="DA125" i="4"/>
  <c r="BO125" i="4"/>
  <c r="CA125" i="4" s="1"/>
  <c r="CM125" i="4" s="1"/>
  <c r="DG126" i="4"/>
  <c r="DU126" i="4" s="1"/>
  <c r="BU126" i="4"/>
  <c r="CG126" i="4" s="1"/>
  <c r="CS126" i="4" s="1"/>
  <c r="BQ133" i="4"/>
  <c r="CC133" i="4" s="1"/>
  <c r="CO133" i="4" s="1"/>
  <c r="DC133" i="4"/>
  <c r="DC135" i="4"/>
  <c r="BQ135" i="4"/>
  <c r="CC135" i="4" s="1"/>
  <c r="CO135" i="4" s="1"/>
  <c r="DC144" i="4"/>
  <c r="BQ144" i="4"/>
  <c r="CC144" i="4" s="1"/>
  <c r="CO144" i="4" s="1"/>
  <c r="EA220" i="4"/>
  <c r="EA309" i="4"/>
  <c r="CY362" i="4"/>
  <c r="EA362" i="4" s="1"/>
  <c r="DC183" i="4"/>
  <c r="DQ183" i="4" s="1"/>
  <c r="BQ183" i="4"/>
  <c r="CC183" i="4" s="1"/>
  <c r="CO183" i="4" s="1"/>
  <c r="BO188" i="4"/>
  <c r="CA188" i="4" s="1"/>
  <c r="CM188" i="4" s="1"/>
  <c r="DA188" i="4"/>
  <c r="BO127" i="4"/>
  <c r="CA127" i="4" s="1"/>
  <c r="CM127" i="4" s="1"/>
  <c r="DA127" i="4"/>
  <c r="DM127" i="4" s="1"/>
  <c r="CY127" i="4" s="1"/>
  <c r="EA127" i="4" s="1"/>
  <c r="DE133" i="4"/>
  <c r="BS133" i="4"/>
  <c r="CE133" i="4" s="1"/>
  <c r="CQ133" i="4" s="1"/>
  <c r="DE135" i="4"/>
  <c r="DS135" i="4" s="1"/>
  <c r="BS135" i="4"/>
  <c r="CE135" i="4" s="1"/>
  <c r="CQ135" i="4" s="1"/>
  <c r="DC145" i="4"/>
  <c r="BQ145" i="4"/>
  <c r="CC145" i="4" s="1"/>
  <c r="CO145" i="4" s="1"/>
  <c r="DO364" i="4"/>
  <c r="DZ560" i="4"/>
  <c r="DC127" i="4"/>
  <c r="BQ127" i="4"/>
  <c r="CC127" i="4" s="1"/>
  <c r="CO127" i="4" s="1"/>
  <c r="DI667" i="4"/>
  <c r="DM667" i="4" s="1"/>
  <c r="CY667" i="4" s="1"/>
  <c r="EA667" i="4" s="1"/>
  <c r="BW667" i="4"/>
  <c r="CI667" i="4" s="1"/>
  <c r="CU667" i="4" s="1"/>
  <c r="DA183" i="4"/>
  <c r="BO183" i="4"/>
  <c r="CA183" i="4" s="1"/>
  <c r="CM183" i="4" s="1"/>
  <c r="BW123" i="4"/>
  <c r="CI123" i="4" s="1"/>
  <c r="CU123" i="4" s="1"/>
  <c r="DI123" i="4"/>
  <c r="BW124" i="4"/>
  <c r="CI124" i="4" s="1"/>
  <c r="CU124" i="4" s="1"/>
  <c r="DI124" i="4"/>
  <c r="DW124" i="4" s="1"/>
  <c r="DE126" i="4"/>
  <c r="DS126" i="4" s="1"/>
  <c r="BS126" i="4"/>
  <c r="CE126" i="4" s="1"/>
  <c r="CQ126" i="4" s="1"/>
  <c r="BS132" i="4"/>
  <c r="CE132" i="4" s="1"/>
  <c r="CQ132" i="4" s="1"/>
  <c r="DE132" i="4"/>
  <c r="DS132" i="4" s="1"/>
  <c r="DE131" i="4"/>
  <c r="BS131" i="4"/>
  <c r="CE131" i="4" s="1"/>
  <c r="CQ131" i="4" s="1"/>
  <c r="DE142" i="4"/>
  <c r="BS142" i="4"/>
  <c r="CE142" i="4" s="1"/>
  <c r="CQ142" i="4" s="1"/>
  <c r="DC181" i="4"/>
  <c r="DQ181" i="4" s="1"/>
  <c r="BQ181" i="4"/>
  <c r="CC181" i="4" s="1"/>
  <c r="CO181" i="4" s="1"/>
  <c r="DA182" i="4"/>
  <c r="BO182" i="4"/>
  <c r="CA182" i="4" s="1"/>
  <c r="CM182" i="4" s="1"/>
  <c r="DE183" i="4"/>
  <c r="BS183" i="4"/>
  <c r="CE183" i="4" s="1"/>
  <c r="CQ183" i="4" s="1"/>
  <c r="DS183" i="4" s="1"/>
  <c r="BO184" i="4"/>
  <c r="CA184" i="4" s="1"/>
  <c r="CM184" i="4" s="1"/>
  <c r="DA184" i="4"/>
  <c r="DA185" i="4"/>
  <c r="BO185" i="4"/>
  <c r="CA185" i="4" s="1"/>
  <c r="CM185" i="4" s="1"/>
  <c r="DA186" i="4"/>
  <c r="BO186" i="4"/>
  <c r="CA186" i="4" s="1"/>
  <c r="CM186" i="4" s="1"/>
  <c r="DC188" i="4"/>
  <c r="BQ188" i="4"/>
  <c r="CC188" i="4" s="1"/>
  <c r="CO188" i="4" s="1"/>
  <c r="DA189" i="4"/>
  <c r="BO189" i="4"/>
  <c r="CA189" i="4" s="1"/>
  <c r="CM189" i="4" s="1"/>
  <c r="DO189" i="4" s="1"/>
  <c r="BO192" i="4"/>
  <c r="CA192" i="4" s="1"/>
  <c r="CM192" i="4" s="1"/>
  <c r="DO192" i="4" s="1"/>
  <c r="DA192" i="4"/>
  <c r="DC124" i="4"/>
  <c r="BQ124" i="4"/>
  <c r="CC124" i="4" s="1"/>
  <c r="CO124" i="4" s="1"/>
  <c r="BQ125" i="4"/>
  <c r="CC125" i="4" s="1"/>
  <c r="CO125" i="4" s="1"/>
  <c r="DC125" i="4"/>
  <c r="BO128" i="4"/>
  <c r="CA128" i="4" s="1"/>
  <c r="CM128" i="4" s="1"/>
  <c r="DA128" i="4"/>
  <c r="BQ182" i="4"/>
  <c r="CC182" i="4" s="1"/>
  <c r="CO182" i="4" s="1"/>
  <c r="DQ182" i="4" s="1"/>
  <c r="DC182" i="4"/>
  <c r="DI183" i="4"/>
  <c r="BW183" i="4"/>
  <c r="CI183" i="4" s="1"/>
  <c r="CU183" i="4" s="1"/>
  <c r="BS184" i="4"/>
  <c r="CE184" i="4" s="1"/>
  <c r="CQ184" i="4" s="1"/>
  <c r="DE184" i="4"/>
  <c r="DS184" i="4" s="1"/>
  <c r="BS185" i="4"/>
  <c r="CE185" i="4" s="1"/>
  <c r="CQ185" i="4" s="1"/>
  <c r="DE185" i="4"/>
  <c r="DS185" i="4" s="1"/>
  <c r="BS186" i="4"/>
  <c r="CE186" i="4" s="1"/>
  <c r="CQ186" i="4" s="1"/>
  <c r="DE186" i="4"/>
  <c r="DE187" i="4"/>
  <c r="BS187" i="4"/>
  <c r="CE187" i="4" s="1"/>
  <c r="CQ187" i="4" s="1"/>
  <c r="DS187" i="4" s="1"/>
  <c r="BW188" i="4"/>
  <c r="CI188" i="4" s="1"/>
  <c r="CU188" i="4" s="1"/>
  <c r="DI188" i="4"/>
  <c r="DW188" i="4" s="1"/>
  <c r="BQ192" i="4"/>
  <c r="CC192" i="4" s="1"/>
  <c r="CO192" i="4" s="1"/>
  <c r="DC192" i="4"/>
  <c r="BO123" i="4"/>
  <c r="CA123" i="4" s="1"/>
  <c r="CM123" i="4" s="1"/>
  <c r="DO123" i="4" s="1"/>
  <c r="DA123" i="4"/>
  <c r="DE124" i="4"/>
  <c r="BS124" i="4"/>
  <c r="CE124" i="4" s="1"/>
  <c r="CQ124" i="4" s="1"/>
  <c r="DI125" i="4"/>
  <c r="BW125" i="4"/>
  <c r="CI125" i="4" s="1"/>
  <c r="CU125" i="4" s="1"/>
  <c r="DG127" i="4"/>
  <c r="BU127" i="4"/>
  <c r="CG127" i="4" s="1"/>
  <c r="CS127" i="4" s="1"/>
  <c r="DC129" i="4"/>
  <c r="DM129" i="4" s="1"/>
  <c r="CY129" i="4" s="1"/>
  <c r="EA129" i="4" s="1"/>
  <c r="BQ129" i="4"/>
  <c r="CC129" i="4" s="1"/>
  <c r="CO129" i="4" s="1"/>
  <c r="BS134" i="4"/>
  <c r="CE134" i="4" s="1"/>
  <c r="CQ134" i="4" s="1"/>
  <c r="DE134" i="4"/>
  <c r="DC140" i="4"/>
  <c r="BQ140" i="4"/>
  <c r="CC140" i="4" s="1"/>
  <c r="CO140" i="4" s="1"/>
  <c r="BS152" i="4"/>
  <c r="CE152" i="4" s="1"/>
  <c r="CQ152" i="4" s="1"/>
  <c r="DE152" i="4"/>
  <c r="DM152" i="4" s="1"/>
  <c r="CY152" i="4" s="1"/>
  <c r="CY118" i="4"/>
  <c r="EA118" i="4" s="1"/>
  <c r="EA224" i="4"/>
  <c r="CY160" i="4"/>
  <c r="CX157" i="4"/>
  <c r="DZ157" i="4" s="1"/>
  <c r="DZ239" i="4"/>
  <c r="EA238" i="4"/>
  <c r="EA270" i="4"/>
  <c r="CY398" i="4"/>
  <c r="EA398" i="4" s="1"/>
  <c r="DZ419" i="4"/>
  <c r="CX292" i="4"/>
  <c r="CX356" i="4"/>
  <c r="DZ356" i="4" s="1"/>
  <c r="EA477" i="4"/>
  <c r="CY509" i="4"/>
  <c r="EA509" i="4" s="1"/>
  <c r="EA595" i="4"/>
  <c r="CY541" i="4"/>
  <c r="DZ667" i="4"/>
  <c r="EA547" i="4"/>
  <c r="BQ139" i="4"/>
  <c r="CC139" i="4" s="1"/>
  <c r="CO139" i="4" s="1"/>
  <c r="DC139" i="4"/>
  <c r="BS181" i="4"/>
  <c r="CE181" i="4" s="1"/>
  <c r="CQ181" i="4" s="1"/>
  <c r="DS181" i="4" s="1"/>
  <c r="DE181" i="4"/>
  <c r="DC184" i="4"/>
  <c r="BQ184" i="4"/>
  <c r="CC184" i="4" s="1"/>
  <c r="CO184" i="4" s="1"/>
  <c r="BQ187" i="4"/>
  <c r="CC187" i="4" s="1"/>
  <c r="CO187" i="4" s="1"/>
  <c r="DC187" i="4"/>
  <c r="BO194" i="4"/>
  <c r="CA194" i="4" s="1"/>
  <c r="CM194" i="4" s="1"/>
  <c r="DA194" i="4"/>
  <c r="BS125" i="4"/>
  <c r="CE125" i="4" s="1"/>
  <c r="CQ125" i="4" s="1"/>
  <c r="DS125" i="4" s="1"/>
  <c r="DE125" i="4"/>
  <c r="DE128" i="4"/>
  <c r="BS128" i="4"/>
  <c r="CE128" i="4" s="1"/>
  <c r="CQ128" i="4" s="1"/>
  <c r="BS139" i="4"/>
  <c r="CE139" i="4" s="1"/>
  <c r="CQ139" i="4" s="1"/>
  <c r="DE139" i="4"/>
  <c r="DZ545" i="4"/>
  <c r="CY386" i="4"/>
  <c r="EA386" i="4" s="1"/>
  <c r="CX317" i="4"/>
  <c r="DZ317" i="4" s="1"/>
  <c r="DI181" i="4"/>
  <c r="BW181" i="4"/>
  <c r="CI181" i="4" s="1"/>
  <c r="CU181" i="4" s="1"/>
  <c r="BU184" i="4"/>
  <c r="CG184" i="4" s="1"/>
  <c r="CS184" i="4" s="1"/>
  <c r="DG184" i="4"/>
  <c r="DI185" i="4"/>
  <c r="BW185" i="4"/>
  <c r="CI185" i="4" s="1"/>
  <c r="CU185" i="4" s="1"/>
  <c r="BU186" i="4"/>
  <c r="CG186" i="4" s="1"/>
  <c r="CS186" i="4" s="1"/>
  <c r="DU186" i="4" s="1"/>
  <c r="DG186" i="4"/>
  <c r="BQ123" i="4"/>
  <c r="CC123" i="4" s="1"/>
  <c r="CO123" i="4" s="1"/>
  <c r="DC123" i="4"/>
  <c r="BO126" i="4"/>
  <c r="CA126" i="4" s="1"/>
  <c r="CM126" i="4" s="1"/>
  <c r="DA126" i="4"/>
  <c r="DC130" i="4"/>
  <c r="BQ130" i="4"/>
  <c r="CC130" i="4" s="1"/>
  <c r="CO130" i="4" s="1"/>
  <c r="BW134" i="4"/>
  <c r="CI134" i="4" s="1"/>
  <c r="CU134" i="4" s="1"/>
  <c r="DW134" i="4" s="1"/>
  <c r="DI134" i="4"/>
  <c r="DE140" i="4"/>
  <c r="DS140" i="4" s="1"/>
  <c r="BS140" i="4"/>
  <c r="CE140" i="4" s="1"/>
  <c r="CQ140" i="4" s="1"/>
  <c r="EA16" i="4"/>
  <c r="CX147" i="4"/>
  <c r="DZ147" i="4" s="1"/>
  <c r="CY241" i="4"/>
  <c r="DZ247" i="4"/>
  <c r="EA445" i="4"/>
  <c r="CX325" i="4"/>
  <c r="DZ325" i="4"/>
  <c r="BO134" i="4"/>
  <c r="CA134" i="4" s="1"/>
  <c r="CM134" i="4" s="1"/>
  <c r="DA134" i="4"/>
  <c r="DE145" i="4"/>
  <c r="BS145" i="4"/>
  <c r="CE145" i="4" s="1"/>
  <c r="CQ145" i="4" s="1"/>
  <c r="BU183" i="4"/>
  <c r="CG183" i="4" s="1"/>
  <c r="CS183" i="4" s="1"/>
  <c r="DG183" i="4"/>
  <c r="DU183" i="4" s="1"/>
  <c r="DC185" i="4"/>
  <c r="BQ185" i="4"/>
  <c r="CC185" i="4" s="1"/>
  <c r="CO185" i="4" s="1"/>
  <c r="BQ186" i="4"/>
  <c r="CC186" i="4" s="1"/>
  <c r="CO186" i="4" s="1"/>
  <c r="DC186" i="4"/>
  <c r="DQ186" i="4" s="1"/>
  <c r="DE188" i="4"/>
  <c r="DS188" i="4" s="1"/>
  <c r="BS188" i="4"/>
  <c r="CE188" i="4" s="1"/>
  <c r="CQ188" i="4" s="1"/>
  <c r="DC189" i="4"/>
  <c r="BQ189" i="4"/>
  <c r="CC189" i="4" s="1"/>
  <c r="CO189" i="4" s="1"/>
  <c r="DE127" i="4"/>
  <c r="BS127" i="4"/>
  <c r="CE127" i="4" s="1"/>
  <c r="CQ127" i="4" s="1"/>
  <c r="DS127" i="4" s="1"/>
  <c r="DC134" i="4"/>
  <c r="BQ134" i="4"/>
  <c r="CC134" i="4" s="1"/>
  <c r="CO134" i="4" s="1"/>
  <c r="BU145" i="4"/>
  <c r="CG145" i="4" s="1"/>
  <c r="CS145" i="4" s="1"/>
  <c r="DG145" i="4"/>
  <c r="DE182" i="4"/>
  <c r="BS182" i="4"/>
  <c r="CE182" i="4" s="1"/>
  <c r="CQ182" i="4" s="1"/>
  <c r="DE123" i="4"/>
  <c r="BS123" i="4"/>
  <c r="CE123" i="4" s="1"/>
  <c r="CQ123" i="4" s="1"/>
  <c r="BU124" i="4"/>
  <c r="CG124" i="4" s="1"/>
  <c r="CS124" i="4" s="1"/>
  <c r="DG124" i="4"/>
  <c r="DC126" i="4"/>
  <c r="BQ126" i="4"/>
  <c r="CC126" i="4" s="1"/>
  <c r="CO126" i="4" s="1"/>
  <c r="BQ132" i="4"/>
  <c r="CC132" i="4" s="1"/>
  <c r="CO132" i="4" s="1"/>
  <c r="DC132" i="4"/>
  <c r="BQ131" i="4"/>
  <c r="CC131" i="4" s="1"/>
  <c r="CO131" i="4" s="1"/>
  <c r="DC131" i="4"/>
  <c r="DC142" i="4"/>
  <c r="BQ142" i="4"/>
  <c r="CC142" i="4" s="1"/>
  <c r="CO142" i="4" s="1"/>
  <c r="CY644" i="4"/>
  <c r="EA644" i="4" s="1"/>
  <c r="CX654" i="4"/>
  <c r="DZ654" i="4" s="1"/>
  <c r="CY611" i="4"/>
  <c r="EA611" i="4"/>
  <c r="CY673" i="4"/>
  <c r="EA673" i="4" s="1"/>
  <c r="CX669" i="4"/>
  <c r="DZ669" i="4" s="1"/>
  <c r="CY9" i="4"/>
  <c r="EA9" i="4" s="1"/>
  <c r="CX11" i="4"/>
  <c r="DZ11" i="4" s="1"/>
  <c r="CY13" i="4"/>
  <c r="EA13" i="4" s="1"/>
  <c r="CX18" i="4"/>
  <c r="DZ18" i="4" s="1"/>
  <c r="CX34" i="4"/>
  <c r="DZ34" i="4" s="1"/>
  <c r="CX39" i="4"/>
  <c r="DZ39" i="4" s="1"/>
  <c r="CX32" i="4"/>
  <c r="DZ32" i="4" s="1"/>
  <c r="CY46" i="4"/>
  <c r="EA46" i="4" s="1"/>
  <c r="CY24" i="4"/>
  <c r="EA24" i="4" s="1"/>
  <c r="CX70" i="4"/>
  <c r="DZ70" i="4" s="1"/>
  <c r="CY60" i="4"/>
  <c r="EA60" i="4" s="1"/>
  <c r="CX90" i="4"/>
  <c r="DZ90" i="4" s="1"/>
  <c r="CX52" i="4"/>
  <c r="DZ52" i="4" s="1"/>
  <c r="CX82" i="4"/>
  <c r="DZ82" i="4" s="1"/>
  <c r="CX83" i="4"/>
  <c r="DZ83" i="4"/>
  <c r="CY86" i="4"/>
  <c r="EA86" i="4"/>
  <c r="CY100" i="4"/>
  <c r="EA100" i="4" s="1"/>
  <c r="CX115" i="4"/>
  <c r="DZ115" i="4"/>
  <c r="CY138" i="4"/>
  <c r="EA138" i="4" s="1"/>
  <c r="CX134" i="4"/>
  <c r="DZ134" i="4" s="1"/>
  <c r="CX173" i="4"/>
  <c r="DZ173" i="4" s="1"/>
  <c r="CX114" i="4"/>
  <c r="DZ114" i="4" s="1"/>
  <c r="CY166" i="4"/>
  <c r="EA166" i="4"/>
  <c r="CX210" i="4"/>
  <c r="DZ210" i="4" s="1"/>
  <c r="CX169" i="4"/>
  <c r="DZ169" i="4" s="1"/>
  <c r="CY151" i="4"/>
  <c r="EA151" i="4" s="1"/>
  <c r="CX160" i="4"/>
  <c r="DZ160" i="4" s="1"/>
  <c r="CY199" i="4"/>
  <c r="EA199" i="4" s="1"/>
  <c r="CX170" i="4"/>
  <c r="DZ170" i="4" s="1"/>
  <c r="CX231" i="4"/>
  <c r="DZ231" i="4" s="1"/>
  <c r="CY158" i="4"/>
  <c r="EA158" i="4" s="1"/>
  <c r="CY200" i="4"/>
  <c r="EA200" i="4" s="1"/>
  <c r="CX302" i="4"/>
  <c r="DZ302" i="4" s="1"/>
  <c r="CX161" i="4"/>
  <c r="DZ161" i="4" s="1"/>
  <c r="CY177" i="4"/>
  <c r="EA177" i="4" s="1"/>
  <c r="CY215" i="4"/>
  <c r="EA215" i="4"/>
  <c r="CY262" i="4"/>
  <c r="EA262" i="4"/>
  <c r="CY275" i="4"/>
  <c r="EA275" i="4" s="1"/>
  <c r="CX310" i="4"/>
  <c r="DZ310" i="4"/>
  <c r="CY340" i="4"/>
  <c r="EA340" i="4" s="1"/>
  <c r="CY319" i="4"/>
  <c r="EA319" i="4" s="1"/>
  <c r="CY381" i="4"/>
  <c r="EA381" i="4" s="1"/>
  <c r="CY259" i="4"/>
  <c r="EA259" i="4"/>
  <c r="CX291" i="4"/>
  <c r="DZ291" i="4" s="1"/>
  <c r="CX321" i="4"/>
  <c r="DZ321" i="4"/>
  <c r="CX359" i="4"/>
  <c r="DZ359" i="4" s="1"/>
  <c r="CY357" i="4"/>
  <c r="EA357" i="4" s="1"/>
  <c r="CY377" i="4"/>
  <c r="EA377" i="4" s="1"/>
  <c r="CY385" i="4"/>
  <c r="EA385" i="4" s="1"/>
  <c r="CY417" i="4"/>
  <c r="EA417" i="4" s="1"/>
  <c r="CY390" i="4"/>
  <c r="EA390" i="4" s="1"/>
  <c r="CY243" i="4"/>
  <c r="EA243" i="4" s="1"/>
  <c r="CY313" i="4"/>
  <c r="EA313" i="4" s="1"/>
  <c r="CY337" i="4"/>
  <c r="EA337" i="4" s="1"/>
  <c r="CY330" i="4"/>
  <c r="EA330" i="4"/>
  <c r="CY421" i="4"/>
  <c r="EA421" i="4" s="1"/>
  <c r="CX106" i="4"/>
  <c r="DZ106" i="4" s="1"/>
  <c r="CY248" i="4"/>
  <c r="EA248" i="4" s="1"/>
  <c r="CX472" i="4"/>
  <c r="DZ472" i="4"/>
  <c r="CY278" i="4"/>
  <c r="EA278" i="4" s="1"/>
  <c r="CY476" i="4"/>
  <c r="EA476" i="4"/>
  <c r="CY416" i="4"/>
  <c r="EA416" i="4" s="1"/>
  <c r="CY532" i="4"/>
  <c r="EA532" i="4" s="1"/>
  <c r="CY399" i="4"/>
  <c r="EA399" i="4" s="1"/>
  <c r="CX449" i="4"/>
  <c r="DZ449" i="4" s="1"/>
  <c r="CX459" i="4"/>
  <c r="DZ459" i="4" s="1"/>
  <c r="CX542" i="4"/>
  <c r="DZ542" i="4" s="1"/>
  <c r="CX567" i="4"/>
  <c r="DZ567" i="4" s="1"/>
  <c r="CY264" i="4"/>
  <c r="EA264" i="4" s="1"/>
  <c r="CX401" i="4"/>
  <c r="DZ401" i="4" s="1"/>
  <c r="CY441" i="4"/>
  <c r="EA441" i="4" s="1"/>
  <c r="CY470" i="4"/>
  <c r="EA470" i="4"/>
  <c r="CX491" i="4"/>
  <c r="DZ491" i="4" s="1"/>
  <c r="DZ571" i="4"/>
  <c r="CX571" i="4"/>
  <c r="CY604" i="4"/>
  <c r="EA604" i="4" s="1"/>
  <c r="CY257" i="4"/>
  <c r="EA257" i="4" s="1"/>
  <c r="CX454" i="4"/>
  <c r="DZ454" i="4" s="1"/>
  <c r="CX485" i="4"/>
  <c r="DZ485" i="4" s="1"/>
  <c r="CY415" i="4"/>
  <c r="EA415" i="4" s="1"/>
  <c r="CY540" i="4"/>
  <c r="EA540" i="4" s="1"/>
  <c r="CX555" i="4"/>
  <c r="DZ555" i="4" s="1"/>
  <c r="CY414" i="4"/>
  <c r="EA414" i="4" s="1"/>
  <c r="CY452" i="4"/>
  <c r="EA452" i="4"/>
  <c r="CX551" i="4"/>
  <c r="DZ551" i="4" s="1"/>
  <c r="CX565" i="4"/>
  <c r="DZ565" i="4" s="1"/>
  <c r="CY615" i="4"/>
  <c r="EA615" i="4" s="1"/>
  <c r="CY640" i="4"/>
  <c r="EA640" i="4"/>
  <c r="CX234" i="4"/>
  <c r="DZ234" i="4"/>
  <c r="CX610" i="4"/>
  <c r="DZ610" i="4" s="1"/>
  <c r="CY651" i="4"/>
  <c r="EA651" i="4" s="1"/>
  <c r="CX509" i="4"/>
  <c r="DZ509" i="4" s="1"/>
  <c r="CX594" i="4"/>
  <c r="DZ594" i="4" s="1"/>
  <c r="CX579" i="4"/>
  <c r="DZ579" i="4" s="1"/>
  <c r="CY650" i="4"/>
  <c r="EA650" i="4" s="1"/>
  <c r="CX408" i="4"/>
  <c r="DZ408" i="4" s="1"/>
  <c r="CX490" i="4"/>
  <c r="DZ490" i="4" s="1"/>
  <c r="CX533" i="4"/>
  <c r="DZ533" i="4" s="1"/>
  <c r="CY669" i="4"/>
  <c r="EA669" i="4" s="1"/>
  <c r="CY632" i="4"/>
  <c r="EA632" i="4"/>
  <c r="CY655" i="4"/>
  <c r="EA655" i="4" s="1"/>
  <c r="CY459" i="4"/>
  <c r="EA459" i="4" s="1"/>
  <c r="EA537" i="4"/>
  <c r="CY537" i="4"/>
  <c r="CY600" i="4"/>
  <c r="EA600" i="4" s="1"/>
  <c r="CX664" i="4"/>
  <c r="DZ664" i="4" s="1"/>
  <c r="CX636" i="4"/>
  <c r="DZ636" i="4" s="1"/>
  <c r="CY508" i="4"/>
  <c r="EA508" i="4" s="1"/>
  <c r="CY535" i="4"/>
  <c r="EA535" i="4"/>
  <c r="CY582" i="4"/>
  <c r="EA582" i="4" s="1"/>
  <c r="CY603" i="4"/>
  <c r="EA603" i="4"/>
  <c r="CX666" i="4"/>
  <c r="DZ666" i="4" s="1"/>
  <c r="CX633" i="4"/>
  <c r="DZ633" i="4"/>
  <c r="CX638" i="4"/>
  <c r="DZ638" i="4" s="1"/>
  <c r="CY32" i="4"/>
  <c r="EA32" i="4" s="1"/>
  <c r="CY52" i="4"/>
  <c r="EA52" i="4" s="1"/>
  <c r="CY77" i="4"/>
  <c r="EA77" i="4" s="1"/>
  <c r="CX99" i="4"/>
  <c r="DZ99" i="4" s="1"/>
  <c r="CY112" i="4"/>
  <c r="EA112" i="4"/>
  <c r="CY78" i="4"/>
  <c r="EA78" i="4" s="1"/>
  <c r="CY103" i="4"/>
  <c r="EA103" i="4"/>
  <c r="CY191" i="4"/>
  <c r="EA191" i="4" s="1"/>
  <c r="CX206" i="4"/>
  <c r="DZ206" i="4" s="1"/>
  <c r="CY153" i="4"/>
  <c r="EA153" i="4" s="1"/>
  <c r="CX165" i="4"/>
  <c r="DZ165" i="4" s="1"/>
  <c r="CX197" i="4"/>
  <c r="DZ197" i="4" s="1"/>
  <c r="DZ84" i="4"/>
  <c r="CX84" i="4"/>
  <c r="CY203" i="4"/>
  <c r="EA203" i="4" s="1"/>
  <c r="CY235" i="4"/>
  <c r="EA235" i="4" s="1"/>
  <c r="CY193" i="4"/>
  <c r="EA193" i="4" s="1"/>
  <c r="CX241" i="4"/>
  <c r="DZ241" i="4" s="1"/>
  <c r="CX213" i="4"/>
  <c r="DZ213" i="4"/>
  <c r="CX262" i="4"/>
  <c r="DZ262" i="4" s="1"/>
  <c r="CX177" i="4"/>
  <c r="DZ177" i="4" s="1"/>
  <c r="CY295" i="4"/>
  <c r="EA295" i="4" s="1"/>
  <c r="CX273" i="4"/>
  <c r="DZ273" i="4"/>
  <c r="CX285" i="4"/>
  <c r="DZ285" i="4" s="1"/>
  <c r="CX318" i="4"/>
  <c r="DZ318" i="4"/>
  <c r="CY246" i="4"/>
  <c r="EA246" i="4" s="1"/>
  <c r="CY326" i="4"/>
  <c r="EA326" i="4" s="1"/>
  <c r="CX289" i="4"/>
  <c r="DZ289" i="4" s="1"/>
  <c r="CY338" i="4"/>
  <c r="EA338" i="4" s="1"/>
  <c r="CY351" i="4"/>
  <c r="EA351" i="4"/>
  <c r="CX407" i="4"/>
  <c r="DZ407" i="4" s="1"/>
  <c r="DZ215" i="4"/>
  <c r="CX215" i="4"/>
  <c r="CY347" i="4"/>
  <c r="EA347" i="4" s="1"/>
  <c r="CY391" i="4"/>
  <c r="EA391" i="4" s="1"/>
  <c r="CY404" i="4"/>
  <c r="EA404" i="4" s="1"/>
  <c r="CY413" i="4"/>
  <c r="EA413" i="4" s="1"/>
  <c r="CX360" i="4"/>
  <c r="DZ360" i="4" s="1"/>
  <c r="CY202" i="4"/>
  <c r="EA202" i="4" s="1"/>
  <c r="CX326" i="4"/>
  <c r="DZ326" i="4"/>
  <c r="DZ391" i="4"/>
  <c r="CX391" i="4"/>
  <c r="CX396" i="4"/>
  <c r="DZ396" i="4" s="1"/>
  <c r="CX313" i="4"/>
  <c r="DZ313" i="4" s="1"/>
  <c r="CY342" i="4"/>
  <c r="EA342" i="4"/>
  <c r="DZ424" i="4"/>
  <c r="CX424" i="4"/>
  <c r="CY250" i="4"/>
  <c r="EA250" i="4" s="1"/>
  <c r="CX432" i="4"/>
  <c r="DZ432" i="4"/>
  <c r="CY462" i="4"/>
  <c r="EA462" i="4"/>
  <c r="EA469" i="4"/>
  <c r="CY469" i="4"/>
  <c r="CY371" i="4"/>
  <c r="EA371" i="4"/>
  <c r="CY392" i="4"/>
  <c r="EA392" i="4"/>
  <c r="CY457" i="4"/>
  <c r="EA457" i="4"/>
  <c r="CX389" i="4"/>
  <c r="DZ389" i="4" s="1"/>
  <c r="CX457" i="4"/>
  <c r="DZ457" i="4" s="1"/>
  <c r="CX342" i="4"/>
  <c r="DZ342" i="4" s="1"/>
  <c r="CX417" i="4"/>
  <c r="DZ417" i="4" s="1"/>
  <c r="CY483" i="4"/>
  <c r="EA483" i="4" s="1"/>
  <c r="CY498" i="4"/>
  <c r="EA498" i="4" s="1"/>
  <c r="CY296" i="4"/>
  <c r="EA296" i="4"/>
  <c r="CY675" i="4"/>
  <c r="EA675" i="4" s="1"/>
  <c r="CY405" i="4"/>
  <c r="EA405" i="4" s="1"/>
  <c r="CX433" i="4"/>
  <c r="DZ433" i="4" s="1"/>
  <c r="CX463" i="4"/>
  <c r="DZ463" i="4" s="1"/>
  <c r="CY511" i="4"/>
  <c r="EA511" i="4"/>
  <c r="CY502" i="4"/>
  <c r="EA502" i="4" s="1"/>
  <c r="CY539" i="4"/>
  <c r="EA539" i="4"/>
  <c r="CY562" i="4"/>
  <c r="EA562" i="4"/>
  <c r="CX548" i="4"/>
  <c r="DZ548" i="4" s="1"/>
  <c r="CX670" i="4"/>
  <c r="DZ670" i="4" s="1"/>
  <c r="CX381" i="4"/>
  <c r="DZ381" i="4" s="1"/>
  <c r="CY444" i="4"/>
  <c r="EA444" i="4"/>
  <c r="CX471" i="4"/>
  <c r="DZ471" i="4"/>
  <c r="CX603" i="4"/>
  <c r="DZ603" i="4" s="1"/>
  <c r="CY623" i="4"/>
  <c r="EA623" i="4" s="1"/>
  <c r="CX644" i="4"/>
  <c r="DZ644" i="4" s="1"/>
  <c r="CY432" i="4"/>
  <c r="EA432" i="4" s="1"/>
  <c r="CY558" i="4"/>
  <c r="EA558" i="4" s="1"/>
  <c r="CX581" i="4"/>
  <c r="DZ581" i="4"/>
  <c r="CY424" i="4"/>
  <c r="EA424" i="4"/>
  <c r="CY590" i="4"/>
  <c r="EA590" i="4" s="1"/>
  <c r="CY618" i="4"/>
  <c r="EA618" i="4" s="1"/>
  <c r="CX453" i="4"/>
  <c r="DZ453" i="4" s="1"/>
  <c r="CX510" i="4"/>
  <c r="DZ510" i="4" s="1"/>
  <c r="CY546" i="4"/>
  <c r="EA546" i="4" s="1"/>
  <c r="CX570" i="4"/>
  <c r="DZ570" i="4"/>
  <c r="CY594" i="4"/>
  <c r="EA594" i="4" s="1"/>
  <c r="CX495" i="4"/>
  <c r="DZ495" i="4" s="1"/>
  <c r="CX16" i="4"/>
  <c r="DZ16" i="4" s="1"/>
  <c r="CY37" i="4"/>
  <c r="EA37" i="4" s="1"/>
  <c r="CY55" i="4"/>
  <c r="EA55" i="4" s="1"/>
  <c r="CX53" i="4"/>
  <c r="DZ53" i="4" s="1"/>
  <c r="CY83" i="4"/>
  <c r="EA83" i="4" s="1"/>
  <c r="CY98" i="4"/>
  <c r="EA98" i="4" s="1"/>
  <c r="CY96" i="4"/>
  <c r="EA96" i="4"/>
  <c r="CX67" i="4"/>
  <c r="DZ67" i="4" s="1"/>
  <c r="CY121" i="4"/>
  <c r="EA121" i="4"/>
  <c r="CX138" i="4"/>
  <c r="DZ138" i="4" s="1"/>
  <c r="CY122" i="4"/>
  <c r="EA122" i="4" s="1"/>
  <c r="CY115" i="4"/>
  <c r="EA115" i="4" s="1"/>
  <c r="CX164" i="4"/>
  <c r="DZ164" i="4"/>
  <c r="CX96" i="4"/>
  <c r="DZ96" i="4" s="1"/>
  <c r="CX149" i="4"/>
  <c r="DZ149" i="4"/>
  <c r="CY161" i="4"/>
  <c r="EA161" i="4"/>
  <c r="CY154" i="4"/>
  <c r="EA154" i="4"/>
  <c r="CY201" i="4"/>
  <c r="EA201" i="4" s="1"/>
  <c r="CX238" i="4"/>
  <c r="DZ238" i="4" s="1"/>
  <c r="CY211" i="4"/>
  <c r="EA211" i="4" s="1"/>
  <c r="CY230" i="4"/>
  <c r="EA230" i="4" s="1"/>
  <c r="CY236" i="4"/>
  <c r="EA236" i="4" s="1"/>
  <c r="CY284" i="4"/>
  <c r="EA284" i="4" s="1"/>
  <c r="CX180" i="4"/>
  <c r="DZ180" i="4" s="1"/>
  <c r="CY267" i="4"/>
  <c r="EA267" i="4"/>
  <c r="CX235" i="4"/>
  <c r="DZ235" i="4" s="1"/>
  <c r="CX286" i="4"/>
  <c r="DZ286" i="4" s="1"/>
  <c r="CX301" i="4"/>
  <c r="DZ301" i="4"/>
  <c r="CY310" i="4"/>
  <c r="EA310" i="4" s="1"/>
  <c r="CY320" i="4"/>
  <c r="EA320" i="4" s="1"/>
  <c r="CX185" i="4"/>
  <c r="DZ185" i="4" s="1"/>
  <c r="CY256" i="4"/>
  <c r="EA256" i="4" s="1"/>
  <c r="CY276" i="4"/>
  <c r="EA276" i="4" s="1"/>
  <c r="CY289" i="4"/>
  <c r="EA289" i="4"/>
  <c r="CY253" i="4"/>
  <c r="EA253" i="4" s="1"/>
  <c r="CX276" i="4"/>
  <c r="DZ276" i="4" s="1"/>
  <c r="CY287" i="4"/>
  <c r="EA287" i="4" s="1"/>
  <c r="CX327" i="4"/>
  <c r="DZ327" i="4" s="1"/>
  <c r="CX255" i="4"/>
  <c r="DZ255" i="4"/>
  <c r="CY321" i="4"/>
  <c r="EA321" i="4" s="1"/>
  <c r="CY355" i="4"/>
  <c r="EA355" i="4"/>
  <c r="CX265" i="4"/>
  <c r="DZ265" i="4" s="1"/>
  <c r="CX314" i="4"/>
  <c r="DZ314" i="4" s="1"/>
  <c r="CX371" i="4"/>
  <c r="DZ371" i="4"/>
  <c r="CY323" i="4"/>
  <c r="EA323" i="4" s="1"/>
  <c r="CY375" i="4"/>
  <c r="EA375" i="4"/>
  <c r="CX392" i="4"/>
  <c r="DZ392" i="4"/>
  <c r="CY339" i="4"/>
  <c r="EA339" i="4"/>
  <c r="CY397" i="4"/>
  <c r="EA397" i="4" s="1"/>
  <c r="CX372" i="4"/>
  <c r="DZ372" i="4" s="1"/>
  <c r="CX440" i="4"/>
  <c r="DZ440" i="4" s="1"/>
  <c r="CX293" i="4"/>
  <c r="DZ293" i="4" s="1"/>
  <c r="CX429" i="4"/>
  <c r="DZ429" i="4" s="1"/>
  <c r="CY423" i="4"/>
  <c r="EA423" i="4" s="1"/>
  <c r="CY453" i="4"/>
  <c r="EA453" i="4" s="1"/>
  <c r="CY354" i="4"/>
  <c r="EA354" i="4" s="1"/>
  <c r="CX324" i="4"/>
  <c r="DZ324" i="4" s="1"/>
  <c r="CY500" i="4"/>
  <c r="EA500" i="4" s="1"/>
  <c r="CX272" i="4"/>
  <c r="DZ272" i="4" s="1"/>
  <c r="CY552" i="4"/>
  <c r="EA552" i="4"/>
  <c r="CX492" i="4"/>
  <c r="DZ492" i="4" s="1"/>
  <c r="CX519" i="4"/>
  <c r="DZ519" i="4"/>
  <c r="CY311" i="4"/>
  <c r="EA311" i="4" s="1"/>
  <c r="CX355" i="4"/>
  <c r="DZ355" i="4" s="1"/>
  <c r="CY439" i="4"/>
  <c r="EA439" i="4" s="1"/>
  <c r="CX306" i="4"/>
  <c r="DZ306" i="4" s="1"/>
  <c r="CX553" i="4"/>
  <c r="DZ553" i="4"/>
  <c r="CY666" i="4"/>
  <c r="EA666" i="4"/>
  <c r="CX623" i="4"/>
  <c r="DZ623" i="4" s="1"/>
  <c r="CY551" i="4"/>
  <c r="EA551" i="4"/>
  <c r="CY418" i="4"/>
  <c r="EA418" i="4" s="1"/>
  <c r="CX374" i="4"/>
  <c r="DZ374" i="4"/>
  <c r="CY510" i="4"/>
  <c r="EA510" i="4" s="1"/>
  <c r="CX558" i="4"/>
  <c r="DZ558" i="4" s="1"/>
  <c r="CX658" i="4"/>
  <c r="DZ658" i="4" s="1"/>
  <c r="CX651" i="4"/>
  <c r="DZ651" i="4" s="1"/>
  <c r="CX657" i="4"/>
  <c r="DZ657" i="4" s="1"/>
  <c r="CX442" i="4"/>
  <c r="DZ442" i="4"/>
  <c r="CX467" i="4"/>
  <c r="DZ467" i="4"/>
  <c r="CY637" i="4"/>
  <c r="EA637" i="4"/>
  <c r="CX512" i="4"/>
  <c r="DZ512" i="4" s="1"/>
  <c r="CX505" i="4"/>
  <c r="DZ505" i="4" s="1"/>
  <c r="CX550" i="4"/>
  <c r="DZ550" i="4" s="1"/>
  <c r="CX639" i="4"/>
  <c r="DZ639" i="4" s="1"/>
  <c r="CY408" i="4"/>
  <c r="EA408" i="4"/>
  <c r="CX520" i="4"/>
  <c r="DZ520" i="4" s="1"/>
  <c r="CY613" i="4"/>
  <c r="EA613" i="4" s="1"/>
  <c r="CX665" i="4"/>
  <c r="DZ665" i="4" s="1"/>
  <c r="CX646" i="4"/>
  <c r="DZ646" i="4" s="1"/>
  <c r="CY657" i="4"/>
  <c r="EA657" i="4" s="1"/>
  <c r="CY372" i="4"/>
  <c r="EA372" i="4" s="1"/>
  <c r="CX497" i="4"/>
  <c r="DZ497" i="4" s="1"/>
  <c r="CX534" i="4"/>
  <c r="DZ534" i="4" s="1"/>
  <c r="CX575" i="4"/>
  <c r="DZ575" i="4" s="1"/>
  <c r="CY435" i="4"/>
  <c r="EA435" i="4" s="1"/>
  <c r="CY598" i="4"/>
  <c r="EA598" i="4" s="1"/>
  <c r="CX590" i="4"/>
  <c r="DZ590" i="4"/>
  <c r="CY45" i="4"/>
  <c r="EA45" i="4" s="1"/>
  <c r="CX54" i="4"/>
  <c r="DZ54" i="4" s="1"/>
  <c r="CY84" i="4"/>
  <c r="EA84" i="4" s="1"/>
  <c r="CX97" i="4"/>
  <c r="DZ97" i="4" s="1"/>
  <c r="CY99" i="4"/>
  <c r="EA99" i="4"/>
  <c r="CX21" i="4"/>
  <c r="DZ21" i="4" s="1"/>
  <c r="CX48" i="4"/>
  <c r="DZ48" i="4" s="1"/>
  <c r="CY88" i="4"/>
  <c r="EA88" i="4"/>
  <c r="CX144" i="4"/>
  <c r="DZ144" i="4"/>
  <c r="CX112" i="4"/>
  <c r="DZ112" i="4" s="1"/>
  <c r="CY167" i="4"/>
  <c r="EA167" i="4" s="1"/>
  <c r="CY148" i="4"/>
  <c r="EA148" i="4" s="1"/>
  <c r="CX153" i="4"/>
  <c r="DZ153" i="4" s="1"/>
  <c r="CY213" i="4"/>
  <c r="EA213" i="4" s="1"/>
  <c r="CY288" i="4"/>
  <c r="EA288" i="4" s="1"/>
  <c r="CY344" i="4"/>
  <c r="EA344" i="4" s="1"/>
  <c r="CX311" i="4"/>
  <c r="DZ311" i="4" s="1"/>
  <c r="CX287" i="4"/>
  <c r="DZ287" i="4" s="1"/>
  <c r="CX341" i="4"/>
  <c r="DZ341" i="4" s="1"/>
  <c r="CX421" i="4"/>
  <c r="DZ421" i="4"/>
  <c r="CX303" i="4"/>
  <c r="DZ303" i="4" s="1"/>
  <c r="CX269" i="4"/>
  <c r="DZ269" i="4" s="1"/>
  <c r="CY254" i="4"/>
  <c r="EA254" i="4"/>
  <c r="CY285" i="4"/>
  <c r="EA285" i="4" s="1"/>
  <c r="CY479" i="4"/>
  <c r="EA479" i="4" s="1"/>
  <c r="CY454" i="4"/>
  <c r="EA454" i="4" s="1"/>
  <c r="CY433" i="4"/>
  <c r="EA433" i="4"/>
  <c r="CX486" i="4"/>
  <c r="DZ486" i="4"/>
  <c r="CY384" i="4"/>
  <c r="EA384" i="4" s="1"/>
  <c r="CX425" i="4"/>
  <c r="DZ425" i="4" s="1"/>
  <c r="CY556" i="4"/>
  <c r="EA556" i="4" s="1"/>
  <c r="CX436" i="4"/>
  <c r="DZ436" i="4"/>
  <c r="CY484" i="4"/>
  <c r="EA484" i="4" s="1"/>
  <c r="CY530" i="4"/>
  <c r="EA530" i="4"/>
  <c r="CY478" i="4"/>
  <c r="EA478" i="4" s="1"/>
  <c r="CX525" i="4"/>
  <c r="DZ525" i="4" s="1"/>
  <c r="CX605" i="4"/>
  <c r="DZ605" i="4" s="1"/>
  <c r="CX352" i="4"/>
  <c r="DZ352" i="4" s="1"/>
  <c r="CX538" i="4"/>
  <c r="DZ538" i="4" s="1"/>
  <c r="CX589" i="4"/>
  <c r="DZ589" i="4"/>
  <c r="CY625" i="4"/>
  <c r="EA625" i="4" s="1"/>
  <c r="CX659" i="4"/>
  <c r="DZ659" i="4" s="1"/>
  <c r="CY430" i="4"/>
  <c r="EA430" i="4" s="1"/>
  <c r="CY579" i="4"/>
  <c r="EA579" i="4" s="1"/>
  <c r="CX488" i="4"/>
  <c r="DZ488" i="4" s="1"/>
  <c r="CX676" i="4"/>
  <c r="DZ676" i="4" s="1"/>
  <c r="CX25" i="4"/>
  <c r="DZ25" i="4" s="1"/>
  <c r="CX68" i="4"/>
  <c r="DZ68" i="4" s="1"/>
  <c r="CX77" i="4"/>
  <c r="DZ77" i="4" s="1"/>
  <c r="CY87" i="4"/>
  <c r="EA87" i="4" s="1"/>
  <c r="CX135" i="4"/>
  <c r="DZ135" i="4" s="1"/>
  <c r="CY137" i="4"/>
  <c r="EA137" i="4" s="1"/>
  <c r="CX142" i="4"/>
  <c r="DZ142" i="4" s="1"/>
  <c r="CY263" i="4"/>
  <c r="EA263" i="4" s="1"/>
  <c r="CX182" i="4"/>
  <c r="DZ182" i="4" s="1"/>
  <c r="CX346" i="4"/>
  <c r="DZ346" i="4" s="1"/>
  <c r="CX380" i="4"/>
  <c r="DZ380" i="4" s="1"/>
  <c r="CY409" i="4"/>
  <c r="EA409" i="4" s="1"/>
  <c r="CY334" i="4"/>
  <c r="EA334" i="4" s="1"/>
  <c r="CX394" i="4"/>
  <c r="DZ394" i="4"/>
  <c r="CY394" i="4"/>
  <c r="EA394" i="4" s="1"/>
  <c r="CX439" i="4"/>
  <c r="DZ439" i="4"/>
  <c r="CX367" i="4"/>
  <c r="DZ367" i="4"/>
  <c r="CY458" i="4"/>
  <c r="EA458" i="4" s="1"/>
  <c r="CY277" i="4"/>
  <c r="EA277" i="4" s="1"/>
  <c r="CX500" i="4"/>
  <c r="DZ500" i="4" s="1"/>
  <c r="CY352" i="4"/>
  <c r="EA352" i="4"/>
  <c r="CY492" i="4"/>
  <c r="EA492" i="4"/>
  <c r="CX385" i="4"/>
  <c r="DZ385" i="4" s="1"/>
  <c r="CY568" i="4"/>
  <c r="EA568" i="4" s="1"/>
  <c r="CX598" i="4"/>
  <c r="DZ598" i="4" s="1"/>
  <c r="CY576" i="4"/>
  <c r="EA576" i="4"/>
  <c r="CY581" i="4"/>
  <c r="EA581" i="4" s="1"/>
  <c r="CY608" i="4"/>
  <c r="EA608" i="4" s="1"/>
  <c r="CX679" i="4"/>
  <c r="DZ679" i="4" s="1"/>
  <c r="CY668" i="4"/>
  <c r="EA668" i="4" s="1"/>
  <c r="CX523" i="4"/>
  <c r="DZ523" i="4" s="1"/>
  <c r="CX615" i="4"/>
  <c r="DZ615" i="4" s="1"/>
  <c r="CX12" i="4"/>
  <c r="DZ12" i="4" s="1"/>
  <c r="CX13" i="4"/>
  <c r="DZ13" i="4" s="1"/>
  <c r="CY22" i="4"/>
  <c r="EA22" i="4" s="1"/>
  <c r="CX38" i="4"/>
  <c r="DZ38" i="4"/>
  <c r="CY40" i="4"/>
  <c r="EA40" i="4" s="1"/>
  <c r="CY56" i="4"/>
  <c r="EA56" i="4" s="1"/>
  <c r="CX50" i="4"/>
  <c r="DZ50" i="4" s="1"/>
  <c r="CX66" i="4"/>
  <c r="DZ66" i="4" s="1"/>
  <c r="CX74" i="4"/>
  <c r="DZ74" i="4" s="1"/>
  <c r="CX62" i="4"/>
  <c r="DZ62" i="4" s="1"/>
  <c r="CY89" i="4"/>
  <c r="EA89" i="4" s="1"/>
  <c r="CX91" i="4"/>
  <c r="DZ91" i="4" s="1"/>
  <c r="CY81" i="4"/>
  <c r="EA81" i="4" s="1"/>
  <c r="CY110" i="4"/>
  <c r="EA110" i="4" s="1"/>
  <c r="CY117" i="4"/>
  <c r="EA117" i="4" s="1"/>
  <c r="CY101" i="4"/>
  <c r="EA101" i="4" s="1"/>
  <c r="CX152" i="4"/>
  <c r="DZ152" i="4" s="1"/>
  <c r="CY113" i="4"/>
  <c r="EA113" i="4"/>
  <c r="CY162" i="4"/>
  <c r="EA162" i="4"/>
  <c r="CX102" i="4"/>
  <c r="DZ102" i="4" s="1"/>
  <c r="CY171" i="4"/>
  <c r="EA171" i="4"/>
  <c r="CX204" i="4"/>
  <c r="DZ204" i="4" s="1"/>
  <c r="CX120" i="4"/>
  <c r="DZ120" i="4"/>
  <c r="CX208" i="4"/>
  <c r="DZ208" i="4" s="1"/>
  <c r="CX159" i="4"/>
  <c r="DZ159" i="4" s="1"/>
  <c r="CX220" i="4"/>
  <c r="DZ220" i="4" s="1"/>
  <c r="CY240" i="4"/>
  <c r="EA240" i="4" s="1"/>
  <c r="CY234" i="4"/>
  <c r="EA234" i="4" s="1"/>
  <c r="CX202" i="4"/>
  <c r="DZ202" i="4" s="1"/>
  <c r="CY159" i="4"/>
  <c r="EA159" i="4" s="1"/>
  <c r="CY268" i="4"/>
  <c r="EA268" i="4" s="1"/>
  <c r="CX278" i="4"/>
  <c r="DZ278" i="4"/>
  <c r="CX190" i="4"/>
  <c r="DZ190" i="4"/>
  <c r="CX268" i="4"/>
  <c r="DZ268" i="4" s="1"/>
  <c r="CX270" i="4"/>
  <c r="DZ270" i="4"/>
  <c r="CY180" i="4"/>
  <c r="EA180" i="4" s="1"/>
  <c r="CX155" i="4"/>
  <c r="DZ155" i="4"/>
  <c r="CX256" i="4"/>
  <c r="DZ256" i="4"/>
  <c r="CY280" i="4"/>
  <c r="EA280" i="4" s="1"/>
  <c r="CX298" i="4"/>
  <c r="DZ298" i="4"/>
  <c r="CX249" i="4"/>
  <c r="DZ249" i="4" s="1"/>
  <c r="CX283" i="4"/>
  <c r="DZ283" i="4" s="1"/>
  <c r="CY190" i="4"/>
  <c r="EA190" i="4"/>
  <c r="CX335" i="4"/>
  <c r="DZ335" i="4" s="1"/>
  <c r="CY373" i="4"/>
  <c r="EA373" i="4" s="1"/>
  <c r="CY333" i="4"/>
  <c r="EA333" i="4" s="1"/>
  <c r="CY178" i="4"/>
  <c r="EA178" i="4" s="1"/>
  <c r="CY210" i="4"/>
  <c r="EA210" i="4" s="1"/>
  <c r="CX290" i="4"/>
  <c r="DZ290" i="4" s="1"/>
  <c r="CX347" i="4"/>
  <c r="DZ347" i="4" s="1"/>
  <c r="CY369" i="4"/>
  <c r="EA369" i="4" s="1"/>
  <c r="CY207" i="4"/>
  <c r="EA207" i="4" s="1"/>
  <c r="CX322" i="4"/>
  <c r="DZ322" i="4" s="1"/>
  <c r="CX480" i="4"/>
  <c r="DZ480" i="4" s="1"/>
  <c r="CX243" i="4"/>
  <c r="DZ243" i="4" s="1"/>
  <c r="CX460" i="4"/>
  <c r="DZ460" i="4" s="1"/>
  <c r="CY395" i="4"/>
  <c r="EA395" i="4" s="1"/>
  <c r="CY301" i="4"/>
  <c r="EA301" i="4" s="1"/>
  <c r="CY327" i="4"/>
  <c r="EA327" i="4" s="1"/>
  <c r="CX368" i="4"/>
  <c r="DZ368" i="4" s="1"/>
  <c r="CY442" i="4"/>
  <c r="EA442" i="4" s="1"/>
  <c r="CX455" i="4"/>
  <c r="DZ455" i="4" s="1"/>
  <c r="CY528" i="4"/>
  <c r="EA528" i="4" s="1"/>
  <c r="CX466" i="4"/>
  <c r="DZ466" i="4" s="1"/>
  <c r="CX437" i="4"/>
  <c r="DZ437" i="4" s="1"/>
  <c r="CY474" i="4"/>
  <c r="EA474" i="4" s="1"/>
  <c r="CY516" i="4"/>
  <c r="EA516" i="4" s="1"/>
  <c r="CY292" i="4"/>
  <c r="EA292" i="4" s="1"/>
  <c r="CY431" i="4"/>
  <c r="EA431" i="4" s="1"/>
  <c r="CY588" i="4"/>
  <c r="EA588" i="4" s="1"/>
  <c r="CX393" i="4"/>
  <c r="DZ393" i="4" s="1"/>
  <c r="CX316" i="4"/>
  <c r="DZ316" i="4" s="1"/>
  <c r="CY524" i="4"/>
  <c r="EA524" i="4" s="1"/>
  <c r="CY548" i="4"/>
  <c r="EA548" i="4" s="1"/>
  <c r="CX625" i="4"/>
  <c r="DZ625" i="4" s="1"/>
  <c r="CY617" i="4"/>
  <c r="EA617" i="4" s="1"/>
  <c r="CY506" i="4"/>
  <c r="EA506" i="4"/>
  <c r="CY529" i="4"/>
  <c r="EA529" i="4" s="1"/>
  <c r="CY571" i="4"/>
  <c r="EA571" i="4"/>
  <c r="CY583" i="4"/>
  <c r="EA583" i="4"/>
  <c r="CY601" i="4"/>
  <c r="EA601" i="4" s="1"/>
  <c r="CX680" i="4"/>
  <c r="DZ680" i="4"/>
  <c r="CY638" i="4"/>
  <c r="EA638" i="4" s="1"/>
  <c r="CX650" i="4"/>
  <c r="DZ650" i="4" s="1"/>
  <c r="CX364" i="4"/>
  <c r="DZ364" i="4" s="1"/>
  <c r="CX390" i="4"/>
  <c r="DZ390" i="4" s="1"/>
  <c r="CX494" i="4"/>
  <c r="DZ494" i="4" s="1"/>
  <c r="CX569" i="4"/>
  <c r="DZ569" i="4"/>
  <c r="CX482" i="4"/>
  <c r="DZ482" i="4" s="1"/>
  <c r="CY512" i="4"/>
  <c r="EA512" i="4" s="1"/>
  <c r="CX595" i="4"/>
  <c r="DZ595" i="4" s="1"/>
  <c r="CX611" i="4"/>
  <c r="DZ611" i="4"/>
  <c r="CY41" i="4"/>
  <c r="EA41" i="4" s="1"/>
  <c r="CX568" i="4"/>
  <c r="DZ568" i="4" s="1"/>
  <c r="CX622" i="4"/>
  <c r="DZ622" i="4" s="1"/>
  <c r="CX616" i="4"/>
  <c r="DZ616" i="4" s="1"/>
  <c r="CY639" i="4"/>
  <c r="EA639" i="4" s="1"/>
  <c r="CY39" i="4"/>
  <c r="EA39" i="4" s="1"/>
  <c r="CY523" i="4"/>
  <c r="EA523" i="4" s="1"/>
  <c r="CX563" i="4"/>
  <c r="DZ563" i="4" s="1"/>
  <c r="CX474" i="4"/>
  <c r="DZ474" i="4" s="1"/>
  <c r="CY544" i="4"/>
  <c r="EA544" i="4"/>
  <c r="CY34" i="4"/>
  <c r="EA34" i="4"/>
  <c r="CY108" i="4"/>
  <c r="EA108" i="4"/>
  <c r="CY147" i="4"/>
  <c r="EA147" i="4" s="1"/>
  <c r="CY17" i="4"/>
  <c r="EA17" i="4" s="1"/>
  <c r="CY26" i="4"/>
  <c r="EA26" i="4" s="1"/>
  <c r="CX28" i="4"/>
  <c r="DZ28" i="4" s="1"/>
  <c r="CY33" i="4"/>
  <c r="EA33" i="4" s="1"/>
  <c r="CY109" i="4"/>
  <c r="EA109" i="4" s="1"/>
  <c r="CX124" i="4"/>
  <c r="DZ124" i="4" s="1"/>
  <c r="CX117" i="4"/>
  <c r="DZ117" i="4" s="1"/>
  <c r="CX145" i="4"/>
  <c r="DZ145" i="4" s="1"/>
  <c r="CX223" i="4"/>
  <c r="DZ223" i="4" s="1"/>
  <c r="CX127" i="4"/>
  <c r="DZ127" i="4" s="1"/>
  <c r="CY204" i="4"/>
  <c r="EA204" i="4" s="1"/>
  <c r="CX274" i="4"/>
  <c r="DZ274" i="4" s="1"/>
  <c r="CY216" i="4"/>
  <c r="EA216" i="4"/>
  <c r="CY218" i="4"/>
  <c r="EA218" i="4" s="1"/>
  <c r="CY222" i="4"/>
  <c r="EA222" i="4" s="1"/>
  <c r="CX345" i="4"/>
  <c r="DZ345" i="4"/>
  <c r="CY350" i="4"/>
  <c r="EA350" i="4" s="1"/>
  <c r="CX218" i="4"/>
  <c r="DZ218" i="4" s="1"/>
  <c r="CX323" i="4"/>
  <c r="DZ323" i="4" s="1"/>
  <c r="CY299" i="4"/>
  <c r="EA299" i="4" s="1"/>
  <c r="CX387" i="4"/>
  <c r="DZ387" i="4"/>
  <c r="CX403" i="4"/>
  <c r="DZ403" i="4" s="1"/>
  <c r="CY345" i="4"/>
  <c r="EA345" i="4" s="1"/>
  <c r="CY481" i="4"/>
  <c r="EA481" i="4" s="1"/>
  <c r="CX532" i="4"/>
  <c r="DZ532" i="4" s="1"/>
  <c r="CY670" i="4"/>
  <c r="EA670" i="4"/>
  <c r="CX527" i="4"/>
  <c r="DZ527" i="4" s="1"/>
  <c r="CY614" i="4"/>
  <c r="EA614" i="4" s="1"/>
  <c r="CX556" i="4"/>
  <c r="DZ556" i="4" s="1"/>
  <c r="CY245" i="4"/>
  <c r="EA245" i="4" s="1"/>
  <c r="CX537" i="4"/>
  <c r="DZ537" i="4" s="1"/>
  <c r="CY592" i="4"/>
  <c r="EA592" i="4" s="1"/>
  <c r="CY25" i="4"/>
  <c r="EA25" i="4" s="1"/>
  <c r="CY42" i="4"/>
  <c r="EA42" i="4" s="1"/>
  <c r="CX60" i="4"/>
  <c r="DZ60" i="4" s="1"/>
  <c r="CY82" i="4"/>
  <c r="EA82" i="4" s="1"/>
  <c r="CX45" i="4"/>
  <c r="DZ45" i="4" s="1"/>
  <c r="CY63" i="4"/>
  <c r="EA63" i="4" s="1"/>
  <c r="CY105" i="4"/>
  <c r="EA105" i="4" s="1"/>
  <c r="CY95" i="4"/>
  <c r="EA95" i="4" s="1"/>
  <c r="CY93" i="4"/>
  <c r="EA93" i="4" s="1"/>
  <c r="CX226" i="4"/>
  <c r="DZ226" i="4" s="1"/>
  <c r="CX151" i="4"/>
  <c r="DZ151" i="4" s="1"/>
  <c r="CX187" i="4"/>
  <c r="DZ187" i="4" s="1"/>
  <c r="CX246" i="4"/>
  <c r="DZ246" i="4" s="1"/>
  <c r="CX248" i="4"/>
  <c r="DZ248" i="4" s="1"/>
  <c r="CY298" i="4"/>
  <c r="EA298" i="4" s="1"/>
  <c r="CX350" i="4"/>
  <c r="DZ350" i="4" s="1"/>
  <c r="CY360" i="4"/>
  <c r="EA360" i="4"/>
  <c r="CY422" i="4"/>
  <c r="EA422" i="4" s="1"/>
  <c r="CX399" i="4"/>
  <c r="DZ399" i="4"/>
  <c r="CX375" i="4"/>
  <c r="DZ375" i="4"/>
  <c r="CX163" i="4"/>
  <c r="DZ163" i="4"/>
  <c r="CY437" i="4"/>
  <c r="EA437" i="4" s="1"/>
  <c r="CX388" i="4"/>
  <c r="DZ388" i="4" s="1"/>
  <c r="CX535" i="4"/>
  <c r="DZ535" i="4" s="1"/>
  <c r="CX546" i="4"/>
  <c r="DZ546" i="4"/>
  <c r="CX470" i="4"/>
  <c r="DZ470" i="4" s="1"/>
  <c r="CX634" i="4"/>
  <c r="DZ634" i="4" s="1"/>
  <c r="CX643" i="4"/>
  <c r="DZ643" i="4" s="1"/>
  <c r="CY486" i="4"/>
  <c r="EA486" i="4" s="1"/>
  <c r="CX591" i="4"/>
  <c r="DZ591" i="4" s="1"/>
  <c r="CX671" i="4"/>
  <c r="DZ671" i="4" s="1"/>
  <c r="CY521" i="4"/>
  <c r="EA521" i="4" s="1"/>
  <c r="CY307" i="4"/>
  <c r="EA307" i="4" s="1"/>
  <c r="CX435" i="4"/>
  <c r="DZ435" i="4"/>
  <c r="CX498" i="4"/>
  <c r="DZ498" i="4" s="1"/>
  <c r="CX496" i="4"/>
  <c r="DZ496" i="4"/>
  <c r="CX585" i="4"/>
  <c r="DZ585" i="4"/>
  <c r="CY619" i="4"/>
  <c r="EA619" i="4"/>
  <c r="CY677" i="4"/>
  <c r="EA677" i="4" s="1"/>
  <c r="CY11" i="4"/>
  <c r="EA11" i="4" s="1"/>
  <c r="CY21" i="4"/>
  <c r="EA21" i="4" s="1"/>
  <c r="CY18" i="4"/>
  <c r="EA18" i="4" s="1"/>
  <c r="CX31" i="4"/>
  <c r="DZ31" i="4" s="1"/>
  <c r="CX27" i="4"/>
  <c r="DZ27" i="4" s="1"/>
  <c r="CY20" i="4"/>
  <c r="EA20" i="4" s="1"/>
  <c r="CX40" i="4"/>
  <c r="DZ40" i="4" s="1"/>
  <c r="CY31" i="4"/>
  <c r="EA31" i="4"/>
  <c r="CY51" i="4"/>
  <c r="EA51" i="4" s="1"/>
  <c r="CX69" i="4"/>
  <c r="DZ69" i="4" s="1"/>
  <c r="CY49" i="4"/>
  <c r="EA49" i="4" s="1"/>
  <c r="CX51" i="4"/>
  <c r="DZ51" i="4" s="1"/>
  <c r="CX72" i="4"/>
  <c r="DZ72" i="4" s="1"/>
  <c r="CY80" i="4"/>
  <c r="EA80" i="4" s="1"/>
  <c r="CY71" i="4"/>
  <c r="EA71" i="4" s="1"/>
  <c r="CY76" i="4"/>
  <c r="EA76" i="4" s="1"/>
  <c r="CX98" i="4"/>
  <c r="DZ98" i="4" s="1"/>
  <c r="CX108" i="4"/>
  <c r="DZ108" i="4" s="1"/>
  <c r="CX93" i="4"/>
  <c r="DZ93" i="4"/>
  <c r="CX80" i="4"/>
  <c r="DZ80" i="4" s="1"/>
  <c r="CY91" i="4"/>
  <c r="EA91" i="4"/>
  <c r="CX94" i="4"/>
  <c r="DZ94" i="4"/>
  <c r="CX140" i="4"/>
  <c r="DZ140" i="4"/>
  <c r="CX139" i="4"/>
  <c r="DZ139" i="4" s="1"/>
  <c r="CY120" i="4"/>
  <c r="EA120" i="4" s="1"/>
  <c r="CX107" i="4"/>
  <c r="DZ107" i="4" s="1"/>
  <c r="CY149" i="4"/>
  <c r="EA149" i="4" s="1"/>
  <c r="CY164" i="4"/>
  <c r="EA164" i="4"/>
  <c r="CY175" i="4"/>
  <c r="EA175" i="4" s="1"/>
  <c r="CX113" i="4"/>
  <c r="DZ113" i="4"/>
  <c r="CX172" i="4"/>
  <c r="DZ172" i="4" s="1"/>
  <c r="CY195" i="4"/>
  <c r="EA195" i="4" s="1"/>
  <c r="CX230" i="4"/>
  <c r="DZ230" i="4"/>
  <c r="CY155" i="4"/>
  <c r="EA155" i="4" s="1"/>
  <c r="CY206" i="4"/>
  <c r="EA206" i="4" s="1"/>
  <c r="CY225" i="4"/>
  <c r="EA225" i="4" s="1"/>
  <c r="CX225" i="4"/>
  <c r="DZ225" i="4"/>
  <c r="CX174" i="4"/>
  <c r="DZ174" i="4" s="1"/>
  <c r="CY233" i="4"/>
  <c r="EA233" i="4" s="1"/>
  <c r="CX192" i="4"/>
  <c r="DZ192" i="4" s="1"/>
  <c r="CX282" i="4"/>
  <c r="DZ282" i="4" s="1"/>
  <c r="CY260" i="4"/>
  <c r="EA260" i="4" s="1"/>
  <c r="CY272" i="4"/>
  <c r="EA272" i="4" s="1"/>
  <c r="CY271" i="4"/>
  <c r="EA271" i="4"/>
  <c r="CX294" i="4"/>
  <c r="DZ294" i="4" s="1"/>
  <c r="CY356" i="4"/>
  <c r="EA356" i="4" s="1"/>
  <c r="CY223" i="4"/>
  <c r="EA223" i="4" s="1"/>
  <c r="CX250" i="4"/>
  <c r="DZ250" i="4" s="1"/>
  <c r="CY281" i="4"/>
  <c r="EA281" i="4" s="1"/>
  <c r="CY336" i="4"/>
  <c r="EA336" i="4" s="1"/>
  <c r="CX296" i="4"/>
  <c r="DZ296" i="4" s="1"/>
  <c r="CY331" i="4"/>
  <c r="EA331" i="4" s="1"/>
  <c r="CX254" i="4"/>
  <c r="DZ254" i="4"/>
  <c r="CY265" i="4"/>
  <c r="EA265" i="4" s="1"/>
  <c r="CY306" i="4"/>
  <c r="EA306" i="4" s="1"/>
  <c r="CY322" i="4"/>
  <c r="EA322" i="4" s="1"/>
  <c r="CY393" i="4"/>
  <c r="EA393" i="4" s="1"/>
  <c r="CX299" i="4"/>
  <c r="DZ299" i="4" s="1"/>
  <c r="CY361" i="4"/>
  <c r="EA361" i="4" s="1"/>
  <c r="CY401" i="4"/>
  <c r="EA401" i="4" s="1"/>
  <c r="CY346" i="4"/>
  <c r="EA346" i="4" s="1"/>
  <c r="CX448" i="4"/>
  <c r="DZ448" i="4" s="1"/>
  <c r="CY266" i="4"/>
  <c r="EA266" i="4" s="1"/>
  <c r="CY303" i="4"/>
  <c r="EA303" i="4"/>
  <c r="CX362" i="4"/>
  <c r="DZ362" i="4" s="1"/>
  <c r="CY389" i="4"/>
  <c r="EA389" i="4" s="1"/>
  <c r="CX476" i="4"/>
  <c r="DZ476" i="4" s="1"/>
  <c r="CY429" i="4"/>
  <c r="EA429" i="4" s="1"/>
  <c r="CX464" i="4"/>
  <c r="DZ464" i="4" s="1"/>
  <c r="CX125" i="4"/>
  <c r="DZ125" i="4" s="1"/>
  <c r="CX357" i="4"/>
  <c r="DZ357" i="4"/>
  <c r="CX468" i="4"/>
  <c r="DZ468" i="4"/>
  <c r="CY496" i="4"/>
  <c r="EA496" i="4" s="1"/>
  <c r="CX414" i="4"/>
  <c r="DZ414" i="4" s="1"/>
  <c r="CX456" i="4"/>
  <c r="DZ456" i="4" s="1"/>
  <c r="CX501" i="4"/>
  <c r="DZ501" i="4" s="1"/>
  <c r="CX574" i="4"/>
  <c r="DZ574" i="4"/>
  <c r="CY406" i="4"/>
  <c r="EA406" i="4" s="1"/>
  <c r="CX434" i="4"/>
  <c r="DZ434" i="4" s="1"/>
  <c r="CY526" i="4"/>
  <c r="EA526" i="4" s="1"/>
  <c r="CX578" i="4"/>
  <c r="DZ578" i="4" s="1"/>
  <c r="CY472" i="4"/>
  <c r="EA472" i="4" s="1"/>
  <c r="CY493" i="4"/>
  <c r="EA493" i="4" s="1"/>
  <c r="CY329" i="4"/>
  <c r="EA329" i="4" s="1"/>
  <c r="CY428" i="4"/>
  <c r="EA428" i="4"/>
  <c r="CY443" i="4"/>
  <c r="EA443" i="4" s="1"/>
  <c r="CX562" i="4"/>
  <c r="DZ562" i="4" s="1"/>
  <c r="CX587" i="4"/>
  <c r="DZ587" i="4" s="1"/>
  <c r="CY620" i="4"/>
  <c r="EA620" i="4" s="1"/>
  <c r="CX370" i="4"/>
  <c r="DZ370" i="4" s="1"/>
  <c r="CY557" i="4"/>
  <c r="EA557" i="4" s="1"/>
  <c r="CY662" i="4"/>
  <c r="EA662" i="4"/>
  <c r="CX618" i="4"/>
  <c r="DZ618" i="4"/>
  <c r="CY440" i="4"/>
  <c r="EA440" i="4" s="1"/>
  <c r="CX469" i="4"/>
  <c r="DZ469" i="4" s="1"/>
  <c r="CY515" i="4"/>
  <c r="EA515" i="4" s="1"/>
  <c r="CY542" i="4"/>
  <c r="EA542" i="4" s="1"/>
  <c r="CX630" i="4"/>
  <c r="DZ630" i="4" s="1"/>
  <c r="CY641" i="4"/>
  <c r="EA641" i="4" s="1"/>
  <c r="CX652" i="4"/>
  <c r="DZ652" i="4" s="1"/>
  <c r="CY578" i="4"/>
  <c r="EA578" i="4" s="1"/>
  <c r="CX528" i="4"/>
  <c r="DZ528" i="4" s="1"/>
  <c r="CX588" i="4"/>
  <c r="DZ588" i="4" s="1"/>
  <c r="CX660" i="4"/>
  <c r="DZ660" i="4" s="1"/>
  <c r="CY674" i="4"/>
  <c r="EA674" i="4"/>
  <c r="CY425" i="4"/>
  <c r="EA425" i="4" s="1"/>
  <c r="CY587" i="4"/>
  <c r="EA587" i="4"/>
  <c r="CX524" i="4"/>
  <c r="DZ524" i="4"/>
  <c r="CY561" i="4"/>
  <c r="EA561" i="4" s="1"/>
  <c r="CY343" i="4"/>
  <c r="EA343" i="4"/>
  <c r="CY482" i="4"/>
  <c r="EA482" i="4" s="1"/>
  <c r="CX506" i="4"/>
  <c r="DZ506" i="4" s="1"/>
  <c r="CY555" i="4"/>
  <c r="EA555" i="4" s="1"/>
  <c r="CY652" i="4"/>
  <c r="EA652" i="4"/>
  <c r="CX517" i="4"/>
  <c r="DZ517" i="4" s="1"/>
  <c r="CX566" i="4"/>
  <c r="DZ566" i="4"/>
  <c r="CX600" i="4"/>
  <c r="DZ600" i="4" s="1"/>
  <c r="CY660" i="4"/>
  <c r="EA660" i="4" s="1"/>
  <c r="CY678" i="4"/>
  <c r="EA678" i="4" s="1"/>
  <c r="CY12" i="4"/>
  <c r="EA12" i="4" s="1"/>
  <c r="CX17" i="4"/>
  <c r="DZ17" i="4" s="1"/>
  <c r="CX64" i="4"/>
  <c r="DZ64" i="4" s="1"/>
  <c r="CX36" i="4"/>
  <c r="DZ36" i="4" s="1"/>
  <c r="CY36" i="4"/>
  <c r="EA36" i="4" s="1"/>
  <c r="CY74" i="4"/>
  <c r="EA74" i="4" s="1"/>
  <c r="CY64" i="4"/>
  <c r="EA64" i="4" s="1"/>
  <c r="CX103" i="4"/>
  <c r="DZ103" i="4" s="1"/>
  <c r="CX88" i="4"/>
  <c r="DZ88" i="4" s="1"/>
  <c r="CX100" i="4"/>
  <c r="DZ100" i="4" s="1"/>
  <c r="CX214" i="4"/>
  <c r="DZ214" i="4" s="1"/>
  <c r="CX194" i="4"/>
  <c r="DZ194" i="4" s="1"/>
  <c r="CX203" i="4"/>
  <c r="DZ203" i="4" s="1"/>
  <c r="CX181" i="4"/>
  <c r="DZ181" i="4" s="1"/>
  <c r="CX307" i="4"/>
  <c r="DZ307" i="4" s="1"/>
  <c r="CX315" i="4"/>
  <c r="DZ315" i="4" s="1"/>
  <c r="CY379" i="4"/>
  <c r="EA379" i="4" s="1"/>
  <c r="CX198" i="4"/>
  <c r="DZ198" i="4"/>
  <c r="CX383" i="4"/>
  <c r="DZ383" i="4"/>
  <c r="CX386" i="4"/>
  <c r="DZ386" i="4" s="1"/>
  <c r="CY460" i="4"/>
  <c r="EA460" i="4"/>
  <c r="CY450" i="4"/>
  <c r="EA450" i="4" s="1"/>
  <c r="CY520" i="4"/>
  <c r="EA520" i="4" s="1"/>
  <c r="CY317" i="4"/>
  <c r="EA317" i="4" s="1"/>
  <c r="CY519" i="4"/>
  <c r="EA519" i="4"/>
  <c r="CX624" i="4"/>
  <c r="DZ624" i="4" s="1"/>
  <c r="CY494" i="4"/>
  <c r="EA494" i="4"/>
  <c r="CY487" i="4"/>
  <c r="EA487" i="4"/>
  <c r="CY495" i="4"/>
  <c r="EA495" i="4"/>
  <c r="CY490" i="4"/>
  <c r="EA490" i="4" s="1"/>
  <c r="CX547" i="4"/>
  <c r="DZ547" i="4" s="1"/>
  <c r="CY464" i="4"/>
  <c r="EA464" i="4" s="1"/>
  <c r="CX583" i="4"/>
  <c r="DZ583" i="4" s="1"/>
  <c r="CY616" i="4"/>
  <c r="EA616" i="4" s="1"/>
  <c r="CX9" i="4"/>
  <c r="DZ9" i="4" s="1"/>
  <c r="CX24" i="4"/>
  <c r="DZ24" i="4" s="1"/>
  <c r="CX35" i="4"/>
  <c r="DZ35" i="4" s="1"/>
  <c r="CY48" i="4"/>
  <c r="EA48" i="4" s="1"/>
  <c r="CY38" i="4"/>
  <c r="EA38" i="4" s="1"/>
  <c r="CY79" i="4"/>
  <c r="EA79" i="4" s="1"/>
  <c r="CX110" i="4"/>
  <c r="DZ110" i="4" s="1"/>
  <c r="CX158" i="4"/>
  <c r="DZ158" i="4" s="1"/>
  <c r="CX101" i="4"/>
  <c r="DZ101" i="4" s="1"/>
  <c r="CX207" i="4"/>
  <c r="DZ207" i="4" s="1"/>
  <c r="CY172" i="4"/>
  <c r="EA172" i="4"/>
  <c r="CX219" i="4"/>
  <c r="DZ219" i="4" s="1"/>
  <c r="CY252" i="4"/>
  <c r="EA252" i="4" s="1"/>
  <c r="CY107" i="4"/>
  <c r="EA107" i="4" s="1"/>
  <c r="CY283" i="4"/>
  <c r="EA283" i="4" s="1"/>
  <c r="CY314" i="4"/>
  <c r="EA314" i="4" s="1"/>
  <c r="CY304" i="4"/>
  <c r="EA304" i="4" s="1"/>
  <c r="CX260" i="4"/>
  <c r="DZ260" i="4"/>
  <c r="CY315" i="4"/>
  <c r="EA315" i="4" s="1"/>
  <c r="CX376" i="4"/>
  <c r="DZ376" i="4" s="1"/>
  <c r="CX253" i="4"/>
  <c r="DZ253" i="4" s="1"/>
  <c r="CX334" i="4"/>
  <c r="DZ334" i="4"/>
  <c r="CY367" i="4"/>
  <c r="EA367" i="4" s="1"/>
  <c r="CX263" i="4"/>
  <c r="DZ263" i="4"/>
  <c r="CY324" i="4"/>
  <c r="EA324" i="4" s="1"/>
  <c r="CX319" i="4"/>
  <c r="DZ319" i="4" s="1"/>
  <c r="CY380" i="4"/>
  <c r="EA380" i="4" s="1"/>
  <c r="CY291" i="4"/>
  <c r="EA291" i="4" s="1"/>
  <c r="CX452" i="4"/>
  <c r="DZ452" i="4" s="1"/>
  <c r="CY370" i="4"/>
  <c r="EA370" i="4"/>
  <c r="CX438" i="4"/>
  <c r="DZ438" i="4" s="1"/>
  <c r="CX465" i="4"/>
  <c r="DZ465" i="4" s="1"/>
  <c r="CY449" i="4"/>
  <c r="EA449" i="4" s="1"/>
  <c r="CX586" i="4"/>
  <c r="DZ586" i="4"/>
  <c r="CX559" i="4"/>
  <c r="DZ559" i="4" s="1"/>
  <c r="CX420" i="4"/>
  <c r="DZ420" i="4"/>
  <c r="CY560" i="4"/>
  <c r="EA560" i="4"/>
  <c r="CY671" i="4"/>
  <c r="EA671" i="4" s="1"/>
  <c r="CY564" i="4"/>
  <c r="EA564" i="4"/>
  <c r="CX411" i="4"/>
  <c r="DZ411" i="4" s="1"/>
  <c r="CX582" i="4"/>
  <c r="DZ582" i="4"/>
  <c r="CX620" i="4"/>
  <c r="DZ620" i="4"/>
  <c r="CX626" i="4"/>
  <c r="DZ626" i="4" s="1"/>
  <c r="CX481" i="4"/>
  <c r="DZ481" i="4" s="1"/>
  <c r="CX648" i="4"/>
  <c r="DZ648" i="4" s="1"/>
  <c r="CX379" i="4"/>
  <c r="DZ379" i="4" s="1"/>
  <c r="CX514" i="4"/>
  <c r="DZ514" i="4" s="1"/>
  <c r="CX19" i="4"/>
  <c r="DZ19" i="4" s="1"/>
  <c r="CX22" i="4"/>
  <c r="DZ22" i="4" s="1"/>
  <c r="CX26" i="4"/>
  <c r="DZ26" i="4" s="1"/>
  <c r="CY44" i="4"/>
  <c r="EA44" i="4" s="1"/>
  <c r="CY53" i="4"/>
  <c r="EA53" i="4" s="1"/>
  <c r="CY47" i="4"/>
  <c r="EA47" i="4" s="1"/>
  <c r="CX58" i="4"/>
  <c r="DZ58" i="4"/>
  <c r="CY54" i="4"/>
  <c r="EA54" i="4" s="1"/>
  <c r="CX63" i="4"/>
  <c r="DZ63" i="4" s="1"/>
  <c r="CX49" i="4"/>
  <c r="DZ49" i="4" s="1"/>
  <c r="CY72" i="4"/>
  <c r="EA72" i="4" s="1"/>
  <c r="CY67" i="4"/>
  <c r="EA67" i="4" s="1"/>
  <c r="CY65" i="4"/>
  <c r="EA65" i="4" s="1"/>
  <c r="CY179" i="4"/>
  <c r="EA179" i="4" s="1"/>
  <c r="CX168" i="4"/>
  <c r="DZ168" i="4" s="1"/>
  <c r="CX193" i="4"/>
  <c r="DZ193" i="4"/>
  <c r="CX123" i="4"/>
  <c r="DZ123" i="4" s="1"/>
  <c r="CX176" i="4"/>
  <c r="DZ176" i="4"/>
  <c r="CX199" i="4"/>
  <c r="DZ199" i="4" s="1"/>
  <c r="CX211" i="4"/>
  <c r="DZ211" i="4" s="1"/>
  <c r="CX175" i="4"/>
  <c r="DZ175" i="4"/>
  <c r="CY197" i="4"/>
  <c r="EA197" i="4" s="1"/>
  <c r="CX156" i="4"/>
  <c r="DZ156" i="4" s="1"/>
  <c r="CX228" i="4"/>
  <c r="DZ228" i="4" s="1"/>
  <c r="CY156" i="4"/>
  <c r="EA156" i="4" s="1"/>
  <c r="CY208" i="4"/>
  <c r="EA208" i="4" s="1"/>
  <c r="CY228" i="4"/>
  <c r="EA228" i="4" s="1"/>
  <c r="CX189" i="4"/>
  <c r="DZ189" i="4" s="1"/>
  <c r="CX222" i="4"/>
  <c r="DZ222" i="4"/>
  <c r="CY150" i="4"/>
  <c r="EA150" i="4" s="1"/>
  <c r="CX195" i="4"/>
  <c r="DZ195" i="4" s="1"/>
  <c r="CX264" i="4"/>
  <c r="DZ264" i="4" s="1"/>
  <c r="CY247" i="4"/>
  <c r="EA247" i="4"/>
  <c r="CX130" i="4"/>
  <c r="DZ130" i="4"/>
  <c r="CX200" i="4"/>
  <c r="DZ200" i="4"/>
  <c r="CY244" i="4"/>
  <c r="EA244" i="4" s="1"/>
  <c r="CX184" i="4"/>
  <c r="DZ184" i="4" s="1"/>
  <c r="CY251" i="4"/>
  <c r="EA251" i="4" s="1"/>
  <c r="CY279" i="4"/>
  <c r="EA279" i="4" s="1"/>
  <c r="CY231" i="4"/>
  <c r="EA231" i="4" s="1"/>
  <c r="CX308" i="4"/>
  <c r="DZ308" i="4" s="1"/>
  <c r="CX337" i="4"/>
  <c r="DZ337" i="4" s="1"/>
  <c r="CY318" i="4"/>
  <c r="EA318" i="4" s="1"/>
  <c r="CY219" i="4"/>
  <c r="EA219" i="4"/>
  <c r="CY294" i="4"/>
  <c r="EA294" i="4" s="1"/>
  <c r="CY348" i="4"/>
  <c r="EA348" i="4" s="1"/>
  <c r="CX224" i="4"/>
  <c r="DZ224" i="4" s="1"/>
  <c r="CY273" i="4"/>
  <c r="EA273" i="4" s="1"/>
  <c r="CX402" i="4"/>
  <c r="DZ402" i="4"/>
  <c r="CY382" i="4"/>
  <c r="EA382" i="4" s="1"/>
  <c r="CY412" i="4"/>
  <c r="EA412" i="4" s="1"/>
  <c r="CX305" i="4"/>
  <c r="DZ305" i="4" s="1"/>
  <c r="CX338" i="4"/>
  <c r="DZ338" i="4"/>
  <c r="CX384" i="4"/>
  <c r="DZ384" i="4" s="1"/>
  <c r="CX428" i="4"/>
  <c r="DZ428" i="4" s="1"/>
  <c r="CX444" i="4"/>
  <c r="DZ444" i="4" s="1"/>
  <c r="CX422" i="4"/>
  <c r="DZ422" i="4" s="1"/>
  <c r="CY504" i="4"/>
  <c r="EA504" i="4" s="1"/>
  <c r="CX340" i="4"/>
  <c r="DZ340" i="4" s="1"/>
  <c r="CY447" i="4"/>
  <c r="EA447" i="4" s="1"/>
  <c r="CX451" i="4"/>
  <c r="DZ451" i="4"/>
  <c r="CX398" i="4"/>
  <c r="DZ398" i="4" s="1"/>
  <c r="EA411" i="4"/>
  <c r="CY411" i="4"/>
  <c r="CY456" i="4"/>
  <c r="EA456" i="4"/>
  <c r="CY584" i="4"/>
  <c r="EA584" i="4" s="1"/>
  <c r="CY663" i="4"/>
  <c r="EA663" i="4" s="1"/>
  <c r="CX461" i="4"/>
  <c r="DZ461" i="4" s="1"/>
  <c r="CY488" i="4"/>
  <c r="EA488" i="4"/>
  <c r="CX502" i="4"/>
  <c r="DZ502" i="4"/>
  <c r="CX539" i="4"/>
  <c r="DZ539" i="4" s="1"/>
  <c r="CY517" i="4"/>
  <c r="EA517" i="4" s="1"/>
  <c r="CY461" i="4"/>
  <c r="EA461" i="4"/>
  <c r="CY525" i="4"/>
  <c r="EA525" i="4" s="1"/>
  <c r="CY572" i="4"/>
  <c r="EA572" i="4" s="1"/>
  <c r="CY451" i="4"/>
  <c r="EA451" i="4"/>
  <c r="CY471" i="4"/>
  <c r="EA471" i="4" s="1"/>
  <c r="CX515" i="4"/>
  <c r="DZ515" i="4"/>
  <c r="CX601" i="4"/>
  <c r="DZ601" i="4"/>
  <c r="CX613" i="4"/>
  <c r="DZ613" i="4"/>
  <c r="CY507" i="4"/>
  <c r="EA507" i="4" s="1"/>
  <c r="CX668" i="4"/>
  <c r="DZ668" i="4" s="1"/>
  <c r="CX279" i="4"/>
  <c r="DZ279" i="4" s="1"/>
  <c r="CX678" i="4"/>
  <c r="DZ678" i="4" s="1"/>
  <c r="CX493" i="4"/>
  <c r="DZ493" i="4" s="1"/>
  <c r="CX543" i="4"/>
  <c r="DZ543" i="4" s="1"/>
  <c r="CX602" i="4"/>
  <c r="DZ602" i="4" s="1"/>
  <c r="CX621" i="4"/>
  <c r="DZ621" i="4" s="1"/>
  <c r="CY630" i="4"/>
  <c r="EA630" i="4" s="1"/>
  <c r="CY536" i="4"/>
  <c r="EA536" i="4" s="1"/>
  <c r="CY629" i="4"/>
  <c r="EA629" i="4" s="1"/>
  <c r="CX416" i="4"/>
  <c r="DZ416" i="4" s="1"/>
  <c r="CX554" i="4"/>
  <c r="DZ554" i="4" s="1"/>
  <c r="CX572" i="4"/>
  <c r="DZ572" i="4" s="1"/>
  <c r="CY596" i="4"/>
  <c r="EA596" i="4" s="1"/>
  <c r="CX617" i="4"/>
  <c r="DZ617" i="4" s="1"/>
  <c r="CY664" i="4"/>
  <c r="EA664" i="4" s="1"/>
  <c r="CX529" i="4"/>
  <c r="DZ529" i="4"/>
  <c r="CX43" i="4"/>
  <c r="DZ43" i="4" s="1"/>
  <c r="CY420" i="4"/>
  <c r="EA420" i="4" s="1"/>
  <c r="CX484" i="4"/>
  <c r="DZ484" i="4"/>
  <c r="CX507" i="4"/>
  <c r="DZ507" i="4" s="1"/>
  <c r="CX531" i="4"/>
  <c r="DZ531" i="4"/>
  <c r="CY580" i="4"/>
  <c r="EA580" i="4" s="1"/>
  <c r="CY610" i="4"/>
  <c r="EA610" i="4"/>
  <c r="CY621" i="4"/>
  <c r="EA621" i="4"/>
  <c r="CX632" i="4"/>
  <c r="DZ632" i="4" s="1"/>
  <c r="CX642" i="4"/>
  <c r="DZ642" i="4" s="1"/>
  <c r="DN1" i="4"/>
  <c r="DW1" i="4"/>
  <c r="DO8" i="4"/>
  <c r="DW8" i="4"/>
  <c r="DU1" i="4"/>
  <c r="DP1" i="4"/>
  <c r="DR1" i="4"/>
  <c r="DS1" i="4"/>
  <c r="DX8" i="4"/>
  <c r="DV8" i="4"/>
  <c r="DT1" i="4"/>
  <c r="DO1" i="4"/>
  <c r="DR8" i="4"/>
  <c r="DV1" i="4"/>
  <c r="DL1" i="4"/>
  <c r="DM1" i="4"/>
  <c r="DQ1" i="4"/>
  <c r="DS8" i="4"/>
  <c r="DQ8" i="4"/>
  <c r="DN8" i="4"/>
  <c r="DM8" i="4"/>
  <c r="DP8" i="4"/>
  <c r="DL8" i="4"/>
  <c r="DY8" i="4"/>
  <c r="DT8" i="4"/>
  <c r="DU8" i="4"/>
  <c r="C250" i="8" l="1"/>
  <c r="C263" i="8"/>
  <c r="C268" i="8"/>
  <c r="C261" i="8"/>
  <c r="C258" i="8"/>
  <c r="C251" i="8"/>
  <c r="C255" i="8"/>
  <c r="C262" i="8"/>
  <c r="C266" i="8"/>
  <c r="C260" i="8"/>
  <c r="C267" i="8"/>
  <c r="C265" i="8"/>
  <c r="O26" i="8"/>
  <c r="O10" i="8"/>
  <c r="O28" i="8"/>
  <c r="O21" i="8"/>
  <c r="O23" i="8"/>
  <c r="O17" i="8"/>
  <c r="O18" i="8"/>
  <c r="O20" i="8"/>
  <c r="O15" i="8"/>
  <c r="O22" i="8"/>
  <c r="O12" i="8"/>
  <c r="O16" i="8"/>
  <c r="O27" i="8"/>
  <c r="O13" i="8"/>
  <c r="O11" i="8"/>
  <c r="O25" i="8"/>
  <c r="C70" i="8"/>
  <c r="C75" i="8"/>
  <c r="C76" i="8"/>
  <c r="C77" i="8"/>
  <c r="C85" i="8"/>
  <c r="C82" i="8"/>
  <c r="G220" i="7"/>
  <c r="G225" i="7"/>
  <c r="G223" i="7"/>
  <c r="G230" i="7"/>
  <c r="G228" i="7"/>
  <c r="G232" i="7"/>
  <c r="G221" i="7"/>
  <c r="G226" i="7"/>
  <c r="G227" i="7"/>
  <c r="G231" i="7"/>
  <c r="G237" i="7"/>
  <c r="G236" i="7"/>
  <c r="G233" i="7"/>
  <c r="C490" i="8"/>
  <c r="C496" i="8"/>
  <c r="C497" i="8"/>
  <c r="O490" i="8"/>
  <c r="O497" i="8"/>
  <c r="O505" i="8"/>
  <c r="O502" i="8"/>
  <c r="O496" i="8"/>
  <c r="O495" i="8"/>
  <c r="O520" i="8"/>
  <c r="O527" i="8"/>
  <c r="O526" i="8"/>
  <c r="O525" i="8"/>
  <c r="O532" i="8"/>
  <c r="O535" i="8"/>
  <c r="K40" i="7"/>
  <c r="K41" i="7"/>
  <c r="K51" i="7"/>
  <c r="K43" i="7"/>
  <c r="K47" i="7"/>
  <c r="K57" i="7"/>
  <c r="K45" i="7"/>
  <c r="K50" i="7"/>
  <c r="K46" i="7"/>
  <c r="K42" i="7"/>
  <c r="K52" i="7"/>
  <c r="K56" i="7"/>
  <c r="K48" i="7"/>
  <c r="K55" i="7"/>
  <c r="K58" i="7"/>
  <c r="K53" i="7"/>
  <c r="K10" i="8"/>
  <c r="K18" i="8"/>
  <c r="K28" i="8"/>
  <c r="K22" i="8"/>
  <c r="K15" i="8"/>
  <c r="K21" i="8"/>
  <c r="K26" i="8"/>
  <c r="K11" i="8"/>
  <c r="K27" i="8"/>
  <c r="K25" i="8"/>
  <c r="K23" i="8"/>
  <c r="K20" i="8"/>
  <c r="G250" i="7"/>
  <c r="G255" i="7"/>
  <c r="G266" i="7"/>
  <c r="G251" i="7"/>
  <c r="G262" i="7"/>
  <c r="G263" i="7"/>
  <c r="G268" i="7"/>
  <c r="G258" i="7"/>
  <c r="G261" i="7"/>
  <c r="G267" i="7"/>
  <c r="G265" i="7"/>
  <c r="G260" i="7"/>
  <c r="E10" i="7"/>
  <c r="E26" i="7"/>
  <c r="E13" i="7"/>
  <c r="E21" i="7"/>
  <c r="E15" i="7"/>
  <c r="E27" i="7"/>
  <c r="E20" i="7"/>
  <c r="E17" i="7"/>
  <c r="E18" i="7"/>
  <c r="E25" i="7"/>
  <c r="G70" i="8"/>
  <c r="G85" i="8"/>
  <c r="G75" i="8"/>
  <c r="G77" i="8"/>
  <c r="G82" i="8"/>
  <c r="G76" i="8"/>
  <c r="M10" i="7"/>
  <c r="M21" i="7"/>
  <c r="M18" i="7"/>
  <c r="M11" i="7"/>
  <c r="M15" i="7"/>
  <c r="M28" i="7"/>
  <c r="M26" i="7"/>
  <c r="M17" i="7"/>
  <c r="M27" i="7"/>
  <c r="M23" i="7"/>
  <c r="M22" i="7"/>
  <c r="M13" i="7"/>
  <c r="M160" i="7"/>
  <c r="M163" i="7"/>
  <c r="M167" i="7"/>
  <c r="M165" i="7"/>
  <c r="M171" i="7"/>
  <c r="M170" i="7"/>
  <c r="M175" i="7"/>
  <c r="M176" i="7"/>
  <c r="M177" i="7"/>
  <c r="M168" i="7"/>
  <c r="E340" i="8"/>
  <c r="E345" i="8"/>
  <c r="E358" i="8"/>
  <c r="E356" i="8"/>
  <c r="M100" i="7"/>
  <c r="M101" i="7"/>
  <c r="M112" i="7"/>
  <c r="M113" i="7"/>
  <c r="M110" i="7"/>
  <c r="M111" i="7"/>
  <c r="M105" i="7"/>
  <c r="M102" i="7"/>
  <c r="M116" i="7"/>
  <c r="M108" i="7"/>
  <c r="M118" i="7"/>
  <c r="M107" i="7"/>
  <c r="M106" i="7"/>
  <c r="M117" i="7"/>
  <c r="M115" i="7"/>
  <c r="M103" i="7"/>
  <c r="K10" i="7"/>
  <c r="K22" i="7"/>
  <c r="K21" i="7"/>
  <c r="K28" i="7"/>
  <c r="K15" i="7"/>
  <c r="K23" i="7"/>
  <c r="K27" i="7"/>
  <c r="K25" i="7"/>
  <c r="K20" i="7"/>
  <c r="K18" i="7"/>
  <c r="K11" i="7"/>
  <c r="K26" i="7"/>
  <c r="K430" i="8"/>
  <c r="K438" i="8"/>
  <c r="K448" i="8"/>
  <c r="K443" i="8"/>
  <c r="K435" i="8"/>
  <c r="G40" i="8"/>
  <c r="G43" i="8"/>
  <c r="G58" i="8"/>
  <c r="G53" i="8"/>
  <c r="G55" i="8"/>
  <c r="G42" i="8"/>
  <c r="G41" i="8"/>
  <c r="G52" i="8"/>
  <c r="G47" i="8"/>
  <c r="G45" i="8"/>
  <c r="G50" i="8"/>
  <c r="G46" i="8"/>
  <c r="G51" i="8"/>
  <c r="G48" i="8"/>
  <c r="G56" i="8"/>
  <c r="O370" i="8"/>
  <c r="O381" i="8"/>
  <c r="O375" i="8"/>
  <c r="O383" i="8"/>
  <c r="O378" i="8"/>
  <c r="O372" i="8"/>
  <c r="O371" i="8"/>
  <c r="O377" i="8"/>
  <c r="O373" i="8"/>
  <c r="O376" i="8"/>
  <c r="O386" i="8"/>
  <c r="O385" i="8"/>
  <c r="O380" i="8"/>
  <c r="O382" i="8"/>
  <c r="M280" i="7"/>
  <c r="M292" i="7"/>
  <c r="M297" i="7"/>
  <c r="M288" i="7"/>
  <c r="M283" i="7"/>
  <c r="M293" i="7"/>
  <c r="M298" i="7"/>
  <c r="M281" i="7"/>
  <c r="M291" i="7"/>
  <c r="M285" i="7"/>
  <c r="M296" i="7"/>
  <c r="M287" i="7"/>
  <c r="I10" i="8"/>
  <c r="I18" i="8"/>
  <c r="I16" i="8"/>
  <c r="I13" i="8"/>
  <c r="I23" i="8"/>
  <c r="I17" i="8"/>
  <c r="I22" i="8"/>
  <c r="I20" i="8"/>
  <c r="I11" i="8"/>
  <c r="I15" i="8"/>
  <c r="I26" i="8"/>
  <c r="I27" i="8"/>
  <c r="I21" i="8"/>
  <c r="O370" i="7"/>
  <c r="O386" i="7"/>
  <c r="O375" i="7"/>
  <c r="O371" i="7"/>
  <c r="O378" i="7"/>
  <c r="O380" i="7"/>
  <c r="O385" i="7"/>
  <c r="O381" i="7"/>
  <c r="O382" i="7"/>
  <c r="O373" i="7"/>
  <c r="O372" i="7"/>
  <c r="O376" i="7"/>
  <c r="O383" i="7"/>
  <c r="O377" i="7"/>
  <c r="K160" i="8"/>
  <c r="K170" i="8"/>
  <c r="K177" i="8"/>
  <c r="K167" i="8"/>
  <c r="K171" i="8"/>
  <c r="K175" i="8"/>
  <c r="K168" i="8"/>
  <c r="K165" i="8"/>
  <c r="K176" i="8"/>
  <c r="K163" i="8"/>
  <c r="C10" i="7"/>
  <c r="C22" i="7"/>
  <c r="C12" i="7"/>
  <c r="C28" i="7"/>
  <c r="C16" i="7"/>
  <c r="C13" i="7"/>
  <c r="C17" i="7"/>
  <c r="C27" i="7"/>
  <c r="C11" i="7"/>
  <c r="C26" i="7"/>
  <c r="C18" i="7"/>
  <c r="C25" i="7"/>
  <c r="C21" i="7"/>
  <c r="C20" i="7"/>
  <c r="C23" i="7"/>
  <c r="C15" i="7"/>
  <c r="E370" i="8"/>
  <c r="E376" i="8"/>
  <c r="E385" i="8"/>
  <c r="E386" i="8"/>
  <c r="E378" i="8"/>
  <c r="E375" i="8"/>
  <c r="E377" i="8"/>
  <c r="C40" i="8"/>
  <c r="C58" i="8"/>
  <c r="C56" i="8"/>
  <c r="C52" i="8"/>
  <c r="C43" i="8"/>
  <c r="C45" i="8"/>
  <c r="E70" i="8"/>
  <c r="E85" i="8"/>
  <c r="E82" i="8"/>
  <c r="K130" i="8"/>
  <c r="K137" i="8"/>
  <c r="K131" i="8"/>
  <c r="K147" i="8"/>
  <c r="K136" i="8"/>
  <c r="K133" i="8"/>
  <c r="K138" i="8"/>
  <c r="K145" i="8"/>
  <c r="K141" i="8"/>
  <c r="K143" i="8"/>
  <c r="K135" i="8"/>
  <c r="K148" i="8"/>
  <c r="K146" i="8"/>
  <c r="K140" i="8"/>
  <c r="G10" i="7"/>
  <c r="G23" i="7"/>
  <c r="G18" i="7"/>
  <c r="G13" i="7"/>
  <c r="G12" i="7"/>
  <c r="G26" i="7"/>
  <c r="G27" i="7"/>
  <c r="G25" i="7"/>
  <c r="G15" i="7"/>
  <c r="G22" i="7"/>
  <c r="G11" i="7"/>
  <c r="G28" i="7"/>
  <c r="G17" i="7"/>
  <c r="G16" i="7"/>
  <c r="G21" i="7"/>
  <c r="O520" i="7"/>
  <c r="O525" i="7"/>
  <c r="O532" i="7"/>
  <c r="O527" i="7"/>
  <c r="O526" i="7"/>
  <c r="O535" i="7"/>
  <c r="O340" i="7"/>
  <c r="O345" i="7"/>
  <c r="O352" i="7"/>
  <c r="O356" i="7"/>
  <c r="O343" i="7"/>
  <c r="O358" i="7"/>
  <c r="G130" i="7"/>
  <c r="G133" i="7"/>
  <c r="G141" i="7"/>
  <c r="G143" i="7"/>
  <c r="G137" i="7"/>
  <c r="G147" i="7"/>
  <c r="G132" i="7"/>
  <c r="G135" i="7"/>
  <c r="G138" i="7"/>
  <c r="G136" i="7"/>
  <c r="G145" i="7"/>
  <c r="G142" i="7"/>
  <c r="G131" i="7"/>
  <c r="G140" i="7"/>
  <c r="G146" i="7"/>
  <c r="G148" i="7"/>
  <c r="E130" i="8"/>
  <c r="E143" i="8"/>
  <c r="E135" i="8"/>
  <c r="E145" i="8"/>
  <c r="E141" i="8"/>
  <c r="E142" i="8"/>
  <c r="E140" i="8"/>
  <c r="E133" i="8"/>
  <c r="E137" i="8"/>
  <c r="E148" i="8"/>
  <c r="E138" i="8"/>
  <c r="E136" i="8"/>
  <c r="E131" i="8"/>
  <c r="E146" i="8"/>
  <c r="E147" i="8"/>
  <c r="E132" i="8"/>
  <c r="K340" i="8"/>
  <c r="K345" i="8"/>
  <c r="K358" i="8"/>
  <c r="I40" i="8"/>
  <c r="I45" i="8"/>
  <c r="I46" i="8"/>
  <c r="I48" i="8"/>
  <c r="I52" i="8"/>
  <c r="I58" i="8"/>
  <c r="I41" i="8"/>
  <c r="I57" i="8"/>
  <c r="I43" i="8"/>
  <c r="I56" i="8"/>
  <c r="I51" i="8"/>
  <c r="I47" i="8"/>
  <c r="I53" i="8"/>
  <c r="I50" i="8"/>
  <c r="O310" i="7"/>
  <c r="O323" i="7"/>
  <c r="O327" i="7"/>
  <c r="O313" i="7"/>
  <c r="O326" i="7"/>
  <c r="O321" i="7"/>
  <c r="O312" i="7"/>
  <c r="O325" i="7"/>
  <c r="O322" i="7"/>
  <c r="O316" i="7"/>
  <c r="O315" i="7"/>
  <c r="O318" i="7"/>
  <c r="O320" i="7"/>
  <c r="O311" i="7"/>
  <c r="O317" i="7"/>
  <c r="O328" i="7"/>
  <c r="E40" i="8"/>
  <c r="E50" i="8"/>
  <c r="E45" i="8"/>
  <c r="E47" i="8"/>
  <c r="E43" i="8"/>
  <c r="E56" i="8"/>
  <c r="E55" i="8"/>
  <c r="E42" i="8"/>
  <c r="E46" i="8"/>
  <c r="E51" i="8"/>
  <c r="E52" i="8"/>
  <c r="E53" i="8"/>
  <c r="E48" i="8"/>
  <c r="E41" i="8"/>
  <c r="C520" i="8"/>
  <c r="C526" i="8"/>
  <c r="C527" i="8"/>
  <c r="K400" i="8"/>
  <c r="K418" i="8"/>
  <c r="K413" i="8"/>
  <c r="K408" i="8"/>
  <c r="K405" i="8"/>
  <c r="M160" i="8"/>
  <c r="M163" i="8"/>
  <c r="M165" i="8"/>
  <c r="M167" i="8"/>
  <c r="M171" i="8"/>
  <c r="M176" i="8"/>
  <c r="M170" i="8"/>
  <c r="M177" i="8"/>
  <c r="M168" i="8"/>
  <c r="M175" i="8"/>
  <c r="M250" i="7"/>
  <c r="M267" i="7"/>
  <c r="M260" i="7"/>
  <c r="M262" i="7"/>
  <c r="M265" i="7"/>
  <c r="M268" i="7"/>
  <c r="M255" i="7"/>
  <c r="M266" i="7"/>
  <c r="M251" i="7"/>
  <c r="M261" i="7"/>
  <c r="M258" i="7"/>
  <c r="M263" i="7"/>
  <c r="K250" i="8"/>
  <c r="K263" i="8"/>
  <c r="K268" i="8"/>
  <c r="K258" i="8"/>
  <c r="K251" i="8"/>
  <c r="K261" i="8"/>
  <c r="K255" i="8"/>
  <c r="K266" i="8"/>
  <c r="K267" i="8"/>
  <c r="K265" i="8"/>
  <c r="O400" i="8"/>
  <c r="O412" i="8"/>
  <c r="O407" i="8"/>
  <c r="O413" i="8"/>
  <c r="O418" i="8"/>
  <c r="O415" i="8"/>
  <c r="O403" i="8"/>
  <c r="O406" i="8"/>
  <c r="O410" i="8"/>
  <c r="O405" i="8"/>
  <c r="O401" i="8"/>
  <c r="O411" i="8"/>
  <c r="O416" i="8"/>
  <c r="O408" i="8"/>
  <c r="O402" i="8"/>
  <c r="K520" i="8"/>
  <c r="K527" i="8"/>
  <c r="M220" i="8"/>
  <c r="M227" i="8"/>
  <c r="M233" i="8"/>
  <c r="M228" i="8"/>
  <c r="M230" i="8"/>
  <c r="M221" i="8"/>
  <c r="M223" i="8"/>
  <c r="M237" i="8"/>
  <c r="M226" i="8"/>
  <c r="M231" i="8"/>
  <c r="M236" i="8"/>
  <c r="M232" i="8"/>
  <c r="M225" i="8"/>
  <c r="C10" i="8"/>
  <c r="C13" i="8"/>
  <c r="C15" i="8"/>
  <c r="C21" i="8"/>
  <c r="C18" i="8"/>
  <c r="C28" i="8"/>
  <c r="C22" i="8"/>
  <c r="C17" i="8"/>
  <c r="C25" i="8"/>
  <c r="C27" i="8"/>
  <c r="C26" i="8"/>
  <c r="C12" i="8"/>
  <c r="C11" i="8"/>
  <c r="C23" i="8"/>
  <c r="C16" i="8"/>
  <c r="C20" i="8"/>
  <c r="M10" i="8"/>
  <c r="M21" i="8"/>
  <c r="M17" i="8"/>
  <c r="M11" i="8"/>
  <c r="M27" i="8"/>
  <c r="M13" i="8"/>
  <c r="M15" i="8"/>
  <c r="M23" i="8"/>
  <c r="M28" i="8"/>
  <c r="M26" i="8"/>
  <c r="M18" i="8"/>
  <c r="M22" i="8"/>
  <c r="G18" i="8"/>
  <c r="G10" i="8"/>
  <c r="G11" i="8"/>
  <c r="G26" i="8"/>
  <c r="G12" i="8"/>
  <c r="G23" i="8"/>
  <c r="G22" i="8"/>
  <c r="G15" i="8"/>
  <c r="G17" i="8"/>
  <c r="G28" i="8"/>
  <c r="G25" i="8"/>
  <c r="G16" i="8"/>
  <c r="G27" i="8"/>
  <c r="G21" i="8"/>
  <c r="G13" i="8"/>
  <c r="K190" i="8"/>
  <c r="K198" i="8"/>
  <c r="K206" i="8"/>
  <c r="K191" i="8"/>
  <c r="K192" i="8"/>
  <c r="K205" i="8"/>
  <c r="K193" i="8"/>
  <c r="K196" i="8"/>
  <c r="K197" i="8"/>
  <c r="K203" i="8"/>
  <c r="K195" i="8"/>
  <c r="K201" i="8"/>
  <c r="M130" i="7"/>
  <c r="M133" i="7"/>
  <c r="M143" i="7"/>
  <c r="M148" i="7"/>
  <c r="M132" i="7"/>
  <c r="M138" i="7"/>
  <c r="M145" i="7"/>
  <c r="M136" i="7"/>
  <c r="M142" i="7"/>
  <c r="M131" i="7"/>
  <c r="M140" i="7"/>
  <c r="M146" i="7"/>
  <c r="M141" i="7"/>
  <c r="M135" i="7"/>
  <c r="M137" i="7"/>
  <c r="M147" i="7"/>
  <c r="C130" i="8"/>
  <c r="C135" i="8"/>
  <c r="C141" i="8"/>
  <c r="C148" i="8"/>
  <c r="C132" i="8"/>
  <c r="C133" i="8"/>
  <c r="C138" i="8"/>
  <c r="C140" i="8"/>
  <c r="C142" i="8"/>
  <c r="C145" i="8"/>
  <c r="C136" i="8"/>
  <c r="C146" i="8"/>
  <c r="C147" i="8"/>
  <c r="C131" i="8"/>
  <c r="C137" i="8"/>
  <c r="C143" i="8"/>
  <c r="K280" i="8"/>
  <c r="K293" i="8"/>
  <c r="K296" i="8"/>
  <c r="K281" i="8"/>
  <c r="K297" i="8"/>
  <c r="K291" i="8"/>
  <c r="K285" i="8"/>
  <c r="K298" i="8"/>
  <c r="G70" i="7"/>
  <c r="G85" i="7"/>
  <c r="G77" i="7"/>
  <c r="G82" i="7"/>
  <c r="G76" i="7"/>
  <c r="G75" i="7"/>
  <c r="O340" i="8"/>
  <c r="O358" i="8"/>
  <c r="O356" i="8"/>
  <c r="O343" i="8"/>
  <c r="O345" i="8"/>
  <c r="O352" i="8"/>
  <c r="O550" i="8"/>
  <c r="O565" i="8"/>
  <c r="O562" i="8"/>
  <c r="E100" i="8"/>
  <c r="E102" i="8"/>
  <c r="E107" i="8"/>
  <c r="E101" i="8"/>
  <c r="E106" i="8"/>
  <c r="E111" i="8"/>
  <c r="E116" i="8"/>
  <c r="E112" i="8"/>
  <c r="E103" i="8"/>
  <c r="E108" i="8"/>
  <c r="E113" i="8"/>
  <c r="E117" i="8"/>
  <c r="E110" i="8"/>
  <c r="E118" i="8"/>
  <c r="E115" i="8"/>
  <c r="E105" i="8"/>
  <c r="G40" i="7"/>
  <c r="G56" i="7"/>
  <c r="G47" i="7"/>
  <c r="G46" i="7"/>
  <c r="G51" i="7"/>
  <c r="G52" i="7"/>
  <c r="G45" i="7"/>
  <c r="G43" i="7"/>
  <c r="G41" i="7"/>
  <c r="G53" i="7"/>
  <c r="G55" i="7"/>
  <c r="G48" i="7"/>
  <c r="G50" i="7"/>
  <c r="G42" i="7"/>
  <c r="G58" i="7"/>
  <c r="M250" i="8"/>
  <c r="M258" i="8"/>
  <c r="M261" i="8"/>
  <c r="M268" i="8"/>
  <c r="M255" i="8"/>
  <c r="M260" i="8"/>
  <c r="M267" i="8"/>
  <c r="M266" i="8"/>
  <c r="M265" i="8"/>
  <c r="M262" i="8"/>
  <c r="M263" i="8"/>
  <c r="M251" i="8"/>
  <c r="O400" i="7"/>
  <c r="O415" i="7"/>
  <c r="O406" i="7"/>
  <c r="O411" i="7"/>
  <c r="O407" i="7"/>
  <c r="O405" i="7"/>
  <c r="O408" i="7"/>
  <c r="O413" i="7"/>
  <c r="O403" i="7"/>
  <c r="O412" i="7"/>
  <c r="O402" i="7"/>
  <c r="O410" i="7"/>
  <c r="O416" i="7"/>
  <c r="O418" i="7"/>
  <c r="O401" i="7"/>
  <c r="O550" i="7"/>
  <c r="O565" i="7"/>
  <c r="O562" i="7"/>
  <c r="G100" i="7"/>
  <c r="G103" i="7"/>
  <c r="G108" i="7"/>
  <c r="G113" i="7"/>
  <c r="G117" i="7"/>
  <c r="G105" i="7"/>
  <c r="G110" i="7"/>
  <c r="G115" i="7"/>
  <c r="G118" i="7"/>
  <c r="G107" i="7"/>
  <c r="G112" i="7"/>
  <c r="G116" i="7"/>
  <c r="G106" i="7"/>
  <c r="G101" i="7"/>
  <c r="G102" i="7"/>
  <c r="G111" i="7"/>
  <c r="C310" i="8"/>
  <c r="C323" i="8"/>
  <c r="C328" i="8"/>
  <c r="C317" i="8"/>
  <c r="C316" i="8"/>
  <c r="C325" i="8"/>
  <c r="C327" i="8"/>
  <c r="C311" i="8"/>
  <c r="C326" i="8"/>
  <c r="C315" i="8"/>
  <c r="C318" i="8"/>
  <c r="C340" i="8"/>
  <c r="C356" i="8"/>
  <c r="C345" i="8"/>
  <c r="C358" i="8"/>
  <c r="E310" i="8"/>
  <c r="E318" i="8"/>
  <c r="E315" i="8"/>
  <c r="E325" i="8"/>
  <c r="E327" i="8"/>
  <c r="E311" i="8"/>
  <c r="E326" i="8"/>
  <c r="E317" i="8"/>
  <c r="E323" i="8"/>
  <c r="E328" i="8"/>
  <c r="E316" i="8"/>
  <c r="M220" i="7"/>
  <c r="M233" i="7"/>
  <c r="M230" i="7"/>
  <c r="M231" i="7"/>
  <c r="M225" i="7"/>
  <c r="M223" i="7"/>
  <c r="M227" i="7"/>
  <c r="M226" i="7"/>
  <c r="M221" i="7"/>
  <c r="M237" i="7"/>
  <c r="M228" i="7"/>
  <c r="M232" i="7"/>
  <c r="M236" i="7"/>
  <c r="E40" i="7"/>
  <c r="E52" i="7"/>
  <c r="E46" i="7"/>
  <c r="E45" i="7"/>
  <c r="E50" i="7"/>
  <c r="E55" i="7"/>
  <c r="E43" i="7"/>
  <c r="E48" i="7"/>
  <c r="E56" i="7"/>
  <c r="E53" i="7"/>
  <c r="E41" i="7"/>
  <c r="E47" i="7"/>
  <c r="E42" i="7"/>
  <c r="E51" i="7"/>
  <c r="O430" i="8"/>
  <c r="O441" i="8"/>
  <c r="O440" i="8"/>
  <c r="O443" i="8"/>
  <c r="O438" i="8"/>
  <c r="O433" i="8"/>
  <c r="O436" i="8"/>
  <c r="O437" i="8"/>
  <c r="O448" i="8"/>
  <c r="O435" i="8"/>
  <c r="O447" i="8"/>
  <c r="O446" i="8"/>
  <c r="O431" i="8"/>
  <c r="O442" i="8"/>
  <c r="K40" i="8"/>
  <c r="K45" i="8"/>
  <c r="K57" i="8"/>
  <c r="K48" i="8"/>
  <c r="K58" i="8"/>
  <c r="K56" i="8"/>
  <c r="K51" i="8"/>
  <c r="K46" i="8"/>
  <c r="K52" i="8"/>
  <c r="K43" i="8"/>
  <c r="K47" i="8"/>
  <c r="K53" i="8"/>
  <c r="K42" i="8"/>
  <c r="K55" i="8"/>
  <c r="K50" i="8"/>
  <c r="K41" i="8"/>
  <c r="G190" i="7"/>
  <c r="G195" i="7"/>
  <c r="G202" i="7"/>
  <c r="G207" i="7"/>
  <c r="G191" i="7"/>
  <c r="G201" i="7"/>
  <c r="G198" i="7"/>
  <c r="G192" i="7"/>
  <c r="G206" i="7"/>
  <c r="G193" i="7"/>
  <c r="G205" i="7"/>
  <c r="G196" i="7"/>
  <c r="G197" i="7"/>
  <c r="G203" i="7"/>
  <c r="G208" i="7"/>
  <c r="E160" i="8"/>
  <c r="E165" i="8"/>
  <c r="E175" i="8"/>
  <c r="E177" i="8"/>
  <c r="E170" i="8"/>
  <c r="E167" i="8"/>
  <c r="E176" i="8"/>
  <c r="E171" i="8"/>
  <c r="E163" i="8"/>
  <c r="E168" i="8"/>
  <c r="M130" i="8"/>
  <c r="M138" i="8"/>
  <c r="M136" i="8"/>
  <c r="M146" i="8"/>
  <c r="M131" i="8"/>
  <c r="M133" i="8"/>
  <c r="M140" i="8"/>
  <c r="M142" i="8"/>
  <c r="M137" i="8"/>
  <c r="M148" i="8"/>
  <c r="M135" i="8"/>
  <c r="M145" i="8"/>
  <c r="M141" i="8"/>
  <c r="M132" i="8"/>
  <c r="M143" i="8"/>
  <c r="M147" i="8"/>
  <c r="M280" i="8"/>
  <c r="M287" i="8"/>
  <c r="M293" i="8"/>
  <c r="M297" i="8"/>
  <c r="M283" i="8"/>
  <c r="M296" i="8"/>
  <c r="M298" i="8"/>
  <c r="M291" i="8"/>
  <c r="M281" i="8"/>
  <c r="M288" i="8"/>
  <c r="M292" i="8"/>
  <c r="M285" i="8"/>
  <c r="I40" i="7"/>
  <c r="I56" i="7"/>
  <c r="I47" i="7"/>
  <c r="I52" i="7"/>
  <c r="I43" i="7"/>
  <c r="I45" i="7"/>
  <c r="I48" i="7"/>
  <c r="I46" i="7"/>
  <c r="I53" i="7"/>
  <c r="I58" i="7"/>
  <c r="I50" i="7"/>
  <c r="I51" i="7"/>
  <c r="I41" i="7"/>
  <c r="I57" i="7"/>
  <c r="M190" i="8"/>
  <c r="M208" i="8"/>
  <c r="M206" i="8"/>
  <c r="M198" i="8"/>
  <c r="M205" i="8"/>
  <c r="M192" i="8"/>
  <c r="M201" i="8"/>
  <c r="M197" i="8"/>
  <c r="M202" i="8"/>
  <c r="M203" i="8"/>
  <c r="M191" i="8"/>
  <c r="M195" i="8"/>
  <c r="M193" i="8"/>
  <c r="M207" i="8"/>
  <c r="M196" i="8"/>
  <c r="G177" i="7"/>
  <c r="G160" i="7"/>
  <c r="G171" i="7"/>
  <c r="G176" i="7"/>
  <c r="G163" i="7"/>
  <c r="G167" i="7"/>
  <c r="G170" i="7"/>
  <c r="G165" i="7"/>
  <c r="G175" i="7"/>
  <c r="G168" i="7"/>
  <c r="O490" i="7"/>
  <c r="O495" i="7"/>
  <c r="O497" i="7"/>
  <c r="O505" i="7"/>
  <c r="O502" i="7"/>
  <c r="O496" i="7"/>
  <c r="C400" i="8"/>
  <c r="C416" i="8"/>
  <c r="C405" i="8"/>
  <c r="C418" i="8"/>
  <c r="C401" i="8"/>
  <c r="C407" i="8"/>
  <c r="C406" i="8"/>
  <c r="C408" i="8"/>
  <c r="C415" i="8"/>
  <c r="C430" i="8"/>
  <c r="C438" i="8"/>
  <c r="C436" i="8"/>
  <c r="C431" i="8"/>
  <c r="C437" i="8"/>
  <c r="C435" i="8"/>
  <c r="C446" i="8"/>
  <c r="C443" i="8"/>
  <c r="C448" i="8"/>
  <c r="C447" i="8"/>
  <c r="E280" i="8"/>
  <c r="E292" i="8"/>
  <c r="E298" i="8"/>
  <c r="E293" i="8"/>
  <c r="E288" i="8"/>
  <c r="E283" i="8"/>
  <c r="E285" i="8"/>
  <c r="E287" i="8"/>
  <c r="E291" i="8"/>
  <c r="E281" i="8"/>
  <c r="E297" i="8"/>
  <c r="E296" i="8"/>
  <c r="E220" i="8"/>
  <c r="E223" i="8"/>
  <c r="E228" i="8"/>
  <c r="E232" i="8"/>
  <c r="E226" i="8"/>
  <c r="E227" i="8"/>
  <c r="E231" i="8"/>
  <c r="E237" i="8"/>
  <c r="E221" i="8"/>
  <c r="E236" i="8"/>
  <c r="E233" i="8"/>
  <c r="E230" i="8"/>
  <c r="E225" i="8"/>
  <c r="E70" i="7"/>
  <c r="E82" i="7"/>
  <c r="E85" i="7"/>
  <c r="M190" i="7"/>
  <c r="M206" i="7"/>
  <c r="M197" i="7"/>
  <c r="M205" i="7"/>
  <c r="M208" i="7"/>
  <c r="M198" i="7"/>
  <c r="M203" i="7"/>
  <c r="M193" i="7"/>
  <c r="M207" i="7"/>
  <c r="M196" i="7"/>
  <c r="M195" i="7"/>
  <c r="M202" i="7"/>
  <c r="M191" i="7"/>
  <c r="M201" i="7"/>
  <c r="M192" i="7"/>
  <c r="E490" i="8"/>
  <c r="E497" i="8"/>
  <c r="E496" i="8"/>
  <c r="E190" i="8"/>
  <c r="E201" i="8"/>
  <c r="E205" i="8"/>
  <c r="E191" i="8"/>
  <c r="E197" i="8"/>
  <c r="E203" i="8"/>
  <c r="E208" i="8"/>
  <c r="E195" i="8"/>
  <c r="E207" i="8"/>
  <c r="E202" i="8"/>
  <c r="E196" i="8"/>
  <c r="E193" i="8"/>
  <c r="E198" i="8"/>
  <c r="E206" i="8"/>
  <c r="E192" i="8"/>
  <c r="I10" i="7"/>
  <c r="I23" i="7"/>
  <c r="I18" i="7"/>
  <c r="I15" i="7"/>
  <c r="I26" i="7"/>
  <c r="I13" i="7"/>
  <c r="I21" i="7"/>
  <c r="I11" i="7"/>
  <c r="I20" i="7"/>
  <c r="I17" i="7"/>
  <c r="I27" i="7"/>
  <c r="I16" i="7"/>
  <c r="I22" i="7"/>
  <c r="E10" i="8"/>
  <c r="E25" i="8"/>
  <c r="E26" i="8"/>
  <c r="E17" i="8"/>
  <c r="E20" i="8"/>
  <c r="E21" i="8"/>
  <c r="E27" i="8"/>
  <c r="E13" i="8"/>
  <c r="E15" i="8"/>
  <c r="E18" i="8"/>
  <c r="O10" i="7"/>
  <c r="O25" i="7"/>
  <c r="O11" i="7"/>
  <c r="O18" i="7"/>
  <c r="O15" i="7"/>
  <c r="O23" i="7"/>
  <c r="O26" i="7"/>
  <c r="O28" i="7"/>
  <c r="O21" i="7"/>
  <c r="O22" i="7"/>
  <c r="O20" i="7"/>
  <c r="O16" i="7"/>
  <c r="O17" i="7"/>
  <c r="O13" i="7"/>
  <c r="O27" i="7"/>
  <c r="O12" i="7"/>
  <c r="K310" i="8"/>
  <c r="K323" i="8"/>
  <c r="K328" i="8"/>
  <c r="K327" i="8"/>
  <c r="K318" i="8"/>
  <c r="K326" i="8"/>
  <c r="K315" i="8"/>
  <c r="C370" i="8"/>
  <c r="C386" i="8"/>
  <c r="C385" i="8"/>
  <c r="C375" i="8"/>
  <c r="C378" i="8"/>
  <c r="C377" i="8"/>
  <c r="C376" i="8"/>
  <c r="O310" i="8"/>
  <c r="O328" i="8"/>
  <c r="O313" i="8"/>
  <c r="O320" i="8"/>
  <c r="O321" i="8"/>
  <c r="O326" i="8"/>
  <c r="O327" i="8"/>
  <c r="O323" i="8"/>
  <c r="O311" i="8"/>
  <c r="O317" i="8"/>
  <c r="O322" i="8"/>
  <c r="O318" i="8"/>
  <c r="O312" i="8"/>
  <c r="O315" i="8"/>
  <c r="O316" i="8"/>
  <c r="O325" i="8"/>
  <c r="E400" i="8"/>
  <c r="E401" i="8"/>
  <c r="E405" i="8"/>
  <c r="E408" i="8"/>
  <c r="E418" i="8"/>
  <c r="E415" i="8"/>
  <c r="E407" i="8"/>
  <c r="E406" i="8"/>
  <c r="E416" i="8"/>
  <c r="K370" i="8"/>
  <c r="K375" i="8"/>
  <c r="K378" i="8"/>
  <c r="K386" i="8"/>
  <c r="K383" i="8"/>
  <c r="G280" i="7"/>
  <c r="G288" i="7"/>
  <c r="G292" i="7"/>
  <c r="G283" i="7"/>
  <c r="G285" i="7"/>
  <c r="G291" i="7"/>
  <c r="G296" i="7"/>
  <c r="G298" i="7"/>
  <c r="G287" i="7"/>
  <c r="G297" i="7"/>
  <c r="G293" i="7"/>
  <c r="G281" i="7"/>
  <c r="K220" i="8"/>
  <c r="K227" i="8"/>
  <c r="K231" i="8"/>
  <c r="K237" i="8"/>
  <c r="K236" i="8"/>
  <c r="K226" i="8"/>
  <c r="K221" i="8"/>
  <c r="K225" i="8"/>
  <c r="K228" i="8"/>
  <c r="O430" i="7"/>
  <c r="O446" i="7"/>
  <c r="O438" i="7"/>
  <c r="O436" i="7"/>
  <c r="O435" i="7"/>
  <c r="O443" i="7"/>
  <c r="O440" i="7"/>
  <c r="O447" i="7"/>
  <c r="O431" i="7"/>
  <c r="O442" i="7"/>
  <c r="O448" i="7"/>
  <c r="O433" i="7"/>
  <c r="O437" i="7"/>
  <c r="O441" i="7"/>
  <c r="E430" i="8"/>
  <c r="E446" i="8"/>
  <c r="E435" i="8"/>
  <c r="E447" i="8"/>
  <c r="E431" i="8"/>
  <c r="E437" i="8"/>
  <c r="E443" i="8"/>
  <c r="E448" i="8"/>
  <c r="E438" i="8"/>
  <c r="E436" i="8"/>
  <c r="C70" i="7"/>
  <c r="C76" i="7"/>
  <c r="C75" i="7"/>
  <c r="C85" i="7"/>
  <c r="C82" i="7"/>
  <c r="C77" i="7"/>
  <c r="E520" i="8"/>
  <c r="E526" i="8"/>
  <c r="E527" i="8"/>
  <c r="C40" i="7"/>
  <c r="C45" i="7"/>
  <c r="C43" i="7"/>
  <c r="C52" i="7"/>
  <c r="C56" i="7"/>
  <c r="C58" i="7"/>
  <c r="K490" i="8"/>
  <c r="K497" i="8"/>
  <c r="M100" i="8"/>
  <c r="M113" i="8"/>
  <c r="M115" i="8"/>
  <c r="M101" i="8"/>
  <c r="M112" i="8"/>
  <c r="M108" i="8"/>
  <c r="M107" i="8"/>
  <c r="M116" i="8"/>
  <c r="M118" i="8"/>
  <c r="M111" i="8"/>
  <c r="M110" i="8"/>
  <c r="M117" i="8"/>
  <c r="M102" i="8"/>
  <c r="M106" i="8"/>
  <c r="M105" i="8"/>
  <c r="M103" i="8"/>
  <c r="K100" i="8"/>
  <c r="K103" i="8"/>
  <c r="K108" i="8"/>
  <c r="K107" i="8"/>
  <c r="K116" i="8"/>
  <c r="K102" i="8"/>
  <c r="K113" i="8"/>
  <c r="K117" i="8"/>
  <c r="K105" i="8"/>
  <c r="K110" i="8"/>
  <c r="K115" i="8"/>
  <c r="K118" i="8"/>
  <c r="K101" i="8"/>
  <c r="K111" i="8"/>
  <c r="K106" i="8"/>
  <c r="DM134" i="4"/>
  <c r="CY134" i="4" s="1"/>
  <c r="EA134" i="4" s="1"/>
  <c r="DU184" i="4"/>
  <c r="DS139" i="4"/>
  <c r="DM128" i="4"/>
  <c r="DO128" i="4"/>
  <c r="DO184" i="4"/>
  <c r="DM184" i="4"/>
  <c r="CY184" i="4" s="1"/>
  <c r="EA184" i="4" s="1"/>
  <c r="DQ142" i="4"/>
  <c r="DM142" i="4"/>
  <c r="DU124" i="4"/>
  <c r="DQ134" i="4"/>
  <c r="DO134" i="4"/>
  <c r="DQ123" i="4"/>
  <c r="DW181" i="4"/>
  <c r="DS128" i="4"/>
  <c r="DQ184" i="4"/>
  <c r="DS152" i="4"/>
  <c r="DU127" i="4"/>
  <c r="DQ192" i="4"/>
  <c r="DM189" i="4"/>
  <c r="CY189" i="4" s="1"/>
  <c r="EA189" i="4" s="1"/>
  <c r="DS142" i="4"/>
  <c r="DQ127" i="4"/>
  <c r="DS133" i="4"/>
  <c r="DO181" i="4"/>
  <c r="DQ187" i="4"/>
  <c r="DM187" i="4"/>
  <c r="CY187" i="4" s="1"/>
  <c r="EA187" i="4" s="1"/>
  <c r="DQ133" i="4"/>
  <c r="DM133" i="4"/>
  <c r="CY133" i="4" s="1"/>
  <c r="EA133" i="4" s="1"/>
  <c r="DQ131" i="4"/>
  <c r="DM131" i="4"/>
  <c r="CY131" i="4" s="1"/>
  <c r="EA131" i="4" s="1"/>
  <c r="DM181" i="4"/>
  <c r="DS123" i="4"/>
  <c r="DQ185" i="4"/>
  <c r="DQ140" i="4"/>
  <c r="DM140" i="4"/>
  <c r="DW125" i="4"/>
  <c r="DQ125" i="4"/>
  <c r="DQ188" i="4"/>
  <c r="DS131" i="4"/>
  <c r="DW123" i="4"/>
  <c r="DO127" i="4"/>
  <c r="DO126" i="4"/>
  <c r="DM126" i="4"/>
  <c r="CY126" i="4" s="1"/>
  <c r="EA126" i="4" s="1"/>
  <c r="DO185" i="4"/>
  <c r="DM185" i="4"/>
  <c r="DM188" i="4"/>
  <c r="CY188" i="4" s="1"/>
  <c r="EA188" i="4" s="1"/>
  <c r="DO188" i="4"/>
  <c r="DM125" i="4"/>
  <c r="DO125" i="4"/>
  <c r="EA152" i="4"/>
  <c r="DS182" i="4"/>
  <c r="DQ189" i="4"/>
  <c r="DW185" i="4"/>
  <c r="DO194" i="4"/>
  <c r="DM194" i="4"/>
  <c r="DQ139" i="4"/>
  <c r="DM139" i="4"/>
  <c r="CY139" i="4" s="1"/>
  <c r="EA139" i="4" s="1"/>
  <c r="DS134" i="4"/>
  <c r="DS124" i="4"/>
  <c r="DW183" i="4"/>
  <c r="DQ124" i="4"/>
  <c r="DM186" i="4"/>
  <c r="DO186" i="4"/>
  <c r="DO182" i="4"/>
  <c r="DM183" i="4"/>
  <c r="DO183" i="4"/>
  <c r="DQ145" i="4"/>
  <c r="DM145" i="4"/>
  <c r="CY145" i="4" s="1"/>
  <c r="EA145" i="4" s="1"/>
  <c r="DQ135" i="4"/>
  <c r="DQ132" i="4"/>
  <c r="DM132" i="4"/>
  <c r="CY132" i="4" s="1"/>
  <c r="EA132" i="4" s="1"/>
  <c r="DM144" i="4"/>
  <c r="DQ144" i="4"/>
  <c r="DQ126" i="4"/>
  <c r="DU145" i="4"/>
  <c r="DS145" i="4"/>
  <c r="DM130" i="4"/>
  <c r="CY130" i="4" s="1"/>
  <c r="EA130" i="4" s="1"/>
  <c r="DQ130" i="4"/>
  <c r="DQ129" i="4"/>
  <c r="DM123" i="4"/>
  <c r="CY123" i="4" s="1"/>
  <c r="EA123" i="4" s="1"/>
  <c r="DS186" i="4"/>
  <c r="DM182" i="4"/>
  <c r="CY182" i="4" s="1"/>
  <c r="EA182" i="4" s="1"/>
  <c r="DM192" i="4"/>
  <c r="CY192" i="4" s="1"/>
  <c r="EA192" i="4" s="1"/>
  <c r="DW667" i="4"/>
  <c r="DM135" i="4"/>
  <c r="DO124" i="4"/>
  <c r="DM124" i="4"/>
  <c r="CY124" i="4" s="1"/>
  <c r="EA124" i="4" s="1"/>
  <c r="CX1" i="4"/>
  <c r="DZ1" i="4" s="1"/>
  <c r="CY1" i="4"/>
  <c r="EA1" i="4" s="1"/>
  <c r="CX8" i="4"/>
  <c r="DZ8" i="4" s="1"/>
  <c r="CY8" i="4"/>
  <c r="EA8" i="4" s="1"/>
  <c r="CY128" i="4" l="1"/>
  <c r="EA128" i="4" s="1"/>
  <c r="CY140" i="4"/>
  <c r="EA140" i="4" s="1"/>
  <c r="CY183" i="4"/>
  <c r="EA183" i="4" s="1"/>
  <c r="CY142" i="4"/>
  <c r="EA142" i="4" s="1"/>
  <c r="CY144" i="4"/>
  <c r="EA144" i="4" s="1"/>
  <c r="CY125" i="4"/>
  <c r="EA125" i="4"/>
  <c r="CY194" i="4"/>
  <c r="EA194" i="4"/>
  <c r="CY181" i="4"/>
  <c r="EA181" i="4"/>
  <c r="CY186" i="4"/>
  <c r="EA186" i="4"/>
  <c r="CY135" i="4"/>
  <c r="EA135" i="4"/>
  <c r="CY185" i="4"/>
  <c r="EA185" i="4" s="1"/>
</calcChain>
</file>

<file path=xl/comments1.xml><?xml version="1.0" encoding="utf-8"?>
<comments xmlns="http://schemas.openxmlformats.org/spreadsheetml/2006/main">
  <authors>
    <author>Lisa Cowan</author>
  </authors>
  <commentList>
    <comment ref="A1" authorId="0">
      <text>
        <r>
          <rPr>
            <b/>
            <sz val="9"/>
            <color indexed="81"/>
            <rFont val="Tahoma"/>
            <family val="2"/>
          </rPr>
          <t>Lisa Cowan:</t>
        </r>
        <r>
          <rPr>
            <sz val="9"/>
            <color indexed="81"/>
            <rFont val="Tahoma"/>
            <family val="2"/>
          </rPr>
          <t xml:space="preserve">
Updated 02/04</t>
        </r>
      </text>
    </comment>
  </commentList>
</comments>
</file>

<file path=xl/comments2.xml><?xml version="1.0" encoding="utf-8"?>
<comments xmlns="http://schemas.openxmlformats.org/spreadsheetml/2006/main">
  <authors>
    <author>Lisa Cowan</author>
  </authors>
  <commentList>
    <comment ref="A1" authorId="0">
      <text>
        <r>
          <rPr>
            <b/>
            <sz val="9"/>
            <color indexed="81"/>
            <rFont val="Tahoma"/>
            <family val="2"/>
          </rPr>
          <t>Lisa Cowan:</t>
        </r>
        <r>
          <rPr>
            <sz val="9"/>
            <color indexed="81"/>
            <rFont val="Tahoma"/>
            <family val="2"/>
          </rPr>
          <t xml:space="preserve">
updated 02/04</t>
        </r>
      </text>
    </comment>
  </commentList>
</comments>
</file>

<file path=xl/comments3.xml><?xml version="1.0" encoding="utf-8"?>
<comments xmlns="http://schemas.openxmlformats.org/spreadsheetml/2006/main">
  <authors>
    <author>Lee, Cynthia M.</author>
    <author>mevilsiz</author>
    <author>jmarks</author>
    <author>Lisa Cowan</author>
  </authors>
  <commentList>
    <comment ref="B165" authorId="0">
      <text>
        <r>
          <rPr>
            <b/>
            <sz val="8"/>
            <color indexed="81"/>
            <rFont val="Tahoma"/>
            <family val="2"/>
          </rPr>
          <t>Lee, Cynthia M.:</t>
        </r>
        <r>
          <rPr>
            <sz val="8"/>
            <color indexed="81"/>
            <rFont val="Tahoma"/>
            <family val="2"/>
          </rPr>
          <t xml:space="preserve">
DeKalb was renamed to Georgia Piedmont as of 10/1/11</t>
        </r>
      </text>
    </comment>
    <comment ref="B204" authorId="1">
      <text>
        <r>
          <rPr>
            <b/>
            <sz val="8"/>
            <color indexed="81"/>
            <rFont val="Tahoma"/>
            <family val="2"/>
          </rPr>
          <t>mevilsiz:</t>
        </r>
        <r>
          <rPr>
            <sz val="8"/>
            <color indexed="81"/>
            <rFont val="Tahoma"/>
            <family val="2"/>
          </rPr>
          <t xml:space="preserve">
Formerly Bowling Green Technical College</t>
        </r>
      </text>
    </comment>
    <comment ref="AM230" authorId="2">
      <text>
        <r>
          <rPr>
            <b/>
            <sz val="9"/>
            <color indexed="81"/>
            <rFont val="Tahoma"/>
            <family val="2"/>
          </rPr>
          <t>jmarks:</t>
        </r>
        <r>
          <rPr>
            <sz val="9"/>
            <color indexed="81"/>
            <rFont val="Tahoma"/>
            <family val="2"/>
          </rPr>
          <t xml:space="preserve">
Very few faculty for very large outlay.</t>
        </r>
      </text>
    </comment>
    <comment ref="AM234" authorId="2">
      <text>
        <r>
          <rPr>
            <b/>
            <sz val="9"/>
            <color indexed="81"/>
            <rFont val="Tahoma"/>
            <family val="2"/>
          </rPr>
          <t>jmarks:</t>
        </r>
        <r>
          <rPr>
            <sz val="9"/>
            <color indexed="81"/>
            <rFont val="Tahoma"/>
            <family val="2"/>
          </rPr>
          <t xml:space="preserve">
Very few faculty for very large outlay.</t>
        </r>
      </text>
    </comment>
    <comment ref="A302" authorId="2">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BL489" authorId="3">
      <text>
        <r>
          <rPr>
            <b/>
            <sz val="9"/>
            <color indexed="81"/>
            <rFont val="Tahoma"/>
            <family val="2"/>
          </rPr>
          <t>Lisa Cowan:</t>
        </r>
        <r>
          <rPr>
            <sz val="9"/>
            <color indexed="81"/>
            <rFont val="Tahoma"/>
            <family val="2"/>
          </rPr>
          <t xml:space="preserve">
Did not replace with the newly calculated outlays</t>
        </r>
      </text>
    </comment>
    <comment ref="A621" authorId="2">
      <text>
        <r>
          <rPr>
            <b/>
            <sz val="9"/>
            <color indexed="81"/>
            <rFont val="Tahoma"/>
            <family val="2"/>
          </rPr>
          <t>jmarks:</t>
        </r>
        <r>
          <rPr>
            <sz val="9"/>
            <color indexed="81"/>
            <rFont val="Tahoma"/>
            <family val="2"/>
          </rPr>
          <t xml:space="preserve">
Consider getting this data from AAUP in April. Note that it will tend to result in somewhat lower averages than IPEDS.</t>
        </r>
      </text>
    </comment>
  </commentList>
</comments>
</file>

<file path=xl/sharedStrings.xml><?xml version="1.0" encoding="utf-8"?>
<sst xmlns="http://schemas.openxmlformats.org/spreadsheetml/2006/main" count="4920" uniqueCount="1129">
  <si>
    <t>Institution</t>
  </si>
  <si>
    <t>Category</t>
  </si>
  <si>
    <t>State</t>
  </si>
  <si>
    <t>Professor</t>
  </si>
  <si>
    <t>Associate Professor</t>
  </si>
  <si>
    <t>Assistant Professor</t>
  </si>
  <si>
    <t>Instructor</t>
  </si>
  <si>
    <t xml:space="preserve"> </t>
  </si>
  <si>
    <t>9-month</t>
  </si>
  <si>
    <t>10-month</t>
  </si>
  <si>
    <t>11-month</t>
  </si>
  <si>
    <t>12-month</t>
  </si>
  <si>
    <t>Professors</t>
  </si>
  <si>
    <t>Part 9:  Faculty Salaries, 2012-13</t>
  </si>
  <si>
    <t>(outlays / service months)</t>
  </si>
  <si>
    <t xml:space="preserve"> (weighted average salary per month * 9)</t>
  </si>
  <si>
    <t xml:space="preserve"> (#9 + #10 + #11 + #12)</t>
  </si>
  <si>
    <t xml:space="preserve"> (#9 * 9) + (#10 * 10) + (#11 * 11) + (#12 * 12)</t>
  </si>
  <si>
    <t>Notes</t>
  </si>
  <si>
    <t>ID</t>
  </si>
  <si>
    <t>ALL RANKS</t>
  </si>
  <si>
    <t>SC</t>
  </si>
  <si>
    <t>2011-12</t>
  </si>
  <si>
    <t>Single Rank</t>
  </si>
  <si>
    <t>Asso 
Professor</t>
  </si>
  <si>
    <t>Asst Professor</t>
  </si>
  <si>
    <t>Other</t>
  </si>
  <si>
    <t>Asso Professor</t>
  </si>
  <si>
    <t>2012-13</t>
  </si>
  <si>
    <t>Note</t>
  </si>
  <si>
    <t>ID #</t>
  </si>
  <si>
    <t>AL</t>
  </si>
  <si>
    <t>AR</t>
  </si>
  <si>
    <t>DE</t>
  </si>
  <si>
    <t>FL</t>
  </si>
  <si>
    <t>GA</t>
  </si>
  <si>
    <t>KY</t>
  </si>
  <si>
    <t>LA</t>
  </si>
  <si>
    <t>MD</t>
  </si>
  <si>
    <t>MS</t>
  </si>
  <si>
    <t>NC</t>
  </si>
  <si>
    <t>OK</t>
  </si>
  <si>
    <t>TN</t>
  </si>
  <si>
    <t>TX</t>
  </si>
  <si>
    <t>VA</t>
  </si>
  <si>
    <t>WV</t>
  </si>
  <si>
    <t>New # Prof9</t>
  </si>
  <si>
    <t>New # Asc9</t>
  </si>
  <si>
    <t>New # Ast9</t>
  </si>
  <si>
    <t>New # Inst9</t>
  </si>
  <si>
    <t>New # SR9</t>
  </si>
  <si>
    <t>New # Prof11</t>
  </si>
  <si>
    <t>New # Asc11</t>
  </si>
  <si>
    <t>New # Ast11</t>
  </si>
  <si>
    <t>New # Inst11</t>
  </si>
  <si>
    <t>New # SR11</t>
  </si>
  <si>
    <t>New 9mEqv Prof</t>
  </si>
  <si>
    <t>Old # Prof9</t>
  </si>
  <si>
    <t>Old # Prof10</t>
  </si>
  <si>
    <t>New # Prof10</t>
  </si>
  <si>
    <t>Old # Prof11</t>
  </si>
  <si>
    <t>Old # Prof12</t>
  </si>
  <si>
    <t>New # Prof12</t>
  </si>
  <si>
    <t>Old # Asc9</t>
  </si>
  <si>
    <t>Old # Asc10</t>
  </si>
  <si>
    <t>New # Asc10</t>
  </si>
  <si>
    <t>Old # Asc11</t>
  </si>
  <si>
    <t>Old # Asc12</t>
  </si>
  <si>
    <t>New # Asc12</t>
  </si>
  <si>
    <t>New # Ast10</t>
  </si>
  <si>
    <t>Old # Ast9</t>
  </si>
  <si>
    <t>Old # Ast10</t>
  </si>
  <si>
    <t>Old # Ast11</t>
  </si>
  <si>
    <t>Old # Ast12</t>
  </si>
  <si>
    <t>New # Ast12</t>
  </si>
  <si>
    <t>Old # Inst9</t>
  </si>
  <si>
    <t>Old # Inst10</t>
  </si>
  <si>
    <t>New # Inst10</t>
  </si>
  <si>
    <t>Old # Inst11</t>
  </si>
  <si>
    <t>Old # Inst12</t>
  </si>
  <si>
    <t>New # Inst12</t>
  </si>
  <si>
    <t>Old # SR9</t>
  </si>
  <si>
    <t>Old # SR10</t>
  </si>
  <si>
    <t>New # SR10</t>
  </si>
  <si>
    <t>Old # SR11</t>
  </si>
  <si>
    <t>Old # SR12</t>
  </si>
  <si>
    <t>New # SR12</t>
  </si>
  <si>
    <t>Old SM Prof</t>
  </si>
  <si>
    <t>New SM Prof</t>
  </si>
  <si>
    <t>Old SM Asc</t>
  </si>
  <si>
    <t>New SM Asc</t>
  </si>
  <si>
    <t>Old SM Ast</t>
  </si>
  <si>
    <t>New SM Ast</t>
  </si>
  <si>
    <t>Old SM Inst</t>
  </si>
  <si>
    <t>New SM Inst</t>
  </si>
  <si>
    <t>Old SM SR</t>
  </si>
  <si>
    <t>New SM SR</t>
  </si>
  <si>
    <t>New $ Prof</t>
  </si>
  <si>
    <t>Old $ Prof</t>
  </si>
  <si>
    <t>Old $ Asc</t>
  </si>
  <si>
    <t>New $ Asc</t>
  </si>
  <si>
    <t>Old $ Ast</t>
  </si>
  <si>
    <t>New $ Ast</t>
  </si>
  <si>
    <t>Old $  Inst</t>
  </si>
  <si>
    <t>New $  Inst</t>
  </si>
  <si>
    <t>Old $  SR</t>
  </si>
  <si>
    <t>New $  SR</t>
  </si>
  <si>
    <t>Old Avg p/m Prof</t>
  </si>
  <si>
    <t>New Avg p/m Prof</t>
  </si>
  <si>
    <t>Old Avg p/m Asc</t>
  </si>
  <si>
    <t>New Avg p/m Asc</t>
  </si>
  <si>
    <t>Old Avg p/m Ast</t>
  </si>
  <si>
    <t>New Avg p/m Ast</t>
  </si>
  <si>
    <t>Old Avg p/m Inst</t>
  </si>
  <si>
    <t>New Avg p/m Inst</t>
  </si>
  <si>
    <t>Old Avg p/m SR</t>
  </si>
  <si>
    <t>New Avg p/m SR</t>
  </si>
  <si>
    <t>Old 9mEqv Prof</t>
  </si>
  <si>
    <t>Old 9mEqv Asc</t>
  </si>
  <si>
    <t>New 9mEqv Asc</t>
  </si>
  <si>
    <t>Old 9mEqv Ast</t>
  </si>
  <si>
    <t>New 9mEqv Ast</t>
  </si>
  <si>
    <t>Old 9mEqv Inst</t>
  </si>
  <si>
    <t>New 9mEqv Inst</t>
  </si>
  <si>
    <t>Old 9mEqv SR</t>
  </si>
  <si>
    <t>New 9mEqv SR</t>
  </si>
  <si>
    <t>Old 9mEqv AR</t>
  </si>
  <si>
    <t>New 9mEqv AR</t>
  </si>
  <si>
    <t>Old # Prof Tot</t>
  </si>
  <si>
    <t>New # Prof Tot</t>
  </si>
  <si>
    <t>Old # Asc Tot</t>
  </si>
  <si>
    <t>New # Asc Tot</t>
  </si>
  <si>
    <t>Old # Ast Tot</t>
  </si>
  <si>
    <t>New # Ast Tot</t>
  </si>
  <si>
    <t>Old # Inst Tot</t>
  </si>
  <si>
    <t>New # Inst Tot</t>
  </si>
  <si>
    <t>Old # Oth Tot</t>
  </si>
  <si>
    <t>New # Oth Tot</t>
  </si>
  <si>
    <t>Old # SR Tot</t>
  </si>
  <si>
    <t>New # SR Tot</t>
  </si>
  <si>
    <t>Old # AR Tot</t>
  </si>
  <si>
    <t>New # AR Tot</t>
  </si>
  <si>
    <t>Old # Oth9</t>
  </si>
  <si>
    <t>New # Oth9</t>
  </si>
  <si>
    <t>Old # Oth10</t>
  </si>
  <si>
    <t>New # Oth10</t>
  </si>
  <si>
    <t>Old # Oth11</t>
  </si>
  <si>
    <t>New # Oth11</t>
  </si>
  <si>
    <t>Old # Oth12</t>
  </si>
  <si>
    <t>New # Oth12</t>
  </si>
  <si>
    <t>Old SM Oth</t>
  </si>
  <si>
    <t>New SM Oth</t>
  </si>
  <si>
    <t>Old $  Oth</t>
  </si>
  <si>
    <t>New $  Oth</t>
  </si>
  <si>
    <t>Old Avg p/m Oth</t>
  </si>
  <si>
    <t>New Avg p/m Oth</t>
  </si>
  <si>
    <t>Old 9mEqv Oth</t>
  </si>
  <si>
    <t>New 9mEqv Oth</t>
  </si>
  <si>
    <t>Other, 
Lecturer/No-Rank/Other</t>
  </si>
  <si>
    <t>Single Rank
[for 2-yr cols]</t>
  </si>
  <si>
    <r>
      <t xml:space="preserve">Other
</t>
    </r>
    <r>
      <rPr>
        <b/>
        <sz val="10"/>
        <color rgb="FFC00000"/>
        <rFont val="Arial"/>
        <family val="2"/>
      </rPr>
      <t>Lect / No Rank / Oth</t>
    </r>
  </si>
  <si>
    <t>Single Rank (for two-year colleges)</t>
  </si>
  <si>
    <t>Table 142</t>
  </si>
  <si>
    <t>Weighted Average Full-Time Faculty Salaries</t>
  </si>
  <si>
    <t>Public Institutions, SREB States, 2011-12</t>
  </si>
  <si>
    <t>Associate</t>
  </si>
  <si>
    <t>Assistant</t>
  </si>
  <si>
    <t>Undesignated/</t>
  </si>
  <si>
    <t>Single</t>
  </si>
  <si>
    <t>All</t>
  </si>
  <si>
    <t>Rank</t>
  </si>
  <si>
    <t>Ranks</t>
  </si>
  <si>
    <t>Four-Year 1</t>
  </si>
  <si>
    <t>Four-Year 2</t>
  </si>
  <si>
    <t>Four-Year 3</t>
  </si>
  <si>
    <t>Four-Year 4</t>
  </si>
  <si>
    <t>Four-Year 5</t>
  </si>
  <si>
    <t>Four-Year 6</t>
  </si>
  <si>
    <t>All Four-Year</t>
  </si>
  <si>
    <t>Two-Year with Bachelor's</t>
  </si>
  <si>
    <t>Two-Year 1</t>
  </si>
  <si>
    <t>Two-Year 2</t>
  </si>
  <si>
    <t>Two-Year 3</t>
  </si>
  <si>
    <t>All Two-Year</t>
  </si>
  <si>
    <t>Technical Institute or College 1</t>
  </si>
  <si>
    <t>Technical Institute or College 2</t>
  </si>
  <si>
    <t>All Technical Institutes or Colleges</t>
  </si>
  <si>
    <t>Notes: Salaries reported as 11-12 month appointments have been converted to 9-10 month equivalence by reducing the reported amounts by 2/11. States with distinct 10, 11 and 12 month appointments have been converted by reducing the amounts by 1/10, 2/11 and 3/12 respectively.</t>
  </si>
  <si>
    <t>Table 143</t>
  </si>
  <si>
    <t>Weighted Average Salaries of Full-Time Faculty</t>
  </si>
  <si>
    <t>Public Four-Year Institutions, 2011-12</t>
  </si>
  <si>
    <t>% change</t>
  </si>
  <si>
    <t>Old All Ranks</t>
  </si>
  <si>
    <t>Average</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</si>
  <si>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</si>
  <si>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</si>
  <si>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</si>
  <si>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</si>
  <si>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</si>
  <si>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</si>
  <si>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</si>
  <si>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</si>
  <si>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</si>
  <si>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</si>
  <si>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</si>
  <si>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</si>
  <si>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</si>
  <si>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</si>
  <si>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</si>
  <si>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</si>
  <si>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</si>
  <si>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Table 144</t>
  </si>
  <si>
    <t>Public Two-Year Institutions, 2011-12</t>
  </si>
  <si>
    <t>Table 145</t>
  </si>
  <si>
    <t>Public Technical Institutes or Colleges, 2011-12</t>
  </si>
  <si>
    <t>Technical     Institute or    College 1</t>
  </si>
  <si>
    <t xml:space="preserve">Notes: Salaries reported as 11-12 month appointments have been converted to 9-10 month equivalence by reducing the reported amounts by 2/11. States with distinct 10, 11 and 12 month appointments have been converted by reducing the amounts by 1/10, 2/11 and 3/12 respectively. </t>
  </si>
  <si>
    <t>Table 146</t>
  </si>
  <si>
    <t>Weighted Average Salaries and Salary Rankings of Full-Time Faculty</t>
  </si>
  <si>
    <t>Undesignated/ Other</t>
  </si>
  <si>
    <t>All Ranks</t>
  </si>
  <si>
    <t>Table 147</t>
  </si>
  <si>
    <t>Public Four-Year 1 Institutions, 2011-12</t>
  </si>
  <si>
    <t>Table 148</t>
  </si>
  <si>
    <t>Public Four-Year 2 Institutions, 2011-12</t>
  </si>
  <si>
    <t>Georgia*</t>
  </si>
  <si>
    <t>Table 149</t>
  </si>
  <si>
    <t>Public Four-Year 3 Institutions, 2011-12</t>
  </si>
  <si>
    <t>Table 150</t>
  </si>
  <si>
    <t>Public Four-Year 4 Institutions, 2011-12</t>
  </si>
  <si>
    <t>Table 151</t>
  </si>
  <si>
    <t>Public Four-Year 5 Institutions, 2011-12</t>
  </si>
  <si>
    <t>Table 152</t>
  </si>
  <si>
    <t>Public Four-Year 6 Institutions, 2011-12</t>
  </si>
  <si>
    <t>Table 153</t>
  </si>
  <si>
    <t>Public Two-Year, 2011-12</t>
  </si>
  <si>
    <t>Table 154</t>
  </si>
  <si>
    <t>Public Two-Year with Bachelor's, 2011-12</t>
  </si>
  <si>
    <t>Table 155</t>
  </si>
  <si>
    <t>Public Two-Year 1, 2011-12</t>
  </si>
  <si>
    <t>Table 156</t>
  </si>
  <si>
    <t>Public Two-Year 2, 2011-12</t>
  </si>
  <si>
    <t>Table 157</t>
  </si>
  <si>
    <t>Public Two-Year 3, 2011-12</t>
  </si>
  <si>
    <t>Table 158</t>
  </si>
  <si>
    <t>Public Two-Year Size Unknown, 2011-12</t>
  </si>
  <si>
    <t>Table 159</t>
  </si>
  <si>
    <t>Table 160</t>
  </si>
  <si>
    <t>Public Technical Institute or College 1, 2011-12</t>
  </si>
  <si>
    <t>Table 161</t>
  </si>
  <si>
    <t>Public Technical Institute or College 2, 2011-12</t>
  </si>
  <si>
    <t>XXX Table 161 b  XXX</t>
  </si>
  <si>
    <t>Public Technical Institute or College Size Unknown, 2011-12</t>
  </si>
  <si>
    <t>XXX  Table 161 b  XXX</t>
  </si>
  <si>
    <t xml:space="preserve"> December 2012</t>
  </si>
  <si>
    <t>Table 162</t>
  </si>
  <si>
    <t>Distribution of Full-Time Instructional Faculty</t>
  </si>
  <si>
    <t>Public Universities, Colleges and Technical Institutes, 2011-12</t>
  </si>
  <si>
    <t>[combined 9/10-month and 11/12-month contract groups]</t>
  </si>
  <si>
    <t>Percent</t>
  </si>
  <si>
    <t>Number</t>
  </si>
  <si>
    <t>Four-Year</t>
  </si>
  <si>
    <t>Two-Year</t>
  </si>
  <si>
    <t>Technical Institutes</t>
  </si>
  <si>
    <t>All 
4-Yr</t>
  </si>
  <si>
    <t>with Bach- elor's</t>
  </si>
  <si>
    <t>All 
2-Yr</t>
  </si>
  <si>
    <t>All 4-Yr</t>
  </si>
  <si>
    <t>Size Un-kown</t>
  </si>
  <si>
    <t>SREB</t>
  </si>
  <si>
    <t>size un- known</t>
  </si>
  <si>
    <t>Public Institutions, SREB States, 2012-13</t>
  </si>
  <si>
    <t>Public Four-Year Institutions, 2012-13</t>
  </si>
  <si>
    <t>Public Two-Year Institutions, 2012-13</t>
  </si>
  <si>
    <t>Public Technical Institutes or Colleges, 2012-13</t>
  </si>
  <si>
    <t>Public Four-Year 1 Institutions, 2012-13</t>
  </si>
  <si>
    <t>Public Four-Year 2 Institutions, 2012-13</t>
  </si>
  <si>
    <t>Public Four-Year 3 Institutions, 2012-13</t>
  </si>
  <si>
    <t>Public Four-Year 4 Institutions, 2012-13</t>
  </si>
  <si>
    <t>Public Four-Year 5 Institutions, 2012-13</t>
  </si>
  <si>
    <t>Public Four-Year 6 Institutions, 2012-13</t>
  </si>
  <si>
    <t>Public Two-Year, 2012-13</t>
  </si>
  <si>
    <t>Public Two-Year with Bachelor's, 2012-13</t>
  </si>
  <si>
    <t>Public Two-Year 1, 2012-13</t>
  </si>
  <si>
    <t>Public Two-Year 2, 2012-13</t>
  </si>
  <si>
    <t>Public Two-Year 3, 2012-13</t>
  </si>
  <si>
    <t>Public Two-Year Size Unknown, 2012-13</t>
  </si>
  <si>
    <t>Public Technical Institute or College 1, 2012-13</t>
  </si>
  <si>
    <t>Public Technical Institute or College 2, 2012-13</t>
  </si>
  <si>
    <t>Public Technical Institute or College Size Unknown, 2012-13</t>
  </si>
  <si>
    <t>Public Universities, Colleges and Technical Institutes, 2012-13</t>
  </si>
  <si>
    <t>Row Labels</t>
  </si>
  <si>
    <t>Column Labels</t>
  </si>
  <si>
    <t>Sum of Old # Prof Tot</t>
  </si>
  <si>
    <t>Total Sum of Old # Prof Tot</t>
  </si>
  <si>
    <t>Total Sum of New # Prof Tot</t>
  </si>
  <si>
    <t>Sum of New # Prof Tot</t>
  </si>
  <si>
    <t>Total Sum of Old # Asc Tot</t>
  </si>
  <si>
    <t>Sum of Old # Asc Tot</t>
  </si>
  <si>
    <t>Total Sum of New # Asc Tot</t>
  </si>
  <si>
    <t>Sum of New # Asc Tot</t>
  </si>
  <si>
    <t>Total Sum of Old # Ast Tot</t>
  </si>
  <si>
    <t>Sum of Old # Ast Tot</t>
  </si>
  <si>
    <t>Total Sum of New # Ast Tot</t>
  </si>
  <si>
    <t>Sum of New # Ast Tot</t>
  </si>
  <si>
    <t>Total Sum of Old # Inst Tot</t>
  </si>
  <si>
    <t>Sum of Old # Inst Tot</t>
  </si>
  <si>
    <t>Total Sum of New # Inst Tot</t>
  </si>
  <si>
    <t>Sum of New # Inst Tot</t>
  </si>
  <si>
    <t>Total Sum of Old # Oth Tot</t>
  </si>
  <si>
    <t>Sum of Old # Oth Tot</t>
  </si>
  <si>
    <t>Total Sum of New # Oth Tot</t>
  </si>
  <si>
    <t>Sum of New # Oth Tot</t>
  </si>
  <si>
    <t>Total Sum of Old # SR Tot</t>
  </si>
  <si>
    <t>Sum of Old # SR Tot</t>
  </si>
  <si>
    <t>Total Sum of New # SR Tot</t>
  </si>
  <si>
    <t>Sum of New # SR Tot</t>
  </si>
  <si>
    <t>Total Sum of Old # AR Tot</t>
  </si>
  <si>
    <t>Sum of Old # AR Tot</t>
  </si>
  <si>
    <t>Total Sum of New # AR Tot</t>
  </si>
  <si>
    <t>Sum of New # AR Tot</t>
  </si>
  <si>
    <t xml:space="preserve"> (# x 9mEqv)</t>
  </si>
  <si>
    <t>Old 9mEqv Outlay Prof</t>
  </si>
  <si>
    <t>New 9mEqv Outlay Prof</t>
  </si>
  <si>
    <t>Old 9mEqv Outlay Asc</t>
  </si>
  <si>
    <t>New 9mEqv Outlay Asc</t>
  </si>
  <si>
    <t>Old 9mEqv Outlay Ast</t>
  </si>
  <si>
    <t>New 9mEqv Outlay Ast</t>
  </si>
  <si>
    <t>Old 9mEqv Outlay Inst</t>
  </si>
  <si>
    <t>New 9mEqv Outlay Inst</t>
  </si>
  <si>
    <t>Old 9mEqv Outlay Oth</t>
  </si>
  <si>
    <t>New 9mEqv Outlay Oth</t>
  </si>
  <si>
    <t>Old 9mEqv Outlay SR</t>
  </si>
  <si>
    <t>New 9mEqv Outlay SR</t>
  </si>
  <si>
    <t>New 9mEqv Outlay AR</t>
  </si>
  <si>
    <t>Old 9mEqv Outlay AR</t>
  </si>
  <si>
    <t>Technical</t>
  </si>
  <si>
    <t>Four-Year Total</t>
  </si>
  <si>
    <t>Two-Year Total</t>
  </si>
  <si>
    <t>Technical Total</t>
  </si>
  <si>
    <t>Weighted Averages</t>
  </si>
  <si>
    <t>Section A: Numbers of Full-Time, Non-Medical Instructional Staff</t>
  </si>
  <si>
    <t>Section B: Salary Outlays</t>
  </si>
  <si>
    <t>Section C: Calculated Service Months by Rank</t>
  </si>
  <si>
    <t>Section D: Calculated Weighted Average Salary per Month</t>
  </si>
  <si>
    <t>Section E: Calculated Weighted Average 9-month-equivalent Salary</t>
  </si>
  <si>
    <t>Section F. Calculated Headcount Totals</t>
  </si>
  <si>
    <t>Section G: Calculated 9-month Equivalent Products</t>
  </si>
  <si>
    <t>x</t>
  </si>
  <si>
    <t xml:space="preserve">Formula </t>
  </si>
  <si>
    <t xml:space="preserve">North Carolina State University </t>
  </si>
  <si>
    <t xml:space="preserve">University of North Carolina at Chapel Hill </t>
  </si>
  <si>
    <t>University of North Carolina at Greensboro</t>
  </si>
  <si>
    <t>University of North Carolina at Charlotte</t>
  </si>
  <si>
    <t xml:space="preserve">Appalachian State University </t>
  </si>
  <si>
    <t xml:space="preserve">East Carolina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</si>
  <si>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</si>
  <si>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</si>
  <si>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</si>
  <si>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</si>
  <si>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</si>
  <si>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</si>
  <si>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</si>
  <si>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</si>
  <si>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</si>
  <si>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Met the criteria for Four-Year 1 in 2012-13.</t>
  </si>
  <si>
    <t>Reclassified: met the criteria for Four-Year 2 in 2010-11, 2011-12, and 2012-13.</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</si>
  <si>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</si>
  <si>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</si>
  <si>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</si>
  <si>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</si>
  <si>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</si>
  <si>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</si>
  <si>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</si>
  <si>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</si>
  <si>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</si>
  <si>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</si>
  <si>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Potomac State College of West Virginia University</t>
  </si>
  <si>
    <t>West Virginia University at Parkersburg</t>
  </si>
  <si>
    <t>West Virginia Northern Community College</t>
  </si>
  <si>
    <t>Blue Ridge Community &amp; Technical College</t>
  </si>
  <si>
    <t>Bridgemont Community &amp; Technical College</t>
  </si>
  <si>
    <t>Eastern West Virginia Community &amp; Technical College</t>
  </si>
  <si>
    <t>Kanawha Valley Community &amp; Technical College</t>
  </si>
  <si>
    <t>Mountwest Community &amp; Technical College</t>
  </si>
  <si>
    <t>New River Community &amp; Technical College</t>
  </si>
  <si>
    <t>Pierpont Community &amp; Technical College</t>
  </si>
  <si>
    <t xml:space="preserve">Southern West Virginia Community &amp; Technical College </t>
  </si>
  <si>
    <t>Met the criteria for Two-Year 3 in 2012-13.</t>
  </si>
  <si>
    <t>Reclassified: met criteria for Two-Year 2 in 2010-11, 2011-12, and 2012-13.</t>
  </si>
  <si>
    <t xml:space="preserve">Canadian Valley Technology Center                 </t>
  </si>
  <si>
    <t xml:space="preserve">Francis Tuttle Technology Center                  </t>
  </si>
  <si>
    <t xml:space="preserve">Metro Technology Centers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</si>
  <si>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</si>
  <si>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</si>
  <si>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</si>
  <si>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</si>
  <si>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</si>
  <si>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</si>
  <si>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</si>
  <si>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</si>
  <si>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</si>
  <si>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</si>
  <si>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</si>
  <si>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</si>
  <si>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</si>
  <si>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</si>
  <si>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</si>
  <si>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</si>
  <si>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</si>
  <si>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</si>
  <si>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</si>
  <si>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</si>
  <si>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</si>
  <si>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</si>
  <si>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</si>
  <si>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</si>
  <si>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</si>
  <si>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</si>
  <si>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</si>
  <si>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</si>
  <si>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New institution no longer in start up phase. </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</si>
  <si>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</si>
  <si>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</si>
  <si>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</si>
  <si>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</si>
  <si>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</si>
  <si>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</si>
  <si>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</si>
  <si>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</si>
  <si>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</si>
  <si>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</si>
  <si>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</si>
  <si>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</si>
  <si>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Center-Lemley Campus             </t>
  </si>
  <si>
    <t xml:space="preserve">Tulsa Technology Center-Riverside Campus          </t>
  </si>
  <si>
    <t xml:space="preserve">Wes Watkins Technology Center                     </t>
  </si>
  <si>
    <t xml:space="preserve">Western Technology Center                         </t>
  </si>
  <si>
    <t xml:space="preserve">                     -  </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</si>
  <si>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</si>
  <si>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</si>
  <si>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</si>
  <si>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</si>
  <si>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</si>
  <si>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</si>
  <si>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</si>
  <si>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</si>
  <si>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</si>
  <si>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</si>
  <si>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</si>
  <si>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</si>
  <si>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</si>
  <si>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</si>
  <si>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</si>
  <si>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</si>
  <si>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</si>
  <si>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</si>
  <si>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</si>
  <si>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</si>
  <si>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</si>
  <si>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</si>
  <si>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</si>
  <si>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University-San Marcos</t>
  </si>
  <si>
    <t xml:space="preserve">University of Houston-Clear Lake </t>
  </si>
  <si>
    <t>University of Texas at Brownsville</t>
  </si>
  <si>
    <t>University of Texas at Tyler</t>
  </si>
  <si>
    <t>University of Texas of the Permian Basin</t>
  </si>
  <si>
    <t>University of Texas-Pan American</t>
  </si>
  <si>
    <t>West Texas A&amp;M University</t>
  </si>
  <si>
    <t>Texas A&amp;M -Texarkana</t>
  </si>
  <si>
    <t>University of Houston-Victoria</t>
  </si>
  <si>
    <t>Sul Ross State University-Rio Grande College</t>
  </si>
  <si>
    <t>228501B</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</si>
  <si>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</si>
  <si>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</si>
  <si>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</si>
  <si>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</si>
  <si>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</si>
  <si>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</si>
  <si>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</si>
  <si>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</si>
  <si>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</si>
  <si>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</si>
  <si>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</si>
  <si>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</si>
  <si>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</si>
  <si>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</si>
  <si>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</si>
  <si>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</si>
  <si>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</si>
  <si>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</si>
  <si>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</si>
  <si>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</si>
  <si>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</si>
  <si>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</si>
  <si>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</si>
  <si>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</si>
  <si>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</si>
  <si>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</si>
  <si>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</si>
  <si>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</si>
  <si>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</si>
  <si>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</si>
  <si>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</si>
  <si>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 xml:space="preserve">Texas Southmost College </t>
  </si>
  <si>
    <t>Texas State Technical College-Waco</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</si>
  <si>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</si>
  <si>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</si>
  <si>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</si>
  <si>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</si>
  <si>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</si>
  <si>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</si>
  <si>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</si>
  <si>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</si>
  <si>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</si>
  <si>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</si>
  <si>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</si>
  <si>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Lamar Institute of Technology</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</si>
  <si>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</si>
  <si>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</si>
  <si>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</si>
  <si>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</si>
  <si>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</si>
  <si>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</si>
  <si>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</si>
  <si>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</si>
  <si>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</si>
  <si>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</si>
  <si>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</si>
  <si>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</si>
  <si>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</si>
  <si>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</si>
  <si>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</si>
  <si>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</si>
  <si>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</si>
  <si>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Lamar State College-Port Arthur</t>
  </si>
  <si>
    <t>Northeast Lakeview College (ACCD)</t>
  </si>
  <si>
    <t>???</t>
  </si>
  <si>
    <t>Panola College</t>
  </si>
  <si>
    <t xml:space="preserve">Ranger College </t>
  </si>
  <si>
    <t>Southwest Collegiate Institute for the Deaf (HCJCD)</t>
  </si>
  <si>
    <t>Texas State Technical College-Marshall</t>
  </si>
  <si>
    <t>Texas State Technical College-West Texas</t>
  </si>
  <si>
    <t xml:space="preserve">Western Texas College </t>
  </si>
  <si>
    <t>Texas A &amp; M University - Central Texas</t>
  </si>
  <si>
    <t>Texas A &amp; M University - San Antonio</t>
  </si>
  <si>
    <t>University of North Texas at Dallas</t>
  </si>
  <si>
    <t>New fall 2009. No degrees yet granted.</t>
  </si>
  <si>
    <t>Met criteria for Two-Year 2 in 2012-13.</t>
  </si>
  <si>
    <t>Reclassified: Met the criteria for Two-Year 2 in 2010-11, 2011-12, and 2012-13.</t>
  </si>
  <si>
    <t>Reclassified: Met the criteria for Four-Year 4 in 2010-11, 2011-12, and 2012-13.</t>
  </si>
  <si>
    <t>Reclassified: Met the criteria for Four-Year 5 in 2010-11, 2011-12, and 2012-13.</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</si>
  <si>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</si>
  <si>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</si>
  <si>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</si>
  <si>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</si>
  <si>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</si>
  <si>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</si>
  <si>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</si>
  <si>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</si>
  <si>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Met the criteria for Four-Year 2 in 2012-13.</t>
  </si>
  <si>
    <t>Albany Technical College</t>
  </si>
  <si>
    <t>Altamaha Technical College</t>
  </si>
  <si>
    <t>Athens Technical College</t>
  </si>
  <si>
    <t>Atlanta Technical College</t>
  </si>
  <si>
    <t>Augusta Technical College</t>
  </si>
  <si>
    <t>Central Georgia Technical College</t>
  </si>
  <si>
    <t>Chattahoochee Technical College</t>
  </si>
  <si>
    <t>Columbus Technical College</t>
  </si>
  <si>
    <t>Georgia Northwestern Technical College</t>
  </si>
  <si>
    <t>Georgia Piedmont Technical College</t>
  </si>
  <si>
    <t>Gwinnett Technical College</t>
  </si>
  <si>
    <t>Lanier Technical College</t>
  </si>
  <si>
    <t>Middle Georgia Technical College</t>
  </si>
  <si>
    <t>Moultrie Technical College</t>
  </si>
  <si>
    <t>North Georgia Technical College</t>
  </si>
  <si>
    <t>Oconee Fall Line Technical College</t>
  </si>
  <si>
    <t>Ogeechee Technical College</t>
  </si>
  <si>
    <t>Okefenokee Technical College</t>
  </si>
  <si>
    <t>Savannah Technical College</t>
  </si>
  <si>
    <t>South Georgia Technical College</t>
  </si>
  <si>
    <t>Southeastern Technical College</t>
  </si>
  <si>
    <t>Southern Crescent Technical College</t>
  </si>
  <si>
    <t>Southwest Georgia Technical College</t>
  </si>
  <si>
    <t>West Georgia Technical College</t>
  </si>
  <si>
    <t>Wiregrass Georgia Technical College</t>
  </si>
  <si>
    <t>University of Arkansas, Fayetteville</t>
  </si>
  <si>
    <t>Arkansas State University</t>
  </si>
  <si>
    <t>University of Arkansas at Little Rock</t>
  </si>
  <si>
    <t xml:space="preserve">University of Central Arkansas </t>
  </si>
  <si>
    <t>Arkansas Tech University</t>
  </si>
  <si>
    <t>Henderson State University</t>
  </si>
  <si>
    <t>Southern Arkansas University</t>
  </si>
  <si>
    <t>University of Arkansas at Monticello</t>
  </si>
  <si>
    <t>University of Arkansas at Fort Smith</t>
  </si>
  <si>
    <t>University of Arkansas at Pine Bluff</t>
  </si>
  <si>
    <t xml:space="preserve">Northwest Arkansas Community College </t>
  </si>
  <si>
    <t>Pulaski Technical College</t>
  </si>
  <si>
    <t>Arkansas State University-Beebe</t>
  </si>
  <si>
    <t>National Park Community College</t>
  </si>
  <si>
    <t>Arkansas Northeastern College</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</si>
  <si>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</si>
  <si>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</si>
  <si>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</si>
  <si>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</si>
  <si>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</si>
  <si>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</si>
  <si>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 xml:space="preserve">Mid-South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</si>
  <si>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</si>
  <si>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</si>
  <si>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</si>
  <si>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</si>
  <si>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</si>
  <si>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</si>
  <si>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</si>
  <si>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</si>
  <si>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</si>
  <si>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</si>
  <si>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Reclassified: met the criteria for Four-Year 3 in 2010-11, 2011-12 and 2012-13.</t>
  </si>
  <si>
    <t>Met the criteria for Four-Year 5 in 2012-13.</t>
  </si>
  <si>
    <t>Asheville-Buncombe Technical Community College</t>
  </si>
  <si>
    <t>Cape Fear Community College</t>
  </si>
  <si>
    <t xml:space="preserve">Central Piedmont Community College </t>
  </si>
  <si>
    <t>Fayetteville Technical Community College</t>
  </si>
  <si>
    <t>Forsyth Technical Community College</t>
  </si>
  <si>
    <t xml:space="preserve">Gaston College </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</si>
  <si>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</si>
  <si>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</si>
  <si>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</si>
  <si>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</si>
  <si>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</si>
  <si>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</si>
  <si>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</si>
  <si>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</si>
  <si>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</si>
  <si>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</si>
  <si>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</si>
  <si>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</si>
  <si>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</si>
  <si>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</si>
  <si>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Haywood Community College</t>
  </si>
  <si>
    <t xml:space="preserve">Isothermal Community College </t>
  </si>
  <si>
    <t>Johnston Community College</t>
  </si>
  <si>
    <t xml:space="preserve">Lenoir Community College </t>
  </si>
  <si>
    <t xml:space="preserve">Mitchell Community College </t>
  </si>
  <si>
    <t>Nash Community College</t>
  </si>
  <si>
    <t>Randolph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</si>
  <si>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</si>
  <si>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</si>
  <si>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</si>
  <si>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</si>
  <si>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</si>
  <si>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</si>
  <si>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</si>
  <si>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</si>
  <si>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</si>
  <si>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</si>
  <si>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</si>
  <si>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</si>
  <si>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</si>
  <si>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</si>
  <si>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</si>
  <si>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</si>
  <si>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</si>
  <si>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</si>
  <si>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</si>
  <si>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</si>
  <si>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</si>
  <si>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</si>
  <si>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Richmond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</si>
  <si>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</si>
  <si>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</si>
  <si>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</si>
  <si>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</si>
  <si>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</si>
  <si>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</si>
  <si>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</si>
  <si>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</si>
  <si>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Met the criteria for Two-Year 2 in 2011-12 and 2012-13.</t>
  </si>
  <si>
    <t>Met the criteria for Two-Year 3 in 2011-12 and 2012-13.</t>
  </si>
  <si>
    <t>Met the criteria for Two-Year 2 in 2012-13.</t>
  </si>
  <si>
    <t>Oklahoma State University Main Campus</t>
  </si>
  <si>
    <t>University of Oklahoma Norman Campus</t>
  </si>
  <si>
    <t>Northeastern State University</t>
  </si>
  <si>
    <t>University of Central Oklahoma</t>
  </si>
  <si>
    <t xml:space="preserve">Cameron University </t>
  </si>
  <si>
    <t xml:space="preserve">East Central University </t>
  </si>
  <si>
    <t>Langston University</t>
  </si>
  <si>
    <t xml:space="preserve">Northwestern Oklahoma State University </t>
  </si>
  <si>
    <t xml:space="preserve">Southeastern Oklahoma State University </t>
  </si>
  <si>
    <t>Southwestern Oklahoma State University</t>
  </si>
  <si>
    <t xml:space="preserve">Oklahoma Panhandle State University </t>
  </si>
  <si>
    <t>Rogers State University</t>
  </si>
  <si>
    <t>University of Science and Arts of Oklahoma</t>
  </si>
  <si>
    <t xml:space="preserve">Oklahoma State University-Oklahoma City </t>
  </si>
  <si>
    <t xml:space="preserve">Oklahoma State University Technical Branch-Okmulgee </t>
  </si>
  <si>
    <t xml:space="preserve">Oklahoma City Community College </t>
  </si>
  <si>
    <t xml:space="preserve">Rose State College </t>
  </si>
  <si>
    <t xml:space="preserve">Tulsa Community College </t>
  </si>
  <si>
    <t xml:space="preserve">Northern Oklahoma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</si>
  <si>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</si>
  <si>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</si>
  <si>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</si>
  <si>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</si>
  <si>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</si>
  <si>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</si>
  <si>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</si>
  <si>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</si>
  <si>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Reclassified: met the criteria for Four-Year 4 in 2010-11, 2011-12, and 2012-13.</t>
  </si>
  <si>
    <t>Met the criteria for Two-Year 1 institution in 2012-13.</t>
  </si>
  <si>
    <t>Met the criteria for Two-Year 2 institution in 2012-13.</t>
  </si>
  <si>
    <t>Reclassified: met the criteria for Two-Year 2 institution in 2010-11, 2011-12, and 2012-13.</t>
  </si>
  <si>
    <t>Met the criteria for Two-Year 2 institution in 2011-12 and 2012-13.</t>
  </si>
  <si>
    <t>University of Delaware</t>
  </si>
  <si>
    <t>Delaware State University</t>
  </si>
  <si>
    <t>Delaware Technical and Community College--Stanton-Wilmington</t>
  </si>
  <si>
    <t>Delaware Technical and Community College--Owens</t>
  </si>
  <si>
    <t>Delaware Technical and Community College--Terry</t>
  </si>
  <si>
    <t>University of Kentucky</t>
  </si>
  <si>
    <t>University of Louisville</t>
  </si>
  <si>
    <t xml:space="preserve">Eastern Kentucky University </t>
  </si>
  <si>
    <t xml:space="preserve">Morehead State University </t>
  </si>
  <si>
    <t xml:space="preserve">Murray State University </t>
  </si>
  <si>
    <t xml:space="preserve">Western Kentucky University </t>
  </si>
  <si>
    <t xml:space="preserve">Kentucky State University </t>
  </si>
  <si>
    <t xml:space="preserve">Northern Kentucky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</si>
  <si>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</si>
  <si>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</si>
  <si>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</si>
  <si>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</si>
  <si>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</si>
  <si>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</si>
  <si>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</si>
  <si>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</si>
  <si>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</si>
  <si>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</si>
  <si>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</si>
  <si>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</si>
  <si>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Hazard Community and Technical College</t>
  </si>
  <si>
    <t xml:space="preserve">Henderson Community College </t>
  </si>
  <si>
    <t>Southcentral Kentucky Community and Technical College</t>
  </si>
  <si>
    <t>Gateway Community and Technical College</t>
  </si>
  <si>
    <t>Met the criteria for Four-Year 3 in 2012-13.</t>
  </si>
  <si>
    <t>Reclassified: met the criteria for classification as a Two-Year 2 in 2010-11, 2011-12, and 2012-13.</t>
  </si>
  <si>
    <t>Florida International University</t>
  </si>
  <si>
    <t xml:space="preserve">Florida State University </t>
  </si>
  <si>
    <t xml:space="preserve">University of Central Florida </t>
  </si>
  <si>
    <t>University of Florida</t>
  </si>
  <si>
    <t xml:space="preserve">University of South Florida </t>
  </si>
  <si>
    <t xml:space="preserve">Florida Atlantic University </t>
  </si>
  <si>
    <t xml:space="preserve">Florida Agricultural &amp; Mechanical University </t>
  </si>
  <si>
    <t>University of North Florida</t>
  </si>
  <si>
    <t>University of West Florida</t>
  </si>
  <si>
    <t>Florida Gulf Coast University</t>
  </si>
  <si>
    <t>New College of Florida</t>
  </si>
  <si>
    <t>Met the criteria for Four-Year 2 in 2011-12 and 2012-13.</t>
  </si>
  <si>
    <t>University of Maryland College Park</t>
  </si>
  <si>
    <t>Morgan State University</t>
  </si>
  <si>
    <t>University of Maryland, Baltimore County</t>
  </si>
  <si>
    <t xml:space="preserve">Towson University </t>
  </si>
  <si>
    <t xml:space="preserve">Bowie State University </t>
  </si>
  <si>
    <t>Coppin State University</t>
  </si>
  <si>
    <t xml:space="preserve">Frostburg State University </t>
  </si>
  <si>
    <t xml:space="preserve">Salisbury University </t>
  </si>
  <si>
    <t>University of Baltimore</t>
  </si>
  <si>
    <t xml:space="preserve">University of Maryland Eastern Shore </t>
  </si>
  <si>
    <t>Saint Mary's College of Maryland</t>
  </si>
  <si>
    <t xml:space="preserve">Anne Arundel Community College </t>
  </si>
  <si>
    <t>College of Southern Maryland</t>
  </si>
  <si>
    <t>Community College of Baltimore County (all campuses)</t>
  </si>
  <si>
    <t xml:space="preserve">Howard Community College </t>
  </si>
  <si>
    <t>Montgomery College (all campuses)</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</si>
  <si>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</si>
  <si>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</si>
  <si>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</si>
  <si>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</si>
  <si>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</si>
  <si>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</si>
  <si>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</si>
  <si>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</si>
  <si>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</si>
  <si>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</si>
  <si>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</si>
  <si>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Reclassified: met the criteria for Four-Year 5 in 2010-11, 2011-12, and 2012-13.</t>
  </si>
  <si>
    <t>Alabama Agricultural &amp; Mechanical University</t>
  </si>
  <si>
    <t xml:space="preserve">Alabama State University </t>
  </si>
  <si>
    <t>Athens State University</t>
  </si>
  <si>
    <t>Auburn University</t>
  </si>
  <si>
    <t>Auburn University at Montgomery</t>
  </si>
  <si>
    <t xml:space="preserve">Jacksonville State University </t>
  </si>
  <si>
    <t>Troy University</t>
  </si>
  <si>
    <t xml:space="preserve">University of Alabama </t>
  </si>
  <si>
    <t>University of Alabama at Birmingham</t>
  </si>
  <si>
    <t>University of Alabama in Huntsville</t>
  </si>
  <si>
    <t>University of Montevallo</t>
  </si>
  <si>
    <t>University of North Alabama</t>
  </si>
  <si>
    <t>University of South Alabama</t>
  </si>
  <si>
    <t>University of West Alabama</t>
  </si>
  <si>
    <t>Alabama Southern Community College</t>
  </si>
  <si>
    <t>Bevill State Community College</t>
  </si>
  <si>
    <t>Bishop State Community College</t>
  </si>
  <si>
    <t xml:space="preserve">John C. Calhoun State Community College </t>
  </si>
  <si>
    <t>Central Alabama Community College</t>
  </si>
  <si>
    <t xml:space="preserve">Chattahoochee Valley State Community College </t>
  </si>
  <si>
    <t xml:space="preserve">J.F. Drake State Technical College </t>
  </si>
  <si>
    <t>Enterprise-Ozark Community College</t>
  </si>
  <si>
    <t>James H. Faulkner State Community College</t>
  </si>
  <si>
    <t>Gadsden State Community College</t>
  </si>
  <si>
    <t xml:space="preserve">J.F. Ingram State Technical College </t>
  </si>
  <si>
    <t>Jefferson Davis Community College</t>
  </si>
  <si>
    <t>Jefferson State Community College</t>
  </si>
  <si>
    <t xml:space="preserve">Lawson State Community College </t>
  </si>
  <si>
    <t xml:space="preserve">Lurleen B. Wallace Community College </t>
  </si>
  <si>
    <t xml:space="preserve">Northeast Alabama State Community College </t>
  </si>
  <si>
    <t>Northwest-Shoals Community College</t>
  </si>
  <si>
    <t xml:space="preserve">Reid State Technical College </t>
  </si>
  <si>
    <t>Shelton State Community College</t>
  </si>
  <si>
    <t xml:space="preserve">Snead State Community College </t>
  </si>
  <si>
    <t>Southern Union State Community College</t>
  </si>
  <si>
    <t xml:space="preserve">Trenholm State Technical College </t>
  </si>
  <si>
    <t>George C. Wallace State Community College - Dothan</t>
  </si>
  <si>
    <t>Wallace Community College - Hanceville</t>
  </si>
  <si>
    <t>George Corley Wallace State Community College - Selma</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</si>
  <si>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</si>
  <si>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</si>
  <si>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</si>
  <si>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</si>
  <si>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</si>
  <si>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</si>
  <si>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</si>
  <si>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</si>
  <si>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</si>
  <si>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</si>
  <si>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</si>
  <si>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</si>
  <si>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</si>
  <si>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</si>
  <si>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</si>
  <si>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 xml:space="preserve">Delgado Community College </t>
  </si>
  <si>
    <t>Bossier Parish Community College</t>
  </si>
  <si>
    <t>Louisiana State University at Eunice</t>
  </si>
  <si>
    <t>South Louisiana Community College</t>
  </si>
  <si>
    <t>Louisiana Delta Community College</t>
  </si>
  <si>
    <t>Nunez Community College</t>
  </si>
  <si>
    <t>River Parishes Community College</t>
  </si>
  <si>
    <t>Southern University in Shreveport</t>
  </si>
  <si>
    <t>Acadiana Technical College</t>
  </si>
  <si>
    <t>Capital Area Technical College</t>
  </si>
  <si>
    <t>Central LA Technical College</t>
  </si>
  <si>
    <t>L.E. Fletcher Technical Community College</t>
  </si>
  <si>
    <t>Northeast Technical College</t>
  </si>
  <si>
    <t>Northshore Technical College</t>
  </si>
  <si>
    <t>Northwest LA Technical College</t>
  </si>
  <si>
    <t>South Central LA Technical College</t>
  </si>
  <si>
    <t>Sowela Technical Community College</t>
  </si>
  <si>
    <t>Reclassified: met the criteria for Two-Year 1 in 2010-11, 2011-12, and 2012-13.</t>
  </si>
  <si>
    <t>Met the criteria for Two-Year 1 in 2012-13.</t>
  </si>
  <si>
    <t xml:space="preserve">Georgia State University </t>
  </si>
  <si>
    <t>University of Georgia</t>
  </si>
  <si>
    <t>Georgia Institute of Technology</t>
  </si>
  <si>
    <t>Georgia Southern University</t>
  </si>
  <si>
    <t>University of West Georgia</t>
  </si>
  <si>
    <t xml:space="preserve">Valdosta State University </t>
  </si>
  <si>
    <t xml:space="preserve">Albany State University </t>
  </si>
  <si>
    <t>Armstrong Atlantic State University</t>
  </si>
  <si>
    <t>Columbus State University</t>
  </si>
  <si>
    <t>Georgia College and State University</t>
  </si>
  <si>
    <t>Kennesaw State University</t>
  </si>
  <si>
    <t>Augusta State University</t>
  </si>
  <si>
    <t>Clayton State University</t>
  </si>
  <si>
    <t>Fort Valley State University</t>
  </si>
  <si>
    <t>Georgia Southwestern State University</t>
  </si>
  <si>
    <t>North Georgia College and State University</t>
  </si>
  <si>
    <t>Savannah State University</t>
  </si>
  <si>
    <t>Georgia Gwinnett College</t>
  </si>
  <si>
    <t xml:space="preserve">Macon State College </t>
  </si>
  <si>
    <t xml:space="preserve">Dalton State College </t>
  </si>
  <si>
    <t xml:space="preserve">Gainesville State College </t>
  </si>
  <si>
    <t xml:space="preserve">Gordon College </t>
  </si>
  <si>
    <t xml:space="preserve">Georgia Perimeter College </t>
  </si>
  <si>
    <t xml:space="preserve">Abraham Baldwin Agricultural College </t>
  </si>
  <si>
    <t>Atlanta Metropolitan College</t>
  </si>
  <si>
    <t xml:space="preserve">Bainbridge College </t>
  </si>
  <si>
    <t xml:space="preserve">College of Coastal Georgia </t>
  </si>
  <si>
    <t xml:space="preserve">Darton College </t>
  </si>
  <si>
    <t>East Georgia College</t>
  </si>
  <si>
    <t>Georgia Highlands College</t>
  </si>
  <si>
    <t xml:space="preserve">Middle Georgia College </t>
  </si>
  <si>
    <t xml:space="preserve">South Georgia College </t>
  </si>
  <si>
    <t xml:space="preserve">Waycross College </t>
  </si>
  <si>
    <t>Met the criteria for Four-Year 3 in 2011-12 and 2012-13.</t>
  </si>
  <si>
    <t>Met the criteria for Four-Year 4 in 2012-13.</t>
  </si>
  <si>
    <t>Met the criteria for Four-Year 6 in 2011-12 and 2012-13.</t>
  </si>
  <si>
    <t xml:space="preserve">Met the criteria for Two-Year with Bachelor's in 2011-12 and 2012-13. </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</si>
  <si>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</si>
  <si>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</si>
  <si>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</si>
  <si>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</si>
  <si>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</si>
  <si>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</si>
  <si>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</si>
  <si>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</si>
  <si>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</si>
  <si>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</si>
  <si>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</si>
  <si>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</si>
  <si>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</si>
  <si>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</si>
  <si>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</si>
  <si>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University of Memphis</t>
  </si>
  <si>
    <t>University of Tennessee, Knoxville</t>
  </si>
  <si>
    <t xml:space="preserve">Tennessee State University </t>
  </si>
  <si>
    <t xml:space="preserve">Austin Peay State University </t>
  </si>
  <si>
    <t xml:space="preserve">East Tennessee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</si>
  <si>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</si>
  <si>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</si>
  <si>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</si>
  <si>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</si>
  <si>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</si>
  <si>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</si>
  <si>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</si>
  <si>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</si>
  <si>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</si>
  <si>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</si>
  <si>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</si>
  <si>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</si>
  <si>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</si>
  <si>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</si>
  <si>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</si>
  <si>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</si>
  <si>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</si>
  <si>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Center of Applied Technology at Athens</t>
  </si>
  <si>
    <t>Tennessee Center of Applied Technology at Chattanooga</t>
  </si>
  <si>
    <t>219824B</t>
  </si>
  <si>
    <t>Tennessee Center of Applied Technology at Covington</t>
  </si>
  <si>
    <t>Tennessee Center of Applied Technology at Crossville</t>
  </si>
  <si>
    <t>Tennessee Center of Applied Technology at Crump</t>
  </si>
  <si>
    <t>Tennessee Center of Applied Technology at Dickson</t>
  </si>
  <si>
    <t>Tennessee Center of Applied Technology at Elizabethton</t>
  </si>
  <si>
    <t>Tennessee Center of Applied Technology at Harriman</t>
  </si>
  <si>
    <t>Tennessee Center of Applied Technology at Hartsville</t>
  </si>
  <si>
    <t>Tennessee Center of Applied Technology at Hohenwald</t>
  </si>
  <si>
    <t>Tennessee Center of Applied Technology at Jacksboro</t>
  </si>
  <si>
    <t>Tennessee Center of Applied Technology at Jackson</t>
  </si>
  <si>
    <t>Tennessee Center of Applied Technology at Knoxville</t>
  </si>
  <si>
    <t>Tennessee Center of Applied Technology at Livingston</t>
  </si>
  <si>
    <t>Tennessee Center of Applied Technology at McKenzie</t>
  </si>
  <si>
    <t>Tennessee Center of Applied Technology at McMinnville</t>
  </si>
  <si>
    <t>Tennessee Center of Applied Technology at Memphis</t>
  </si>
  <si>
    <t>Met the criteria for Technical Institute or College 1 in 2011-12.</t>
  </si>
  <si>
    <t>Tennessee Center of Applied Technology at Morristown</t>
  </si>
  <si>
    <t>Tennessee Center of Applied Technology at Murfreesboro</t>
  </si>
  <si>
    <t>Tennessee Center of Applied Technology at Nashville</t>
  </si>
  <si>
    <t>Tennessee Center of Applied Technology at Newbern</t>
  </si>
  <si>
    <t>Tennessee Center of Applied Technology at Oneida</t>
  </si>
  <si>
    <t>Tennessee Center of Applied Technology at Paris</t>
  </si>
  <si>
    <t>Tennessee Center of Applied Technology at Pulaski</t>
  </si>
  <si>
    <t>Tennessee Center of Applied Technology at Ripley</t>
  </si>
  <si>
    <t>Tennessee Center of Applied Technology at Shelbyville</t>
  </si>
  <si>
    <t>Tennessee Center of Applied Technology at Whiteville</t>
  </si>
  <si>
    <t>Reclassified: Met the criteria for Technical Institute or College 1 in 2010-11, 2011-12, and 2012-13.</t>
  </si>
  <si>
    <t xml:space="preserve">Chipola College </t>
  </si>
  <si>
    <t xml:space="preserve">Daytona State College </t>
  </si>
  <si>
    <t xml:space="preserve">Edison State College </t>
  </si>
  <si>
    <t>Florida State College at Jacksonville</t>
  </si>
  <si>
    <t xml:space="preserve">Indian River State College </t>
  </si>
  <si>
    <t xml:space="preserve">Miami Dade College </t>
  </si>
  <si>
    <t>Northwest Florida State College</t>
  </si>
  <si>
    <t xml:space="preserve">St. Petersburg College </t>
  </si>
  <si>
    <t xml:space="preserve">Brevard Community College </t>
  </si>
  <si>
    <t xml:space="preserve">Broward College </t>
  </si>
  <si>
    <t>College of Central Florida</t>
  </si>
  <si>
    <t xml:space="preserve">Hillsborough Community College </t>
  </si>
  <si>
    <t xml:space="preserve">Palm Beach State College </t>
  </si>
  <si>
    <t xml:space="preserve">Pasco-Hernando Community College </t>
  </si>
  <si>
    <t xml:space="preserve">Pensacola State College </t>
  </si>
  <si>
    <t xml:space="preserve">Polk State College </t>
  </si>
  <si>
    <t xml:space="preserve">Santa Fe College </t>
  </si>
  <si>
    <t>Seminole State College of Florida</t>
  </si>
  <si>
    <t>State College of Florida, Manatee-Sarasota</t>
  </si>
  <si>
    <t xml:space="preserve">Tallahassee Community College </t>
  </si>
  <si>
    <t xml:space="preserve">Valencia Community College </t>
  </si>
  <si>
    <t>Florida Gateway College</t>
  </si>
  <si>
    <t xml:space="preserve">Gulf Coast Community College </t>
  </si>
  <si>
    <t xml:space="preserve">Lake-Sumter Community College </t>
  </si>
  <si>
    <t xml:space="preserve">South Florida Community College </t>
  </si>
  <si>
    <t xml:space="preserve">St. Johns River Community College </t>
  </si>
  <si>
    <t xml:space="preserve">Florida Keys Community College </t>
  </si>
  <si>
    <t xml:space="preserve">North Florida Community College </t>
  </si>
  <si>
    <t>Met the criteria for Two-Year with Bachelor's in 2011-12 and 2012-13.</t>
  </si>
  <si>
    <t>Met the criteria for Two-Year with Bachelor's in 2012-13.</t>
  </si>
  <si>
    <t>Clemson University</t>
  </si>
  <si>
    <t>University of South Carolina-Columbia</t>
  </si>
  <si>
    <t>College of Charleston</t>
  </si>
  <si>
    <t xml:space="preserve">Winthrop University </t>
  </si>
  <si>
    <t xml:space="preserve">The Citadel, the Military College of South Carolina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</si>
  <si>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</si>
  <si>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</si>
  <si>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</si>
  <si>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</si>
  <si>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</si>
  <si>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</si>
  <si>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</si>
  <si>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Greenville Technical College </t>
  </si>
  <si>
    <t xml:space="preserve">Horry-Georgetown Technical College </t>
  </si>
  <si>
    <t xml:space="preserve">Midlands Technical College </t>
  </si>
  <si>
    <t xml:space="preserve">Tri-County Technical College </t>
  </si>
  <si>
    <t xml:space="preserve">Trident Technical College </t>
  </si>
  <si>
    <t xml:space="preserve">Aiken Technical College </t>
  </si>
  <si>
    <t xml:space="preserve">Central Carolina Technical College </t>
  </si>
  <si>
    <t xml:space="preserve">Florence-Darlington Technical College </t>
  </si>
  <si>
    <t xml:space="preserve">Orangeburg-Calhoun Technical College </t>
  </si>
  <si>
    <t xml:space="preserve">Piedmont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</si>
  <si>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</si>
  <si>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</si>
  <si>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</si>
  <si>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</si>
  <si>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</si>
  <si>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</si>
  <si>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</si>
  <si>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</si>
  <si>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</si>
  <si>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</si>
  <si>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Reclassified: Met the criteria for Two-year 1 in 2010-11, 2011-12, and 2012-13.</t>
  </si>
  <si>
    <t xml:space="preserve">George Mason University </t>
  </si>
  <si>
    <t xml:space="preserve">Old Dominion University </t>
  </si>
  <si>
    <t>University of Virginia</t>
  </si>
  <si>
    <t xml:space="preserve">Virginia Tech </t>
  </si>
  <si>
    <t>College of William &amp; Mary</t>
  </si>
  <si>
    <t>Virginia Commonwealth University</t>
  </si>
  <si>
    <t xml:space="preserve">James Madison University  </t>
  </si>
  <si>
    <t xml:space="preserve">Norfolk State University </t>
  </si>
  <si>
    <t xml:space="preserve">Longwood University </t>
  </si>
  <si>
    <t>Radford University</t>
  </si>
  <si>
    <t xml:space="preserve">Virginia State University </t>
  </si>
  <si>
    <t>Christopher Newport University</t>
  </si>
  <si>
    <t xml:space="preserve">University of Mary Washington </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</si>
  <si>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</si>
  <si>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</si>
  <si>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</si>
  <si>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</si>
  <si>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</si>
  <si>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</si>
  <si>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</si>
  <si>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</si>
  <si>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</si>
  <si>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</si>
  <si>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Lord Fairfax Community College  </t>
  </si>
  <si>
    <t xml:space="preserve">New River Community College </t>
  </si>
  <si>
    <t xml:space="preserve">Patrick Henry Community College </t>
  </si>
  <si>
    <t xml:space="preserve">Piedmont Virginia Community College </t>
  </si>
  <si>
    <t xml:space="preserve">Southside Virginia Community College  </t>
  </si>
  <si>
    <t xml:space="preserve">Southwest Virginia Community College </t>
  </si>
  <si>
    <t xml:space="preserve">Virginia Western Community College </t>
  </si>
  <si>
    <t xml:space="preserve">Wytheville Community College </t>
  </si>
  <si>
    <t xml:space="preserve">D.S. Lancaster Community College </t>
  </si>
  <si>
    <t xml:space="preserve">Eastern Shore Community College  </t>
  </si>
  <si>
    <t>Mountain Empire Community College</t>
  </si>
  <si>
    <t xml:space="preserve">Paul D. Camp Community College  </t>
  </si>
  <si>
    <t xml:space="preserve">Rappahannock Community College  </t>
  </si>
  <si>
    <t xml:space="preserve">Richard Bland College </t>
  </si>
  <si>
    <t xml:space="preserve">Virginia Highlands Community College </t>
  </si>
  <si>
    <t>All Community Colleges except R.Bland</t>
  </si>
  <si>
    <t>All CC x Bland</t>
  </si>
  <si>
    <t>Met the criteria for Four-Year 4 in 2011-12 and 2012-13.</t>
  </si>
  <si>
    <t>Met the criteria for Two-Year 1 in 2011-12 and 2012-13.</t>
  </si>
  <si>
    <t>Met criteria for Two-Year 1 in 2012-13.</t>
  </si>
  <si>
    <t xml:space="preserve"> Old # Prof Tot</t>
  </si>
  <si>
    <t>Total  Old # Prof Tot</t>
  </si>
  <si>
    <t xml:space="preserve"> Old 9mEqv Outlay Prof</t>
  </si>
  <si>
    <t>Total  Old 9mEqv Outlay Prof</t>
  </si>
  <si>
    <t xml:space="preserve"> New # Prof Tot</t>
  </si>
  <si>
    <t>Total  New # Prof Tot</t>
  </si>
  <si>
    <t xml:space="preserve"> New 9mEqv Outlay Prof</t>
  </si>
  <si>
    <t>Total  New 9mEqv Outlay Prof</t>
  </si>
  <si>
    <t xml:space="preserve"> Old # Asc Tot</t>
  </si>
  <si>
    <t>Total  Old # Asc Tot</t>
  </si>
  <si>
    <t xml:space="preserve"> Old 9mEqv Outlay Asc</t>
  </si>
  <si>
    <t>Total  Old 9mEqv Outlay Asc</t>
  </si>
  <si>
    <t xml:space="preserve"> New # Asc Tot</t>
  </si>
  <si>
    <t>Total  New # Asc Tot</t>
  </si>
  <si>
    <t xml:space="preserve"> New 9mEqv Outlay Asc</t>
  </si>
  <si>
    <t>Total  New 9mEqv Outlay Asc</t>
  </si>
  <si>
    <t xml:space="preserve"> Old # Ast Tot</t>
  </si>
  <si>
    <t>Total  Old # Ast Tot</t>
  </si>
  <si>
    <t xml:space="preserve"> Old 9mEqv Outlay Ast</t>
  </si>
  <si>
    <t>Total  Old 9mEqv Outlay Ast</t>
  </si>
  <si>
    <t xml:space="preserve"> New # Ast Tot</t>
  </si>
  <si>
    <t>Total  New # Ast Tot</t>
  </si>
  <si>
    <t xml:space="preserve"> New 9mEqv Outlay Ast</t>
  </si>
  <si>
    <t>Total  New 9mEqv Outlay Ast</t>
  </si>
  <si>
    <t xml:space="preserve"> Old # Inst Tot</t>
  </si>
  <si>
    <t>Total  Old # Inst Tot</t>
  </si>
  <si>
    <t xml:space="preserve"> Old 9mEqv Outlay Inst</t>
  </si>
  <si>
    <t>Total  Old 9mEqv Outlay Inst</t>
  </si>
  <si>
    <t xml:space="preserve"> New # Inst Tot</t>
  </si>
  <si>
    <t>Total  New # Inst Tot</t>
  </si>
  <si>
    <t xml:space="preserve"> New 9mEqv Outlay Inst</t>
  </si>
  <si>
    <t>Total  New 9mEqv Outlay Inst</t>
  </si>
  <si>
    <t xml:space="preserve"> Old # Oth Tot</t>
  </si>
  <si>
    <t>Total  Old # Oth Tot</t>
  </si>
  <si>
    <t xml:space="preserve"> Old 9mEqv Outlay Oth</t>
  </si>
  <si>
    <t>Total  Old 9mEqv Outlay Oth</t>
  </si>
  <si>
    <t xml:space="preserve"> New # Oth Tot</t>
  </si>
  <si>
    <t>Total  New # Oth Tot</t>
  </si>
  <si>
    <t xml:space="preserve"> New 9mEqv Outlay Oth</t>
  </si>
  <si>
    <t>Total  New 9mEqv Outlay Oth</t>
  </si>
  <si>
    <t xml:space="preserve"> Old # SR Tot</t>
  </si>
  <si>
    <t>Total  Old # SR Tot</t>
  </si>
  <si>
    <t xml:space="preserve"> Old 9mEqv Outlay SR</t>
  </si>
  <si>
    <t>Total  Old 9mEqv Outlay SR</t>
  </si>
  <si>
    <t xml:space="preserve"> New # SR Tot</t>
  </si>
  <si>
    <t>Total  New # SR Tot</t>
  </si>
  <si>
    <t xml:space="preserve"> New 9mEqv Outlay SR</t>
  </si>
  <si>
    <t>Total  New 9mEqv Outlay SR</t>
  </si>
  <si>
    <t xml:space="preserve"> Old # AR Tot</t>
  </si>
  <si>
    <t>Total  Old # AR Tot</t>
  </si>
  <si>
    <t xml:space="preserve"> Old 9mEqv Outlay AR</t>
  </si>
  <si>
    <t>Total  Old 9mEqv Outlay AR</t>
  </si>
  <si>
    <t xml:space="preserve"> New # AR Tot</t>
  </si>
  <si>
    <t>Total  New # AR Tot</t>
  </si>
  <si>
    <t xml:space="preserve"> New 9mEqv Outlay AR</t>
  </si>
  <si>
    <t>Total  New 9mEqv Outlay AR</t>
  </si>
  <si>
    <t>Percent Change in Average Salaries</t>
  </si>
  <si>
    <t>February 2014</t>
  </si>
  <si>
    <t>N/A</t>
  </si>
  <si>
    <t xml:space="preserve">Note: The formula for calculating 9-month-equivalent salaries changed in 2012-13 because IPEDS changed the categories of contract length in the HR survey.  Salaries reported as 10-month appointments have been converted to 9-month equivalence by reducing the reported amounts by 1/10, 11-month appointments have been reduced by 2/11, and 12-month appointments have been reduced by 3/12. </t>
  </si>
  <si>
    <t>Note: The formula for calculating weighted average salaries changed in 2012-13 because IPEDS changed the categories of contract length in the HR survey.  Nine-month equivalent salaries are now calculated by dividing the total salary outlay by the total number of service months and multiplying by 9.</t>
  </si>
  <si>
    <t>May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</si>
</sst>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_);\(&quot;$&quot;#,##0\)"/>
    <numFmt numFmtId="43" formatCode="_(* #,##0.00_);_(* \(#,##0.00\);_(* &quot;-&quot;??_);_(@_)"/>
    <numFmt numFmtId="164" formatCode="0_)"/>
    <numFmt numFmtId="165" formatCode="_(* #,##0_);_(* \(#,##0\);_(* &quot;-&quot;??_);_(@_)"/>
    <numFmt numFmtId="166" formatCode="#,##0.000_);\(#,##0.000\)"/>
    <numFmt numFmtId="167" formatCode="0.0%"/>
    <numFmt numFmtId="168" formatCode=";;;"/>
    <numFmt numFmtId="169" formatCode="&quot;$&quot;#,##0"/>
    <numFmt numFmtId="170" formatCode="General_)"/>
  </numFmts>
  <fonts count="70" x14ac:knownFonts="1">
    <font>
      <sz val="12"/>
      <name val="AGaramond"/>
    </font>
    <font>
      <sz val="11"/>
      <color theme="1"/>
      <name val="Calibri"/>
      <family val="2"/>
      <scheme val="minor"/>
    </font>
    <font>
      <sz val="12"/>
      <name val="AGaramond"/>
      <family val="1"/>
    </font>
    <font>
      <sz val="12"/>
      <name val="AGaramond"/>
      <family val="1"/>
    </font>
    <font>
      <b/>
      <sz val="10"/>
      <name val="Arial"/>
      <family val="2"/>
    </font>
    <font>
      <sz val="10"/>
      <name val="Arial"/>
      <family val="2"/>
    </font>
    <font>
      <sz val="8"/>
      <name val="AGaramond"/>
      <family val="1"/>
    </font>
    <font>
      <b/>
      <sz val="10"/>
      <color indexed="12"/>
      <name val="Arial"/>
      <family val="2"/>
    </font>
    <font>
      <sz val="12"/>
      <name val="AGaramond"/>
      <family val="3"/>
    </font>
    <font>
      <b/>
      <sz val="10"/>
      <color rgb="FF0000FF"/>
      <name val="Arial"/>
      <family val="2"/>
    </font>
    <font>
      <sz val="11"/>
      <color theme="1"/>
      <name val="Calibri"/>
      <family val="2"/>
      <scheme val="minor"/>
    </font>
    <font>
      <i/>
      <sz val="10"/>
      <color rgb="FF0000FF"/>
      <name val="Arial"/>
      <family val="2"/>
    </font>
    <font>
      <sz val="12"/>
      <name val="AGaramond"/>
      <family val="1"/>
    </font>
    <font>
      <b/>
      <sz val="12"/>
      <color theme="0"/>
      <name val="Arial"/>
      <family val="2"/>
    </font>
    <font>
      <b/>
      <sz val="12"/>
      <name val="Arial"/>
      <family val="2"/>
    </font>
    <font>
      <sz val="10"/>
      <color rgb="FF0000FF"/>
      <name val="Arial"/>
      <family val="2"/>
    </font>
    <font>
      <b/>
      <i/>
      <sz val="10"/>
      <color rgb="FFC00000"/>
      <name val="Arial"/>
      <family val="2"/>
    </font>
    <font>
      <b/>
      <sz val="8"/>
      <color rgb="FF0000FF"/>
      <name val="Arial"/>
      <family val="2"/>
    </font>
    <font>
      <sz val="10"/>
      <color rgb="FFC00000"/>
      <name val="Arial"/>
      <family val="2"/>
    </font>
    <font>
      <b/>
      <sz val="10"/>
      <color rgb="FFC00000"/>
      <name val="Arial"/>
      <family val="2"/>
    </font>
    <font>
      <sz val="8"/>
      <name val="Arial"/>
      <family val="2"/>
    </font>
    <font>
      <b/>
      <sz val="14"/>
      <name val="Arial"/>
      <family val="2"/>
    </font>
    <font>
      <b/>
      <sz val="9"/>
      <name val="Arial"/>
      <family val="2"/>
    </font>
    <font>
      <sz val="12"/>
      <name val="Arial"/>
      <family val="2"/>
    </font>
    <font>
      <sz val="10"/>
      <color indexed="12"/>
      <name val="Arial"/>
      <family val="2"/>
    </font>
    <font>
      <sz val="14"/>
      <name val="Arial"/>
      <family val="2"/>
    </font>
    <font>
      <i/>
      <sz val="14"/>
      <name val="Arial"/>
      <family val="2"/>
    </font>
    <font>
      <b/>
      <i/>
      <sz val="14"/>
      <color indexed="8"/>
      <name val="Arial"/>
      <family val="2"/>
    </font>
    <font>
      <b/>
      <i/>
      <sz val="12"/>
      <name val="Arial"/>
      <family val="2"/>
    </font>
    <font>
      <b/>
      <sz val="9"/>
      <color indexed="8"/>
      <name val="Arial"/>
      <family val="2"/>
    </font>
    <font>
      <sz val="9"/>
      <name val="Arial"/>
      <family val="2"/>
    </font>
    <font>
      <sz val="10"/>
      <color indexed="8"/>
      <name val="Arial"/>
      <family val="2"/>
    </font>
    <font>
      <b/>
      <sz val="10"/>
      <color indexed="43"/>
      <name val="Arial"/>
      <family val="2"/>
    </font>
    <font>
      <i/>
      <sz val="12"/>
      <name val="Arial"/>
      <family val="2"/>
    </font>
    <font>
      <sz val="10"/>
      <color theme="1"/>
      <name val="Arial"/>
      <family val="2"/>
    </font>
    <font>
      <sz val="10"/>
      <name val="Helv"/>
    </font>
    <font>
      <sz val="11"/>
      <color indexed="8"/>
      <name val="Calibri"/>
      <family val="2"/>
    </font>
    <font>
      <sz val="10"/>
      <name val="Courier"/>
      <family val="3"/>
    </font>
    <font>
      <sz val="10"/>
      <color rgb="FF00000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color indexed="81"/>
      <name val="Tahoma"/>
      <family val="2"/>
    </font>
    <font>
      <sz val="8"/>
      <color indexed="81"/>
      <name val="Tahoma"/>
      <family val="2"/>
    </font>
    <font>
      <b/>
      <sz val="10"/>
      <color indexed="81"/>
      <name val="Tahoma"/>
      <family val="2"/>
    </font>
    <font>
      <sz val="10"/>
      <color indexed="81"/>
      <name val="Tahoma"/>
      <family val="2"/>
    </font>
    <font>
      <sz val="9"/>
      <color indexed="81"/>
      <name val="Tahoma"/>
      <family val="2"/>
    </font>
    <font>
      <b/>
      <sz val="9"/>
      <color indexed="81"/>
      <name val="Tahoma"/>
      <family val="2"/>
    </font>
    <font>
      <b/>
      <sz val="10"/>
      <color rgb="FFFF0000"/>
      <name val="Arial"/>
      <family val="2"/>
    </font>
    <font>
      <b/>
      <sz val="8"/>
      <name val="Arial"/>
      <family val="2"/>
    </font>
    <font>
      <b/>
      <sz val="8"/>
      <color rgb="FFC00000"/>
      <name val="Arial"/>
      <family val="2"/>
    </font>
    <font>
      <sz val="11"/>
      <color theme="1"/>
      <name val="Arial"/>
      <family val="2"/>
    </font>
    <font>
      <b/>
      <sz val="8"/>
      <color rgb="FFFF0000"/>
      <name val="Arial"/>
      <family val="2"/>
    </font>
    <font>
      <sz val="10"/>
      <name val="Arial"/>
      <family val="2"/>
    </font>
    <font>
      <sz val="11"/>
      <name val="Calibri"/>
      <family val="2"/>
    </font>
    <font>
      <sz val="8"/>
      <color rgb="FF1F497D"/>
      <name val="Arial"/>
      <family val="2"/>
    </font>
    <font>
      <sz val="10"/>
      <name val="Arial"/>
      <family val="2"/>
    </font>
  </fonts>
  <fills count="52">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rgb="FFB1A0C7"/>
        <bgColor indexed="64"/>
      </patternFill>
    </fill>
    <fill>
      <patternFill patternType="solid">
        <fgColor indexed="13"/>
        <bgColor indexed="64"/>
      </patternFill>
    </fill>
    <fill>
      <patternFill patternType="solid">
        <fgColor indexed="16"/>
        <bgColor indexed="64"/>
      </patternFill>
    </fill>
    <fill>
      <patternFill patternType="solid">
        <fgColor rgb="FFC00000"/>
        <bgColor indexed="64"/>
      </patternFill>
    </fill>
    <fill>
      <patternFill patternType="solid">
        <fgColor indexed="46"/>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7"/>
        <bgColor indexed="64"/>
      </patternFill>
    </fill>
    <fill>
      <patternFill patternType="solid">
        <fgColor indexed="42"/>
        <bgColor indexed="64"/>
      </patternFill>
    </fill>
    <fill>
      <patternFill patternType="solid">
        <fgColor indexed="42"/>
        <bgColor indexed="42"/>
      </patternFill>
    </fill>
    <fill>
      <patternFill patternType="solid">
        <fgColor indexed="45"/>
        <bgColor indexed="64"/>
      </patternFill>
    </fill>
    <fill>
      <patternFill patternType="solid">
        <fgColor rgb="FFFF99CC"/>
        <bgColor indexed="64"/>
      </patternFill>
    </fill>
    <fill>
      <patternFill patternType="solid">
        <fgColor indexed="47"/>
        <bgColor indexed="42"/>
      </patternFill>
    </fill>
    <fill>
      <patternFill patternType="solid">
        <fgColor indexed="44"/>
        <bgColor indexed="64"/>
      </patternFill>
    </fill>
    <fill>
      <patternFill patternType="solid">
        <fgColor indexed="44"/>
        <bgColor indexed="42"/>
      </patternFill>
    </fill>
    <fill>
      <patternFill patternType="solid">
        <fgColor indexed="45"/>
        <bgColor indexed="42"/>
      </patternFill>
    </fill>
    <fill>
      <patternFill patternType="solid">
        <fgColor indexed="43"/>
        <bgColor indexed="64"/>
      </patternFill>
    </fill>
    <fill>
      <patternFill patternType="solid">
        <fgColor rgb="FFFFFF00"/>
        <bgColor indexed="64"/>
      </patternFill>
    </fill>
    <fill>
      <patternFill patternType="solid">
        <fgColor indexed="43"/>
        <bgColor indexed="42"/>
      </patternFill>
    </fill>
    <fill>
      <patternFill patternType="solid">
        <fgColor indexed="51"/>
        <bgColor indexed="64"/>
      </patternFill>
    </fill>
    <fill>
      <patternFill patternType="solid">
        <fgColor rgb="FFFFCC00"/>
        <bgColor indexed="64"/>
      </patternFill>
    </fill>
    <fill>
      <patternFill patternType="solid">
        <fgColor indexed="51"/>
        <bgColor indexed="42"/>
      </patternFill>
    </fill>
    <fill>
      <patternFill patternType="solid">
        <fgColor indexed="15"/>
        <bgColor indexed="64"/>
      </patternFill>
    </fill>
    <fill>
      <patternFill patternType="solid">
        <fgColor indexed="15"/>
        <bgColor indexed="42"/>
      </patternFill>
    </fill>
    <fill>
      <patternFill patternType="solid">
        <fgColor theme="5" tint="0.59999389629810485"/>
        <bgColor indexed="64"/>
      </patternFill>
    </fill>
  </fills>
  <borders count="64">
    <border>
      <left/>
      <right/>
      <top/>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double">
        <color indexed="64"/>
      </bottom>
      <diagonal/>
    </border>
    <border>
      <left style="medium">
        <color indexed="64"/>
      </left>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bottom/>
      <diagonal/>
    </border>
    <border>
      <left/>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diagonal/>
    </border>
    <border>
      <left/>
      <right style="medium">
        <color indexed="64"/>
      </right>
      <top style="thin">
        <color indexed="64"/>
      </top>
      <bottom/>
      <diagonal/>
    </border>
    <border>
      <left/>
      <right/>
      <top style="thin">
        <color indexed="8"/>
      </top>
      <bottom/>
      <diagonal/>
    </border>
    <border>
      <left/>
      <right/>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thin">
        <color indexed="8"/>
      </left>
      <right/>
      <top/>
      <bottom/>
      <diagonal/>
    </border>
    <border>
      <left style="thin">
        <color indexed="8"/>
      </left>
      <right/>
      <top/>
      <bottom style="thin">
        <color indexed="64"/>
      </bottom>
      <diagonal/>
    </border>
    <border>
      <left style="thin">
        <color indexed="64"/>
      </left>
      <right/>
      <top style="thin">
        <color indexed="8"/>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diagonal/>
    </border>
    <border>
      <left style="thin">
        <color indexed="8"/>
      </left>
      <right/>
      <top style="thin">
        <color indexed="65"/>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top style="thin">
        <color indexed="8"/>
      </top>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0773">
    <xf numFmtId="164" fontId="0" fillId="0" borderId="0"/>
    <xf numFmtId="43" fontId="3" fillId="0" borderId="0" applyFont="0" applyFill="0" applyBorder="0" applyAlignment="0" applyProtection="0"/>
    <xf numFmtId="166" fontId="2" fillId="0" borderId="0"/>
    <xf numFmtId="43" fontId="2" fillId="0" borderId="0" applyFont="0" applyFill="0" applyBorder="0" applyAlignment="0" applyProtection="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2" fillId="0" borderId="0"/>
    <xf numFmtId="0" fontId="10" fillId="0" borderId="0"/>
    <xf numFmtId="43" fontId="5" fillId="0" borderId="0" applyFont="0" applyFill="0" applyBorder="0" applyAlignment="0" applyProtection="0"/>
    <xf numFmtId="9" fontId="12" fillId="0" borderId="0" applyFont="0" applyFill="0" applyBorder="0" applyAlignment="0" applyProtection="0"/>
    <xf numFmtId="164" fontId="2" fillId="0" borderId="0"/>
    <xf numFmtId="164" fontId="2" fillId="0" borderId="0"/>
    <xf numFmtId="166" fontId="2" fillId="0" borderId="0"/>
    <xf numFmtId="164" fontId="2" fillId="0" borderId="0"/>
    <xf numFmtId="164" fontId="8" fillId="0" borderId="0"/>
    <xf numFmtId="164" fontId="8" fillId="0" borderId="0"/>
    <xf numFmtId="164" fontId="2" fillId="0" borderId="0"/>
    <xf numFmtId="3" fontId="5" fillId="0" borderId="46" applyFont="0"/>
    <xf numFmtId="164" fontId="4" fillId="0" borderId="47" applyNumberFormat="0" applyFont="0" applyBorder="0" applyAlignment="0"/>
    <xf numFmtId="164" fontId="8" fillId="0" borderId="0"/>
    <xf numFmtId="9" fontId="8" fillId="0" borderId="0" applyFont="0" applyFill="0" applyBorder="0" applyAlignment="0" applyProtection="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5" fillId="0" borderId="0"/>
    <xf numFmtId="0" fontId="1" fillId="0" borderId="0"/>
    <xf numFmtId="3" fontId="20" fillId="0" borderId="0"/>
    <xf numFmtId="43" fontId="2" fillId="0" borderId="0" applyFont="0" applyFill="0" applyBorder="0" applyAlignment="0" applyProtection="0"/>
    <xf numFmtId="170" fontId="35" fillId="0" borderId="0"/>
    <xf numFmtId="170" fontId="35" fillId="0" borderId="0"/>
    <xf numFmtId="0" fontId="5" fillId="0" borderId="0"/>
    <xf numFmtId="3" fontId="5" fillId="0" borderId="46" applyFo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0" fontId="5" fillId="0" borderId="0"/>
    <xf numFmtId="0" fontId="5" fillId="0" borderId="0"/>
    <xf numFmtId="164" fontId="8" fillId="0" borderId="0"/>
    <xf numFmtId="0" fontId="34" fillId="0" borderId="0"/>
    <xf numFmtId="9" fontId="34" fillId="0" borderId="0" applyFont="0" applyFill="0" applyBorder="0" applyAlignment="0" applyProtection="0"/>
    <xf numFmtId="0" fontId="1" fillId="0" borderId="0"/>
    <xf numFmtId="0" fontId="1"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6" fillId="0" borderId="0"/>
    <xf numFmtId="0" fontId="36" fillId="0" borderId="0"/>
    <xf numFmtId="0" fontId="36" fillId="0" borderId="0"/>
    <xf numFmtId="0" fontId="36" fillId="0" borderId="0"/>
    <xf numFmtId="0" fontId="31" fillId="0" borderId="0"/>
    <xf numFmtId="0" fontId="31" fillId="0" borderId="0">
      <alignment vertical="top"/>
    </xf>
    <xf numFmtId="0" fontId="5" fillId="0" borderId="0"/>
    <xf numFmtId="0" fontId="5"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37" fillId="0" borderId="0">
      <alignment horizontal="left" wrapText="1"/>
    </xf>
    <xf numFmtId="0" fontId="34" fillId="0" borderId="0"/>
    <xf numFmtId="0" fontId="23" fillId="0" borderId="0"/>
    <xf numFmtId="0" fontId="5" fillId="0" borderId="0"/>
    <xf numFmtId="0" fontId="5" fillId="0" borderId="0"/>
    <xf numFmtId="0" fontId="1" fillId="0" borderId="0"/>
    <xf numFmtId="0" fontId="34" fillId="0" borderId="0"/>
    <xf numFmtId="0" fontId="5" fillId="0" borderId="0"/>
    <xf numFmtId="0" fontId="5" fillId="0" borderId="0"/>
    <xf numFmtId="0" fontId="5" fillId="0" borderId="0"/>
    <xf numFmtId="0" fontId="5" fillId="0" borderId="0"/>
    <xf numFmtId="0" fontId="1" fillId="0" borderId="0"/>
    <xf numFmtId="9" fontId="34" fillId="0" borderId="0" applyFont="0" applyFill="0" applyBorder="0" applyAlignment="0" applyProtection="0"/>
    <xf numFmtId="164" fontId="2"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4" fontId="8" fillId="0" borderId="0"/>
    <xf numFmtId="43" fontId="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3" fontId="20" fillId="0" borderId="0"/>
    <xf numFmtId="170" fontId="35" fillId="0" borderId="0"/>
    <xf numFmtId="170" fontId="35" fillId="0" borderId="0"/>
    <xf numFmtId="0" fontId="5" fillId="0" borderId="0"/>
    <xf numFmtId="0" fontId="5" fillId="0" borderId="0"/>
    <xf numFmtId="0" fontId="1" fillId="0" borderId="0"/>
    <xf numFmtId="0" fontId="5" fillId="0" borderId="0"/>
    <xf numFmtId="0" fontId="1" fillId="0" borderId="0"/>
    <xf numFmtId="0" fontId="5" fillId="0" borderId="0"/>
    <xf numFmtId="0" fontId="1" fillId="0" borderId="0"/>
    <xf numFmtId="0" fontId="1" fillId="0" borderId="0"/>
    <xf numFmtId="9" fontId="8"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4" fontId="2" fillId="0" borderId="0"/>
    <xf numFmtId="9" fontId="34" fillId="0" borderId="0" applyFont="0" applyFill="0" applyBorder="0" applyAlignment="0" applyProtection="0"/>
    <xf numFmtId="164" fontId="2" fillId="0" borderId="0"/>
    <xf numFmtId="0" fontId="5"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4" fontId="2" fillId="0" borderId="0"/>
    <xf numFmtId="164" fontId="2" fillId="0" borderId="0"/>
    <xf numFmtId="164" fontId="2"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4" fontId="2"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70" fontId="35"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4" fontId="2"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64" fontId="2"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70" fontId="35"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38" fillId="0" borderId="0"/>
    <xf numFmtId="0" fontId="1" fillId="0" borderId="0"/>
    <xf numFmtId="0" fontId="38"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4" fontId="2" fillId="0" borderId="0"/>
    <xf numFmtId="164" fontId="2" fillId="0" borderId="0"/>
    <xf numFmtId="164"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4" fontId="2" fillId="0" borderId="0"/>
    <xf numFmtId="164" fontId="2" fillId="0" borderId="0"/>
    <xf numFmtId="164" fontId="2"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4" fontId="2" fillId="0" borderId="0"/>
    <xf numFmtId="164" fontId="2"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64" fontId="2"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164" fontId="2" fillId="0" borderId="0"/>
    <xf numFmtId="164" fontId="2"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 fillId="0" borderId="0"/>
    <xf numFmtId="164" fontId="2" fillId="0" borderId="0"/>
    <xf numFmtId="164" fontId="2" fillId="0" borderId="0"/>
    <xf numFmtId="0" fontId="1" fillId="0" borderId="0"/>
    <xf numFmtId="0" fontId="1" fillId="0" borderId="0"/>
    <xf numFmtId="0" fontId="1" fillId="0" borderId="0"/>
    <xf numFmtId="0" fontId="1" fillId="0" borderId="0"/>
    <xf numFmtId="0" fontId="1"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45" applyNumberFormat="0" applyFont="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15" borderId="0" applyNumberFormat="0" applyBorder="0" applyAlignment="0" applyProtection="0"/>
    <xf numFmtId="0" fontId="36" fillId="18" borderId="0" applyNumberFormat="0" applyBorder="0" applyAlignment="0" applyProtection="0"/>
    <xf numFmtId="0" fontId="36" fillId="21" borderId="0" applyNumberFormat="0" applyBorder="0" applyAlignment="0" applyProtection="0"/>
    <xf numFmtId="0" fontId="39" fillId="22"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7" borderId="0" applyNumberFormat="0" applyBorder="0" applyAlignment="0" applyProtection="0"/>
    <xf numFmtId="0" fontId="39" fillId="28"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9" borderId="0" applyNumberFormat="0" applyBorder="0" applyAlignment="0" applyProtection="0"/>
    <xf numFmtId="0" fontId="40" fillId="13" borderId="0" applyNumberFormat="0" applyBorder="0" applyAlignment="0" applyProtection="0"/>
    <xf numFmtId="0" fontId="41" fillId="30" borderId="48" applyNumberFormat="0" applyAlignment="0" applyProtection="0"/>
    <xf numFmtId="0" fontId="42" fillId="31" borderId="49" applyNumberFormat="0" applyAlignment="0" applyProtection="0"/>
    <xf numFmtId="43" fontId="36" fillId="0" borderId="0" applyFont="0" applyFill="0" applyBorder="0" applyAlignment="0" applyProtection="0"/>
    <xf numFmtId="0" fontId="43" fillId="0" borderId="0" applyNumberFormat="0" applyFill="0" applyBorder="0" applyAlignment="0" applyProtection="0"/>
    <xf numFmtId="0" fontId="44" fillId="14" borderId="0" applyNumberFormat="0" applyBorder="0" applyAlignment="0" applyProtection="0"/>
    <xf numFmtId="0" fontId="45" fillId="0" borderId="50" applyNumberFormat="0" applyFill="0" applyAlignment="0" applyProtection="0"/>
    <xf numFmtId="0" fontId="46" fillId="0" borderId="51" applyNumberFormat="0" applyFill="0" applyAlignment="0" applyProtection="0"/>
    <xf numFmtId="0" fontId="47" fillId="0" borderId="52" applyNumberFormat="0" applyFill="0" applyAlignment="0" applyProtection="0"/>
    <xf numFmtId="0" fontId="47" fillId="0" borderId="0" applyNumberFormat="0" applyFill="0" applyBorder="0" applyAlignment="0" applyProtection="0"/>
    <xf numFmtId="0" fontId="48" fillId="17" borderId="48" applyNumberFormat="0" applyAlignment="0" applyProtection="0"/>
    <xf numFmtId="0" fontId="49" fillId="0" borderId="53" applyNumberFormat="0" applyFill="0" applyAlignment="0" applyProtection="0"/>
    <xf numFmtId="0" fontId="50" fillId="32" borderId="0" applyNumberFormat="0" applyBorder="0" applyAlignment="0" applyProtection="0"/>
    <xf numFmtId="0" fontId="36" fillId="0" borderId="0"/>
    <xf numFmtId="0" fontId="5" fillId="33" borderId="54" applyNumberFormat="0" applyFont="0" applyAlignment="0" applyProtection="0"/>
    <xf numFmtId="0" fontId="36" fillId="33" borderId="54" applyNumberFormat="0" applyFont="0" applyAlignment="0" applyProtection="0"/>
    <xf numFmtId="0" fontId="51" fillId="30" borderId="55" applyNumberFormat="0" applyAlignment="0" applyProtection="0"/>
    <xf numFmtId="9" fontId="5" fillId="0" borderId="0" applyFont="0" applyFill="0" applyBorder="0" applyAlignment="0" applyProtection="0"/>
    <xf numFmtId="9" fontId="36" fillId="0" borderId="0" applyFont="0" applyFill="0" applyBorder="0" applyAlignment="0" applyProtection="0"/>
    <xf numFmtId="0" fontId="52" fillId="0" borderId="0" applyNumberFormat="0" applyFill="0" applyBorder="0" applyAlignment="0" applyProtection="0"/>
    <xf numFmtId="0" fontId="53" fillId="0" borderId="56" applyNumberFormat="0" applyFill="0" applyAlignment="0" applyProtection="0"/>
    <xf numFmtId="0" fontId="54" fillId="0" borderId="0" applyNumberFormat="0" applyFill="0" applyBorder="0" applyAlignment="0" applyProtection="0"/>
    <xf numFmtId="0" fontId="36" fillId="33" borderId="54" applyNumberFormat="0" applyFont="0" applyAlignment="0" applyProtection="0"/>
    <xf numFmtId="0" fontId="5" fillId="33" borderId="54" applyNumberFormat="0" applyFont="0" applyAlignment="0" applyProtection="0"/>
    <xf numFmtId="0" fontId="48" fillId="17" borderId="48" applyNumberFormat="0" applyAlignment="0" applyProtection="0"/>
    <xf numFmtId="0" fontId="41" fillId="30" borderId="48" applyNumberFormat="0" applyAlignment="0" applyProtection="0"/>
    <xf numFmtId="0" fontId="51" fillId="30" borderId="55" applyNumberFormat="0" applyAlignment="0" applyProtection="0"/>
    <xf numFmtId="0" fontId="53" fillId="0" borderId="56"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2"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 fillId="0" borderId="0"/>
    <xf numFmtId="164" fontId="2" fillId="0" borderId="0"/>
    <xf numFmtId="164" fontId="2" fillId="0" borderId="0"/>
    <xf numFmtId="0" fontId="1" fillId="0" borderId="0"/>
    <xf numFmtId="0" fontId="1" fillId="0" borderId="0"/>
    <xf numFmtId="0" fontId="1" fillId="0" borderId="0"/>
    <xf numFmtId="0" fontId="1" fillId="0" borderId="0"/>
    <xf numFmtId="0" fontId="1" fillId="0" borderId="0"/>
    <xf numFmtId="164" fontId="2" fillId="0" borderId="0"/>
    <xf numFmtId="164" fontId="2" fillId="0" borderId="0"/>
    <xf numFmtId="164" fontId="2" fillId="0" borderId="0"/>
    <xf numFmtId="164" fontId="2" fillId="0" borderId="0"/>
    <xf numFmtId="164" fontId="2" fillId="0" borderId="0"/>
    <xf numFmtId="164"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45"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0" fillId="0" borderId="0"/>
    <xf numFmtId="0" fontId="1" fillId="0" borderId="0"/>
    <xf numFmtId="0" fontId="1" fillId="0" borderId="0"/>
    <xf numFmtId="0" fontId="1" fillId="0" borderId="0"/>
    <xf numFmtId="0" fontId="1" fillId="0" borderId="0"/>
    <xf numFmtId="0" fontId="1" fillId="0" borderId="0"/>
    <xf numFmtId="0" fontId="1" fillId="0" borderId="0"/>
    <xf numFmtId="3" fontId="20"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45" applyNumberFormat="0" applyFont="0" applyAlignment="0" applyProtection="0"/>
    <xf numFmtId="3" fontId="20"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 fillId="0" borderId="0"/>
    <xf numFmtId="170" fontId="35"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 fillId="0" borderId="0"/>
    <xf numFmtId="164" fontId="2"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45" applyNumberFormat="0" applyFont="0" applyAlignment="0" applyProtection="0"/>
    <xf numFmtId="164"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45"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 fillId="0" borderId="0"/>
    <xf numFmtId="164" fontId="2" fillId="0" borderId="0"/>
    <xf numFmtId="170" fontId="35" fillId="0" borderId="0"/>
    <xf numFmtId="170" fontId="35" fillId="0" borderId="0"/>
    <xf numFmtId="170" fontId="35" fillId="0" borderId="0"/>
    <xf numFmtId="164" fontId="2" fillId="0" borderId="0"/>
    <xf numFmtId="164" fontId="2" fillId="0" borderId="0"/>
    <xf numFmtId="164" fontId="2" fillId="0" borderId="0"/>
    <xf numFmtId="164"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0" fillId="0" borderId="0"/>
    <xf numFmtId="3" fontId="20" fillId="0" borderId="0"/>
    <xf numFmtId="3" fontId="20" fillId="0" borderId="0"/>
    <xf numFmtId="164" fontId="8" fillId="0" borderId="0"/>
    <xf numFmtId="164" fontId="8" fillId="0" borderId="0"/>
    <xf numFmtId="3" fontId="20" fillId="0" borderId="0"/>
    <xf numFmtId="164" fontId="8" fillId="0" borderId="0"/>
    <xf numFmtId="164" fontId="8" fillId="0" borderId="0"/>
  </cellStyleXfs>
  <cellXfs count="725">
    <xf numFmtId="164" fontId="0" fillId="0" borderId="0" xfId="0"/>
    <xf numFmtId="165" fontId="5" fillId="0" borderId="0" xfId="1" applyNumberFormat="1" applyFont="1" applyFill="1" applyBorder="1"/>
    <xf numFmtId="165" fontId="7" fillId="0" borderId="0" xfId="1" applyNumberFormat="1" applyFont="1" applyFill="1" applyBorder="1" applyAlignment="1">
      <alignment horizontal="center"/>
    </xf>
    <xf numFmtId="49" fontId="5" fillId="0" borderId="0" xfId="1" applyNumberFormat="1" applyFont="1" applyFill="1" applyBorder="1" applyAlignment="1">
      <alignment horizontal="center"/>
    </xf>
    <xf numFmtId="49" fontId="5" fillId="0" borderId="0" xfId="1" applyNumberFormat="1" applyFont="1" applyFill="1" applyBorder="1" applyAlignment="1">
      <alignment horizontal="left"/>
    </xf>
    <xf numFmtId="165" fontId="4" fillId="0" borderId="0" xfId="3" applyNumberFormat="1" applyFont="1" applyFill="1" applyBorder="1" applyProtection="1">
      <protection locked="0"/>
    </xf>
    <xf numFmtId="165" fontId="5" fillId="0" borderId="0" xfId="1" applyNumberFormat="1" applyFont="1" applyFill="1" applyBorder="1" applyAlignment="1"/>
    <xf numFmtId="0" fontId="13" fillId="2" borderId="7" xfId="4" applyNumberFormat="1" applyFont="1" applyFill="1" applyBorder="1" applyAlignment="1" applyProtection="1">
      <alignment horizontal="left"/>
      <protection locked="0"/>
    </xf>
    <xf numFmtId="165" fontId="14" fillId="0" borderId="1" xfId="3" applyNumberFormat="1" applyFont="1" applyFill="1" applyBorder="1" applyAlignment="1" applyProtection="1">
      <alignment horizontal="left"/>
      <protection locked="0"/>
    </xf>
    <xf numFmtId="165" fontId="14" fillId="0" borderId="8" xfId="3" applyNumberFormat="1" applyFont="1" applyFill="1" applyBorder="1" applyAlignment="1" applyProtection="1">
      <alignment horizontal="left"/>
      <protection locked="0"/>
    </xf>
    <xf numFmtId="165" fontId="4" fillId="0" borderId="1" xfId="3" applyNumberFormat="1" applyFont="1" applyFill="1" applyBorder="1" applyProtection="1">
      <protection locked="0"/>
    </xf>
    <xf numFmtId="165" fontId="11" fillId="3" borderId="1" xfId="3" applyNumberFormat="1" applyFont="1" applyFill="1" applyBorder="1" applyAlignment="1" applyProtection="1">
      <alignment horizontal="centerContinuous" vertical="center"/>
      <protection locked="0"/>
    </xf>
    <xf numFmtId="165" fontId="4" fillId="0" borderId="1" xfId="3" applyNumberFormat="1" applyFont="1" applyFill="1" applyBorder="1" applyAlignment="1" applyProtection="1">
      <alignment horizontal="right"/>
      <protection locked="0"/>
    </xf>
    <xf numFmtId="165" fontId="17" fillId="3" borderId="1" xfId="3" applyNumberFormat="1" applyFont="1" applyFill="1" applyBorder="1" applyAlignment="1" applyProtection="1">
      <alignment horizontal="centerContinuous" vertical="center"/>
      <protection locked="0"/>
    </xf>
    <xf numFmtId="165" fontId="4" fillId="0" borderId="12" xfId="3" applyNumberFormat="1" applyFont="1" applyFill="1" applyBorder="1" applyAlignment="1" applyProtection="1">
      <alignment horizontal="centerContinuous" wrapText="1"/>
      <protection locked="0"/>
    </xf>
    <xf numFmtId="165" fontId="4" fillId="0" borderId="11" xfId="3" applyNumberFormat="1" applyFont="1" applyFill="1" applyBorder="1" applyAlignment="1" applyProtection="1">
      <alignment horizontal="center" wrapText="1"/>
      <protection locked="0"/>
    </xf>
    <xf numFmtId="165" fontId="4" fillId="0" borderId="16" xfId="3" applyNumberFormat="1" applyFont="1" applyFill="1" applyBorder="1" applyAlignment="1" applyProtection="1">
      <alignment horizontal="center" wrapText="1"/>
      <protection locked="0"/>
    </xf>
    <xf numFmtId="165" fontId="9" fillId="3" borderId="10" xfId="3" applyNumberFormat="1" applyFont="1" applyFill="1" applyBorder="1" applyAlignment="1" applyProtection="1">
      <alignment horizontal="centerContinuous" vertical="center"/>
      <protection locked="0"/>
    </xf>
    <xf numFmtId="165" fontId="9" fillId="6" borderId="16" xfId="3" applyNumberFormat="1" applyFont="1" applyFill="1" applyBorder="1" applyAlignment="1" applyProtection="1">
      <alignment horizontal="centerContinuous" vertical="center"/>
      <protection locked="0"/>
    </xf>
    <xf numFmtId="165" fontId="9" fillId="6" borderId="15" xfId="3" applyNumberFormat="1" applyFont="1" applyFill="1" applyBorder="1" applyAlignment="1" applyProtection="1">
      <alignment horizontal="centerContinuous" vertical="center"/>
      <protection locked="0"/>
    </xf>
    <xf numFmtId="165" fontId="9" fillId="3" borderId="9" xfId="3" applyNumberFormat="1" applyFont="1" applyFill="1" applyBorder="1" applyAlignment="1" applyProtection="1">
      <alignment horizontal="left"/>
      <protection locked="0"/>
    </xf>
    <xf numFmtId="165" fontId="9" fillId="3" borderId="0" xfId="3" applyNumberFormat="1" applyFont="1" applyFill="1" applyBorder="1" applyAlignment="1" applyProtection="1">
      <alignment horizontal="left"/>
      <protection locked="0"/>
    </xf>
    <xf numFmtId="165" fontId="9" fillId="3" borderId="2" xfId="3" applyNumberFormat="1" applyFont="1" applyFill="1" applyBorder="1" applyAlignment="1" applyProtection="1">
      <alignment horizontal="left"/>
      <protection locked="0"/>
    </xf>
    <xf numFmtId="165" fontId="9" fillId="4" borderId="2" xfId="3" applyNumberFormat="1" applyFont="1" applyFill="1" applyBorder="1" applyAlignment="1" applyProtection="1">
      <alignment horizontal="left"/>
      <protection locked="0"/>
    </xf>
    <xf numFmtId="165" fontId="9" fillId="3" borderId="3" xfId="3" applyNumberFormat="1" applyFont="1" applyFill="1" applyBorder="1" applyAlignment="1" applyProtection="1">
      <alignment horizontal="left"/>
      <protection locked="0"/>
    </xf>
    <xf numFmtId="0" fontId="9" fillId="3" borderId="2" xfId="3" applyNumberFormat="1" applyFont="1" applyFill="1" applyBorder="1" applyAlignment="1" applyProtection="1">
      <alignment horizontal="left"/>
      <protection locked="0"/>
    </xf>
    <xf numFmtId="165" fontId="9" fillId="4" borderId="0" xfId="3" applyNumberFormat="1" applyFont="1" applyFill="1" applyBorder="1" applyAlignment="1" applyProtection="1">
      <alignment horizontal="left"/>
      <protection locked="0"/>
    </xf>
    <xf numFmtId="165" fontId="9" fillId="3" borderId="18" xfId="3" applyNumberFormat="1" applyFont="1" applyFill="1" applyBorder="1" applyAlignment="1" applyProtection="1">
      <alignment horizontal="left"/>
      <protection locked="0"/>
    </xf>
    <xf numFmtId="3" fontId="5" fillId="4" borderId="6" xfId="3" applyNumberFormat="1" applyFont="1" applyFill="1" applyBorder="1" applyAlignment="1" applyProtection="1">
      <alignment horizontal="right" vertical="center"/>
      <protection locked="0"/>
    </xf>
    <xf numFmtId="3" fontId="18" fillId="4" borderId="23" xfId="3" applyNumberFormat="1" applyFont="1" applyFill="1" applyBorder="1" applyAlignment="1" applyProtection="1">
      <alignment horizontal="right" vertical="center"/>
      <protection locked="0"/>
    </xf>
    <xf numFmtId="49" fontId="5" fillId="7" borderId="0" xfId="3" applyNumberFormat="1" applyFont="1" applyFill="1" applyBorder="1" applyAlignment="1" applyProtection="1">
      <alignment horizontal="center" wrapText="1"/>
    </xf>
    <xf numFmtId="49" fontId="5" fillId="7" borderId="0" xfId="3" applyNumberFormat="1" applyFont="1" applyFill="1" applyBorder="1" applyAlignment="1" applyProtection="1">
      <alignment horizontal="left" wrapText="1"/>
    </xf>
    <xf numFmtId="165" fontId="5" fillId="0" borderId="0" xfId="1" applyNumberFormat="1" applyFont="1" applyFill="1" applyBorder="1" applyAlignment="1">
      <alignment wrapText="1"/>
    </xf>
    <xf numFmtId="49" fontId="5" fillId="7" borderId="24" xfId="3" applyNumberFormat="1" applyFont="1" applyFill="1" applyBorder="1" applyAlignment="1" applyProtection="1">
      <alignment horizontal="center" wrapText="1"/>
    </xf>
    <xf numFmtId="49" fontId="5" fillId="7" borderId="25" xfId="3" applyNumberFormat="1" applyFont="1" applyFill="1" applyBorder="1" applyAlignment="1" applyProtection="1">
      <alignment horizontal="center" wrapText="1"/>
    </xf>
    <xf numFmtId="49" fontId="5" fillId="7" borderId="26" xfId="3" applyNumberFormat="1" applyFont="1" applyFill="1" applyBorder="1" applyAlignment="1" applyProtection="1">
      <alignment horizontal="center" wrapText="1"/>
    </xf>
    <xf numFmtId="165" fontId="4" fillId="0" borderId="27" xfId="3" applyNumberFormat="1" applyFont="1" applyFill="1" applyBorder="1" applyAlignment="1" applyProtection="1">
      <alignment horizontal="center" wrapText="1"/>
      <protection locked="0"/>
    </xf>
    <xf numFmtId="49" fontId="5" fillId="7" borderId="28" xfId="3" applyNumberFormat="1" applyFont="1" applyFill="1" applyBorder="1" applyAlignment="1" applyProtection="1">
      <alignment horizontal="center" wrapText="1"/>
    </xf>
    <xf numFmtId="165" fontId="4" fillId="0" borderId="10" xfId="3" applyNumberFormat="1" applyFont="1" applyFill="1" applyBorder="1" applyAlignment="1" applyProtection="1">
      <alignment horizontal="center" wrapText="1"/>
      <protection locked="0"/>
    </xf>
    <xf numFmtId="49" fontId="5" fillId="7" borderId="29" xfId="3" applyNumberFormat="1" applyFont="1" applyFill="1" applyBorder="1" applyAlignment="1" applyProtection="1">
      <alignment horizontal="center" wrapText="1"/>
    </xf>
    <xf numFmtId="3" fontId="5" fillId="5" borderId="0" xfId="1" applyNumberFormat="1" applyFont="1" applyFill="1" applyBorder="1"/>
    <xf numFmtId="3" fontId="5" fillId="0" borderId="6" xfId="3" applyNumberFormat="1" applyFont="1" applyFill="1" applyBorder="1" applyAlignment="1" applyProtection="1">
      <alignment horizontal="center" wrapText="1"/>
      <protection locked="0"/>
    </xf>
    <xf numFmtId="3" fontId="15" fillId="0" borderId="6" xfId="3" applyNumberFormat="1" applyFont="1" applyFill="1" applyBorder="1" applyAlignment="1" applyProtection="1">
      <alignment horizontal="center" wrapText="1"/>
      <protection locked="0"/>
    </xf>
    <xf numFmtId="3" fontId="5" fillId="5" borderId="9" xfId="1" applyNumberFormat="1" applyFont="1" applyFill="1" applyBorder="1"/>
    <xf numFmtId="3" fontId="15" fillId="6" borderId="9" xfId="3" applyNumberFormat="1" applyFont="1" applyFill="1" applyBorder="1" applyAlignment="1" applyProtection="1">
      <alignment horizontal="center"/>
    </xf>
    <xf numFmtId="3" fontId="15" fillId="3" borderId="4" xfId="3" applyNumberFormat="1" applyFont="1" applyFill="1" applyBorder="1" applyAlignment="1" applyProtection="1">
      <alignment horizontal="center"/>
    </xf>
    <xf numFmtId="3" fontId="15" fillId="6" borderId="4" xfId="3" applyNumberFormat="1" applyFont="1" applyFill="1" applyBorder="1" applyAlignment="1" applyProtection="1">
      <alignment horizontal="center"/>
    </xf>
    <xf numFmtId="3" fontId="15" fillId="3" borderId="0" xfId="3" applyNumberFormat="1" applyFont="1" applyFill="1" applyBorder="1" applyAlignment="1" applyProtection="1">
      <alignment horizontal="center"/>
    </xf>
    <xf numFmtId="3" fontId="15" fillId="3" borderId="6" xfId="3" applyNumberFormat="1" applyFont="1" applyFill="1" applyBorder="1" applyAlignment="1" applyProtection="1">
      <alignment horizontal="center"/>
    </xf>
    <xf numFmtId="165" fontId="9" fillId="3" borderId="9" xfId="3" applyNumberFormat="1" applyFont="1" applyFill="1" applyBorder="1" applyAlignment="1" applyProtection="1">
      <alignment horizontal="centerContinuous"/>
      <protection locked="0"/>
    </xf>
    <xf numFmtId="165" fontId="9" fillId="3" borderId="0" xfId="3" applyNumberFormat="1" applyFont="1" applyFill="1" applyBorder="1" applyAlignment="1" applyProtection="1">
      <alignment horizontal="centerContinuous"/>
      <protection locked="0"/>
    </xf>
    <xf numFmtId="165" fontId="9" fillId="3" borderId="2" xfId="3" applyNumberFormat="1" applyFont="1" applyFill="1" applyBorder="1" applyAlignment="1" applyProtection="1">
      <alignment horizontal="centerContinuous"/>
      <protection locked="0"/>
    </xf>
    <xf numFmtId="0" fontId="13" fillId="2" borderId="0" xfId="4" applyNumberFormat="1" applyFont="1" applyFill="1" applyBorder="1" applyAlignment="1" applyProtection="1">
      <alignment horizontal="left"/>
      <protection locked="0"/>
    </xf>
    <xf numFmtId="165" fontId="14" fillId="0" borderId="9" xfId="3" applyNumberFormat="1" applyFont="1" applyFill="1" applyBorder="1" applyAlignment="1" applyProtection="1">
      <alignment horizontal="left"/>
      <protection locked="0"/>
    </xf>
    <xf numFmtId="165" fontId="14" fillId="0" borderId="0" xfId="3" applyNumberFormat="1" applyFont="1" applyFill="1" applyBorder="1" applyAlignment="1" applyProtection="1">
      <alignment horizontal="left"/>
      <protection locked="0"/>
    </xf>
    <xf numFmtId="165" fontId="14" fillId="0" borderId="30" xfId="3" applyNumberFormat="1" applyFont="1" applyFill="1" applyBorder="1" applyAlignment="1" applyProtection="1">
      <alignment horizontal="left"/>
      <protection locked="0"/>
    </xf>
    <xf numFmtId="165" fontId="9" fillId="3" borderId="2" xfId="3" applyNumberFormat="1" applyFont="1" applyFill="1" applyBorder="1" applyAlignment="1" applyProtection="1">
      <alignment horizontal="left" wrapText="1"/>
      <protection locked="0"/>
    </xf>
    <xf numFmtId="165" fontId="9" fillId="3" borderId="2" xfId="3" applyNumberFormat="1" applyFont="1" applyFill="1" applyBorder="1" applyAlignment="1" applyProtection="1">
      <alignment horizontal="centerContinuous" wrapText="1"/>
      <protection locked="0"/>
    </xf>
    <xf numFmtId="165" fontId="17" fillId="3" borderId="1" xfId="3" applyNumberFormat="1" applyFont="1" applyFill="1" applyBorder="1" applyAlignment="1" applyProtection="1">
      <alignment horizontal="centerContinuous" vertical="center" wrapText="1"/>
      <protection locked="0"/>
    </xf>
    <xf numFmtId="165" fontId="9" fillId="3" borderId="3" xfId="3" applyNumberFormat="1" applyFont="1" applyFill="1" applyBorder="1" applyAlignment="1" applyProtection="1">
      <alignment horizontal="centerContinuous"/>
      <protection locked="0"/>
    </xf>
    <xf numFmtId="165" fontId="9" fillId="4" borderId="2" xfId="3" applyNumberFormat="1" applyFont="1" applyFill="1" applyBorder="1" applyAlignment="1" applyProtection="1">
      <alignment horizontal="centerContinuous" wrapText="1"/>
      <protection locked="0"/>
    </xf>
    <xf numFmtId="165" fontId="17" fillId="4" borderId="1" xfId="3" applyNumberFormat="1" applyFont="1" applyFill="1" applyBorder="1" applyAlignment="1" applyProtection="1">
      <alignment horizontal="centerContinuous" vertical="center" wrapText="1"/>
      <protection locked="0"/>
    </xf>
    <xf numFmtId="165" fontId="14" fillId="0" borderId="13" xfId="3" applyNumberFormat="1" applyFont="1" applyFill="1" applyBorder="1" applyAlignment="1" applyProtection="1">
      <alignment horizontal="left"/>
      <protection locked="0"/>
    </xf>
    <xf numFmtId="165" fontId="9" fillId="3" borderId="17" xfId="3" applyNumberFormat="1" applyFont="1" applyFill="1" applyBorder="1" applyAlignment="1" applyProtection="1">
      <alignment horizontal="left"/>
      <protection locked="0"/>
    </xf>
    <xf numFmtId="165" fontId="9" fillId="3" borderId="31" xfId="3" applyNumberFormat="1" applyFont="1" applyFill="1" applyBorder="1" applyAlignment="1" applyProtection="1">
      <alignment horizontal="left"/>
      <protection locked="0"/>
    </xf>
    <xf numFmtId="165" fontId="4" fillId="0" borderId="11" xfId="3" applyNumberFormat="1" applyFont="1" applyFill="1" applyBorder="1" applyAlignment="1" applyProtection="1">
      <alignment horizontal="centerContinuous"/>
      <protection locked="0"/>
    </xf>
    <xf numFmtId="165" fontId="4" fillId="0" borderId="10" xfId="3" applyNumberFormat="1" applyFont="1" applyFill="1" applyBorder="1" applyAlignment="1" applyProtection="1">
      <alignment horizontal="centerContinuous"/>
      <protection locked="0"/>
    </xf>
    <xf numFmtId="0" fontId="9" fillId="3" borderId="2" xfId="3" applyNumberFormat="1" applyFont="1" applyFill="1" applyBorder="1" applyAlignment="1" applyProtection="1">
      <alignment horizontal="centerContinuous"/>
      <protection locked="0"/>
    </xf>
    <xf numFmtId="165" fontId="9" fillId="4" borderId="9" xfId="3" applyNumberFormat="1" applyFont="1" applyFill="1" applyBorder="1" applyAlignment="1" applyProtection="1">
      <alignment horizontal="left"/>
      <protection locked="0"/>
    </xf>
    <xf numFmtId="165" fontId="9" fillId="4" borderId="4" xfId="3" applyNumberFormat="1" applyFont="1" applyFill="1" applyBorder="1" applyAlignment="1" applyProtection="1">
      <alignment horizontal="left"/>
      <protection locked="0"/>
    </xf>
    <xf numFmtId="165" fontId="14" fillId="0" borderId="2" xfId="3" applyNumberFormat="1" applyFont="1" applyFill="1" applyBorder="1" applyAlignment="1" applyProtection="1">
      <alignment horizontal="left"/>
      <protection locked="0"/>
    </xf>
    <xf numFmtId="165" fontId="9" fillId="4" borderId="8" xfId="3" applyNumberFormat="1" applyFont="1" applyFill="1" applyBorder="1" applyAlignment="1" applyProtection="1">
      <alignment horizontal="centerContinuous"/>
      <protection locked="0"/>
    </xf>
    <xf numFmtId="165" fontId="9" fillId="4" borderId="5" xfId="3" applyNumberFormat="1" applyFont="1" applyFill="1" applyBorder="1" applyAlignment="1" applyProtection="1">
      <alignment horizontal="centerContinuous"/>
      <protection locked="0"/>
    </xf>
    <xf numFmtId="165" fontId="9" fillId="4" borderId="2" xfId="3" applyNumberFormat="1" applyFont="1" applyFill="1" applyBorder="1" applyAlignment="1" applyProtection="1">
      <alignment horizontal="centerContinuous"/>
      <protection locked="0"/>
    </xf>
    <xf numFmtId="0" fontId="9" fillId="4" borderId="2" xfId="3" applyNumberFormat="1" applyFont="1" applyFill="1" applyBorder="1" applyAlignment="1" applyProtection="1">
      <alignment horizontal="centerContinuous"/>
      <protection locked="0"/>
    </xf>
    <xf numFmtId="165" fontId="9" fillId="4" borderId="0" xfId="3" applyNumberFormat="1" applyFont="1" applyFill="1" applyBorder="1" applyAlignment="1" applyProtection="1">
      <alignment horizontal="centerContinuous"/>
      <protection locked="0"/>
    </xf>
    <xf numFmtId="165" fontId="16" fillId="4" borderId="8" xfId="3" applyNumberFormat="1" applyFont="1" applyFill="1" applyBorder="1" applyAlignment="1" applyProtection="1">
      <alignment horizontal="left" vertical="center"/>
      <protection locked="0"/>
    </xf>
    <xf numFmtId="165" fontId="14" fillId="4" borderId="1" xfId="3" applyNumberFormat="1" applyFont="1" applyFill="1" applyBorder="1" applyAlignment="1" applyProtection="1">
      <alignment horizontal="left"/>
      <protection locked="0"/>
    </xf>
    <xf numFmtId="165" fontId="14" fillId="4" borderId="13" xfId="3" applyNumberFormat="1" applyFont="1" applyFill="1" applyBorder="1" applyAlignment="1" applyProtection="1">
      <alignment horizontal="left"/>
      <protection locked="0"/>
    </xf>
    <xf numFmtId="165" fontId="16" fillId="4" borderId="8" xfId="3" applyNumberFormat="1" applyFont="1" applyFill="1" applyBorder="1" applyAlignment="1" applyProtection="1">
      <alignment vertical="center"/>
      <protection locked="0"/>
    </xf>
    <xf numFmtId="165" fontId="14" fillId="4" borderId="1" xfId="3" applyNumberFormat="1" applyFont="1" applyFill="1" applyBorder="1" applyAlignment="1" applyProtection="1">
      <alignment horizontal="centerContinuous"/>
      <protection locked="0"/>
    </xf>
    <xf numFmtId="165" fontId="14" fillId="4" borderId="13" xfId="3" applyNumberFormat="1" applyFont="1" applyFill="1" applyBorder="1" applyAlignment="1" applyProtection="1">
      <alignment horizontal="centerContinuous"/>
      <protection locked="0"/>
    </xf>
    <xf numFmtId="164" fontId="21" fillId="0" borderId="0" xfId="0" applyFont="1" applyFill="1" applyAlignment="1" applyProtection="1">
      <alignment horizontal="centerContinuous"/>
    </xf>
    <xf numFmtId="168" fontId="4" fillId="0" borderId="0" xfId="0" applyNumberFormat="1" applyFont="1" applyAlignment="1" applyProtection="1">
      <alignment horizontal="centerContinuous"/>
    </xf>
    <xf numFmtId="164" fontId="4" fillId="0" borderId="0" xfId="0" applyFont="1" applyAlignment="1" applyProtection="1">
      <alignment horizontal="centerContinuous"/>
    </xf>
    <xf numFmtId="164" fontId="4" fillId="0" borderId="0" xfId="0" applyFont="1" applyFill="1" applyAlignment="1" applyProtection="1">
      <alignment horizontal="centerContinuous"/>
    </xf>
    <xf numFmtId="164" fontId="5" fillId="0" borderId="0" xfId="0" applyFont="1" applyAlignment="1" applyProtection="1">
      <alignment horizontal="centerContinuous"/>
    </xf>
    <xf numFmtId="164" fontId="5" fillId="0" borderId="0" xfId="0" applyFont="1" applyFill="1" applyAlignment="1" applyProtection="1">
      <alignment horizontal="centerContinuous"/>
    </xf>
    <xf numFmtId="164" fontId="22" fillId="0" borderId="32" xfId="0" applyFont="1" applyBorder="1" applyAlignment="1" applyProtection="1">
      <alignment horizontal="left" vertical="center"/>
    </xf>
    <xf numFmtId="37" fontId="22" fillId="0" borderId="32" xfId="0" applyNumberFormat="1" applyFont="1" applyBorder="1" applyAlignment="1" applyProtection="1">
      <alignment horizontal="center" vertical="center"/>
    </xf>
    <xf numFmtId="37" fontId="22" fillId="0" borderId="32" xfId="0" applyNumberFormat="1" applyFont="1" applyFill="1" applyBorder="1" applyAlignment="1" applyProtection="1">
      <alignment horizontal="center" vertical="center"/>
    </xf>
    <xf numFmtId="164" fontId="22" fillId="0" borderId="33" xfId="0" applyFont="1" applyBorder="1" applyAlignment="1" applyProtection="1">
      <alignment horizontal="left" vertical="center"/>
    </xf>
    <xf numFmtId="37" fontId="22" fillId="0" borderId="33" xfId="0" applyNumberFormat="1" applyFont="1" applyBorder="1" applyAlignment="1" applyProtection="1">
      <alignment horizontal="center" vertical="center"/>
    </xf>
    <xf numFmtId="37" fontId="22" fillId="0" borderId="33" xfId="0" applyNumberFormat="1" applyFont="1" applyFill="1" applyBorder="1" applyAlignment="1" applyProtection="1">
      <alignment horizontal="center" vertical="center"/>
    </xf>
    <xf numFmtId="37" fontId="5" fillId="0" borderId="0" xfId="0" applyNumberFormat="1" applyFont="1" applyAlignment="1" applyProtection="1">
      <alignment horizontal="left"/>
    </xf>
    <xf numFmtId="169" fontId="5" fillId="0" borderId="0" xfId="0" applyNumberFormat="1" applyFont="1" applyAlignment="1" applyProtection="1"/>
    <xf numFmtId="3" fontId="5" fillId="0" borderId="0" xfId="3" applyNumberFormat="1" applyFont="1" applyAlignment="1" applyProtection="1"/>
    <xf numFmtId="37" fontId="4" fillId="0" borderId="0" xfId="0" applyNumberFormat="1" applyFont="1" applyAlignment="1" applyProtection="1">
      <alignment horizontal="right"/>
    </xf>
    <xf numFmtId="37" fontId="4" fillId="0" borderId="1" xfId="0" applyNumberFormat="1" applyFont="1" applyBorder="1" applyAlignment="1" applyProtection="1">
      <alignment horizontal="right"/>
    </xf>
    <xf numFmtId="3" fontId="5" fillId="0" borderId="1" xfId="3" applyNumberFormat="1" applyFont="1" applyBorder="1" applyAlignment="1" applyProtection="1"/>
    <xf numFmtId="164" fontId="23" fillId="0" borderId="0" xfId="0" applyFont="1"/>
    <xf numFmtId="164" fontId="23" fillId="0" borderId="0" xfId="0" applyFont="1" applyFill="1"/>
    <xf numFmtId="49" fontId="20" fillId="0" borderId="0" xfId="0" applyNumberFormat="1" applyFont="1" applyFill="1" applyAlignment="1">
      <alignment horizontal="right"/>
    </xf>
    <xf numFmtId="168" fontId="4" fillId="0" borderId="0" xfId="0" applyNumberFormat="1" applyFont="1" applyFill="1" applyAlignment="1" applyProtection="1">
      <alignment horizontal="centerContinuous"/>
    </xf>
    <xf numFmtId="164" fontId="22" fillId="0" borderId="32" xfId="0" applyFont="1" applyFill="1" applyBorder="1" applyAlignment="1" applyProtection="1">
      <alignment horizontal="left" vertical="center"/>
    </xf>
    <xf numFmtId="164" fontId="22" fillId="0" borderId="33" xfId="0" applyFont="1" applyFill="1" applyBorder="1" applyAlignment="1" applyProtection="1">
      <alignment horizontal="left" vertical="center"/>
    </xf>
    <xf numFmtId="37" fontId="5" fillId="0" borderId="0" xfId="0" applyNumberFormat="1" applyFont="1" applyFill="1" applyAlignment="1" applyProtection="1">
      <alignment horizontal="left"/>
    </xf>
    <xf numFmtId="37" fontId="4" fillId="0" borderId="0" xfId="0" applyNumberFormat="1" applyFont="1" applyFill="1" applyAlignment="1" applyProtection="1">
      <alignment horizontal="right"/>
    </xf>
    <xf numFmtId="37" fontId="4" fillId="0" borderId="1" xfId="0" applyNumberFormat="1" applyFont="1" applyFill="1" applyBorder="1" applyAlignment="1" applyProtection="1">
      <alignment horizontal="right"/>
    </xf>
    <xf numFmtId="164" fontId="0" fillId="0" borderId="0" xfId="0" applyFill="1"/>
    <xf numFmtId="164" fontId="5" fillId="0" borderId="0" xfId="0" applyFont="1" applyFill="1"/>
    <xf numFmtId="164" fontId="14" fillId="0" borderId="0" xfId="0" applyFont="1" applyFill="1" applyAlignment="1" applyProtection="1">
      <alignment horizontal="centerContinuous"/>
    </xf>
    <xf numFmtId="164" fontId="0" fillId="0" borderId="0" xfId="0" applyFill="1" applyAlignment="1">
      <alignment horizontal="centerContinuous"/>
    </xf>
    <xf numFmtId="37" fontId="5" fillId="0" borderId="0" xfId="0" applyNumberFormat="1" applyFont="1" applyFill="1" applyAlignment="1" applyProtection="1">
      <alignment horizontal="centerContinuous"/>
    </xf>
    <xf numFmtId="164" fontId="5" fillId="0" borderId="32" xfId="0" applyFont="1" applyFill="1" applyBorder="1" applyAlignment="1" applyProtection="1">
      <alignment horizontal="left"/>
    </xf>
    <xf numFmtId="37" fontId="22" fillId="0" borderId="34" xfId="0" applyNumberFormat="1" applyFont="1" applyFill="1" applyBorder="1" applyAlignment="1" applyProtection="1">
      <alignment horizontal="centerContinuous"/>
    </xf>
    <xf numFmtId="164" fontId="22" fillId="0" borderId="34" xfId="0" applyFont="1" applyFill="1" applyBorder="1" applyAlignment="1" applyProtection="1">
      <alignment horizontal="centerContinuous"/>
    </xf>
    <xf numFmtId="37" fontId="22" fillId="0" borderId="35" xfId="0" applyNumberFormat="1" applyFont="1" applyFill="1" applyBorder="1" applyAlignment="1" applyProtection="1">
      <alignment horizontal="centerContinuous"/>
    </xf>
    <xf numFmtId="164" fontId="24" fillId="0" borderId="0" xfId="0" applyFont="1" applyFill="1"/>
    <xf numFmtId="164" fontId="5" fillId="0" borderId="0" xfId="0" applyFont="1" applyFill="1" applyAlignment="1">
      <alignment horizontal="left"/>
    </xf>
    <xf numFmtId="164" fontId="5" fillId="0" borderId="33" xfId="0" applyFont="1" applyFill="1" applyBorder="1" applyAlignment="1" applyProtection="1">
      <alignment horizontal="left"/>
    </xf>
    <xf numFmtId="164" fontId="22" fillId="0" borderId="33" xfId="0" applyFont="1" applyFill="1" applyBorder="1" applyAlignment="1" applyProtection="1">
      <alignment horizontal="center"/>
    </xf>
    <xf numFmtId="37" fontId="22" fillId="0" borderId="33" xfId="0" applyNumberFormat="1" applyFont="1" applyFill="1" applyBorder="1" applyAlignment="1" applyProtection="1">
      <alignment horizontal="center"/>
    </xf>
    <xf numFmtId="164" fontId="22" fillId="0" borderId="36" xfId="0" applyFont="1" applyFill="1" applyBorder="1" applyAlignment="1" applyProtection="1">
      <alignment horizontal="center"/>
    </xf>
    <xf numFmtId="37" fontId="5" fillId="0" borderId="0" xfId="0" applyNumberFormat="1" applyFont="1" applyFill="1" applyAlignment="1" applyProtection="1">
      <alignment horizontal="left" vertical="center"/>
    </xf>
    <xf numFmtId="169"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164" fontId="0" fillId="0" borderId="0" xfId="0" applyFill="1" applyAlignment="1">
      <alignment vertical="center"/>
    </xf>
    <xf numFmtId="167" fontId="24" fillId="0" borderId="0" xfId="24" applyNumberFormat="1" applyFont="1" applyFill="1" applyAlignment="1">
      <alignment vertical="center"/>
    </xf>
    <xf numFmtId="164" fontId="5" fillId="0" borderId="0" xfId="0" applyFont="1" applyFill="1" applyAlignment="1">
      <alignment vertical="center"/>
    </xf>
    <xf numFmtId="165" fontId="5" fillId="0" borderId="0" xfId="3" applyNumberFormat="1" applyFont="1" applyFill="1" applyAlignment="1">
      <alignment vertical="center"/>
    </xf>
    <xf numFmtId="169" fontId="5" fillId="0" borderId="0" xfId="0" applyNumberFormat="1" applyFont="1" applyFill="1" applyAlignment="1" applyProtection="1">
      <alignment horizontal="right"/>
    </xf>
    <xf numFmtId="5" fontId="5" fillId="0" borderId="0" xfId="0" applyNumberFormat="1" applyFont="1" applyFill="1" applyAlignment="1" applyProtection="1">
      <alignment horizontal="right"/>
    </xf>
    <xf numFmtId="164" fontId="0" fillId="0" borderId="0" xfId="0" applyFill="1" applyBorder="1"/>
    <xf numFmtId="167" fontId="24" fillId="0" borderId="0" xfId="24" applyNumberFormat="1" applyFont="1" applyFill="1"/>
    <xf numFmtId="165" fontId="5" fillId="0" borderId="0" xfId="3" applyNumberFormat="1" applyFont="1" applyFill="1"/>
    <xf numFmtId="164" fontId="5" fillId="0" borderId="0" xfId="0" applyFont="1" applyFill="1" applyAlignment="1" applyProtection="1">
      <alignment horizontal="left"/>
    </xf>
    <xf numFmtId="3" fontId="5" fillId="0" borderId="0" xfId="0" applyNumberFormat="1" applyFont="1" applyFill="1" applyBorder="1" applyAlignment="1" applyProtection="1">
      <alignment horizontal="right"/>
    </xf>
    <xf numFmtId="0" fontId="5" fillId="0" borderId="0" xfId="0" applyNumberFormat="1" applyFont="1" applyFill="1" applyBorder="1" applyAlignment="1" applyProtection="1">
      <alignment horizontal="right"/>
    </xf>
    <xf numFmtId="37" fontId="5" fillId="0" borderId="1" xfId="0" applyNumberFormat="1" applyFont="1" applyFill="1" applyBorder="1" applyAlignment="1" applyProtection="1">
      <alignment horizontal="left"/>
    </xf>
    <xf numFmtId="3" fontId="5" fillId="0" borderId="1" xfId="0" applyNumberFormat="1" applyFont="1" applyFill="1" applyBorder="1" applyAlignment="1" applyProtection="1">
      <alignment horizontal="right"/>
    </xf>
    <xf numFmtId="0" fontId="5" fillId="0" borderId="1" xfId="0" applyNumberFormat="1" applyFont="1" applyFill="1" applyBorder="1" applyAlignment="1" applyProtection="1">
      <alignment horizontal="right"/>
    </xf>
    <xf numFmtId="37" fontId="22" fillId="0" borderId="34" xfId="0" applyNumberFormat="1" applyFont="1" applyFill="1" applyBorder="1" applyAlignment="1" applyProtection="1">
      <alignment horizontal="centerContinuous" vertical="center" wrapText="1"/>
    </xf>
    <xf numFmtId="164" fontId="22" fillId="0" borderId="34" xfId="0" applyFont="1" applyFill="1" applyBorder="1" applyAlignment="1" applyProtection="1">
      <alignment horizontal="centerContinuous" vertical="center" wrapText="1"/>
    </xf>
    <xf numFmtId="37" fontId="22" fillId="0" borderId="0" xfId="0" applyNumberFormat="1" applyFont="1" applyFill="1" applyBorder="1" applyAlignment="1" applyProtection="1">
      <alignment horizontal="centerContinuous"/>
    </xf>
    <xf numFmtId="164" fontId="22" fillId="0" borderId="0" xfId="0" applyFont="1" applyFill="1" applyBorder="1" applyAlignment="1" applyProtection="1">
      <alignment horizontal="centerContinuous"/>
    </xf>
    <xf numFmtId="164" fontId="22" fillId="0" borderId="33" xfId="0" applyFont="1" applyFill="1" applyBorder="1" applyAlignment="1" applyProtection="1">
      <alignment horizontal="right"/>
    </xf>
    <xf numFmtId="37" fontId="22" fillId="0" borderId="33" xfId="0" applyNumberFormat="1" applyFont="1" applyFill="1" applyBorder="1" applyAlignment="1" applyProtection="1">
      <alignment horizontal="right"/>
    </xf>
    <xf numFmtId="164" fontId="22" fillId="0" borderId="36" xfId="0" applyFont="1" applyFill="1" applyBorder="1" applyAlignment="1" applyProtection="1">
      <alignment horizontal="right"/>
    </xf>
    <xf numFmtId="164" fontId="22" fillId="0" borderId="0" xfId="0" applyFont="1" applyFill="1" applyBorder="1" applyAlignment="1" applyProtection="1">
      <alignment horizontal="right"/>
    </xf>
    <xf numFmtId="37" fontId="22" fillId="0" borderId="0" xfId="0" applyNumberFormat="1" applyFont="1" applyFill="1" applyBorder="1" applyAlignment="1" applyProtection="1">
      <alignment horizontal="right"/>
    </xf>
    <xf numFmtId="169" fontId="5" fillId="0" borderId="0" xfId="0" applyNumberFormat="1" applyFont="1" applyFill="1" applyAlignment="1" applyProtection="1">
      <alignment horizontal="right" vertical="center"/>
    </xf>
    <xf numFmtId="169" fontId="5" fillId="0" borderId="32" xfId="0" applyNumberFormat="1" applyFont="1" applyFill="1" applyBorder="1" applyAlignment="1" applyProtection="1">
      <alignment horizontal="right" vertical="center"/>
    </xf>
    <xf numFmtId="169" fontId="5" fillId="0" borderId="39" xfId="0" applyNumberFormat="1" applyFont="1" applyFill="1" applyBorder="1" applyAlignment="1" applyProtection="1">
      <alignment horizontal="right" vertical="center"/>
    </xf>
    <xf numFmtId="164" fontId="0" fillId="0" borderId="0" xfId="0" applyFill="1" applyBorder="1" applyAlignment="1">
      <alignment vertical="center"/>
    </xf>
    <xf numFmtId="164" fontId="5" fillId="0" borderId="0" xfId="0" applyFont="1" applyFill="1" applyAlignment="1" applyProtection="1">
      <alignment horizontal="right"/>
    </xf>
    <xf numFmtId="5" fontId="5" fillId="0" borderId="0" xfId="0" applyNumberFormat="1" applyFont="1" applyFill="1" applyAlignment="1" applyProtection="1">
      <alignment horizontal="left"/>
    </xf>
    <xf numFmtId="164" fontId="5" fillId="0" borderId="37" xfId="0" applyFont="1" applyFill="1" applyBorder="1"/>
    <xf numFmtId="3" fontId="5" fillId="0" borderId="0" xfId="3" applyNumberFormat="1" applyFont="1" applyFill="1" applyAlignment="1" applyProtection="1">
      <alignment horizontal="right"/>
    </xf>
    <xf numFmtId="3" fontId="5" fillId="0" borderId="0" xfId="3" applyNumberFormat="1" applyFont="1" applyFill="1"/>
    <xf numFmtId="3" fontId="5" fillId="0" borderId="37" xfId="3" applyNumberFormat="1" applyFont="1" applyFill="1" applyBorder="1"/>
    <xf numFmtId="37" fontId="5" fillId="0" borderId="33" xfId="0" applyNumberFormat="1" applyFont="1" applyFill="1" applyBorder="1" applyAlignment="1" applyProtection="1">
      <alignment horizontal="left"/>
    </xf>
    <xf numFmtId="3" fontId="5" fillId="0" borderId="1" xfId="3" applyNumberFormat="1" applyFont="1" applyFill="1" applyBorder="1" applyAlignment="1" applyProtection="1">
      <alignment horizontal="right"/>
    </xf>
    <xf numFmtId="3" fontId="5" fillId="0" borderId="1" xfId="3" applyNumberFormat="1" applyFont="1" applyFill="1" applyBorder="1"/>
    <xf numFmtId="3" fontId="5" fillId="0" borderId="38" xfId="3" applyNumberFormat="1" applyFont="1" applyFill="1" applyBorder="1"/>
    <xf numFmtId="164" fontId="20" fillId="0" borderId="0" xfId="0" applyFont="1" applyFill="1" applyBorder="1" applyAlignment="1" applyProtection="1">
      <alignment horizontal="left" vertical="top" wrapText="1"/>
    </xf>
    <xf numFmtId="164" fontId="0" fillId="0" borderId="0" xfId="0" applyFill="1" applyBorder="1" applyAlignment="1"/>
    <xf numFmtId="3" fontId="5" fillId="0" borderId="0" xfId="0" applyNumberFormat="1" applyFont="1" applyFill="1" applyAlignment="1" applyProtection="1">
      <alignment horizontal="right"/>
    </xf>
    <xf numFmtId="164" fontId="5" fillId="0" borderId="32" xfId="0" applyFont="1" applyFill="1" applyBorder="1" applyAlignment="1" applyProtection="1">
      <alignment horizontal="left" vertical="center"/>
    </xf>
    <xf numFmtId="37" fontId="22" fillId="0" borderId="34" xfId="0" applyNumberFormat="1" applyFont="1" applyFill="1" applyBorder="1" applyAlignment="1" applyProtection="1">
      <alignment horizontal="centerContinuous" wrapText="1"/>
    </xf>
    <xf numFmtId="164" fontId="22" fillId="0" borderId="34" xfId="0" applyFont="1" applyFill="1" applyBorder="1" applyAlignment="1" applyProtection="1">
      <alignment horizontal="centerContinuous" wrapText="1"/>
    </xf>
    <xf numFmtId="37" fontId="22" fillId="0" borderId="35" xfId="0" applyNumberFormat="1" applyFont="1" applyFill="1" applyBorder="1" applyAlignment="1" applyProtection="1">
      <alignment horizontal="centerContinuous" wrapText="1"/>
    </xf>
    <xf numFmtId="37" fontId="22" fillId="0" borderId="0" xfId="0" applyNumberFormat="1" applyFont="1" applyFill="1" applyBorder="1" applyAlignment="1" applyProtection="1">
      <alignment horizontal="centerContinuous" vertical="center"/>
    </xf>
    <xf numFmtId="164" fontId="22" fillId="0" borderId="0" xfId="0" applyFont="1" applyFill="1" applyBorder="1" applyAlignment="1" applyProtection="1">
      <alignment horizontal="centerContinuous" vertical="center"/>
    </xf>
    <xf numFmtId="3" fontId="5" fillId="0" borderId="0" xfId="3" applyNumberFormat="1" applyFont="1" applyFill="1" applyAlignment="1" applyProtection="1">
      <alignment horizontal="right" vertical="center"/>
    </xf>
    <xf numFmtId="3" fontId="5" fillId="0" borderId="2" xfId="0" applyNumberFormat="1" applyFont="1" applyFill="1" applyBorder="1"/>
    <xf numFmtId="3" fontId="5" fillId="0" borderId="0" xfId="0" applyNumberFormat="1" applyFont="1" applyFill="1" applyBorder="1"/>
    <xf numFmtId="3" fontId="5" fillId="0" borderId="37" xfId="0" applyNumberFormat="1" applyFont="1" applyFill="1" applyBorder="1"/>
    <xf numFmtId="3" fontId="5" fillId="0" borderId="38" xfId="0" applyNumberFormat="1" applyFont="1" applyFill="1" applyBorder="1"/>
    <xf numFmtId="164" fontId="21" fillId="0" borderId="0" xfId="0" applyFont="1" applyFill="1" applyAlignment="1" applyProtection="1"/>
    <xf numFmtId="164" fontId="5" fillId="0" borderId="0" xfId="0" applyFont="1" applyFill="1" applyAlignment="1" applyProtection="1"/>
    <xf numFmtId="164" fontId="14" fillId="0" borderId="0" xfId="0" applyFont="1" applyFill="1" applyAlignment="1" applyProtection="1"/>
    <xf numFmtId="37" fontId="22" fillId="0" borderId="32" xfId="0" applyNumberFormat="1" applyFont="1" applyFill="1" applyBorder="1" applyAlignment="1" applyProtection="1">
      <alignment horizontal="centerContinuous"/>
    </xf>
    <xf numFmtId="164" fontId="22" fillId="0" borderId="32" xfId="0" applyFont="1" applyFill="1" applyBorder="1" applyAlignment="1" applyProtection="1">
      <alignment horizontal="centerContinuous"/>
    </xf>
    <xf numFmtId="37" fontId="22" fillId="0" borderId="32" xfId="0" applyNumberFormat="1" applyFont="1" applyFill="1" applyBorder="1" applyAlignment="1" applyProtection="1">
      <alignment horizontal="centerContinuous" wrapText="1"/>
    </xf>
    <xf numFmtId="164" fontId="22" fillId="0" borderId="32" xfId="0" applyFont="1" applyFill="1" applyBorder="1" applyAlignment="1" applyProtection="1">
      <alignment horizontal="centerContinuous" wrapText="1"/>
    </xf>
    <xf numFmtId="0" fontId="5" fillId="0" borderId="0" xfId="0" applyNumberFormat="1" applyFont="1" applyFill="1" applyAlignment="1" applyProtection="1">
      <alignment horizontal="right"/>
    </xf>
    <xf numFmtId="164" fontId="5" fillId="0" borderId="0" xfId="0" applyFont="1" applyFill="1" applyAlignment="1" applyProtection="1">
      <alignment horizontal="right" vertical="center"/>
    </xf>
    <xf numFmtId="5" fontId="5" fillId="0" borderId="0" xfId="0" applyNumberFormat="1" applyFont="1" applyFill="1" applyAlignment="1" applyProtection="1">
      <alignment horizontal="right" vertical="center"/>
    </xf>
    <xf numFmtId="37" fontId="5" fillId="0" borderId="0" xfId="0" applyNumberFormat="1" applyFont="1" applyFill="1" applyAlignment="1" applyProtection="1">
      <alignment horizontal="right"/>
    </xf>
    <xf numFmtId="165" fontId="5" fillId="0" borderId="0" xfId="0" applyNumberFormat="1" applyFont="1" applyFill="1" applyAlignment="1" applyProtection="1">
      <alignment horizontal="right"/>
    </xf>
    <xf numFmtId="37" fontId="5" fillId="0" borderId="0" xfId="0" applyNumberFormat="1" applyFont="1" applyFill="1" applyBorder="1" applyAlignment="1" applyProtection="1">
      <alignment horizontal="right"/>
    </xf>
    <xf numFmtId="37" fontId="5" fillId="0" borderId="1" xfId="0" applyNumberFormat="1" applyFont="1" applyFill="1" applyBorder="1" applyAlignment="1" applyProtection="1">
      <alignment horizontal="right"/>
    </xf>
    <xf numFmtId="164" fontId="6" fillId="0" borderId="0" xfId="0" applyFont="1" applyFill="1" applyAlignment="1">
      <alignment wrapText="1"/>
    </xf>
    <xf numFmtId="164" fontId="5" fillId="0" borderId="0" xfId="0" applyFont="1" applyFill="1" applyBorder="1" applyAlignment="1" applyProtection="1">
      <alignment horizontal="centerContinuous"/>
    </xf>
    <xf numFmtId="5" fontId="5" fillId="0" borderId="0" xfId="0" applyNumberFormat="1" applyFont="1" applyFill="1" applyBorder="1" applyAlignment="1" applyProtection="1">
      <alignment horizontal="right" vertical="center"/>
    </xf>
    <xf numFmtId="169" fontId="5" fillId="0" borderId="0" xfId="0" applyNumberFormat="1" applyFont="1" applyFill="1" applyBorder="1" applyAlignment="1" applyProtection="1">
      <alignment horizontal="right"/>
    </xf>
    <xf numFmtId="5" fontId="5" fillId="0" borderId="0" xfId="0" applyNumberFormat="1" applyFont="1" applyFill="1" applyBorder="1" applyAlignment="1" applyProtection="1">
      <alignment horizontal="right"/>
    </xf>
    <xf numFmtId="3" fontId="5" fillId="0" borderId="0" xfId="0" applyNumberFormat="1" applyFont="1" applyFill="1" applyAlignment="1" applyProtection="1">
      <alignment horizontal="right" vertical="center"/>
    </xf>
    <xf numFmtId="0" fontId="5" fillId="0" borderId="0" xfId="0" applyNumberFormat="1" applyFont="1" applyFill="1" applyAlignment="1" applyProtection="1">
      <alignment horizontal="right" vertical="center"/>
    </xf>
    <xf numFmtId="164" fontId="8" fillId="0" borderId="0" xfId="0" applyFont="1" applyFill="1"/>
    <xf numFmtId="169" fontId="5" fillId="0" borderId="1" xfId="0" applyNumberFormat="1" applyFont="1" applyFill="1" applyBorder="1" applyAlignment="1" applyProtection="1">
      <alignment horizontal="right" vertical="center"/>
    </xf>
    <xf numFmtId="164" fontId="5" fillId="0" borderId="33" xfId="0" applyFont="1" applyFill="1" applyBorder="1" applyAlignment="1" applyProtection="1">
      <alignment horizontal="centerContinuous"/>
    </xf>
    <xf numFmtId="164" fontId="6" fillId="0" borderId="0" xfId="0" applyFont="1" applyFill="1"/>
    <xf numFmtId="164" fontId="20" fillId="0" borderId="0" xfId="0" applyFont="1" applyFill="1" applyBorder="1" applyAlignment="1" applyProtection="1">
      <alignment horizontal="left" wrapText="1"/>
    </xf>
    <xf numFmtId="164" fontId="0" fillId="0" borderId="0" xfId="0" applyFill="1" applyAlignment="1">
      <alignment wrapText="1"/>
    </xf>
    <xf numFmtId="0" fontId="5" fillId="0" borderId="0" xfId="0" applyNumberFormat="1" applyFont="1" applyAlignment="1" applyProtection="1">
      <alignment horizontal="centerContinuous"/>
    </xf>
    <xf numFmtId="0" fontId="5" fillId="0" borderId="0" xfId="0" applyNumberFormat="1" applyFont="1" applyFill="1" applyAlignment="1" applyProtection="1">
      <alignment horizontal="centerContinuous"/>
    </xf>
    <xf numFmtId="0" fontId="0" fillId="0" borderId="0" xfId="0" applyNumberFormat="1" applyFill="1" applyAlignment="1">
      <alignment horizontal="centerContinuous"/>
    </xf>
    <xf numFmtId="0" fontId="0" fillId="0" borderId="0" xfId="0" applyNumberFormat="1" applyAlignment="1">
      <alignment horizontal="centerContinuous"/>
    </xf>
    <xf numFmtId="0" fontId="5" fillId="0" borderId="0" xfId="0" applyNumberFormat="1" applyFont="1" applyAlignment="1">
      <alignment horizontal="centerContinuous"/>
    </xf>
    <xf numFmtId="0" fontId="21" fillId="0" borderId="0" xfId="0" applyNumberFormat="1" applyFont="1" applyAlignment="1" applyProtection="1">
      <alignment horizontal="centerContinuous"/>
    </xf>
    <xf numFmtId="164" fontId="23" fillId="0" borderId="0" xfId="0" applyFont="1" applyBorder="1" applyAlignment="1">
      <alignment horizontal="centerContinuous"/>
    </xf>
    <xf numFmtId="164" fontId="25" fillId="0" borderId="0" xfId="0" applyFont="1" applyAlignment="1">
      <alignment horizontal="centerContinuous"/>
    </xf>
    <xf numFmtId="164" fontId="25" fillId="0" borderId="0" xfId="0" applyFont="1" applyBorder="1" applyAlignment="1">
      <alignment horizontal="centerContinuous"/>
    </xf>
    <xf numFmtId="164" fontId="25" fillId="8" borderId="0" xfId="0" applyFont="1" applyFill="1" applyAlignment="1">
      <alignment horizontal="centerContinuous"/>
    </xf>
    <xf numFmtId="165" fontId="25" fillId="0" borderId="0" xfId="3" applyNumberFormat="1" applyFont="1" applyAlignment="1">
      <alignment horizontal="centerContinuous"/>
    </xf>
    <xf numFmtId="165" fontId="25" fillId="0" borderId="0" xfId="3" applyNumberFormat="1" applyFont="1" applyBorder="1" applyAlignment="1">
      <alignment horizontal="centerContinuous"/>
    </xf>
    <xf numFmtId="165" fontId="23" fillId="0" borderId="0" xfId="3" applyNumberFormat="1" applyFont="1"/>
    <xf numFmtId="37" fontId="14" fillId="0" borderId="0" xfId="0" applyNumberFormat="1" applyFont="1" applyBorder="1" applyAlignment="1" applyProtection="1">
      <alignment horizontal="centerContinuous"/>
    </xf>
    <xf numFmtId="164" fontId="26" fillId="0" borderId="0" xfId="0" applyFont="1" applyBorder="1" applyAlignment="1">
      <alignment horizontal="centerContinuous"/>
    </xf>
    <xf numFmtId="164" fontId="26" fillId="0" borderId="0" xfId="0" applyFont="1" applyAlignment="1">
      <alignment horizontal="centerContinuous"/>
    </xf>
    <xf numFmtId="164" fontId="26" fillId="8" borderId="0" xfId="0" applyFont="1" applyFill="1" applyAlignment="1">
      <alignment horizontal="centerContinuous"/>
    </xf>
    <xf numFmtId="165" fontId="26" fillId="0" borderId="0" xfId="3" applyNumberFormat="1" applyFont="1" applyAlignment="1">
      <alignment horizontal="centerContinuous"/>
    </xf>
    <xf numFmtId="165" fontId="26" fillId="0" borderId="0" xfId="3" applyNumberFormat="1" applyFont="1" applyBorder="1" applyAlignment="1">
      <alignment horizontal="centerContinuous"/>
    </xf>
    <xf numFmtId="165" fontId="20" fillId="0" borderId="0" xfId="3" applyNumberFormat="1" applyFont="1"/>
    <xf numFmtId="164" fontId="20" fillId="0" borderId="0" xfId="0" applyFont="1"/>
    <xf numFmtId="165" fontId="27" fillId="0" borderId="0" xfId="3" applyNumberFormat="1" applyFont="1" applyAlignment="1">
      <alignment horizontal="centerContinuous"/>
    </xf>
    <xf numFmtId="164" fontId="28" fillId="0" borderId="0" xfId="0" applyFont="1" applyBorder="1"/>
    <xf numFmtId="164" fontId="23" fillId="0" borderId="0" xfId="0" applyFont="1" applyBorder="1"/>
    <xf numFmtId="164" fontId="23" fillId="8" borderId="0" xfId="0" applyFont="1" applyFill="1"/>
    <xf numFmtId="165" fontId="23" fillId="0" borderId="0" xfId="3" applyNumberFormat="1" applyFont="1" applyBorder="1"/>
    <xf numFmtId="164" fontId="28" fillId="0" borderId="17" xfId="0" applyFont="1" applyBorder="1"/>
    <xf numFmtId="165" fontId="29" fillId="0" borderId="10" xfId="3" applyNumberFormat="1" applyFont="1" applyBorder="1" applyAlignment="1" applyProtection="1">
      <alignment horizontal="centerContinuous"/>
    </xf>
    <xf numFmtId="164" fontId="30" fillId="0" borderId="11" xfId="0" applyFont="1" applyBorder="1" applyAlignment="1">
      <alignment horizontal="centerContinuous"/>
    </xf>
    <xf numFmtId="164" fontId="30" fillId="8" borderId="11" xfId="0" applyFont="1" applyFill="1" applyBorder="1" applyAlignment="1">
      <alignment horizontal="centerContinuous"/>
    </xf>
    <xf numFmtId="165" fontId="30" fillId="0" borderId="11" xfId="3" applyNumberFormat="1" applyFont="1" applyBorder="1" applyAlignment="1">
      <alignment horizontal="centerContinuous"/>
    </xf>
    <xf numFmtId="164" fontId="28" fillId="0" borderId="1" xfId="0" applyFont="1" applyBorder="1"/>
    <xf numFmtId="165" fontId="29" fillId="0" borderId="19" xfId="3" applyNumberFormat="1" applyFont="1" applyBorder="1" applyAlignment="1" applyProtection="1">
      <alignment horizontal="centerContinuous"/>
    </xf>
    <xf numFmtId="164" fontId="30" fillId="0" borderId="1" xfId="0" applyFont="1" applyBorder="1" applyAlignment="1">
      <alignment horizontal="centerContinuous"/>
    </xf>
    <xf numFmtId="164" fontId="22" fillId="0" borderId="10" xfId="0" applyFont="1" applyBorder="1" applyAlignment="1">
      <alignment horizontal="centerContinuous"/>
    </xf>
    <xf numFmtId="164" fontId="22" fillId="0" borderId="1" xfId="0" applyFont="1" applyBorder="1" applyAlignment="1">
      <alignment horizontal="centerContinuous"/>
    </xf>
    <xf numFmtId="164" fontId="22" fillId="0" borderId="12" xfId="0" applyFont="1" applyBorder="1" applyAlignment="1">
      <alignment horizontal="centerContinuous"/>
    </xf>
    <xf numFmtId="165" fontId="30" fillId="0" borderId="1" xfId="3" applyNumberFormat="1" applyFont="1" applyBorder="1" applyAlignment="1">
      <alignment horizontal="centerContinuous"/>
    </xf>
    <xf numFmtId="165" fontId="22" fillId="0" borderId="10" xfId="3" applyNumberFormat="1" applyFont="1" applyBorder="1" applyAlignment="1">
      <alignment horizontal="centerContinuous"/>
    </xf>
    <xf numFmtId="165" fontId="22" fillId="0" borderId="1" xfId="3" applyNumberFormat="1" applyFont="1" applyBorder="1" applyAlignment="1">
      <alignment horizontal="centerContinuous"/>
    </xf>
    <xf numFmtId="165" fontId="22" fillId="0" borderId="12" xfId="3" applyNumberFormat="1" applyFont="1" applyBorder="1" applyAlignment="1">
      <alignment horizontal="centerContinuous"/>
    </xf>
    <xf numFmtId="164" fontId="28" fillId="0" borderId="11" xfId="0" applyFont="1" applyBorder="1"/>
    <xf numFmtId="164" fontId="22" fillId="0" borderId="10" xfId="0" applyFont="1" applyBorder="1" applyAlignment="1">
      <alignment horizontal="center"/>
    </xf>
    <xf numFmtId="164" fontId="22" fillId="0" borderId="11" xfId="0" applyFont="1" applyBorder="1" applyAlignment="1">
      <alignment horizontal="center"/>
    </xf>
    <xf numFmtId="164" fontId="22" fillId="0" borderId="16" xfId="0" applyFont="1" applyBorder="1" applyAlignment="1">
      <alignment horizontal="center" wrapText="1"/>
    </xf>
    <xf numFmtId="164" fontId="22" fillId="0" borderId="11" xfId="0" applyFont="1" applyBorder="1" applyAlignment="1">
      <alignment horizontal="center" wrapText="1"/>
    </xf>
    <xf numFmtId="164" fontId="22" fillId="8" borderId="11" xfId="0" applyFont="1" applyFill="1" applyBorder="1" applyAlignment="1">
      <alignment horizontal="center"/>
    </xf>
    <xf numFmtId="165" fontId="22" fillId="0" borderId="10" xfId="3" applyNumberFormat="1" applyFont="1" applyBorder="1" applyAlignment="1">
      <alignment horizontal="center"/>
    </xf>
    <xf numFmtId="165" fontId="22" fillId="0" borderId="11" xfId="3" applyNumberFormat="1" applyFont="1" applyBorder="1" applyAlignment="1">
      <alignment horizontal="center"/>
    </xf>
    <xf numFmtId="165" fontId="22" fillId="0" borderId="16" xfId="3" applyNumberFormat="1" applyFont="1" applyBorder="1" applyAlignment="1">
      <alignment horizontal="center" wrapText="1"/>
    </xf>
    <xf numFmtId="165" fontId="22" fillId="0" borderId="11" xfId="3" applyNumberFormat="1" applyFont="1" applyBorder="1" applyAlignment="1">
      <alignment horizontal="center" wrapText="1"/>
    </xf>
    <xf numFmtId="165" fontId="22" fillId="0" borderId="10" xfId="3" applyNumberFormat="1" applyFont="1" applyBorder="1" applyAlignment="1">
      <alignment horizontal="center" wrapText="1"/>
    </xf>
    <xf numFmtId="37" fontId="31" fillId="0" borderId="0" xfId="0" applyNumberFormat="1" applyFont="1" applyBorder="1" applyAlignment="1" applyProtection="1">
      <alignment vertical="center"/>
    </xf>
    <xf numFmtId="37" fontId="31" fillId="0" borderId="17" xfId="0" applyNumberFormat="1" applyFont="1" applyBorder="1" applyAlignment="1" applyProtection="1">
      <alignment vertical="center"/>
    </xf>
    <xf numFmtId="9" fontId="31" fillId="0" borderId="3" xfId="0" applyNumberFormat="1" applyFont="1" applyBorder="1" applyAlignment="1">
      <alignment vertical="center"/>
    </xf>
    <xf numFmtId="9" fontId="31" fillId="0" borderId="17" xfId="0" applyNumberFormat="1" applyFont="1" applyBorder="1" applyAlignment="1">
      <alignment vertical="center"/>
    </xf>
    <xf numFmtId="9" fontId="31" fillId="0" borderId="20" xfId="0" applyNumberFormat="1" applyFont="1" applyBorder="1" applyAlignment="1">
      <alignment vertical="center"/>
    </xf>
    <xf numFmtId="9" fontId="32" fillId="8" borderId="0" xfId="0" applyNumberFormat="1" applyFont="1" applyFill="1" applyBorder="1" applyAlignment="1">
      <alignment vertical="center"/>
    </xf>
    <xf numFmtId="165" fontId="31" fillId="0" borderId="3" xfId="3" applyNumberFormat="1" applyFont="1" applyBorder="1" applyAlignment="1">
      <alignment vertical="center"/>
    </xf>
    <xf numFmtId="165" fontId="31" fillId="0" borderId="17" xfId="3" applyNumberFormat="1" applyFont="1" applyBorder="1" applyAlignment="1">
      <alignment vertical="center"/>
    </xf>
    <xf numFmtId="9" fontId="31" fillId="0" borderId="2" xfId="0" applyNumberFormat="1" applyFont="1" applyBorder="1" applyAlignment="1">
      <alignment vertical="center"/>
    </xf>
    <xf numFmtId="9" fontId="31" fillId="0" borderId="0" xfId="0" applyNumberFormat="1" applyFont="1" applyBorder="1" applyAlignment="1">
      <alignment vertical="center"/>
    </xf>
    <xf numFmtId="9" fontId="31" fillId="0" borderId="4" xfId="0" applyNumberFormat="1" applyFont="1" applyBorder="1" applyAlignment="1">
      <alignment vertical="center"/>
    </xf>
    <xf numFmtId="9" fontId="31" fillId="8" borderId="0" xfId="0" applyNumberFormat="1" applyFont="1" applyFill="1" applyBorder="1" applyAlignment="1">
      <alignment vertical="center"/>
    </xf>
    <xf numFmtId="165" fontId="31" fillId="0" borderId="2" xfId="3" applyNumberFormat="1" applyFont="1" applyBorder="1" applyAlignment="1">
      <alignment vertical="center"/>
    </xf>
    <xf numFmtId="165" fontId="31" fillId="0" borderId="0" xfId="3" applyNumberFormat="1" applyFont="1" applyBorder="1" applyAlignment="1">
      <alignment vertical="center"/>
    </xf>
    <xf numFmtId="37" fontId="31" fillId="0" borderId="5" xfId="0" applyNumberFormat="1" applyFont="1" applyBorder="1" applyAlignment="1" applyProtection="1">
      <alignment vertical="center"/>
    </xf>
    <xf numFmtId="9" fontId="31" fillId="0" borderId="19" xfId="0" applyNumberFormat="1" applyFont="1" applyBorder="1" applyAlignment="1">
      <alignment vertical="center"/>
    </xf>
    <xf numFmtId="9" fontId="31" fillId="0" borderId="1" xfId="0" applyNumberFormat="1" applyFont="1" applyBorder="1" applyAlignment="1">
      <alignment vertical="center"/>
    </xf>
    <xf numFmtId="9" fontId="31" fillId="0" borderId="5" xfId="0" applyNumberFormat="1" applyFont="1" applyBorder="1" applyAlignment="1">
      <alignment vertical="center"/>
    </xf>
    <xf numFmtId="9" fontId="31" fillId="8" borderId="1" xfId="0" applyNumberFormat="1" applyFont="1" applyFill="1" applyBorder="1" applyAlignment="1">
      <alignment vertical="center"/>
    </xf>
    <xf numFmtId="165" fontId="31" fillId="0" borderId="19" xfId="3" applyNumberFormat="1" applyFont="1" applyBorder="1" applyAlignment="1">
      <alignment vertical="center"/>
    </xf>
    <xf numFmtId="165" fontId="31" fillId="0" borderId="1" xfId="3" applyNumberFormat="1" applyFont="1" applyBorder="1" applyAlignment="1">
      <alignment vertical="center"/>
    </xf>
    <xf numFmtId="165" fontId="23" fillId="0" borderId="0" xfId="3" applyNumberFormat="1" applyFont="1" applyAlignment="1">
      <alignment vertical="top"/>
    </xf>
    <xf numFmtId="164" fontId="23" fillId="0" borderId="0" xfId="0" applyFont="1" applyAlignment="1">
      <alignment vertical="top"/>
    </xf>
    <xf numFmtId="164" fontId="20" fillId="0" borderId="0" xfId="0" applyFont="1" applyBorder="1" applyAlignment="1">
      <alignment horizontal="right"/>
    </xf>
    <xf numFmtId="164" fontId="5" fillId="0" borderId="0" xfId="0" applyNumberFormat="1" applyFont="1" applyFill="1" applyAlignment="1" applyProtection="1">
      <alignment horizontal="centerContinuous" vertical="center"/>
    </xf>
    <xf numFmtId="164" fontId="0" fillId="0" borderId="0" xfId="0" applyNumberFormat="1" applyFont="1" applyFill="1" applyAlignment="1">
      <alignment horizontal="centerContinuous" vertical="center"/>
    </xf>
    <xf numFmtId="164" fontId="5" fillId="0" borderId="0" xfId="0" applyNumberFormat="1" applyFont="1" applyFill="1" applyAlignment="1">
      <alignment horizontal="centerContinuous" vertical="center"/>
    </xf>
    <xf numFmtId="164" fontId="21" fillId="0" borderId="0" xfId="0" applyNumberFormat="1" applyFont="1" applyFill="1" applyAlignment="1" applyProtection="1">
      <alignment horizontal="centerContinuous" vertical="center"/>
    </xf>
    <xf numFmtId="164" fontId="25" fillId="0" borderId="0" xfId="0" applyFont="1" applyFill="1" applyBorder="1" applyAlignment="1">
      <alignment horizontal="centerContinuous"/>
    </xf>
    <xf numFmtId="164" fontId="25" fillId="0" borderId="0" xfId="0" applyFont="1" applyFill="1" applyAlignment="1">
      <alignment horizontal="centerContinuous"/>
    </xf>
    <xf numFmtId="37" fontId="21" fillId="0" borderId="0" xfId="0" applyNumberFormat="1" applyFont="1" applyBorder="1" applyAlignment="1" applyProtection="1">
      <alignment horizontal="centerContinuous"/>
    </xf>
    <xf numFmtId="37" fontId="33" fillId="0" borderId="0" xfId="0" applyNumberFormat="1" applyFont="1" applyBorder="1" applyAlignment="1" applyProtection="1">
      <alignment horizontal="centerContinuous"/>
    </xf>
    <xf numFmtId="49" fontId="5" fillId="0" borderId="26" xfId="3" applyNumberFormat="1" applyFont="1" applyFill="1" applyBorder="1" applyAlignment="1" applyProtection="1">
      <alignment horizontal="center" wrapText="1"/>
    </xf>
    <xf numFmtId="3" fontId="5" fillId="0" borderId="0" xfId="1" applyNumberFormat="1" applyFont="1" applyFill="1" applyBorder="1"/>
    <xf numFmtId="164" fontId="5" fillId="0" borderId="0" xfId="0" applyFont="1"/>
    <xf numFmtId="3" fontId="5" fillId="0" borderId="0" xfId="0" applyNumberFormat="1" applyFont="1"/>
    <xf numFmtId="164" fontId="5" fillId="0" borderId="0" xfId="0" applyFont="1" applyBorder="1" applyAlignment="1">
      <alignment horizontal="left" indent="1"/>
    </xf>
    <xf numFmtId="3" fontId="5" fillId="0" borderId="0" xfId="0" applyNumberFormat="1" applyFont="1" applyBorder="1"/>
    <xf numFmtId="3" fontId="15" fillId="0" borderId="1" xfId="0" applyNumberFormat="1" applyFont="1" applyBorder="1"/>
    <xf numFmtId="3" fontId="4" fillId="3" borderId="0" xfId="0" applyNumberFormat="1" applyFont="1" applyFill="1"/>
    <xf numFmtId="164" fontId="5" fillId="0" borderId="0" xfId="0" applyFont="1" applyBorder="1"/>
    <xf numFmtId="3" fontId="4" fillId="3" borderId="0" xfId="0" applyNumberFormat="1" applyFont="1" applyFill="1" applyAlignment="1">
      <alignment wrapText="1"/>
    </xf>
    <xf numFmtId="164" fontId="5" fillId="0" borderId="0" xfId="0" applyFont="1" applyBorder="1" applyAlignment="1">
      <alignment wrapText="1"/>
    </xf>
    <xf numFmtId="3" fontId="4" fillId="3" borderId="0" xfId="0" applyNumberFormat="1" applyFont="1" applyFill="1" applyAlignment="1"/>
    <xf numFmtId="3" fontId="15" fillId="0" borderId="24" xfId="0" applyNumberFormat="1" applyFont="1" applyBorder="1"/>
    <xf numFmtId="3" fontId="4" fillId="3" borderId="1" xfId="0" applyNumberFormat="1" applyFont="1" applyFill="1" applyBorder="1"/>
    <xf numFmtId="3" fontId="4" fillId="3" borderId="2" xfId="0" applyNumberFormat="1" applyFont="1" applyFill="1" applyBorder="1"/>
    <xf numFmtId="3" fontId="5" fillId="0" borderId="2" xfId="0" applyNumberFormat="1" applyFont="1" applyBorder="1"/>
    <xf numFmtId="3" fontId="15" fillId="0" borderId="19" xfId="0" applyNumberFormat="1" applyFont="1" applyBorder="1"/>
    <xf numFmtId="3" fontId="15" fillId="0" borderId="40" xfId="0" applyNumberFormat="1" applyFont="1" applyBorder="1"/>
    <xf numFmtId="3" fontId="4" fillId="3" borderId="3" xfId="0" applyNumberFormat="1" applyFont="1" applyFill="1" applyBorder="1" applyAlignment="1"/>
    <xf numFmtId="3" fontId="5" fillId="3" borderId="0" xfId="0" applyNumberFormat="1" applyFont="1" applyFill="1"/>
    <xf numFmtId="3" fontId="5" fillId="3" borderId="0" xfId="0" applyNumberFormat="1" applyFont="1" applyFill="1" applyBorder="1"/>
    <xf numFmtId="3" fontId="15" fillId="3" borderId="1" xfId="0" applyNumberFormat="1" applyFont="1" applyFill="1" applyBorder="1"/>
    <xf numFmtId="3" fontId="15" fillId="3" borderId="24" xfId="0" applyNumberFormat="1" applyFont="1" applyFill="1" applyBorder="1"/>
    <xf numFmtId="49" fontId="5" fillId="9" borderId="21" xfId="25" applyNumberFormat="1" applyFont="1" applyFill="1" applyBorder="1" applyAlignment="1" applyProtection="1">
      <alignment horizontal="center"/>
      <protection locked="0"/>
    </xf>
    <xf numFmtId="49" fontId="5" fillId="9" borderId="22" xfId="25" applyNumberFormat="1" applyFont="1" applyFill="1" applyBorder="1" applyAlignment="1" applyProtection="1">
      <alignment horizontal="left"/>
      <protection locked="0"/>
    </xf>
    <xf numFmtId="49" fontId="5" fillId="9" borderId="22" xfId="25" applyNumberFormat="1" applyFont="1" applyFill="1" applyBorder="1" applyAlignment="1" applyProtection="1">
      <alignment horizontal="center"/>
      <protection locked="0"/>
    </xf>
    <xf numFmtId="1" fontId="5" fillId="9" borderId="22" xfId="25" applyNumberFormat="1" applyFont="1" applyFill="1" applyBorder="1" applyAlignment="1" applyProtection="1">
      <alignment horizontal="center"/>
      <protection locked="0"/>
    </xf>
    <xf numFmtId="49" fontId="5" fillId="10" borderId="2" xfId="27" applyNumberFormat="1" applyFont="1" applyFill="1" applyBorder="1" applyAlignment="1" applyProtection="1">
      <alignment horizontal="center"/>
      <protection locked="0"/>
    </xf>
    <xf numFmtId="49" fontId="5" fillId="10" borderId="0" xfId="27" applyNumberFormat="1" applyFont="1" applyFill="1" applyBorder="1" applyAlignment="1" applyProtection="1">
      <alignment horizontal="left"/>
      <protection locked="0"/>
    </xf>
    <xf numFmtId="1" fontId="5" fillId="10" borderId="0" xfId="25" applyNumberFormat="1" applyFont="1" applyFill="1" applyBorder="1" applyAlignment="1" applyProtection="1">
      <alignment horizontal="center"/>
      <protection locked="0"/>
    </xf>
    <xf numFmtId="49" fontId="5" fillId="10" borderId="0" xfId="28" applyNumberFormat="1" applyFont="1" applyFill="1" applyBorder="1" applyAlignment="1" applyProtection="1">
      <alignment horizontal="left"/>
      <protection locked="0"/>
    </xf>
    <xf numFmtId="49" fontId="4" fillId="10" borderId="0" xfId="28" applyNumberFormat="1" applyFont="1" applyFill="1" applyBorder="1" applyAlignment="1" applyProtection="1">
      <alignment horizontal="left"/>
      <protection locked="0"/>
    </xf>
    <xf numFmtId="1" fontId="5" fillId="10" borderId="0" xfId="29" applyNumberFormat="1" applyFont="1" applyFill="1" applyBorder="1" applyAlignment="1" applyProtection="1">
      <alignment horizontal="center"/>
      <protection locked="0"/>
    </xf>
    <xf numFmtId="1" fontId="5" fillId="10" borderId="0" xfId="30" applyNumberFormat="1" applyFont="1" applyFill="1" applyBorder="1" applyAlignment="1" applyProtection="1">
      <alignment horizontal="center"/>
      <protection locked="0"/>
    </xf>
    <xf numFmtId="49" fontId="19" fillId="10" borderId="0" xfId="28" applyNumberFormat="1" applyFont="1" applyFill="1" applyBorder="1" applyAlignment="1" applyProtection="1">
      <alignment horizontal="left"/>
      <protection locked="0"/>
    </xf>
    <xf numFmtId="1" fontId="19" fillId="10" borderId="0" xfId="30" applyNumberFormat="1" applyFont="1" applyFill="1" applyBorder="1" applyAlignment="1" applyProtection="1">
      <alignment horizontal="center"/>
      <protection locked="0"/>
    </xf>
    <xf numFmtId="3" fontId="15" fillId="6" borderId="21" xfId="3" applyNumberFormat="1" applyFont="1" applyFill="1" applyBorder="1" applyAlignment="1" applyProtection="1">
      <alignment horizontal="center"/>
    </xf>
    <xf numFmtId="3" fontId="15" fillId="3" borderId="41" xfId="3" applyNumberFormat="1" applyFont="1" applyFill="1" applyBorder="1" applyAlignment="1" applyProtection="1">
      <alignment horizontal="center"/>
    </xf>
    <xf numFmtId="3" fontId="15" fillId="6" borderId="41" xfId="3" applyNumberFormat="1" applyFont="1" applyFill="1" applyBorder="1" applyAlignment="1" applyProtection="1">
      <alignment horizontal="center"/>
    </xf>
    <xf numFmtId="3" fontId="15" fillId="3" borderId="22" xfId="3" applyNumberFormat="1" applyFont="1" applyFill="1" applyBorder="1" applyAlignment="1" applyProtection="1">
      <alignment horizontal="center"/>
    </xf>
    <xf numFmtId="3" fontId="15" fillId="6" borderId="42" xfId="3" applyNumberFormat="1" applyFont="1" applyFill="1" applyBorder="1" applyAlignment="1" applyProtection="1">
      <alignment horizontal="center"/>
    </xf>
    <xf numFmtId="3" fontId="15" fillId="6" borderId="43" xfId="3" applyNumberFormat="1" applyFont="1" applyFill="1" applyBorder="1" applyAlignment="1" applyProtection="1">
      <alignment horizontal="center"/>
    </xf>
    <xf numFmtId="3" fontId="15" fillId="3" borderId="44" xfId="3" applyNumberFormat="1" applyFont="1" applyFill="1" applyBorder="1" applyAlignment="1" applyProtection="1">
      <alignment horizontal="center"/>
    </xf>
    <xf numFmtId="49" fontId="5" fillId="10" borderId="0" xfId="27" applyNumberFormat="1" applyFont="1" applyFill="1" applyBorder="1" applyAlignment="1" applyProtection="1">
      <alignment horizontal="center"/>
      <protection locked="0"/>
    </xf>
    <xf numFmtId="0" fontId="5" fillId="10" borderId="0" xfId="25" applyNumberFormat="1" applyFont="1" applyFill="1" applyBorder="1" applyAlignment="1" applyProtection="1">
      <alignment horizontal="center"/>
      <protection locked="0"/>
    </xf>
    <xf numFmtId="49" fontId="5" fillId="10" borderId="0" xfId="31" applyNumberFormat="1" applyFont="1" applyFill="1" applyBorder="1" applyAlignment="1" applyProtection="1">
      <alignment horizontal="left"/>
      <protection locked="0"/>
    </xf>
    <xf numFmtId="164" fontId="5" fillId="10" borderId="0" xfId="27" applyNumberFormat="1" applyFont="1" applyFill="1" applyBorder="1" applyProtection="1">
      <protection locked="0"/>
    </xf>
    <xf numFmtId="164" fontId="5" fillId="10" borderId="0" xfId="28" applyNumberFormat="1" applyFont="1" applyFill="1" applyBorder="1" applyProtection="1">
      <protection locked="0"/>
    </xf>
    <xf numFmtId="1" fontId="19" fillId="10" borderId="0" xfId="25" applyNumberFormat="1" applyFont="1" applyFill="1" applyBorder="1" applyAlignment="1" applyProtection="1">
      <alignment horizontal="center"/>
      <protection locked="0"/>
    </xf>
    <xf numFmtId="1" fontId="5" fillId="10" borderId="0" xfId="96" applyNumberFormat="1" applyFont="1" applyFill="1" applyBorder="1" applyAlignment="1" applyProtection="1">
      <alignment horizontal="center"/>
      <protection locked="0"/>
    </xf>
    <xf numFmtId="1" fontId="4" fillId="10" borderId="0" xfId="25" applyNumberFormat="1" applyFont="1" applyFill="1" applyBorder="1" applyAlignment="1" applyProtection="1">
      <alignment horizontal="center"/>
      <protection locked="0"/>
    </xf>
    <xf numFmtId="49" fontId="5" fillId="34" borderId="2" xfId="27" applyNumberFormat="1" applyFont="1" applyFill="1" applyBorder="1" applyAlignment="1" applyProtection="1">
      <alignment horizontal="center"/>
      <protection locked="0"/>
    </xf>
    <xf numFmtId="164" fontId="5" fillId="34" borderId="0" xfId="27" applyNumberFormat="1" applyFont="1" applyFill="1" applyBorder="1" applyProtection="1">
      <protection locked="0"/>
    </xf>
    <xf numFmtId="49" fontId="5" fillId="34" borderId="0" xfId="27" applyNumberFormat="1" applyFont="1" applyFill="1" applyBorder="1" applyAlignment="1" applyProtection="1">
      <alignment horizontal="center"/>
      <protection locked="0"/>
    </xf>
    <xf numFmtId="1" fontId="5" fillId="34" borderId="0" xfId="25" applyNumberFormat="1" applyFont="1" applyFill="1" applyBorder="1" applyAlignment="1" applyProtection="1">
      <alignment horizontal="center"/>
      <protection locked="0"/>
    </xf>
    <xf numFmtId="49" fontId="5" fillId="34" borderId="0" xfId="27" applyNumberFormat="1" applyFont="1" applyFill="1" applyBorder="1" applyAlignment="1" applyProtection="1">
      <alignment horizontal="left"/>
      <protection locked="0"/>
    </xf>
    <xf numFmtId="49" fontId="5" fillId="34" borderId="2" xfId="3" applyNumberFormat="1" applyFont="1" applyFill="1" applyBorder="1" applyAlignment="1" applyProtection="1">
      <alignment horizontal="center"/>
      <protection locked="0"/>
    </xf>
    <xf numFmtId="49" fontId="5" fillId="34" borderId="0" xfId="3" applyNumberFormat="1" applyFont="1" applyFill="1" applyBorder="1" applyAlignment="1" applyProtection="1">
      <alignment horizontal="left"/>
      <protection locked="0"/>
    </xf>
    <xf numFmtId="0" fontId="5" fillId="34" borderId="0" xfId="10766" applyNumberFormat="1" applyFont="1" applyFill="1" applyBorder="1" applyAlignment="1" applyProtection="1">
      <alignment horizontal="center"/>
      <protection locked="0"/>
    </xf>
    <xf numFmtId="49" fontId="5" fillId="34" borderId="0" xfId="10766" applyNumberFormat="1" applyFont="1" applyFill="1" applyBorder="1" applyAlignment="1" applyProtection="1">
      <alignment horizontal="left"/>
      <protection locked="0"/>
    </xf>
    <xf numFmtId="49" fontId="5" fillId="34" borderId="0" xfId="10766" applyNumberFormat="1" applyFont="1" applyFill="1" applyBorder="1" applyAlignment="1" applyProtection="1">
      <alignment horizontal="center"/>
      <protection locked="0"/>
    </xf>
    <xf numFmtId="1" fontId="4" fillId="34" borderId="0" xfId="25" applyNumberFormat="1" applyFont="1" applyFill="1" applyBorder="1" applyAlignment="1" applyProtection="1">
      <alignment horizontal="center"/>
      <protection locked="0"/>
    </xf>
    <xf numFmtId="1" fontId="4" fillId="34" borderId="0" xfId="3" applyNumberFormat="1" applyFont="1" applyFill="1" applyBorder="1" applyAlignment="1" applyProtection="1">
      <alignment horizontal="center"/>
      <protection locked="0"/>
    </xf>
    <xf numFmtId="49" fontId="5" fillId="35" borderId="2" xfId="27" applyNumberFormat="1" applyFont="1" applyFill="1" applyBorder="1" applyAlignment="1" applyProtection="1">
      <alignment horizontal="center"/>
      <protection locked="0"/>
    </xf>
    <xf numFmtId="49" fontId="5" fillId="35" borderId="0" xfId="27" applyNumberFormat="1" applyFont="1" applyFill="1" applyBorder="1" applyAlignment="1" applyProtection="1">
      <alignment horizontal="left"/>
      <protection locked="0"/>
    </xf>
    <xf numFmtId="1" fontId="5" fillId="35" borderId="0" xfId="25" applyNumberFormat="1" applyFont="1" applyFill="1" applyBorder="1" applyAlignment="1" applyProtection="1">
      <alignment horizontal="center"/>
      <protection locked="0"/>
    </xf>
    <xf numFmtId="49" fontId="5" fillId="35" borderId="0" xfId="28" applyNumberFormat="1" applyFont="1" applyFill="1" applyBorder="1" applyAlignment="1" applyProtection="1">
      <alignment horizontal="left"/>
      <protection locked="0"/>
    </xf>
    <xf numFmtId="49" fontId="5" fillId="35" borderId="0" xfId="31" applyNumberFormat="1" applyFont="1" applyFill="1" applyBorder="1" applyAlignment="1" applyProtection="1">
      <alignment horizontal="left"/>
      <protection locked="0"/>
    </xf>
    <xf numFmtId="3" fontId="5" fillId="35" borderId="0" xfId="10767" applyFont="1" applyFill="1" applyBorder="1" applyAlignment="1" applyProtection="1">
      <protection locked="0"/>
    </xf>
    <xf numFmtId="49" fontId="5" fillId="35" borderId="2" xfId="10767" applyNumberFormat="1" applyFont="1" applyFill="1" applyBorder="1" applyAlignment="1" applyProtection="1">
      <alignment horizontal="center"/>
      <protection locked="0"/>
    </xf>
    <xf numFmtId="49" fontId="5" fillId="35" borderId="0" xfId="10767" applyNumberFormat="1" applyFont="1" applyFill="1" applyBorder="1" applyAlignment="1" applyProtection="1">
      <alignment horizontal="left"/>
      <protection locked="0"/>
    </xf>
    <xf numFmtId="49" fontId="5" fillId="35" borderId="2" xfId="28" applyNumberFormat="1" applyFont="1" applyFill="1" applyBorder="1" applyAlignment="1" applyProtection="1">
      <alignment horizontal="center"/>
      <protection locked="0"/>
    </xf>
    <xf numFmtId="1" fontId="5" fillId="35" borderId="0" xfId="29" applyNumberFormat="1" applyFont="1" applyFill="1" applyBorder="1" applyAlignment="1" applyProtection="1">
      <alignment horizontal="center"/>
      <protection locked="0"/>
    </xf>
    <xf numFmtId="1" fontId="5" fillId="35" borderId="0" xfId="30" applyNumberFormat="1" applyFont="1" applyFill="1" applyBorder="1" applyAlignment="1" applyProtection="1">
      <alignment horizontal="center"/>
      <protection locked="0"/>
    </xf>
    <xf numFmtId="1" fontId="5" fillId="35" borderId="0" xfId="28" applyNumberFormat="1" applyFont="1" applyFill="1" applyBorder="1" applyAlignment="1" applyProtection="1">
      <alignment horizontal="center"/>
      <protection locked="0"/>
    </xf>
    <xf numFmtId="1" fontId="4" fillId="35" borderId="0" xfId="25" applyNumberFormat="1" applyFont="1" applyFill="1" applyBorder="1" applyAlignment="1" applyProtection="1">
      <alignment horizontal="center"/>
      <protection locked="0"/>
    </xf>
    <xf numFmtId="1" fontId="5" fillId="35" borderId="0" xfId="96" applyNumberFormat="1" applyFont="1" applyFill="1" applyBorder="1" applyAlignment="1" applyProtection="1">
      <alignment horizontal="center"/>
      <protection locked="0"/>
    </xf>
    <xf numFmtId="1" fontId="5" fillId="35" borderId="0" xfId="10767" applyNumberFormat="1" applyFont="1" applyFill="1" applyBorder="1" applyAlignment="1" applyProtection="1">
      <alignment horizontal="center"/>
      <protection locked="0"/>
    </xf>
    <xf numFmtId="1" fontId="5" fillId="36" borderId="0" xfId="10769" applyNumberFormat="1" applyFont="1" applyFill="1" applyBorder="1" applyAlignment="1" applyProtection="1">
      <alignment horizontal="center"/>
      <protection locked="0"/>
    </xf>
    <xf numFmtId="1" fontId="19" fillId="36" borderId="0" xfId="10769" applyNumberFormat="1" applyFont="1" applyFill="1" applyBorder="1" applyAlignment="1" applyProtection="1">
      <alignment horizontal="center"/>
      <protection locked="0"/>
    </xf>
    <xf numFmtId="1" fontId="19" fillId="35" borderId="0" xfId="10767" quotePrefix="1" applyNumberFormat="1" applyFont="1" applyFill="1" applyBorder="1" applyAlignment="1" applyProtection="1">
      <alignment horizontal="center"/>
      <protection locked="0"/>
    </xf>
    <xf numFmtId="1" fontId="19" fillId="35" borderId="0" xfId="30" applyNumberFormat="1" applyFont="1" applyFill="1" applyBorder="1" applyAlignment="1" applyProtection="1">
      <alignment horizontal="center"/>
      <protection locked="0"/>
    </xf>
    <xf numFmtId="49" fontId="5" fillId="14" borderId="0" xfId="3" applyNumberFormat="1" applyFont="1" applyFill="1" applyBorder="1" applyAlignment="1" applyProtection="1">
      <alignment horizontal="center"/>
      <protection locked="0"/>
    </xf>
    <xf numFmtId="49" fontId="5" fillId="14" borderId="0" xfId="3" applyNumberFormat="1" applyFont="1" applyFill="1" applyBorder="1" applyAlignment="1" applyProtection="1">
      <alignment horizontal="left"/>
      <protection locked="0"/>
    </xf>
    <xf numFmtId="49" fontId="5" fillId="35" borderId="0" xfId="3" applyNumberFormat="1" applyFont="1" applyFill="1" applyBorder="1" applyAlignment="1" applyProtection="1">
      <alignment horizontal="left"/>
      <protection locked="0"/>
    </xf>
    <xf numFmtId="49" fontId="5" fillId="37" borderId="0" xfId="28" applyNumberFormat="1" applyFont="1" applyFill="1" applyBorder="1" applyAlignment="1" applyProtection="1">
      <alignment horizontal="left"/>
      <protection locked="0"/>
    </xf>
    <xf numFmtId="1" fontId="5" fillId="37" borderId="0" xfId="28" applyNumberFormat="1" applyFont="1" applyFill="1" applyBorder="1" applyAlignment="1" applyProtection="1">
      <alignment horizontal="center"/>
      <protection locked="0"/>
    </xf>
    <xf numFmtId="1" fontId="5" fillId="37" borderId="0" xfId="25" applyNumberFormat="1" applyFont="1" applyFill="1" applyBorder="1" applyAlignment="1" applyProtection="1">
      <alignment horizontal="center"/>
      <protection locked="0"/>
    </xf>
    <xf numFmtId="49" fontId="5" fillId="37" borderId="2" xfId="10767" applyNumberFormat="1" applyFont="1" applyFill="1" applyBorder="1" applyAlignment="1" applyProtection="1">
      <alignment horizontal="center"/>
      <protection locked="0"/>
    </xf>
    <xf numFmtId="49" fontId="5" fillId="38" borderId="0" xfId="28" applyNumberFormat="1" applyFont="1" applyFill="1" applyBorder="1" applyAlignment="1" applyProtection="1">
      <alignment horizontal="left"/>
      <protection locked="0"/>
    </xf>
    <xf numFmtId="1" fontId="5" fillId="37" borderId="0" xfId="10767" applyNumberFormat="1" applyFont="1" applyFill="1" applyBorder="1" applyAlignment="1" applyProtection="1">
      <alignment horizontal="center"/>
      <protection locked="0"/>
    </xf>
    <xf numFmtId="49" fontId="5" fillId="37" borderId="2" xfId="28" applyNumberFormat="1" applyFont="1" applyFill="1" applyBorder="1" applyAlignment="1" applyProtection="1">
      <alignment horizontal="center"/>
      <protection locked="0"/>
    </xf>
    <xf numFmtId="49" fontId="5" fillId="34" borderId="0" xfId="25" applyNumberFormat="1" applyFont="1" applyFill="1" applyBorder="1" applyAlignment="1" applyProtection="1">
      <alignment horizontal="center"/>
      <protection locked="0"/>
    </xf>
    <xf numFmtId="49" fontId="5" fillId="34" borderId="0" xfId="25" applyNumberFormat="1" applyFont="1" applyFill="1" applyBorder="1" applyAlignment="1" applyProtection="1">
      <alignment horizontal="left"/>
      <protection locked="0"/>
    </xf>
    <xf numFmtId="1" fontId="19" fillId="34" borderId="0" xfId="25" applyNumberFormat="1" applyFont="1" applyFill="1" applyBorder="1" applyAlignment="1" applyProtection="1">
      <alignment horizontal="center"/>
      <protection locked="0"/>
    </xf>
    <xf numFmtId="49" fontId="5" fillId="34" borderId="0" xfId="10767" applyNumberFormat="1" applyFont="1" applyFill="1" applyBorder="1" applyAlignment="1" applyProtection="1">
      <alignment horizontal="left"/>
      <protection locked="0"/>
    </xf>
    <xf numFmtId="164" fontId="5" fillId="34" borderId="0" xfId="25" applyFont="1" applyFill="1" applyBorder="1" applyAlignment="1" applyProtection="1">
      <protection locked="0"/>
    </xf>
    <xf numFmtId="1" fontId="5" fillId="34" borderId="0" xfId="30" applyNumberFormat="1" applyFont="1" applyFill="1" applyBorder="1" applyAlignment="1" applyProtection="1">
      <alignment horizontal="center"/>
      <protection locked="0"/>
    </xf>
    <xf numFmtId="1" fontId="5" fillId="34" borderId="0" xfId="10767" applyNumberFormat="1" applyFont="1" applyFill="1" applyBorder="1" applyAlignment="1" applyProtection="1">
      <alignment horizontal="center"/>
      <protection locked="0"/>
    </xf>
    <xf numFmtId="1" fontId="5" fillId="39" borderId="0" xfId="10769" applyNumberFormat="1" applyFont="1" applyFill="1" applyBorder="1" applyAlignment="1" applyProtection="1">
      <alignment horizontal="center"/>
      <protection locked="0"/>
    </xf>
    <xf numFmtId="49" fontId="5" fillId="40" borderId="2" xfId="28" applyNumberFormat="1" applyFont="1" applyFill="1" applyBorder="1" applyAlignment="1" applyProtection="1">
      <alignment horizontal="center"/>
      <protection locked="0"/>
    </xf>
    <xf numFmtId="49" fontId="5" fillId="40" borderId="0" xfId="27" applyNumberFormat="1" applyFont="1" applyFill="1" applyBorder="1" applyAlignment="1" applyProtection="1">
      <alignment horizontal="left"/>
      <protection locked="0"/>
    </xf>
    <xf numFmtId="1" fontId="5" fillId="40" borderId="0" xfId="25" applyNumberFormat="1" applyFont="1" applyFill="1" applyBorder="1" applyAlignment="1" applyProtection="1">
      <alignment horizontal="center"/>
      <protection locked="0"/>
    </xf>
    <xf numFmtId="49" fontId="5" fillId="40" borderId="2" xfId="27" applyNumberFormat="1" applyFont="1" applyFill="1" applyBorder="1" applyAlignment="1" applyProtection="1">
      <alignment horizontal="center"/>
      <protection locked="0"/>
    </xf>
    <xf numFmtId="49" fontId="5" fillId="40" borderId="0" xfId="28" applyNumberFormat="1" applyFont="1" applyFill="1" applyBorder="1" applyAlignment="1" applyProtection="1">
      <alignment horizontal="left"/>
      <protection locked="0"/>
    </xf>
    <xf numFmtId="49" fontId="5" fillId="40" borderId="2" xfId="10767" applyNumberFormat="1" applyFont="1" applyFill="1" applyBorder="1" applyAlignment="1" applyProtection="1">
      <alignment horizontal="center"/>
      <protection locked="0"/>
    </xf>
    <xf numFmtId="49" fontId="5" fillId="40" borderId="0" xfId="10767" applyNumberFormat="1" applyFont="1" applyFill="1" applyBorder="1" applyAlignment="1" applyProtection="1">
      <alignment horizontal="left"/>
      <protection locked="0"/>
    </xf>
    <xf numFmtId="3" fontId="5" fillId="40" borderId="0" xfId="10767" applyFont="1" applyFill="1" applyBorder="1" applyAlignment="1" applyProtection="1">
      <protection locked="0"/>
    </xf>
    <xf numFmtId="1" fontId="5" fillId="40" borderId="0" xfId="29" applyNumberFormat="1" applyFont="1" applyFill="1" applyBorder="1" applyAlignment="1" applyProtection="1">
      <alignment horizontal="center"/>
      <protection locked="0"/>
    </xf>
    <xf numFmtId="1" fontId="5" fillId="40" borderId="0" xfId="96" applyNumberFormat="1" applyFont="1" applyFill="1" applyBorder="1" applyAlignment="1" applyProtection="1">
      <alignment horizontal="center"/>
      <protection locked="0"/>
    </xf>
    <xf numFmtId="1" fontId="5" fillId="40" borderId="0" xfId="28" applyNumberFormat="1" applyFont="1" applyFill="1" applyBorder="1" applyAlignment="1" applyProtection="1">
      <alignment horizontal="center"/>
      <protection locked="0"/>
    </xf>
    <xf numFmtId="1" fontId="5" fillId="40" borderId="0" xfId="10767" applyNumberFormat="1" applyFont="1" applyFill="1" applyBorder="1" applyAlignment="1" applyProtection="1">
      <alignment horizontal="center"/>
      <protection locked="0"/>
    </xf>
    <xf numFmtId="1" fontId="5" fillId="41" borderId="0" xfId="10769" applyNumberFormat="1" applyFont="1" applyFill="1" applyBorder="1" applyAlignment="1" applyProtection="1">
      <alignment horizontal="center"/>
      <protection locked="0"/>
    </xf>
    <xf numFmtId="49" fontId="5" fillId="37" borderId="2" xfId="27" applyNumberFormat="1" applyFont="1" applyFill="1" applyBorder="1" applyAlignment="1" applyProtection="1">
      <alignment horizontal="center"/>
      <protection locked="0"/>
    </xf>
    <xf numFmtId="49" fontId="5" fillId="37" borderId="0" xfId="27" applyNumberFormat="1" applyFont="1" applyFill="1" applyBorder="1" applyAlignment="1" applyProtection="1">
      <alignment horizontal="left"/>
      <protection locked="0"/>
    </xf>
    <xf numFmtId="49" fontId="5" fillId="37" borderId="0" xfId="10767" applyNumberFormat="1" applyFont="1" applyFill="1" applyBorder="1" applyAlignment="1" applyProtection="1">
      <alignment horizontal="left"/>
      <protection locked="0"/>
    </xf>
    <xf numFmtId="3" fontId="5" fillId="37" borderId="0" xfId="10767" applyFont="1" applyFill="1" applyBorder="1" applyAlignment="1" applyProtection="1">
      <protection locked="0"/>
    </xf>
    <xf numFmtId="1" fontId="5" fillId="37" borderId="0" xfId="96" applyNumberFormat="1" applyFont="1" applyFill="1" applyBorder="1" applyAlignment="1" applyProtection="1">
      <alignment horizontal="center"/>
      <protection locked="0"/>
    </xf>
    <xf numFmtId="1" fontId="5" fillId="37" borderId="0" xfId="29" applyNumberFormat="1" applyFont="1" applyFill="1" applyBorder="1" applyAlignment="1" applyProtection="1">
      <alignment horizontal="center"/>
      <protection locked="0"/>
    </xf>
    <xf numFmtId="1" fontId="5" fillId="37" borderId="0" xfId="30" applyNumberFormat="1" applyFont="1" applyFill="1" applyBorder="1" applyAlignment="1" applyProtection="1">
      <alignment horizontal="center"/>
      <protection locked="0"/>
    </xf>
    <xf numFmtId="1" fontId="19" fillId="37" borderId="0" xfId="30" applyNumberFormat="1" applyFont="1" applyFill="1" applyBorder="1" applyAlignment="1" applyProtection="1">
      <alignment horizontal="center"/>
      <protection locked="0"/>
    </xf>
    <xf numFmtId="1" fontId="5" fillId="42" borderId="0" xfId="10769" applyNumberFormat="1" applyFont="1" applyFill="1" applyBorder="1" applyAlignment="1" applyProtection="1">
      <alignment horizontal="center"/>
      <protection locked="0"/>
    </xf>
    <xf numFmtId="1" fontId="4" fillId="37" borderId="0" xfId="96" applyNumberFormat="1" applyFont="1" applyFill="1" applyBorder="1" applyAlignment="1" applyProtection="1">
      <alignment horizontal="center"/>
      <protection locked="0"/>
    </xf>
    <xf numFmtId="1" fontId="19" fillId="37" borderId="0" xfId="96" applyNumberFormat="1" applyFont="1" applyFill="1" applyBorder="1" applyAlignment="1" applyProtection="1">
      <alignment horizontal="center"/>
      <protection locked="0"/>
    </xf>
    <xf numFmtId="49" fontId="5" fillId="43" borderId="0" xfId="3" applyNumberFormat="1" applyFont="1" applyFill="1" applyBorder="1" applyAlignment="1" applyProtection="1">
      <alignment horizontal="left"/>
      <protection locked="0"/>
    </xf>
    <xf numFmtId="49" fontId="5" fillId="43" borderId="0" xfId="25" applyNumberFormat="1" applyFont="1" applyFill="1" applyBorder="1" applyAlignment="1" applyProtection="1">
      <alignment horizontal="left"/>
      <protection locked="0"/>
    </xf>
    <xf numFmtId="1" fontId="19" fillId="43" borderId="0" xfId="25" applyNumberFormat="1" applyFont="1" applyFill="1" applyBorder="1" applyAlignment="1" applyProtection="1">
      <alignment horizontal="center"/>
      <protection locked="0"/>
    </xf>
    <xf numFmtId="49" fontId="5" fillId="43" borderId="0" xfId="10770" applyNumberFormat="1" applyFont="1" applyFill="1" applyBorder="1" applyAlignment="1" applyProtection="1">
      <alignment horizontal="left"/>
      <protection locked="0"/>
    </xf>
    <xf numFmtId="1" fontId="5" fillId="43" borderId="0" xfId="25" applyNumberFormat="1" applyFont="1" applyFill="1" applyBorder="1" applyAlignment="1" applyProtection="1">
      <alignment horizontal="center"/>
      <protection locked="0"/>
    </xf>
    <xf numFmtId="1" fontId="5" fillId="43" borderId="0" xfId="30" applyNumberFormat="1" applyFont="1" applyFill="1" applyBorder="1" applyAlignment="1" applyProtection="1">
      <alignment horizontal="center"/>
      <protection locked="0"/>
    </xf>
    <xf numFmtId="1" fontId="4" fillId="43" borderId="0" xfId="25" applyNumberFormat="1" applyFont="1" applyFill="1" applyBorder="1" applyAlignment="1" applyProtection="1">
      <alignment horizontal="center"/>
      <protection locked="0"/>
    </xf>
    <xf numFmtId="49" fontId="5" fillId="34" borderId="0" xfId="28" applyNumberFormat="1" applyFont="1" applyFill="1" applyBorder="1" applyAlignment="1" applyProtection="1">
      <alignment horizontal="left"/>
      <protection locked="0"/>
    </xf>
    <xf numFmtId="49" fontId="5" fillId="44" borderId="0" xfId="27" applyNumberFormat="1" applyFont="1" applyFill="1" applyBorder="1" applyAlignment="1" applyProtection="1">
      <alignment horizontal="left"/>
      <protection locked="0"/>
    </xf>
    <xf numFmtId="1" fontId="5" fillId="34" borderId="0" xfId="28" applyNumberFormat="1" applyFont="1" applyFill="1" applyBorder="1" applyAlignment="1" applyProtection="1">
      <alignment horizontal="center"/>
      <protection locked="0"/>
    </xf>
    <xf numFmtId="1" fontId="5" fillId="34" borderId="0" xfId="29" applyNumberFormat="1" applyFont="1" applyFill="1" applyBorder="1" applyAlignment="1" applyProtection="1">
      <alignment horizontal="center"/>
      <protection locked="0"/>
    </xf>
    <xf numFmtId="1" fontId="5" fillId="34" borderId="0" xfId="96" applyNumberFormat="1" applyFont="1" applyFill="1" applyBorder="1" applyAlignment="1" applyProtection="1">
      <alignment horizontal="center"/>
      <protection locked="0"/>
    </xf>
    <xf numFmtId="49" fontId="5" fillId="35" borderId="0" xfId="3" applyNumberFormat="1" applyFont="1" applyFill="1" applyBorder="1" applyAlignment="1" applyProtection="1">
      <alignment horizontal="center"/>
      <protection locked="0"/>
    </xf>
    <xf numFmtId="49" fontId="5" fillId="35" borderId="0" xfId="25" applyNumberFormat="1" applyFont="1" applyFill="1" applyBorder="1" applyAlignment="1" applyProtection="1">
      <alignment horizontal="left"/>
      <protection locked="0"/>
    </xf>
    <xf numFmtId="49" fontId="5" fillId="35" borderId="0" xfId="25" applyNumberFormat="1" applyFont="1" applyFill="1" applyBorder="1" applyAlignment="1" applyProtection="1">
      <alignment horizontal="center"/>
      <protection locked="0"/>
    </xf>
    <xf numFmtId="49" fontId="5" fillId="36" borderId="0" xfId="3" applyNumberFormat="1" applyFont="1" applyFill="1" applyBorder="1" applyAlignment="1" applyProtection="1">
      <alignment horizontal="center"/>
      <protection locked="0"/>
    </xf>
    <xf numFmtId="49" fontId="5" fillId="43" borderId="2" xfId="27" applyNumberFormat="1" applyFont="1" applyFill="1" applyBorder="1" applyAlignment="1" applyProtection="1">
      <alignment horizontal="center"/>
      <protection locked="0"/>
    </xf>
    <xf numFmtId="49" fontId="5" fillId="43" borderId="0" xfId="27" applyNumberFormat="1" applyFont="1" applyFill="1" applyBorder="1" applyAlignment="1" applyProtection="1">
      <alignment horizontal="left"/>
      <protection locked="0"/>
    </xf>
    <xf numFmtId="1" fontId="5" fillId="43" borderId="0" xfId="29" applyNumberFormat="1" applyFont="1" applyFill="1" applyBorder="1" applyAlignment="1" applyProtection="1">
      <alignment horizontal="center"/>
      <protection locked="0"/>
    </xf>
    <xf numFmtId="49" fontId="5" fillId="43" borderId="0" xfId="28" applyNumberFormat="1" applyFont="1" applyFill="1" applyBorder="1" applyAlignment="1" applyProtection="1">
      <alignment horizontal="left"/>
      <protection locked="0"/>
    </xf>
    <xf numFmtId="49" fontId="5" fillId="43" borderId="2" xfId="10767" applyNumberFormat="1" applyFont="1" applyFill="1" applyBorder="1" applyAlignment="1" applyProtection="1">
      <alignment horizontal="center"/>
      <protection locked="0"/>
    </xf>
    <xf numFmtId="1" fontId="5" fillId="43" borderId="0" xfId="10767" applyNumberFormat="1" applyFont="1" applyFill="1" applyBorder="1" applyAlignment="1" applyProtection="1">
      <alignment horizontal="center"/>
      <protection locked="0"/>
    </xf>
    <xf numFmtId="1" fontId="5" fillId="45" borderId="0" xfId="10769" applyNumberFormat="1" applyFont="1" applyFill="1" applyBorder="1" applyAlignment="1" applyProtection="1">
      <alignment horizontal="center"/>
      <protection locked="0"/>
    </xf>
    <xf numFmtId="164" fontId="5" fillId="43" borderId="0" xfId="28" applyNumberFormat="1" applyFont="1" applyFill="1" applyBorder="1" applyProtection="1">
      <protection locked="0"/>
    </xf>
    <xf numFmtId="1" fontId="5" fillId="43" borderId="0" xfId="28" applyNumberFormat="1" applyFont="1" applyFill="1" applyBorder="1" applyAlignment="1" applyProtection="1">
      <alignment horizontal="center"/>
      <protection locked="0"/>
    </xf>
    <xf numFmtId="1" fontId="19" fillId="43" borderId="0" xfId="30" applyNumberFormat="1" applyFont="1" applyFill="1" applyBorder="1" applyAlignment="1" applyProtection="1">
      <alignment horizontal="center"/>
      <protection locked="0"/>
    </xf>
    <xf numFmtId="49" fontId="5" fillId="37" borderId="0" xfId="25" applyNumberFormat="1" applyFont="1" applyFill="1" applyBorder="1" applyAlignment="1" applyProtection="1">
      <alignment horizontal="left"/>
      <protection locked="0"/>
    </xf>
    <xf numFmtId="49" fontId="5" fillId="37" borderId="0" xfId="10771" applyNumberFormat="1" applyFont="1" applyFill="1" applyBorder="1" applyAlignment="1" applyProtection="1">
      <alignment horizontal="left"/>
      <protection locked="0"/>
    </xf>
    <xf numFmtId="1" fontId="19" fillId="37" borderId="0" xfId="25" applyNumberFormat="1" applyFont="1" applyFill="1" applyBorder="1" applyAlignment="1" applyProtection="1">
      <alignment horizontal="center"/>
      <protection locked="0"/>
    </xf>
    <xf numFmtId="49" fontId="4" fillId="37" borderId="0" xfId="25" applyNumberFormat="1" applyFont="1" applyFill="1" applyBorder="1" applyAlignment="1" applyProtection="1">
      <alignment horizontal="left"/>
      <protection locked="0"/>
    </xf>
    <xf numFmtId="49" fontId="19" fillId="37" borderId="0" xfId="25" applyNumberFormat="1" applyFont="1" applyFill="1" applyBorder="1" applyAlignment="1" applyProtection="1">
      <alignment horizontal="left"/>
      <protection locked="0"/>
    </xf>
    <xf numFmtId="49" fontId="4" fillId="37" borderId="0" xfId="10771" applyNumberFormat="1" applyFont="1" applyFill="1" applyBorder="1" applyAlignment="1" applyProtection="1">
      <alignment horizontal="left"/>
      <protection locked="0"/>
    </xf>
    <xf numFmtId="49" fontId="5" fillId="37" borderId="0" xfId="10768" applyNumberFormat="1" applyFont="1" applyFill="1" applyBorder="1" applyAlignment="1" applyProtection="1">
      <alignment horizontal="center"/>
      <protection locked="0"/>
    </xf>
    <xf numFmtId="1" fontId="4" fillId="37" borderId="0" xfId="25" applyNumberFormat="1" applyFont="1" applyFill="1" applyBorder="1" applyAlignment="1" applyProtection="1">
      <alignment horizontal="center"/>
      <protection locked="0"/>
    </xf>
    <xf numFmtId="49" fontId="5" fillId="46" borderId="0" xfId="27" applyNumberFormat="1" applyFont="1" applyFill="1" applyBorder="1" applyAlignment="1" applyProtection="1">
      <alignment horizontal="left"/>
      <protection locked="0"/>
    </xf>
    <xf numFmtId="1" fontId="5" fillId="46" borderId="0" xfId="25" applyNumberFormat="1" applyFont="1" applyFill="1" applyBorder="1" applyAlignment="1" applyProtection="1">
      <alignment horizontal="center"/>
      <protection locked="0"/>
    </xf>
    <xf numFmtId="49" fontId="5" fillId="46" borderId="2" xfId="27" applyNumberFormat="1" applyFont="1" applyFill="1" applyBorder="1" applyAlignment="1" applyProtection="1">
      <alignment horizontal="center"/>
      <protection locked="0"/>
    </xf>
    <xf numFmtId="49" fontId="5" fillId="46" borderId="0" xfId="28" applyNumberFormat="1" applyFont="1" applyFill="1" applyBorder="1" applyAlignment="1" applyProtection="1">
      <alignment horizontal="left"/>
      <protection locked="0"/>
    </xf>
    <xf numFmtId="1" fontId="19" fillId="46" borderId="0" xfId="25" applyNumberFormat="1" applyFont="1" applyFill="1" applyBorder="1" applyAlignment="1" applyProtection="1">
      <alignment horizontal="center"/>
      <protection locked="0"/>
    </xf>
    <xf numFmtId="3" fontId="5" fillId="46" borderId="0" xfId="10767" applyFont="1" applyFill="1" applyBorder="1" applyAlignment="1" applyProtection="1">
      <protection locked="0"/>
    </xf>
    <xf numFmtId="1" fontId="5" fillId="47" borderId="0" xfId="25" applyNumberFormat="1" applyFont="1" applyFill="1" applyBorder="1" applyAlignment="1" applyProtection="1">
      <alignment horizontal="center"/>
      <protection locked="0"/>
    </xf>
    <xf numFmtId="49" fontId="5" fillId="47" borderId="2" xfId="28" applyNumberFormat="1" applyFont="1" applyFill="1" applyBorder="1" applyAlignment="1" applyProtection="1">
      <alignment horizontal="center"/>
      <protection locked="0"/>
    </xf>
    <xf numFmtId="49" fontId="5" fillId="46" borderId="0" xfId="10767" applyNumberFormat="1" applyFont="1" applyFill="1" applyBorder="1" applyAlignment="1" applyProtection="1">
      <alignment horizontal="left"/>
      <protection locked="0"/>
    </xf>
    <xf numFmtId="49" fontId="5" fillId="46" borderId="2" xfId="28" applyNumberFormat="1" applyFont="1" applyFill="1" applyBorder="1" applyAlignment="1" applyProtection="1">
      <alignment horizontal="center"/>
      <protection locked="0"/>
    </xf>
    <xf numFmtId="49" fontId="5" fillId="46" borderId="2" xfId="10767" applyNumberFormat="1" applyFont="1" applyFill="1" applyBorder="1" applyAlignment="1" applyProtection="1">
      <alignment horizontal="center"/>
      <protection locked="0"/>
    </xf>
    <xf numFmtId="49" fontId="5" fillId="47" borderId="0" xfId="28" applyNumberFormat="1" applyFont="1" applyFill="1" applyBorder="1" applyAlignment="1" applyProtection="1">
      <alignment horizontal="left"/>
      <protection locked="0"/>
    </xf>
    <xf numFmtId="1" fontId="5" fillId="46" borderId="0" xfId="10767" applyNumberFormat="1" applyFont="1" applyFill="1" applyBorder="1" applyAlignment="1" applyProtection="1">
      <alignment horizontal="center"/>
      <protection locked="0"/>
    </xf>
    <xf numFmtId="1" fontId="5" fillId="46" borderId="0" xfId="28" applyNumberFormat="1" applyFont="1" applyFill="1" applyBorder="1" applyAlignment="1" applyProtection="1">
      <alignment horizontal="center"/>
      <protection locked="0"/>
    </xf>
    <xf numFmtId="1" fontId="4" fillId="46" borderId="0" xfId="25" applyNumberFormat="1" applyFont="1" applyFill="1" applyBorder="1" applyAlignment="1" applyProtection="1">
      <alignment horizontal="center"/>
      <protection locked="0"/>
    </xf>
    <xf numFmtId="3" fontId="4" fillId="46" borderId="0" xfId="10767" applyFont="1" applyFill="1" applyBorder="1" applyAlignment="1" applyProtection="1">
      <alignment horizontal="center"/>
      <protection locked="0"/>
    </xf>
    <xf numFmtId="1" fontId="5" fillId="48" borderId="0" xfId="10769" applyNumberFormat="1" applyFont="1" applyFill="1" applyBorder="1" applyAlignment="1" applyProtection="1">
      <alignment horizontal="center"/>
      <protection locked="0"/>
    </xf>
    <xf numFmtId="49" fontId="5" fillId="40" borderId="0" xfId="25" applyNumberFormat="1" applyFont="1" applyFill="1" applyBorder="1" applyAlignment="1" applyProtection="1">
      <alignment horizontal="center"/>
      <protection locked="0"/>
    </xf>
    <xf numFmtId="49" fontId="5" fillId="40" borderId="0" xfId="25" applyNumberFormat="1" applyFont="1" applyFill="1" applyBorder="1" applyAlignment="1" applyProtection="1">
      <alignment horizontal="left"/>
      <protection locked="0"/>
    </xf>
    <xf numFmtId="1" fontId="19" fillId="40" borderId="0" xfId="25" applyNumberFormat="1" applyFont="1" applyFill="1" applyBorder="1" applyAlignment="1" applyProtection="1">
      <alignment horizontal="center"/>
      <protection locked="0"/>
    </xf>
    <xf numFmtId="164" fontId="5" fillId="40" borderId="0" xfId="25" applyFont="1" applyFill="1" applyBorder="1" applyAlignment="1" applyProtection="1">
      <protection locked="0"/>
    </xf>
    <xf numFmtId="49" fontId="5" fillId="40" borderId="2" xfId="25" applyNumberFormat="1" applyFont="1" applyFill="1" applyBorder="1" applyAlignment="1" applyProtection="1">
      <alignment horizontal="center"/>
      <protection locked="0"/>
    </xf>
    <xf numFmtId="49" fontId="5" fillId="40" borderId="0" xfId="3" applyNumberFormat="1" applyFont="1" applyFill="1" applyBorder="1" applyAlignment="1" applyProtection="1">
      <alignment horizontal="center"/>
      <protection locked="0"/>
    </xf>
    <xf numFmtId="1" fontId="4" fillId="40" borderId="0" xfId="25" applyNumberFormat="1" applyFont="1" applyFill="1" applyBorder="1" applyAlignment="1" applyProtection="1">
      <alignment horizontal="center"/>
      <protection locked="0"/>
    </xf>
    <xf numFmtId="1" fontId="4" fillId="41" borderId="0" xfId="10769" applyNumberFormat="1" applyFont="1" applyFill="1" applyBorder="1" applyAlignment="1" applyProtection="1">
      <alignment horizontal="center"/>
      <protection locked="0"/>
    </xf>
    <xf numFmtId="49" fontId="5" fillId="49" borderId="0" xfId="3" applyNumberFormat="1" applyFont="1" applyFill="1" applyBorder="1" applyAlignment="1" applyProtection="1">
      <alignment horizontal="center"/>
      <protection locked="0"/>
    </xf>
    <xf numFmtId="49" fontId="5" fillId="49" borderId="0" xfId="28" applyNumberFormat="1" applyFont="1" applyFill="1" applyBorder="1" applyAlignment="1" applyProtection="1">
      <alignment horizontal="left"/>
      <protection locked="0"/>
    </xf>
    <xf numFmtId="49" fontId="5" fillId="49" borderId="0" xfId="10767" applyNumberFormat="1" applyFont="1" applyFill="1" applyBorder="1" applyAlignment="1" applyProtection="1">
      <alignment horizontal="center"/>
      <protection locked="0"/>
    </xf>
    <xf numFmtId="49" fontId="5" fillId="50" borderId="0" xfId="3" applyNumberFormat="1" applyFont="1" applyFill="1" applyBorder="1" applyAlignment="1" applyProtection="1">
      <alignment horizontal="center"/>
      <protection locked="0"/>
    </xf>
    <xf numFmtId="49" fontId="5" fillId="49" borderId="0" xfId="28" applyNumberFormat="1" applyFont="1" applyFill="1" applyBorder="1" applyAlignment="1" applyProtection="1">
      <alignment horizontal="center"/>
      <protection locked="0"/>
    </xf>
    <xf numFmtId="49" fontId="5" fillId="49" borderId="0" xfId="3" applyNumberFormat="1" applyFont="1" applyFill="1" applyBorder="1" applyAlignment="1" applyProtection="1">
      <alignment horizontal="left"/>
      <protection locked="0"/>
    </xf>
    <xf numFmtId="49" fontId="5" fillId="49" borderId="0" xfId="27" applyNumberFormat="1" applyFont="1" applyFill="1" applyBorder="1" applyAlignment="1" applyProtection="1">
      <alignment horizontal="left"/>
      <protection locked="0"/>
    </xf>
    <xf numFmtId="49" fontId="5" fillId="43" borderId="0" xfId="27" applyNumberFormat="1" applyFont="1" applyFill="1" applyBorder="1" applyAlignment="1" applyProtection="1">
      <alignment horizontal="center"/>
      <protection locked="0"/>
    </xf>
    <xf numFmtId="49" fontId="5" fillId="37" borderId="2" xfId="25" applyNumberFormat="1" applyFont="1" applyFill="1" applyBorder="1" applyAlignment="1" applyProtection="1">
      <alignment horizontal="center"/>
      <protection locked="0"/>
    </xf>
    <xf numFmtId="49" fontId="5" fillId="43" borderId="9" xfId="27" applyNumberFormat="1" applyFont="1" applyFill="1" applyBorder="1" applyAlignment="1" applyProtection="1">
      <alignment horizontal="center"/>
      <protection locked="0"/>
    </xf>
    <xf numFmtId="49" fontId="5" fillId="35" borderId="0" xfId="27" applyNumberFormat="1" applyFont="1" applyFill="1" applyBorder="1" applyAlignment="1" applyProtection="1">
      <alignment horizontal="center"/>
      <protection locked="0"/>
    </xf>
    <xf numFmtId="49" fontId="5" fillId="43" borderId="2" xfId="3" applyNumberFormat="1" applyFont="1" applyFill="1" applyBorder="1" applyAlignment="1" applyProtection="1">
      <alignment horizontal="center"/>
      <protection locked="0"/>
    </xf>
    <xf numFmtId="49" fontId="5" fillId="37" borderId="0" xfId="27" applyNumberFormat="1" applyFont="1" applyFill="1" applyBorder="1" applyAlignment="1" applyProtection="1">
      <alignment horizontal="center"/>
      <protection locked="0"/>
    </xf>
    <xf numFmtId="49" fontId="5" fillId="35" borderId="2" xfId="3" applyNumberFormat="1" applyFont="1" applyFill="1" applyBorder="1" applyAlignment="1" applyProtection="1">
      <alignment horizontal="center"/>
      <protection locked="0"/>
    </xf>
    <xf numFmtId="49" fontId="5" fillId="34" borderId="2" xfId="25" applyNumberFormat="1" applyFont="1" applyFill="1" applyBorder="1" applyAlignment="1" applyProtection="1">
      <alignment horizontal="center"/>
      <protection locked="0"/>
    </xf>
    <xf numFmtId="49" fontId="5" fillId="37" borderId="0" xfId="25" applyNumberFormat="1" applyFont="1" applyFill="1" applyBorder="1" applyAlignment="1" applyProtection="1">
      <alignment horizontal="center"/>
      <protection locked="0"/>
    </xf>
    <xf numFmtId="49" fontId="5" fillId="34" borderId="2" xfId="10767" applyNumberFormat="1" applyFont="1" applyFill="1" applyBorder="1" applyAlignment="1" applyProtection="1">
      <alignment horizontal="center"/>
      <protection locked="0"/>
    </xf>
    <xf numFmtId="49" fontId="5" fillId="35" borderId="0" xfId="28" applyNumberFormat="1" applyFont="1" applyFill="1" applyBorder="1" applyAlignment="1" applyProtection="1">
      <alignment horizontal="center"/>
      <protection locked="0"/>
    </xf>
    <xf numFmtId="49" fontId="5" fillId="47" borderId="0" xfId="28" applyNumberFormat="1" applyFont="1" applyFill="1" applyBorder="1" applyAlignment="1" applyProtection="1">
      <alignment horizontal="center"/>
      <protection locked="0"/>
    </xf>
    <xf numFmtId="49" fontId="5" fillId="35" borderId="0" xfId="10767" applyNumberFormat="1" applyFont="1" applyFill="1" applyBorder="1" applyAlignment="1" applyProtection="1">
      <alignment horizontal="center"/>
      <protection locked="0"/>
    </xf>
    <xf numFmtId="49" fontId="5" fillId="43" borderId="0" xfId="10767" applyNumberFormat="1" applyFont="1" applyFill="1" applyBorder="1" applyAlignment="1" applyProtection="1">
      <alignment horizontal="center"/>
      <protection locked="0"/>
    </xf>
    <xf numFmtId="49" fontId="5" fillId="49" borderId="0" xfId="25" applyNumberFormat="1" applyFont="1" applyFill="1" applyBorder="1" applyAlignment="1" applyProtection="1">
      <alignment horizontal="left"/>
      <protection locked="0"/>
    </xf>
    <xf numFmtId="49" fontId="5" fillId="49" borderId="0" xfId="25" applyNumberFormat="1" applyFont="1" applyFill="1" applyBorder="1" applyAlignment="1" applyProtection="1">
      <alignment horizontal="center"/>
      <protection locked="0"/>
    </xf>
    <xf numFmtId="1" fontId="5" fillId="49" borderId="0" xfId="96" applyNumberFormat="1" applyFont="1" applyFill="1" applyBorder="1" applyAlignment="1" applyProtection="1">
      <alignment horizontal="center"/>
      <protection locked="0"/>
    </xf>
    <xf numFmtId="1" fontId="5" fillId="49" borderId="0" xfId="25" applyNumberFormat="1" applyFont="1" applyFill="1" applyBorder="1" applyAlignment="1" applyProtection="1">
      <alignment horizontal="center"/>
      <protection locked="0"/>
    </xf>
    <xf numFmtId="3" fontId="5" fillId="49" borderId="0" xfId="10767" applyFont="1" applyFill="1" applyBorder="1" applyAlignment="1" applyProtection="1">
      <protection locked="0"/>
    </xf>
    <xf numFmtId="1" fontId="5" fillId="49" borderId="0" xfId="30" applyNumberFormat="1" applyFont="1" applyFill="1" applyBorder="1" applyAlignment="1" applyProtection="1">
      <alignment horizontal="center"/>
      <protection locked="0"/>
    </xf>
    <xf numFmtId="1" fontId="4" fillId="49" borderId="0" xfId="96" applyNumberFormat="1" applyFont="1" applyFill="1" applyBorder="1" applyAlignment="1" applyProtection="1">
      <alignment horizontal="center"/>
      <protection locked="0"/>
    </xf>
    <xf numFmtId="1" fontId="5" fillId="49" borderId="0" xfId="10767" applyNumberFormat="1" applyFont="1" applyFill="1" applyBorder="1" applyAlignment="1" applyProtection="1">
      <alignment horizontal="center"/>
      <protection locked="0"/>
    </xf>
    <xf numFmtId="1" fontId="5" fillId="46" borderId="0" xfId="29" applyNumberFormat="1" applyFont="1" applyFill="1" applyBorder="1" applyAlignment="1" applyProtection="1">
      <alignment horizontal="center"/>
      <protection locked="0"/>
    </xf>
    <xf numFmtId="1" fontId="5" fillId="46" borderId="0" xfId="96" applyNumberFormat="1" applyFont="1" applyFill="1" applyBorder="1" applyAlignment="1" applyProtection="1">
      <alignment horizontal="center"/>
      <protection locked="0"/>
    </xf>
    <xf numFmtId="1" fontId="61" fillId="46" borderId="0" xfId="96" applyNumberFormat="1" applyFont="1" applyFill="1" applyBorder="1" applyAlignment="1" applyProtection="1">
      <alignment horizontal="center"/>
      <protection locked="0"/>
    </xf>
    <xf numFmtId="1" fontId="4" fillId="46" borderId="0" xfId="96" applyNumberFormat="1" applyFont="1" applyFill="1" applyBorder="1" applyAlignment="1" applyProtection="1">
      <alignment horizontal="center"/>
      <protection locked="0"/>
    </xf>
    <xf numFmtId="49" fontId="5" fillId="49" borderId="0" xfId="27" applyNumberFormat="1" applyFont="1" applyFill="1" applyBorder="1" applyAlignment="1" applyProtection="1">
      <alignment horizontal="center"/>
      <protection locked="0"/>
    </xf>
    <xf numFmtId="1" fontId="5" fillId="49" borderId="0" xfId="29" applyNumberFormat="1" applyFont="1" applyFill="1" applyBorder="1" applyAlignment="1" applyProtection="1">
      <alignment horizontal="center"/>
      <protection locked="0"/>
    </xf>
    <xf numFmtId="164" fontId="5" fillId="49" borderId="0" xfId="28" applyNumberFormat="1" applyFont="1" applyFill="1" applyBorder="1" applyProtection="1">
      <protection locked="0"/>
    </xf>
    <xf numFmtId="1" fontId="61" fillId="49" borderId="0" xfId="96" applyNumberFormat="1" applyFont="1" applyFill="1" applyBorder="1" applyAlignment="1" applyProtection="1">
      <alignment horizontal="center"/>
      <protection locked="0"/>
    </xf>
    <xf numFmtId="49" fontId="20" fillId="49" borderId="0" xfId="3" applyNumberFormat="1" applyFont="1" applyFill="1" applyBorder="1" applyAlignment="1" applyProtection="1">
      <alignment horizontal="center"/>
      <protection locked="0"/>
    </xf>
    <xf numFmtId="0" fontId="5" fillId="49" borderId="0" xfId="96" applyNumberFormat="1" applyFont="1" applyFill="1" applyBorder="1" applyAlignment="1" applyProtection="1">
      <alignment horizontal="center"/>
      <protection locked="0"/>
    </xf>
    <xf numFmtId="1" fontId="5" fillId="49" borderId="0" xfId="28" applyNumberFormat="1" applyFont="1" applyFill="1" applyBorder="1" applyAlignment="1" applyProtection="1">
      <alignment horizontal="center"/>
      <protection locked="0"/>
    </xf>
    <xf numFmtId="3" fontId="4" fillId="3" borderId="0" xfId="0" applyNumberFormat="1" applyFont="1" applyFill="1" applyBorder="1"/>
    <xf numFmtId="3" fontId="4" fillId="3" borderId="19" xfId="0" applyNumberFormat="1" applyFont="1" applyFill="1" applyBorder="1"/>
    <xf numFmtId="3" fontId="4" fillId="3" borderId="2" xfId="0" applyNumberFormat="1" applyFont="1" applyFill="1" applyBorder="1" applyAlignment="1"/>
    <xf numFmtId="164" fontId="5" fillId="0" borderId="2" xfId="0" applyFont="1" applyBorder="1"/>
    <xf numFmtId="167" fontId="9" fillId="0" borderId="19" xfId="24" applyNumberFormat="1" applyFont="1" applyBorder="1" applyAlignment="1">
      <alignment horizontal="left" indent="1"/>
    </xf>
    <xf numFmtId="167" fontId="9" fillId="0" borderId="1" xfId="24" applyNumberFormat="1" applyFont="1" applyBorder="1"/>
    <xf numFmtId="167" fontId="9" fillId="0" borderId="40" xfId="24" applyNumberFormat="1" applyFont="1" applyBorder="1" applyAlignment="1">
      <alignment horizontal="left" indent="1"/>
    </xf>
    <xf numFmtId="167" fontId="9" fillId="0" borderId="24" xfId="24" applyNumberFormat="1" applyFont="1" applyBorder="1"/>
    <xf numFmtId="3" fontId="4" fillId="3" borderId="17" xfId="0" applyNumberFormat="1" applyFont="1" applyFill="1" applyBorder="1" applyAlignment="1"/>
    <xf numFmtId="3" fontId="4" fillId="3" borderId="20" xfId="0" applyNumberFormat="1" applyFont="1" applyFill="1" applyBorder="1" applyAlignment="1">
      <alignment wrapText="1"/>
    </xf>
    <xf numFmtId="3" fontId="4" fillId="3" borderId="4" xfId="0" applyNumberFormat="1" applyFont="1" applyFill="1" applyBorder="1"/>
    <xf numFmtId="164" fontId="5" fillId="3" borderId="4" xfId="0" applyFont="1" applyFill="1" applyBorder="1"/>
    <xf numFmtId="167" fontId="9" fillId="3" borderId="5" xfId="24" applyNumberFormat="1" applyFont="1" applyFill="1" applyBorder="1"/>
    <xf numFmtId="167" fontId="9" fillId="3" borderId="58" xfId="24" applyNumberFormat="1" applyFont="1" applyFill="1" applyBorder="1"/>
    <xf numFmtId="167" fontId="9" fillId="51" borderId="1" xfId="24" applyNumberFormat="1" applyFont="1" applyFill="1" applyBorder="1"/>
    <xf numFmtId="49" fontId="62" fillId="9" borderId="22" xfId="25" applyNumberFormat="1" applyFont="1" applyFill="1" applyBorder="1" applyAlignment="1" applyProtection="1">
      <alignment horizontal="left"/>
      <protection locked="0"/>
    </xf>
    <xf numFmtId="49" fontId="63" fillId="38" borderId="0" xfId="28" applyNumberFormat="1" applyFont="1" applyFill="1" applyBorder="1" applyAlignment="1" applyProtection="1">
      <alignment horizontal="left"/>
      <protection locked="0"/>
    </xf>
    <xf numFmtId="49" fontId="62" fillId="37" borderId="0" xfId="96" applyNumberFormat="1" applyFont="1" applyFill="1" applyBorder="1" applyAlignment="1" applyProtection="1">
      <alignment horizontal="left"/>
      <protection locked="0"/>
    </xf>
    <xf numFmtId="49" fontId="62" fillId="38" borderId="0" xfId="28" applyNumberFormat="1" applyFont="1" applyFill="1" applyBorder="1" applyAlignment="1" applyProtection="1">
      <alignment horizontal="left"/>
      <protection locked="0"/>
    </xf>
    <xf numFmtId="3" fontId="62" fillId="37" borderId="0" xfId="10767" applyFont="1" applyFill="1" applyBorder="1" applyAlignment="1" applyProtection="1">
      <protection locked="0"/>
    </xf>
    <xf numFmtId="49" fontId="62" fillId="37" borderId="0" xfId="25" applyNumberFormat="1" applyFont="1" applyFill="1" applyBorder="1" applyAlignment="1" applyProtection="1">
      <alignment horizontal="left"/>
      <protection locked="0"/>
    </xf>
    <xf numFmtId="49" fontId="62" fillId="34" borderId="0" xfId="25" applyNumberFormat="1" applyFont="1" applyFill="1" applyBorder="1" applyAlignment="1" applyProtection="1">
      <alignment horizontal="left"/>
      <protection locked="0"/>
    </xf>
    <xf numFmtId="49" fontId="63" fillId="34" borderId="0" xfId="25" applyNumberFormat="1" applyFont="1" applyFill="1" applyBorder="1" applyAlignment="1" applyProtection="1">
      <alignment horizontal="left"/>
      <protection locked="0"/>
    </xf>
    <xf numFmtId="49" fontId="62" fillId="34" borderId="0" xfId="10767" applyNumberFormat="1" applyFont="1" applyFill="1" applyBorder="1" applyAlignment="1" applyProtection="1">
      <alignment horizontal="left"/>
      <protection locked="0"/>
    </xf>
    <xf numFmtId="49" fontId="62" fillId="34" borderId="0" xfId="30" applyNumberFormat="1" applyFont="1" applyFill="1" applyBorder="1" applyAlignment="1" applyProtection="1">
      <alignment horizontal="left"/>
      <protection locked="0"/>
    </xf>
    <xf numFmtId="164" fontId="62" fillId="34" borderId="0" xfId="25" applyFont="1" applyFill="1" applyBorder="1" applyAlignment="1" applyProtection="1">
      <protection locked="0"/>
    </xf>
    <xf numFmtId="49" fontId="62" fillId="43" borderId="0" xfId="25" applyNumberFormat="1" applyFont="1" applyFill="1" applyBorder="1" applyAlignment="1" applyProtection="1">
      <alignment horizontal="left"/>
      <protection locked="0"/>
    </xf>
    <xf numFmtId="49" fontId="63" fillId="43" borderId="0" xfId="25" applyNumberFormat="1" applyFont="1" applyFill="1" applyBorder="1" applyAlignment="1" applyProtection="1">
      <alignment horizontal="left"/>
      <protection locked="0"/>
    </xf>
    <xf numFmtId="49" fontId="63" fillId="43" borderId="0" xfId="3" applyNumberFormat="1" applyFont="1" applyFill="1" applyBorder="1" applyAlignment="1" applyProtection="1">
      <alignment horizontal="left"/>
      <protection locked="0"/>
    </xf>
    <xf numFmtId="49" fontId="62" fillId="43" borderId="0" xfId="30" applyNumberFormat="1" applyFont="1" applyFill="1" applyBorder="1" applyAlignment="1" applyProtection="1">
      <alignment horizontal="left"/>
      <protection locked="0"/>
    </xf>
    <xf numFmtId="0" fontId="62" fillId="43" borderId="0" xfId="10770" applyNumberFormat="1" applyFont="1" applyFill="1" applyBorder="1" applyAlignment="1" applyProtection="1">
      <protection locked="0"/>
    </xf>
    <xf numFmtId="49" fontId="62" fillId="35" borderId="0" xfId="25" applyNumberFormat="1" applyFont="1" applyFill="1" applyBorder="1" applyAlignment="1" applyProtection="1">
      <alignment horizontal="left"/>
      <protection locked="0"/>
    </xf>
    <xf numFmtId="49" fontId="62" fillId="49" borderId="0" xfId="96" applyNumberFormat="1" applyFont="1" applyFill="1" applyBorder="1" applyAlignment="1" applyProtection="1">
      <alignment horizontal="left"/>
      <protection locked="0"/>
    </xf>
    <xf numFmtId="49" fontId="62" fillId="49" borderId="0" xfId="25" applyNumberFormat="1" applyFont="1" applyFill="1" applyBorder="1" applyAlignment="1" applyProtection="1">
      <alignment horizontal="left"/>
      <protection locked="0"/>
    </xf>
    <xf numFmtId="49" fontId="65" fillId="49" borderId="0" xfId="25" applyNumberFormat="1" applyFont="1" applyFill="1" applyBorder="1" applyAlignment="1" applyProtection="1">
      <alignment horizontal="left"/>
      <protection locked="0"/>
    </xf>
    <xf numFmtId="3" fontId="62" fillId="49" borderId="0" xfId="10767" applyFont="1" applyFill="1" applyBorder="1" applyAlignment="1" applyProtection="1">
      <protection locked="0"/>
    </xf>
    <xf numFmtId="49" fontId="62" fillId="40" borderId="0" xfId="25" applyNumberFormat="1" applyFont="1" applyFill="1" applyBorder="1" applyAlignment="1" applyProtection="1">
      <alignment horizontal="left"/>
      <protection locked="0"/>
    </xf>
    <xf numFmtId="49" fontId="63" fillId="40" borderId="0" xfId="25" applyNumberFormat="1" applyFont="1" applyFill="1" applyBorder="1" applyAlignment="1" applyProtection="1">
      <alignment horizontal="left"/>
      <protection locked="0"/>
    </xf>
    <xf numFmtId="49" fontId="62" fillId="40" borderId="0" xfId="25" applyNumberFormat="1" applyFont="1" applyFill="1" applyBorder="1" applyAlignment="1" applyProtection="1">
      <alignment horizontal="center"/>
      <protection locked="0"/>
    </xf>
    <xf numFmtId="49" fontId="62" fillId="37" borderId="0" xfId="28" applyNumberFormat="1" applyFont="1" applyFill="1" applyBorder="1" applyAlignment="1" applyProtection="1">
      <alignment horizontal="left"/>
      <protection locked="0"/>
    </xf>
    <xf numFmtId="49" fontId="63" fillId="37" borderId="0" xfId="28" applyNumberFormat="1" applyFont="1" applyFill="1" applyBorder="1" applyAlignment="1" applyProtection="1">
      <alignment horizontal="left"/>
      <protection locked="0"/>
    </xf>
    <xf numFmtId="49" fontId="62" fillId="34" borderId="0" xfId="28" applyNumberFormat="1" applyFont="1" applyFill="1" applyBorder="1" applyAlignment="1" applyProtection="1">
      <alignment horizontal="left"/>
      <protection locked="0"/>
    </xf>
    <xf numFmtId="49" fontId="62" fillId="34" borderId="0" xfId="29" applyNumberFormat="1" applyFont="1" applyFill="1" applyBorder="1" applyAlignment="1" applyProtection="1">
      <alignment horizontal="left"/>
      <protection locked="0"/>
    </xf>
    <xf numFmtId="49" fontId="63" fillId="34" borderId="0" xfId="28" applyNumberFormat="1" applyFont="1" applyFill="1" applyBorder="1" applyAlignment="1" applyProtection="1">
      <alignment horizontal="left"/>
      <protection locked="0"/>
    </xf>
    <xf numFmtId="49" fontId="62" fillId="46" borderId="0" xfId="28" applyNumberFormat="1" applyFont="1" applyFill="1" applyBorder="1" applyAlignment="1" applyProtection="1">
      <alignment horizontal="left"/>
      <protection locked="0"/>
    </xf>
    <xf numFmtId="49" fontId="63" fillId="46" borderId="0" xfId="28" applyNumberFormat="1" applyFont="1" applyFill="1" applyBorder="1" applyAlignment="1" applyProtection="1">
      <alignment horizontal="left"/>
      <protection locked="0"/>
    </xf>
    <xf numFmtId="3" fontId="62" fillId="46" borderId="0" xfId="10767" applyFont="1" applyFill="1" applyBorder="1" applyAlignment="1" applyProtection="1">
      <protection locked="0"/>
    </xf>
    <xf numFmtId="49" fontId="62" fillId="46" borderId="0" xfId="10767" applyNumberFormat="1" applyFont="1" applyFill="1" applyBorder="1" applyAlignment="1" applyProtection="1">
      <alignment horizontal="left"/>
      <protection locked="0"/>
    </xf>
    <xf numFmtId="49" fontId="62" fillId="47" borderId="0" xfId="28" applyNumberFormat="1" applyFont="1" applyFill="1" applyBorder="1" applyAlignment="1" applyProtection="1">
      <alignment horizontal="left"/>
      <protection locked="0"/>
    </xf>
    <xf numFmtId="49" fontId="62" fillId="43" borderId="0" xfId="28" applyNumberFormat="1" applyFont="1" applyFill="1" applyBorder="1" applyAlignment="1" applyProtection="1">
      <alignment horizontal="left"/>
      <protection locked="0"/>
    </xf>
    <xf numFmtId="49" fontId="65" fillId="43" borderId="0" xfId="28" applyNumberFormat="1" applyFont="1" applyFill="1" applyBorder="1" applyAlignment="1" applyProtection="1">
      <alignment horizontal="left"/>
      <protection locked="0"/>
    </xf>
    <xf numFmtId="49" fontId="63" fillId="43" borderId="0" xfId="28" applyNumberFormat="1" applyFont="1" applyFill="1" applyBorder="1" applyAlignment="1" applyProtection="1">
      <alignment horizontal="left"/>
      <protection locked="0"/>
    </xf>
    <xf numFmtId="164" fontId="62" fillId="43" borderId="0" xfId="28" applyFont="1" applyFill="1" applyBorder="1" applyProtection="1">
      <protection locked="0"/>
    </xf>
    <xf numFmtId="49" fontId="62" fillId="35" borderId="0" xfId="28" applyNumberFormat="1" applyFont="1" applyFill="1" applyBorder="1" applyAlignment="1" applyProtection="1">
      <alignment horizontal="left"/>
      <protection locked="0"/>
    </xf>
    <xf numFmtId="49" fontId="62" fillId="49" borderId="0" xfId="28" applyNumberFormat="1" applyFont="1" applyFill="1" applyBorder="1" applyAlignment="1" applyProtection="1">
      <alignment horizontal="left"/>
      <protection locked="0"/>
    </xf>
    <xf numFmtId="49" fontId="62" fillId="49" borderId="0" xfId="3" applyNumberFormat="1" applyFont="1" applyFill="1" applyBorder="1" applyAlignment="1" applyProtection="1">
      <alignment horizontal="left"/>
      <protection locked="0"/>
    </xf>
    <xf numFmtId="49" fontId="62" fillId="40" borderId="0" xfId="29" applyNumberFormat="1" applyFont="1" applyFill="1" applyBorder="1" applyAlignment="1" applyProtection="1">
      <alignment horizontal="left"/>
      <protection locked="0"/>
    </xf>
    <xf numFmtId="49" fontId="62" fillId="40" borderId="0" xfId="28" applyNumberFormat="1" applyFont="1" applyFill="1" applyBorder="1" applyAlignment="1" applyProtection="1">
      <alignment horizontal="left"/>
      <protection locked="0"/>
    </xf>
    <xf numFmtId="49" fontId="62" fillId="40" borderId="0" xfId="10767" applyNumberFormat="1" applyFont="1" applyFill="1" applyBorder="1" applyAlignment="1" applyProtection="1">
      <alignment horizontal="left"/>
      <protection locked="0"/>
    </xf>
    <xf numFmtId="3" fontId="62" fillId="40" borderId="0" xfId="10767" applyFont="1" applyFill="1" applyBorder="1" applyAlignment="1" applyProtection="1">
      <protection locked="0"/>
    </xf>
    <xf numFmtId="49" fontId="62" fillId="37" borderId="0" xfId="10767" applyNumberFormat="1" applyFont="1" applyFill="1" applyBorder="1" applyAlignment="1" applyProtection="1">
      <alignment horizontal="left"/>
      <protection locked="0"/>
    </xf>
    <xf numFmtId="49" fontId="65" fillId="37" borderId="0" xfId="28" applyNumberFormat="1" applyFont="1" applyFill="1" applyBorder="1" applyAlignment="1" applyProtection="1">
      <alignment horizontal="left"/>
      <protection locked="0"/>
    </xf>
    <xf numFmtId="164" fontId="62" fillId="34" borderId="0" xfId="27" applyNumberFormat="1" applyFont="1" applyFill="1" applyBorder="1" applyProtection="1">
      <protection locked="0"/>
    </xf>
    <xf numFmtId="49" fontId="62" fillId="34" borderId="0" xfId="27" applyNumberFormat="1" applyFont="1" applyFill="1" applyBorder="1" applyAlignment="1" applyProtection="1">
      <alignment horizontal="left"/>
      <protection locked="0"/>
    </xf>
    <xf numFmtId="49" fontId="62" fillId="34" borderId="0" xfId="3" applyNumberFormat="1" applyFont="1" applyFill="1" applyBorder="1" applyAlignment="1" applyProtection="1">
      <alignment horizontal="left"/>
      <protection locked="0"/>
    </xf>
    <xf numFmtId="49" fontId="62" fillId="34" borderId="0" xfId="10766" applyNumberFormat="1" applyFont="1" applyFill="1" applyBorder="1" applyAlignment="1" applyProtection="1">
      <alignment horizontal="left"/>
      <protection locked="0"/>
    </xf>
    <xf numFmtId="49" fontId="62" fillId="46" borderId="0" xfId="10772" applyNumberFormat="1" applyFont="1" applyFill="1" applyBorder="1" applyAlignment="1" applyProtection="1">
      <alignment horizontal="left"/>
      <protection locked="0"/>
    </xf>
    <xf numFmtId="49" fontId="65" fillId="47" borderId="0" xfId="28" applyNumberFormat="1" applyFont="1" applyFill="1" applyBorder="1" applyAlignment="1" applyProtection="1">
      <alignment horizontal="left"/>
      <protection locked="0"/>
    </xf>
    <xf numFmtId="49" fontId="62" fillId="43" borderId="0" xfId="27" applyNumberFormat="1" applyFont="1" applyFill="1" applyBorder="1" applyAlignment="1" applyProtection="1">
      <alignment horizontal="left"/>
      <protection locked="0"/>
    </xf>
    <xf numFmtId="49" fontId="62" fillId="35" borderId="0" xfId="10768" applyNumberFormat="1" applyFont="1" applyFill="1" applyBorder="1" applyAlignment="1" applyProtection="1">
      <alignment horizontal="left"/>
      <protection locked="0"/>
    </xf>
    <xf numFmtId="49" fontId="63" fillId="35" borderId="0" xfId="28" applyNumberFormat="1" applyFont="1" applyFill="1" applyBorder="1" applyAlignment="1" applyProtection="1">
      <alignment horizontal="left"/>
      <protection locked="0"/>
    </xf>
    <xf numFmtId="3" fontId="62" fillId="35" borderId="0" xfId="10767" applyFont="1" applyFill="1" applyBorder="1" applyAlignment="1" applyProtection="1">
      <protection locked="0"/>
    </xf>
    <xf numFmtId="49" fontId="62" fillId="35" borderId="0" xfId="29" applyNumberFormat="1" applyFont="1" applyFill="1" applyBorder="1" applyAlignment="1" applyProtection="1">
      <alignment horizontal="left"/>
      <protection locked="0"/>
    </xf>
    <xf numFmtId="49" fontId="62" fillId="35" borderId="0" xfId="10767" applyNumberFormat="1" applyFont="1" applyFill="1" applyBorder="1" applyAlignment="1" applyProtection="1">
      <alignment horizontal="left"/>
      <protection locked="0"/>
    </xf>
    <xf numFmtId="49" fontId="63" fillId="35" borderId="0" xfId="10767" applyNumberFormat="1" applyFont="1" applyFill="1" applyBorder="1" applyAlignment="1" applyProtection="1">
      <alignment horizontal="left"/>
      <protection locked="0"/>
    </xf>
    <xf numFmtId="49" fontId="62" fillId="49" borderId="0" xfId="27" applyNumberFormat="1" applyFont="1" applyFill="1" applyBorder="1" applyAlignment="1" applyProtection="1">
      <alignment horizontal="left"/>
      <protection locked="0"/>
    </xf>
    <xf numFmtId="49" fontId="62" fillId="49" borderId="0" xfId="10772" applyNumberFormat="1" applyFont="1" applyFill="1" applyBorder="1" applyAlignment="1" applyProtection="1">
      <alignment horizontal="left"/>
      <protection locked="0"/>
    </xf>
    <xf numFmtId="164" fontId="65" fillId="49" borderId="0" xfId="28" applyFont="1" applyFill="1" applyBorder="1" applyProtection="1">
      <protection locked="0"/>
    </xf>
    <xf numFmtId="49" fontId="65" fillId="49" borderId="0" xfId="28" applyNumberFormat="1" applyFont="1" applyFill="1" applyBorder="1" applyAlignment="1" applyProtection="1">
      <alignment horizontal="left"/>
      <protection locked="0"/>
    </xf>
    <xf numFmtId="49" fontId="62" fillId="10" borderId="0" xfId="27" applyNumberFormat="1" applyFont="1" applyFill="1" applyBorder="1" applyAlignment="1" applyProtection="1">
      <alignment horizontal="left"/>
      <protection locked="0"/>
    </xf>
    <xf numFmtId="49" fontId="62" fillId="10" borderId="0" xfId="28" applyNumberFormat="1" applyFont="1" applyFill="1" applyBorder="1" applyAlignment="1" applyProtection="1">
      <alignment horizontal="left"/>
      <protection locked="0"/>
    </xf>
    <xf numFmtId="49" fontId="62" fillId="10" borderId="0" xfId="31" applyNumberFormat="1" applyFont="1" applyFill="1" applyBorder="1" applyAlignment="1" applyProtection="1">
      <alignment horizontal="left"/>
      <protection locked="0"/>
    </xf>
    <xf numFmtId="164" fontId="62" fillId="10" borderId="0" xfId="28" applyFont="1" applyFill="1" applyBorder="1" applyProtection="1">
      <protection locked="0"/>
    </xf>
    <xf numFmtId="49" fontId="62" fillId="10" borderId="0" xfId="29" applyNumberFormat="1" applyFont="1" applyFill="1" applyBorder="1" applyAlignment="1" applyProtection="1">
      <alignment horizontal="left"/>
      <protection locked="0"/>
    </xf>
    <xf numFmtId="49" fontId="63" fillId="10" borderId="0" xfId="28" applyNumberFormat="1" applyFont="1" applyFill="1" applyBorder="1" applyAlignment="1" applyProtection="1">
      <alignment horizontal="left"/>
      <protection locked="0"/>
    </xf>
    <xf numFmtId="165" fontId="5" fillId="5" borderId="6" xfId="1" applyNumberFormat="1" applyFont="1" applyFill="1" applyBorder="1" applyAlignment="1">
      <alignment horizontal="right"/>
    </xf>
    <xf numFmtId="165" fontId="5" fillId="0" borderId="6" xfId="1" applyNumberFormat="1" applyFont="1" applyFill="1" applyBorder="1" applyAlignment="1" applyProtection="1">
      <alignment horizontal="right" wrapText="1"/>
      <protection locked="0"/>
    </xf>
    <xf numFmtId="165" fontId="5" fillId="5" borderId="0" xfId="1" applyNumberFormat="1" applyFont="1" applyFill="1" applyBorder="1" applyAlignment="1">
      <alignment horizontal="right"/>
    </xf>
    <xf numFmtId="165" fontId="15" fillId="0" borderId="6" xfId="1" applyNumberFormat="1" applyFont="1" applyFill="1" applyBorder="1" applyAlignment="1" applyProtection="1">
      <alignment horizontal="right" wrapText="1"/>
      <protection locked="0"/>
    </xf>
    <xf numFmtId="165" fontId="5" fillId="5" borderId="9" xfId="1" applyNumberFormat="1" applyFont="1" applyFill="1" applyBorder="1" applyAlignment="1">
      <alignment horizontal="right"/>
    </xf>
    <xf numFmtId="165" fontId="23" fillId="0" borderId="6" xfId="1" applyNumberFormat="1" applyFont="1" applyBorder="1" applyAlignment="1">
      <alignment horizontal="right" vertical="top"/>
    </xf>
    <xf numFmtId="165" fontId="18" fillId="4" borderId="23" xfId="1" applyNumberFormat="1" applyFont="1" applyFill="1" applyBorder="1" applyAlignment="1" applyProtection="1">
      <alignment horizontal="right" vertical="center"/>
      <protection locked="0"/>
    </xf>
    <xf numFmtId="165" fontId="15" fillId="6" borderId="9" xfId="1" applyNumberFormat="1" applyFont="1" applyFill="1" applyBorder="1" applyAlignment="1" applyProtection="1">
      <alignment horizontal="right"/>
    </xf>
    <xf numFmtId="165" fontId="15" fillId="3" borderId="4" xfId="1" applyNumberFormat="1" applyFont="1" applyFill="1" applyBorder="1" applyAlignment="1" applyProtection="1">
      <alignment horizontal="right"/>
    </xf>
    <xf numFmtId="165" fontId="15" fillId="6" borderId="4" xfId="1" applyNumberFormat="1" applyFont="1" applyFill="1" applyBorder="1" applyAlignment="1" applyProtection="1">
      <alignment horizontal="right"/>
    </xf>
    <xf numFmtId="165" fontId="15" fillId="3" borderId="0" xfId="1" applyNumberFormat="1" applyFont="1" applyFill="1" applyBorder="1" applyAlignment="1" applyProtection="1">
      <alignment horizontal="right"/>
    </xf>
    <xf numFmtId="165" fontId="15" fillId="6" borderId="14" xfId="1" applyNumberFormat="1" applyFont="1" applyFill="1" applyBorder="1" applyAlignment="1" applyProtection="1">
      <alignment horizontal="right"/>
    </xf>
    <xf numFmtId="165" fontId="15" fillId="6" borderId="6" xfId="1" applyNumberFormat="1" applyFont="1" applyFill="1" applyBorder="1" applyAlignment="1" applyProtection="1">
      <alignment horizontal="right"/>
    </xf>
    <xf numFmtId="165" fontId="15" fillId="3" borderId="30" xfId="1" applyNumberFormat="1" applyFont="1" applyFill="1" applyBorder="1" applyAlignment="1" applyProtection="1">
      <alignment horizontal="right"/>
    </xf>
    <xf numFmtId="165" fontId="15" fillId="3" borderId="6" xfId="1" applyNumberFormat="1" applyFont="1" applyFill="1" applyBorder="1" applyAlignment="1" applyProtection="1">
      <alignment horizontal="right"/>
    </xf>
    <xf numFmtId="165" fontId="31" fillId="0" borderId="6" xfId="1" applyNumberFormat="1" applyFont="1" applyFill="1" applyBorder="1" applyAlignment="1">
      <alignment horizontal="right" vertical="top"/>
    </xf>
    <xf numFmtId="165" fontId="31" fillId="0" borderId="23" xfId="1" applyNumberFormat="1" applyFont="1" applyFill="1" applyBorder="1" applyAlignment="1">
      <alignment horizontal="right" vertical="top"/>
    </xf>
    <xf numFmtId="165" fontId="5" fillId="4" borderId="6" xfId="1" applyNumberFormat="1" applyFont="1" applyFill="1" applyBorder="1" applyAlignment="1" applyProtection="1">
      <alignment horizontal="right" vertical="center"/>
      <protection locked="0"/>
    </xf>
    <xf numFmtId="165" fontId="5" fillId="0" borderId="23" xfId="1" applyNumberFormat="1" applyFont="1" applyFill="1" applyBorder="1" applyAlignment="1">
      <alignment horizontal="right"/>
    </xf>
    <xf numFmtId="165" fontId="5" fillId="0" borderId="6" xfId="1" applyNumberFormat="1" applyFont="1" applyFill="1" applyBorder="1" applyAlignment="1" applyProtection="1">
      <alignment horizontal="right"/>
      <protection locked="0"/>
    </xf>
    <xf numFmtId="165" fontId="5" fillId="0" borderId="6" xfId="1" applyNumberFormat="1" applyFont="1" applyFill="1" applyBorder="1" applyAlignment="1">
      <alignment horizontal="right"/>
    </xf>
    <xf numFmtId="165" fontId="64" fillId="0" borderId="6" xfId="1" applyNumberFormat="1" applyFont="1" applyBorder="1" applyAlignment="1">
      <alignment horizontal="right"/>
    </xf>
    <xf numFmtId="165" fontId="5" fillId="0" borderId="6" xfId="1" applyNumberFormat="1" applyFont="1" applyFill="1" applyBorder="1" applyAlignment="1" applyProtection="1">
      <alignment horizontal="right" vertical="top"/>
      <protection locked="0"/>
    </xf>
    <xf numFmtId="165" fontId="5" fillId="44" borderId="0" xfId="1" applyNumberFormat="1" applyFont="1" applyFill="1" applyBorder="1" applyAlignment="1">
      <alignment horizontal="right"/>
    </xf>
    <xf numFmtId="165" fontId="23" fillId="0" borderId="0" xfId="1" applyNumberFormat="1" applyFont="1" applyAlignment="1">
      <alignment horizontal="right"/>
    </xf>
    <xf numFmtId="165" fontId="5" fillId="0" borderId="6" xfId="1" applyNumberFormat="1" applyFont="1" applyBorder="1" applyAlignment="1">
      <alignment horizontal="right"/>
    </xf>
    <xf numFmtId="165" fontId="5" fillId="0" borderId="0" xfId="1" applyNumberFormat="1" applyFont="1" applyFill="1" applyBorder="1" applyAlignment="1" applyProtection="1">
      <alignment horizontal="right" wrapText="1"/>
      <protection locked="0"/>
    </xf>
    <xf numFmtId="165" fontId="15" fillId="0" borderId="0" xfId="1" applyNumberFormat="1" applyFont="1" applyFill="1" applyBorder="1" applyAlignment="1" applyProtection="1">
      <alignment horizontal="right" wrapText="1"/>
      <protection locked="0"/>
    </xf>
    <xf numFmtId="165" fontId="5" fillId="0" borderId="2" xfId="1" applyNumberFormat="1" applyFont="1" applyFill="1" applyBorder="1" applyAlignment="1" applyProtection="1">
      <alignment horizontal="right" wrapText="1"/>
      <protection locked="0"/>
    </xf>
    <xf numFmtId="165" fontId="15" fillId="0" borderId="2" xfId="1" applyNumberFormat="1" applyFont="1" applyFill="1" applyBorder="1" applyAlignment="1" applyProtection="1">
      <alignment horizontal="right" wrapText="1"/>
      <protection locked="0"/>
    </xf>
    <xf numFmtId="165" fontId="5" fillId="0" borderId="37" xfId="1" applyNumberFormat="1" applyFont="1" applyFill="1" applyBorder="1" applyAlignment="1" applyProtection="1">
      <alignment horizontal="right" wrapText="1"/>
      <protection locked="0"/>
    </xf>
    <xf numFmtId="165" fontId="5" fillId="0" borderId="32" xfId="1" applyNumberFormat="1" applyFont="1" applyFill="1" applyBorder="1" applyAlignment="1" applyProtection="1">
      <alignment horizontal="right" wrapText="1"/>
      <protection locked="0"/>
    </xf>
    <xf numFmtId="165" fontId="5" fillId="0" borderId="57" xfId="1" applyNumberFormat="1" applyFont="1" applyFill="1" applyBorder="1" applyAlignment="1" applyProtection="1">
      <alignment horizontal="right" wrapText="1"/>
      <protection locked="0"/>
    </xf>
    <xf numFmtId="165" fontId="5" fillId="4" borderId="32" xfId="1" applyNumberFormat="1" applyFont="1" applyFill="1" applyBorder="1" applyAlignment="1" applyProtection="1">
      <alignment horizontal="right" vertical="center"/>
      <protection locked="0"/>
    </xf>
    <xf numFmtId="165" fontId="5" fillId="4" borderId="0" xfId="1" applyNumberFormat="1" applyFont="1" applyFill="1" applyBorder="1" applyAlignment="1" applyProtection="1">
      <alignment horizontal="right" vertical="center"/>
      <protection locked="0"/>
    </xf>
    <xf numFmtId="165" fontId="18" fillId="4" borderId="6" xfId="1" applyNumberFormat="1" applyFont="1" applyFill="1" applyBorder="1" applyAlignment="1" applyProtection="1">
      <alignment horizontal="right" vertical="center"/>
      <protection locked="0"/>
    </xf>
    <xf numFmtId="165" fontId="18" fillId="4" borderId="0" xfId="1" applyNumberFormat="1" applyFont="1" applyFill="1" applyBorder="1" applyAlignment="1" applyProtection="1">
      <alignment horizontal="right" vertical="center"/>
      <protection locked="0"/>
    </xf>
    <xf numFmtId="165" fontId="5" fillId="44" borderId="6" xfId="1" applyNumberFormat="1" applyFont="1" applyFill="1" applyBorder="1" applyAlignment="1" applyProtection="1">
      <alignment horizontal="right" wrapText="1"/>
      <protection locked="0"/>
    </xf>
    <xf numFmtId="167" fontId="9" fillId="0" borderId="1" xfId="24" applyNumberFormat="1" applyFont="1" applyFill="1" applyBorder="1"/>
    <xf numFmtId="164" fontId="66" fillId="0" borderId="0" xfId="0" applyFont="1"/>
    <xf numFmtId="164" fontId="66" fillId="0" borderId="0" xfId="0" applyFont="1" applyAlignment="1">
      <alignment horizontal="left"/>
    </xf>
    <xf numFmtId="164" fontId="66" fillId="0" borderId="0" xfId="0" applyFont="1" applyAlignment="1">
      <alignment horizontal="left" indent="1"/>
    </xf>
    <xf numFmtId="3" fontId="66" fillId="0" borderId="0" xfId="0" applyNumberFormat="1" applyFont="1"/>
    <xf numFmtId="165" fontId="15" fillId="44" borderId="59" xfId="3" applyNumberFormat="1" applyFont="1" applyFill="1" applyBorder="1" applyAlignment="1" applyProtection="1">
      <alignment horizontal="right" wrapText="1"/>
      <protection locked="0"/>
    </xf>
    <xf numFmtId="165" fontId="5" fillId="44" borderId="59" xfId="3" applyNumberFormat="1" applyFont="1" applyFill="1" applyBorder="1" applyAlignment="1" applyProtection="1">
      <alignment horizontal="right" wrapText="1"/>
      <protection locked="0"/>
    </xf>
    <xf numFmtId="165" fontId="15" fillId="0" borderId="6" xfId="3" applyNumberFormat="1" applyFont="1" applyFill="1" applyBorder="1" applyAlignment="1" applyProtection="1">
      <alignment horizontal="right" wrapText="1"/>
      <protection locked="0"/>
    </xf>
    <xf numFmtId="165" fontId="15" fillId="44" borderId="60" xfId="3" applyNumberFormat="1" applyFont="1" applyFill="1" applyBorder="1" applyAlignment="1" applyProtection="1">
      <alignment horizontal="right" wrapText="1"/>
      <protection locked="0"/>
    </xf>
    <xf numFmtId="165" fontId="15" fillId="44" borderId="61" xfId="3" applyNumberFormat="1" applyFont="1" applyFill="1" applyBorder="1" applyAlignment="1" applyProtection="1">
      <alignment horizontal="right" wrapText="1"/>
      <protection locked="0"/>
    </xf>
    <xf numFmtId="165" fontId="5" fillId="44" borderId="6" xfId="3" applyNumberFormat="1" applyFont="1" applyFill="1" applyBorder="1" applyAlignment="1" applyProtection="1">
      <alignment horizontal="right" vertical="center"/>
      <protection locked="0"/>
    </xf>
    <xf numFmtId="165" fontId="5" fillId="4" borderId="6" xfId="3" applyNumberFormat="1" applyFont="1" applyFill="1" applyBorder="1" applyAlignment="1" applyProtection="1">
      <alignment horizontal="right" vertical="center"/>
      <protection locked="0"/>
    </xf>
    <xf numFmtId="165" fontId="5" fillId="44" borderId="59" xfId="3" applyNumberFormat="1" applyFont="1" applyFill="1" applyBorder="1" applyAlignment="1" applyProtection="1">
      <alignment horizontal="right" vertical="center"/>
      <protection locked="0"/>
    </xf>
    <xf numFmtId="164" fontId="66" fillId="0" borderId="1" xfId="0" applyFont="1" applyBorder="1" applyAlignment="1">
      <alignment horizontal="left" indent="1"/>
    </xf>
    <xf numFmtId="3" fontId="66" fillId="0" borderId="1" xfId="0" applyNumberFormat="1" applyFont="1" applyBorder="1"/>
    <xf numFmtId="164" fontId="66" fillId="0" borderId="24" xfId="0" applyFont="1" applyBorder="1" applyAlignment="1">
      <alignment horizontal="left" indent="1"/>
    </xf>
    <xf numFmtId="3" fontId="66" fillId="0" borderId="24" xfId="0" applyNumberFormat="1" applyFont="1" applyBorder="1"/>
    <xf numFmtId="164" fontId="66" fillId="0" borderId="1" xfId="0" applyFont="1" applyBorder="1" applyAlignment="1"/>
    <xf numFmtId="3" fontId="66" fillId="0" borderId="0" xfId="0" applyNumberFormat="1" applyFont="1" applyBorder="1"/>
    <xf numFmtId="165" fontId="5" fillId="0" borderId="6" xfId="3" applyNumberFormat="1" applyFont="1" applyFill="1" applyBorder="1" applyAlignment="1" applyProtection="1">
      <alignment horizontal="right" wrapText="1"/>
      <protection locked="0"/>
    </xf>
    <xf numFmtId="165" fontId="18" fillId="44" borderId="59" xfId="3" applyNumberFormat="1" applyFont="1" applyFill="1" applyBorder="1" applyAlignment="1" applyProtection="1">
      <alignment horizontal="right" wrapText="1"/>
      <protection locked="0"/>
    </xf>
    <xf numFmtId="165" fontId="19" fillId="44" borderId="59" xfId="3" applyNumberFormat="1" applyFont="1" applyFill="1" applyBorder="1" applyAlignment="1" applyProtection="1">
      <alignment horizontal="right" wrapText="1"/>
      <protection locked="0"/>
    </xf>
    <xf numFmtId="165" fontId="18" fillId="44" borderId="60" xfId="3" applyNumberFormat="1" applyFont="1" applyFill="1" applyBorder="1" applyAlignment="1" applyProtection="1">
      <alignment horizontal="right" wrapText="1"/>
      <protection locked="0"/>
    </xf>
    <xf numFmtId="165" fontId="19" fillId="0" borderId="6" xfId="3" applyNumberFormat="1" applyFont="1" applyFill="1" applyBorder="1" applyAlignment="1" applyProtection="1">
      <alignment horizontal="right" wrapText="1"/>
      <protection locked="0"/>
    </xf>
    <xf numFmtId="165" fontId="19" fillId="44" borderId="60" xfId="3" applyNumberFormat="1" applyFont="1" applyFill="1" applyBorder="1" applyAlignment="1" applyProtection="1">
      <alignment horizontal="right" wrapText="1"/>
      <protection locked="0"/>
    </xf>
    <xf numFmtId="165" fontId="18" fillId="44" borderId="61" xfId="3" applyNumberFormat="1" applyFont="1" applyFill="1" applyBorder="1" applyAlignment="1" applyProtection="1">
      <alignment horizontal="right" wrapText="1"/>
      <protection locked="0"/>
    </xf>
    <xf numFmtId="165" fontId="18" fillId="44" borderId="59" xfId="3" applyNumberFormat="1" applyFont="1" applyFill="1" applyBorder="1" applyAlignment="1" applyProtection="1">
      <alignment horizontal="right" vertical="center"/>
      <protection locked="0"/>
    </xf>
    <xf numFmtId="165" fontId="18" fillId="4" borderId="23" xfId="3" applyNumberFormat="1" applyFont="1" applyFill="1" applyBorder="1" applyAlignment="1" applyProtection="1">
      <alignment horizontal="right" vertical="center"/>
      <protection locked="0"/>
    </xf>
    <xf numFmtId="165" fontId="19" fillId="44" borderId="59" xfId="3" applyNumberFormat="1" applyFont="1" applyFill="1" applyBorder="1" applyAlignment="1" applyProtection="1">
      <alignment horizontal="right" vertical="center"/>
      <protection locked="0"/>
    </xf>
    <xf numFmtId="164" fontId="0" fillId="0" borderId="0" xfId="0" quotePrefix="1"/>
    <xf numFmtId="165" fontId="15" fillId="44" borderId="6" xfId="1" applyNumberFormat="1" applyFont="1" applyFill="1" applyBorder="1" applyAlignment="1" applyProtection="1">
      <alignment horizontal="right" wrapText="1"/>
      <protection locked="0"/>
    </xf>
    <xf numFmtId="165" fontId="5" fillId="44" borderId="6" xfId="1" applyNumberFormat="1" applyFont="1" applyFill="1" applyBorder="1" applyAlignment="1" applyProtection="1">
      <alignment horizontal="right" vertical="center"/>
      <protection locked="0"/>
    </xf>
    <xf numFmtId="165" fontId="5" fillId="44" borderId="0" xfId="3" applyNumberFormat="1" applyFont="1" applyFill="1" applyAlignment="1">
      <alignment vertical="center"/>
    </xf>
    <xf numFmtId="165" fontId="5" fillId="44" borderId="0" xfId="3" applyNumberFormat="1" applyFont="1" applyFill="1"/>
    <xf numFmtId="169" fontId="5" fillId="0" borderId="2" xfId="0" applyNumberFormat="1" applyFont="1" applyFill="1" applyBorder="1" applyAlignment="1" applyProtection="1">
      <alignment horizontal="right"/>
    </xf>
    <xf numFmtId="3" fontId="5" fillId="0" borderId="2" xfId="0" applyNumberFormat="1" applyFont="1" applyFill="1" applyBorder="1" applyAlignment="1" applyProtection="1">
      <alignment horizontal="right"/>
    </xf>
    <xf numFmtId="3" fontId="5" fillId="0" borderId="19" xfId="0" applyNumberFormat="1" applyFont="1" applyFill="1" applyBorder="1" applyAlignment="1" applyProtection="1">
      <alignment horizontal="right"/>
    </xf>
    <xf numFmtId="165" fontId="31" fillId="0" borderId="20" xfId="3" applyNumberFormat="1" applyFont="1" applyBorder="1" applyAlignment="1">
      <alignment vertical="center"/>
    </xf>
    <xf numFmtId="165" fontId="31" fillId="0" borderId="4" xfId="3" applyNumberFormat="1" applyFont="1" applyBorder="1" applyAlignment="1">
      <alignment vertical="center"/>
    </xf>
    <xf numFmtId="165" fontId="31" fillId="0" borderId="5" xfId="3" applyNumberFormat="1" applyFont="1" applyBorder="1" applyAlignment="1">
      <alignment vertical="center"/>
    </xf>
    <xf numFmtId="164" fontId="0" fillId="0" borderId="0" xfId="0" applyFill="1" applyAlignment="1">
      <alignment vertical="top"/>
    </xf>
    <xf numFmtId="164" fontId="67" fillId="0" borderId="0" xfId="0" applyFont="1" applyAlignment="1">
      <alignment vertical="center"/>
    </xf>
    <xf numFmtId="164" fontId="6" fillId="0" borderId="0" xfId="0" applyFont="1" applyFill="1" applyBorder="1" applyAlignment="1">
      <alignment wrapText="1"/>
    </xf>
    <xf numFmtId="164" fontId="68" fillId="0" borderId="0" xfId="0" applyFont="1"/>
    <xf numFmtId="164" fontId="26" fillId="0" borderId="0" xfId="0" applyFont="1" applyFill="1" applyAlignment="1">
      <alignment horizontal="centerContinuous"/>
    </xf>
    <xf numFmtId="167" fontId="31" fillId="0" borderId="17" xfId="0" applyNumberFormat="1" applyFont="1" applyBorder="1" applyAlignment="1">
      <alignment vertical="center"/>
    </xf>
    <xf numFmtId="164" fontId="30" fillId="0" borderId="12" xfId="0" applyFont="1" applyBorder="1" applyAlignment="1">
      <alignment horizontal="centerContinuous"/>
    </xf>
    <xf numFmtId="164" fontId="30" fillId="0" borderId="5" xfId="0" applyFont="1" applyBorder="1" applyAlignment="1">
      <alignment horizontal="centerContinuous"/>
    </xf>
    <xf numFmtId="9" fontId="31" fillId="0" borderId="62" xfId="0" applyNumberFormat="1" applyFont="1" applyBorder="1" applyAlignment="1">
      <alignment vertical="center"/>
    </xf>
    <xf numFmtId="9" fontId="31" fillId="0" borderId="6" xfId="0" applyNumberFormat="1" applyFont="1" applyBorder="1" applyAlignment="1">
      <alignment vertical="center"/>
    </xf>
    <xf numFmtId="9" fontId="31" fillId="0" borderId="63" xfId="0" applyNumberFormat="1" applyFont="1" applyBorder="1" applyAlignment="1">
      <alignment vertical="center"/>
    </xf>
    <xf numFmtId="164" fontId="23" fillId="0" borderId="3" xfId="0" applyFont="1" applyBorder="1"/>
    <xf numFmtId="164" fontId="23" fillId="0" borderId="19" xfId="0" applyFont="1" applyBorder="1"/>
    <xf numFmtId="164" fontId="23" fillId="0" borderId="10" xfId="0" applyFont="1" applyBorder="1"/>
    <xf numFmtId="37" fontId="31" fillId="0" borderId="2" xfId="0" applyNumberFormat="1" applyFont="1" applyBorder="1" applyAlignment="1" applyProtection="1">
      <alignment vertical="center"/>
    </xf>
    <xf numFmtId="37" fontId="31" fillId="0" borderId="19" xfId="0" applyNumberFormat="1" applyFont="1" applyBorder="1" applyAlignment="1" applyProtection="1">
      <alignment vertical="center"/>
    </xf>
    <xf numFmtId="37" fontId="31" fillId="0" borderId="3" xfId="0" applyNumberFormat="1" applyFont="1" applyBorder="1" applyAlignment="1" applyProtection="1">
      <alignment vertical="center"/>
    </xf>
    <xf numFmtId="164" fontId="69" fillId="0" borderId="0" xfId="0" applyFont="1"/>
    <xf numFmtId="164" fontId="69" fillId="0" borderId="0" xfId="0" pivotButton="1" applyFont="1"/>
    <xf numFmtId="164" fontId="69" fillId="0" borderId="0" xfId="0" applyFont="1" applyAlignment="1">
      <alignment horizontal="left"/>
    </xf>
    <xf numFmtId="164" fontId="69" fillId="0" borderId="0" xfId="0" applyFont="1" applyAlignment="1">
      <alignment horizontal="left" indent="1"/>
    </xf>
    <xf numFmtId="3" fontId="69" fillId="0" borderId="0" xfId="0" applyNumberFormat="1" applyFont="1"/>
    <xf numFmtId="164" fontId="69" fillId="0" borderId="1" xfId="0" applyFont="1" applyBorder="1" applyAlignment="1">
      <alignment horizontal="left" indent="1"/>
    </xf>
    <xf numFmtId="3" fontId="69" fillId="0" borderId="1" xfId="0" applyNumberFormat="1" applyFont="1" applyBorder="1"/>
    <xf numFmtId="3" fontId="69" fillId="0" borderId="0" xfId="0" pivotButton="1" applyNumberFormat="1" applyFont="1"/>
    <xf numFmtId="164" fontId="69" fillId="0" borderId="24" xfId="0" applyFont="1" applyBorder="1" applyAlignment="1">
      <alignment horizontal="left" indent="1"/>
    </xf>
    <xf numFmtId="3" fontId="69" fillId="0" borderId="24" xfId="0" applyNumberFormat="1" applyFont="1" applyBorder="1"/>
    <xf numFmtId="164" fontId="69" fillId="0" borderId="1" xfId="0" applyFont="1" applyBorder="1" applyAlignment="1"/>
    <xf numFmtId="3" fontId="69" fillId="0" borderId="0" xfId="0" applyNumberFormat="1" applyFont="1" applyBorder="1"/>
    <xf numFmtId="164" fontId="14" fillId="0" borderId="0" xfId="0" applyFont="1" applyAlignment="1" applyProtection="1">
      <alignment horizontal="center"/>
    </xf>
    <xf numFmtId="164" fontId="20" fillId="0" borderId="17" xfId="0" applyFont="1" applyFill="1" applyBorder="1" applyAlignment="1" applyProtection="1">
      <alignment horizontal="left" wrapText="1"/>
    </xf>
    <xf numFmtId="164" fontId="14" fillId="0" borderId="0" xfId="0" applyFont="1" applyFill="1" applyAlignment="1" applyProtection="1">
      <alignment horizontal="center"/>
    </xf>
    <xf numFmtId="164" fontId="20" fillId="0" borderId="17" xfId="0" applyFont="1" applyFill="1" applyBorder="1" applyAlignment="1" applyProtection="1">
      <alignment wrapText="1"/>
    </xf>
    <xf numFmtId="164" fontId="20" fillId="0" borderId="17" xfId="0" applyFont="1" applyFill="1" applyBorder="1" applyAlignment="1">
      <alignment wrapText="1"/>
    </xf>
    <xf numFmtId="164" fontId="21" fillId="0" borderId="0" xfId="0" applyFont="1" applyFill="1" applyAlignment="1" applyProtection="1">
      <alignment horizontal="center"/>
    </xf>
    <xf numFmtId="164" fontId="20" fillId="0" borderId="0" xfId="0" applyFont="1" applyFill="1" applyAlignment="1" applyProtection="1">
      <alignment horizontal="left" vertical="top" wrapText="1"/>
    </xf>
    <xf numFmtId="164" fontId="20" fillId="0" borderId="17" xfId="0" applyFont="1" applyFill="1" applyBorder="1" applyAlignment="1" applyProtection="1">
      <alignment horizontal="left" vertical="top" wrapText="1"/>
    </xf>
    <xf numFmtId="164" fontId="20" fillId="0" borderId="0" xfId="0" applyFont="1" applyFill="1" applyBorder="1" applyAlignment="1" applyProtection="1">
      <alignment horizontal="left" vertical="top" wrapText="1"/>
    </xf>
    <xf numFmtId="164" fontId="20" fillId="0" borderId="0" xfId="0" applyFont="1" applyFill="1" applyAlignment="1" applyProtection="1">
      <alignment vertical="top" wrapText="1"/>
    </xf>
    <xf numFmtId="164" fontId="0" fillId="0" borderId="0" xfId="0" applyFill="1" applyAlignment="1">
      <alignment vertical="top" wrapText="1"/>
    </xf>
    <xf numFmtId="164" fontId="20" fillId="0" borderId="0" xfId="0" applyFont="1" applyFill="1" applyAlignment="1" applyProtection="1">
      <alignment wrapText="1"/>
    </xf>
    <xf numFmtId="164" fontId="6" fillId="0" borderId="0" xfId="0" applyFont="1" applyFill="1" applyAlignment="1">
      <alignment vertical="top" wrapText="1"/>
    </xf>
    <xf numFmtId="164" fontId="20" fillId="0" borderId="17" xfId="0" applyFont="1" applyFill="1" applyBorder="1" applyAlignment="1" applyProtection="1">
      <alignment vertical="top" wrapText="1"/>
    </xf>
    <xf numFmtId="164" fontId="6" fillId="0" borderId="17" xfId="0" applyFont="1" applyFill="1" applyBorder="1" applyAlignment="1">
      <alignment vertical="top" wrapText="1"/>
    </xf>
    <xf numFmtId="164" fontId="0" fillId="0" borderId="17" xfId="0" applyFill="1" applyBorder="1" applyAlignment="1">
      <alignment vertical="top"/>
    </xf>
    <xf numFmtId="164" fontId="0" fillId="0" borderId="0" xfId="0" applyFill="1" applyAlignment="1">
      <alignment horizontal="left" vertical="top" wrapText="1"/>
    </xf>
    <xf numFmtId="164" fontId="0" fillId="0" borderId="0" xfId="0" applyFill="1" applyAlignment="1">
      <alignment wrapText="1"/>
    </xf>
    <xf numFmtId="164" fontId="20" fillId="0" borderId="0" xfId="0" applyFont="1" applyFill="1" applyAlignment="1" applyProtection="1">
      <alignment horizontal="left" wrapText="1"/>
    </xf>
    <xf numFmtId="164" fontId="6" fillId="0" borderId="0" xfId="0" applyFont="1" applyFill="1" applyAlignment="1">
      <alignment wrapText="1"/>
    </xf>
  </cellXfs>
  <cellStyles count="10773">
    <cellStyle name="20% - Accent1 2" xfId="1336"/>
    <cellStyle name="20% - Accent2 2" xfId="1337"/>
    <cellStyle name="20% - Accent3 2" xfId="1338"/>
    <cellStyle name="20% - Accent4 2" xfId="1339"/>
    <cellStyle name="20% - Accent5 2" xfId="1340"/>
    <cellStyle name="20% - Accent6 2" xfId="1341"/>
    <cellStyle name="40% - Accent1 2" xfId="1342"/>
    <cellStyle name="40% - Accent2 2" xfId="1343"/>
    <cellStyle name="40% - Accent3 2" xfId="1344"/>
    <cellStyle name="40% - Accent4 2" xfId="1345"/>
    <cellStyle name="40% - Accent5 2" xfId="1346"/>
    <cellStyle name="40% - Accent6 2" xfId="1347"/>
    <cellStyle name="60% - Accent1 2" xfId="1348"/>
    <cellStyle name="60% - Accent2 2" xfId="1349"/>
    <cellStyle name="60% - Accent3 2" xfId="1350"/>
    <cellStyle name="60% - Accent4 2" xfId="1351"/>
    <cellStyle name="60% - Accent5 2" xfId="1352"/>
    <cellStyle name="60% - Accent6 2" xfId="1353"/>
    <cellStyle name="Accent1 2" xfId="1354"/>
    <cellStyle name="Accent2 2" xfId="1355"/>
    <cellStyle name="Accent3 2" xfId="1356"/>
    <cellStyle name="Accent4 2" xfId="1357"/>
    <cellStyle name="Accent5 2" xfId="1358"/>
    <cellStyle name="Accent6 2" xfId="1359"/>
    <cellStyle name="Bad 2" xfId="1360"/>
    <cellStyle name="Calculation 2" xfId="1361"/>
    <cellStyle name="Calculation 3" xfId="1385"/>
    <cellStyle name="Check Cell 2" xfId="1362"/>
    <cellStyle name="Comma" xfId="1" builtinId="3"/>
    <cellStyle name="Comma 2" xfId="3"/>
    <cellStyle name="Comma 2 2" xfId="93"/>
    <cellStyle name="Comma 2 3" xfId="142"/>
    <cellStyle name="Comma 2 4" xfId="1363"/>
    <cellStyle name="Comma 2 5" xfId="36"/>
    <cellStyle name="Comma 3" xfId="23"/>
    <cellStyle name="Comma 3 2" xfId="4"/>
    <cellStyle name="Comma 4" xfId="103"/>
    <cellStyle name="Comma 5" xfId="113"/>
    <cellStyle name="Comma 5 10" xfId="655"/>
    <cellStyle name="Comma 5 10 2" xfId="970"/>
    <cellStyle name="Comma 5 10 2 2" xfId="1922"/>
    <cellStyle name="Comma 5 10 2 2 2" xfId="7211"/>
    <cellStyle name="Comma 5 10 2 3" xfId="3252"/>
    <cellStyle name="Comma 5 10 2 3 2" xfId="8268"/>
    <cellStyle name="Comma 5 10 2 4" xfId="6327"/>
    <cellStyle name="Comma 5 10 2 5" xfId="9722"/>
    <cellStyle name="Comma 5 10 2 6" xfId="4804"/>
    <cellStyle name="Comma 5 10 3" xfId="1399"/>
    <cellStyle name="Comma 5 10 3 2" xfId="2323"/>
    <cellStyle name="Comma 5 10 3 2 2" xfId="7605"/>
    <cellStyle name="Comma 5 10 3 3" xfId="3601"/>
    <cellStyle name="Comma 5 10 3 3 2" xfId="8616"/>
    <cellStyle name="Comma 5 10 3 4" xfId="6695"/>
    <cellStyle name="Comma 5 10 3 5" xfId="10070"/>
    <cellStyle name="Comma 5 10 3 6" xfId="5199"/>
    <cellStyle name="Comma 5 10 4" xfId="1607"/>
    <cellStyle name="Comma 5 10 4 2" xfId="3986"/>
    <cellStyle name="Comma 5 10 4 2 2" xfId="9001"/>
    <cellStyle name="Comma 5 10 4 3" xfId="10455"/>
    <cellStyle name="Comma 5 10 4 4" xfId="6896"/>
    <cellStyle name="Comma 5 10 5" xfId="2940"/>
    <cellStyle name="Comma 5 10 5 2" xfId="7956"/>
    <cellStyle name="Comma 5 10 6" xfId="6012"/>
    <cellStyle name="Comma 5 10 7" xfId="9412"/>
    <cellStyle name="Comma 5 10 8" xfId="4489"/>
    <cellStyle name="Comma 5 11" xfId="969"/>
    <cellStyle name="Comma 5 11 2" xfId="1921"/>
    <cellStyle name="Comma 5 11 2 2" xfId="7210"/>
    <cellStyle name="Comma 5 11 3" xfId="3251"/>
    <cellStyle name="Comma 5 11 3 2" xfId="8267"/>
    <cellStyle name="Comma 5 11 4" xfId="6326"/>
    <cellStyle name="Comma 5 11 5" xfId="9721"/>
    <cellStyle name="Comma 5 11 6" xfId="4803"/>
    <cellStyle name="Comma 5 12" xfId="464"/>
    <cellStyle name="Comma 5 12 2" xfId="2291"/>
    <cellStyle name="Comma 5 12 2 2" xfId="7573"/>
    <cellStyle name="Comma 5 12 3" xfId="3600"/>
    <cellStyle name="Comma 5 12 3 2" xfId="8615"/>
    <cellStyle name="Comma 5 12 4" xfId="5831"/>
    <cellStyle name="Comma 5 12 5" xfId="10069"/>
    <cellStyle name="Comma 5 12 6" xfId="5167"/>
    <cellStyle name="Comma 5 13" xfId="1425"/>
    <cellStyle name="Comma 5 13 2" xfId="3954"/>
    <cellStyle name="Comma 5 13 2 2" xfId="8969"/>
    <cellStyle name="Comma 5 13 3" xfId="10423"/>
    <cellStyle name="Comma 5 13 4" xfId="6717"/>
    <cellStyle name="Comma 5 14" xfId="2908"/>
    <cellStyle name="Comma 5 14 2" xfId="9380"/>
    <cellStyle name="Comma 5 14 3" xfId="7924"/>
    <cellStyle name="Comma 5 15" xfId="5519"/>
    <cellStyle name="Comma 5 16" xfId="9340"/>
    <cellStyle name="Comma 5 17" xfId="4311"/>
    <cellStyle name="Comma 5 2" xfId="114"/>
    <cellStyle name="Comma 5 2 10" xfId="971"/>
    <cellStyle name="Comma 5 2 10 2" xfId="1923"/>
    <cellStyle name="Comma 5 2 10 2 2" xfId="7212"/>
    <cellStyle name="Comma 5 2 10 3" xfId="3253"/>
    <cellStyle name="Comma 5 2 10 3 2" xfId="8269"/>
    <cellStyle name="Comma 5 2 10 4" xfId="6328"/>
    <cellStyle name="Comma 5 2 10 5" xfId="9723"/>
    <cellStyle name="Comma 5 2 10 6" xfId="4805"/>
    <cellStyle name="Comma 5 2 11" xfId="465"/>
    <cellStyle name="Comma 5 2 11 2" xfId="2292"/>
    <cellStyle name="Comma 5 2 11 2 2" xfId="7574"/>
    <cellStyle name="Comma 5 2 11 3" xfId="3602"/>
    <cellStyle name="Comma 5 2 11 3 2" xfId="8617"/>
    <cellStyle name="Comma 5 2 11 4" xfId="5832"/>
    <cellStyle name="Comma 5 2 11 5" xfId="10071"/>
    <cellStyle name="Comma 5 2 11 6" xfId="5168"/>
    <cellStyle name="Comma 5 2 12" xfId="1426"/>
    <cellStyle name="Comma 5 2 12 2" xfId="3955"/>
    <cellStyle name="Comma 5 2 12 2 2" xfId="8970"/>
    <cellStyle name="Comma 5 2 12 3" xfId="10424"/>
    <cellStyle name="Comma 5 2 12 4" xfId="6718"/>
    <cellStyle name="Comma 5 2 13" xfId="2909"/>
    <cellStyle name="Comma 5 2 13 2" xfId="9381"/>
    <cellStyle name="Comma 5 2 13 3" xfId="7925"/>
    <cellStyle name="Comma 5 2 14" xfId="5520"/>
    <cellStyle name="Comma 5 2 15" xfId="9341"/>
    <cellStyle name="Comma 5 2 16" xfId="4312"/>
    <cellStyle name="Comma 5 2 2" xfId="162"/>
    <cellStyle name="Comma 5 2 2 10" xfId="2921"/>
    <cellStyle name="Comma 5 2 2 10 2" xfId="9393"/>
    <cellStyle name="Comma 5 2 2 10 3" xfId="7937"/>
    <cellStyle name="Comma 5 2 2 11" xfId="5545"/>
    <cellStyle name="Comma 5 2 2 12" xfId="9363"/>
    <cellStyle name="Comma 5 2 2 13" xfId="4325"/>
    <cellStyle name="Comma 5 2 2 2" xfId="227"/>
    <cellStyle name="Comma 5 2 2 2 10" xfId="9495"/>
    <cellStyle name="Comma 5 2 2 2 11" xfId="4355"/>
    <cellStyle name="Comma 5 2 2 2 2" xfId="436"/>
    <cellStyle name="Comma 5 2 2 2 2 2" xfId="942"/>
    <cellStyle name="Comma 5 2 2 2 2 2 2" xfId="1894"/>
    <cellStyle name="Comma 5 2 2 2 2 2 2 2" xfId="7183"/>
    <cellStyle name="Comma 5 2 2 2 2 2 3" xfId="3256"/>
    <cellStyle name="Comma 5 2 2 2 2 2 3 2" xfId="8272"/>
    <cellStyle name="Comma 5 2 2 2 2 2 4" xfId="6299"/>
    <cellStyle name="Comma 5 2 2 2 2 2 5" xfId="9726"/>
    <cellStyle name="Comma 5 2 2 2 2 2 6" xfId="4776"/>
    <cellStyle name="Comma 5 2 2 2 2 3" xfId="974"/>
    <cellStyle name="Comma 5 2 2 2 2 3 2" xfId="1926"/>
    <cellStyle name="Comma 5 2 2 2 2 3 2 2" xfId="7215"/>
    <cellStyle name="Comma 5 2 2 2 2 3 3" xfId="3605"/>
    <cellStyle name="Comma 5 2 2 2 2 3 3 2" xfId="8620"/>
    <cellStyle name="Comma 5 2 2 2 2 3 4" xfId="6331"/>
    <cellStyle name="Comma 5 2 2 2 2 3 5" xfId="10074"/>
    <cellStyle name="Comma 5 2 2 2 2 3 6" xfId="4808"/>
    <cellStyle name="Comma 5 2 2 2 2 4" xfId="622"/>
    <cellStyle name="Comma 5 2 2 2 2 4 2" xfId="2610"/>
    <cellStyle name="Comma 5 2 2 2 2 4 2 2" xfId="7892"/>
    <cellStyle name="Comma 5 2 2 2 2 4 3" xfId="4273"/>
    <cellStyle name="Comma 5 2 2 2 2 4 3 2" xfId="9288"/>
    <cellStyle name="Comma 5 2 2 2 2 4 4" xfId="5980"/>
    <cellStyle name="Comma 5 2 2 2 2 4 5" xfId="10742"/>
    <cellStyle name="Comma 5 2 2 2 2 4 6" xfId="5486"/>
    <cellStyle name="Comma 5 2 2 2 2 5" xfId="1577"/>
    <cellStyle name="Comma 5 2 2 2 2 5 2" xfId="6866"/>
    <cellStyle name="Comma 5 2 2 2 2 6" xfId="3229"/>
    <cellStyle name="Comma 5 2 2 2 2 6 2" xfId="8245"/>
    <cellStyle name="Comma 5 2 2 2 2 7" xfId="5806"/>
    <cellStyle name="Comma 5 2 2 2 2 8" xfId="9699"/>
    <cellStyle name="Comma 5 2 2 2 2 9" xfId="4459"/>
    <cellStyle name="Comma 5 2 2 2 3" xfId="329"/>
    <cellStyle name="Comma 5 2 2 2 3 2" xfId="975"/>
    <cellStyle name="Comma 5 2 2 2 3 2 2" xfId="1927"/>
    <cellStyle name="Comma 5 2 2 2 3 2 2 2" xfId="7216"/>
    <cellStyle name="Comma 5 2 2 2 3 2 3" xfId="3257"/>
    <cellStyle name="Comma 5 2 2 2 3 2 3 2" xfId="8273"/>
    <cellStyle name="Comma 5 2 2 2 3 2 4" xfId="6332"/>
    <cellStyle name="Comma 5 2 2 2 3 2 5" xfId="9727"/>
    <cellStyle name="Comma 5 2 2 2 3 2 6" xfId="4809"/>
    <cellStyle name="Comma 5 2 2 2 3 3" xfId="838"/>
    <cellStyle name="Comma 5 2 2 2 3 3 2" xfId="2506"/>
    <cellStyle name="Comma 5 2 2 2 3 3 2 2" xfId="7788"/>
    <cellStyle name="Comma 5 2 2 2 3 3 3" xfId="3606"/>
    <cellStyle name="Comma 5 2 2 2 3 3 3 2" xfId="8621"/>
    <cellStyle name="Comma 5 2 2 2 3 3 4" xfId="6195"/>
    <cellStyle name="Comma 5 2 2 2 3 3 5" xfId="10075"/>
    <cellStyle name="Comma 5 2 2 2 3 3 6" xfId="5382"/>
    <cellStyle name="Comma 5 2 2 2 3 4" xfId="1790"/>
    <cellStyle name="Comma 5 2 2 2 3 4 2" xfId="4169"/>
    <cellStyle name="Comma 5 2 2 2 3 4 2 2" xfId="9184"/>
    <cellStyle name="Comma 5 2 2 2 3 4 3" xfId="10638"/>
    <cellStyle name="Comma 5 2 2 2 3 4 4" xfId="7079"/>
    <cellStyle name="Comma 5 2 2 2 3 5" xfId="3125"/>
    <cellStyle name="Comma 5 2 2 2 3 5 2" xfId="8141"/>
    <cellStyle name="Comma 5 2 2 2 3 6" xfId="5702"/>
    <cellStyle name="Comma 5 2 2 2 3 7" xfId="9595"/>
    <cellStyle name="Comma 5 2 2 2 3 8" xfId="4672"/>
    <cellStyle name="Comma 5 2 2 2 4" xfId="738"/>
    <cellStyle name="Comma 5 2 2 2 4 2" xfId="1690"/>
    <cellStyle name="Comma 5 2 2 2 4 2 2" xfId="6979"/>
    <cellStyle name="Comma 5 2 2 2 4 3" xfId="3255"/>
    <cellStyle name="Comma 5 2 2 2 4 3 2" xfId="8271"/>
    <cellStyle name="Comma 5 2 2 2 4 4" xfId="6095"/>
    <cellStyle name="Comma 5 2 2 2 4 5" xfId="9725"/>
    <cellStyle name="Comma 5 2 2 2 4 6" xfId="4572"/>
    <cellStyle name="Comma 5 2 2 2 5" xfId="973"/>
    <cellStyle name="Comma 5 2 2 2 5 2" xfId="1925"/>
    <cellStyle name="Comma 5 2 2 2 5 2 2" xfId="7214"/>
    <cellStyle name="Comma 5 2 2 2 5 3" xfId="3604"/>
    <cellStyle name="Comma 5 2 2 2 5 3 2" xfId="8619"/>
    <cellStyle name="Comma 5 2 2 2 5 4" xfId="6330"/>
    <cellStyle name="Comma 5 2 2 2 5 5" xfId="10073"/>
    <cellStyle name="Comma 5 2 2 2 5 6" xfId="4807"/>
    <cellStyle name="Comma 5 2 2 2 6" xfId="515"/>
    <cellStyle name="Comma 5 2 2 2 6 2" xfId="2406"/>
    <cellStyle name="Comma 5 2 2 2 6 2 2" xfId="7688"/>
    <cellStyle name="Comma 5 2 2 2 6 3" xfId="4069"/>
    <cellStyle name="Comma 5 2 2 2 6 3 2" xfId="9084"/>
    <cellStyle name="Comma 5 2 2 2 6 4" xfId="5876"/>
    <cellStyle name="Comma 5 2 2 2 6 5" xfId="10538"/>
    <cellStyle name="Comma 5 2 2 2 6 6" xfId="5282"/>
    <cellStyle name="Comma 5 2 2 2 7" xfId="1473"/>
    <cellStyle name="Comma 5 2 2 2 7 2" xfId="6762"/>
    <cellStyle name="Comma 5 2 2 2 8" xfId="3025"/>
    <cellStyle name="Comma 5 2 2 2 8 2" xfId="8041"/>
    <cellStyle name="Comma 5 2 2 2 9" xfId="5602"/>
    <cellStyle name="Comma 5 2 2 3" xfId="272"/>
    <cellStyle name="Comma 5 2 2 3 10" xfId="4398"/>
    <cellStyle name="Comma 5 2 2 3 2" xfId="374"/>
    <cellStyle name="Comma 5 2 2 3 2 2" xfId="977"/>
    <cellStyle name="Comma 5 2 2 3 2 2 2" xfId="1929"/>
    <cellStyle name="Comma 5 2 2 3 2 2 2 2" xfId="7218"/>
    <cellStyle name="Comma 5 2 2 3 2 2 3" xfId="3259"/>
    <cellStyle name="Comma 5 2 2 3 2 2 3 2" xfId="8275"/>
    <cellStyle name="Comma 5 2 2 3 2 2 4" xfId="6334"/>
    <cellStyle name="Comma 5 2 2 3 2 2 5" xfId="9729"/>
    <cellStyle name="Comma 5 2 2 3 2 2 6" xfId="4811"/>
    <cellStyle name="Comma 5 2 2 3 2 3" xfId="881"/>
    <cellStyle name="Comma 5 2 2 3 2 3 2" xfId="2549"/>
    <cellStyle name="Comma 5 2 2 3 2 3 2 2" xfId="7831"/>
    <cellStyle name="Comma 5 2 2 3 2 3 3" xfId="3608"/>
    <cellStyle name="Comma 5 2 2 3 2 3 3 2" xfId="8623"/>
    <cellStyle name="Comma 5 2 2 3 2 3 4" xfId="6238"/>
    <cellStyle name="Comma 5 2 2 3 2 3 5" xfId="10077"/>
    <cellStyle name="Comma 5 2 2 3 2 3 6" xfId="5425"/>
    <cellStyle name="Comma 5 2 2 3 2 4" xfId="1833"/>
    <cellStyle name="Comma 5 2 2 3 2 4 2" xfId="4212"/>
    <cellStyle name="Comma 5 2 2 3 2 4 2 2" xfId="9227"/>
    <cellStyle name="Comma 5 2 2 3 2 4 3" xfId="10681"/>
    <cellStyle name="Comma 5 2 2 3 2 4 4" xfId="7122"/>
    <cellStyle name="Comma 5 2 2 3 2 5" xfId="3168"/>
    <cellStyle name="Comma 5 2 2 3 2 5 2" xfId="8184"/>
    <cellStyle name="Comma 5 2 2 3 2 6" xfId="5745"/>
    <cellStyle name="Comma 5 2 2 3 2 7" xfId="9638"/>
    <cellStyle name="Comma 5 2 2 3 2 8" xfId="4715"/>
    <cellStyle name="Comma 5 2 2 3 3" xfId="781"/>
    <cellStyle name="Comma 5 2 2 3 3 2" xfId="1733"/>
    <cellStyle name="Comma 5 2 2 3 3 2 2" xfId="7022"/>
    <cellStyle name="Comma 5 2 2 3 3 3" xfId="3258"/>
    <cellStyle name="Comma 5 2 2 3 3 3 2" xfId="8274"/>
    <cellStyle name="Comma 5 2 2 3 3 4" xfId="6138"/>
    <cellStyle name="Comma 5 2 2 3 3 5" xfId="9728"/>
    <cellStyle name="Comma 5 2 2 3 3 6" xfId="4615"/>
    <cellStyle name="Comma 5 2 2 3 4" xfId="976"/>
    <cellStyle name="Comma 5 2 2 3 4 2" xfId="1928"/>
    <cellStyle name="Comma 5 2 2 3 4 2 2" xfId="7217"/>
    <cellStyle name="Comma 5 2 2 3 4 3" xfId="3607"/>
    <cellStyle name="Comma 5 2 2 3 4 3 2" xfId="8622"/>
    <cellStyle name="Comma 5 2 2 3 4 4" xfId="6333"/>
    <cellStyle name="Comma 5 2 2 3 4 5" xfId="10076"/>
    <cellStyle name="Comma 5 2 2 3 4 6" xfId="4810"/>
    <cellStyle name="Comma 5 2 2 3 5" xfId="561"/>
    <cellStyle name="Comma 5 2 2 3 5 2" xfId="2449"/>
    <cellStyle name="Comma 5 2 2 3 5 2 2" xfId="7731"/>
    <cellStyle name="Comma 5 2 2 3 5 3" xfId="4112"/>
    <cellStyle name="Comma 5 2 2 3 5 3 2" xfId="9127"/>
    <cellStyle name="Comma 5 2 2 3 5 4" xfId="5919"/>
    <cellStyle name="Comma 5 2 2 3 5 5" xfId="10581"/>
    <cellStyle name="Comma 5 2 2 3 5 6" xfId="5325"/>
    <cellStyle name="Comma 5 2 2 3 6" xfId="1516"/>
    <cellStyle name="Comma 5 2 2 3 6 2" xfId="6805"/>
    <cellStyle name="Comma 5 2 2 3 7" xfId="3068"/>
    <cellStyle name="Comma 5 2 2 3 7 2" xfId="8084"/>
    <cellStyle name="Comma 5 2 2 3 8" xfId="5645"/>
    <cellStyle name="Comma 5 2 2 3 9" xfId="9538"/>
    <cellStyle name="Comma 5 2 2 4" xfId="193"/>
    <cellStyle name="Comma 5 2 2 4 10" xfId="4430"/>
    <cellStyle name="Comma 5 2 2 4 2" xfId="407"/>
    <cellStyle name="Comma 5 2 2 4 2 2" xfId="979"/>
    <cellStyle name="Comma 5 2 2 4 2 2 2" xfId="1931"/>
    <cellStyle name="Comma 5 2 2 4 2 2 2 2" xfId="7220"/>
    <cellStyle name="Comma 5 2 2 4 2 2 3" xfId="3261"/>
    <cellStyle name="Comma 5 2 2 4 2 2 3 2" xfId="8277"/>
    <cellStyle name="Comma 5 2 2 4 2 2 4" xfId="6336"/>
    <cellStyle name="Comma 5 2 2 4 2 2 5" xfId="9731"/>
    <cellStyle name="Comma 5 2 2 4 2 2 6" xfId="4813"/>
    <cellStyle name="Comma 5 2 2 4 2 3" xfId="913"/>
    <cellStyle name="Comma 5 2 2 4 2 3 2" xfId="2581"/>
    <cellStyle name="Comma 5 2 2 4 2 3 2 2" xfId="7863"/>
    <cellStyle name="Comma 5 2 2 4 2 3 3" xfId="3610"/>
    <cellStyle name="Comma 5 2 2 4 2 3 3 2" xfId="8625"/>
    <cellStyle name="Comma 5 2 2 4 2 3 4" xfId="6270"/>
    <cellStyle name="Comma 5 2 2 4 2 3 5" xfId="10079"/>
    <cellStyle name="Comma 5 2 2 4 2 3 6" xfId="5457"/>
    <cellStyle name="Comma 5 2 2 4 2 4" xfId="1865"/>
    <cellStyle name="Comma 5 2 2 4 2 4 2" xfId="4244"/>
    <cellStyle name="Comma 5 2 2 4 2 4 2 2" xfId="9259"/>
    <cellStyle name="Comma 5 2 2 4 2 4 3" xfId="10713"/>
    <cellStyle name="Comma 5 2 2 4 2 4 4" xfId="7154"/>
    <cellStyle name="Comma 5 2 2 4 2 5" xfId="3200"/>
    <cellStyle name="Comma 5 2 2 4 2 5 2" xfId="8216"/>
    <cellStyle name="Comma 5 2 2 4 2 6" xfId="5777"/>
    <cellStyle name="Comma 5 2 2 4 2 7" xfId="9670"/>
    <cellStyle name="Comma 5 2 2 4 2 8" xfId="4747"/>
    <cellStyle name="Comma 5 2 2 4 3" xfId="708"/>
    <cellStyle name="Comma 5 2 2 4 3 2" xfId="1660"/>
    <cellStyle name="Comma 5 2 2 4 3 2 2" xfId="6949"/>
    <cellStyle name="Comma 5 2 2 4 3 3" xfId="3260"/>
    <cellStyle name="Comma 5 2 2 4 3 3 2" xfId="8276"/>
    <cellStyle name="Comma 5 2 2 4 3 4" xfId="6065"/>
    <cellStyle name="Comma 5 2 2 4 3 5" xfId="9730"/>
    <cellStyle name="Comma 5 2 2 4 3 6" xfId="4542"/>
    <cellStyle name="Comma 5 2 2 4 4" xfId="978"/>
    <cellStyle name="Comma 5 2 2 4 4 2" xfId="1930"/>
    <cellStyle name="Comma 5 2 2 4 4 2 2" xfId="7219"/>
    <cellStyle name="Comma 5 2 2 4 4 3" xfId="3609"/>
    <cellStyle name="Comma 5 2 2 4 4 3 2" xfId="8624"/>
    <cellStyle name="Comma 5 2 2 4 4 4" xfId="6335"/>
    <cellStyle name="Comma 5 2 2 4 4 5" xfId="10078"/>
    <cellStyle name="Comma 5 2 2 4 4 6" xfId="4812"/>
    <cellStyle name="Comma 5 2 2 4 5" xfId="593"/>
    <cellStyle name="Comma 5 2 2 4 5 2" xfId="2376"/>
    <cellStyle name="Comma 5 2 2 4 5 2 2" xfId="7658"/>
    <cellStyle name="Comma 5 2 2 4 5 3" xfId="4039"/>
    <cellStyle name="Comma 5 2 2 4 5 3 2" xfId="9054"/>
    <cellStyle name="Comma 5 2 2 4 5 4" xfId="5951"/>
    <cellStyle name="Comma 5 2 2 4 5 5" xfId="10508"/>
    <cellStyle name="Comma 5 2 2 4 5 6" xfId="5252"/>
    <cellStyle name="Comma 5 2 2 4 6" xfId="1548"/>
    <cellStyle name="Comma 5 2 2 4 6 2" xfId="6837"/>
    <cellStyle name="Comma 5 2 2 4 7" xfId="2995"/>
    <cellStyle name="Comma 5 2 2 4 7 2" xfId="8011"/>
    <cellStyle name="Comma 5 2 2 4 8" xfId="5572"/>
    <cellStyle name="Comma 5 2 2 4 9" xfId="9465"/>
    <cellStyle name="Comma 5 2 2 5" xfId="299"/>
    <cellStyle name="Comma 5 2 2 5 2" xfId="980"/>
    <cellStyle name="Comma 5 2 2 5 2 2" xfId="1932"/>
    <cellStyle name="Comma 5 2 2 5 2 2 2" xfId="7221"/>
    <cellStyle name="Comma 5 2 2 5 2 3" xfId="3262"/>
    <cellStyle name="Comma 5 2 2 5 2 3 2" xfId="8278"/>
    <cellStyle name="Comma 5 2 2 5 2 4" xfId="6337"/>
    <cellStyle name="Comma 5 2 2 5 2 5" xfId="9732"/>
    <cellStyle name="Comma 5 2 2 5 2 6" xfId="4814"/>
    <cellStyle name="Comma 5 2 2 5 3" xfId="808"/>
    <cellStyle name="Comma 5 2 2 5 3 2" xfId="2476"/>
    <cellStyle name="Comma 5 2 2 5 3 2 2" xfId="7758"/>
    <cellStyle name="Comma 5 2 2 5 3 3" xfId="3611"/>
    <cellStyle name="Comma 5 2 2 5 3 3 2" xfId="8626"/>
    <cellStyle name="Comma 5 2 2 5 3 4" xfId="6165"/>
    <cellStyle name="Comma 5 2 2 5 3 5" xfId="10080"/>
    <cellStyle name="Comma 5 2 2 5 3 6" xfId="5352"/>
    <cellStyle name="Comma 5 2 2 5 4" xfId="1760"/>
    <cellStyle name="Comma 5 2 2 5 4 2" xfId="4139"/>
    <cellStyle name="Comma 5 2 2 5 4 2 2" xfId="9154"/>
    <cellStyle name="Comma 5 2 2 5 4 3" xfId="10608"/>
    <cellStyle name="Comma 5 2 2 5 4 4" xfId="7049"/>
    <cellStyle name="Comma 5 2 2 5 5" xfId="3095"/>
    <cellStyle name="Comma 5 2 2 5 5 2" xfId="8111"/>
    <cellStyle name="Comma 5 2 2 5 6" xfId="5672"/>
    <cellStyle name="Comma 5 2 2 5 7" xfId="9565"/>
    <cellStyle name="Comma 5 2 2 5 8" xfId="4642"/>
    <cellStyle name="Comma 5 2 2 6" xfId="681"/>
    <cellStyle name="Comma 5 2 2 6 2" xfId="981"/>
    <cellStyle name="Comma 5 2 2 6 2 2" xfId="1933"/>
    <cellStyle name="Comma 5 2 2 6 2 2 2" xfId="7222"/>
    <cellStyle name="Comma 5 2 2 6 2 3" xfId="3263"/>
    <cellStyle name="Comma 5 2 2 6 2 3 2" xfId="8279"/>
    <cellStyle name="Comma 5 2 2 6 2 4" xfId="6338"/>
    <cellStyle name="Comma 5 2 2 6 2 5" xfId="9733"/>
    <cellStyle name="Comma 5 2 2 6 2 6" xfId="4815"/>
    <cellStyle name="Comma 5 2 2 6 3" xfId="1390"/>
    <cellStyle name="Comma 5 2 2 6 3 2" xfId="2349"/>
    <cellStyle name="Comma 5 2 2 6 3 2 2" xfId="7631"/>
    <cellStyle name="Comma 5 2 2 6 3 3" xfId="3612"/>
    <cellStyle name="Comma 5 2 2 6 3 3 2" xfId="8627"/>
    <cellStyle name="Comma 5 2 2 6 3 4" xfId="6686"/>
    <cellStyle name="Comma 5 2 2 6 3 5" xfId="10081"/>
    <cellStyle name="Comma 5 2 2 6 3 6" xfId="5225"/>
    <cellStyle name="Comma 5 2 2 6 4" xfId="1633"/>
    <cellStyle name="Comma 5 2 2 6 4 2" xfId="4012"/>
    <cellStyle name="Comma 5 2 2 6 4 2 2" xfId="9027"/>
    <cellStyle name="Comma 5 2 2 6 4 3" xfId="10481"/>
    <cellStyle name="Comma 5 2 2 6 4 4" xfId="6922"/>
    <cellStyle name="Comma 5 2 2 6 5" xfId="2966"/>
    <cellStyle name="Comma 5 2 2 6 5 2" xfId="7982"/>
    <cellStyle name="Comma 5 2 2 6 6" xfId="6038"/>
    <cellStyle name="Comma 5 2 2 6 7" xfId="9438"/>
    <cellStyle name="Comma 5 2 2 6 8" xfId="4515"/>
    <cellStyle name="Comma 5 2 2 7" xfId="972"/>
    <cellStyle name="Comma 5 2 2 7 2" xfId="1924"/>
    <cellStyle name="Comma 5 2 2 7 2 2" xfId="7213"/>
    <cellStyle name="Comma 5 2 2 7 3" xfId="3254"/>
    <cellStyle name="Comma 5 2 2 7 3 2" xfId="8270"/>
    <cellStyle name="Comma 5 2 2 7 4" xfId="6329"/>
    <cellStyle name="Comma 5 2 2 7 5" xfId="9724"/>
    <cellStyle name="Comma 5 2 2 7 6" xfId="4806"/>
    <cellStyle name="Comma 5 2 2 8" xfId="481"/>
    <cellStyle name="Comma 5 2 2 8 2" xfId="2304"/>
    <cellStyle name="Comma 5 2 2 8 2 2" xfId="7586"/>
    <cellStyle name="Comma 5 2 2 8 3" xfId="3603"/>
    <cellStyle name="Comma 5 2 2 8 3 2" xfId="8618"/>
    <cellStyle name="Comma 5 2 2 8 4" xfId="5845"/>
    <cellStyle name="Comma 5 2 2 8 5" xfId="10072"/>
    <cellStyle name="Comma 5 2 2 8 6" xfId="5180"/>
    <cellStyle name="Comma 5 2 2 9" xfId="1440"/>
    <cellStyle name="Comma 5 2 2 9 2" xfId="3967"/>
    <cellStyle name="Comma 5 2 2 9 2 2" xfId="8982"/>
    <cellStyle name="Comma 5 2 2 9 3" xfId="10436"/>
    <cellStyle name="Comma 5 2 2 9 4" xfId="6731"/>
    <cellStyle name="Comma 5 2 3" xfId="170"/>
    <cellStyle name="Comma 5 2 3 10" xfId="2929"/>
    <cellStyle name="Comma 5 2 3 10 2" xfId="9401"/>
    <cellStyle name="Comma 5 2 3 10 3" xfId="7945"/>
    <cellStyle name="Comma 5 2 3 11" xfId="5553"/>
    <cellStyle name="Comma 5 2 3 12" xfId="9371"/>
    <cellStyle name="Comma 5 2 3 13" xfId="4331"/>
    <cellStyle name="Comma 5 2 3 2" xfId="235"/>
    <cellStyle name="Comma 5 2 3 2 10" xfId="9503"/>
    <cellStyle name="Comma 5 2 3 2 11" xfId="4363"/>
    <cellStyle name="Comma 5 2 3 2 2" xfId="444"/>
    <cellStyle name="Comma 5 2 3 2 2 2" xfId="950"/>
    <cellStyle name="Comma 5 2 3 2 2 2 2" xfId="1902"/>
    <cellStyle name="Comma 5 2 3 2 2 2 2 2" xfId="7191"/>
    <cellStyle name="Comma 5 2 3 2 2 2 3" xfId="3266"/>
    <cellStyle name="Comma 5 2 3 2 2 2 3 2" xfId="8282"/>
    <cellStyle name="Comma 5 2 3 2 2 2 4" xfId="6307"/>
    <cellStyle name="Comma 5 2 3 2 2 2 5" xfId="9736"/>
    <cellStyle name="Comma 5 2 3 2 2 2 6" xfId="4784"/>
    <cellStyle name="Comma 5 2 3 2 2 3" xfId="984"/>
    <cellStyle name="Comma 5 2 3 2 2 3 2" xfId="1936"/>
    <cellStyle name="Comma 5 2 3 2 2 3 2 2" xfId="7225"/>
    <cellStyle name="Comma 5 2 3 2 2 3 3" xfId="3615"/>
    <cellStyle name="Comma 5 2 3 2 2 3 3 2" xfId="8630"/>
    <cellStyle name="Comma 5 2 3 2 2 3 4" xfId="6341"/>
    <cellStyle name="Comma 5 2 3 2 2 3 5" xfId="10084"/>
    <cellStyle name="Comma 5 2 3 2 2 3 6" xfId="4818"/>
    <cellStyle name="Comma 5 2 3 2 2 4" xfId="630"/>
    <cellStyle name="Comma 5 2 3 2 2 4 2" xfId="2618"/>
    <cellStyle name="Comma 5 2 3 2 2 4 2 2" xfId="7900"/>
    <cellStyle name="Comma 5 2 3 2 2 4 3" xfId="4281"/>
    <cellStyle name="Comma 5 2 3 2 2 4 3 2" xfId="9296"/>
    <cellStyle name="Comma 5 2 3 2 2 4 4" xfId="5988"/>
    <cellStyle name="Comma 5 2 3 2 2 4 5" xfId="10750"/>
    <cellStyle name="Comma 5 2 3 2 2 4 6" xfId="5494"/>
    <cellStyle name="Comma 5 2 3 2 2 5" xfId="1585"/>
    <cellStyle name="Comma 5 2 3 2 2 5 2" xfId="6874"/>
    <cellStyle name="Comma 5 2 3 2 2 6" xfId="3237"/>
    <cellStyle name="Comma 5 2 3 2 2 6 2" xfId="8253"/>
    <cellStyle name="Comma 5 2 3 2 2 7" xfId="5814"/>
    <cellStyle name="Comma 5 2 3 2 2 8" xfId="9707"/>
    <cellStyle name="Comma 5 2 3 2 2 9" xfId="4467"/>
    <cellStyle name="Comma 5 2 3 2 3" xfId="337"/>
    <cellStyle name="Comma 5 2 3 2 3 2" xfId="985"/>
    <cellStyle name="Comma 5 2 3 2 3 2 2" xfId="1937"/>
    <cellStyle name="Comma 5 2 3 2 3 2 2 2" xfId="7226"/>
    <cellStyle name="Comma 5 2 3 2 3 2 3" xfId="3267"/>
    <cellStyle name="Comma 5 2 3 2 3 2 3 2" xfId="8283"/>
    <cellStyle name="Comma 5 2 3 2 3 2 4" xfId="6342"/>
    <cellStyle name="Comma 5 2 3 2 3 2 5" xfId="9737"/>
    <cellStyle name="Comma 5 2 3 2 3 2 6" xfId="4819"/>
    <cellStyle name="Comma 5 2 3 2 3 3" xfId="846"/>
    <cellStyle name="Comma 5 2 3 2 3 3 2" xfId="2514"/>
    <cellStyle name="Comma 5 2 3 2 3 3 2 2" xfId="7796"/>
    <cellStyle name="Comma 5 2 3 2 3 3 3" xfId="3616"/>
    <cellStyle name="Comma 5 2 3 2 3 3 3 2" xfId="8631"/>
    <cellStyle name="Comma 5 2 3 2 3 3 4" xfId="6203"/>
    <cellStyle name="Comma 5 2 3 2 3 3 5" xfId="10085"/>
    <cellStyle name="Comma 5 2 3 2 3 3 6" xfId="5390"/>
    <cellStyle name="Comma 5 2 3 2 3 4" xfId="1798"/>
    <cellStyle name="Comma 5 2 3 2 3 4 2" xfId="4177"/>
    <cellStyle name="Comma 5 2 3 2 3 4 2 2" xfId="9192"/>
    <cellStyle name="Comma 5 2 3 2 3 4 3" xfId="10646"/>
    <cellStyle name="Comma 5 2 3 2 3 4 4" xfId="7087"/>
    <cellStyle name="Comma 5 2 3 2 3 5" xfId="3133"/>
    <cellStyle name="Comma 5 2 3 2 3 5 2" xfId="8149"/>
    <cellStyle name="Comma 5 2 3 2 3 6" xfId="5710"/>
    <cellStyle name="Comma 5 2 3 2 3 7" xfId="9603"/>
    <cellStyle name="Comma 5 2 3 2 3 8" xfId="4680"/>
    <cellStyle name="Comma 5 2 3 2 4" xfId="746"/>
    <cellStyle name="Comma 5 2 3 2 4 2" xfId="1698"/>
    <cellStyle name="Comma 5 2 3 2 4 2 2" xfId="6987"/>
    <cellStyle name="Comma 5 2 3 2 4 3" xfId="3265"/>
    <cellStyle name="Comma 5 2 3 2 4 3 2" xfId="8281"/>
    <cellStyle name="Comma 5 2 3 2 4 4" xfId="6103"/>
    <cellStyle name="Comma 5 2 3 2 4 5" xfId="9735"/>
    <cellStyle name="Comma 5 2 3 2 4 6" xfId="4580"/>
    <cellStyle name="Comma 5 2 3 2 5" xfId="983"/>
    <cellStyle name="Comma 5 2 3 2 5 2" xfId="1935"/>
    <cellStyle name="Comma 5 2 3 2 5 2 2" xfId="7224"/>
    <cellStyle name="Comma 5 2 3 2 5 3" xfId="3614"/>
    <cellStyle name="Comma 5 2 3 2 5 3 2" xfId="8629"/>
    <cellStyle name="Comma 5 2 3 2 5 4" xfId="6340"/>
    <cellStyle name="Comma 5 2 3 2 5 5" xfId="10083"/>
    <cellStyle name="Comma 5 2 3 2 5 6" xfId="4817"/>
    <cellStyle name="Comma 5 2 3 2 6" xfId="523"/>
    <cellStyle name="Comma 5 2 3 2 6 2" xfId="2414"/>
    <cellStyle name="Comma 5 2 3 2 6 2 2" xfId="7696"/>
    <cellStyle name="Comma 5 2 3 2 6 3" xfId="4077"/>
    <cellStyle name="Comma 5 2 3 2 6 3 2" xfId="9092"/>
    <cellStyle name="Comma 5 2 3 2 6 4" xfId="5884"/>
    <cellStyle name="Comma 5 2 3 2 6 5" xfId="10546"/>
    <cellStyle name="Comma 5 2 3 2 6 6" xfId="5290"/>
    <cellStyle name="Comma 5 2 3 2 7" xfId="1481"/>
    <cellStyle name="Comma 5 2 3 2 7 2" xfId="6770"/>
    <cellStyle name="Comma 5 2 3 2 8" xfId="3033"/>
    <cellStyle name="Comma 5 2 3 2 8 2" xfId="8049"/>
    <cellStyle name="Comma 5 2 3 2 9" xfId="5610"/>
    <cellStyle name="Comma 5 2 3 3" xfId="280"/>
    <cellStyle name="Comma 5 2 3 3 10" xfId="4406"/>
    <cellStyle name="Comma 5 2 3 3 2" xfId="382"/>
    <cellStyle name="Comma 5 2 3 3 2 2" xfId="987"/>
    <cellStyle name="Comma 5 2 3 3 2 2 2" xfId="1939"/>
    <cellStyle name="Comma 5 2 3 3 2 2 2 2" xfId="7228"/>
    <cellStyle name="Comma 5 2 3 3 2 2 3" xfId="3269"/>
    <cellStyle name="Comma 5 2 3 3 2 2 3 2" xfId="8285"/>
    <cellStyle name="Comma 5 2 3 3 2 2 4" xfId="6344"/>
    <cellStyle name="Comma 5 2 3 3 2 2 5" xfId="9739"/>
    <cellStyle name="Comma 5 2 3 3 2 2 6" xfId="4821"/>
    <cellStyle name="Comma 5 2 3 3 2 3" xfId="889"/>
    <cellStyle name="Comma 5 2 3 3 2 3 2" xfId="2557"/>
    <cellStyle name="Comma 5 2 3 3 2 3 2 2" xfId="7839"/>
    <cellStyle name="Comma 5 2 3 3 2 3 3" xfId="3618"/>
    <cellStyle name="Comma 5 2 3 3 2 3 3 2" xfId="8633"/>
    <cellStyle name="Comma 5 2 3 3 2 3 4" xfId="6246"/>
    <cellStyle name="Comma 5 2 3 3 2 3 5" xfId="10087"/>
    <cellStyle name="Comma 5 2 3 3 2 3 6" xfId="5433"/>
    <cellStyle name="Comma 5 2 3 3 2 4" xfId="1841"/>
    <cellStyle name="Comma 5 2 3 3 2 4 2" xfId="4220"/>
    <cellStyle name="Comma 5 2 3 3 2 4 2 2" xfId="9235"/>
    <cellStyle name="Comma 5 2 3 3 2 4 3" xfId="10689"/>
    <cellStyle name="Comma 5 2 3 3 2 4 4" xfId="7130"/>
    <cellStyle name="Comma 5 2 3 3 2 5" xfId="3176"/>
    <cellStyle name="Comma 5 2 3 3 2 5 2" xfId="8192"/>
    <cellStyle name="Comma 5 2 3 3 2 6" xfId="5753"/>
    <cellStyle name="Comma 5 2 3 3 2 7" xfId="9646"/>
    <cellStyle name="Comma 5 2 3 3 2 8" xfId="4723"/>
    <cellStyle name="Comma 5 2 3 3 3" xfId="789"/>
    <cellStyle name="Comma 5 2 3 3 3 2" xfId="1741"/>
    <cellStyle name="Comma 5 2 3 3 3 2 2" xfId="7030"/>
    <cellStyle name="Comma 5 2 3 3 3 3" xfId="3268"/>
    <cellStyle name="Comma 5 2 3 3 3 3 2" xfId="8284"/>
    <cellStyle name="Comma 5 2 3 3 3 4" xfId="6146"/>
    <cellStyle name="Comma 5 2 3 3 3 5" xfId="9738"/>
    <cellStyle name="Comma 5 2 3 3 3 6" xfId="4623"/>
    <cellStyle name="Comma 5 2 3 3 4" xfId="986"/>
    <cellStyle name="Comma 5 2 3 3 4 2" xfId="1938"/>
    <cellStyle name="Comma 5 2 3 3 4 2 2" xfId="7227"/>
    <cellStyle name="Comma 5 2 3 3 4 3" xfId="3617"/>
    <cellStyle name="Comma 5 2 3 3 4 3 2" xfId="8632"/>
    <cellStyle name="Comma 5 2 3 3 4 4" xfId="6343"/>
    <cellStyle name="Comma 5 2 3 3 4 5" xfId="10086"/>
    <cellStyle name="Comma 5 2 3 3 4 6" xfId="4820"/>
    <cellStyle name="Comma 5 2 3 3 5" xfId="569"/>
    <cellStyle name="Comma 5 2 3 3 5 2" xfId="2457"/>
    <cellStyle name="Comma 5 2 3 3 5 2 2" xfId="7739"/>
    <cellStyle name="Comma 5 2 3 3 5 3" xfId="4120"/>
    <cellStyle name="Comma 5 2 3 3 5 3 2" xfId="9135"/>
    <cellStyle name="Comma 5 2 3 3 5 4" xfId="5927"/>
    <cellStyle name="Comma 5 2 3 3 5 5" xfId="10589"/>
    <cellStyle name="Comma 5 2 3 3 5 6" xfId="5333"/>
    <cellStyle name="Comma 5 2 3 3 6" xfId="1524"/>
    <cellStyle name="Comma 5 2 3 3 6 2" xfId="6813"/>
    <cellStyle name="Comma 5 2 3 3 7" xfId="3076"/>
    <cellStyle name="Comma 5 2 3 3 7 2" xfId="8092"/>
    <cellStyle name="Comma 5 2 3 3 8" xfId="5653"/>
    <cellStyle name="Comma 5 2 3 3 9" xfId="9546"/>
    <cellStyle name="Comma 5 2 3 4" xfId="199"/>
    <cellStyle name="Comma 5 2 3 4 10" xfId="4436"/>
    <cellStyle name="Comma 5 2 3 4 2" xfId="413"/>
    <cellStyle name="Comma 5 2 3 4 2 2" xfId="989"/>
    <cellStyle name="Comma 5 2 3 4 2 2 2" xfId="1941"/>
    <cellStyle name="Comma 5 2 3 4 2 2 2 2" xfId="7230"/>
    <cellStyle name="Comma 5 2 3 4 2 2 3" xfId="3271"/>
    <cellStyle name="Comma 5 2 3 4 2 2 3 2" xfId="8287"/>
    <cellStyle name="Comma 5 2 3 4 2 2 4" xfId="6346"/>
    <cellStyle name="Comma 5 2 3 4 2 2 5" xfId="9741"/>
    <cellStyle name="Comma 5 2 3 4 2 2 6" xfId="4823"/>
    <cellStyle name="Comma 5 2 3 4 2 3" xfId="919"/>
    <cellStyle name="Comma 5 2 3 4 2 3 2" xfId="2587"/>
    <cellStyle name="Comma 5 2 3 4 2 3 2 2" xfId="7869"/>
    <cellStyle name="Comma 5 2 3 4 2 3 3" xfId="3620"/>
    <cellStyle name="Comma 5 2 3 4 2 3 3 2" xfId="8635"/>
    <cellStyle name="Comma 5 2 3 4 2 3 4" xfId="6276"/>
    <cellStyle name="Comma 5 2 3 4 2 3 5" xfId="10089"/>
    <cellStyle name="Comma 5 2 3 4 2 3 6" xfId="5463"/>
    <cellStyle name="Comma 5 2 3 4 2 4" xfId="1871"/>
    <cellStyle name="Comma 5 2 3 4 2 4 2" xfId="4250"/>
    <cellStyle name="Comma 5 2 3 4 2 4 2 2" xfId="9265"/>
    <cellStyle name="Comma 5 2 3 4 2 4 3" xfId="10719"/>
    <cellStyle name="Comma 5 2 3 4 2 4 4" xfId="7160"/>
    <cellStyle name="Comma 5 2 3 4 2 5" xfId="3206"/>
    <cellStyle name="Comma 5 2 3 4 2 5 2" xfId="8222"/>
    <cellStyle name="Comma 5 2 3 4 2 6" xfId="5783"/>
    <cellStyle name="Comma 5 2 3 4 2 7" xfId="9676"/>
    <cellStyle name="Comma 5 2 3 4 2 8" xfId="4753"/>
    <cellStyle name="Comma 5 2 3 4 3" xfId="714"/>
    <cellStyle name="Comma 5 2 3 4 3 2" xfId="1666"/>
    <cellStyle name="Comma 5 2 3 4 3 2 2" xfId="6955"/>
    <cellStyle name="Comma 5 2 3 4 3 3" xfId="3270"/>
    <cellStyle name="Comma 5 2 3 4 3 3 2" xfId="8286"/>
    <cellStyle name="Comma 5 2 3 4 3 4" xfId="6071"/>
    <cellStyle name="Comma 5 2 3 4 3 5" xfId="9740"/>
    <cellStyle name="Comma 5 2 3 4 3 6" xfId="4548"/>
    <cellStyle name="Comma 5 2 3 4 4" xfId="988"/>
    <cellStyle name="Comma 5 2 3 4 4 2" xfId="1940"/>
    <cellStyle name="Comma 5 2 3 4 4 2 2" xfId="7229"/>
    <cellStyle name="Comma 5 2 3 4 4 3" xfId="3619"/>
    <cellStyle name="Comma 5 2 3 4 4 3 2" xfId="8634"/>
    <cellStyle name="Comma 5 2 3 4 4 4" xfId="6345"/>
    <cellStyle name="Comma 5 2 3 4 4 5" xfId="10088"/>
    <cellStyle name="Comma 5 2 3 4 4 6" xfId="4822"/>
    <cellStyle name="Comma 5 2 3 4 5" xfId="599"/>
    <cellStyle name="Comma 5 2 3 4 5 2" xfId="2382"/>
    <cellStyle name="Comma 5 2 3 4 5 2 2" xfId="7664"/>
    <cellStyle name="Comma 5 2 3 4 5 3" xfId="4045"/>
    <cellStyle name="Comma 5 2 3 4 5 3 2" xfId="9060"/>
    <cellStyle name="Comma 5 2 3 4 5 4" xfId="5957"/>
    <cellStyle name="Comma 5 2 3 4 5 5" xfId="10514"/>
    <cellStyle name="Comma 5 2 3 4 5 6" xfId="5258"/>
    <cellStyle name="Comma 5 2 3 4 6" xfId="1554"/>
    <cellStyle name="Comma 5 2 3 4 6 2" xfId="6843"/>
    <cellStyle name="Comma 5 2 3 4 7" xfId="3001"/>
    <cellStyle name="Comma 5 2 3 4 7 2" xfId="8017"/>
    <cellStyle name="Comma 5 2 3 4 8" xfId="5578"/>
    <cellStyle name="Comma 5 2 3 4 9" xfId="9471"/>
    <cellStyle name="Comma 5 2 3 5" xfId="305"/>
    <cellStyle name="Comma 5 2 3 5 2" xfId="990"/>
    <cellStyle name="Comma 5 2 3 5 2 2" xfId="1942"/>
    <cellStyle name="Comma 5 2 3 5 2 2 2" xfId="7231"/>
    <cellStyle name="Comma 5 2 3 5 2 3" xfId="3272"/>
    <cellStyle name="Comma 5 2 3 5 2 3 2" xfId="8288"/>
    <cellStyle name="Comma 5 2 3 5 2 4" xfId="6347"/>
    <cellStyle name="Comma 5 2 3 5 2 5" xfId="9742"/>
    <cellStyle name="Comma 5 2 3 5 2 6" xfId="4824"/>
    <cellStyle name="Comma 5 2 3 5 3" xfId="814"/>
    <cellStyle name="Comma 5 2 3 5 3 2" xfId="2482"/>
    <cellStyle name="Comma 5 2 3 5 3 2 2" xfId="7764"/>
    <cellStyle name="Comma 5 2 3 5 3 3" xfId="3621"/>
    <cellStyle name="Comma 5 2 3 5 3 3 2" xfId="8636"/>
    <cellStyle name="Comma 5 2 3 5 3 4" xfId="6171"/>
    <cellStyle name="Comma 5 2 3 5 3 5" xfId="10090"/>
    <cellStyle name="Comma 5 2 3 5 3 6" xfId="5358"/>
    <cellStyle name="Comma 5 2 3 5 4" xfId="1766"/>
    <cellStyle name="Comma 5 2 3 5 4 2" xfId="4145"/>
    <cellStyle name="Comma 5 2 3 5 4 2 2" xfId="9160"/>
    <cellStyle name="Comma 5 2 3 5 4 3" xfId="10614"/>
    <cellStyle name="Comma 5 2 3 5 4 4" xfId="7055"/>
    <cellStyle name="Comma 5 2 3 5 5" xfId="3101"/>
    <cellStyle name="Comma 5 2 3 5 5 2" xfId="8117"/>
    <cellStyle name="Comma 5 2 3 5 6" xfId="5678"/>
    <cellStyle name="Comma 5 2 3 5 7" xfId="9571"/>
    <cellStyle name="Comma 5 2 3 5 8" xfId="4648"/>
    <cellStyle name="Comma 5 2 3 6" xfId="689"/>
    <cellStyle name="Comma 5 2 3 6 2" xfId="991"/>
    <cellStyle name="Comma 5 2 3 6 2 2" xfId="1943"/>
    <cellStyle name="Comma 5 2 3 6 2 2 2" xfId="7232"/>
    <cellStyle name="Comma 5 2 3 6 2 3" xfId="3273"/>
    <cellStyle name="Comma 5 2 3 6 2 3 2" xfId="8289"/>
    <cellStyle name="Comma 5 2 3 6 2 4" xfId="6348"/>
    <cellStyle name="Comma 5 2 3 6 2 5" xfId="9743"/>
    <cellStyle name="Comma 5 2 3 6 2 6" xfId="4825"/>
    <cellStyle name="Comma 5 2 3 6 3" xfId="1388"/>
    <cellStyle name="Comma 5 2 3 6 3 2" xfId="2357"/>
    <cellStyle name="Comma 5 2 3 6 3 2 2" xfId="7639"/>
    <cellStyle name="Comma 5 2 3 6 3 3" xfId="3622"/>
    <cellStyle name="Comma 5 2 3 6 3 3 2" xfId="8637"/>
    <cellStyle name="Comma 5 2 3 6 3 4" xfId="6684"/>
    <cellStyle name="Comma 5 2 3 6 3 5" xfId="10091"/>
    <cellStyle name="Comma 5 2 3 6 3 6" xfId="5233"/>
    <cellStyle name="Comma 5 2 3 6 4" xfId="1641"/>
    <cellStyle name="Comma 5 2 3 6 4 2" xfId="4020"/>
    <cellStyle name="Comma 5 2 3 6 4 2 2" xfId="9035"/>
    <cellStyle name="Comma 5 2 3 6 4 3" xfId="10489"/>
    <cellStyle name="Comma 5 2 3 6 4 4" xfId="6930"/>
    <cellStyle name="Comma 5 2 3 6 5" xfId="2974"/>
    <cellStyle name="Comma 5 2 3 6 5 2" xfId="7990"/>
    <cellStyle name="Comma 5 2 3 6 6" xfId="6046"/>
    <cellStyle name="Comma 5 2 3 6 7" xfId="9446"/>
    <cellStyle name="Comma 5 2 3 6 8" xfId="4523"/>
    <cellStyle name="Comma 5 2 3 7" xfId="982"/>
    <cellStyle name="Comma 5 2 3 7 2" xfId="1934"/>
    <cellStyle name="Comma 5 2 3 7 2 2" xfId="7223"/>
    <cellStyle name="Comma 5 2 3 7 3" xfId="3264"/>
    <cellStyle name="Comma 5 2 3 7 3 2" xfId="8280"/>
    <cellStyle name="Comma 5 2 3 7 4" xfId="6339"/>
    <cellStyle name="Comma 5 2 3 7 5" xfId="9734"/>
    <cellStyle name="Comma 5 2 3 7 6" xfId="4816"/>
    <cellStyle name="Comma 5 2 3 8" xfId="487"/>
    <cellStyle name="Comma 5 2 3 8 2" xfId="2312"/>
    <cellStyle name="Comma 5 2 3 8 2 2" xfId="7594"/>
    <cellStyle name="Comma 5 2 3 8 3" xfId="3613"/>
    <cellStyle name="Comma 5 2 3 8 3 2" xfId="8628"/>
    <cellStyle name="Comma 5 2 3 8 4" xfId="5851"/>
    <cellStyle name="Comma 5 2 3 8 5" xfId="10082"/>
    <cellStyle name="Comma 5 2 3 8 6" xfId="5188"/>
    <cellStyle name="Comma 5 2 3 9" xfId="1448"/>
    <cellStyle name="Comma 5 2 3 9 2" xfId="3975"/>
    <cellStyle name="Comma 5 2 3 9 2 2" xfId="8990"/>
    <cellStyle name="Comma 5 2 3 9 3" xfId="10444"/>
    <cellStyle name="Comma 5 2 3 9 4" xfId="6738"/>
    <cellStyle name="Comma 5 2 4" xfId="138"/>
    <cellStyle name="Comma 5 2 4 10" xfId="5531"/>
    <cellStyle name="Comma 5 2 4 11" xfId="9351"/>
    <cellStyle name="Comma 5 2 4 12" xfId="4343"/>
    <cellStyle name="Comma 5 2 4 2" xfId="259"/>
    <cellStyle name="Comma 5 2 4 2 10" xfId="4386"/>
    <cellStyle name="Comma 5 2 4 2 2" xfId="361"/>
    <cellStyle name="Comma 5 2 4 2 2 2" xfId="994"/>
    <cellStyle name="Comma 5 2 4 2 2 2 2" xfId="1946"/>
    <cellStyle name="Comma 5 2 4 2 2 2 2 2" xfId="7235"/>
    <cellStyle name="Comma 5 2 4 2 2 2 3" xfId="3276"/>
    <cellStyle name="Comma 5 2 4 2 2 2 3 2" xfId="8292"/>
    <cellStyle name="Comma 5 2 4 2 2 2 4" xfId="6351"/>
    <cellStyle name="Comma 5 2 4 2 2 2 5" xfId="9746"/>
    <cellStyle name="Comma 5 2 4 2 2 2 6" xfId="4828"/>
    <cellStyle name="Comma 5 2 4 2 2 3" xfId="869"/>
    <cellStyle name="Comma 5 2 4 2 2 3 2" xfId="2537"/>
    <cellStyle name="Comma 5 2 4 2 2 3 2 2" xfId="7819"/>
    <cellStyle name="Comma 5 2 4 2 2 3 3" xfId="3625"/>
    <cellStyle name="Comma 5 2 4 2 2 3 3 2" xfId="8640"/>
    <cellStyle name="Comma 5 2 4 2 2 3 4" xfId="6226"/>
    <cellStyle name="Comma 5 2 4 2 2 3 5" xfId="10094"/>
    <cellStyle name="Comma 5 2 4 2 2 3 6" xfId="5413"/>
    <cellStyle name="Comma 5 2 4 2 2 4" xfId="1821"/>
    <cellStyle name="Comma 5 2 4 2 2 4 2" xfId="4200"/>
    <cellStyle name="Comma 5 2 4 2 2 4 2 2" xfId="9215"/>
    <cellStyle name="Comma 5 2 4 2 2 4 3" xfId="10669"/>
    <cellStyle name="Comma 5 2 4 2 2 4 4" xfId="7110"/>
    <cellStyle name="Comma 5 2 4 2 2 5" xfId="3156"/>
    <cellStyle name="Comma 5 2 4 2 2 5 2" xfId="8172"/>
    <cellStyle name="Comma 5 2 4 2 2 6" xfId="5733"/>
    <cellStyle name="Comma 5 2 4 2 2 7" xfId="9626"/>
    <cellStyle name="Comma 5 2 4 2 2 8" xfId="4703"/>
    <cellStyle name="Comma 5 2 4 2 3" xfId="769"/>
    <cellStyle name="Comma 5 2 4 2 3 2" xfId="1721"/>
    <cellStyle name="Comma 5 2 4 2 3 2 2" xfId="7010"/>
    <cellStyle name="Comma 5 2 4 2 3 3" xfId="3275"/>
    <cellStyle name="Comma 5 2 4 2 3 3 2" xfId="8291"/>
    <cellStyle name="Comma 5 2 4 2 3 4" xfId="6126"/>
    <cellStyle name="Comma 5 2 4 2 3 5" xfId="9745"/>
    <cellStyle name="Comma 5 2 4 2 3 6" xfId="4603"/>
    <cellStyle name="Comma 5 2 4 2 4" xfId="993"/>
    <cellStyle name="Comma 5 2 4 2 4 2" xfId="1945"/>
    <cellStyle name="Comma 5 2 4 2 4 2 2" xfId="7234"/>
    <cellStyle name="Comma 5 2 4 2 4 3" xfId="3624"/>
    <cellStyle name="Comma 5 2 4 2 4 3 2" xfId="8639"/>
    <cellStyle name="Comma 5 2 4 2 4 4" xfId="6350"/>
    <cellStyle name="Comma 5 2 4 2 4 5" xfId="10093"/>
    <cellStyle name="Comma 5 2 4 2 4 6" xfId="4827"/>
    <cellStyle name="Comma 5 2 4 2 5" xfId="548"/>
    <cellStyle name="Comma 5 2 4 2 5 2" xfId="2437"/>
    <cellStyle name="Comma 5 2 4 2 5 2 2" xfId="7719"/>
    <cellStyle name="Comma 5 2 4 2 5 3" xfId="4100"/>
    <cellStyle name="Comma 5 2 4 2 5 3 2" xfId="9115"/>
    <cellStyle name="Comma 5 2 4 2 5 4" xfId="5907"/>
    <cellStyle name="Comma 5 2 4 2 5 5" xfId="10569"/>
    <cellStyle name="Comma 5 2 4 2 5 6" xfId="5313"/>
    <cellStyle name="Comma 5 2 4 2 6" xfId="1504"/>
    <cellStyle name="Comma 5 2 4 2 6 2" xfId="6793"/>
    <cellStyle name="Comma 5 2 4 2 7" xfId="3056"/>
    <cellStyle name="Comma 5 2 4 2 7 2" xfId="8072"/>
    <cellStyle name="Comma 5 2 4 2 8" xfId="5633"/>
    <cellStyle name="Comma 5 2 4 2 9" xfId="9526"/>
    <cellStyle name="Comma 5 2 4 3" xfId="214"/>
    <cellStyle name="Comma 5 2 4 3 10" xfId="4448"/>
    <cellStyle name="Comma 5 2 4 3 2" xfId="425"/>
    <cellStyle name="Comma 5 2 4 3 2 2" xfId="996"/>
    <cellStyle name="Comma 5 2 4 3 2 2 2" xfId="1948"/>
    <cellStyle name="Comma 5 2 4 3 2 2 2 2" xfId="7237"/>
    <cellStyle name="Comma 5 2 4 3 2 2 3" xfId="3278"/>
    <cellStyle name="Comma 5 2 4 3 2 2 3 2" xfId="8294"/>
    <cellStyle name="Comma 5 2 4 3 2 2 4" xfId="6353"/>
    <cellStyle name="Comma 5 2 4 3 2 2 5" xfId="9748"/>
    <cellStyle name="Comma 5 2 4 3 2 2 6" xfId="4830"/>
    <cellStyle name="Comma 5 2 4 3 2 3" xfId="931"/>
    <cellStyle name="Comma 5 2 4 3 2 3 2" xfId="2599"/>
    <cellStyle name="Comma 5 2 4 3 2 3 2 2" xfId="7881"/>
    <cellStyle name="Comma 5 2 4 3 2 3 3" xfId="3627"/>
    <cellStyle name="Comma 5 2 4 3 2 3 3 2" xfId="8642"/>
    <cellStyle name="Comma 5 2 4 3 2 3 4" xfId="6288"/>
    <cellStyle name="Comma 5 2 4 3 2 3 5" xfId="10096"/>
    <cellStyle name="Comma 5 2 4 3 2 3 6" xfId="5475"/>
    <cellStyle name="Comma 5 2 4 3 2 4" xfId="1883"/>
    <cellStyle name="Comma 5 2 4 3 2 4 2" xfId="4262"/>
    <cellStyle name="Comma 5 2 4 3 2 4 2 2" xfId="9277"/>
    <cellStyle name="Comma 5 2 4 3 2 4 3" xfId="10731"/>
    <cellStyle name="Comma 5 2 4 3 2 4 4" xfId="7172"/>
    <cellStyle name="Comma 5 2 4 3 2 5" xfId="3218"/>
    <cellStyle name="Comma 5 2 4 3 2 5 2" xfId="8234"/>
    <cellStyle name="Comma 5 2 4 3 2 6" xfId="5795"/>
    <cellStyle name="Comma 5 2 4 3 2 7" xfId="9688"/>
    <cellStyle name="Comma 5 2 4 3 2 8" xfId="4765"/>
    <cellStyle name="Comma 5 2 4 3 3" xfId="726"/>
    <cellStyle name="Comma 5 2 4 3 3 2" xfId="1678"/>
    <cellStyle name="Comma 5 2 4 3 3 2 2" xfId="6967"/>
    <cellStyle name="Comma 5 2 4 3 3 3" xfId="3277"/>
    <cellStyle name="Comma 5 2 4 3 3 3 2" xfId="8293"/>
    <cellStyle name="Comma 5 2 4 3 3 4" xfId="6083"/>
    <cellStyle name="Comma 5 2 4 3 3 5" xfId="9747"/>
    <cellStyle name="Comma 5 2 4 3 3 6" xfId="4560"/>
    <cellStyle name="Comma 5 2 4 3 4" xfId="995"/>
    <cellStyle name="Comma 5 2 4 3 4 2" xfId="1947"/>
    <cellStyle name="Comma 5 2 4 3 4 2 2" xfId="7236"/>
    <cellStyle name="Comma 5 2 4 3 4 3" xfId="3626"/>
    <cellStyle name="Comma 5 2 4 3 4 3 2" xfId="8641"/>
    <cellStyle name="Comma 5 2 4 3 4 4" xfId="6352"/>
    <cellStyle name="Comma 5 2 4 3 4 5" xfId="10095"/>
    <cellStyle name="Comma 5 2 4 3 4 6" xfId="4829"/>
    <cellStyle name="Comma 5 2 4 3 5" xfId="611"/>
    <cellStyle name="Comma 5 2 4 3 5 2" xfId="2394"/>
    <cellStyle name="Comma 5 2 4 3 5 2 2" xfId="7676"/>
    <cellStyle name="Comma 5 2 4 3 5 3" xfId="4057"/>
    <cellStyle name="Comma 5 2 4 3 5 3 2" xfId="9072"/>
    <cellStyle name="Comma 5 2 4 3 5 4" xfId="5969"/>
    <cellStyle name="Comma 5 2 4 3 5 5" xfId="10526"/>
    <cellStyle name="Comma 5 2 4 3 5 6" xfId="5270"/>
    <cellStyle name="Comma 5 2 4 3 6" xfId="1566"/>
    <cellStyle name="Comma 5 2 4 3 6 2" xfId="6855"/>
    <cellStyle name="Comma 5 2 4 3 7" xfId="3013"/>
    <cellStyle name="Comma 5 2 4 3 7 2" xfId="8029"/>
    <cellStyle name="Comma 5 2 4 3 8" xfId="5590"/>
    <cellStyle name="Comma 5 2 4 3 9" xfId="9483"/>
    <cellStyle name="Comma 5 2 4 4" xfId="317"/>
    <cellStyle name="Comma 5 2 4 4 2" xfId="997"/>
    <cellStyle name="Comma 5 2 4 4 2 2" xfId="1949"/>
    <cellStyle name="Comma 5 2 4 4 2 2 2" xfId="7238"/>
    <cellStyle name="Comma 5 2 4 4 2 3" xfId="3279"/>
    <cellStyle name="Comma 5 2 4 4 2 3 2" xfId="8295"/>
    <cellStyle name="Comma 5 2 4 4 2 4" xfId="6354"/>
    <cellStyle name="Comma 5 2 4 4 2 5" xfId="9749"/>
    <cellStyle name="Comma 5 2 4 4 2 6" xfId="4831"/>
    <cellStyle name="Comma 5 2 4 4 3" xfId="826"/>
    <cellStyle name="Comma 5 2 4 4 3 2" xfId="2494"/>
    <cellStyle name="Comma 5 2 4 4 3 2 2" xfId="7776"/>
    <cellStyle name="Comma 5 2 4 4 3 3" xfId="3628"/>
    <cellStyle name="Comma 5 2 4 4 3 3 2" xfId="8643"/>
    <cellStyle name="Comma 5 2 4 4 3 4" xfId="6183"/>
    <cellStyle name="Comma 5 2 4 4 3 5" xfId="10097"/>
    <cellStyle name="Comma 5 2 4 4 3 6" xfId="5370"/>
    <cellStyle name="Comma 5 2 4 4 4" xfId="1778"/>
    <cellStyle name="Comma 5 2 4 4 4 2" xfId="4157"/>
    <cellStyle name="Comma 5 2 4 4 4 2 2" xfId="9172"/>
    <cellStyle name="Comma 5 2 4 4 4 3" xfId="10626"/>
    <cellStyle name="Comma 5 2 4 4 4 4" xfId="7067"/>
    <cellStyle name="Comma 5 2 4 4 5" xfId="3113"/>
    <cellStyle name="Comma 5 2 4 4 5 2" xfId="8129"/>
    <cellStyle name="Comma 5 2 4 4 6" xfId="5690"/>
    <cellStyle name="Comma 5 2 4 4 7" xfId="9583"/>
    <cellStyle name="Comma 5 2 4 4 8" xfId="4660"/>
    <cellStyle name="Comma 5 2 4 5" xfId="667"/>
    <cellStyle name="Comma 5 2 4 5 2" xfId="1619"/>
    <cellStyle name="Comma 5 2 4 5 2 2" xfId="6908"/>
    <cellStyle name="Comma 5 2 4 5 3" xfId="3274"/>
    <cellStyle name="Comma 5 2 4 5 3 2" xfId="8290"/>
    <cellStyle name="Comma 5 2 4 5 4" xfId="6024"/>
    <cellStyle name="Comma 5 2 4 5 5" xfId="9744"/>
    <cellStyle name="Comma 5 2 4 5 6" xfId="4501"/>
    <cellStyle name="Comma 5 2 4 6" xfId="992"/>
    <cellStyle name="Comma 5 2 4 6 2" xfId="1944"/>
    <cellStyle name="Comma 5 2 4 6 2 2" xfId="7233"/>
    <cellStyle name="Comma 5 2 4 6 3" xfId="3623"/>
    <cellStyle name="Comma 5 2 4 6 3 2" xfId="8638"/>
    <cellStyle name="Comma 5 2 4 6 4" xfId="6349"/>
    <cellStyle name="Comma 5 2 4 6 5" xfId="10092"/>
    <cellStyle name="Comma 5 2 4 6 6" xfId="4826"/>
    <cellStyle name="Comma 5 2 4 7" xfId="502"/>
    <cellStyle name="Comma 5 2 4 7 2" xfId="2335"/>
    <cellStyle name="Comma 5 2 4 7 2 2" xfId="7617"/>
    <cellStyle name="Comma 5 2 4 7 3" xfId="3998"/>
    <cellStyle name="Comma 5 2 4 7 3 2" xfId="9013"/>
    <cellStyle name="Comma 5 2 4 7 4" xfId="5863"/>
    <cellStyle name="Comma 5 2 4 7 5" xfId="10467"/>
    <cellStyle name="Comma 5 2 4 7 6" xfId="5211"/>
    <cellStyle name="Comma 5 2 4 8" xfId="1461"/>
    <cellStyle name="Comma 5 2 4 8 2" xfId="9424"/>
    <cellStyle name="Comma 5 2 4 8 3" xfId="6750"/>
    <cellStyle name="Comma 5 2 4 9" xfId="2952"/>
    <cellStyle name="Comma 5 2 4 9 2" xfId="7968"/>
    <cellStyle name="Comma 5 2 5" xfId="242"/>
    <cellStyle name="Comma 5 2 5 10" xfId="4369"/>
    <cellStyle name="Comma 5 2 5 2" xfId="344"/>
    <cellStyle name="Comma 5 2 5 2 2" xfId="999"/>
    <cellStyle name="Comma 5 2 5 2 2 2" xfId="1951"/>
    <cellStyle name="Comma 5 2 5 2 2 2 2" xfId="7240"/>
    <cellStyle name="Comma 5 2 5 2 2 3" xfId="3281"/>
    <cellStyle name="Comma 5 2 5 2 2 3 2" xfId="8297"/>
    <cellStyle name="Comma 5 2 5 2 2 4" xfId="6356"/>
    <cellStyle name="Comma 5 2 5 2 2 5" xfId="9751"/>
    <cellStyle name="Comma 5 2 5 2 2 6" xfId="4833"/>
    <cellStyle name="Comma 5 2 5 2 3" xfId="852"/>
    <cellStyle name="Comma 5 2 5 2 3 2" xfId="2520"/>
    <cellStyle name="Comma 5 2 5 2 3 2 2" xfId="7802"/>
    <cellStyle name="Comma 5 2 5 2 3 3" xfId="3630"/>
    <cellStyle name="Comma 5 2 5 2 3 3 2" xfId="8645"/>
    <cellStyle name="Comma 5 2 5 2 3 4" xfId="6209"/>
    <cellStyle name="Comma 5 2 5 2 3 5" xfId="10099"/>
    <cellStyle name="Comma 5 2 5 2 3 6" xfId="5396"/>
    <cellStyle name="Comma 5 2 5 2 4" xfId="1804"/>
    <cellStyle name="Comma 5 2 5 2 4 2" xfId="4183"/>
    <cellStyle name="Comma 5 2 5 2 4 2 2" xfId="9198"/>
    <cellStyle name="Comma 5 2 5 2 4 3" xfId="10652"/>
    <cellStyle name="Comma 5 2 5 2 4 4" xfId="7093"/>
    <cellStyle name="Comma 5 2 5 2 5" xfId="3139"/>
    <cellStyle name="Comma 5 2 5 2 5 2" xfId="8155"/>
    <cellStyle name="Comma 5 2 5 2 6" xfId="5716"/>
    <cellStyle name="Comma 5 2 5 2 7" xfId="9609"/>
    <cellStyle name="Comma 5 2 5 2 8" xfId="4686"/>
    <cellStyle name="Comma 5 2 5 3" xfId="752"/>
    <cellStyle name="Comma 5 2 5 3 2" xfId="1704"/>
    <cellStyle name="Comma 5 2 5 3 2 2" xfId="6993"/>
    <cellStyle name="Comma 5 2 5 3 3" xfId="3280"/>
    <cellStyle name="Comma 5 2 5 3 3 2" xfId="8296"/>
    <cellStyle name="Comma 5 2 5 3 4" xfId="6109"/>
    <cellStyle name="Comma 5 2 5 3 5" xfId="9750"/>
    <cellStyle name="Comma 5 2 5 3 6" xfId="4586"/>
    <cellStyle name="Comma 5 2 5 4" xfId="998"/>
    <cellStyle name="Comma 5 2 5 4 2" xfId="1950"/>
    <cellStyle name="Comma 5 2 5 4 2 2" xfId="7239"/>
    <cellStyle name="Comma 5 2 5 4 3" xfId="3629"/>
    <cellStyle name="Comma 5 2 5 4 3 2" xfId="8644"/>
    <cellStyle name="Comma 5 2 5 4 4" xfId="6355"/>
    <cellStyle name="Comma 5 2 5 4 5" xfId="10098"/>
    <cellStyle name="Comma 5 2 5 4 6" xfId="4832"/>
    <cellStyle name="Comma 5 2 5 5" xfId="531"/>
    <cellStyle name="Comma 5 2 5 5 2" xfId="2420"/>
    <cellStyle name="Comma 5 2 5 5 2 2" xfId="7702"/>
    <cellStyle name="Comma 5 2 5 5 3" xfId="4083"/>
    <cellStyle name="Comma 5 2 5 5 3 2" xfId="9098"/>
    <cellStyle name="Comma 5 2 5 5 4" xfId="5890"/>
    <cellStyle name="Comma 5 2 5 5 5" xfId="10552"/>
    <cellStyle name="Comma 5 2 5 5 6" xfId="5296"/>
    <cellStyle name="Comma 5 2 5 6" xfId="1487"/>
    <cellStyle name="Comma 5 2 5 6 2" xfId="6776"/>
    <cellStyle name="Comma 5 2 5 7" xfId="3039"/>
    <cellStyle name="Comma 5 2 5 7 2" xfId="8055"/>
    <cellStyle name="Comma 5 2 5 8" xfId="5616"/>
    <cellStyle name="Comma 5 2 5 9" xfId="9509"/>
    <cellStyle name="Comma 5 2 6" xfId="180"/>
    <cellStyle name="Comma 5 2 6 10" xfId="4417"/>
    <cellStyle name="Comma 5 2 6 2" xfId="394"/>
    <cellStyle name="Comma 5 2 6 2 2" xfId="1001"/>
    <cellStyle name="Comma 5 2 6 2 2 2" xfId="1953"/>
    <cellStyle name="Comma 5 2 6 2 2 2 2" xfId="7242"/>
    <cellStyle name="Comma 5 2 6 2 2 3" xfId="3283"/>
    <cellStyle name="Comma 5 2 6 2 2 3 2" xfId="8299"/>
    <cellStyle name="Comma 5 2 6 2 2 4" xfId="6358"/>
    <cellStyle name="Comma 5 2 6 2 2 5" xfId="9753"/>
    <cellStyle name="Comma 5 2 6 2 2 6" xfId="4835"/>
    <cellStyle name="Comma 5 2 6 2 3" xfId="900"/>
    <cellStyle name="Comma 5 2 6 2 3 2" xfId="2568"/>
    <cellStyle name="Comma 5 2 6 2 3 2 2" xfId="7850"/>
    <cellStyle name="Comma 5 2 6 2 3 3" xfId="3632"/>
    <cellStyle name="Comma 5 2 6 2 3 3 2" xfId="8647"/>
    <cellStyle name="Comma 5 2 6 2 3 4" xfId="6257"/>
    <cellStyle name="Comma 5 2 6 2 3 5" xfId="10101"/>
    <cellStyle name="Comma 5 2 6 2 3 6" xfId="5444"/>
    <cellStyle name="Comma 5 2 6 2 4" xfId="1852"/>
    <cellStyle name="Comma 5 2 6 2 4 2" xfId="4231"/>
    <cellStyle name="Comma 5 2 6 2 4 2 2" xfId="9246"/>
    <cellStyle name="Comma 5 2 6 2 4 3" xfId="10700"/>
    <cellStyle name="Comma 5 2 6 2 4 4" xfId="7141"/>
    <cellStyle name="Comma 5 2 6 2 5" xfId="3187"/>
    <cellStyle name="Comma 5 2 6 2 5 2" xfId="8203"/>
    <cellStyle name="Comma 5 2 6 2 6" xfId="5764"/>
    <cellStyle name="Comma 5 2 6 2 7" xfId="9657"/>
    <cellStyle name="Comma 5 2 6 2 8" xfId="4734"/>
    <cellStyle name="Comma 5 2 6 3" xfId="695"/>
    <cellStyle name="Comma 5 2 6 3 2" xfId="1647"/>
    <cellStyle name="Comma 5 2 6 3 2 2" xfId="6936"/>
    <cellStyle name="Comma 5 2 6 3 3" xfId="3282"/>
    <cellStyle name="Comma 5 2 6 3 3 2" xfId="8298"/>
    <cellStyle name="Comma 5 2 6 3 4" xfId="6052"/>
    <cellStyle name="Comma 5 2 6 3 5" xfId="9752"/>
    <cellStyle name="Comma 5 2 6 3 6" xfId="4529"/>
    <cellStyle name="Comma 5 2 6 4" xfId="1000"/>
    <cellStyle name="Comma 5 2 6 4 2" xfId="1952"/>
    <cellStyle name="Comma 5 2 6 4 2 2" xfId="7241"/>
    <cellStyle name="Comma 5 2 6 4 3" xfId="3631"/>
    <cellStyle name="Comma 5 2 6 4 3 2" xfId="8646"/>
    <cellStyle name="Comma 5 2 6 4 4" xfId="6357"/>
    <cellStyle name="Comma 5 2 6 4 5" xfId="10100"/>
    <cellStyle name="Comma 5 2 6 4 6" xfId="4834"/>
    <cellStyle name="Comma 5 2 6 5" xfId="580"/>
    <cellStyle name="Comma 5 2 6 5 2" xfId="2363"/>
    <cellStyle name="Comma 5 2 6 5 2 2" xfId="7645"/>
    <cellStyle name="Comma 5 2 6 5 3" xfId="4026"/>
    <cellStyle name="Comma 5 2 6 5 3 2" xfId="9041"/>
    <cellStyle name="Comma 5 2 6 5 4" xfId="5938"/>
    <cellStyle name="Comma 5 2 6 5 5" xfId="10495"/>
    <cellStyle name="Comma 5 2 6 5 6" xfId="5239"/>
    <cellStyle name="Comma 5 2 6 6" xfId="1535"/>
    <cellStyle name="Comma 5 2 6 6 2" xfId="6824"/>
    <cellStyle name="Comma 5 2 6 7" xfId="2982"/>
    <cellStyle name="Comma 5 2 6 7 2" xfId="7998"/>
    <cellStyle name="Comma 5 2 6 8" xfId="5559"/>
    <cellStyle name="Comma 5 2 6 9" xfId="9452"/>
    <cellStyle name="Comma 5 2 7" xfId="450"/>
    <cellStyle name="Comma 5 2 7 2" xfId="956"/>
    <cellStyle name="Comma 5 2 7 2 2" xfId="1908"/>
    <cellStyle name="Comma 5 2 7 2 2 2" xfId="7197"/>
    <cellStyle name="Comma 5 2 7 2 3" xfId="3284"/>
    <cellStyle name="Comma 5 2 7 2 3 2" xfId="8300"/>
    <cellStyle name="Comma 5 2 7 2 4" xfId="6313"/>
    <cellStyle name="Comma 5 2 7 2 5" xfId="9754"/>
    <cellStyle name="Comma 5 2 7 2 6" xfId="4790"/>
    <cellStyle name="Comma 5 2 7 3" xfId="1002"/>
    <cellStyle name="Comma 5 2 7 3 2" xfId="1954"/>
    <cellStyle name="Comma 5 2 7 3 2 2" xfId="7243"/>
    <cellStyle name="Comma 5 2 7 3 3" xfId="3633"/>
    <cellStyle name="Comma 5 2 7 3 3 2" xfId="8648"/>
    <cellStyle name="Comma 5 2 7 3 4" xfId="6359"/>
    <cellStyle name="Comma 5 2 7 3 5" xfId="10102"/>
    <cellStyle name="Comma 5 2 7 3 6" xfId="4836"/>
    <cellStyle name="Comma 5 2 7 4" xfId="636"/>
    <cellStyle name="Comma 5 2 7 4 2" xfId="2624"/>
    <cellStyle name="Comma 5 2 7 4 2 2" xfId="7906"/>
    <cellStyle name="Comma 5 2 7 4 3" xfId="4287"/>
    <cellStyle name="Comma 5 2 7 4 3 2" xfId="9302"/>
    <cellStyle name="Comma 5 2 7 4 4" xfId="5994"/>
    <cellStyle name="Comma 5 2 7 4 5" xfId="10756"/>
    <cellStyle name="Comma 5 2 7 4 6" xfId="5500"/>
    <cellStyle name="Comma 5 2 7 5" xfId="1591"/>
    <cellStyle name="Comma 5 2 7 5 2" xfId="6880"/>
    <cellStyle name="Comma 5 2 7 6" xfId="3243"/>
    <cellStyle name="Comma 5 2 7 6 2" xfId="8259"/>
    <cellStyle name="Comma 5 2 7 7" xfId="5820"/>
    <cellStyle name="Comma 5 2 7 8" xfId="9713"/>
    <cellStyle name="Comma 5 2 7 9" xfId="4473"/>
    <cellStyle name="Comma 5 2 8" xfId="286"/>
    <cellStyle name="Comma 5 2 8 2" xfId="1003"/>
    <cellStyle name="Comma 5 2 8 2 2" xfId="1955"/>
    <cellStyle name="Comma 5 2 8 2 2 2" xfId="7244"/>
    <cellStyle name="Comma 5 2 8 2 3" xfId="3285"/>
    <cellStyle name="Comma 5 2 8 2 3 2" xfId="8301"/>
    <cellStyle name="Comma 5 2 8 2 4" xfId="6360"/>
    <cellStyle name="Comma 5 2 8 2 5" xfId="9755"/>
    <cellStyle name="Comma 5 2 8 2 6" xfId="4837"/>
    <cellStyle name="Comma 5 2 8 3" xfId="795"/>
    <cellStyle name="Comma 5 2 8 3 2" xfId="2463"/>
    <cellStyle name="Comma 5 2 8 3 2 2" xfId="7745"/>
    <cellStyle name="Comma 5 2 8 3 3" xfId="3634"/>
    <cellStyle name="Comma 5 2 8 3 3 2" xfId="8649"/>
    <cellStyle name="Comma 5 2 8 3 4" xfId="6152"/>
    <cellStyle name="Comma 5 2 8 3 5" xfId="10103"/>
    <cellStyle name="Comma 5 2 8 3 6" xfId="5339"/>
    <cellStyle name="Comma 5 2 8 4" xfId="1747"/>
    <cellStyle name="Comma 5 2 8 4 2" xfId="4126"/>
    <cellStyle name="Comma 5 2 8 4 2 2" xfId="9141"/>
    <cellStyle name="Comma 5 2 8 4 3" xfId="10595"/>
    <cellStyle name="Comma 5 2 8 4 4" xfId="7036"/>
    <cellStyle name="Comma 5 2 8 5" xfId="3082"/>
    <cellStyle name="Comma 5 2 8 5 2" xfId="8098"/>
    <cellStyle name="Comma 5 2 8 6" xfId="5659"/>
    <cellStyle name="Comma 5 2 8 7" xfId="9552"/>
    <cellStyle name="Comma 5 2 8 8" xfId="4629"/>
    <cellStyle name="Comma 5 2 9" xfId="656"/>
    <cellStyle name="Comma 5 2 9 2" xfId="1004"/>
    <cellStyle name="Comma 5 2 9 2 2" xfId="1956"/>
    <cellStyle name="Comma 5 2 9 2 2 2" xfId="7245"/>
    <cellStyle name="Comma 5 2 9 2 3" xfId="3286"/>
    <cellStyle name="Comma 5 2 9 2 3 2" xfId="8302"/>
    <cellStyle name="Comma 5 2 9 2 4" xfId="6361"/>
    <cellStyle name="Comma 5 2 9 2 5" xfId="9756"/>
    <cellStyle name="Comma 5 2 9 2 6" xfId="4838"/>
    <cellStyle name="Comma 5 2 9 3" xfId="1396"/>
    <cellStyle name="Comma 5 2 9 3 2" xfId="2324"/>
    <cellStyle name="Comma 5 2 9 3 2 2" xfId="7606"/>
    <cellStyle name="Comma 5 2 9 3 3" xfId="3635"/>
    <cellStyle name="Comma 5 2 9 3 3 2" xfId="8650"/>
    <cellStyle name="Comma 5 2 9 3 4" xfId="6692"/>
    <cellStyle name="Comma 5 2 9 3 5" xfId="10104"/>
    <cellStyle name="Comma 5 2 9 3 6" xfId="5200"/>
    <cellStyle name="Comma 5 2 9 4" xfId="1608"/>
    <cellStyle name="Comma 5 2 9 4 2" xfId="3987"/>
    <cellStyle name="Comma 5 2 9 4 2 2" xfId="9002"/>
    <cellStyle name="Comma 5 2 9 4 3" xfId="10456"/>
    <cellStyle name="Comma 5 2 9 4 4" xfId="6897"/>
    <cellStyle name="Comma 5 2 9 5" xfId="2941"/>
    <cellStyle name="Comma 5 2 9 5 2" xfId="7957"/>
    <cellStyle name="Comma 5 2 9 6" xfId="6013"/>
    <cellStyle name="Comma 5 2 9 7" xfId="9413"/>
    <cellStyle name="Comma 5 2 9 8" xfId="4490"/>
    <cellStyle name="Comma 5 3" xfId="161"/>
    <cellStyle name="Comma 5 3 10" xfId="2920"/>
    <cellStyle name="Comma 5 3 10 2" xfId="9392"/>
    <cellStyle name="Comma 5 3 10 3" xfId="7936"/>
    <cellStyle name="Comma 5 3 11" xfId="5544"/>
    <cellStyle name="Comma 5 3 12" xfId="9362"/>
    <cellStyle name="Comma 5 3 13" xfId="4324"/>
    <cellStyle name="Comma 5 3 2" xfId="226"/>
    <cellStyle name="Comma 5 3 2 10" xfId="9494"/>
    <cellStyle name="Comma 5 3 2 11" xfId="4354"/>
    <cellStyle name="Comma 5 3 2 2" xfId="435"/>
    <cellStyle name="Comma 5 3 2 2 2" xfId="941"/>
    <cellStyle name="Comma 5 3 2 2 2 2" xfId="1893"/>
    <cellStyle name="Comma 5 3 2 2 2 2 2" xfId="7182"/>
    <cellStyle name="Comma 5 3 2 2 2 3" xfId="3289"/>
    <cellStyle name="Comma 5 3 2 2 2 3 2" xfId="8305"/>
    <cellStyle name="Comma 5 3 2 2 2 4" xfId="6298"/>
    <cellStyle name="Comma 5 3 2 2 2 5" xfId="9759"/>
    <cellStyle name="Comma 5 3 2 2 2 6" xfId="4775"/>
    <cellStyle name="Comma 5 3 2 2 3" xfId="1007"/>
    <cellStyle name="Comma 5 3 2 2 3 2" xfId="1959"/>
    <cellStyle name="Comma 5 3 2 2 3 2 2" xfId="7248"/>
    <cellStyle name="Comma 5 3 2 2 3 3" xfId="3638"/>
    <cellStyle name="Comma 5 3 2 2 3 3 2" xfId="8653"/>
    <cellStyle name="Comma 5 3 2 2 3 4" xfId="6364"/>
    <cellStyle name="Comma 5 3 2 2 3 5" xfId="10107"/>
    <cellStyle name="Comma 5 3 2 2 3 6" xfId="4841"/>
    <cellStyle name="Comma 5 3 2 2 4" xfId="621"/>
    <cellStyle name="Comma 5 3 2 2 4 2" xfId="2609"/>
    <cellStyle name="Comma 5 3 2 2 4 2 2" xfId="7891"/>
    <cellStyle name="Comma 5 3 2 2 4 3" xfId="4272"/>
    <cellStyle name="Comma 5 3 2 2 4 3 2" xfId="9287"/>
    <cellStyle name="Comma 5 3 2 2 4 4" xfId="5979"/>
    <cellStyle name="Comma 5 3 2 2 4 5" xfId="10741"/>
    <cellStyle name="Comma 5 3 2 2 4 6" xfId="5485"/>
    <cellStyle name="Comma 5 3 2 2 5" xfId="1576"/>
    <cellStyle name="Comma 5 3 2 2 5 2" xfId="6865"/>
    <cellStyle name="Comma 5 3 2 2 6" xfId="3228"/>
    <cellStyle name="Comma 5 3 2 2 6 2" xfId="8244"/>
    <cellStyle name="Comma 5 3 2 2 7" xfId="5805"/>
    <cellStyle name="Comma 5 3 2 2 8" xfId="9698"/>
    <cellStyle name="Comma 5 3 2 2 9" xfId="4458"/>
    <cellStyle name="Comma 5 3 2 3" xfId="328"/>
    <cellStyle name="Comma 5 3 2 3 2" xfId="1008"/>
    <cellStyle name="Comma 5 3 2 3 2 2" xfId="1960"/>
    <cellStyle name="Comma 5 3 2 3 2 2 2" xfId="7249"/>
    <cellStyle name="Comma 5 3 2 3 2 3" xfId="3290"/>
    <cellStyle name="Comma 5 3 2 3 2 3 2" xfId="8306"/>
    <cellStyle name="Comma 5 3 2 3 2 4" xfId="6365"/>
    <cellStyle name="Comma 5 3 2 3 2 5" xfId="9760"/>
    <cellStyle name="Comma 5 3 2 3 2 6" xfId="4842"/>
    <cellStyle name="Comma 5 3 2 3 3" xfId="837"/>
    <cellStyle name="Comma 5 3 2 3 3 2" xfId="2505"/>
    <cellStyle name="Comma 5 3 2 3 3 2 2" xfId="7787"/>
    <cellStyle name="Comma 5 3 2 3 3 3" xfId="3639"/>
    <cellStyle name="Comma 5 3 2 3 3 3 2" xfId="8654"/>
    <cellStyle name="Comma 5 3 2 3 3 4" xfId="6194"/>
    <cellStyle name="Comma 5 3 2 3 3 5" xfId="10108"/>
    <cellStyle name="Comma 5 3 2 3 3 6" xfId="5381"/>
    <cellStyle name="Comma 5 3 2 3 4" xfId="1789"/>
    <cellStyle name="Comma 5 3 2 3 4 2" xfId="4168"/>
    <cellStyle name="Comma 5 3 2 3 4 2 2" xfId="9183"/>
    <cellStyle name="Comma 5 3 2 3 4 3" xfId="10637"/>
    <cellStyle name="Comma 5 3 2 3 4 4" xfId="7078"/>
    <cellStyle name="Comma 5 3 2 3 5" xfId="3124"/>
    <cellStyle name="Comma 5 3 2 3 5 2" xfId="8140"/>
    <cellStyle name="Comma 5 3 2 3 6" xfId="5701"/>
    <cellStyle name="Comma 5 3 2 3 7" xfId="9594"/>
    <cellStyle name="Comma 5 3 2 3 8" xfId="4671"/>
    <cellStyle name="Comma 5 3 2 4" xfId="737"/>
    <cellStyle name="Comma 5 3 2 4 2" xfId="1689"/>
    <cellStyle name="Comma 5 3 2 4 2 2" xfId="6978"/>
    <cellStyle name="Comma 5 3 2 4 3" xfId="3288"/>
    <cellStyle name="Comma 5 3 2 4 3 2" xfId="8304"/>
    <cellStyle name="Comma 5 3 2 4 4" xfId="6094"/>
    <cellStyle name="Comma 5 3 2 4 5" xfId="9758"/>
    <cellStyle name="Comma 5 3 2 4 6" xfId="4571"/>
    <cellStyle name="Comma 5 3 2 5" xfId="1006"/>
    <cellStyle name="Comma 5 3 2 5 2" xfId="1958"/>
    <cellStyle name="Comma 5 3 2 5 2 2" xfId="7247"/>
    <cellStyle name="Comma 5 3 2 5 3" xfId="3637"/>
    <cellStyle name="Comma 5 3 2 5 3 2" xfId="8652"/>
    <cellStyle name="Comma 5 3 2 5 4" xfId="6363"/>
    <cellStyle name="Comma 5 3 2 5 5" xfId="10106"/>
    <cellStyle name="Comma 5 3 2 5 6" xfId="4840"/>
    <cellStyle name="Comma 5 3 2 6" xfId="514"/>
    <cellStyle name="Comma 5 3 2 6 2" xfId="2405"/>
    <cellStyle name="Comma 5 3 2 6 2 2" xfId="7687"/>
    <cellStyle name="Comma 5 3 2 6 3" xfId="4068"/>
    <cellStyle name="Comma 5 3 2 6 3 2" xfId="9083"/>
    <cellStyle name="Comma 5 3 2 6 4" xfId="5875"/>
    <cellStyle name="Comma 5 3 2 6 5" xfId="10537"/>
    <cellStyle name="Comma 5 3 2 6 6" xfId="5281"/>
    <cellStyle name="Comma 5 3 2 7" xfId="1472"/>
    <cellStyle name="Comma 5 3 2 7 2" xfId="6761"/>
    <cellStyle name="Comma 5 3 2 8" xfId="3024"/>
    <cellStyle name="Comma 5 3 2 8 2" xfId="8040"/>
    <cellStyle name="Comma 5 3 2 9" xfId="5601"/>
    <cellStyle name="Comma 5 3 3" xfId="271"/>
    <cellStyle name="Comma 5 3 3 10" xfId="4397"/>
    <cellStyle name="Comma 5 3 3 2" xfId="373"/>
    <cellStyle name="Comma 5 3 3 2 2" xfId="1010"/>
    <cellStyle name="Comma 5 3 3 2 2 2" xfId="1962"/>
    <cellStyle name="Comma 5 3 3 2 2 2 2" xfId="7251"/>
    <cellStyle name="Comma 5 3 3 2 2 3" xfId="3292"/>
    <cellStyle name="Comma 5 3 3 2 2 3 2" xfId="8308"/>
    <cellStyle name="Comma 5 3 3 2 2 4" xfId="6367"/>
    <cellStyle name="Comma 5 3 3 2 2 5" xfId="9762"/>
    <cellStyle name="Comma 5 3 3 2 2 6" xfId="4844"/>
    <cellStyle name="Comma 5 3 3 2 3" xfId="880"/>
    <cellStyle name="Comma 5 3 3 2 3 2" xfId="2548"/>
    <cellStyle name="Comma 5 3 3 2 3 2 2" xfId="7830"/>
    <cellStyle name="Comma 5 3 3 2 3 3" xfId="3641"/>
    <cellStyle name="Comma 5 3 3 2 3 3 2" xfId="8656"/>
    <cellStyle name="Comma 5 3 3 2 3 4" xfId="6237"/>
    <cellStyle name="Comma 5 3 3 2 3 5" xfId="10110"/>
    <cellStyle name="Comma 5 3 3 2 3 6" xfId="5424"/>
    <cellStyle name="Comma 5 3 3 2 4" xfId="1832"/>
    <cellStyle name="Comma 5 3 3 2 4 2" xfId="4211"/>
    <cellStyle name="Comma 5 3 3 2 4 2 2" xfId="9226"/>
    <cellStyle name="Comma 5 3 3 2 4 3" xfId="10680"/>
    <cellStyle name="Comma 5 3 3 2 4 4" xfId="7121"/>
    <cellStyle name="Comma 5 3 3 2 5" xfId="3167"/>
    <cellStyle name="Comma 5 3 3 2 5 2" xfId="8183"/>
    <cellStyle name="Comma 5 3 3 2 6" xfId="5744"/>
    <cellStyle name="Comma 5 3 3 2 7" xfId="9637"/>
    <cellStyle name="Comma 5 3 3 2 8" xfId="4714"/>
    <cellStyle name="Comma 5 3 3 3" xfId="780"/>
    <cellStyle name="Comma 5 3 3 3 2" xfId="1732"/>
    <cellStyle name="Comma 5 3 3 3 2 2" xfId="7021"/>
    <cellStyle name="Comma 5 3 3 3 3" xfId="3291"/>
    <cellStyle name="Comma 5 3 3 3 3 2" xfId="8307"/>
    <cellStyle name="Comma 5 3 3 3 4" xfId="6137"/>
    <cellStyle name="Comma 5 3 3 3 5" xfId="9761"/>
    <cellStyle name="Comma 5 3 3 3 6" xfId="4614"/>
    <cellStyle name="Comma 5 3 3 4" xfId="1009"/>
    <cellStyle name="Comma 5 3 3 4 2" xfId="1961"/>
    <cellStyle name="Comma 5 3 3 4 2 2" xfId="7250"/>
    <cellStyle name="Comma 5 3 3 4 3" xfId="3640"/>
    <cellStyle name="Comma 5 3 3 4 3 2" xfId="8655"/>
    <cellStyle name="Comma 5 3 3 4 4" xfId="6366"/>
    <cellStyle name="Comma 5 3 3 4 5" xfId="10109"/>
    <cellStyle name="Comma 5 3 3 4 6" xfId="4843"/>
    <cellStyle name="Comma 5 3 3 5" xfId="560"/>
    <cellStyle name="Comma 5 3 3 5 2" xfId="2448"/>
    <cellStyle name="Comma 5 3 3 5 2 2" xfId="7730"/>
    <cellStyle name="Comma 5 3 3 5 3" xfId="4111"/>
    <cellStyle name="Comma 5 3 3 5 3 2" xfId="9126"/>
    <cellStyle name="Comma 5 3 3 5 4" xfId="5918"/>
    <cellStyle name="Comma 5 3 3 5 5" xfId="10580"/>
    <cellStyle name="Comma 5 3 3 5 6" xfId="5324"/>
    <cellStyle name="Comma 5 3 3 6" xfId="1515"/>
    <cellStyle name="Comma 5 3 3 6 2" xfId="6804"/>
    <cellStyle name="Comma 5 3 3 7" xfId="3067"/>
    <cellStyle name="Comma 5 3 3 7 2" xfId="8083"/>
    <cellStyle name="Comma 5 3 3 8" xfId="5644"/>
    <cellStyle name="Comma 5 3 3 9" xfId="9537"/>
    <cellStyle name="Comma 5 3 4" xfId="192"/>
    <cellStyle name="Comma 5 3 4 10" xfId="4429"/>
    <cellStyle name="Comma 5 3 4 2" xfId="406"/>
    <cellStyle name="Comma 5 3 4 2 2" xfId="1012"/>
    <cellStyle name="Comma 5 3 4 2 2 2" xfId="1964"/>
    <cellStyle name="Comma 5 3 4 2 2 2 2" xfId="7253"/>
    <cellStyle name="Comma 5 3 4 2 2 3" xfId="3294"/>
    <cellStyle name="Comma 5 3 4 2 2 3 2" xfId="8310"/>
    <cellStyle name="Comma 5 3 4 2 2 4" xfId="6369"/>
    <cellStyle name="Comma 5 3 4 2 2 5" xfId="9764"/>
    <cellStyle name="Comma 5 3 4 2 2 6" xfId="4846"/>
    <cellStyle name="Comma 5 3 4 2 3" xfId="912"/>
    <cellStyle name="Comma 5 3 4 2 3 2" xfId="2580"/>
    <cellStyle name="Comma 5 3 4 2 3 2 2" xfId="7862"/>
    <cellStyle name="Comma 5 3 4 2 3 3" xfId="3643"/>
    <cellStyle name="Comma 5 3 4 2 3 3 2" xfId="8658"/>
    <cellStyle name="Comma 5 3 4 2 3 4" xfId="6269"/>
    <cellStyle name="Comma 5 3 4 2 3 5" xfId="10112"/>
    <cellStyle name="Comma 5 3 4 2 3 6" xfId="5456"/>
    <cellStyle name="Comma 5 3 4 2 4" xfId="1864"/>
    <cellStyle name="Comma 5 3 4 2 4 2" xfId="4243"/>
    <cellStyle name="Comma 5 3 4 2 4 2 2" xfId="9258"/>
    <cellStyle name="Comma 5 3 4 2 4 3" xfId="10712"/>
    <cellStyle name="Comma 5 3 4 2 4 4" xfId="7153"/>
    <cellStyle name="Comma 5 3 4 2 5" xfId="3199"/>
    <cellStyle name="Comma 5 3 4 2 5 2" xfId="8215"/>
    <cellStyle name="Comma 5 3 4 2 6" xfId="5776"/>
    <cellStyle name="Comma 5 3 4 2 7" xfId="9669"/>
    <cellStyle name="Comma 5 3 4 2 8" xfId="4746"/>
    <cellStyle name="Comma 5 3 4 3" xfId="707"/>
    <cellStyle name="Comma 5 3 4 3 2" xfId="1659"/>
    <cellStyle name="Comma 5 3 4 3 2 2" xfId="6948"/>
    <cellStyle name="Comma 5 3 4 3 3" xfId="3293"/>
    <cellStyle name="Comma 5 3 4 3 3 2" xfId="8309"/>
    <cellStyle name="Comma 5 3 4 3 4" xfId="6064"/>
    <cellStyle name="Comma 5 3 4 3 5" xfId="9763"/>
    <cellStyle name="Comma 5 3 4 3 6" xfId="4541"/>
    <cellStyle name="Comma 5 3 4 4" xfId="1011"/>
    <cellStyle name="Comma 5 3 4 4 2" xfId="1963"/>
    <cellStyle name="Comma 5 3 4 4 2 2" xfId="7252"/>
    <cellStyle name="Comma 5 3 4 4 3" xfId="3642"/>
    <cellStyle name="Comma 5 3 4 4 3 2" xfId="8657"/>
    <cellStyle name="Comma 5 3 4 4 4" xfId="6368"/>
    <cellStyle name="Comma 5 3 4 4 5" xfId="10111"/>
    <cellStyle name="Comma 5 3 4 4 6" xfId="4845"/>
    <cellStyle name="Comma 5 3 4 5" xfId="592"/>
    <cellStyle name="Comma 5 3 4 5 2" xfId="2375"/>
    <cellStyle name="Comma 5 3 4 5 2 2" xfId="7657"/>
    <cellStyle name="Comma 5 3 4 5 3" xfId="4038"/>
    <cellStyle name="Comma 5 3 4 5 3 2" xfId="9053"/>
    <cellStyle name="Comma 5 3 4 5 4" xfId="5950"/>
    <cellStyle name="Comma 5 3 4 5 5" xfId="10507"/>
    <cellStyle name="Comma 5 3 4 5 6" xfId="5251"/>
    <cellStyle name="Comma 5 3 4 6" xfId="1547"/>
    <cellStyle name="Comma 5 3 4 6 2" xfId="6836"/>
    <cellStyle name="Comma 5 3 4 7" xfId="2994"/>
    <cellStyle name="Comma 5 3 4 7 2" xfId="8010"/>
    <cellStyle name="Comma 5 3 4 8" xfId="5571"/>
    <cellStyle name="Comma 5 3 4 9" xfId="9464"/>
    <cellStyle name="Comma 5 3 5" xfId="298"/>
    <cellStyle name="Comma 5 3 5 2" xfId="1013"/>
    <cellStyle name="Comma 5 3 5 2 2" xfId="1965"/>
    <cellStyle name="Comma 5 3 5 2 2 2" xfId="7254"/>
    <cellStyle name="Comma 5 3 5 2 3" xfId="3295"/>
    <cellStyle name="Comma 5 3 5 2 3 2" xfId="8311"/>
    <cellStyle name="Comma 5 3 5 2 4" xfId="6370"/>
    <cellStyle name="Comma 5 3 5 2 5" xfId="9765"/>
    <cellStyle name="Comma 5 3 5 2 6" xfId="4847"/>
    <cellStyle name="Comma 5 3 5 3" xfId="807"/>
    <cellStyle name="Comma 5 3 5 3 2" xfId="2475"/>
    <cellStyle name="Comma 5 3 5 3 2 2" xfId="7757"/>
    <cellStyle name="Comma 5 3 5 3 3" xfId="3644"/>
    <cellStyle name="Comma 5 3 5 3 3 2" xfId="8659"/>
    <cellStyle name="Comma 5 3 5 3 4" xfId="6164"/>
    <cellStyle name="Comma 5 3 5 3 5" xfId="10113"/>
    <cellStyle name="Comma 5 3 5 3 6" xfId="5351"/>
    <cellStyle name="Comma 5 3 5 4" xfId="1759"/>
    <cellStyle name="Comma 5 3 5 4 2" xfId="4138"/>
    <cellStyle name="Comma 5 3 5 4 2 2" xfId="9153"/>
    <cellStyle name="Comma 5 3 5 4 3" xfId="10607"/>
    <cellStyle name="Comma 5 3 5 4 4" xfId="7048"/>
    <cellStyle name="Comma 5 3 5 5" xfId="3094"/>
    <cellStyle name="Comma 5 3 5 5 2" xfId="8110"/>
    <cellStyle name="Comma 5 3 5 6" xfId="5671"/>
    <cellStyle name="Comma 5 3 5 7" xfId="9564"/>
    <cellStyle name="Comma 5 3 5 8" xfId="4641"/>
    <cellStyle name="Comma 5 3 6" xfId="680"/>
    <cellStyle name="Comma 5 3 6 2" xfId="1014"/>
    <cellStyle name="Comma 5 3 6 2 2" xfId="1966"/>
    <cellStyle name="Comma 5 3 6 2 2 2" xfId="7255"/>
    <cellStyle name="Comma 5 3 6 2 3" xfId="3296"/>
    <cellStyle name="Comma 5 3 6 2 3 2" xfId="8312"/>
    <cellStyle name="Comma 5 3 6 2 4" xfId="6371"/>
    <cellStyle name="Comma 5 3 6 2 5" xfId="9766"/>
    <cellStyle name="Comma 5 3 6 2 6" xfId="4848"/>
    <cellStyle name="Comma 5 3 6 3" xfId="1405"/>
    <cellStyle name="Comma 5 3 6 3 2" xfId="2348"/>
    <cellStyle name="Comma 5 3 6 3 2 2" xfId="7630"/>
    <cellStyle name="Comma 5 3 6 3 3" xfId="3645"/>
    <cellStyle name="Comma 5 3 6 3 3 2" xfId="8660"/>
    <cellStyle name="Comma 5 3 6 3 4" xfId="6701"/>
    <cellStyle name="Comma 5 3 6 3 5" xfId="10114"/>
    <cellStyle name="Comma 5 3 6 3 6" xfId="5224"/>
    <cellStyle name="Comma 5 3 6 4" xfId="1632"/>
    <cellStyle name="Comma 5 3 6 4 2" xfId="4011"/>
    <cellStyle name="Comma 5 3 6 4 2 2" xfId="9026"/>
    <cellStyle name="Comma 5 3 6 4 3" xfId="10480"/>
    <cellStyle name="Comma 5 3 6 4 4" xfId="6921"/>
    <cellStyle name="Comma 5 3 6 5" xfId="2965"/>
    <cellStyle name="Comma 5 3 6 5 2" xfId="7981"/>
    <cellStyle name="Comma 5 3 6 6" xfId="6037"/>
    <cellStyle name="Comma 5 3 6 7" xfId="9437"/>
    <cellStyle name="Comma 5 3 6 8" xfId="4514"/>
    <cellStyle name="Comma 5 3 7" xfId="1005"/>
    <cellStyle name="Comma 5 3 7 2" xfId="1957"/>
    <cellStyle name="Comma 5 3 7 2 2" xfId="7246"/>
    <cellStyle name="Comma 5 3 7 3" xfId="3287"/>
    <cellStyle name="Comma 5 3 7 3 2" xfId="8303"/>
    <cellStyle name="Comma 5 3 7 4" xfId="6362"/>
    <cellStyle name="Comma 5 3 7 5" xfId="9757"/>
    <cellStyle name="Comma 5 3 7 6" xfId="4839"/>
    <cellStyle name="Comma 5 3 8" xfId="480"/>
    <cellStyle name="Comma 5 3 8 2" xfId="2303"/>
    <cellStyle name="Comma 5 3 8 2 2" xfId="7585"/>
    <cellStyle name="Comma 5 3 8 3" xfId="3636"/>
    <cellStyle name="Comma 5 3 8 3 2" xfId="8651"/>
    <cellStyle name="Comma 5 3 8 4" xfId="5844"/>
    <cellStyle name="Comma 5 3 8 5" xfId="10105"/>
    <cellStyle name="Comma 5 3 8 6" xfId="5179"/>
    <cellStyle name="Comma 5 3 9" xfId="1439"/>
    <cellStyle name="Comma 5 3 9 2" xfId="3966"/>
    <cellStyle name="Comma 5 3 9 2 2" xfId="8981"/>
    <cellStyle name="Comma 5 3 9 3" xfId="10435"/>
    <cellStyle name="Comma 5 3 9 4" xfId="6730"/>
    <cellStyle name="Comma 5 4" xfId="169"/>
    <cellStyle name="Comma 5 4 10" xfId="2928"/>
    <cellStyle name="Comma 5 4 10 2" xfId="9400"/>
    <cellStyle name="Comma 5 4 10 3" xfId="7944"/>
    <cellStyle name="Comma 5 4 11" xfId="5552"/>
    <cellStyle name="Comma 5 4 12" xfId="9370"/>
    <cellStyle name="Comma 5 4 13" xfId="4330"/>
    <cellStyle name="Comma 5 4 2" xfId="234"/>
    <cellStyle name="Comma 5 4 2 10" xfId="9502"/>
    <cellStyle name="Comma 5 4 2 11" xfId="4362"/>
    <cellStyle name="Comma 5 4 2 2" xfId="443"/>
    <cellStyle name="Comma 5 4 2 2 2" xfId="949"/>
    <cellStyle name="Comma 5 4 2 2 2 2" xfId="1901"/>
    <cellStyle name="Comma 5 4 2 2 2 2 2" xfId="7190"/>
    <cellStyle name="Comma 5 4 2 2 2 3" xfId="3299"/>
    <cellStyle name="Comma 5 4 2 2 2 3 2" xfId="8315"/>
    <cellStyle name="Comma 5 4 2 2 2 4" xfId="6306"/>
    <cellStyle name="Comma 5 4 2 2 2 5" xfId="9769"/>
    <cellStyle name="Comma 5 4 2 2 2 6" xfId="4783"/>
    <cellStyle name="Comma 5 4 2 2 3" xfId="1017"/>
    <cellStyle name="Comma 5 4 2 2 3 2" xfId="1969"/>
    <cellStyle name="Comma 5 4 2 2 3 2 2" xfId="7258"/>
    <cellStyle name="Comma 5 4 2 2 3 3" xfId="3648"/>
    <cellStyle name="Comma 5 4 2 2 3 3 2" xfId="8663"/>
    <cellStyle name="Comma 5 4 2 2 3 4" xfId="6374"/>
    <cellStyle name="Comma 5 4 2 2 3 5" xfId="10117"/>
    <cellStyle name="Comma 5 4 2 2 3 6" xfId="4851"/>
    <cellStyle name="Comma 5 4 2 2 4" xfId="629"/>
    <cellStyle name="Comma 5 4 2 2 4 2" xfId="2617"/>
    <cellStyle name="Comma 5 4 2 2 4 2 2" xfId="7899"/>
    <cellStyle name="Comma 5 4 2 2 4 3" xfId="4280"/>
    <cellStyle name="Comma 5 4 2 2 4 3 2" xfId="9295"/>
    <cellStyle name="Comma 5 4 2 2 4 4" xfId="5987"/>
    <cellStyle name="Comma 5 4 2 2 4 5" xfId="10749"/>
    <cellStyle name="Comma 5 4 2 2 4 6" xfId="5493"/>
    <cellStyle name="Comma 5 4 2 2 5" xfId="1584"/>
    <cellStyle name="Comma 5 4 2 2 5 2" xfId="6873"/>
    <cellStyle name="Comma 5 4 2 2 6" xfId="3236"/>
    <cellStyle name="Comma 5 4 2 2 6 2" xfId="8252"/>
    <cellStyle name="Comma 5 4 2 2 7" xfId="5813"/>
    <cellStyle name="Comma 5 4 2 2 8" xfId="9706"/>
    <cellStyle name="Comma 5 4 2 2 9" xfId="4466"/>
    <cellStyle name="Comma 5 4 2 3" xfId="336"/>
    <cellStyle name="Comma 5 4 2 3 2" xfId="1018"/>
    <cellStyle name="Comma 5 4 2 3 2 2" xfId="1970"/>
    <cellStyle name="Comma 5 4 2 3 2 2 2" xfId="7259"/>
    <cellStyle name="Comma 5 4 2 3 2 3" xfId="3300"/>
    <cellStyle name="Comma 5 4 2 3 2 3 2" xfId="8316"/>
    <cellStyle name="Comma 5 4 2 3 2 4" xfId="6375"/>
    <cellStyle name="Comma 5 4 2 3 2 5" xfId="9770"/>
    <cellStyle name="Comma 5 4 2 3 2 6" xfId="4852"/>
    <cellStyle name="Comma 5 4 2 3 3" xfId="845"/>
    <cellStyle name="Comma 5 4 2 3 3 2" xfId="2513"/>
    <cellStyle name="Comma 5 4 2 3 3 2 2" xfId="7795"/>
    <cellStyle name="Comma 5 4 2 3 3 3" xfId="3649"/>
    <cellStyle name="Comma 5 4 2 3 3 3 2" xfId="8664"/>
    <cellStyle name="Comma 5 4 2 3 3 4" xfId="6202"/>
    <cellStyle name="Comma 5 4 2 3 3 5" xfId="10118"/>
    <cellStyle name="Comma 5 4 2 3 3 6" xfId="5389"/>
    <cellStyle name="Comma 5 4 2 3 4" xfId="1797"/>
    <cellStyle name="Comma 5 4 2 3 4 2" xfId="4176"/>
    <cellStyle name="Comma 5 4 2 3 4 2 2" xfId="9191"/>
    <cellStyle name="Comma 5 4 2 3 4 3" xfId="10645"/>
    <cellStyle name="Comma 5 4 2 3 4 4" xfId="7086"/>
    <cellStyle name="Comma 5 4 2 3 5" xfId="3132"/>
    <cellStyle name="Comma 5 4 2 3 5 2" xfId="8148"/>
    <cellStyle name="Comma 5 4 2 3 6" xfId="5709"/>
    <cellStyle name="Comma 5 4 2 3 7" xfId="9602"/>
    <cellStyle name="Comma 5 4 2 3 8" xfId="4679"/>
    <cellStyle name="Comma 5 4 2 4" xfId="745"/>
    <cellStyle name="Comma 5 4 2 4 2" xfId="1697"/>
    <cellStyle name="Comma 5 4 2 4 2 2" xfId="6986"/>
    <cellStyle name="Comma 5 4 2 4 3" xfId="3298"/>
    <cellStyle name="Comma 5 4 2 4 3 2" xfId="8314"/>
    <cellStyle name="Comma 5 4 2 4 4" xfId="6102"/>
    <cellStyle name="Comma 5 4 2 4 5" xfId="9768"/>
    <cellStyle name="Comma 5 4 2 4 6" xfId="4579"/>
    <cellStyle name="Comma 5 4 2 5" xfId="1016"/>
    <cellStyle name="Comma 5 4 2 5 2" xfId="1968"/>
    <cellStyle name="Comma 5 4 2 5 2 2" xfId="7257"/>
    <cellStyle name="Comma 5 4 2 5 3" xfId="3647"/>
    <cellStyle name="Comma 5 4 2 5 3 2" xfId="8662"/>
    <cellStyle name="Comma 5 4 2 5 4" xfId="6373"/>
    <cellStyle name="Comma 5 4 2 5 5" xfId="10116"/>
    <cellStyle name="Comma 5 4 2 5 6" xfId="4850"/>
    <cellStyle name="Comma 5 4 2 6" xfId="522"/>
    <cellStyle name="Comma 5 4 2 6 2" xfId="2413"/>
    <cellStyle name="Comma 5 4 2 6 2 2" xfId="7695"/>
    <cellStyle name="Comma 5 4 2 6 3" xfId="4076"/>
    <cellStyle name="Comma 5 4 2 6 3 2" xfId="9091"/>
    <cellStyle name="Comma 5 4 2 6 4" xfId="5883"/>
    <cellStyle name="Comma 5 4 2 6 5" xfId="10545"/>
    <cellStyle name="Comma 5 4 2 6 6" xfId="5289"/>
    <cellStyle name="Comma 5 4 2 7" xfId="1480"/>
    <cellStyle name="Comma 5 4 2 7 2" xfId="6769"/>
    <cellStyle name="Comma 5 4 2 8" xfId="3032"/>
    <cellStyle name="Comma 5 4 2 8 2" xfId="8048"/>
    <cellStyle name="Comma 5 4 2 9" xfId="5609"/>
    <cellStyle name="Comma 5 4 3" xfId="279"/>
    <cellStyle name="Comma 5 4 3 10" xfId="4405"/>
    <cellStyle name="Comma 5 4 3 2" xfId="381"/>
    <cellStyle name="Comma 5 4 3 2 2" xfId="1020"/>
    <cellStyle name="Comma 5 4 3 2 2 2" xfId="1972"/>
    <cellStyle name="Comma 5 4 3 2 2 2 2" xfId="7261"/>
    <cellStyle name="Comma 5 4 3 2 2 3" xfId="3302"/>
    <cellStyle name="Comma 5 4 3 2 2 3 2" xfId="8318"/>
    <cellStyle name="Comma 5 4 3 2 2 4" xfId="6377"/>
    <cellStyle name="Comma 5 4 3 2 2 5" xfId="9772"/>
    <cellStyle name="Comma 5 4 3 2 2 6" xfId="4854"/>
    <cellStyle name="Comma 5 4 3 2 3" xfId="888"/>
    <cellStyle name="Comma 5 4 3 2 3 2" xfId="2556"/>
    <cellStyle name="Comma 5 4 3 2 3 2 2" xfId="7838"/>
    <cellStyle name="Comma 5 4 3 2 3 3" xfId="3651"/>
    <cellStyle name="Comma 5 4 3 2 3 3 2" xfId="8666"/>
    <cellStyle name="Comma 5 4 3 2 3 4" xfId="6245"/>
    <cellStyle name="Comma 5 4 3 2 3 5" xfId="10120"/>
    <cellStyle name="Comma 5 4 3 2 3 6" xfId="5432"/>
    <cellStyle name="Comma 5 4 3 2 4" xfId="1840"/>
    <cellStyle name="Comma 5 4 3 2 4 2" xfId="4219"/>
    <cellStyle name="Comma 5 4 3 2 4 2 2" xfId="9234"/>
    <cellStyle name="Comma 5 4 3 2 4 3" xfId="10688"/>
    <cellStyle name="Comma 5 4 3 2 4 4" xfId="7129"/>
    <cellStyle name="Comma 5 4 3 2 5" xfId="3175"/>
    <cellStyle name="Comma 5 4 3 2 5 2" xfId="8191"/>
    <cellStyle name="Comma 5 4 3 2 6" xfId="5752"/>
    <cellStyle name="Comma 5 4 3 2 7" xfId="9645"/>
    <cellStyle name="Comma 5 4 3 2 8" xfId="4722"/>
    <cellStyle name="Comma 5 4 3 3" xfId="788"/>
    <cellStyle name="Comma 5 4 3 3 2" xfId="1740"/>
    <cellStyle name="Comma 5 4 3 3 2 2" xfId="7029"/>
    <cellStyle name="Comma 5 4 3 3 3" xfId="3301"/>
    <cellStyle name="Comma 5 4 3 3 3 2" xfId="8317"/>
    <cellStyle name="Comma 5 4 3 3 4" xfId="6145"/>
    <cellStyle name="Comma 5 4 3 3 5" xfId="9771"/>
    <cellStyle name="Comma 5 4 3 3 6" xfId="4622"/>
    <cellStyle name="Comma 5 4 3 4" xfId="1019"/>
    <cellStyle name="Comma 5 4 3 4 2" xfId="1971"/>
    <cellStyle name="Comma 5 4 3 4 2 2" xfId="7260"/>
    <cellStyle name="Comma 5 4 3 4 3" xfId="3650"/>
    <cellStyle name="Comma 5 4 3 4 3 2" xfId="8665"/>
    <cellStyle name="Comma 5 4 3 4 4" xfId="6376"/>
    <cellStyle name="Comma 5 4 3 4 5" xfId="10119"/>
    <cellStyle name="Comma 5 4 3 4 6" xfId="4853"/>
    <cellStyle name="Comma 5 4 3 5" xfId="568"/>
    <cellStyle name="Comma 5 4 3 5 2" xfId="2456"/>
    <cellStyle name="Comma 5 4 3 5 2 2" xfId="7738"/>
    <cellStyle name="Comma 5 4 3 5 3" xfId="4119"/>
    <cellStyle name="Comma 5 4 3 5 3 2" xfId="9134"/>
    <cellStyle name="Comma 5 4 3 5 4" xfId="5926"/>
    <cellStyle name="Comma 5 4 3 5 5" xfId="10588"/>
    <cellStyle name="Comma 5 4 3 5 6" xfId="5332"/>
    <cellStyle name="Comma 5 4 3 6" xfId="1523"/>
    <cellStyle name="Comma 5 4 3 6 2" xfId="6812"/>
    <cellStyle name="Comma 5 4 3 7" xfId="3075"/>
    <cellStyle name="Comma 5 4 3 7 2" xfId="8091"/>
    <cellStyle name="Comma 5 4 3 8" xfId="5652"/>
    <cellStyle name="Comma 5 4 3 9" xfId="9545"/>
    <cellStyle name="Comma 5 4 4" xfId="198"/>
    <cellStyle name="Comma 5 4 4 10" xfId="4435"/>
    <cellStyle name="Comma 5 4 4 2" xfId="412"/>
    <cellStyle name="Comma 5 4 4 2 2" xfId="1022"/>
    <cellStyle name="Comma 5 4 4 2 2 2" xfId="1974"/>
    <cellStyle name="Comma 5 4 4 2 2 2 2" xfId="7263"/>
    <cellStyle name="Comma 5 4 4 2 2 3" xfId="3304"/>
    <cellStyle name="Comma 5 4 4 2 2 3 2" xfId="8320"/>
    <cellStyle name="Comma 5 4 4 2 2 4" xfId="6379"/>
    <cellStyle name="Comma 5 4 4 2 2 5" xfId="9774"/>
    <cellStyle name="Comma 5 4 4 2 2 6" xfId="4856"/>
    <cellStyle name="Comma 5 4 4 2 3" xfId="918"/>
    <cellStyle name="Comma 5 4 4 2 3 2" xfId="2586"/>
    <cellStyle name="Comma 5 4 4 2 3 2 2" xfId="7868"/>
    <cellStyle name="Comma 5 4 4 2 3 3" xfId="3653"/>
    <cellStyle name="Comma 5 4 4 2 3 3 2" xfId="8668"/>
    <cellStyle name="Comma 5 4 4 2 3 4" xfId="6275"/>
    <cellStyle name="Comma 5 4 4 2 3 5" xfId="10122"/>
    <cellStyle name="Comma 5 4 4 2 3 6" xfId="5462"/>
    <cellStyle name="Comma 5 4 4 2 4" xfId="1870"/>
    <cellStyle name="Comma 5 4 4 2 4 2" xfId="4249"/>
    <cellStyle name="Comma 5 4 4 2 4 2 2" xfId="9264"/>
    <cellStyle name="Comma 5 4 4 2 4 3" xfId="10718"/>
    <cellStyle name="Comma 5 4 4 2 4 4" xfId="7159"/>
    <cellStyle name="Comma 5 4 4 2 5" xfId="3205"/>
    <cellStyle name="Comma 5 4 4 2 5 2" xfId="8221"/>
    <cellStyle name="Comma 5 4 4 2 6" xfId="5782"/>
    <cellStyle name="Comma 5 4 4 2 7" xfId="9675"/>
    <cellStyle name="Comma 5 4 4 2 8" xfId="4752"/>
    <cellStyle name="Comma 5 4 4 3" xfId="713"/>
    <cellStyle name="Comma 5 4 4 3 2" xfId="1665"/>
    <cellStyle name="Comma 5 4 4 3 2 2" xfId="6954"/>
    <cellStyle name="Comma 5 4 4 3 3" xfId="3303"/>
    <cellStyle name="Comma 5 4 4 3 3 2" xfId="8319"/>
    <cellStyle name="Comma 5 4 4 3 4" xfId="6070"/>
    <cellStyle name="Comma 5 4 4 3 5" xfId="9773"/>
    <cellStyle name="Comma 5 4 4 3 6" xfId="4547"/>
    <cellStyle name="Comma 5 4 4 4" xfId="1021"/>
    <cellStyle name="Comma 5 4 4 4 2" xfId="1973"/>
    <cellStyle name="Comma 5 4 4 4 2 2" xfId="7262"/>
    <cellStyle name="Comma 5 4 4 4 3" xfId="3652"/>
    <cellStyle name="Comma 5 4 4 4 3 2" xfId="8667"/>
    <cellStyle name="Comma 5 4 4 4 4" xfId="6378"/>
    <cellStyle name="Comma 5 4 4 4 5" xfId="10121"/>
    <cellStyle name="Comma 5 4 4 4 6" xfId="4855"/>
    <cellStyle name="Comma 5 4 4 5" xfId="598"/>
    <cellStyle name="Comma 5 4 4 5 2" xfId="2381"/>
    <cellStyle name="Comma 5 4 4 5 2 2" xfId="7663"/>
    <cellStyle name="Comma 5 4 4 5 3" xfId="4044"/>
    <cellStyle name="Comma 5 4 4 5 3 2" xfId="9059"/>
    <cellStyle name="Comma 5 4 4 5 4" xfId="5956"/>
    <cellStyle name="Comma 5 4 4 5 5" xfId="10513"/>
    <cellStyle name="Comma 5 4 4 5 6" xfId="5257"/>
    <cellStyle name="Comma 5 4 4 6" xfId="1553"/>
    <cellStyle name="Comma 5 4 4 6 2" xfId="6842"/>
    <cellStyle name="Comma 5 4 4 7" xfId="3000"/>
    <cellStyle name="Comma 5 4 4 7 2" xfId="8016"/>
    <cellStyle name="Comma 5 4 4 8" xfId="5577"/>
    <cellStyle name="Comma 5 4 4 9" xfId="9470"/>
    <cellStyle name="Comma 5 4 5" xfId="304"/>
    <cellStyle name="Comma 5 4 5 2" xfId="1023"/>
    <cellStyle name="Comma 5 4 5 2 2" xfId="1975"/>
    <cellStyle name="Comma 5 4 5 2 2 2" xfId="7264"/>
    <cellStyle name="Comma 5 4 5 2 3" xfId="3305"/>
    <cellStyle name="Comma 5 4 5 2 3 2" xfId="8321"/>
    <cellStyle name="Comma 5 4 5 2 4" xfId="6380"/>
    <cellStyle name="Comma 5 4 5 2 5" xfId="9775"/>
    <cellStyle name="Comma 5 4 5 2 6" xfId="4857"/>
    <cellStyle name="Comma 5 4 5 3" xfId="813"/>
    <cellStyle name="Comma 5 4 5 3 2" xfId="2481"/>
    <cellStyle name="Comma 5 4 5 3 2 2" xfId="7763"/>
    <cellStyle name="Comma 5 4 5 3 3" xfId="3654"/>
    <cellStyle name="Comma 5 4 5 3 3 2" xfId="8669"/>
    <cellStyle name="Comma 5 4 5 3 4" xfId="6170"/>
    <cellStyle name="Comma 5 4 5 3 5" xfId="10123"/>
    <cellStyle name="Comma 5 4 5 3 6" xfId="5357"/>
    <cellStyle name="Comma 5 4 5 4" xfId="1765"/>
    <cellStyle name="Comma 5 4 5 4 2" xfId="4144"/>
    <cellStyle name="Comma 5 4 5 4 2 2" xfId="9159"/>
    <cellStyle name="Comma 5 4 5 4 3" xfId="10613"/>
    <cellStyle name="Comma 5 4 5 4 4" xfId="7054"/>
    <cellStyle name="Comma 5 4 5 5" xfId="3100"/>
    <cellStyle name="Comma 5 4 5 5 2" xfId="8116"/>
    <cellStyle name="Comma 5 4 5 6" xfId="5677"/>
    <cellStyle name="Comma 5 4 5 7" xfId="9570"/>
    <cellStyle name="Comma 5 4 5 8" xfId="4647"/>
    <cellStyle name="Comma 5 4 6" xfId="688"/>
    <cellStyle name="Comma 5 4 6 2" xfId="1024"/>
    <cellStyle name="Comma 5 4 6 2 2" xfId="1976"/>
    <cellStyle name="Comma 5 4 6 2 2 2" xfId="7265"/>
    <cellStyle name="Comma 5 4 6 2 3" xfId="3306"/>
    <cellStyle name="Comma 5 4 6 2 3 2" xfId="8322"/>
    <cellStyle name="Comma 5 4 6 2 4" xfId="6381"/>
    <cellStyle name="Comma 5 4 6 2 5" xfId="9776"/>
    <cellStyle name="Comma 5 4 6 2 6" xfId="4858"/>
    <cellStyle name="Comma 5 4 6 3" xfId="1389"/>
    <cellStyle name="Comma 5 4 6 3 2" xfId="2356"/>
    <cellStyle name="Comma 5 4 6 3 2 2" xfId="7638"/>
    <cellStyle name="Comma 5 4 6 3 3" xfId="3655"/>
    <cellStyle name="Comma 5 4 6 3 3 2" xfId="8670"/>
    <cellStyle name="Comma 5 4 6 3 4" xfId="6685"/>
    <cellStyle name="Comma 5 4 6 3 5" xfId="10124"/>
    <cellStyle name="Comma 5 4 6 3 6" xfId="5232"/>
    <cellStyle name="Comma 5 4 6 4" xfId="1640"/>
    <cellStyle name="Comma 5 4 6 4 2" xfId="4019"/>
    <cellStyle name="Comma 5 4 6 4 2 2" xfId="9034"/>
    <cellStyle name="Comma 5 4 6 4 3" xfId="10488"/>
    <cellStyle name="Comma 5 4 6 4 4" xfId="6929"/>
    <cellStyle name="Comma 5 4 6 5" xfId="2973"/>
    <cellStyle name="Comma 5 4 6 5 2" xfId="7989"/>
    <cellStyle name="Comma 5 4 6 6" xfId="6045"/>
    <cellStyle name="Comma 5 4 6 7" xfId="9445"/>
    <cellStyle name="Comma 5 4 6 8" xfId="4522"/>
    <cellStyle name="Comma 5 4 7" xfId="1015"/>
    <cellStyle name="Comma 5 4 7 2" xfId="1967"/>
    <cellStyle name="Comma 5 4 7 2 2" xfId="7256"/>
    <cellStyle name="Comma 5 4 7 3" xfId="3297"/>
    <cellStyle name="Comma 5 4 7 3 2" xfId="8313"/>
    <cellStyle name="Comma 5 4 7 4" xfId="6372"/>
    <cellStyle name="Comma 5 4 7 5" xfId="9767"/>
    <cellStyle name="Comma 5 4 7 6" xfId="4849"/>
    <cellStyle name="Comma 5 4 8" xfId="486"/>
    <cellStyle name="Comma 5 4 8 2" xfId="2311"/>
    <cellStyle name="Comma 5 4 8 2 2" xfId="7593"/>
    <cellStyle name="Comma 5 4 8 3" xfId="3646"/>
    <cellStyle name="Comma 5 4 8 3 2" xfId="8661"/>
    <cellStyle name="Comma 5 4 8 4" xfId="5850"/>
    <cellStyle name="Comma 5 4 8 5" xfId="10115"/>
    <cellStyle name="Comma 5 4 8 6" xfId="5187"/>
    <cellStyle name="Comma 5 4 9" xfId="1447"/>
    <cellStyle name="Comma 5 4 9 2" xfId="3974"/>
    <cellStyle name="Comma 5 4 9 2 2" xfId="8989"/>
    <cellStyle name="Comma 5 4 9 3" xfId="10443"/>
    <cellStyle name="Comma 5 4 9 4" xfId="6737"/>
    <cellStyle name="Comma 5 5" xfId="137"/>
    <cellStyle name="Comma 5 5 10" xfId="5530"/>
    <cellStyle name="Comma 5 5 11" xfId="9350"/>
    <cellStyle name="Comma 5 5 12" xfId="4342"/>
    <cellStyle name="Comma 5 5 2" xfId="258"/>
    <cellStyle name="Comma 5 5 2 10" xfId="4385"/>
    <cellStyle name="Comma 5 5 2 2" xfId="360"/>
    <cellStyle name="Comma 5 5 2 2 2" xfId="1027"/>
    <cellStyle name="Comma 5 5 2 2 2 2" xfId="1979"/>
    <cellStyle name="Comma 5 5 2 2 2 2 2" xfId="7268"/>
    <cellStyle name="Comma 5 5 2 2 2 3" xfId="3309"/>
    <cellStyle name="Comma 5 5 2 2 2 3 2" xfId="8325"/>
    <cellStyle name="Comma 5 5 2 2 2 4" xfId="6384"/>
    <cellStyle name="Comma 5 5 2 2 2 5" xfId="9779"/>
    <cellStyle name="Comma 5 5 2 2 2 6" xfId="4861"/>
    <cellStyle name="Comma 5 5 2 2 3" xfId="868"/>
    <cellStyle name="Comma 5 5 2 2 3 2" xfId="2536"/>
    <cellStyle name="Comma 5 5 2 2 3 2 2" xfId="7818"/>
    <cellStyle name="Comma 5 5 2 2 3 3" xfId="3658"/>
    <cellStyle name="Comma 5 5 2 2 3 3 2" xfId="8673"/>
    <cellStyle name="Comma 5 5 2 2 3 4" xfId="6225"/>
    <cellStyle name="Comma 5 5 2 2 3 5" xfId="10127"/>
    <cellStyle name="Comma 5 5 2 2 3 6" xfId="5412"/>
    <cellStyle name="Comma 5 5 2 2 4" xfId="1820"/>
    <cellStyle name="Comma 5 5 2 2 4 2" xfId="4199"/>
    <cellStyle name="Comma 5 5 2 2 4 2 2" xfId="9214"/>
    <cellStyle name="Comma 5 5 2 2 4 3" xfId="10668"/>
    <cellStyle name="Comma 5 5 2 2 4 4" xfId="7109"/>
    <cellStyle name="Comma 5 5 2 2 5" xfId="3155"/>
    <cellStyle name="Comma 5 5 2 2 5 2" xfId="8171"/>
    <cellStyle name="Comma 5 5 2 2 6" xfId="5732"/>
    <cellStyle name="Comma 5 5 2 2 7" xfId="9625"/>
    <cellStyle name="Comma 5 5 2 2 8" xfId="4702"/>
    <cellStyle name="Comma 5 5 2 3" xfId="768"/>
    <cellStyle name="Comma 5 5 2 3 2" xfId="1720"/>
    <cellStyle name="Comma 5 5 2 3 2 2" xfId="7009"/>
    <cellStyle name="Comma 5 5 2 3 3" xfId="3308"/>
    <cellStyle name="Comma 5 5 2 3 3 2" xfId="8324"/>
    <cellStyle name="Comma 5 5 2 3 4" xfId="6125"/>
    <cellStyle name="Comma 5 5 2 3 5" xfId="9778"/>
    <cellStyle name="Comma 5 5 2 3 6" xfId="4602"/>
    <cellStyle name="Comma 5 5 2 4" xfId="1026"/>
    <cellStyle name="Comma 5 5 2 4 2" xfId="1978"/>
    <cellStyle name="Comma 5 5 2 4 2 2" xfId="7267"/>
    <cellStyle name="Comma 5 5 2 4 3" xfId="3657"/>
    <cellStyle name="Comma 5 5 2 4 3 2" xfId="8672"/>
    <cellStyle name="Comma 5 5 2 4 4" xfId="6383"/>
    <cellStyle name="Comma 5 5 2 4 5" xfId="10126"/>
    <cellStyle name="Comma 5 5 2 4 6" xfId="4860"/>
    <cellStyle name="Comma 5 5 2 5" xfId="547"/>
    <cellStyle name="Comma 5 5 2 5 2" xfId="2436"/>
    <cellStyle name="Comma 5 5 2 5 2 2" xfId="7718"/>
    <cellStyle name="Comma 5 5 2 5 3" xfId="4099"/>
    <cellStyle name="Comma 5 5 2 5 3 2" xfId="9114"/>
    <cellStyle name="Comma 5 5 2 5 4" xfId="5906"/>
    <cellStyle name="Comma 5 5 2 5 5" xfId="10568"/>
    <cellStyle name="Comma 5 5 2 5 6" xfId="5312"/>
    <cellStyle name="Comma 5 5 2 6" xfId="1503"/>
    <cellStyle name="Comma 5 5 2 6 2" xfId="6792"/>
    <cellStyle name="Comma 5 5 2 7" xfId="3055"/>
    <cellStyle name="Comma 5 5 2 7 2" xfId="8071"/>
    <cellStyle name="Comma 5 5 2 8" xfId="5632"/>
    <cellStyle name="Comma 5 5 2 9" xfId="9525"/>
    <cellStyle name="Comma 5 5 3" xfId="213"/>
    <cellStyle name="Comma 5 5 3 10" xfId="4447"/>
    <cellStyle name="Comma 5 5 3 2" xfId="424"/>
    <cellStyle name="Comma 5 5 3 2 2" xfId="1029"/>
    <cellStyle name="Comma 5 5 3 2 2 2" xfId="1981"/>
    <cellStyle name="Comma 5 5 3 2 2 2 2" xfId="7270"/>
    <cellStyle name="Comma 5 5 3 2 2 3" xfId="3311"/>
    <cellStyle name="Comma 5 5 3 2 2 3 2" xfId="8327"/>
    <cellStyle name="Comma 5 5 3 2 2 4" xfId="6386"/>
    <cellStyle name="Comma 5 5 3 2 2 5" xfId="9781"/>
    <cellStyle name="Comma 5 5 3 2 2 6" xfId="4863"/>
    <cellStyle name="Comma 5 5 3 2 3" xfId="930"/>
    <cellStyle name="Comma 5 5 3 2 3 2" xfId="2598"/>
    <cellStyle name="Comma 5 5 3 2 3 2 2" xfId="7880"/>
    <cellStyle name="Comma 5 5 3 2 3 3" xfId="3660"/>
    <cellStyle name="Comma 5 5 3 2 3 3 2" xfId="8675"/>
    <cellStyle name="Comma 5 5 3 2 3 4" xfId="6287"/>
    <cellStyle name="Comma 5 5 3 2 3 5" xfId="10129"/>
    <cellStyle name="Comma 5 5 3 2 3 6" xfId="5474"/>
    <cellStyle name="Comma 5 5 3 2 4" xfId="1882"/>
    <cellStyle name="Comma 5 5 3 2 4 2" xfId="4261"/>
    <cellStyle name="Comma 5 5 3 2 4 2 2" xfId="9276"/>
    <cellStyle name="Comma 5 5 3 2 4 3" xfId="10730"/>
    <cellStyle name="Comma 5 5 3 2 4 4" xfId="7171"/>
    <cellStyle name="Comma 5 5 3 2 5" xfId="3217"/>
    <cellStyle name="Comma 5 5 3 2 5 2" xfId="8233"/>
    <cellStyle name="Comma 5 5 3 2 6" xfId="5794"/>
    <cellStyle name="Comma 5 5 3 2 7" xfId="9687"/>
    <cellStyle name="Comma 5 5 3 2 8" xfId="4764"/>
    <cellStyle name="Comma 5 5 3 3" xfId="725"/>
    <cellStyle name="Comma 5 5 3 3 2" xfId="1677"/>
    <cellStyle name="Comma 5 5 3 3 2 2" xfId="6966"/>
    <cellStyle name="Comma 5 5 3 3 3" xfId="3310"/>
    <cellStyle name="Comma 5 5 3 3 3 2" xfId="8326"/>
    <cellStyle name="Comma 5 5 3 3 4" xfId="6082"/>
    <cellStyle name="Comma 5 5 3 3 5" xfId="9780"/>
    <cellStyle name="Comma 5 5 3 3 6" xfId="4559"/>
    <cellStyle name="Comma 5 5 3 4" xfId="1028"/>
    <cellStyle name="Comma 5 5 3 4 2" xfId="1980"/>
    <cellStyle name="Comma 5 5 3 4 2 2" xfId="7269"/>
    <cellStyle name="Comma 5 5 3 4 3" xfId="3659"/>
    <cellStyle name="Comma 5 5 3 4 3 2" xfId="8674"/>
    <cellStyle name="Comma 5 5 3 4 4" xfId="6385"/>
    <cellStyle name="Comma 5 5 3 4 5" xfId="10128"/>
    <cellStyle name="Comma 5 5 3 4 6" xfId="4862"/>
    <cellStyle name="Comma 5 5 3 5" xfId="610"/>
    <cellStyle name="Comma 5 5 3 5 2" xfId="2393"/>
    <cellStyle name="Comma 5 5 3 5 2 2" xfId="7675"/>
    <cellStyle name="Comma 5 5 3 5 3" xfId="4056"/>
    <cellStyle name="Comma 5 5 3 5 3 2" xfId="9071"/>
    <cellStyle name="Comma 5 5 3 5 4" xfId="5968"/>
    <cellStyle name="Comma 5 5 3 5 5" xfId="10525"/>
    <cellStyle name="Comma 5 5 3 5 6" xfId="5269"/>
    <cellStyle name="Comma 5 5 3 6" xfId="1565"/>
    <cellStyle name="Comma 5 5 3 6 2" xfId="6854"/>
    <cellStyle name="Comma 5 5 3 7" xfId="3012"/>
    <cellStyle name="Comma 5 5 3 7 2" xfId="8028"/>
    <cellStyle name="Comma 5 5 3 8" xfId="5589"/>
    <cellStyle name="Comma 5 5 3 9" xfId="9482"/>
    <cellStyle name="Comma 5 5 4" xfId="316"/>
    <cellStyle name="Comma 5 5 4 2" xfId="1030"/>
    <cellStyle name="Comma 5 5 4 2 2" xfId="1982"/>
    <cellStyle name="Comma 5 5 4 2 2 2" xfId="7271"/>
    <cellStyle name="Comma 5 5 4 2 3" xfId="3312"/>
    <cellStyle name="Comma 5 5 4 2 3 2" xfId="8328"/>
    <cellStyle name="Comma 5 5 4 2 4" xfId="6387"/>
    <cellStyle name="Comma 5 5 4 2 5" xfId="9782"/>
    <cellStyle name="Comma 5 5 4 2 6" xfId="4864"/>
    <cellStyle name="Comma 5 5 4 3" xfId="825"/>
    <cellStyle name="Comma 5 5 4 3 2" xfId="2493"/>
    <cellStyle name="Comma 5 5 4 3 2 2" xfId="7775"/>
    <cellStyle name="Comma 5 5 4 3 3" xfId="3661"/>
    <cellStyle name="Comma 5 5 4 3 3 2" xfId="8676"/>
    <cellStyle name="Comma 5 5 4 3 4" xfId="6182"/>
    <cellStyle name="Comma 5 5 4 3 5" xfId="10130"/>
    <cellStyle name="Comma 5 5 4 3 6" xfId="5369"/>
    <cellStyle name="Comma 5 5 4 4" xfId="1777"/>
    <cellStyle name="Comma 5 5 4 4 2" xfId="4156"/>
    <cellStyle name="Comma 5 5 4 4 2 2" xfId="9171"/>
    <cellStyle name="Comma 5 5 4 4 3" xfId="10625"/>
    <cellStyle name="Comma 5 5 4 4 4" xfId="7066"/>
    <cellStyle name="Comma 5 5 4 5" xfId="3112"/>
    <cellStyle name="Comma 5 5 4 5 2" xfId="8128"/>
    <cellStyle name="Comma 5 5 4 6" xfId="5689"/>
    <cellStyle name="Comma 5 5 4 7" xfId="9582"/>
    <cellStyle name="Comma 5 5 4 8" xfId="4659"/>
    <cellStyle name="Comma 5 5 5" xfId="666"/>
    <cellStyle name="Comma 5 5 5 2" xfId="1618"/>
    <cellStyle name="Comma 5 5 5 2 2" xfId="6907"/>
    <cellStyle name="Comma 5 5 5 3" xfId="3307"/>
    <cellStyle name="Comma 5 5 5 3 2" xfId="8323"/>
    <cellStyle name="Comma 5 5 5 4" xfId="6023"/>
    <cellStyle name="Comma 5 5 5 5" xfId="9777"/>
    <cellStyle name="Comma 5 5 5 6" xfId="4500"/>
    <cellStyle name="Comma 5 5 6" xfId="1025"/>
    <cellStyle name="Comma 5 5 6 2" xfId="1977"/>
    <cellStyle name="Comma 5 5 6 2 2" xfId="7266"/>
    <cellStyle name="Comma 5 5 6 3" xfId="3656"/>
    <cellStyle name="Comma 5 5 6 3 2" xfId="8671"/>
    <cellStyle name="Comma 5 5 6 4" xfId="6382"/>
    <cellStyle name="Comma 5 5 6 5" xfId="10125"/>
    <cellStyle name="Comma 5 5 6 6" xfId="4859"/>
    <cellStyle name="Comma 5 5 7" xfId="501"/>
    <cellStyle name="Comma 5 5 7 2" xfId="2334"/>
    <cellStyle name="Comma 5 5 7 2 2" xfId="7616"/>
    <cellStyle name="Comma 5 5 7 3" xfId="3997"/>
    <cellStyle name="Comma 5 5 7 3 2" xfId="9012"/>
    <cellStyle name="Comma 5 5 7 4" xfId="5862"/>
    <cellStyle name="Comma 5 5 7 5" xfId="10466"/>
    <cellStyle name="Comma 5 5 7 6" xfId="5210"/>
    <cellStyle name="Comma 5 5 8" xfId="1460"/>
    <cellStyle name="Comma 5 5 8 2" xfId="9423"/>
    <cellStyle name="Comma 5 5 8 3" xfId="6749"/>
    <cellStyle name="Comma 5 5 9" xfId="2951"/>
    <cellStyle name="Comma 5 5 9 2" xfId="7967"/>
    <cellStyle name="Comma 5 6" xfId="241"/>
    <cellStyle name="Comma 5 6 10" xfId="4368"/>
    <cellStyle name="Comma 5 6 2" xfId="343"/>
    <cellStyle name="Comma 5 6 2 2" xfId="1032"/>
    <cellStyle name="Comma 5 6 2 2 2" xfId="1984"/>
    <cellStyle name="Comma 5 6 2 2 2 2" xfId="7273"/>
    <cellStyle name="Comma 5 6 2 2 3" xfId="3314"/>
    <cellStyle name="Comma 5 6 2 2 3 2" xfId="8330"/>
    <cellStyle name="Comma 5 6 2 2 4" xfId="6389"/>
    <cellStyle name="Comma 5 6 2 2 5" xfId="9784"/>
    <cellStyle name="Comma 5 6 2 2 6" xfId="4866"/>
    <cellStyle name="Comma 5 6 2 3" xfId="851"/>
    <cellStyle name="Comma 5 6 2 3 2" xfId="2519"/>
    <cellStyle name="Comma 5 6 2 3 2 2" xfId="7801"/>
    <cellStyle name="Comma 5 6 2 3 3" xfId="3663"/>
    <cellStyle name="Comma 5 6 2 3 3 2" xfId="8678"/>
    <cellStyle name="Comma 5 6 2 3 4" xfId="6208"/>
    <cellStyle name="Comma 5 6 2 3 5" xfId="10132"/>
    <cellStyle name="Comma 5 6 2 3 6" xfId="5395"/>
    <cellStyle name="Comma 5 6 2 4" xfId="1803"/>
    <cellStyle name="Comma 5 6 2 4 2" xfId="4182"/>
    <cellStyle name="Comma 5 6 2 4 2 2" xfId="9197"/>
    <cellStyle name="Comma 5 6 2 4 3" xfId="10651"/>
    <cellStyle name="Comma 5 6 2 4 4" xfId="7092"/>
    <cellStyle name="Comma 5 6 2 5" xfId="3138"/>
    <cellStyle name="Comma 5 6 2 5 2" xfId="8154"/>
    <cellStyle name="Comma 5 6 2 6" xfId="5715"/>
    <cellStyle name="Comma 5 6 2 7" xfId="9608"/>
    <cellStyle name="Comma 5 6 2 8" xfId="4685"/>
    <cellStyle name="Comma 5 6 3" xfId="751"/>
    <cellStyle name="Comma 5 6 3 2" xfId="1703"/>
    <cellStyle name="Comma 5 6 3 2 2" xfId="6992"/>
    <cellStyle name="Comma 5 6 3 3" xfId="3313"/>
    <cellStyle name="Comma 5 6 3 3 2" xfId="8329"/>
    <cellStyle name="Comma 5 6 3 4" xfId="6108"/>
    <cellStyle name="Comma 5 6 3 5" xfId="9783"/>
    <cellStyle name="Comma 5 6 3 6" xfId="4585"/>
    <cellStyle name="Comma 5 6 4" xfId="1031"/>
    <cellStyle name="Comma 5 6 4 2" xfId="1983"/>
    <cellStyle name="Comma 5 6 4 2 2" xfId="7272"/>
    <cellStyle name="Comma 5 6 4 3" xfId="3662"/>
    <cellStyle name="Comma 5 6 4 3 2" xfId="8677"/>
    <cellStyle name="Comma 5 6 4 4" xfId="6388"/>
    <cellStyle name="Comma 5 6 4 5" xfId="10131"/>
    <cellStyle name="Comma 5 6 4 6" xfId="4865"/>
    <cellStyle name="Comma 5 6 5" xfId="530"/>
    <cellStyle name="Comma 5 6 5 2" xfId="2419"/>
    <cellStyle name="Comma 5 6 5 2 2" xfId="7701"/>
    <cellStyle name="Comma 5 6 5 3" xfId="4082"/>
    <cellStyle name="Comma 5 6 5 3 2" xfId="9097"/>
    <cellStyle name="Comma 5 6 5 4" xfId="5889"/>
    <cellStyle name="Comma 5 6 5 5" xfId="10551"/>
    <cellStyle name="Comma 5 6 5 6" xfId="5295"/>
    <cellStyle name="Comma 5 6 6" xfId="1486"/>
    <cellStyle name="Comma 5 6 6 2" xfId="6775"/>
    <cellStyle name="Comma 5 6 7" xfId="3038"/>
    <cellStyle name="Comma 5 6 7 2" xfId="8054"/>
    <cellStyle name="Comma 5 6 8" xfId="5615"/>
    <cellStyle name="Comma 5 6 9" xfId="9508"/>
    <cellStyle name="Comma 5 7" xfId="179"/>
    <cellStyle name="Comma 5 7 10" xfId="4416"/>
    <cellStyle name="Comma 5 7 2" xfId="393"/>
    <cellStyle name="Comma 5 7 2 2" xfId="1034"/>
    <cellStyle name="Comma 5 7 2 2 2" xfId="1986"/>
    <cellStyle name="Comma 5 7 2 2 2 2" xfId="7275"/>
    <cellStyle name="Comma 5 7 2 2 3" xfId="3316"/>
    <cellStyle name="Comma 5 7 2 2 3 2" xfId="8332"/>
    <cellStyle name="Comma 5 7 2 2 4" xfId="6391"/>
    <cellStyle name="Comma 5 7 2 2 5" xfId="9786"/>
    <cellStyle name="Comma 5 7 2 2 6" xfId="4868"/>
    <cellStyle name="Comma 5 7 2 3" xfId="899"/>
    <cellStyle name="Comma 5 7 2 3 2" xfId="2567"/>
    <cellStyle name="Comma 5 7 2 3 2 2" xfId="7849"/>
    <cellStyle name="Comma 5 7 2 3 3" xfId="3665"/>
    <cellStyle name="Comma 5 7 2 3 3 2" xfId="8680"/>
    <cellStyle name="Comma 5 7 2 3 4" xfId="6256"/>
    <cellStyle name="Comma 5 7 2 3 5" xfId="10134"/>
    <cellStyle name="Comma 5 7 2 3 6" xfId="5443"/>
    <cellStyle name="Comma 5 7 2 4" xfId="1851"/>
    <cellStyle name="Comma 5 7 2 4 2" xfId="4230"/>
    <cellStyle name="Comma 5 7 2 4 2 2" xfId="9245"/>
    <cellStyle name="Comma 5 7 2 4 3" xfId="10699"/>
    <cellStyle name="Comma 5 7 2 4 4" xfId="7140"/>
    <cellStyle name="Comma 5 7 2 5" xfId="3186"/>
    <cellStyle name="Comma 5 7 2 5 2" xfId="8202"/>
    <cellStyle name="Comma 5 7 2 6" xfId="5763"/>
    <cellStyle name="Comma 5 7 2 7" xfId="9656"/>
    <cellStyle name="Comma 5 7 2 8" xfId="4733"/>
    <cellStyle name="Comma 5 7 3" xfId="694"/>
    <cellStyle name="Comma 5 7 3 2" xfId="1646"/>
    <cellStyle name="Comma 5 7 3 2 2" xfId="6935"/>
    <cellStyle name="Comma 5 7 3 3" xfId="3315"/>
    <cellStyle name="Comma 5 7 3 3 2" xfId="8331"/>
    <cellStyle name="Comma 5 7 3 4" xfId="6051"/>
    <cellStyle name="Comma 5 7 3 5" xfId="9785"/>
    <cellStyle name="Comma 5 7 3 6" xfId="4528"/>
    <cellStyle name="Comma 5 7 4" xfId="1033"/>
    <cellStyle name="Comma 5 7 4 2" xfId="1985"/>
    <cellStyle name="Comma 5 7 4 2 2" xfId="7274"/>
    <cellStyle name="Comma 5 7 4 3" xfId="3664"/>
    <cellStyle name="Comma 5 7 4 3 2" xfId="8679"/>
    <cellStyle name="Comma 5 7 4 4" xfId="6390"/>
    <cellStyle name="Comma 5 7 4 5" xfId="10133"/>
    <cellStyle name="Comma 5 7 4 6" xfId="4867"/>
    <cellStyle name="Comma 5 7 5" xfId="579"/>
    <cellStyle name="Comma 5 7 5 2" xfId="2362"/>
    <cellStyle name="Comma 5 7 5 2 2" xfId="7644"/>
    <cellStyle name="Comma 5 7 5 3" xfId="4025"/>
    <cellStyle name="Comma 5 7 5 3 2" xfId="9040"/>
    <cellStyle name="Comma 5 7 5 4" xfId="5937"/>
    <cellStyle name="Comma 5 7 5 5" xfId="10494"/>
    <cellStyle name="Comma 5 7 5 6" xfId="5238"/>
    <cellStyle name="Comma 5 7 6" xfId="1534"/>
    <cellStyle name="Comma 5 7 6 2" xfId="6823"/>
    <cellStyle name="Comma 5 7 7" xfId="2981"/>
    <cellStyle name="Comma 5 7 7 2" xfId="7997"/>
    <cellStyle name="Comma 5 7 8" xfId="5558"/>
    <cellStyle name="Comma 5 7 9" xfId="9451"/>
    <cellStyle name="Comma 5 8" xfId="449"/>
    <cellStyle name="Comma 5 8 2" xfId="955"/>
    <cellStyle name="Comma 5 8 2 2" xfId="1907"/>
    <cellStyle name="Comma 5 8 2 2 2" xfId="7196"/>
    <cellStyle name="Comma 5 8 2 3" xfId="3317"/>
    <cellStyle name="Comma 5 8 2 3 2" xfId="8333"/>
    <cellStyle name="Comma 5 8 2 4" xfId="6312"/>
    <cellStyle name="Comma 5 8 2 5" xfId="9787"/>
    <cellStyle name="Comma 5 8 2 6" xfId="4789"/>
    <cellStyle name="Comma 5 8 3" xfId="1035"/>
    <cellStyle name="Comma 5 8 3 2" xfId="1987"/>
    <cellStyle name="Comma 5 8 3 2 2" xfId="7276"/>
    <cellStyle name="Comma 5 8 3 3" xfId="3666"/>
    <cellStyle name="Comma 5 8 3 3 2" xfId="8681"/>
    <cellStyle name="Comma 5 8 3 4" xfId="6392"/>
    <cellStyle name="Comma 5 8 3 5" xfId="10135"/>
    <cellStyle name="Comma 5 8 3 6" xfId="4869"/>
    <cellStyle name="Comma 5 8 4" xfId="635"/>
    <cellStyle name="Comma 5 8 4 2" xfId="2623"/>
    <cellStyle name="Comma 5 8 4 2 2" xfId="7905"/>
    <cellStyle name="Comma 5 8 4 3" xfId="4286"/>
    <cellStyle name="Comma 5 8 4 3 2" xfId="9301"/>
    <cellStyle name="Comma 5 8 4 4" xfId="5993"/>
    <cellStyle name="Comma 5 8 4 5" xfId="10755"/>
    <cellStyle name="Comma 5 8 4 6" xfId="5499"/>
    <cellStyle name="Comma 5 8 5" xfId="1590"/>
    <cellStyle name="Comma 5 8 5 2" xfId="6879"/>
    <cellStyle name="Comma 5 8 6" xfId="3242"/>
    <cellStyle name="Comma 5 8 6 2" xfId="8258"/>
    <cellStyle name="Comma 5 8 7" xfId="5819"/>
    <cellStyle name="Comma 5 8 8" xfId="9712"/>
    <cellStyle name="Comma 5 8 9" xfId="4472"/>
    <cellStyle name="Comma 5 9" xfId="285"/>
    <cellStyle name="Comma 5 9 2" xfId="1036"/>
    <cellStyle name="Comma 5 9 2 2" xfId="1988"/>
    <cellStyle name="Comma 5 9 2 2 2" xfId="7277"/>
    <cellStyle name="Comma 5 9 2 3" xfId="3318"/>
    <cellStyle name="Comma 5 9 2 3 2" xfId="8334"/>
    <cellStyle name="Comma 5 9 2 4" xfId="6393"/>
    <cellStyle name="Comma 5 9 2 5" xfId="9788"/>
    <cellStyle name="Comma 5 9 2 6" xfId="4870"/>
    <cellStyle name="Comma 5 9 3" xfId="794"/>
    <cellStyle name="Comma 5 9 3 2" xfId="2462"/>
    <cellStyle name="Comma 5 9 3 2 2" xfId="7744"/>
    <cellStyle name="Comma 5 9 3 3" xfId="3667"/>
    <cellStyle name="Comma 5 9 3 3 2" xfId="8682"/>
    <cellStyle name="Comma 5 9 3 4" xfId="6151"/>
    <cellStyle name="Comma 5 9 3 5" xfId="10136"/>
    <cellStyle name="Comma 5 9 3 6" xfId="5338"/>
    <cellStyle name="Comma 5 9 4" xfId="1746"/>
    <cellStyle name="Comma 5 9 4 2" xfId="4125"/>
    <cellStyle name="Comma 5 9 4 2 2" xfId="9140"/>
    <cellStyle name="Comma 5 9 4 3" xfId="10594"/>
    <cellStyle name="Comma 5 9 4 4" xfId="7035"/>
    <cellStyle name="Comma 5 9 5" xfId="3081"/>
    <cellStyle name="Comma 5 9 5 2" xfId="8097"/>
    <cellStyle name="Comma 5 9 6" xfId="5658"/>
    <cellStyle name="Comma 5 9 7" xfId="9551"/>
    <cellStyle name="Comma 5 9 8" xfId="4628"/>
    <cellStyle name="Comma 6" xfId="70"/>
    <cellStyle name="Comma 6 10" xfId="2913"/>
    <cellStyle name="Comma 6 10 2" xfId="9385"/>
    <cellStyle name="Comma 6 10 3" xfId="7929"/>
    <cellStyle name="Comma 6 11" xfId="5512"/>
    <cellStyle name="Comma 6 12" xfId="9355"/>
    <cellStyle name="Comma 6 13" xfId="4328"/>
    <cellStyle name="Comma 6 2" xfId="144"/>
    <cellStyle name="Comma 6 2 10" xfId="5535"/>
    <cellStyle name="Comma 6 2 11" xfId="9428"/>
    <cellStyle name="Comma 6 2 12" xfId="4347"/>
    <cellStyle name="Comma 6 2 2" xfId="218"/>
    <cellStyle name="Comma 6 2 2 10" xfId="4451"/>
    <cellStyle name="Comma 6 2 2 2" xfId="428"/>
    <cellStyle name="Comma 6 2 2 2 2" xfId="1040"/>
    <cellStyle name="Comma 6 2 2 2 2 2" xfId="1992"/>
    <cellStyle name="Comma 6 2 2 2 2 2 2" xfId="7281"/>
    <cellStyle name="Comma 6 2 2 2 2 3" xfId="3322"/>
    <cellStyle name="Comma 6 2 2 2 2 3 2" xfId="8338"/>
    <cellStyle name="Comma 6 2 2 2 2 4" xfId="6397"/>
    <cellStyle name="Comma 6 2 2 2 2 5" xfId="9792"/>
    <cellStyle name="Comma 6 2 2 2 2 6" xfId="4874"/>
    <cellStyle name="Comma 6 2 2 2 3" xfId="934"/>
    <cellStyle name="Comma 6 2 2 2 3 2" xfId="2602"/>
    <cellStyle name="Comma 6 2 2 2 3 2 2" xfId="7884"/>
    <cellStyle name="Comma 6 2 2 2 3 3" xfId="3671"/>
    <cellStyle name="Comma 6 2 2 2 3 3 2" xfId="8686"/>
    <cellStyle name="Comma 6 2 2 2 3 4" xfId="6291"/>
    <cellStyle name="Comma 6 2 2 2 3 5" xfId="10140"/>
    <cellStyle name="Comma 6 2 2 2 3 6" xfId="5478"/>
    <cellStyle name="Comma 6 2 2 2 4" xfId="1886"/>
    <cellStyle name="Comma 6 2 2 2 4 2" xfId="4265"/>
    <cellStyle name="Comma 6 2 2 2 4 2 2" xfId="9280"/>
    <cellStyle name="Comma 6 2 2 2 4 3" xfId="10734"/>
    <cellStyle name="Comma 6 2 2 2 4 4" xfId="7175"/>
    <cellStyle name="Comma 6 2 2 2 5" xfId="3221"/>
    <cellStyle name="Comma 6 2 2 2 5 2" xfId="8237"/>
    <cellStyle name="Comma 6 2 2 2 6" xfId="5798"/>
    <cellStyle name="Comma 6 2 2 2 7" xfId="9691"/>
    <cellStyle name="Comma 6 2 2 2 8" xfId="4768"/>
    <cellStyle name="Comma 6 2 2 3" xfId="730"/>
    <cellStyle name="Comma 6 2 2 3 2" xfId="1682"/>
    <cellStyle name="Comma 6 2 2 3 2 2" xfId="6971"/>
    <cellStyle name="Comma 6 2 2 3 3" xfId="3321"/>
    <cellStyle name="Comma 6 2 2 3 3 2" xfId="8337"/>
    <cellStyle name="Comma 6 2 2 3 4" xfId="6087"/>
    <cellStyle name="Comma 6 2 2 3 5" xfId="9791"/>
    <cellStyle name="Comma 6 2 2 3 6" xfId="4564"/>
    <cellStyle name="Comma 6 2 2 4" xfId="1039"/>
    <cellStyle name="Comma 6 2 2 4 2" xfId="1991"/>
    <cellStyle name="Comma 6 2 2 4 2 2" xfId="7280"/>
    <cellStyle name="Comma 6 2 2 4 3" xfId="3670"/>
    <cellStyle name="Comma 6 2 2 4 3 2" xfId="8685"/>
    <cellStyle name="Comma 6 2 2 4 4" xfId="6396"/>
    <cellStyle name="Comma 6 2 2 4 5" xfId="10139"/>
    <cellStyle name="Comma 6 2 2 4 6" xfId="4873"/>
    <cellStyle name="Comma 6 2 2 5" xfId="614"/>
    <cellStyle name="Comma 6 2 2 5 2" xfId="2398"/>
    <cellStyle name="Comma 6 2 2 5 2 2" xfId="7680"/>
    <cellStyle name="Comma 6 2 2 5 3" xfId="4061"/>
    <cellStyle name="Comma 6 2 2 5 3 2" xfId="9076"/>
    <cellStyle name="Comma 6 2 2 5 4" xfId="5972"/>
    <cellStyle name="Comma 6 2 2 5 5" xfId="10530"/>
    <cellStyle name="Comma 6 2 2 5 6" xfId="5274"/>
    <cellStyle name="Comma 6 2 2 6" xfId="1569"/>
    <cellStyle name="Comma 6 2 2 6 2" xfId="6858"/>
    <cellStyle name="Comma 6 2 2 7" xfId="3017"/>
    <cellStyle name="Comma 6 2 2 7 2" xfId="8033"/>
    <cellStyle name="Comma 6 2 2 8" xfId="5594"/>
    <cellStyle name="Comma 6 2 2 9" xfId="9487"/>
    <cellStyle name="Comma 6 2 3" xfId="385"/>
    <cellStyle name="Comma 6 2 3 2" xfId="892"/>
    <cellStyle name="Comma 6 2 3 2 2" xfId="1844"/>
    <cellStyle name="Comma 6 2 3 2 2 2" xfId="7133"/>
    <cellStyle name="Comma 6 2 3 2 3" xfId="3323"/>
    <cellStyle name="Comma 6 2 3 2 3 2" xfId="8339"/>
    <cellStyle name="Comma 6 2 3 2 4" xfId="6249"/>
    <cellStyle name="Comma 6 2 3 2 5" xfId="9793"/>
    <cellStyle name="Comma 6 2 3 2 6" xfId="4726"/>
    <cellStyle name="Comma 6 2 3 3" xfId="1041"/>
    <cellStyle name="Comma 6 2 3 3 2" xfId="1993"/>
    <cellStyle name="Comma 6 2 3 3 2 2" xfId="7282"/>
    <cellStyle name="Comma 6 2 3 3 3" xfId="3672"/>
    <cellStyle name="Comma 6 2 3 3 3 2" xfId="8687"/>
    <cellStyle name="Comma 6 2 3 3 4" xfId="6398"/>
    <cellStyle name="Comma 6 2 3 3 5" xfId="10141"/>
    <cellStyle name="Comma 6 2 3 3 6" xfId="4875"/>
    <cellStyle name="Comma 6 2 3 4" xfId="572"/>
    <cellStyle name="Comma 6 2 3 4 2" xfId="2560"/>
    <cellStyle name="Comma 6 2 3 4 2 2" xfId="7842"/>
    <cellStyle name="Comma 6 2 3 4 3" xfId="4223"/>
    <cellStyle name="Comma 6 2 3 4 3 2" xfId="9238"/>
    <cellStyle name="Comma 6 2 3 4 4" xfId="5930"/>
    <cellStyle name="Comma 6 2 3 4 5" xfId="10692"/>
    <cellStyle name="Comma 6 2 3 4 6" xfId="5436"/>
    <cellStyle name="Comma 6 2 3 5" xfId="1527"/>
    <cellStyle name="Comma 6 2 3 5 2" xfId="6816"/>
    <cellStyle name="Comma 6 2 3 6" xfId="3179"/>
    <cellStyle name="Comma 6 2 3 6 2" xfId="8195"/>
    <cellStyle name="Comma 6 2 3 7" xfId="5756"/>
    <cellStyle name="Comma 6 2 3 8" xfId="9649"/>
    <cellStyle name="Comma 6 2 3 9" xfId="4409"/>
    <cellStyle name="Comma 6 2 4" xfId="321"/>
    <cellStyle name="Comma 6 2 4 2" xfId="1042"/>
    <cellStyle name="Comma 6 2 4 2 2" xfId="1994"/>
    <cellStyle name="Comma 6 2 4 2 2 2" xfId="7283"/>
    <cellStyle name="Comma 6 2 4 2 3" xfId="3324"/>
    <cellStyle name="Comma 6 2 4 2 3 2" xfId="8340"/>
    <cellStyle name="Comma 6 2 4 2 4" xfId="6399"/>
    <cellStyle name="Comma 6 2 4 2 5" xfId="9794"/>
    <cellStyle name="Comma 6 2 4 2 6" xfId="4876"/>
    <cellStyle name="Comma 6 2 4 3" xfId="830"/>
    <cellStyle name="Comma 6 2 4 3 2" xfId="2498"/>
    <cellStyle name="Comma 6 2 4 3 2 2" xfId="7780"/>
    <cellStyle name="Comma 6 2 4 3 3" xfId="3673"/>
    <cellStyle name="Comma 6 2 4 3 3 2" xfId="8688"/>
    <cellStyle name="Comma 6 2 4 3 4" xfId="6187"/>
    <cellStyle name="Comma 6 2 4 3 5" xfId="10142"/>
    <cellStyle name="Comma 6 2 4 3 6" xfId="5374"/>
    <cellStyle name="Comma 6 2 4 4" xfId="1782"/>
    <cellStyle name="Comma 6 2 4 4 2" xfId="4161"/>
    <cellStyle name="Comma 6 2 4 4 2 2" xfId="9176"/>
    <cellStyle name="Comma 6 2 4 4 3" xfId="10630"/>
    <cellStyle name="Comma 6 2 4 4 4" xfId="7071"/>
    <cellStyle name="Comma 6 2 4 5" xfId="3117"/>
    <cellStyle name="Comma 6 2 4 5 2" xfId="8133"/>
    <cellStyle name="Comma 6 2 4 6" xfId="5694"/>
    <cellStyle name="Comma 6 2 4 7" xfId="9587"/>
    <cellStyle name="Comma 6 2 4 8" xfId="4664"/>
    <cellStyle name="Comma 6 2 5" xfId="671"/>
    <cellStyle name="Comma 6 2 5 2" xfId="1623"/>
    <cellStyle name="Comma 6 2 5 2 2" xfId="6912"/>
    <cellStyle name="Comma 6 2 5 3" xfId="3320"/>
    <cellStyle name="Comma 6 2 5 3 2" xfId="8336"/>
    <cellStyle name="Comma 6 2 5 4" xfId="6028"/>
    <cellStyle name="Comma 6 2 5 5" xfId="9790"/>
    <cellStyle name="Comma 6 2 5 6" xfId="4505"/>
    <cellStyle name="Comma 6 2 6" xfId="1038"/>
    <cellStyle name="Comma 6 2 6 2" xfId="1990"/>
    <cellStyle name="Comma 6 2 6 2 2" xfId="7279"/>
    <cellStyle name="Comma 6 2 6 3" xfId="3669"/>
    <cellStyle name="Comma 6 2 6 3 2" xfId="8684"/>
    <cellStyle name="Comma 6 2 6 4" xfId="6395"/>
    <cellStyle name="Comma 6 2 6 5" xfId="10138"/>
    <cellStyle name="Comma 6 2 6 6" xfId="4872"/>
    <cellStyle name="Comma 6 2 7" xfId="506"/>
    <cellStyle name="Comma 6 2 7 2" xfId="2339"/>
    <cellStyle name="Comma 6 2 7 2 2" xfId="7621"/>
    <cellStyle name="Comma 6 2 7 3" xfId="4002"/>
    <cellStyle name="Comma 6 2 7 3 2" xfId="9017"/>
    <cellStyle name="Comma 6 2 7 4" xfId="5867"/>
    <cellStyle name="Comma 6 2 7 5" xfId="10471"/>
    <cellStyle name="Comma 6 2 7 6" xfId="5215"/>
    <cellStyle name="Comma 6 2 8" xfId="1465"/>
    <cellStyle name="Comma 6 2 8 2" xfId="6754"/>
    <cellStyle name="Comma 6 2 9" xfId="2956"/>
    <cellStyle name="Comma 6 2 9 2" xfId="7972"/>
    <cellStyle name="Comma 6 3" xfId="263"/>
    <cellStyle name="Comma 6 3 10" xfId="4390"/>
    <cellStyle name="Comma 6 3 2" xfId="365"/>
    <cellStyle name="Comma 6 3 2 2" xfId="1044"/>
    <cellStyle name="Comma 6 3 2 2 2" xfId="1996"/>
    <cellStyle name="Comma 6 3 2 2 2 2" xfId="7285"/>
    <cellStyle name="Comma 6 3 2 2 3" xfId="3326"/>
    <cellStyle name="Comma 6 3 2 2 3 2" xfId="8342"/>
    <cellStyle name="Comma 6 3 2 2 4" xfId="6401"/>
    <cellStyle name="Comma 6 3 2 2 5" xfId="9796"/>
    <cellStyle name="Comma 6 3 2 2 6" xfId="4878"/>
    <cellStyle name="Comma 6 3 2 3" xfId="873"/>
    <cellStyle name="Comma 6 3 2 3 2" xfId="2541"/>
    <cellStyle name="Comma 6 3 2 3 2 2" xfId="7823"/>
    <cellStyle name="Comma 6 3 2 3 3" xfId="3675"/>
    <cellStyle name="Comma 6 3 2 3 3 2" xfId="8690"/>
    <cellStyle name="Comma 6 3 2 3 4" xfId="6230"/>
    <cellStyle name="Comma 6 3 2 3 5" xfId="10144"/>
    <cellStyle name="Comma 6 3 2 3 6" xfId="5417"/>
    <cellStyle name="Comma 6 3 2 4" xfId="1825"/>
    <cellStyle name="Comma 6 3 2 4 2" xfId="4204"/>
    <cellStyle name="Comma 6 3 2 4 2 2" xfId="9219"/>
    <cellStyle name="Comma 6 3 2 4 3" xfId="10673"/>
    <cellStyle name="Comma 6 3 2 4 4" xfId="7114"/>
    <cellStyle name="Comma 6 3 2 5" xfId="3160"/>
    <cellStyle name="Comma 6 3 2 5 2" xfId="8176"/>
    <cellStyle name="Comma 6 3 2 6" xfId="5737"/>
    <cellStyle name="Comma 6 3 2 7" xfId="9630"/>
    <cellStyle name="Comma 6 3 2 8" xfId="4707"/>
    <cellStyle name="Comma 6 3 3" xfId="773"/>
    <cellStyle name="Comma 6 3 3 2" xfId="1725"/>
    <cellStyle name="Comma 6 3 3 2 2" xfId="7014"/>
    <cellStyle name="Comma 6 3 3 3" xfId="3325"/>
    <cellStyle name="Comma 6 3 3 3 2" xfId="8341"/>
    <cellStyle name="Comma 6 3 3 4" xfId="6130"/>
    <cellStyle name="Comma 6 3 3 5" xfId="9795"/>
    <cellStyle name="Comma 6 3 3 6" xfId="4607"/>
    <cellStyle name="Comma 6 3 4" xfId="1043"/>
    <cellStyle name="Comma 6 3 4 2" xfId="1995"/>
    <cellStyle name="Comma 6 3 4 2 2" xfId="7284"/>
    <cellStyle name="Comma 6 3 4 3" xfId="3674"/>
    <cellStyle name="Comma 6 3 4 3 2" xfId="8689"/>
    <cellStyle name="Comma 6 3 4 4" xfId="6400"/>
    <cellStyle name="Comma 6 3 4 5" xfId="10143"/>
    <cellStyle name="Comma 6 3 4 6" xfId="4877"/>
    <cellStyle name="Comma 6 3 5" xfId="552"/>
    <cellStyle name="Comma 6 3 5 2" xfId="2441"/>
    <cellStyle name="Comma 6 3 5 2 2" xfId="7723"/>
    <cellStyle name="Comma 6 3 5 3" xfId="4104"/>
    <cellStyle name="Comma 6 3 5 3 2" xfId="9119"/>
    <cellStyle name="Comma 6 3 5 4" xfId="5911"/>
    <cellStyle name="Comma 6 3 5 5" xfId="10573"/>
    <cellStyle name="Comma 6 3 5 6" xfId="5317"/>
    <cellStyle name="Comma 6 3 6" xfId="1508"/>
    <cellStyle name="Comma 6 3 6 2" xfId="6797"/>
    <cellStyle name="Comma 6 3 7" xfId="3060"/>
    <cellStyle name="Comma 6 3 7 2" xfId="8076"/>
    <cellStyle name="Comma 6 3 8" xfId="5637"/>
    <cellStyle name="Comma 6 3 9" xfId="9530"/>
    <cellStyle name="Comma 6 4" xfId="196"/>
    <cellStyle name="Comma 6 4 10" xfId="4433"/>
    <cellStyle name="Comma 6 4 2" xfId="410"/>
    <cellStyle name="Comma 6 4 2 2" xfId="1046"/>
    <cellStyle name="Comma 6 4 2 2 2" xfId="1998"/>
    <cellStyle name="Comma 6 4 2 2 2 2" xfId="7287"/>
    <cellStyle name="Comma 6 4 2 2 3" xfId="3328"/>
    <cellStyle name="Comma 6 4 2 2 3 2" xfId="8344"/>
    <cellStyle name="Comma 6 4 2 2 4" xfId="6403"/>
    <cellStyle name="Comma 6 4 2 2 5" xfId="9798"/>
    <cellStyle name="Comma 6 4 2 2 6" xfId="4880"/>
    <cellStyle name="Comma 6 4 2 3" xfId="916"/>
    <cellStyle name="Comma 6 4 2 3 2" xfId="2584"/>
    <cellStyle name="Comma 6 4 2 3 2 2" xfId="7866"/>
    <cellStyle name="Comma 6 4 2 3 3" xfId="3677"/>
    <cellStyle name="Comma 6 4 2 3 3 2" xfId="8692"/>
    <cellStyle name="Comma 6 4 2 3 4" xfId="6273"/>
    <cellStyle name="Comma 6 4 2 3 5" xfId="10146"/>
    <cellStyle name="Comma 6 4 2 3 6" xfId="5460"/>
    <cellStyle name="Comma 6 4 2 4" xfId="1868"/>
    <cellStyle name="Comma 6 4 2 4 2" xfId="4247"/>
    <cellStyle name="Comma 6 4 2 4 2 2" xfId="9262"/>
    <cellStyle name="Comma 6 4 2 4 3" xfId="10716"/>
    <cellStyle name="Comma 6 4 2 4 4" xfId="7157"/>
    <cellStyle name="Comma 6 4 2 5" xfId="3203"/>
    <cellStyle name="Comma 6 4 2 5 2" xfId="8219"/>
    <cellStyle name="Comma 6 4 2 6" xfId="5780"/>
    <cellStyle name="Comma 6 4 2 7" xfId="9673"/>
    <cellStyle name="Comma 6 4 2 8" xfId="4750"/>
    <cellStyle name="Comma 6 4 3" xfId="711"/>
    <cellStyle name="Comma 6 4 3 2" xfId="1663"/>
    <cellStyle name="Comma 6 4 3 2 2" xfId="6952"/>
    <cellStyle name="Comma 6 4 3 3" xfId="3327"/>
    <cellStyle name="Comma 6 4 3 3 2" xfId="8343"/>
    <cellStyle name="Comma 6 4 3 4" xfId="6068"/>
    <cellStyle name="Comma 6 4 3 5" xfId="9797"/>
    <cellStyle name="Comma 6 4 3 6" xfId="4545"/>
    <cellStyle name="Comma 6 4 4" xfId="1045"/>
    <cellStyle name="Comma 6 4 4 2" xfId="1997"/>
    <cellStyle name="Comma 6 4 4 2 2" xfId="7286"/>
    <cellStyle name="Comma 6 4 4 3" xfId="3676"/>
    <cellStyle name="Comma 6 4 4 3 2" xfId="8691"/>
    <cellStyle name="Comma 6 4 4 4" xfId="6402"/>
    <cellStyle name="Comma 6 4 4 5" xfId="10145"/>
    <cellStyle name="Comma 6 4 4 6" xfId="4879"/>
    <cellStyle name="Comma 6 4 5" xfId="596"/>
    <cellStyle name="Comma 6 4 5 2" xfId="2379"/>
    <cellStyle name="Comma 6 4 5 2 2" xfId="7661"/>
    <cellStyle name="Comma 6 4 5 3" xfId="4042"/>
    <cellStyle name="Comma 6 4 5 3 2" xfId="9057"/>
    <cellStyle name="Comma 6 4 5 4" xfId="5954"/>
    <cellStyle name="Comma 6 4 5 5" xfId="10511"/>
    <cellStyle name="Comma 6 4 5 6" xfId="5255"/>
    <cellStyle name="Comma 6 4 6" xfId="1551"/>
    <cellStyle name="Comma 6 4 6 2" xfId="6840"/>
    <cellStyle name="Comma 6 4 7" xfId="2998"/>
    <cellStyle name="Comma 6 4 7 2" xfId="8014"/>
    <cellStyle name="Comma 6 4 8" xfId="5575"/>
    <cellStyle name="Comma 6 4 9" xfId="9468"/>
    <cellStyle name="Comma 6 5" xfId="302"/>
    <cellStyle name="Comma 6 5 2" xfId="1047"/>
    <cellStyle name="Comma 6 5 2 2" xfId="1999"/>
    <cellStyle name="Comma 6 5 2 2 2" xfId="7288"/>
    <cellStyle name="Comma 6 5 2 3" xfId="3329"/>
    <cellStyle name="Comma 6 5 2 3 2" xfId="8345"/>
    <cellStyle name="Comma 6 5 2 4" xfId="6404"/>
    <cellStyle name="Comma 6 5 2 5" xfId="9799"/>
    <cellStyle name="Comma 6 5 2 6" xfId="4881"/>
    <cellStyle name="Comma 6 5 3" xfId="811"/>
    <cellStyle name="Comma 6 5 3 2" xfId="2479"/>
    <cellStyle name="Comma 6 5 3 2 2" xfId="7761"/>
    <cellStyle name="Comma 6 5 3 3" xfId="3678"/>
    <cellStyle name="Comma 6 5 3 3 2" xfId="8693"/>
    <cellStyle name="Comma 6 5 3 4" xfId="6168"/>
    <cellStyle name="Comma 6 5 3 5" xfId="10147"/>
    <cellStyle name="Comma 6 5 3 6" xfId="5355"/>
    <cellStyle name="Comma 6 5 4" xfId="1763"/>
    <cellStyle name="Comma 6 5 4 2" xfId="4142"/>
    <cellStyle name="Comma 6 5 4 2 2" xfId="9157"/>
    <cellStyle name="Comma 6 5 4 3" xfId="10611"/>
    <cellStyle name="Comma 6 5 4 4" xfId="7052"/>
    <cellStyle name="Comma 6 5 5" xfId="3098"/>
    <cellStyle name="Comma 6 5 5 2" xfId="8114"/>
    <cellStyle name="Comma 6 5 6" xfId="5675"/>
    <cellStyle name="Comma 6 5 7" xfId="9568"/>
    <cellStyle name="Comma 6 5 8" xfId="4645"/>
    <cellStyle name="Comma 6 6" xfId="648"/>
    <cellStyle name="Comma 6 6 2" xfId="1048"/>
    <cellStyle name="Comma 6 6 2 2" xfId="2000"/>
    <cellStyle name="Comma 6 6 2 2 2" xfId="7289"/>
    <cellStyle name="Comma 6 6 2 3" xfId="3330"/>
    <cellStyle name="Comma 6 6 2 3 2" xfId="8346"/>
    <cellStyle name="Comma 6 6 2 4" xfId="6405"/>
    <cellStyle name="Comma 6 6 2 5" xfId="9800"/>
    <cellStyle name="Comma 6 6 2 6" xfId="4882"/>
    <cellStyle name="Comma 6 6 3" xfId="1407"/>
    <cellStyle name="Comma 6 6 3 2" xfId="2316"/>
    <cellStyle name="Comma 6 6 3 2 2" xfId="7598"/>
    <cellStyle name="Comma 6 6 3 3" xfId="3679"/>
    <cellStyle name="Comma 6 6 3 3 2" xfId="8694"/>
    <cellStyle name="Comma 6 6 3 4" xfId="6703"/>
    <cellStyle name="Comma 6 6 3 5" xfId="10148"/>
    <cellStyle name="Comma 6 6 3 6" xfId="5192"/>
    <cellStyle name="Comma 6 6 4" xfId="1600"/>
    <cellStyle name="Comma 6 6 4 2" xfId="3979"/>
    <cellStyle name="Comma 6 6 4 2 2" xfId="8994"/>
    <cellStyle name="Comma 6 6 4 3" xfId="10448"/>
    <cellStyle name="Comma 6 6 4 4" xfId="6889"/>
    <cellStyle name="Comma 6 6 5" xfId="2933"/>
    <cellStyle name="Comma 6 6 5 2" xfId="7949"/>
    <cellStyle name="Comma 6 6 6" xfId="6005"/>
    <cellStyle name="Comma 6 6 7" xfId="9405"/>
    <cellStyle name="Comma 6 6 8" xfId="4482"/>
    <cellStyle name="Comma 6 7" xfId="1037"/>
    <cellStyle name="Comma 6 7 2" xfId="1989"/>
    <cellStyle name="Comma 6 7 2 2" xfId="7278"/>
    <cellStyle name="Comma 6 7 3" xfId="3319"/>
    <cellStyle name="Comma 6 7 3 2" xfId="8335"/>
    <cellStyle name="Comma 6 7 4" xfId="6394"/>
    <cellStyle name="Comma 6 7 5" xfId="9789"/>
    <cellStyle name="Comma 6 7 6" xfId="4871"/>
    <cellStyle name="Comma 6 8" xfId="484"/>
    <cellStyle name="Comma 6 8 2" xfId="2296"/>
    <cellStyle name="Comma 6 8 2 2" xfId="7578"/>
    <cellStyle name="Comma 6 8 3" xfId="3668"/>
    <cellStyle name="Comma 6 8 3 2" xfId="8683"/>
    <cellStyle name="Comma 6 8 4" xfId="5848"/>
    <cellStyle name="Comma 6 8 5" xfId="10137"/>
    <cellStyle name="Comma 6 8 6" xfId="5172"/>
    <cellStyle name="Comma 6 9" xfId="1443"/>
    <cellStyle name="Comma 6 9 2" xfId="3959"/>
    <cellStyle name="Comma 6 9 2 2" xfId="8974"/>
    <cellStyle name="Comma 6 9 3" xfId="10428"/>
    <cellStyle name="Comma 6 9 4" xfId="6734"/>
    <cellStyle name="Comma 7" xfId="76"/>
    <cellStyle name="Explanatory Text 2" xfId="1364"/>
    <cellStyle name="Good 2" xfId="1365"/>
    <cellStyle name="Heading 1 2" xfId="1366"/>
    <cellStyle name="Heading 2 2" xfId="1367"/>
    <cellStyle name="Heading 3 2" xfId="1368"/>
    <cellStyle name="Heading 4 2" xfId="1369"/>
    <cellStyle name="Input 2" xfId="1370"/>
    <cellStyle name="Input 3" xfId="1384"/>
    <cellStyle name="Linked Cell 2" xfId="1371"/>
    <cellStyle name="Neutral 2" xfId="1372"/>
    <cellStyle name="Normal" xfId="0" builtinId="0"/>
    <cellStyle name="Normal 10" xfId="91"/>
    <cellStyle name="Normal 10 10" xfId="9333"/>
    <cellStyle name="Normal 10 2" xfId="127"/>
    <cellStyle name="Normal 10 2 10" xfId="2924"/>
    <cellStyle name="Normal 10 2 10 2" xfId="9396"/>
    <cellStyle name="Normal 10 2 10 3" xfId="7940"/>
    <cellStyle name="Normal 10 2 11" xfId="5523"/>
    <cellStyle name="Normal 10 2 12" xfId="9337"/>
    <cellStyle name="Normal 10 2 13" xfId="4321"/>
    <cellStyle name="Normal 10 2 2" xfId="165"/>
    <cellStyle name="Normal 10 2 2 10" xfId="5548"/>
    <cellStyle name="Normal 10 2 2 11" xfId="9366"/>
    <cellStyle name="Normal 10 2 2 12" xfId="4358"/>
    <cellStyle name="Normal 10 2 2 2" xfId="275"/>
    <cellStyle name="Normal 10 2 2 2 10" xfId="4401"/>
    <cellStyle name="Normal 10 2 2 2 2" xfId="377"/>
    <cellStyle name="Normal 10 2 2 2 2 2" xfId="1053"/>
    <cellStyle name="Normal 10 2 2 2 2 2 2" xfId="2005"/>
    <cellStyle name="Normal 10 2 2 2 2 2 2 2" xfId="7294"/>
    <cellStyle name="Normal 10 2 2 2 2 2 3" xfId="3335"/>
    <cellStyle name="Normal 10 2 2 2 2 2 3 2" xfId="8351"/>
    <cellStyle name="Normal 10 2 2 2 2 2 4" xfId="6410"/>
    <cellStyle name="Normal 10 2 2 2 2 2 5" xfId="9805"/>
    <cellStyle name="Normal 10 2 2 2 2 2 6" xfId="4887"/>
    <cellStyle name="Normal 10 2 2 2 2 3" xfId="884"/>
    <cellStyle name="Normal 10 2 2 2 2 3 2" xfId="2552"/>
    <cellStyle name="Normal 10 2 2 2 2 3 2 2" xfId="7834"/>
    <cellStyle name="Normal 10 2 2 2 2 3 3" xfId="3684"/>
    <cellStyle name="Normal 10 2 2 2 2 3 3 2" xfId="8699"/>
    <cellStyle name="Normal 10 2 2 2 2 3 4" xfId="6241"/>
    <cellStyle name="Normal 10 2 2 2 2 3 5" xfId="10153"/>
    <cellStyle name="Normal 10 2 2 2 2 3 6" xfId="5428"/>
    <cellStyle name="Normal 10 2 2 2 2 4" xfId="1836"/>
    <cellStyle name="Normal 10 2 2 2 2 4 2" xfId="4215"/>
    <cellStyle name="Normal 10 2 2 2 2 4 2 2" xfId="9230"/>
    <cellStyle name="Normal 10 2 2 2 2 4 3" xfId="10684"/>
    <cellStyle name="Normal 10 2 2 2 2 4 4" xfId="7125"/>
    <cellStyle name="Normal 10 2 2 2 2 5" xfId="3171"/>
    <cellStyle name="Normal 10 2 2 2 2 5 2" xfId="8187"/>
    <cellStyle name="Normal 10 2 2 2 2 6" xfId="5748"/>
    <cellStyle name="Normal 10 2 2 2 2 7" xfId="9641"/>
    <cellStyle name="Normal 10 2 2 2 2 8" xfId="4718"/>
    <cellStyle name="Normal 10 2 2 2 2_Degree data" xfId="2717"/>
    <cellStyle name="Normal 10 2 2 2 3" xfId="784"/>
    <cellStyle name="Normal 10 2 2 2 3 2" xfId="1736"/>
    <cellStyle name="Normal 10 2 2 2 3 2 2" xfId="7025"/>
    <cellStyle name="Normal 10 2 2 2 3 3" xfId="3334"/>
    <cellStyle name="Normal 10 2 2 2 3 3 2" xfId="8350"/>
    <cellStyle name="Normal 10 2 2 2 3 4" xfId="6141"/>
    <cellStyle name="Normal 10 2 2 2 3 5" xfId="9804"/>
    <cellStyle name="Normal 10 2 2 2 3 6" xfId="4618"/>
    <cellStyle name="Normal 10 2 2 2 4" xfId="1052"/>
    <cellStyle name="Normal 10 2 2 2 4 2" xfId="2004"/>
    <cellStyle name="Normal 10 2 2 2 4 2 2" xfId="7293"/>
    <cellStyle name="Normal 10 2 2 2 4 3" xfId="3683"/>
    <cellStyle name="Normal 10 2 2 2 4 3 2" xfId="8698"/>
    <cellStyle name="Normal 10 2 2 2 4 4" xfId="6409"/>
    <cellStyle name="Normal 10 2 2 2 4 5" xfId="10152"/>
    <cellStyle name="Normal 10 2 2 2 4 6" xfId="4886"/>
    <cellStyle name="Normal 10 2 2 2 5" xfId="564"/>
    <cellStyle name="Normal 10 2 2 2 5 2" xfId="2452"/>
    <cellStyle name="Normal 10 2 2 2 5 2 2" xfId="7734"/>
    <cellStyle name="Normal 10 2 2 2 5 3" xfId="4115"/>
    <cellStyle name="Normal 10 2 2 2 5 3 2" xfId="9130"/>
    <cellStyle name="Normal 10 2 2 2 5 4" xfId="5922"/>
    <cellStyle name="Normal 10 2 2 2 5 5" xfId="10584"/>
    <cellStyle name="Normal 10 2 2 2 5 6" xfId="5328"/>
    <cellStyle name="Normal 10 2 2 2 6" xfId="1519"/>
    <cellStyle name="Normal 10 2 2 2 6 2" xfId="6808"/>
    <cellStyle name="Normal 10 2 2 2 7" xfId="3071"/>
    <cellStyle name="Normal 10 2 2 2 7 2" xfId="8087"/>
    <cellStyle name="Normal 10 2 2 2 8" xfId="5648"/>
    <cellStyle name="Normal 10 2 2 2 9" xfId="9541"/>
    <cellStyle name="Normal 10 2 2 2_Degree data" xfId="2713"/>
    <cellStyle name="Normal 10 2 2 3" xfId="230"/>
    <cellStyle name="Normal 10 2 2 3 10" xfId="4462"/>
    <cellStyle name="Normal 10 2 2 3 2" xfId="439"/>
    <cellStyle name="Normal 10 2 2 3 2 2" xfId="1055"/>
    <cellStyle name="Normal 10 2 2 3 2 2 2" xfId="2007"/>
    <cellStyle name="Normal 10 2 2 3 2 2 2 2" xfId="7296"/>
    <cellStyle name="Normal 10 2 2 3 2 2 3" xfId="3337"/>
    <cellStyle name="Normal 10 2 2 3 2 2 3 2" xfId="8353"/>
    <cellStyle name="Normal 10 2 2 3 2 2 4" xfId="6412"/>
    <cellStyle name="Normal 10 2 2 3 2 2 5" xfId="9807"/>
    <cellStyle name="Normal 10 2 2 3 2 2 6" xfId="4889"/>
    <cellStyle name="Normal 10 2 2 3 2 3" xfId="945"/>
    <cellStyle name="Normal 10 2 2 3 2 3 2" xfId="2613"/>
    <cellStyle name="Normal 10 2 2 3 2 3 2 2" xfId="7895"/>
    <cellStyle name="Normal 10 2 2 3 2 3 3" xfId="3686"/>
    <cellStyle name="Normal 10 2 2 3 2 3 3 2" xfId="8701"/>
    <cellStyle name="Normal 10 2 2 3 2 3 4" xfId="6302"/>
    <cellStyle name="Normal 10 2 2 3 2 3 5" xfId="10155"/>
    <cellStyle name="Normal 10 2 2 3 2 3 6" xfId="5489"/>
    <cellStyle name="Normal 10 2 2 3 2 4" xfId="1897"/>
    <cellStyle name="Normal 10 2 2 3 2 4 2" xfId="4276"/>
    <cellStyle name="Normal 10 2 2 3 2 4 2 2" xfId="9291"/>
    <cellStyle name="Normal 10 2 2 3 2 4 3" xfId="10745"/>
    <cellStyle name="Normal 10 2 2 3 2 4 4" xfId="7186"/>
    <cellStyle name="Normal 10 2 2 3 2 5" xfId="3232"/>
    <cellStyle name="Normal 10 2 2 3 2 5 2" xfId="8248"/>
    <cellStyle name="Normal 10 2 2 3 2 6" xfId="5809"/>
    <cellStyle name="Normal 10 2 2 3 2 7" xfId="9702"/>
    <cellStyle name="Normal 10 2 2 3 2 8" xfId="4779"/>
    <cellStyle name="Normal 10 2 2 3 2_Degree data" xfId="1423"/>
    <cellStyle name="Normal 10 2 2 3 3" xfId="741"/>
    <cellStyle name="Normal 10 2 2 3 3 2" xfId="1693"/>
    <cellStyle name="Normal 10 2 2 3 3 2 2" xfId="6982"/>
    <cellStyle name="Normal 10 2 2 3 3 3" xfId="3336"/>
    <cellStyle name="Normal 10 2 2 3 3 3 2" xfId="8352"/>
    <cellStyle name="Normal 10 2 2 3 3 4" xfId="6098"/>
    <cellStyle name="Normal 10 2 2 3 3 5" xfId="9806"/>
    <cellStyle name="Normal 10 2 2 3 3 6" xfId="4575"/>
    <cellStyle name="Normal 10 2 2 3 4" xfId="1054"/>
    <cellStyle name="Normal 10 2 2 3 4 2" xfId="2006"/>
    <cellStyle name="Normal 10 2 2 3 4 2 2" xfId="7295"/>
    <cellStyle name="Normal 10 2 2 3 4 3" xfId="3685"/>
    <cellStyle name="Normal 10 2 2 3 4 3 2" xfId="8700"/>
    <cellStyle name="Normal 10 2 2 3 4 4" xfId="6411"/>
    <cellStyle name="Normal 10 2 2 3 4 5" xfId="10154"/>
    <cellStyle name="Normal 10 2 2 3 4 6" xfId="4888"/>
    <cellStyle name="Normal 10 2 2 3 5" xfId="625"/>
    <cellStyle name="Normal 10 2 2 3 5 2" xfId="2409"/>
    <cellStyle name="Normal 10 2 2 3 5 2 2" xfId="7691"/>
    <cellStyle name="Normal 10 2 2 3 5 3" xfId="4072"/>
    <cellStyle name="Normal 10 2 2 3 5 3 2" xfId="9087"/>
    <cellStyle name="Normal 10 2 2 3 5 4" xfId="5983"/>
    <cellStyle name="Normal 10 2 2 3 5 5" xfId="10541"/>
    <cellStyle name="Normal 10 2 2 3 5 6" xfId="5285"/>
    <cellStyle name="Normal 10 2 2 3 6" xfId="1580"/>
    <cellStyle name="Normal 10 2 2 3 6 2" xfId="6869"/>
    <cellStyle name="Normal 10 2 2 3 7" xfId="3028"/>
    <cellStyle name="Normal 10 2 2 3 7 2" xfId="8044"/>
    <cellStyle name="Normal 10 2 2 3 8" xfId="5605"/>
    <cellStyle name="Normal 10 2 2 3 9" xfId="9498"/>
    <cellStyle name="Normal 10 2 2 3_Degree data" xfId="2667"/>
    <cellStyle name="Normal 10 2 2 4" xfId="332"/>
    <cellStyle name="Normal 10 2 2 4 2" xfId="1056"/>
    <cellStyle name="Normal 10 2 2 4 2 2" xfId="2008"/>
    <cellStyle name="Normal 10 2 2 4 2 2 2" xfId="7297"/>
    <cellStyle name="Normal 10 2 2 4 2 3" xfId="3338"/>
    <cellStyle name="Normal 10 2 2 4 2 3 2" xfId="8354"/>
    <cellStyle name="Normal 10 2 2 4 2 4" xfId="6413"/>
    <cellStyle name="Normal 10 2 2 4 2 5" xfId="9808"/>
    <cellStyle name="Normal 10 2 2 4 2 6" xfId="4890"/>
    <cellStyle name="Normal 10 2 2 4 3" xfId="841"/>
    <cellStyle name="Normal 10 2 2 4 3 2" xfId="2509"/>
    <cellStyle name="Normal 10 2 2 4 3 2 2" xfId="7791"/>
    <cellStyle name="Normal 10 2 2 4 3 3" xfId="3687"/>
    <cellStyle name="Normal 10 2 2 4 3 3 2" xfId="8702"/>
    <cellStyle name="Normal 10 2 2 4 3 4" xfId="6198"/>
    <cellStyle name="Normal 10 2 2 4 3 5" xfId="10156"/>
    <cellStyle name="Normal 10 2 2 4 3 6" xfId="5385"/>
    <cellStyle name="Normal 10 2 2 4 4" xfId="1793"/>
    <cellStyle name="Normal 10 2 2 4 4 2" xfId="4172"/>
    <cellStyle name="Normal 10 2 2 4 4 2 2" xfId="9187"/>
    <cellStyle name="Normal 10 2 2 4 4 3" xfId="10641"/>
    <cellStyle name="Normal 10 2 2 4 4 4" xfId="7082"/>
    <cellStyle name="Normal 10 2 2 4 5" xfId="3128"/>
    <cellStyle name="Normal 10 2 2 4 5 2" xfId="8144"/>
    <cellStyle name="Normal 10 2 2 4 6" xfId="5705"/>
    <cellStyle name="Normal 10 2 2 4 7" xfId="9598"/>
    <cellStyle name="Normal 10 2 2 4 8" xfId="4675"/>
    <cellStyle name="Normal 10 2 2 4_Degree data" xfId="2666"/>
    <cellStyle name="Normal 10 2 2 5" xfId="684"/>
    <cellStyle name="Normal 10 2 2 5 2" xfId="1636"/>
    <cellStyle name="Normal 10 2 2 5 2 2" xfId="6925"/>
    <cellStyle name="Normal 10 2 2 5 3" xfId="3333"/>
    <cellStyle name="Normal 10 2 2 5 3 2" xfId="8349"/>
    <cellStyle name="Normal 10 2 2 5 4" xfId="6041"/>
    <cellStyle name="Normal 10 2 2 5 5" xfId="9803"/>
    <cellStyle name="Normal 10 2 2 5 6" xfId="4518"/>
    <cellStyle name="Normal 10 2 2 6" xfId="1051"/>
    <cellStyle name="Normal 10 2 2 6 2" xfId="2003"/>
    <cellStyle name="Normal 10 2 2 6 2 2" xfId="7292"/>
    <cellStyle name="Normal 10 2 2 6 3" xfId="3682"/>
    <cellStyle name="Normal 10 2 2 6 3 2" xfId="8697"/>
    <cellStyle name="Normal 10 2 2 6 4" xfId="6408"/>
    <cellStyle name="Normal 10 2 2 6 5" xfId="10151"/>
    <cellStyle name="Normal 10 2 2 6 6" xfId="4885"/>
    <cellStyle name="Normal 10 2 2 7" xfId="518"/>
    <cellStyle name="Normal 10 2 2 7 2" xfId="2352"/>
    <cellStyle name="Normal 10 2 2 7 2 2" xfId="7634"/>
    <cellStyle name="Normal 10 2 2 7 3" xfId="4015"/>
    <cellStyle name="Normal 10 2 2 7 3 2" xfId="9030"/>
    <cellStyle name="Normal 10 2 2 7 4" xfId="5879"/>
    <cellStyle name="Normal 10 2 2 7 5" xfId="10484"/>
    <cellStyle name="Normal 10 2 2 7 6" xfId="5228"/>
    <cellStyle name="Normal 10 2 2 8" xfId="1476"/>
    <cellStyle name="Normal 10 2 2 8 2" xfId="9441"/>
    <cellStyle name="Normal 10 2 2 8 3" xfId="6765"/>
    <cellStyle name="Normal 10 2 2 9" xfId="2969"/>
    <cellStyle name="Normal 10 2 2 9 2" xfId="7985"/>
    <cellStyle name="Normal 10 2 2_Degree data" xfId="2685"/>
    <cellStyle name="Normal 10 2 3" xfId="249"/>
    <cellStyle name="Normal 10 2 3 10" xfId="4376"/>
    <cellStyle name="Normal 10 2 3 2" xfId="351"/>
    <cellStyle name="Normal 10 2 3 2 2" xfId="1058"/>
    <cellStyle name="Normal 10 2 3 2 2 2" xfId="2010"/>
    <cellStyle name="Normal 10 2 3 2 2 2 2" xfId="7299"/>
    <cellStyle name="Normal 10 2 3 2 2 3" xfId="3340"/>
    <cellStyle name="Normal 10 2 3 2 2 3 2" xfId="8356"/>
    <cellStyle name="Normal 10 2 3 2 2 4" xfId="6415"/>
    <cellStyle name="Normal 10 2 3 2 2 5" xfId="9810"/>
    <cellStyle name="Normal 10 2 3 2 2 6" xfId="4892"/>
    <cellStyle name="Normal 10 2 3 2 3" xfId="859"/>
    <cellStyle name="Normal 10 2 3 2 3 2" xfId="2527"/>
    <cellStyle name="Normal 10 2 3 2 3 2 2" xfId="7809"/>
    <cellStyle name="Normal 10 2 3 2 3 3" xfId="3689"/>
    <cellStyle name="Normal 10 2 3 2 3 3 2" xfId="8704"/>
    <cellStyle name="Normal 10 2 3 2 3 4" xfId="6216"/>
    <cellStyle name="Normal 10 2 3 2 3 5" xfId="10158"/>
    <cellStyle name="Normal 10 2 3 2 3 6" xfId="5403"/>
    <cellStyle name="Normal 10 2 3 2 4" xfId="1811"/>
    <cellStyle name="Normal 10 2 3 2 4 2" xfId="4190"/>
    <cellStyle name="Normal 10 2 3 2 4 2 2" xfId="9205"/>
    <cellStyle name="Normal 10 2 3 2 4 3" xfId="10659"/>
    <cellStyle name="Normal 10 2 3 2 4 4" xfId="7100"/>
    <cellStyle name="Normal 10 2 3 2 5" xfId="3146"/>
    <cellStyle name="Normal 10 2 3 2 5 2" xfId="8162"/>
    <cellStyle name="Normal 10 2 3 2 6" xfId="5723"/>
    <cellStyle name="Normal 10 2 3 2 7" xfId="9616"/>
    <cellStyle name="Normal 10 2 3 2 8" xfId="4693"/>
    <cellStyle name="Normal 10 2 3 2_Degree data" xfId="2656"/>
    <cellStyle name="Normal 10 2 3 3" xfId="759"/>
    <cellStyle name="Normal 10 2 3 3 2" xfId="1711"/>
    <cellStyle name="Normal 10 2 3 3 2 2" xfId="7000"/>
    <cellStyle name="Normal 10 2 3 3 3" xfId="3339"/>
    <cellStyle name="Normal 10 2 3 3 3 2" xfId="8355"/>
    <cellStyle name="Normal 10 2 3 3 4" xfId="6116"/>
    <cellStyle name="Normal 10 2 3 3 5" xfId="9809"/>
    <cellStyle name="Normal 10 2 3 3 6" xfId="4593"/>
    <cellStyle name="Normal 10 2 3 4" xfId="1057"/>
    <cellStyle name="Normal 10 2 3 4 2" xfId="2009"/>
    <cellStyle name="Normal 10 2 3 4 2 2" xfId="7298"/>
    <cellStyle name="Normal 10 2 3 4 3" xfId="3688"/>
    <cellStyle name="Normal 10 2 3 4 3 2" xfId="8703"/>
    <cellStyle name="Normal 10 2 3 4 4" xfId="6414"/>
    <cellStyle name="Normal 10 2 3 4 5" xfId="10157"/>
    <cellStyle name="Normal 10 2 3 4 6" xfId="4891"/>
    <cellStyle name="Normal 10 2 3 5" xfId="538"/>
    <cellStyle name="Normal 10 2 3 5 2" xfId="2427"/>
    <cellStyle name="Normal 10 2 3 5 2 2" xfId="7709"/>
    <cellStyle name="Normal 10 2 3 5 3" xfId="4090"/>
    <cellStyle name="Normal 10 2 3 5 3 2" xfId="9105"/>
    <cellStyle name="Normal 10 2 3 5 4" xfId="5897"/>
    <cellStyle name="Normal 10 2 3 5 5" xfId="10559"/>
    <cellStyle name="Normal 10 2 3 5 6" xfId="5303"/>
    <cellStyle name="Normal 10 2 3 6" xfId="1494"/>
    <cellStyle name="Normal 10 2 3 6 2" xfId="6783"/>
    <cellStyle name="Normal 10 2 3 7" xfId="3046"/>
    <cellStyle name="Normal 10 2 3 7 2" xfId="8062"/>
    <cellStyle name="Normal 10 2 3 8" xfId="5623"/>
    <cellStyle name="Normal 10 2 3 9" xfId="9516"/>
    <cellStyle name="Normal 10 2 3_Degree data" xfId="2710"/>
    <cellStyle name="Normal 10 2 4" xfId="189"/>
    <cellStyle name="Normal 10 2 4 10" xfId="4426"/>
    <cellStyle name="Normal 10 2 4 2" xfId="403"/>
    <cellStyle name="Normal 10 2 4 2 2" xfId="1060"/>
    <cellStyle name="Normal 10 2 4 2 2 2" xfId="2012"/>
    <cellStyle name="Normal 10 2 4 2 2 2 2" xfId="7301"/>
    <cellStyle name="Normal 10 2 4 2 2 3" xfId="3342"/>
    <cellStyle name="Normal 10 2 4 2 2 3 2" xfId="8358"/>
    <cellStyle name="Normal 10 2 4 2 2 4" xfId="6417"/>
    <cellStyle name="Normal 10 2 4 2 2 5" xfId="9812"/>
    <cellStyle name="Normal 10 2 4 2 2 6" xfId="4894"/>
    <cellStyle name="Normal 10 2 4 2 3" xfId="909"/>
    <cellStyle name="Normal 10 2 4 2 3 2" xfId="2577"/>
    <cellStyle name="Normal 10 2 4 2 3 2 2" xfId="7859"/>
    <cellStyle name="Normal 10 2 4 2 3 3" xfId="3691"/>
    <cellStyle name="Normal 10 2 4 2 3 3 2" xfId="8706"/>
    <cellStyle name="Normal 10 2 4 2 3 4" xfId="6266"/>
    <cellStyle name="Normal 10 2 4 2 3 5" xfId="10160"/>
    <cellStyle name="Normal 10 2 4 2 3 6" xfId="5453"/>
    <cellStyle name="Normal 10 2 4 2 4" xfId="1861"/>
    <cellStyle name="Normal 10 2 4 2 4 2" xfId="4240"/>
    <cellStyle name="Normal 10 2 4 2 4 2 2" xfId="9255"/>
    <cellStyle name="Normal 10 2 4 2 4 3" xfId="10709"/>
    <cellStyle name="Normal 10 2 4 2 4 4" xfId="7150"/>
    <cellStyle name="Normal 10 2 4 2 5" xfId="3196"/>
    <cellStyle name="Normal 10 2 4 2 5 2" xfId="8212"/>
    <cellStyle name="Normal 10 2 4 2 6" xfId="5773"/>
    <cellStyle name="Normal 10 2 4 2 7" xfId="9666"/>
    <cellStyle name="Normal 10 2 4 2 8" xfId="4743"/>
    <cellStyle name="Normal 10 2 4 2_Degree data" xfId="2689"/>
    <cellStyle name="Normal 10 2 4 3" xfId="704"/>
    <cellStyle name="Normal 10 2 4 3 2" xfId="1656"/>
    <cellStyle name="Normal 10 2 4 3 2 2" xfId="6945"/>
    <cellStyle name="Normal 10 2 4 3 3" xfId="3341"/>
    <cellStyle name="Normal 10 2 4 3 3 2" xfId="8357"/>
    <cellStyle name="Normal 10 2 4 3 4" xfId="6061"/>
    <cellStyle name="Normal 10 2 4 3 5" xfId="9811"/>
    <cellStyle name="Normal 10 2 4 3 6" xfId="4538"/>
    <cellStyle name="Normal 10 2 4 4" xfId="1059"/>
    <cellStyle name="Normal 10 2 4 4 2" xfId="2011"/>
    <cellStyle name="Normal 10 2 4 4 2 2" xfId="7300"/>
    <cellStyle name="Normal 10 2 4 4 3" xfId="3690"/>
    <cellStyle name="Normal 10 2 4 4 3 2" xfId="8705"/>
    <cellStyle name="Normal 10 2 4 4 4" xfId="6416"/>
    <cellStyle name="Normal 10 2 4 4 5" xfId="10159"/>
    <cellStyle name="Normal 10 2 4 4 6" xfId="4893"/>
    <cellStyle name="Normal 10 2 4 5" xfId="589"/>
    <cellStyle name="Normal 10 2 4 5 2" xfId="2372"/>
    <cellStyle name="Normal 10 2 4 5 2 2" xfId="7654"/>
    <cellStyle name="Normal 10 2 4 5 3" xfId="4035"/>
    <cellStyle name="Normal 10 2 4 5 3 2" xfId="9050"/>
    <cellStyle name="Normal 10 2 4 5 4" xfId="5947"/>
    <cellStyle name="Normal 10 2 4 5 5" xfId="10504"/>
    <cellStyle name="Normal 10 2 4 5 6" xfId="5248"/>
    <cellStyle name="Normal 10 2 4 6" xfId="1544"/>
    <cellStyle name="Normal 10 2 4 6 2" xfId="6833"/>
    <cellStyle name="Normal 10 2 4 7" xfId="2991"/>
    <cellStyle name="Normal 10 2 4 7 2" xfId="8007"/>
    <cellStyle name="Normal 10 2 4 8" xfId="5568"/>
    <cellStyle name="Normal 10 2 4 9" xfId="9461"/>
    <cellStyle name="Normal 10 2 4_Degree data" xfId="2697"/>
    <cellStyle name="Normal 10 2 5" xfId="295"/>
    <cellStyle name="Normal 10 2 5 2" xfId="1061"/>
    <cellStyle name="Normal 10 2 5 2 2" xfId="2013"/>
    <cellStyle name="Normal 10 2 5 2 2 2" xfId="7302"/>
    <cellStyle name="Normal 10 2 5 2 3" xfId="3343"/>
    <cellStyle name="Normal 10 2 5 2 3 2" xfId="8359"/>
    <cellStyle name="Normal 10 2 5 2 4" xfId="6418"/>
    <cellStyle name="Normal 10 2 5 2 5" xfId="9813"/>
    <cellStyle name="Normal 10 2 5 2 6" xfId="4895"/>
    <cellStyle name="Normal 10 2 5 3" xfId="804"/>
    <cellStyle name="Normal 10 2 5 3 2" xfId="2472"/>
    <cellStyle name="Normal 10 2 5 3 2 2" xfId="7754"/>
    <cellStyle name="Normal 10 2 5 3 3" xfId="3692"/>
    <cellStyle name="Normal 10 2 5 3 3 2" xfId="8707"/>
    <cellStyle name="Normal 10 2 5 3 4" xfId="6161"/>
    <cellStyle name="Normal 10 2 5 3 5" xfId="10161"/>
    <cellStyle name="Normal 10 2 5 3 6" xfId="5348"/>
    <cellStyle name="Normal 10 2 5 4" xfId="1756"/>
    <cellStyle name="Normal 10 2 5 4 2" xfId="4135"/>
    <cellStyle name="Normal 10 2 5 4 2 2" xfId="9150"/>
    <cellStyle name="Normal 10 2 5 4 3" xfId="10604"/>
    <cellStyle name="Normal 10 2 5 4 4" xfId="7045"/>
    <cellStyle name="Normal 10 2 5 5" xfId="3091"/>
    <cellStyle name="Normal 10 2 5 5 2" xfId="8107"/>
    <cellStyle name="Normal 10 2 5 6" xfId="5668"/>
    <cellStyle name="Normal 10 2 5 7" xfId="9561"/>
    <cellStyle name="Normal 10 2 5 8" xfId="4638"/>
    <cellStyle name="Normal 10 2 5_Degree data" xfId="2640"/>
    <cellStyle name="Normal 10 2 6" xfId="659"/>
    <cellStyle name="Normal 10 2 6 2" xfId="1062"/>
    <cellStyle name="Normal 10 2 6 2 2" xfId="2014"/>
    <cellStyle name="Normal 10 2 6 2 2 2" xfId="7303"/>
    <cellStyle name="Normal 10 2 6 2 3" xfId="3344"/>
    <cellStyle name="Normal 10 2 6 2 3 2" xfId="8360"/>
    <cellStyle name="Normal 10 2 6 2 4" xfId="6419"/>
    <cellStyle name="Normal 10 2 6 2 5" xfId="9814"/>
    <cellStyle name="Normal 10 2 6 2 6" xfId="4896"/>
    <cellStyle name="Normal 10 2 6 3" xfId="1401"/>
    <cellStyle name="Normal 10 2 6 3 2" xfId="2327"/>
    <cellStyle name="Normal 10 2 6 3 2 2" xfId="7609"/>
    <cellStyle name="Normal 10 2 6 3 3" xfId="3693"/>
    <cellStyle name="Normal 10 2 6 3 3 2" xfId="8708"/>
    <cellStyle name="Normal 10 2 6 3 4" xfId="6697"/>
    <cellStyle name="Normal 10 2 6 3 5" xfId="10162"/>
    <cellStyle name="Normal 10 2 6 3 6" xfId="5203"/>
    <cellStyle name="Normal 10 2 6 4" xfId="1611"/>
    <cellStyle name="Normal 10 2 6 4 2" xfId="3990"/>
    <cellStyle name="Normal 10 2 6 4 2 2" xfId="9005"/>
    <cellStyle name="Normal 10 2 6 4 3" xfId="10459"/>
    <cellStyle name="Normal 10 2 6 4 4" xfId="6900"/>
    <cellStyle name="Normal 10 2 6 5" xfId="2944"/>
    <cellStyle name="Normal 10 2 6 5 2" xfId="7960"/>
    <cellStyle name="Normal 10 2 6 6" xfId="6016"/>
    <cellStyle name="Normal 10 2 6 7" xfId="9416"/>
    <cellStyle name="Normal 10 2 6 8" xfId="4493"/>
    <cellStyle name="Normal 10 2 6_Degree data" xfId="2705"/>
    <cellStyle name="Normal 10 2 7" xfId="1050"/>
    <cellStyle name="Normal 10 2 7 2" xfId="2002"/>
    <cellStyle name="Normal 10 2 7 2 2" xfId="7291"/>
    <cellStyle name="Normal 10 2 7 3" xfId="3332"/>
    <cellStyle name="Normal 10 2 7 3 2" xfId="8348"/>
    <cellStyle name="Normal 10 2 7 4" xfId="6407"/>
    <cellStyle name="Normal 10 2 7 5" xfId="9802"/>
    <cellStyle name="Normal 10 2 7 6" xfId="4884"/>
    <cellStyle name="Normal 10 2 8" xfId="477"/>
    <cellStyle name="Normal 10 2 8 2" xfId="2307"/>
    <cellStyle name="Normal 10 2 8 2 2" xfId="7589"/>
    <cellStyle name="Normal 10 2 8 3" xfId="3681"/>
    <cellStyle name="Normal 10 2 8 3 2" xfId="8696"/>
    <cellStyle name="Normal 10 2 8 4" xfId="5841"/>
    <cellStyle name="Normal 10 2 8 5" xfId="10150"/>
    <cellStyle name="Normal 10 2 8 6" xfId="5183"/>
    <cellStyle name="Normal 10 2 9" xfId="1436"/>
    <cellStyle name="Normal 10 2 9 2" xfId="3970"/>
    <cellStyle name="Normal 10 2 9 2 2" xfId="8985"/>
    <cellStyle name="Normal 10 2 9 3" xfId="10439"/>
    <cellStyle name="Normal 10 2 9 4" xfId="6727"/>
    <cellStyle name="Normal 10 2_Degree data" xfId="2681"/>
    <cellStyle name="Normal 10 3" xfId="156"/>
    <cellStyle name="Normal 10 3 2" xfId="153"/>
    <cellStyle name="Normal 10 3 2 2" xfId="222"/>
    <cellStyle name="Normal 10 3 2 3" xfId="387"/>
    <cellStyle name="Normal 10 3 2 3 2" xfId="893"/>
    <cellStyle name="Normal 10 3 2 3 2 2" xfId="1845"/>
    <cellStyle name="Normal 10 3 2 3 2 2 2" xfId="7134"/>
    <cellStyle name="Normal 10 3 2 3 2 3" xfId="3346"/>
    <cellStyle name="Normal 10 3 2 3 2 3 2" xfId="8362"/>
    <cellStyle name="Normal 10 3 2 3 2 4" xfId="6250"/>
    <cellStyle name="Normal 10 3 2 3 2 5" xfId="9816"/>
    <cellStyle name="Normal 10 3 2 3 2 6" xfId="4727"/>
    <cellStyle name="Normal 10 3 2 3 3" xfId="1064"/>
    <cellStyle name="Normal 10 3 2 3 3 2" xfId="2016"/>
    <cellStyle name="Normal 10 3 2 3 3 2 2" xfId="7305"/>
    <cellStyle name="Normal 10 3 2 3 3 3" xfId="3695"/>
    <cellStyle name="Normal 10 3 2 3 3 3 2" xfId="8710"/>
    <cellStyle name="Normal 10 3 2 3 3 4" xfId="6421"/>
    <cellStyle name="Normal 10 3 2 3 3 5" xfId="10164"/>
    <cellStyle name="Normal 10 3 2 3 3 6" xfId="4898"/>
    <cellStyle name="Normal 10 3 2 3 4" xfId="573"/>
    <cellStyle name="Normal 10 3 2 3 4 2" xfId="2561"/>
    <cellStyle name="Normal 10 3 2 3 4 2 2" xfId="7843"/>
    <cellStyle name="Normal 10 3 2 3 4 3" xfId="4224"/>
    <cellStyle name="Normal 10 3 2 3 4 3 2" xfId="9239"/>
    <cellStyle name="Normal 10 3 2 3 4 4" xfId="5931"/>
    <cellStyle name="Normal 10 3 2 3 4 5" xfId="10693"/>
    <cellStyle name="Normal 10 3 2 3 4 6" xfId="5437"/>
    <cellStyle name="Normal 10 3 2 3 5" xfId="1528"/>
    <cellStyle name="Normal 10 3 2 3 5 2" xfId="6817"/>
    <cellStyle name="Normal 10 3 2 3 6" xfId="3180"/>
    <cellStyle name="Normal 10 3 2 3 6 2" xfId="8196"/>
    <cellStyle name="Normal 10 3 2 3 7" xfId="5757"/>
    <cellStyle name="Normal 10 3 2 3 8" xfId="9650"/>
    <cellStyle name="Normal 10 3 2 3 9" xfId="4410"/>
    <cellStyle name="Normal 10 3 2 3_Degree data" xfId="2650"/>
    <cellStyle name="Normal 10 3 2 4" xfId="675"/>
    <cellStyle name="Normal 10 3 2 4 2" xfId="1627"/>
    <cellStyle name="Normal 10 3 2 4 2 2" xfId="6916"/>
    <cellStyle name="Normal 10 3 2 4 3" xfId="3345"/>
    <cellStyle name="Normal 10 3 2 4 3 2" xfId="8361"/>
    <cellStyle name="Normal 10 3 2 4 4" xfId="6032"/>
    <cellStyle name="Normal 10 3 2 4 5" xfId="9815"/>
    <cellStyle name="Normal 10 3 2 4 6" xfId="4509"/>
    <cellStyle name="Normal 10 3 2 5" xfId="1063"/>
    <cellStyle name="Normal 10 3 2 5 2" xfId="2015"/>
    <cellStyle name="Normal 10 3 2 5 2 2" xfId="7304"/>
    <cellStyle name="Normal 10 3 2 5 3" xfId="3694"/>
    <cellStyle name="Normal 10 3 2 5 3 2" xfId="8709"/>
    <cellStyle name="Normal 10 3 2 5 4" xfId="6420"/>
    <cellStyle name="Normal 10 3 2 5 5" xfId="10163"/>
    <cellStyle name="Normal 10 3 2 5 6" xfId="4897"/>
    <cellStyle name="Normal 10 3 2 6" xfId="2343"/>
    <cellStyle name="Normal 10 3 2 6 2" xfId="4006"/>
    <cellStyle name="Normal 10 3 2 6 2 2" xfId="9021"/>
    <cellStyle name="Normal 10 3 2 6 3" xfId="7625"/>
    <cellStyle name="Normal 10 3 2 6 4" xfId="10475"/>
    <cellStyle name="Normal 10 3 2 6 5" xfId="5219"/>
    <cellStyle name="Normal 10 3 2 7" xfId="2960"/>
    <cellStyle name="Normal 10 3 2 7 2" xfId="7976"/>
    <cellStyle name="Normal 10 3 2 8" xfId="5539"/>
    <cellStyle name="Normal 10 3 2 9" xfId="9432"/>
    <cellStyle name="Normal 10 3 2_Degree data" xfId="2714"/>
    <cellStyle name="Normal 10 3 3" xfId="185"/>
    <cellStyle name="Normal 10 3 3 10" xfId="4422"/>
    <cellStyle name="Normal 10 3 3 2" xfId="399"/>
    <cellStyle name="Normal 10 3 3 2 2" xfId="1066"/>
    <cellStyle name="Normal 10 3 3 2 2 2" xfId="2018"/>
    <cellStyle name="Normal 10 3 3 2 2 2 2" xfId="7307"/>
    <cellStyle name="Normal 10 3 3 2 2 3" xfId="3348"/>
    <cellStyle name="Normal 10 3 3 2 2 3 2" xfId="8364"/>
    <cellStyle name="Normal 10 3 3 2 2 4" xfId="6423"/>
    <cellStyle name="Normal 10 3 3 2 2 5" xfId="9818"/>
    <cellStyle name="Normal 10 3 3 2 2 6" xfId="4900"/>
    <cellStyle name="Normal 10 3 3 2 3" xfId="905"/>
    <cellStyle name="Normal 10 3 3 2 3 2" xfId="2573"/>
    <cellStyle name="Normal 10 3 3 2 3 2 2" xfId="7855"/>
    <cellStyle name="Normal 10 3 3 2 3 3" xfId="3697"/>
    <cellStyle name="Normal 10 3 3 2 3 3 2" xfId="8712"/>
    <cellStyle name="Normal 10 3 3 2 3 4" xfId="6262"/>
    <cellStyle name="Normal 10 3 3 2 3 5" xfId="10166"/>
    <cellStyle name="Normal 10 3 3 2 3 6" xfId="5449"/>
    <cellStyle name="Normal 10 3 3 2 4" xfId="1857"/>
    <cellStyle name="Normal 10 3 3 2 4 2" xfId="4236"/>
    <cellStyle name="Normal 10 3 3 2 4 2 2" xfId="9251"/>
    <cellStyle name="Normal 10 3 3 2 4 3" xfId="10705"/>
    <cellStyle name="Normal 10 3 3 2 4 4" xfId="7146"/>
    <cellStyle name="Normal 10 3 3 2 5" xfId="3192"/>
    <cellStyle name="Normal 10 3 3 2 5 2" xfId="8208"/>
    <cellStyle name="Normal 10 3 3 2 6" xfId="5769"/>
    <cellStyle name="Normal 10 3 3 2 7" xfId="9662"/>
    <cellStyle name="Normal 10 3 3 2 8" xfId="4739"/>
    <cellStyle name="Normal 10 3 3 2_Degree data" xfId="2696"/>
    <cellStyle name="Normal 10 3 3 3" xfId="700"/>
    <cellStyle name="Normal 10 3 3 3 2" xfId="1652"/>
    <cellStyle name="Normal 10 3 3 3 2 2" xfId="6941"/>
    <cellStyle name="Normal 10 3 3 3 3" xfId="3347"/>
    <cellStyle name="Normal 10 3 3 3 3 2" xfId="8363"/>
    <cellStyle name="Normal 10 3 3 3 4" xfId="6057"/>
    <cellStyle name="Normal 10 3 3 3 5" xfId="9817"/>
    <cellStyle name="Normal 10 3 3 3 6" xfId="4534"/>
    <cellStyle name="Normal 10 3 3 4" xfId="1065"/>
    <cellStyle name="Normal 10 3 3 4 2" xfId="2017"/>
    <cellStyle name="Normal 10 3 3 4 2 2" xfId="7306"/>
    <cellStyle name="Normal 10 3 3 4 3" xfId="3696"/>
    <cellStyle name="Normal 10 3 3 4 3 2" xfId="8711"/>
    <cellStyle name="Normal 10 3 3 4 4" xfId="6422"/>
    <cellStyle name="Normal 10 3 3 4 5" xfId="10165"/>
    <cellStyle name="Normal 10 3 3 4 6" xfId="4899"/>
    <cellStyle name="Normal 10 3 3 5" xfId="585"/>
    <cellStyle name="Normal 10 3 3 5 2" xfId="2368"/>
    <cellStyle name="Normal 10 3 3 5 2 2" xfId="7650"/>
    <cellStyle name="Normal 10 3 3 5 3" xfId="4031"/>
    <cellStyle name="Normal 10 3 3 5 3 2" xfId="9046"/>
    <cellStyle name="Normal 10 3 3 5 4" xfId="5943"/>
    <cellStyle name="Normal 10 3 3 5 5" xfId="10500"/>
    <cellStyle name="Normal 10 3 3 5 6" xfId="5244"/>
    <cellStyle name="Normal 10 3 3 6" xfId="1540"/>
    <cellStyle name="Normal 10 3 3 6 2" xfId="6829"/>
    <cellStyle name="Normal 10 3 3 7" xfId="2987"/>
    <cellStyle name="Normal 10 3 3 7 2" xfId="8003"/>
    <cellStyle name="Normal 10 3 3 8" xfId="5564"/>
    <cellStyle name="Normal 10 3 3 9" xfId="9457"/>
    <cellStyle name="Normal 10 3 3_Degree data" xfId="2723"/>
    <cellStyle name="Normal 10 3 4" xfId="291"/>
    <cellStyle name="Normal 10 3 4 2" xfId="1067"/>
    <cellStyle name="Normal 10 3 4 2 2" xfId="2019"/>
    <cellStyle name="Normal 10 3 4 2 2 2" xfId="7308"/>
    <cellStyle name="Normal 10 3 4 2 3" xfId="3349"/>
    <cellStyle name="Normal 10 3 4 2 3 2" xfId="8365"/>
    <cellStyle name="Normal 10 3 4 2 4" xfId="6424"/>
    <cellStyle name="Normal 10 3 4 2 5" xfId="9819"/>
    <cellStyle name="Normal 10 3 4 2 6" xfId="4901"/>
    <cellStyle name="Normal 10 3 4 3" xfId="800"/>
    <cellStyle name="Normal 10 3 4 3 2" xfId="2468"/>
    <cellStyle name="Normal 10 3 4 3 2 2" xfId="7750"/>
    <cellStyle name="Normal 10 3 4 3 3" xfId="3698"/>
    <cellStyle name="Normal 10 3 4 3 3 2" xfId="8713"/>
    <cellStyle name="Normal 10 3 4 3 4" xfId="6157"/>
    <cellStyle name="Normal 10 3 4 3 5" xfId="10167"/>
    <cellStyle name="Normal 10 3 4 3 6" xfId="5344"/>
    <cellStyle name="Normal 10 3 4 4" xfId="1752"/>
    <cellStyle name="Normal 10 3 4 4 2" xfId="4131"/>
    <cellStyle name="Normal 10 3 4 4 2 2" xfId="9146"/>
    <cellStyle name="Normal 10 3 4 4 3" xfId="10600"/>
    <cellStyle name="Normal 10 3 4 4 4" xfId="7041"/>
    <cellStyle name="Normal 10 3 4 5" xfId="3087"/>
    <cellStyle name="Normal 10 3 4 5 2" xfId="8103"/>
    <cellStyle name="Normal 10 3 4 6" xfId="5664"/>
    <cellStyle name="Normal 10 3 4 7" xfId="9557"/>
    <cellStyle name="Normal 10 3 4 8" xfId="4634"/>
    <cellStyle name="Normal 10 3 4_Degree data" xfId="2728"/>
    <cellStyle name="Normal 10 3 5" xfId="473"/>
    <cellStyle name="Normal 10 3 5 2" xfId="5837"/>
    <cellStyle name="Normal 10 3 6" xfId="1432"/>
    <cellStyle name="Normal 10 3 6 2" xfId="6723"/>
    <cellStyle name="Normal 10 3 7" xfId="4317"/>
    <cellStyle name="Normal 10 4" xfId="134"/>
    <cellStyle name="Normal 10 4 10" xfId="5527"/>
    <cellStyle name="Normal 10 4 11" xfId="9347"/>
    <cellStyle name="Normal 10 4 12" xfId="4339"/>
    <cellStyle name="Normal 10 4 2" xfId="255"/>
    <cellStyle name="Normal 10 4 2 10" xfId="4382"/>
    <cellStyle name="Normal 10 4 2 2" xfId="357"/>
    <cellStyle name="Normal 10 4 2 2 2" xfId="1070"/>
    <cellStyle name="Normal 10 4 2 2 2 2" xfId="2022"/>
    <cellStyle name="Normal 10 4 2 2 2 2 2" xfId="7311"/>
    <cellStyle name="Normal 10 4 2 2 2 3" xfId="3352"/>
    <cellStyle name="Normal 10 4 2 2 2 3 2" xfId="8368"/>
    <cellStyle name="Normal 10 4 2 2 2 4" xfId="6427"/>
    <cellStyle name="Normal 10 4 2 2 2 5" xfId="9822"/>
    <cellStyle name="Normal 10 4 2 2 2 6" xfId="4904"/>
    <cellStyle name="Normal 10 4 2 2 3" xfId="865"/>
    <cellStyle name="Normal 10 4 2 2 3 2" xfId="2533"/>
    <cellStyle name="Normal 10 4 2 2 3 2 2" xfId="7815"/>
    <cellStyle name="Normal 10 4 2 2 3 3" xfId="3701"/>
    <cellStyle name="Normal 10 4 2 2 3 3 2" xfId="8716"/>
    <cellStyle name="Normal 10 4 2 2 3 4" xfId="6222"/>
    <cellStyle name="Normal 10 4 2 2 3 5" xfId="10170"/>
    <cellStyle name="Normal 10 4 2 2 3 6" xfId="5409"/>
    <cellStyle name="Normal 10 4 2 2 4" xfId="1817"/>
    <cellStyle name="Normal 10 4 2 2 4 2" xfId="4196"/>
    <cellStyle name="Normal 10 4 2 2 4 2 2" xfId="9211"/>
    <cellStyle name="Normal 10 4 2 2 4 3" xfId="10665"/>
    <cellStyle name="Normal 10 4 2 2 4 4" xfId="7106"/>
    <cellStyle name="Normal 10 4 2 2 5" xfId="3152"/>
    <cellStyle name="Normal 10 4 2 2 5 2" xfId="8168"/>
    <cellStyle name="Normal 10 4 2 2 6" xfId="5729"/>
    <cellStyle name="Normal 10 4 2 2 7" xfId="9622"/>
    <cellStyle name="Normal 10 4 2 2 8" xfId="4699"/>
    <cellStyle name="Normal 10 4 2 2_Degree data" xfId="2657"/>
    <cellStyle name="Normal 10 4 2 3" xfId="765"/>
    <cellStyle name="Normal 10 4 2 3 2" xfId="1717"/>
    <cellStyle name="Normal 10 4 2 3 2 2" xfId="7006"/>
    <cellStyle name="Normal 10 4 2 3 3" xfId="3351"/>
    <cellStyle name="Normal 10 4 2 3 3 2" xfId="8367"/>
    <cellStyle name="Normal 10 4 2 3 4" xfId="6122"/>
    <cellStyle name="Normal 10 4 2 3 5" xfId="9821"/>
    <cellStyle name="Normal 10 4 2 3 6" xfId="4599"/>
    <cellStyle name="Normal 10 4 2 4" xfId="1069"/>
    <cellStyle name="Normal 10 4 2 4 2" xfId="2021"/>
    <cellStyle name="Normal 10 4 2 4 2 2" xfId="7310"/>
    <cellStyle name="Normal 10 4 2 4 3" xfId="3700"/>
    <cellStyle name="Normal 10 4 2 4 3 2" xfId="8715"/>
    <cellStyle name="Normal 10 4 2 4 4" xfId="6426"/>
    <cellStyle name="Normal 10 4 2 4 5" xfId="10169"/>
    <cellStyle name="Normal 10 4 2 4 6" xfId="4903"/>
    <cellStyle name="Normal 10 4 2 5" xfId="544"/>
    <cellStyle name="Normal 10 4 2 5 2" xfId="2433"/>
    <cellStyle name="Normal 10 4 2 5 2 2" xfId="7715"/>
    <cellStyle name="Normal 10 4 2 5 3" xfId="4096"/>
    <cellStyle name="Normal 10 4 2 5 3 2" xfId="9111"/>
    <cellStyle name="Normal 10 4 2 5 4" xfId="5903"/>
    <cellStyle name="Normal 10 4 2 5 5" xfId="10565"/>
    <cellStyle name="Normal 10 4 2 5 6" xfId="5309"/>
    <cellStyle name="Normal 10 4 2 6" xfId="1500"/>
    <cellStyle name="Normal 10 4 2 6 2" xfId="6789"/>
    <cellStyle name="Normal 10 4 2 7" xfId="3052"/>
    <cellStyle name="Normal 10 4 2 7 2" xfId="8068"/>
    <cellStyle name="Normal 10 4 2 8" xfId="5629"/>
    <cellStyle name="Normal 10 4 2 9" xfId="9522"/>
    <cellStyle name="Normal 10 4 2_Degree data" xfId="1453"/>
    <cellStyle name="Normal 10 4 3" xfId="210"/>
    <cellStyle name="Normal 10 4 3 10" xfId="4444"/>
    <cellStyle name="Normal 10 4 3 2" xfId="421"/>
    <cellStyle name="Normal 10 4 3 2 2" xfId="1072"/>
    <cellStyle name="Normal 10 4 3 2 2 2" xfId="2024"/>
    <cellStyle name="Normal 10 4 3 2 2 2 2" xfId="7313"/>
    <cellStyle name="Normal 10 4 3 2 2 3" xfId="3354"/>
    <cellStyle name="Normal 10 4 3 2 2 3 2" xfId="8370"/>
    <cellStyle name="Normal 10 4 3 2 2 4" xfId="6429"/>
    <cellStyle name="Normal 10 4 3 2 2 5" xfId="9824"/>
    <cellStyle name="Normal 10 4 3 2 2 6" xfId="4906"/>
    <cellStyle name="Normal 10 4 3 2 3" xfId="927"/>
    <cellStyle name="Normal 10 4 3 2 3 2" xfId="2595"/>
    <cellStyle name="Normal 10 4 3 2 3 2 2" xfId="7877"/>
    <cellStyle name="Normal 10 4 3 2 3 3" xfId="3703"/>
    <cellStyle name="Normal 10 4 3 2 3 3 2" xfId="8718"/>
    <cellStyle name="Normal 10 4 3 2 3 4" xfId="6284"/>
    <cellStyle name="Normal 10 4 3 2 3 5" xfId="10172"/>
    <cellStyle name="Normal 10 4 3 2 3 6" xfId="5471"/>
    <cellStyle name="Normal 10 4 3 2 4" xfId="1879"/>
    <cellStyle name="Normal 10 4 3 2 4 2" xfId="4258"/>
    <cellStyle name="Normal 10 4 3 2 4 2 2" xfId="9273"/>
    <cellStyle name="Normal 10 4 3 2 4 3" xfId="10727"/>
    <cellStyle name="Normal 10 4 3 2 4 4" xfId="7168"/>
    <cellStyle name="Normal 10 4 3 2 5" xfId="3214"/>
    <cellStyle name="Normal 10 4 3 2 5 2" xfId="8230"/>
    <cellStyle name="Normal 10 4 3 2 6" xfId="5791"/>
    <cellStyle name="Normal 10 4 3 2 7" xfId="9684"/>
    <cellStyle name="Normal 10 4 3 2 8" xfId="4761"/>
    <cellStyle name="Normal 10 4 3 2_Degree data" xfId="1419"/>
    <cellStyle name="Normal 10 4 3 3" xfId="722"/>
    <cellStyle name="Normal 10 4 3 3 2" xfId="1674"/>
    <cellStyle name="Normal 10 4 3 3 2 2" xfId="6963"/>
    <cellStyle name="Normal 10 4 3 3 3" xfId="3353"/>
    <cellStyle name="Normal 10 4 3 3 3 2" xfId="8369"/>
    <cellStyle name="Normal 10 4 3 3 4" xfId="6079"/>
    <cellStyle name="Normal 10 4 3 3 5" xfId="9823"/>
    <cellStyle name="Normal 10 4 3 3 6" xfId="4556"/>
    <cellStyle name="Normal 10 4 3 4" xfId="1071"/>
    <cellStyle name="Normal 10 4 3 4 2" xfId="2023"/>
    <cellStyle name="Normal 10 4 3 4 2 2" xfId="7312"/>
    <cellStyle name="Normal 10 4 3 4 3" xfId="3702"/>
    <cellStyle name="Normal 10 4 3 4 3 2" xfId="8717"/>
    <cellStyle name="Normal 10 4 3 4 4" xfId="6428"/>
    <cellStyle name="Normal 10 4 3 4 5" xfId="10171"/>
    <cellStyle name="Normal 10 4 3 4 6" xfId="4905"/>
    <cellStyle name="Normal 10 4 3 5" xfId="607"/>
    <cellStyle name="Normal 10 4 3 5 2" xfId="2390"/>
    <cellStyle name="Normal 10 4 3 5 2 2" xfId="7672"/>
    <cellStyle name="Normal 10 4 3 5 3" xfId="4053"/>
    <cellStyle name="Normal 10 4 3 5 3 2" xfId="9068"/>
    <cellStyle name="Normal 10 4 3 5 4" xfId="5965"/>
    <cellStyle name="Normal 10 4 3 5 5" xfId="10522"/>
    <cellStyle name="Normal 10 4 3 5 6" xfId="5266"/>
    <cellStyle name="Normal 10 4 3 6" xfId="1562"/>
    <cellStyle name="Normal 10 4 3 6 2" xfId="6851"/>
    <cellStyle name="Normal 10 4 3 7" xfId="3009"/>
    <cellStyle name="Normal 10 4 3 7 2" xfId="8025"/>
    <cellStyle name="Normal 10 4 3 8" xfId="5586"/>
    <cellStyle name="Normal 10 4 3 9" xfId="9479"/>
    <cellStyle name="Normal 10 4 3_Degree data" xfId="1444"/>
    <cellStyle name="Normal 10 4 4" xfId="313"/>
    <cellStyle name="Normal 10 4 4 2" xfId="1073"/>
    <cellStyle name="Normal 10 4 4 2 2" xfId="2025"/>
    <cellStyle name="Normal 10 4 4 2 2 2" xfId="7314"/>
    <cellStyle name="Normal 10 4 4 2 3" xfId="3355"/>
    <cellStyle name="Normal 10 4 4 2 3 2" xfId="8371"/>
    <cellStyle name="Normal 10 4 4 2 4" xfId="6430"/>
    <cellStyle name="Normal 10 4 4 2 5" xfId="9825"/>
    <cellStyle name="Normal 10 4 4 2 6" xfId="4907"/>
    <cellStyle name="Normal 10 4 4 3" xfId="822"/>
    <cellStyle name="Normal 10 4 4 3 2" xfId="2490"/>
    <cellStyle name="Normal 10 4 4 3 2 2" xfId="7772"/>
    <cellStyle name="Normal 10 4 4 3 3" xfId="3704"/>
    <cellStyle name="Normal 10 4 4 3 3 2" xfId="8719"/>
    <cellStyle name="Normal 10 4 4 3 4" xfId="6179"/>
    <cellStyle name="Normal 10 4 4 3 5" xfId="10173"/>
    <cellStyle name="Normal 10 4 4 3 6" xfId="5366"/>
    <cellStyle name="Normal 10 4 4 4" xfId="1774"/>
    <cellStyle name="Normal 10 4 4 4 2" xfId="4153"/>
    <cellStyle name="Normal 10 4 4 4 2 2" xfId="9168"/>
    <cellStyle name="Normal 10 4 4 4 3" xfId="10622"/>
    <cellStyle name="Normal 10 4 4 4 4" xfId="7063"/>
    <cellStyle name="Normal 10 4 4 5" xfId="3109"/>
    <cellStyle name="Normal 10 4 4 5 2" xfId="8125"/>
    <cellStyle name="Normal 10 4 4 6" xfId="5686"/>
    <cellStyle name="Normal 10 4 4 7" xfId="9579"/>
    <cellStyle name="Normal 10 4 4 8" xfId="4656"/>
    <cellStyle name="Normal 10 4 4_Degree data" xfId="2282"/>
    <cellStyle name="Normal 10 4 5" xfId="663"/>
    <cellStyle name="Normal 10 4 5 2" xfId="1615"/>
    <cellStyle name="Normal 10 4 5 2 2" xfId="6904"/>
    <cellStyle name="Normal 10 4 5 3" xfId="3350"/>
    <cellStyle name="Normal 10 4 5 3 2" xfId="8366"/>
    <cellStyle name="Normal 10 4 5 4" xfId="6020"/>
    <cellStyle name="Normal 10 4 5 5" xfId="9820"/>
    <cellStyle name="Normal 10 4 5 6" xfId="4497"/>
    <cellStyle name="Normal 10 4 6" xfId="1068"/>
    <cellStyle name="Normal 10 4 6 2" xfId="2020"/>
    <cellStyle name="Normal 10 4 6 2 2" xfId="7309"/>
    <cellStyle name="Normal 10 4 6 3" xfId="3699"/>
    <cellStyle name="Normal 10 4 6 3 2" xfId="8714"/>
    <cellStyle name="Normal 10 4 6 4" xfId="6425"/>
    <cellStyle name="Normal 10 4 6 5" xfId="10168"/>
    <cellStyle name="Normal 10 4 6 6" xfId="4902"/>
    <cellStyle name="Normal 10 4 7" xfId="498"/>
    <cellStyle name="Normal 10 4 7 2" xfId="2331"/>
    <cellStyle name="Normal 10 4 7 2 2" xfId="7613"/>
    <cellStyle name="Normal 10 4 7 3" xfId="3994"/>
    <cellStyle name="Normal 10 4 7 3 2" xfId="9009"/>
    <cellStyle name="Normal 10 4 7 4" xfId="5859"/>
    <cellStyle name="Normal 10 4 7 5" xfId="10463"/>
    <cellStyle name="Normal 10 4 7 6" xfId="5207"/>
    <cellStyle name="Normal 10 4 8" xfId="1457"/>
    <cellStyle name="Normal 10 4 8 2" xfId="9420"/>
    <cellStyle name="Normal 10 4 8 3" xfId="6746"/>
    <cellStyle name="Normal 10 4 9" xfId="2948"/>
    <cellStyle name="Normal 10 4 9 2" xfId="7964"/>
    <cellStyle name="Normal 10 4_Degree data" xfId="2726"/>
    <cellStyle name="Normal 10 5" xfId="246"/>
    <cellStyle name="Normal 10 5 10" xfId="4373"/>
    <cellStyle name="Normal 10 5 2" xfId="348"/>
    <cellStyle name="Normal 10 5 2 2" xfId="1075"/>
    <cellStyle name="Normal 10 5 2 2 2" xfId="2027"/>
    <cellStyle name="Normal 10 5 2 2 2 2" xfId="7316"/>
    <cellStyle name="Normal 10 5 2 2 3" xfId="3357"/>
    <cellStyle name="Normal 10 5 2 2 3 2" xfId="8373"/>
    <cellStyle name="Normal 10 5 2 2 4" xfId="6432"/>
    <cellStyle name="Normal 10 5 2 2 5" xfId="9827"/>
    <cellStyle name="Normal 10 5 2 2 6" xfId="4909"/>
    <cellStyle name="Normal 10 5 2 3" xfId="856"/>
    <cellStyle name="Normal 10 5 2 3 2" xfId="2524"/>
    <cellStyle name="Normal 10 5 2 3 2 2" xfId="7806"/>
    <cellStyle name="Normal 10 5 2 3 3" xfId="3706"/>
    <cellStyle name="Normal 10 5 2 3 3 2" xfId="8721"/>
    <cellStyle name="Normal 10 5 2 3 4" xfId="6213"/>
    <cellStyle name="Normal 10 5 2 3 5" xfId="10175"/>
    <cellStyle name="Normal 10 5 2 3 6" xfId="5400"/>
    <cellStyle name="Normal 10 5 2 4" xfId="1808"/>
    <cellStyle name="Normal 10 5 2 4 2" xfId="4187"/>
    <cellStyle name="Normal 10 5 2 4 2 2" xfId="9202"/>
    <cellStyle name="Normal 10 5 2 4 3" xfId="10656"/>
    <cellStyle name="Normal 10 5 2 4 4" xfId="7097"/>
    <cellStyle name="Normal 10 5 2 5" xfId="3143"/>
    <cellStyle name="Normal 10 5 2 5 2" xfId="8159"/>
    <cellStyle name="Normal 10 5 2 6" xfId="5720"/>
    <cellStyle name="Normal 10 5 2 7" xfId="9613"/>
    <cellStyle name="Normal 10 5 2 8" xfId="4690"/>
    <cellStyle name="Normal 10 5 2_Degree data" xfId="2648"/>
    <cellStyle name="Normal 10 5 3" xfId="756"/>
    <cellStyle name="Normal 10 5 3 2" xfId="1708"/>
    <cellStyle name="Normal 10 5 3 2 2" xfId="6997"/>
    <cellStyle name="Normal 10 5 3 3" xfId="3356"/>
    <cellStyle name="Normal 10 5 3 3 2" xfId="8372"/>
    <cellStyle name="Normal 10 5 3 4" xfId="6113"/>
    <cellStyle name="Normal 10 5 3 5" xfId="9826"/>
    <cellStyle name="Normal 10 5 3 6" xfId="4590"/>
    <cellStyle name="Normal 10 5 4" xfId="1074"/>
    <cellStyle name="Normal 10 5 4 2" xfId="2026"/>
    <cellStyle name="Normal 10 5 4 2 2" xfId="7315"/>
    <cellStyle name="Normal 10 5 4 3" xfId="3705"/>
    <cellStyle name="Normal 10 5 4 3 2" xfId="8720"/>
    <cellStyle name="Normal 10 5 4 4" xfId="6431"/>
    <cellStyle name="Normal 10 5 4 5" xfId="10174"/>
    <cellStyle name="Normal 10 5 4 6" xfId="4908"/>
    <cellStyle name="Normal 10 5 5" xfId="535"/>
    <cellStyle name="Normal 10 5 5 2" xfId="2424"/>
    <cellStyle name="Normal 10 5 5 2 2" xfId="7706"/>
    <cellStyle name="Normal 10 5 5 3" xfId="4087"/>
    <cellStyle name="Normal 10 5 5 3 2" xfId="9102"/>
    <cellStyle name="Normal 10 5 5 4" xfId="5894"/>
    <cellStyle name="Normal 10 5 5 5" xfId="10556"/>
    <cellStyle name="Normal 10 5 5 6" xfId="5300"/>
    <cellStyle name="Normal 10 5 6" xfId="1491"/>
    <cellStyle name="Normal 10 5 6 2" xfId="6780"/>
    <cellStyle name="Normal 10 5 7" xfId="3043"/>
    <cellStyle name="Normal 10 5 7 2" xfId="8059"/>
    <cellStyle name="Normal 10 5 8" xfId="5620"/>
    <cellStyle name="Normal 10 5 9" xfId="9513"/>
    <cellStyle name="Normal 10 5_Degree data" xfId="2646"/>
    <cellStyle name="Normal 10 6" xfId="1049"/>
    <cellStyle name="Normal 10 6 2" xfId="2001"/>
    <cellStyle name="Normal 10 6 2 2" xfId="7290"/>
    <cellStyle name="Normal 10 6 3" xfId="3331"/>
    <cellStyle name="Normal 10 6 3 2" xfId="8347"/>
    <cellStyle name="Normal 10 6 4" xfId="6406"/>
    <cellStyle name="Normal 10 6 5" xfId="9801"/>
    <cellStyle name="Normal 10 6 6" xfId="4883"/>
    <cellStyle name="Normal 10 7" xfId="1400"/>
    <cellStyle name="Normal 10 7 2" xfId="2288"/>
    <cellStyle name="Normal 10 7 2 2" xfId="7570"/>
    <cellStyle name="Normal 10 7 3" xfId="3680"/>
    <cellStyle name="Normal 10 7 3 2" xfId="8695"/>
    <cellStyle name="Normal 10 7 4" xfId="6696"/>
    <cellStyle name="Normal 10 7 5" xfId="10149"/>
    <cellStyle name="Normal 10 7 6" xfId="5164"/>
    <cellStyle name="Normal 10 8" xfId="2719"/>
    <cellStyle name="Normal 10 8 2" xfId="3951"/>
    <cellStyle name="Normal 10 8 2 2" xfId="8966"/>
    <cellStyle name="Normal 10 8 3" xfId="10420"/>
    <cellStyle name="Normal 10 8 4" xfId="7916"/>
    <cellStyle name="Normal 10 9" xfId="2904"/>
    <cellStyle name="Normal 10 9 2" xfId="9377"/>
    <cellStyle name="Normal 10 9 3" xfId="7920"/>
    <cellStyle name="Normal 10_Degree data" xfId="2635"/>
    <cellStyle name="Normal 100" xfId="9329"/>
    <cellStyle name="Normal 101" xfId="4308"/>
    <cellStyle name="Normal 102" xfId="5160"/>
    <cellStyle name="Normal 103" xfId="10765"/>
    <cellStyle name="Normal 11" xfId="92"/>
    <cellStyle name="Normal 12" xfId="83"/>
    <cellStyle name="Normal 12 2" xfId="106"/>
    <cellStyle name="Normal 12 3" xfId="152"/>
    <cellStyle name="Normal 13" xfId="37"/>
    <cellStyle name="Normal 13 2" xfId="107"/>
    <cellStyle name="Normal 13 3" xfId="97"/>
    <cellStyle name="Normal 13 3 2" xfId="130"/>
    <cellStyle name="Normal 13 3 3" xfId="176"/>
    <cellStyle name="Normal 14" xfId="81"/>
    <cellStyle name="Normal 14 2" xfId="105"/>
    <cellStyle name="Normal 14 3" xfId="151"/>
    <cellStyle name="Normal 15" xfId="82"/>
    <cellStyle name="Normal 15 2" xfId="1076"/>
    <cellStyle name="Normal 15 2 2" xfId="1397"/>
    <cellStyle name="Normal 15 2 2 2" xfId="2632"/>
    <cellStyle name="Normal 15 2 2 2 2" xfId="7914"/>
    <cellStyle name="Normal 15 2 2 3" xfId="3707"/>
    <cellStyle name="Normal 15 2 2 3 2" xfId="8722"/>
    <cellStyle name="Normal 15 2 2 4" xfId="6693"/>
    <cellStyle name="Normal 15 2 2 5" xfId="10176"/>
    <cellStyle name="Normal 15 2 2 6" xfId="5508"/>
    <cellStyle name="Normal 15 2 3" xfId="2028"/>
    <cellStyle name="Normal 15 2 3 2" xfId="4295"/>
    <cellStyle name="Normal 15 2 3 2 2" xfId="9310"/>
    <cellStyle name="Normal 15 2 3 3" xfId="10764"/>
    <cellStyle name="Normal 15 2 3 4" xfId="7317"/>
    <cellStyle name="Normal 15 2 4" xfId="3358"/>
    <cellStyle name="Normal 15 2 4 2" xfId="8374"/>
    <cellStyle name="Normal 15 2 5" xfId="6433"/>
    <cellStyle name="Normal 15 2 6" xfId="9828"/>
    <cellStyle name="Normal 15 2 7" xfId="4910"/>
    <cellStyle name="Normal 15 2_Degree data" xfId="2744"/>
    <cellStyle name="Normal 16" xfId="38"/>
    <cellStyle name="Normal 17" xfId="39"/>
    <cellStyle name="Normal 18" xfId="40"/>
    <cellStyle name="Normal 19" xfId="75"/>
    <cellStyle name="Normal 19 2" xfId="124"/>
    <cellStyle name="Normal 19 3" xfId="148"/>
    <cellStyle name="Normal 2" xfId="2"/>
    <cellStyle name="Normal 2 2" xfId="26"/>
    <cellStyle name="Normal 2 2 2" xfId="73"/>
    <cellStyle name="Normal 2 3" xfId="119"/>
    <cellStyle name="Normal 2 3 2" xfId="120"/>
    <cellStyle name="Normal 2 4" xfId="21"/>
    <cellStyle name="Normal 2 4 2" xfId="454"/>
    <cellStyle name="Normal 2 4 3" xfId="141"/>
    <cellStyle name="Normal 2 5" xfId="22"/>
    <cellStyle name="Normal 2 5 10" xfId="650"/>
    <cellStyle name="Normal 2 5 10 2" xfId="1078"/>
    <cellStyle name="Normal 2 5 10 2 2" xfId="2030"/>
    <cellStyle name="Normal 2 5 10 2 2 2" xfId="7319"/>
    <cellStyle name="Normal 2 5 10 2 3" xfId="3360"/>
    <cellStyle name="Normal 2 5 10 2 3 2" xfId="8376"/>
    <cellStyle name="Normal 2 5 10 2 4" xfId="6435"/>
    <cellStyle name="Normal 2 5 10 2 5" xfId="9830"/>
    <cellStyle name="Normal 2 5 10 2 6" xfId="4912"/>
    <cellStyle name="Normal 2 5 10 3" xfId="1391"/>
    <cellStyle name="Normal 2 5 10 3 2" xfId="2318"/>
    <cellStyle name="Normal 2 5 10 3 2 2" xfId="7600"/>
    <cellStyle name="Normal 2 5 10 3 3" xfId="3709"/>
    <cellStyle name="Normal 2 5 10 3 3 2" xfId="8724"/>
    <cellStyle name="Normal 2 5 10 3 4" xfId="6687"/>
    <cellStyle name="Normal 2 5 10 3 5" xfId="10178"/>
    <cellStyle name="Normal 2 5 10 3 6" xfId="5194"/>
    <cellStyle name="Normal 2 5 10 4" xfId="1602"/>
    <cellStyle name="Normal 2 5 10 4 2" xfId="3981"/>
    <cellStyle name="Normal 2 5 10 4 2 2" xfId="8996"/>
    <cellStyle name="Normal 2 5 10 4 3" xfId="10450"/>
    <cellStyle name="Normal 2 5 10 4 4" xfId="6891"/>
    <cellStyle name="Normal 2 5 10 5" xfId="2935"/>
    <cellStyle name="Normal 2 5 10 5 2" xfId="7951"/>
    <cellStyle name="Normal 2 5 10 6" xfId="6007"/>
    <cellStyle name="Normal 2 5 10 7" xfId="9407"/>
    <cellStyle name="Normal 2 5 10 8" xfId="4484"/>
    <cellStyle name="Normal 2 5 10_Degree data" xfId="2741"/>
    <cellStyle name="Normal 2 5 11" xfId="1077"/>
    <cellStyle name="Normal 2 5 11 2" xfId="2029"/>
    <cellStyle name="Normal 2 5 11 2 2" xfId="7318"/>
    <cellStyle name="Normal 2 5 11 3" xfId="3359"/>
    <cellStyle name="Normal 2 5 11 3 2" xfId="8375"/>
    <cellStyle name="Normal 2 5 11 4" xfId="6434"/>
    <cellStyle name="Normal 2 5 11 5" xfId="9829"/>
    <cellStyle name="Normal 2 5 11 6" xfId="4911"/>
    <cellStyle name="Normal 2 5 12" xfId="467"/>
    <cellStyle name="Normal 2 5 12 2" xfId="2286"/>
    <cellStyle name="Normal 2 5 12 2 2" xfId="7568"/>
    <cellStyle name="Normal 2 5 12 3" xfId="3708"/>
    <cellStyle name="Normal 2 5 12 3 2" xfId="8723"/>
    <cellStyle name="Normal 2 5 12 4" xfId="5834"/>
    <cellStyle name="Normal 2 5 12 5" xfId="10177"/>
    <cellStyle name="Normal 2 5 12 6" xfId="5162"/>
    <cellStyle name="Normal 2 5 13" xfId="1428"/>
    <cellStyle name="Normal 2 5 13 2" xfId="3949"/>
    <cellStyle name="Normal 2 5 13 2 2" xfId="8964"/>
    <cellStyle name="Normal 2 5 13 3" xfId="10418"/>
    <cellStyle name="Normal 2 5 13 4" xfId="6720"/>
    <cellStyle name="Normal 2 5 14" xfId="2902"/>
    <cellStyle name="Normal 2 5 14 2" xfId="9375"/>
    <cellStyle name="Normal 2 5 14 3" xfId="7918"/>
    <cellStyle name="Normal 2 5 15" xfId="5514"/>
    <cellStyle name="Normal 2 5 16" xfId="9335"/>
    <cellStyle name="Normal 2 5 17" xfId="4314"/>
    <cellStyle name="Normal 2 5 18" xfId="72"/>
    <cellStyle name="Normal 2 5 2" xfId="121"/>
    <cellStyle name="Normal 2 5 2 10" xfId="1442"/>
    <cellStyle name="Normal 2 5 2 10 2" xfId="3957"/>
    <cellStyle name="Normal 2 5 2 10 2 2" xfId="8972"/>
    <cellStyle name="Normal 2 5 2 10 3" xfId="10426"/>
    <cellStyle name="Normal 2 5 2 10 4" xfId="6733"/>
    <cellStyle name="Normal 2 5 2 11" xfId="2911"/>
    <cellStyle name="Normal 2 5 2 11 2" xfId="9383"/>
    <cellStyle name="Normal 2 5 2 11 3" xfId="7927"/>
    <cellStyle name="Normal 2 5 2 12" xfId="5522"/>
    <cellStyle name="Normal 2 5 2 13" xfId="9343"/>
    <cellStyle name="Normal 2 5 2 14" xfId="4327"/>
    <cellStyle name="Normal 2 5 2 2" xfId="164"/>
    <cellStyle name="Normal 2 5 2 2 10" xfId="5547"/>
    <cellStyle name="Normal 2 5 2 2 11" xfId="9365"/>
    <cellStyle name="Normal 2 5 2 2 12" xfId="4357"/>
    <cellStyle name="Normal 2 5 2 2 2" xfId="274"/>
    <cellStyle name="Normal 2 5 2 2 2 10" xfId="4400"/>
    <cellStyle name="Normal 2 5 2 2 2 2" xfId="376"/>
    <cellStyle name="Normal 2 5 2 2 2 2 2" xfId="1082"/>
    <cellStyle name="Normal 2 5 2 2 2 2 2 2" xfId="2034"/>
    <cellStyle name="Normal 2 5 2 2 2 2 2 2 2" xfId="7323"/>
    <cellStyle name="Normal 2 5 2 2 2 2 2 3" xfId="3364"/>
    <cellStyle name="Normal 2 5 2 2 2 2 2 3 2" xfId="8380"/>
    <cellStyle name="Normal 2 5 2 2 2 2 2 4" xfId="6439"/>
    <cellStyle name="Normal 2 5 2 2 2 2 2 5" xfId="9834"/>
    <cellStyle name="Normal 2 5 2 2 2 2 2 6" xfId="4916"/>
    <cellStyle name="Normal 2 5 2 2 2 2 3" xfId="883"/>
    <cellStyle name="Normal 2 5 2 2 2 2 3 2" xfId="2551"/>
    <cellStyle name="Normal 2 5 2 2 2 2 3 2 2" xfId="7833"/>
    <cellStyle name="Normal 2 5 2 2 2 2 3 3" xfId="3713"/>
    <cellStyle name="Normal 2 5 2 2 2 2 3 3 2" xfId="8728"/>
    <cellStyle name="Normal 2 5 2 2 2 2 3 4" xfId="6240"/>
    <cellStyle name="Normal 2 5 2 2 2 2 3 5" xfId="10182"/>
    <cellStyle name="Normal 2 5 2 2 2 2 3 6" xfId="5427"/>
    <cellStyle name="Normal 2 5 2 2 2 2 4" xfId="1835"/>
    <cellStyle name="Normal 2 5 2 2 2 2 4 2" xfId="4214"/>
    <cellStyle name="Normal 2 5 2 2 2 2 4 2 2" xfId="9229"/>
    <cellStyle name="Normal 2 5 2 2 2 2 4 3" xfId="10683"/>
    <cellStyle name="Normal 2 5 2 2 2 2 4 4" xfId="7124"/>
    <cellStyle name="Normal 2 5 2 2 2 2 5" xfId="3170"/>
    <cellStyle name="Normal 2 5 2 2 2 2 5 2" xfId="8186"/>
    <cellStyle name="Normal 2 5 2 2 2 2 6" xfId="5747"/>
    <cellStyle name="Normal 2 5 2 2 2 2 7" xfId="9640"/>
    <cellStyle name="Normal 2 5 2 2 2 2 8" xfId="4717"/>
    <cellStyle name="Normal 2 5 2 2 2 2_Degree data" xfId="2676"/>
    <cellStyle name="Normal 2 5 2 2 2 3" xfId="783"/>
    <cellStyle name="Normal 2 5 2 2 2 3 2" xfId="1735"/>
    <cellStyle name="Normal 2 5 2 2 2 3 2 2" xfId="7024"/>
    <cellStyle name="Normal 2 5 2 2 2 3 3" xfId="3363"/>
    <cellStyle name="Normal 2 5 2 2 2 3 3 2" xfId="8379"/>
    <cellStyle name="Normal 2 5 2 2 2 3 4" xfId="6140"/>
    <cellStyle name="Normal 2 5 2 2 2 3 5" xfId="9833"/>
    <cellStyle name="Normal 2 5 2 2 2 3 6" xfId="4617"/>
    <cellStyle name="Normal 2 5 2 2 2 4" xfId="1081"/>
    <cellStyle name="Normal 2 5 2 2 2 4 2" xfId="2033"/>
    <cellStyle name="Normal 2 5 2 2 2 4 2 2" xfId="7322"/>
    <cellStyle name="Normal 2 5 2 2 2 4 3" xfId="3712"/>
    <cellStyle name="Normal 2 5 2 2 2 4 3 2" xfId="8727"/>
    <cellStyle name="Normal 2 5 2 2 2 4 4" xfId="6438"/>
    <cellStyle name="Normal 2 5 2 2 2 4 5" xfId="10181"/>
    <cellStyle name="Normal 2 5 2 2 2 4 6" xfId="4915"/>
    <cellStyle name="Normal 2 5 2 2 2 5" xfId="563"/>
    <cellStyle name="Normal 2 5 2 2 2 5 2" xfId="2451"/>
    <cellStyle name="Normal 2 5 2 2 2 5 2 2" xfId="7733"/>
    <cellStyle name="Normal 2 5 2 2 2 5 3" xfId="4114"/>
    <cellStyle name="Normal 2 5 2 2 2 5 3 2" xfId="9129"/>
    <cellStyle name="Normal 2 5 2 2 2 5 4" xfId="5921"/>
    <cellStyle name="Normal 2 5 2 2 2 5 5" xfId="10583"/>
    <cellStyle name="Normal 2 5 2 2 2 5 6" xfId="5327"/>
    <cellStyle name="Normal 2 5 2 2 2 6" xfId="1518"/>
    <cellStyle name="Normal 2 5 2 2 2 6 2" xfId="6807"/>
    <cellStyle name="Normal 2 5 2 2 2 7" xfId="3070"/>
    <cellStyle name="Normal 2 5 2 2 2 7 2" xfId="8086"/>
    <cellStyle name="Normal 2 5 2 2 2 8" xfId="5647"/>
    <cellStyle name="Normal 2 5 2 2 2 9" xfId="9540"/>
    <cellStyle name="Normal 2 5 2 2 2_Degree data" xfId="2737"/>
    <cellStyle name="Normal 2 5 2 2 3" xfId="229"/>
    <cellStyle name="Normal 2 5 2 2 3 10" xfId="4461"/>
    <cellStyle name="Normal 2 5 2 2 3 2" xfId="438"/>
    <cellStyle name="Normal 2 5 2 2 3 2 2" xfId="1084"/>
    <cellStyle name="Normal 2 5 2 2 3 2 2 2" xfId="2036"/>
    <cellStyle name="Normal 2 5 2 2 3 2 2 2 2" xfId="7325"/>
    <cellStyle name="Normal 2 5 2 2 3 2 2 3" xfId="3366"/>
    <cellStyle name="Normal 2 5 2 2 3 2 2 3 2" xfId="8382"/>
    <cellStyle name="Normal 2 5 2 2 3 2 2 4" xfId="6441"/>
    <cellStyle name="Normal 2 5 2 2 3 2 2 5" xfId="9836"/>
    <cellStyle name="Normal 2 5 2 2 3 2 2 6" xfId="4918"/>
    <cellStyle name="Normal 2 5 2 2 3 2 3" xfId="944"/>
    <cellStyle name="Normal 2 5 2 2 3 2 3 2" xfId="2612"/>
    <cellStyle name="Normal 2 5 2 2 3 2 3 2 2" xfId="7894"/>
    <cellStyle name="Normal 2 5 2 2 3 2 3 3" xfId="3715"/>
    <cellStyle name="Normal 2 5 2 2 3 2 3 3 2" xfId="8730"/>
    <cellStyle name="Normal 2 5 2 2 3 2 3 4" xfId="6301"/>
    <cellStyle name="Normal 2 5 2 2 3 2 3 5" xfId="10184"/>
    <cellStyle name="Normal 2 5 2 2 3 2 3 6" xfId="5488"/>
    <cellStyle name="Normal 2 5 2 2 3 2 4" xfId="1896"/>
    <cellStyle name="Normal 2 5 2 2 3 2 4 2" xfId="4275"/>
    <cellStyle name="Normal 2 5 2 2 3 2 4 2 2" xfId="9290"/>
    <cellStyle name="Normal 2 5 2 2 3 2 4 3" xfId="10744"/>
    <cellStyle name="Normal 2 5 2 2 3 2 4 4" xfId="7185"/>
    <cellStyle name="Normal 2 5 2 2 3 2 5" xfId="3231"/>
    <cellStyle name="Normal 2 5 2 2 3 2 5 2" xfId="8247"/>
    <cellStyle name="Normal 2 5 2 2 3 2 6" xfId="5808"/>
    <cellStyle name="Normal 2 5 2 2 3 2 7" xfId="9701"/>
    <cellStyle name="Normal 2 5 2 2 3 2 8" xfId="4778"/>
    <cellStyle name="Normal 2 5 2 2 3 2_Degree data" xfId="2683"/>
    <cellStyle name="Normal 2 5 2 2 3 3" xfId="740"/>
    <cellStyle name="Normal 2 5 2 2 3 3 2" xfId="1692"/>
    <cellStyle name="Normal 2 5 2 2 3 3 2 2" xfId="6981"/>
    <cellStyle name="Normal 2 5 2 2 3 3 3" xfId="3365"/>
    <cellStyle name="Normal 2 5 2 2 3 3 3 2" xfId="8381"/>
    <cellStyle name="Normal 2 5 2 2 3 3 4" xfId="6097"/>
    <cellStyle name="Normal 2 5 2 2 3 3 5" xfId="9835"/>
    <cellStyle name="Normal 2 5 2 2 3 3 6" xfId="4574"/>
    <cellStyle name="Normal 2 5 2 2 3 4" xfId="1083"/>
    <cellStyle name="Normal 2 5 2 2 3 4 2" xfId="2035"/>
    <cellStyle name="Normal 2 5 2 2 3 4 2 2" xfId="7324"/>
    <cellStyle name="Normal 2 5 2 2 3 4 3" xfId="3714"/>
    <cellStyle name="Normal 2 5 2 2 3 4 3 2" xfId="8729"/>
    <cellStyle name="Normal 2 5 2 2 3 4 4" xfId="6440"/>
    <cellStyle name="Normal 2 5 2 2 3 4 5" xfId="10183"/>
    <cellStyle name="Normal 2 5 2 2 3 4 6" xfId="4917"/>
    <cellStyle name="Normal 2 5 2 2 3 5" xfId="624"/>
    <cellStyle name="Normal 2 5 2 2 3 5 2" xfId="2408"/>
    <cellStyle name="Normal 2 5 2 2 3 5 2 2" xfId="7690"/>
    <cellStyle name="Normal 2 5 2 2 3 5 3" xfId="4071"/>
    <cellStyle name="Normal 2 5 2 2 3 5 3 2" xfId="9086"/>
    <cellStyle name="Normal 2 5 2 2 3 5 4" xfId="5982"/>
    <cellStyle name="Normal 2 5 2 2 3 5 5" xfId="10540"/>
    <cellStyle name="Normal 2 5 2 2 3 5 6" xfId="5284"/>
    <cellStyle name="Normal 2 5 2 2 3 6" xfId="1579"/>
    <cellStyle name="Normal 2 5 2 2 3 6 2" xfId="6868"/>
    <cellStyle name="Normal 2 5 2 2 3 7" xfId="3027"/>
    <cellStyle name="Normal 2 5 2 2 3 7 2" xfId="8043"/>
    <cellStyle name="Normal 2 5 2 2 3 8" xfId="5604"/>
    <cellStyle name="Normal 2 5 2 2 3 9" xfId="9497"/>
    <cellStyle name="Normal 2 5 2 2 3_Degree data" xfId="2638"/>
    <cellStyle name="Normal 2 5 2 2 4" xfId="331"/>
    <cellStyle name="Normal 2 5 2 2 4 2" xfId="1085"/>
    <cellStyle name="Normal 2 5 2 2 4 2 2" xfId="2037"/>
    <cellStyle name="Normal 2 5 2 2 4 2 2 2" xfId="7326"/>
    <cellStyle name="Normal 2 5 2 2 4 2 3" xfId="3367"/>
    <cellStyle name="Normal 2 5 2 2 4 2 3 2" xfId="8383"/>
    <cellStyle name="Normal 2 5 2 2 4 2 4" xfId="6442"/>
    <cellStyle name="Normal 2 5 2 2 4 2 5" xfId="9837"/>
    <cellStyle name="Normal 2 5 2 2 4 2 6" xfId="4919"/>
    <cellStyle name="Normal 2 5 2 2 4 3" xfId="840"/>
    <cellStyle name="Normal 2 5 2 2 4 3 2" xfId="2508"/>
    <cellStyle name="Normal 2 5 2 2 4 3 2 2" xfId="7790"/>
    <cellStyle name="Normal 2 5 2 2 4 3 3" xfId="3716"/>
    <cellStyle name="Normal 2 5 2 2 4 3 3 2" xfId="8731"/>
    <cellStyle name="Normal 2 5 2 2 4 3 4" xfId="6197"/>
    <cellStyle name="Normal 2 5 2 2 4 3 5" xfId="10185"/>
    <cellStyle name="Normal 2 5 2 2 4 3 6" xfId="5384"/>
    <cellStyle name="Normal 2 5 2 2 4 4" xfId="1792"/>
    <cellStyle name="Normal 2 5 2 2 4 4 2" xfId="4171"/>
    <cellStyle name="Normal 2 5 2 2 4 4 2 2" xfId="9186"/>
    <cellStyle name="Normal 2 5 2 2 4 4 3" xfId="10640"/>
    <cellStyle name="Normal 2 5 2 2 4 4 4" xfId="7081"/>
    <cellStyle name="Normal 2 5 2 2 4 5" xfId="3127"/>
    <cellStyle name="Normal 2 5 2 2 4 5 2" xfId="8143"/>
    <cellStyle name="Normal 2 5 2 2 4 6" xfId="5704"/>
    <cellStyle name="Normal 2 5 2 2 4 7" xfId="9597"/>
    <cellStyle name="Normal 2 5 2 2 4 8" xfId="4674"/>
    <cellStyle name="Normal 2 5 2 2 4_Degree data" xfId="2664"/>
    <cellStyle name="Normal 2 5 2 2 5" xfId="683"/>
    <cellStyle name="Normal 2 5 2 2 5 2" xfId="1086"/>
    <cellStyle name="Normal 2 5 2 2 5 2 2" xfId="2038"/>
    <cellStyle name="Normal 2 5 2 2 5 2 2 2" xfId="7327"/>
    <cellStyle name="Normal 2 5 2 2 5 2 3" xfId="3368"/>
    <cellStyle name="Normal 2 5 2 2 5 2 3 2" xfId="8384"/>
    <cellStyle name="Normal 2 5 2 2 5 2 4" xfId="6443"/>
    <cellStyle name="Normal 2 5 2 2 5 2 5" xfId="9838"/>
    <cellStyle name="Normal 2 5 2 2 5 2 6" xfId="4920"/>
    <cellStyle name="Normal 2 5 2 2 5 3" xfId="1402"/>
    <cellStyle name="Normal 2 5 2 2 5 3 2" xfId="2351"/>
    <cellStyle name="Normal 2 5 2 2 5 3 2 2" xfId="7633"/>
    <cellStyle name="Normal 2 5 2 2 5 3 3" xfId="3717"/>
    <cellStyle name="Normal 2 5 2 2 5 3 3 2" xfId="8732"/>
    <cellStyle name="Normal 2 5 2 2 5 3 4" xfId="6698"/>
    <cellStyle name="Normal 2 5 2 2 5 3 5" xfId="10186"/>
    <cellStyle name="Normal 2 5 2 2 5 3 6" xfId="5227"/>
    <cellStyle name="Normal 2 5 2 2 5 4" xfId="1635"/>
    <cellStyle name="Normal 2 5 2 2 5 4 2" xfId="4014"/>
    <cellStyle name="Normal 2 5 2 2 5 4 2 2" xfId="9029"/>
    <cellStyle name="Normal 2 5 2 2 5 4 3" xfId="10483"/>
    <cellStyle name="Normal 2 5 2 2 5 4 4" xfId="6924"/>
    <cellStyle name="Normal 2 5 2 2 5 5" xfId="2968"/>
    <cellStyle name="Normal 2 5 2 2 5 5 2" xfId="7984"/>
    <cellStyle name="Normal 2 5 2 2 5 6" xfId="6040"/>
    <cellStyle name="Normal 2 5 2 2 5 7" xfId="9440"/>
    <cellStyle name="Normal 2 5 2 2 5 8" xfId="4517"/>
    <cellStyle name="Normal 2 5 2 2 5_Degree data" xfId="2634"/>
    <cellStyle name="Normal 2 5 2 2 6" xfId="1080"/>
    <cellStyle name="Normal 2 5 2 2 6 2" xfId="2032"/>
    <cellStyle name="Normal 2 5 2 2 6 2 2" xfId="7321"/>
    <cellStyle name="Normal 2 5 2 2 6 3" xfId="3362"/>
    <cellStyle name="Normal 2 5 2 2 6 3 2" xfId="8378"/>
    <cellStyle name="Normal 2 5 2 2 6 4" xfId="6437"/>
    <cellStyle name="Normal 2 5 2 2 6 5" xfId="9832"/>
    <cellStyle name="Normal 2 5 2 2 6 6" xfId="4914"/>
    <cellStyle name="Normal 2 5 2 2 7" xfId="517"/>
    <cellStyle name="Normal 2 5 2 2 7 2" xfId="2306"/>
    <cellStyle name="Normal 2 5 2 2 7 2 2" xfId="7588"/>
    <cellStyle name="Normal 2 5 2 2 7 3" xfId="3711"/>
    <cellStyle name="Normal 2 5 2 2 7 3 2" xfId="8726"/>
    <cellStyle name="Normal 2 5 2 2 7 4" xfId="5878"/>
    <cellStyle name="Normal 2 5 2 2 7 5" xfId="10180"/>
    <cellStyle name="Normal 2 5 2 2 7 6" xfId="5182"/>
    <cellStyle name="Normal 2 5 2 2 8" xfId="1475"/>
    <cellStyle name="Normal 2 5 2 2 8 2" xfId="3969"/>
    <cellStyle name="Normal 2 5 2 2 8 2 2" xfId="8984"/>
    <cellStyle name="Normal 2 5 2 2 8 3" xfId="10438"/>
    <cellStyle name="Normal 2 5 2 2 8 4" xfId="6764"/>
    <cellStyle name="Normal 2 5 2 2 9" xfId="2923"/>
    <cellStyle name="Normal 2 5 2 2 9 2" xfId="9395"/>
    <cellStyle name="Normal 2 5 2 2 9 3" xfId="7939"/>
    <cellStyle name="Normal 2 5 2 2_Degree data" xfId="2739"/>
    <cellStyle name="Normal 2 5 2 3" xfId="140"/>
    <cellStyle name="Normal 2 5 2 3 10" xfId="5533"/>
    <cellStyle name="Normal 2 5 2 3 11" xfId="9353"/>
    <cellStyle name="Normal 2 5 2 3 12" xfId="4345"/>
    <cellStyle name="Normal 2 5 2 3 2" xfId="261"/>
    <cellStyle name="Normal 2 5 2 3 2 10" xfId="4388"/>
    <cellStyle name="Normal 2 5 2 3 2 2" xfId="363"/>
    <cellStyle name="Normal 2 5 2 3 2 2 2" xfId="1089"/>
    <cellStyle name="Normal 2 5 2 3 2 2 2 2" xfId="2041"/>
    <cellStyle name="Normal 2 5 2 3 2 2 2 2 2" xfId="7330"/>
    <cellStyle name="Normal 2 5 2 3 2 2 2 3" xfId="3371"/>
    <cellStyle name="Normal 2 5 2 3 2 2 2 3 2" xfId="8387"/>
    <cellStyle name="Normal 2 5 2 3 2 2 2 4" xfId="6446"/>
    <cellStyle name="Normal 2 5 2 3 2 2 2 5" xfId="9841"/>
    <cellStyle name="Normal 2 5 2 3 2 2 2 6" xfId="4923"/>
    <cellStyle name="Normal 2 5 2 3 2 2 3" xfId="871"/>
    <cellStyle name="Normal 2 5 2 3 2 2 3 2" xfId="2539"/>
    <cellStyle name="Normal 2 5 2 3 2 2 3 2 2" xfId="7821"/>
    <cellStyle name="Normal 2 5 2 3 2 2 3 3" xfId="3720"/>
    <cellStyle name="Normal 2 5 2 3 2 2 3 3 2" xfId="8735"/>
    <cellStyle name="Normal 2 5 2 3 2 2 3 4" xfId="6228"/>
    <cellStyle name="Normal 2 5 2 3 2 2 3 5" xfId="10189"/>
    <cellStyle name="Normal 2 5 2 3 2 2 3 6" xfId="5415"/>
    <cellStyle name="Normal 2 5 2 3 2 2 4" xfId="1823"/>
    <cellStyle name="Normal 2 5 2 3 2 2 4 2" xfId="4202"/>
    <cellStyle name="Normal 2 5 2 3 2 2 4 2 2" xfId="9217"/>
    <cellStyle name="Normal 2 5 2 3 2 2 4 3" xfId="10671"/>
    <cellStyle name="Normal 2 5 2 3 2 2 4 4" xfId="7112"/>
    <cellStyle name="Normal 2 5 2 3 2 2 5" xfId="3158"/>
    <cellStyle name="Normal 2 5 2 3 2 2 5 2" xfId="8174"/>
    <cellStyle name="Normal 2 5 2 3 2 2 6" xfId="5735"/>
    <cellStyle name="Normal 2 5 2 3 2 2 7" xfId="9628"/>
    <cellStyle name="Normal 2 5 2 3 2 2 8" xfId="4705"/>
    <cellStyle name="Normal 2 5 2 3 2 2_Degree data" xfId="2668"/>
    <cellStyle name="Normal 2 5 2 3 2 3" xfId="771"/>
    <cellStyle name="Normal 2 5 2 3 2 3 2" xfId="1723"/>
    <cellStyle name="Normal 2 5 2 3 2 3 2 2" xfId="7012"/>
    <cellStyle name="Normal 2 5 2 3 2 3 3" xfId="3370"/>
    <cellStyle name="Normal 2 5 2 3 2 3 3 2" xfId="8386"/>
    <cellStyle name="Normal 2 5 2 3 2 3 4" xfId="6128"/>
    <cellStyle name="Normal 2 5 2 3 2 3 5" xfId="9840"/>
    <cellStyle name="Normal 2 5 2 3 2 3 6" xfId="4605"/>
    <cellStyle name="Normal 2 5 2 3 2 4" xfId="1088"/>
    <cellStyle name="Normal 2 5 2 3 2 4 2" xfId="2040"/>
    <cellStyle name="Normal 2 5 2 3 2 4 2 2" xfId="7329"/>
    <cellStyle name="Normal 2 5 2 3 2 4 3" xfId="3719"/>
    <cellStyle name="Normal 2 5 2 3 2 4 3 2" xfId="8734"/>
    <cellStyle name="Normal 2 5 2 3 2 4 4" xfId="6445"/>
    <cellStyle name="Normal 2 5 2 3 2 4 5" xfId="10188"/>
    <cellStyle name="Normal 2 5 2 3 2 4 6" xfId="4922"/>
    <cellStyle name="Normal 2 5 2 3 2 5" xfId="550"/>
    <cellStyle name="Normal 2 5 2 3 2 5 2" xfId="2439"/>
    <cellStyle name="Normal 2 5 2 3 2 5 2 2" xfId="7721"/>
    <cellStyle name="Normal 2 5 2 3 2 5 3" xfId="4102"/>
    <cellStyle name="Normal 2 5 2 3 2 5 3 2" xfId="9117"/>
    <cellStyle name="Normal 2 5 2 3 2 5 4" xfId="5909"/>
    <cellStyle name="Normal 2 5 2 3 2 5 5" xfId="10571"/>
    <cellStyle name="Normal 2 5 2 3 2 5 6" xfId="5315"/>
    <cellStyle name="Normal 2 5 2 3 2 6" xfId="1506"/>
    <cellStyle name="Normal 2 5 2 3 2 6 2" xfId="6795"/>
    <cellStyle name="Normal 2 5 2 3 2 7" xfId="3058"/>
    <cellStyle name="Normal 2 5 2 3 2 7 2" xfId="8074"/>
    <cellStyle name="Normal 2 5 2 3 2 8" xfId="5635"/>
    <cellStyle name="Normal 2 5 2 3 2 9" xfId="9528"/>
    <cellStyle name="Normal 2 5 2 3 2_Degree data" xfId="2732"/>
    <cellStyle name="Normal 2 5 2 3 3" xfId="216"/>
    <cellStyle name="Normal 2 5 2 3 3 10" xfId="4450"/>
    <cellStyle name="Normal 2 5 2 3 3 2" xfId="427"/>
    <cellStyle name="Normal 2 5 2 3 3 2 2" xfId="1091"/>
    <cellStyle name="Normal 2 5 2 3 3 2 2 2" xfId="2043"/>
    <cellStyle name="Normal 2 5 2 3 3 2 2 2 2" xfId="7332"/>
    <cellStyle name="Normal 2 5 2 3 3 2 2 3" xfId="3373"/>
    <cellStyle name="Normal 2 5 2 3 3 2 2 3 2" xfId="8389"/>
    <cellStyle name="Normal 2 5 2 3 3 2 2 4" xfId="6448"/>
    <cellStyle name="Normal 2 5 2 3 3 2 2 5" xfId="9843"/>
    <cellStyle name="Normal 2 5 2 3 3 2 2 6" xfId="4925"/>
    <cellStyle name="Normal 2 5 2 3 3 2 3" xfId="933"/>
    <cellStyle name="Normal 2 5 2 3 3 2 3 2" xfId="2601"/>
    <cellStyle name="Normal 2 5 2 3 3 2 3 2 2" xfId="7883"/>
    <cellStyle name="Normal 2 5 2 3 3 2 3 3" xfId="3722"/>
    <cellStyle name="Normal 2 5 2 3 3 2 3 3 2" xfId="8737"/>
    <cellStyle name="Normal 2 5 2 3 3 2 3 4" xfId="6290"/>
    <cellStyle name="Normal 2 5 2 3 3 2 3 5" xfId="10191"/>
    <cellStyle name="Normal 2 5 2 3 3 2 3 6" xfId="5477"/>
    <cellStyle name="Normal 2 5 2 3 3 2 4" xfId="1885"/>
    <cellStyle name="Normal 2 5 2 3 3 2 4 2" xfId="4264"/>
    <cellStyle name="Normal 2 5 2 3 3 2 4 2 2" xfId="9279"/>
    <cellStyle name="Normal 2 5 2 3 3 2 4 3" xfId="10733"/>
    <cellStyle name="Normal 2 5 2 3 3 2 4 4" xfId="7174"/>
    <cellStyle name="Normal 2 5 2 3 3 2 5" xfId="3220"/>
    <cellStyle name="Normal 2 5 2 3 3 2 5 2" xfId="8236"/>
    <cellStyle name="Normal 2 5 2 3 3 2 6" xfId="5797"/>
    <cellStyle name="Normal 2 5 2 3 3 2 7" xfId="9690"/>
    <cellStyle name="Normal 2 5 2 3 3 2 8" xfId="4767"/>
    <cellStyle name="Normal 2 5 2 3 3 2_Degree data" xfId="2733"/>
    <cellStyle name="Normal 2 5 2 3 3 3" xfId="728"/>
    <cellStyle name="Normal 2 5 2 3 3 3 2" xfId="1680"/>
    <cellStyle name="Normal 2 5 2 3 3 3 2 2" xfId="6969"/>
    <cellStyle name="Normal 2 5 2 3 3 3 3" xfId="3372"/>
    <cellStyle name="Normal 2 5 2 3 3 3 3 2" xfId="8388"/>
    <cellStyle name="Normal 2 5 2 3 3 3 4" xfId="6085"/>
    <cellStyle name="Normal 2 5 2 3 3 3 5" xfId="9842"/>
    <cellStyle name="Normal 2 5 2 3 3 3 6" xfId="4562"/>
    <cellStyle name="Normal 2 5 2 3 3 4" xfId="1090"/>
    <cellStyle name="Normal 2 5 2 3 3 4 2" xfId="2042"/>
    <cellStyle name="Normal 2 5 2 3 3 4 2 2" xfId="7331"/>
    <cellStyle name="Normal 2 5 2 3 3 4 3" xfId="3721"/>
    <cellStyle name="Normal 2 5 2 3 3 4 3 2" xfId="8736"/>
    <cellStyle name="Normal 2 5 2 3 3 4 4" xfId="6447"/>
    <cellStyle name="Normal 2 5 2 3 3 4 5" xfId="10190"/>
    <cellStyle name="Normal 2 5 2 3 3 4 6" xfId="4924"/>
    <cellStyle name="Normal 2 5 2 3 3 5" xfId="613"/>
    <cellStyle name="Normal 2 5 2 3 3 5 2" xfId="2396"/>
    <cellStyle name="Normal 2 5 2 3 3 5 2 2" xfId="7678"/>
    <cellStyle name="Normal 2 5 2 3 3 5 3" xfId="4059"/>
    <cellStyle name="Normal 2 5 2 3 3 5 3 2" xfId="9074"/>
    <cellStyle name="Normal 2 5 2 3 3 5 4" xfId="5971"/>
    <cellStyle name="Normal 2 5 2 3 3 5 5" xfId="10528"/>
    <cellStyle name="Normal 2 5 2 3 3 5 6" xfId="5272"/>
    <cellStyle name="Normal 2 5 2 3 3 6" xfId="1568"/>
    <cellStyle name="Normal 2 5 2 3 3 6 2" xfId="6857"/>
    <cellStyle name="Normal 2 5 2 3 3 7" xfId="3015"/>
    <cellStyle name="Normal 2 5 2 3 3 7 2" xfId="8031"/>
    <cellStyle name="Normal 2 5 2 3 3 8" xfId="5592"/>
    <cellStyle name="Normal 2 5 2 3 3 9" xfId="9485"/>
    <cellStyle name="Normal 2 5 2 3 3_Degree data" xfId="2279"/>
    <cellStyle name="Normal 2 5 2 3 4" xfId="319"/>
    <cellStyle name="Normal 2 5 2 3 4 2" xfId="1092"/>
    <cellStyle name="Normal 2 5 2 3 4 2 2" xfId="2044"/>
    <cellStyle name="Normal 2 5 2 3 4 2 2 2" xfId="7333"/>
    <cellStyle name="Normal 2 5 2 3 4 2 3" xfId="3374"/>
    <cellStyle name="Normal 2 5 2 3 4 2 3 2" xfId="8390"/>
    <cellStyle name="Normal 2 5 2 3 4 2 4" xfId="6449"/>
    <cellStyle name="Normal 2 5 2 3 4 2 5" xfId="9844"/>
    <cellStyle name="Normal 2 5 2 3 4 2 6" xfId="4926"/>
    <cellStyle name="Normal 2 5 2 3 4 3" xfId="828"/>
    <cellStyle name="Normal 2 5 2 3 4 3 2" xfId="2496"/>
    <cellStyle name="Normal 2 5 2 3 4 3 2 2" xfId="7778"/>
    <cellStyle name="Normal 2 5 2 3 4 3 3" xfId="3723"/>
    <cellStyle name="Normal 2 5 2 3 4 3 3 2" xfId="8738"/>
    <cellStyle name="Normal 2 5 2 3 4 3 4" xfId="6185"/>
    <cellStyle name="Normal 2 5 2 3 4 3 5" xfId="10192"/>
    <cellStyle name="Normal 2 5 2 3 4 3 6" xfId="5372"/>
    <cellStyle name="Normal 2 5 2 3 4 4" xfId="1780"/>
    <cellStyle name="Normal 2 5 2 3 4 4 2" xfId="4159"/>
    <cellStyle name="Normal 2 5 2 3 4 4 2 2" xfId="9174"/>
    <cellStyle name="Normal 2 5 2 3 4 4 3" xfId="10628"/>
    <cellStyle name="Normal 2 5 2 3 4 4 4" xfId="7069"/>
    <cellStyle name="Normal 2 5 2 3 4 5" xfId="3115"/>
    <cellStyle name="Normal 2 5 2 3 4 5 2" xfId="8131"/>
    <cellStyle name="Normal 2 5 2 3 4 6" xfId="5692"/>
    <cellStyle name="Normal 2 5 2 3 4 7" xfId="9585"/>
    <cellStyle name="Normal 2 5 2 3 4 8" xfId="4662"/>
    <cellStyle name="Normal 2 5 2 3 4_Degree data" xfId="2727"/>
    <cellStyle name="Normal 2 5 2 3 5" xfId="669"/>
    <cellStyle name="Normal 2 5 2 3 5 2" xfId="1621"/>
    <cellStyle name="Normal 2 5 2 3 5 2 2" xfId="6910"/>
    <cellStyle name="Normal 2 5 2 3 5 3" xfId="3369"/>
    <cellStyle name="Normal 2 5 2 3 5 3 2" xfId="8385"/>
    <cellStyle name="Normal 2 5 2 3 5 4" xfId="6026"/>
    <cellStyle name="Normal 2 5 2 3 5 5" xfId="9839"/>
    <cellStyle name="Normal 2 5 2 3 5 6" xfId="4503"/>
    <cellStyle name="Normal 2 5 2 3 6" xfId="1087"/>
    <cellStyle name="Normal 2 5 2 3 6 2" xfId="2039"/>
    <cellStyle name="Normal 2 5 2 3 6 2 2" xfId="7328"/>
    <cellStyle name="Normal 2 5 2 3 6 3" xfId="3718"/>
    <cellStyle name="Normal 2 5 2 3 6 3 2" xfId="8733"/>
    <cellStyle name="Normal 2 5 2 3 6 4" xfId="6444"/>
    <cellStyle name="Normal 2 5 2 3 6 5" xfId="10187"/>
    <cellStyle name="Normal 2 5 2 3 6 6" xfId="4921"/>
    <cellStyle name="Normal 2 5 2 3 7" xfId="504"/>
    <cellStyle name="Normal 2 5 2 3 7 2" xfId="2337"/>
    <cellStyle name="Normal 2 5 2 3 7 2 2" xfId="7619"/>
    <cellStyle name="Normal 2 5 2 3 7 3" xfId="4000"/>
    <cellStyle name="Normal 2 5 2 3 7 3 2" xfId="9015"/>
    <cellStyle name="Normal 2 5 2 3 7 4" xfId="5865"/>
    <cellStyle name="Normal 2 5 2 3 7 5" xfId="10469"/>
    <cellStyle name="Normal 2 5 2 3 7 6" xfId="5213"/>
    <cellStyle name="Normal 2 5 2 3 8" xfId="1463"/>
    <cellStyle name="Normal 2 5 2 3 8 2" xfId="9426"/>
    <cellStyle name="Normal 2 5 2 3 8 3" xfId="6752"/>
    <cellStyle name="Normal 2 5 2 3 9" xfId="2954"/>
    <cellStyle name="Normal 2 5 2 3 9 2" xfId="7970"/>
    <cellStyle name="Normal 2 5 2 3_Degree data" xfId="2637"/>
    <cellStyle name="Normal 2 5 2 4" xfId="251"/>
    <cellStyle name="Normal 2 5 2 4 10" xfId="4378"/>
    <cellStyle name="Normal 2 5 2 4 2" xfId="353"/>
    <cellStyle name="Normal 2 5 2 4 2 2" xfId="1094"/>
    <cellStyle name="Normal 2 5 2 4 2 2 2" xfId="2046"/>
    <cellStyle name="Normal 2 5 2 4 2 2 2 2" xfId="7335"/>
    <cellStyle name="Normal 2 5 2 4 2 2 3" xfId="3376"/>
    <cellStyle name="Normal 2 5 2 4 2 2 3 2" xfId="8392"/>
    <cellStyle name="Normal 2 5 2 4 2 2 4" xfId="6451"/>
    <cellStyle name="Normal 2 5 2 4 2 2 5" xfId="9846"/>
    <cellStyle name="Normal 2 5 2 4 2 2 6" xfId="4928"/>
    <cellStyle name="Normal 2 5 2 4 2 3" xfId="861"/>
    <cellStyle name="Normal 2 5 2 4 2 3 2" xfId="2529"/>
    <cellStyle name="Normal 2 5 2 4 2 3 2 2" xfId="7811"/>
    <cellStyle name="Normal 2 5 2 4 2 3 3" xfId="3725"/>
    <cellStyle name="Normal 2 5 2 4 2 3 3 2" xfId="8740"/>
    <cellStyle name="Normal 2 5 2 4 2 3 4" xfId="6218"/>
    <cellStyle name="Normal 2 5 2 4 2 3 5" xfId="10194"/>
    <cellStyle name="Normal 2 5 2 4 2 3 6" xfId="5405"/>
    <cellStyle name="Normal 2 5 2 4 2 4" xfId="1813"/>
    <cellStyle name="Normal 2 5 2 4 2 4 2" xfId="4192"/>
    <cellStyle name="Normal 2 5 2 4 2 4 2 2" xfId="9207"/>
    <cellStyle name="Normal 2 5 2 4 2 4 3" xfId="10661"/>
    <cellStyle name="Normal 2 5 2 4 2 4 4" xfId="7102"/>
    <cellStyle name="Normal 2 5 2 4 2 5" xfId="3148"/>
    <cellStyle name="Normal 2 5 2 4 2 5 2" xfId="8164"/>
    <cellStyle name="Normal 2 5 2 4 2 6" xfId="5725"/>
    <cellStyle name="Normal 2 5 2 4 2 7" xfId="9618"/>
    <cellStyle name="Normal 2 5 2 4 2 8" xfId="4695"/>
    <cellStyle name="Normal 2 5 2 4 2_Degree data" xfId="2692"/>
    <cellStyle name="Normal 2 5 2 4 3" xfId="761"/>
    <cellStyle name="Normal 2 5 2 4 3 2" xfId="1713"/>
    <cellStyle name="Normal 2 5 2 4 3 2 2" xfId="7002"/>
    <cellStyle name="Normal 2 5 2 4 3 3" xfId="3375"/>
    <cellStyle name="Normal 2 5 2 4 3 3 2" xfId="8391"/>
    <cellStyle name="Normal 2 5 2 4 3 4" xfId="6118"/>
    <cellStyle name="Normal 2 5 2 4 3 5" xfId="9845"/>
    <cellStyle name="Normal 2 5 2 4 3 6" xfId="4595"/>
    <cellStyle name="Normal 2 5 2 4 4" xfId="1093"/>
    <cellStyle name="Normal 2 5 2 4 4 2" xfId="2045"/>
    <cellStyle name="Normal 2 5 2 4 4 2 2" xfId="7334"/>
    <cellStyle name="Normal 2 5 2 4 4 3" xfId="3724"/>
    <cellStyle name="Normal 2 5 2 4 4 3 2" xfId="8739"/>
    <cellStyle name="Normal 2 5 2 4 4 4" xfId="6450"/>
    <cellStyle name="Normal 2 5 2 4 4 5" xfId="10193"/>
    <cellStyle name="Normal 2 5 2 4 4 6" xfId="4927"/>
    <cellStyle name="Normal 2 5 2 4 5" xfId="540"/>
    <cellStyle name="Normal 2 5 2 4 5 2" xfId="2429"/>
    <cellStyle name="Normal 2 5 2 4 5 2 2" xfId="7711"/>
    <cellStyle name="Normal 2 5 2 4 5 3" xfId="4092"/>
    <cellStyle name="Normal 2 5 2 4 5 3 2" xfId="9107"/>
    <cellStyle name="Normal 2 5 2 4 5 4" xfId="5899"/>
    <cellStyle name="Normal 2 5 2 4 5 5" xfId="10561"/>
    <cellStyle name="Normal 2 5 2 4 5 6" xfId="5305"/>
    <cellStyle name="Normal 2 5 2 4 6" xfId="1496"/>
    <cellStyle name="Normal 2 5 2 4 6 2" xfId="6785"/>
    <cellStyle name="Normal 2 5 2 4 7" xfId="3048"/>
    <cellStyle name="Normal 2 5 2 4 7 2" xfId="8064"/>
    <cellStyle name="Normal 2 5 2 4 8" xfId="5625"/>
    <cellStyle name="Normal 2 5 2 4 9" xfId="9518"/>
    <cellStyle name="Normal 2 5 2 4_Degree data" xfId="2658"/>
    <cellStyle name="Normal 2 5 2 5" xfId="195"/>
    <cellStyle name="Normal 2 5 2 5 10" xfId="4432"/>
    <cellStyle name="Normal 2 5 2 5 2" xfId="409"/>
    <cellStyle name="Normal 2 5 2 5 2 2" xfId="1096"/>
    <cellStyle name="Normal 2 5 2 5 2 2 2" xfId="2048"/>
    <cellStyle name="Normal 2 5 2 5 2 2 2 2" xfId="7337"/>
    <cellStyle name="Normal 2 5 2 5 2 2 3" xfId="3378"/>
    <cellStyle name="Normal 2 5 2 5 2 2 3 2" xfId="8394"/>
    <cellStyle name="Normal 2 5 2 5 2 2 4" xfId="6453"/>
    <cellStyle name="Normal 2 5 2 5 2 2 5" xfId="9848"/>
    <cellStyle name="Normal 2 5 2 5 2 2 6" xfId="4930"/>
    <cellStyle name="Normal 2 5 2 5 2 3" xfId="915"/>
    <cellStyle name="Normal 2 5 2 5 2 3 2" xfId="2583"/>
    <cellStyle name="Normal 2 5 2 5 2 3 2 2" xfId="7865"/>
    <cellStyle name="Normal 2 5 2 5 2 3 3" xfId="3727"/>
    <cellStyle name="Normal 2 5 2 5 2 3 3 2" xfId="8742"/>
    <cellStyle name="Normal 2 5 2 5 2 3 4" xfId="6272"/>
    <cellStyle name="Normal 2 5 2 5 2 3 5" xfId="10196"/>
    <cellStyle name="Normal 2 5 2 5 2 3 6" xfId="5459"/>
    <cellStyle name="Normal 2 5 2 5 2 4" xfId="1867"/>
    <cellStyle name="Normal 2 5 2 5 2 4 2" xfId="4246"/>
    <cellStyle name="Normal 2 5 2 5 2 4 2 2" xfId="9261"/>
    <cellStyle name="Normal 2 5 2 5 2 4 3" xfId="10715"/>
    <cellStyle name="Normal 2 5 2 5 2 4 4" xfId="7156"/>
    <cellStyle name="Normal 2 5 2 5 2 5" xfId="3202"/>
    <cellStyle name="Normal 2 5 2 5 2 5 2" xfId="8218"/>
    <cellStyle name="Normal 2 5 2 5 2 6" xfId="5779"/>
    <cellStyle name="Normal 2 5 2 5 2 7" xfId="9672"/>
    <cellStyle name="Normal 2 5 2 5 2 8" xfId="4749"/>
    <cellStyle name="Normal 2 5 2 5 2_Degree data" xfId="2633"/>
    <cellStyle name="Normal 2 5 2 5 3" xfId="710"/>
    <cellStyle name="Normal 2 5 2 5 3 2" xfId="1662"/>
    <cellStyle name="Normal 2 5 2 5 3 2 2" xfId="6951"/>
    <cellStyle name="Normal 2 5 2 5 3 3" xfId="3377"/>
    <cellStyle name="Normal 2 5 2 5 3 3 2" xfId="8393"/>
    <cellStyle name="Normal 2 5 2 5 3 4" xfId="6067"/>
    <cellStyle name="Normal 2 5 2 5 3 5" xfId="9847"/>
    <cellStyle name="Normal 2 5 2 5 3 6" xfId="4544"/>
    <cellStyle name="Normal 2 5 2 5 4" xfId="1095"/>
    <cellStyle name="Normal 2 5 2 5 4 2" xfId="2047"/>
    <cellStyle name="Normal 2 5 2 5 4 2 2" xfId="7336"/>
    <cellStyle name="Normal 2 5 2 5 4 3" xfId="3726"/>
    <cellStyle name="Normal 2 5 2 5 4 3 2" xfId="8741"/>
    <cellStyle name="Normal 2 5 2 5 4 4" xfId="6452"/>
    <cellStyle name="Normal 2 5 2 5 4 5" xfId="10195"/>
    <cellStyle name="Normal 2 5 2 5 4 6" xfId="4929"/>
    <cellStyle name="Normal 2 5 2 5 5" xfId="595"/>
    <cellStyle name="Normal 2 5 2 5 5 2" xfId="2378"/>
    <cellStyle name="Normal 2 5 2 5 5 2 2" xfId="7660"/>
    <cellStyle name="Normal 2 5 2 5 5 3" xfId="4041"/>
    <cellStyle name="Normal 2 5 2 5 5 3 2" xfId="9056"/>
    <cellStyle name="Normal 2 5 2 5 5 4" xfId="5953"/>
    <cellStyle name="Normal 2 5 2 5 5 5" xfId="10510"/>
    <cellStyle name="Normal 2 5 2 5 5 6" xfId="5254"/>
    <cellStyle name="Normal 2 5 2 5 6" xfId="1550"/>
    <cellStyle name="Normal 2 5 2 5 6 2" xfId="6839"/>
    <cellStyle name="Normal 2 5 2 5 7" xfId="2997"/>
    <cellStyle name="Normal 2 5 2 5 7 2" xfId="8013"/>
    <cellStyle name="Normal 2 5 2 5 8" xfId="5574"/>
    <cellStyle name="Normal 2 5 2 5 9" xfId="9467"/>
    <cellStyle name="Normal 2 5 2 5_Degree data" xfId="2724"/>
    <cellStyle name="Normal 2 5 2 6" xfId="301"/>
    <cellStyle name="Normal 2 5 2 6 2" xfId="1097"/>
    <cellStyle name="Normal 2 5 2 6 2 2" xfId="2049"/>
    <cellStyle name="Normal 2 5 2 6 2 2 2" xfId="7338"/>
    <cellStyle name="Normal 2 5 2 6 2 3" xfId="3379"/>
    <cellStyle name="Normal 2 5 2 6 2 3 2" xfId="8395"/>
    <cellStyle name="Normal 2 5 2 6 2 4" xfId="6454"/>
    <cellStyle name="Normal 2 5 2 6 2 5" xfId="9849"/>
    <cellStyle name="Normal 2 5 2 6 2 6" xfId="4931"/>
    <cellStyle name="Normal 2 5 2 6 3" xfId="810"/>
    <cellStyle name="Normal 2 5 2 6 3 2" xfId="2478"/>
    <cellStyle name="Normal 2 5 2 6 3 2 2" xfId="7760"/>
    <cellStyle name="Normal 2 5 2 6 3 3" xfId="3728"/>
    <cellStyle name="Normal 2 5 2 6 3 3 2" xfId="8743"/>
    <cellStyle name="Normal 2 5 2 6 3 4" xfId="6167"/>
    <cellStyle name="Normal 2 5 2 6 3 5" xfId="10197"/>
    <cellStyle name="Normal 2 5 2 6 3 6" xfId="5354"/>
    <cellStyle name="Normal 2 5 2 6 4" xfId="1762"/>
    <cellStyle name="Normal 2 5 2 6 4 2" xfId="4141"/>
    <cellStyle name="Normal 2 5 2 6 4 2 2" xfId="9156"/>
    <cellStyle name="Normal 2 5 2 6 4 3" xfId="10610"/>
    <cellStyle name="Normal 2 5 2 6 4 4" xfId="7051"/>
    <cellStyle name="Normal 2 5 2 6 5" xfId="3097"/>
    <cellStyle name="Normal 2 5 2 6 5 2" xfId="8113"/>
    <cellStyle name="Normal 2 5 2 6 6" xfId="5674"/>
    <cellStyle name="Normal 2 5 2 6 7" xfId="9567"/>
    <cellStyle name="Normal 2 5 2 6 8" xfId="4644"/>
    <cellStyle name="Normal 2 5 2 6_Degree data" xfId="2702"/>
    <cellStyle name="Normal 2 5 2 7" xfId="658"/>
    <cellStyle name="Normal 2 5 2 7 2" xfId="1098"/>
    <cellStyle name="Normal 2 5 2 7 2 2" xfId="2050"/>
    <cellStyle name="Normal 2 5 2 7 2 2 2" xfId="7339"/>
    <cellStyle name="Normal 2 5 2 7 2 3" xfId="3380"/>
    <cellStyle name="Normal 2 5 2 7 2 3 2" xfId="8396"/>
    <cellStyle name="Normal 2 5 2 7 2 4" xfId="6455"/>
    <cellStyle name="Normal 2 5 2 7 2 5" xfId="9850"/>
    <cellStyle name="Normal 2 5 2 7 2 6" xfId="4932"/>
    <cellStyle name="Normal 2 5 2 7 3" xfId="510"/>
    <cellStyle name="Normal 2 5 2 7 3 2" xfId="2326"/>
    <cellStyle name="Normal 2 5 2 7 3 2 2" xfId="7608"/>
    <cellStyle name="Normal 2 5 2 7 3 3" xfId="3729"/>
    <cellStyle name="Normal 2 5 2 7 3 3 2" xfId="8744"/>
    <cellStyle name="Normal 2 5 2 7 3 4" xfId="5871"/>
    <cellStyle name="Normal 2 5 2 7 3 5" xfId="10198"/>
    <cellStyle name="Normal 2 5 2 7 3 6" xfId="5202"/>
    <cellStyle name="Normal 2 5 2 7 4" xfId="1610"/>
    <cellStyle name="Normal 2 5 2 7 4 2" xfId="3989"/>
    <cellStyle name="Normal 2 5 2 7 4 2 2" xfId="9004"/>
    <cellStyle name="Normal 2 5 2 7 4 3" xfId="10458"/>
    <cellStyle name="Normal 2 5 2 7 4 4" xfId="6899"/>
    <cellStyle name="Normal 2 5 2 7 5" xfId="2943"/>
    <cellStyle name="Normal 2 5 2 7 5 2" xfId="7959"/>
    <cellStyle name="Normal 2 5 2 7 6" xfId="6015"/>
    <cellStyle name="Normal 2 5 2 7 7" xfId="9415"/>
    <cellStyle name="Normal 2 5 2 7 8" xfId="4492"/>
    <cellStyle name="Normal 2 5 2 7_Degree data" xfId="2742"/>
    <cellStyle name="Normal 2 5 2 8" xfId="1079"/>
    <cellStyle name="Normal 2 5 2 8 2" xfId="2031"/>
    <cellStyle name="Normal 2 5 2 8 2 2" xfId="7320"/>
    <cellStyle name="Normal 2 5 2 8 3" xfId="3361"/>
    <cellStyle name="Normal 2 5 2 8 3 2" xfId="8377"/>
    <cellStyle name="Normal 2 5 2 8 4" xfId="6436"/>
    <cellStyle name="Normal 2 5 2 8 5" xfId="9831"/>
    <cellStyle name="Normal 2 5 2 8 6" xfId="4913"/>
    <cellStyle name="Normal 2 5 2 9" xfId="483"/>
    <cellStyle name="Normal 2 5 2 9 2" xfId="2294"/>
    <cellStyle name="Normal 2 5 2 9 2 2" xfId="7576"/>
    <cellStyle name="Normal 2 5 2 9 3" xfId="3710"/>
    <cellStyle name="Normal 2 5 2 9 3 2" xfId="8725"/>
    <cellStyle name="Normal 2 5 2 9 4" xfId="5847"/>
    <cellStyle name="Normal 2 5 2 9 5" xfId="10179"/>
    <cellStyle name="Normal 2 5 2 9 6" xfId="5170"/>
    <cellStyle name="Normal 2 5 2_Degree data" xfId="2738"/>
    <cellStyle name="Normal 2 5 3" xfId="146"/>
    <cellStyle name="Normal 2 5 3 10" xfId="2915"/>
    <cellStyle name="Normal 2 5 3 10 2" xfId="9387"/>
    <cellStyle name="Normal 2 5 3 10 3" xfId="7931"/>
    <cellStyle name="Normal 2 5 3 11" xfId="5537"/>
    <cellStyle name="Normal 2 5 3 12" xfId="9357"/>
    <cellStyle name="Normal 2 5 3 13" xfId="4319"/>
    <cellStyle name="Normal 2 5 3 2" xfId="220"/>
    <cellStyle name="Normal 2 5 3 2 10" xfId="9489"/>
    <cellStyle name="Normal 2 5 3 2 11" xfId="4349"/>
    <cellStyle name="Normal 2 5 3 2 2" xfId="430"/>
    <cellStyle name="Normal 2 5 3 2 2 2" xfId="936"/>
    <cellStyle name="Normal 2 5 3 2 2 2 2" xfId="1888"/>
    <cellStyle name="Normal 2 5 3 2 2 2 2 2" xfId="7177"/>
    <cellStyle name="Normal 2 5 3 2 2 2 3" xfId="3383"/>
    <cellStyle name="Normal 2 5 3 2 2 2 3 2" xfId="8399"/>
    <cellStyle name="Normal 2 5 3 2 2 2 4" xfId="6293"/>
    <cellStyle name="Normal 2 5 3 2 2 2 5" xfId="9853"/>
    <cellStyle name="Normal 2 5 3 2 2 2 6" xfId="4770"/>
    <cellStyle name="Normal 2 5 3 2 2 3" xfId="1101"/>
    <cellStyle name="Normal 2 5 3 2 2 3 2" xfId="2053"/>
    <cellStyle name="Normal 2 5 3 2 2 3 2 2" xfId="7342"/>
    <cellStyle name="Normal 2 5 3 2 2 3 3" xfId="3732"/>
    <cellStyle name="Normal 2 5 3 2 2 3 3 2" xfId="8747"/>
    <cellStyle name="Normal 2 5 3 2 2 3 4" xfId="6458"/>
    <cellStyle name="Normal 2 5 3 2 2 3 5" xfId="10201"/>
    <cellStyle name="Normal 2 5 3 2 2 3 6" xfId="4935"/>
    <cellStyle name="Normal 2 5 3 2 2 4" xfId="616"/>
    <cellStyle name="Normal 2 5 3 2 2 4 2" xfId="2604"/>
    <cellStyle name="Normal 2 5 3 2 2 4 2 2" xfId="7886"/>
    <cellStyle name="Normal 2 5 3 2 2 4 3" xfId="4267"/>
    <cellStyle name="Normal 2 5 3 2 2 4 3 2" xfId="9282"/>
    <cellStyle name="Normal 2 5 3 2 2 4 4" xfId="5974"/>
    <cellStyle name="Normal 2 5 3 2 2 4 5" xfId="10736"/>
    <cellStyle name="Normal 2 5 3 2 2 4 6" xfId="5480"/>
    <cellStyle name="Normal 2 5 3 2 2 5" xfId="1571"/>
    <cellStyle name="Normal 2 5 3 2 2 5 2" xfId="6860"/>
    <cellStyle name="Normal 2 5 3 2 2 6" xfId="3223"/>
    <cellStyle name="Normal 2 5 3 2 2 6 2" xfId="8239"/>
    <cellStyle name="Normal 2 5 3 2 2 7" xfId="5800"/>
    <cellStyle name="Normal 2 5 3 2 2 8" xfId="9693"/>
    <cellStyle name="Normal 2 5 3 2 2 9" xfId="4453"/>
    <cellStyle name="Normal 2 5 3 2 2_Degree data" xfId="2730"/>
    <cellStyle name="Normal 2 5 3 2 3" xfId="323"/>
    <cellStyle name="Normal 2 5 3 2 3 2" xfId="1102"/>
    <cellStyle name="Normal 2 5 3 2 3 2 2" xfId="2054"/>
    <cellStyle name="Normal 2 5 3 2 3 2 2 2" xfId="7343"/>
    <cellStyle name="Normal 2 5 3 2 3 2 3" xfId="3384"/>
    <cellStyle name="Normal 2 5 3 2 3 2 3 2" xfId="8400"/>
    <cellStyle name="Normal 2 5 3 2 3 2 4" xfId="6459"/>
    <cellStyle name="Normal 2 5 3 2 3 2 5" xfId="9854"/>
    <cellStyle name="Normal 2 5 3 2 3 2 6" xfId="4936"/>
    <cellStyle name="Normal 2 5 3 2 3 3" xfId="832"/>
    <cellStyle name="Normal 2 5 3 2 3 3 2" xfId="2500"/>
    <cellStyle name="Normal 2 5 3 2 3 3 2 2" xfId="7782"/>
    <cellStyle name="Normal 2 5 3 2 3 3 3" xfId="3733"/>
    <cellStyle name="Normal 2 5 3 2 3 3 3 2" xfId="8748"/>
    <cellStyle name="Normal 2 5 3 2 3 3 4" xfId="6189"/>
    <cellStyle name="Normal 2 5 3 2 3 3 5" xfId="10202"/>
    <cellStyle name="Normal 2 5 3 2 3 3 6" xfId="5376"/>
    <cellStyle name="Normal 2 5 3 2 3 4" xfId="1784"/>
    <cellStyle name="Normal 2 5 3 2 3 4 2" xfId="4163"/>
    <cellStyle name="Normal 2 5 3 2 3 4 2 2" xfId="9178"/>
    <cellStyle name="Normal 2 5 3 2 3 4 3" xfId="10632"/>
    <cellStyle name="Normal 2 5 3 2 3 4 4" xfId="7073"/>
    <cellStyle name="Normal 2 5 3 2 3 5" xfId="3119"/>
    <cellStyle name="Normal 2 5 3 2 3 5 2" xfId="8135"/>
    <cellStyle name="Normal 2 5 3 2 3 6" xfId="5696"/>
    <cellStyle name="Normal 2 5 3 2 3 7" xfId="9589"/>
    <cellStyle name="Normal 2 5 3 2 3 8" xfId="4666"/>
    <cellStyle name="Normal 2 5 3 2 3_Degree data" xfId="2671"/>
    <cellStyle name="Normal 2 5 3 2 4" xfId="732"/>
    <cellStyle name="Normal 2 5 3 2 4 2" xfId="1684"/>
    <cellStyle name="Normal 2 5 3 2 4 2 2" xfId="6973"/>
    <cellStyle name="Normal 2 5 3 2 4 3" xfId="3382"/>
    <cellStyle name="Normal 2 5 3 2 4 3 2" xfId="8398"/>
    <cellStyle name="Normal 2 5 3 2 4 4" xfId="6089"/>
    <cellStyle name="Normal 2 5 3 2 4 5" xfId="9852"/>
    <cellStyle name="Normal 2 5 3 2 4 6" xfId="4566"/>
    <cellStyle name="Normal 2 5 3 2 5" xfId="1100"/>
    <cellStyle name="Normal 2 5 3 2 5 2" xfId="2052"/>
    <cellStyle name="Normal 2 5 3 2 5 2 2" xfId="7341"/>
    <cellStyle name="Normal 2 5 3 2 5 3" xfId="3731"/>
    <cellStyle name="Normal 2 5 3 2 5 3 2" xfId="8746"/>
    <cellStyle name="Normal 2 5 3 2 5 4" xfId="6457"/>
    <cellStyle name="Normal 2 5 3 2 5 5" xfId="10200"/>
    <cellStyle name="Normal 2 5 3 2 5 6" xfId="4934"/>
    <cellStyle name="Normal 2 5 3 2 6" xfId="508"/>
    <cellStyle name="Normal 2 5 3 2 6 2" xfId="2400"/>
    <cellStyle name="Normal 2 5 3 2 6 2 2" xfId="7682"/>
    <cellStyle name="Normal 2 5 3 2 6 3" xfId="4063"/>
    <cellStyle name="Normal 2 5 3 2 6 3 2" xfId="9078"/>
    <cellStyle name="Normal 2 5 3 2 6 4" xfId="5869"/>
    <cellStyle name="Normal 2 5 3 2 6 5" xfId="10532"/>
    <cellStyle name="Normal 2 5 3 2 6 6" xfId="5276"/>
    <cellStyle name="Normal 2 5 3 2 7" xfId="1467"/>
    <cellStyle name="Normal 2 5 3 2 7 2" xfId="6756"/>
    <cellStyle name="Normal 2 5 3 2 8" xfId="3019"/>
    <cellStyle name="Normal 2 5 3 2 8 2" xfId="8035"/>
    <cellStyle name="Normal 2 5 3 2 9" xfId="5596"/>
    <cellStyle name="Normal 2 5 3 2_Degree data" xfId="2706"/>
    <cellStyle name="Normal 2 5 3 3" xfId="265"/>
    <cellStyle name="Normal 2 5 3 3 10" xfId="4392"/>
    <cellStyle name="Normal 2 5 3 3 2" xfId="367"/>
    <cellStyle name="Normal 2 5 3 3 2 2" xfId="1104"/>
    <cellStyle name="Normal 2 5 3 3 2 2 2" xfId="2056"/>
    <cellStyle name="Normal 2 5 3 3 2 2 2 2" xfId="7345"/>
    <cellStyle name="Normal 2 5 3 3 2 2 3" xfId="3386"/>
    <cellStyle name="Normal 2 5 3 3 2 2 3 2" xfId="8402"/>
    <cellStyle name="Normal 2 5 3 3 2 2 4" xfId="6461"/>
    <cellStyle name="Normal 2 5 3 3 2 2 5" xfId="9856"/>
    <cellStyle name="Normal 2 5 3 3 2 2 6" xfId="4938"/>
    <cellStyle name="Normal 2 5 3 3 2 3" xfId="875"/>
    <cellStyle name="Normal 2 5 3 3 2 3 2" xfId="2543"/>
    <cellStyle name="Normal 2 5 3 3 2 3 2 2" xfId="7825"/>
    <cellStyle name="Normal 2 5 3 3 2 3 3" xfId="3735"/>
    <cellStyle name="Normal 2 5 3 3 2 3 3 2" xfId="8750"/>
    <cellStyle name="Normal 2 5 3 3 2 3 4" xfId="6232"/>
    <cellStyle name="Normal 2 5 3 3 2 3 5" xfId="10204"/>
    <cellStyle name="Normal 2 5 3 3 2 3 6" xfId="5419"/>
    <cellStyle name="Normal 2 5 3 3 2 4" xfId="1827"/>
    <cellStyle name="Normal 2 5 3 3 2 4 2" xfId="4206"/>
    <cellStyle name="Normal 2 5 3 3 2 4 2 2" xfId="9221"/>
    <cellStyle name="Normal 2 5 3 3 2 4 3" xfId="10675"/>
    <cellStyle name="Normal 2 5 3 3 2 4 4" xfId="7116"/>
    <cellStyle name="Normal 2 5 3 3 2 5" xfId="3162"/>
    <cellStyle name="Normal 2 5 3 3 2 5 2" xfId="8178"/>
    <cellStyle name="Normal 2 5 3 3 2 6" xfId="5739"/>
    <cellStyle name="Normal 2 5 3 3 2 7" xfId="9632"/>
    <cellStyle name="Normal 2 5 3 3 2 8" xfId="4709"/>
    <cellStyle name="Normal 2 5 3 3 2_Degree data" xfId="2712"/>
    <cellStyle name="Normal 2 5 3 3 3" xfId="775"/>
    <cellStyle name="Normal 2 5 3 3 3 2" xfId="1727"/>
    <cellStyle name="Normal 2 5 3 3 3 2 2" xfId="7016"/>
    <cellStyle name="Normal 2 5 3 3 3 3" xfId="3385"/>
    <cellStyle name="Normal 2 5 3 3 3 3 2" xfId="8401"/>
    <cellStyle name="Normal 2 5 3 3 3 4" xfId="6132"/>
    <cellStyle name="Normal 2 5 3 3 3 5" xfId="9855"/>
    <cellStyle name="Normal 2 5 3 3 3 6" xfId="4609"/>
    <cellStyle name="Normal 2 5 3 3 4" xfId="1103"/>
    <cellStyle name="Normal 2 5 3 3 4 2" xfId="2055"/>
    <cellStyle name="Normal 2 5 3 3 4 2 2" xfId="7344"/>
    <cellStyle name="Normal 2 5 3 3 4 3" xfId="3734"/>
    <cellStyle name="Normal 2 5 3 3 4 3 2" xfId="8749"/>
    <cellStyle name="Normal 2 5 3 3 4 4" xfId="6460"/>
    <cellStyle name="Normal 2 5 3 3 4 5" xfId="10203"/>
    <cellStyle name="Normal 2 5 3 3 4 6" xfId="4937"/>
    <cellStyle name="Normal 2 5 3 3 5" xfId="554"/>
    <cellStyle name="Normal 2 5 3 3 5 2" xfId="2443"/>
    <cellStyle name="Normal 2 5 3 3 5 2 2" xfId="7725"/>
    <cellStyle name="Normal 2 5 3 3 5 3" xfId="4106"/>
    <cellStyle name="Normal 2 5 3 3 5 3 2" xfId="9121"/>
    <cellStyle name="Normal 2 5 3 3 5 4" xfId="5913"/>
    <cellStyle name="Normal 2 5 3 3 5 5" xfId="10575"/>
    <cellStyle name="Normal 2 5 3 3 5 6" xfId="5319"/>
    <cellStyle name="Normal 2 5 3 3 6" xfId="1510"/>
    <cellStyle name="Normal 2 5 3 3 6 2" xfId="6799"/>
    <cellStyle name="Normal 2 5 3 3 7" xfId="3062"/>
    <cellStyle name="Normal 2 5 3 3 7 2" xfId="8078"/>
    <cellStyle name="Normal 2 5 3 3 8" xfId="5639"/>
    <cellStyle name="Normal 2 5 3 3 9" xfId="9532"/>
    <cellStyle name="Normal 2 5 3 3_Degree data" xfId="2675"/>
    <cellStyle name="Normal 2 5 3 4" xfId="187"/>
    <cellStyle name="Normal 2 5 3 4 10" xfId="4424"/>
    <cellStyle name="Normal 2 5 3 4 2" xfId="401"/>
    <cellStyle name="Normal 2 5 3 4 2 2" xfId="1106"/>
    <cellStyle name="Normal 2 5 3 4 2 2 2" xfId="2058"/>
    <cellStyle name="Normal 2 5 3 4 2 2 2 2" xfId="7347"/>
    <cellStyle name="Normal 2 5 3 4 2 2 3" xfId="3388"/>
    <cellStyle name="Normal 2 5 3 4 2 2 3 2" xfId="8404"/>
    <cellStyle name="Normal 2 5 3 4 2 2 4" xfId="6463"/>
    <cellStyle name="Normal 2 5 3 4 2 2 5" xfId="9858"/>
    <cellStyle name="Normal 2 5 3 4 2 2 6" xfId="4940"/>
    <cellStyle name="Normal 2 5 3 4 2 3" xfId="907"/>
    <cellStyle name="Normal 2 5 3 4 2 3 2" xfId="2575"/>
    <cellStyle name="Normal 2 5 3 4 2 3 2 2" xfId="7857"/>
    <cellStyle name="Normal 2 5 3 4 2 3 3" xfId="3737"/>
    <cellStyle name="Normal 2 5 3 4 2 3 3 2" xfId="8752"/>
    <cellStyle name="Normal 2 5 3 4 2 3 4" xfId="6264"/>
    <cellStyle name="Normal 2 5 3 4 2 3 5" xfId="10206"/>
    <cellStyle name="Normal 2 5 3 4 2 3 6" xfId="5451"/>
    <cellStyle name="Normal 2 5 3 4 2 4" xfId="1859"/>
    <cellStyle name="Normal 2 5 3 4 2 4 2" xfId="4238"/>
    <cellStyle name="Normal 2 5 3 4 2 4 2 2" xfId="9253"/>
    <cellStyle name="Normal 2 5 3 4 2 4 3" xfId="10707"/>
    <cellStyle name="Normal 2 5 3 4 2 4 4" xfId="7148"/>
    <cellStyle name="Normal 2 5 3 4 2 5" xfId="3194"/>
    <cellStyle name="Normal 2 5 3 4 2 5 2" xfId="8210"/>
    <cellStyle name="Normal 2 5 3 4 2 6" xfId="5771"/>
    <cellStyle name="Normal 2 5 3 4 2 7" xfId="9664"/>
    <cellStyle name="Normal 2 5 3 4 2 8" xfId="4741"/>
    <cellStyle name="Normal 2 5 3 4 2_Degree data" xfId="2729"/>
    <cellStyle name="Normal 2 5 3 4 3" xfId="702"/>
    <cellStyle name="Normal 2 5 3 4 3 2" xfId="1654"/>
    <cellStyle name="Normal 2 5 3 4 3 2 2" xfId="6943"/>
    <cellStyle name="Normal 2 5 3 4 3 3" xfId="3387"/>
    <cellStyle name="Normal 2 5 3 4 3 3 2" xfId="8403"/>
    <cellStyle name="Normal 2 5 3 4 3 4" xfId="6059"/>
    <cellStyle name="Normal 2 5 3 4 3 5" xfId="9857"/>
    <cellStyle name="Normal 2 5 3 4 3 6" xfId="4536"/>
    <cellStyle name="Normal 2 5 3 4 4" xfId="1105"/>
    <cellStyle name="Normal 2 5 3 4 4 2" xfId="2057"/>
    <cellStyle name="Normal 2 5 3 4 4 2 2" xfId="7346"/>
    <cellStyle name="Normal 2 5 3 4 4 3" xfId="3736"/>
    <cellStyle name="Normal 2 5 3 4 4 3 2" xfId="8751"/>
    <cellStyle name="Normal 2 5 3 4 4 4" xfId="6462"/>
    <cellStyle name="Normal 2 5 3 4 4 5" xfId="10205"/>
    <cellStyle name="Normal 2 5 3 4 4 6" xfId="4939"/>
    <cellStyle name="Normal 2 5 3 4 5" xfId="587"/>
    <cellStyle name="Normal 2 5 3 4 5 2" xfId="2370"/>
    <cellStyle name="Normal 2 5 3 4 5 2 2" xfId="7652"/>
    <cellStyle name="Normal 2 5 3 4 5 3" xfId="4033"/>
    <cellStyle name="Normal 2 5 3 4 5 3 2" xfId="9048"/>
    <cellStyle name="Normal 2 5 3 4 5 4" xfId="5945"/>
    <cellStyle name="Normal 2 5 3 4 5 5" xfId="10502"/>
    <cellStyle name="Normal 2 5 3 4 5 6" xfId="5246"/>
    <cellStyle name="Normal 2 5 3 4 6" xfId="1542"/>
    <cellStyle name="Normal 2 5 3 4 6 2" xfId="6831"/>
    <cellStyle name="Normal 2 5 3 4 7" xfId="2989"/>
    <cellStyle name="Normal 2 5 3 4 7 2" xfId="8005"/>
    <cellStyle name="Normal 2 5 3 4 8" xfId="5566"/>
    <cellStyle name="Normal 2 5 3 4 9" xfId="9459"/>
    <cellStyle name="Normal 2 5 3 4_Degree data" xfId="1429"/>
    <cellStyle name="Normal 2 5 3 5" xfId="293"/>
    <cellStyle name="Normal 2 5 3 5 2" xfId="1107"/>
    <cellStyle name="Normal 2 5 3 5 2 2" xfId="2059"/>
    <cellStyle name="Normal 2 5 3 5 2 2 2" xfId="7348"/>
    <cellStyle name="Normal 2 5 3 5 2 3" xfId="3389"/>
    <cellStyle name="Normal 2 5 3 5 2 3 2" xfId="8405"/>
    <cellStyle name="Normal 2 5 3 5 2 4" xfId="6464"/>
    <cellStyle name="Normal 2 5 3 5 2 5" xfId="9859"/>
    <cellStyle name="Normal 2 5 3 5 2 6" xfId="4941"/>
    <cellStyle name="Normal 2 5 3 5 3" xfId="802"/>
    <cellStyle name="Normal 2 5 3 5 3 2" xfId="2470"/>
    <cellStyle name="Normal 2 5 3 5 3 2 2" xfId="7752"/>
    <cellStyle name="Normal 2 5 3 5 3 3" xfId="3738"/>
    <cellStyle name="Normal 2 5 3 5 3 3 2" xfId="8753"/>
    <cellStyle name="Normal 2 5 3 5 3 4" xfId="6159"/>
    <cellStyle name="Normal 2 5 3 5 3 5" xfId="10207"/>
    <cellStyle name="Normal 2 5 3 5 3 6" xfId="5346"/>
    <cellStyle name="Normal 2 5 3 5 4" xfId="1754"/>
    <cellStyle name="Normal 2 5 3 5 4 2" xfId="4133"/>
    <cellStyle name="Normal 2 5 3 5 4 2 2" xfId="9148"/>
    <cellStyle name="Normal 2 5 3 5 4 3" xfId="10602"/>
    <cellStyle name="Normal 2 5 3 5 4 4" xfId="7043"/>
    <cellStyle name="Normal 2 5 3 5 5" xfId="3089"/>
    <cellStyle name="Normal 2 5 3 5 5 2" xfId="8105"/>
    <cellStyle name="Normal 2 5 3 5 6" xfId="5666"/>
    <cellStyle name="Normal 2 5 3 5 7" xfId="9559"/>
    <cellStyle name="Normal 2 5 3 5 8" xfId="4636"/>
    <cellStyle name="Normal 2 5 3 5_Degree data" xfId="2660"/>
    <cellStyle name="Normal 2 5 3 6" xfId="673"/>
    <cellStyle name="Normal 2 5 3 6 2" xfId="1108"/>
    <cellStyle name="Normal 2 5 3 6 2 2" xfId="2060"/>
    <cellStyle name="Normal 2 5 3 6 2 2 2" xfId="7349"/>
    <cellStyle name="Normal 2 5 3 6 2 3" xfId="3390"/>
    <cellStyle name="Normal 2 5 3 6 2 3 2" xfId="8406"/>
    <cellStyle name="Normal 2 5 3 6 2 4" xfId="6465"/>
    <cellStyle name="Normal 2 5 3 6 2 5" xfId="9860"/>
    <cellStyle name="Normal 2 5 3 6 2 6" xfId="4942"/>
    <cellStyle name="Normal 2 5 3 6 3" xfId="1404"/>
    <cellStyle name="Normal 2 5 3 6 3 2" xfId="2341"/>
    <cellStyle name="Normal 2 5 3 6 3 2 2" xfId="7623"/>
    <cellStyle name="Normal 2 5 3 6 3 3" xfId="3739"/>
    <cellStyle name="Normal 2 5 3 6 3 3 2" xfId="8754"/>
    <cellStyle name="Normal 2 5 3 6 3 4" xfId="6700"/>
    <cellStyle name="Normal 2 5 3 6 3 5" xfId="10208"/>
    <cellStyle name="Normal 2 5 3 6 3 6" xfId="5217"/>
    <cellStyle name="Normal 2 5 3 6 4" xfId="1625"/>
    <cellStyle name="Normal 2 5 3 6 4 2" xfId="4004"/>
    <cellStyle name="Normal 2 5 3 6 4 2 2" xfId="9019"/>
    <cellStyle name="Normal 2 5 3 6 4 3" xfId="10473"/>
    <cellStyle name="Normal 2 5 3 6 4 4" xfId="6914"/>
    <cellStyle name="Normal 2 5 3 6 5" xfId="2958"/>
    <cellStyle name="Normal 2 5 3 6 5 2" xfId="7974"/>
    <cellStyle name="Normal 2 5 3 6 6" xfId="6030"/>
    <cellStyle name="Normal 2 5 3 6 7" xfId="9430"/>
    <cellStyle name="Normal 2 5 3 6 8" xfId="4507"/>
    <cellStyle name="Normal 2 5 3 6_Degree data" xfId="2687"/>
    <cellStyle name="Normal 2 5 3 7" xfId="1099"/>
    <cellStyle name="Normal 2 5 3 7 2" xfId="2051"/>
    <cellStyle name="Normal 2 5 3 7 2 2" xfId="7340"/>
    <cellStyle name="Normal 2 5 3 7 3" xfId="3381"/>
    <cellStyle name="Normal 2 5 3 7 3 2" xfId="8397"/>
    <cellStyle name="Normal 2 5 3 7 4" xfId="6456"/>
    <cellStyle name="Normal 2 5 3 7 5" xfId="9851"/>
    <cellStyle name="Normal 2 5 3 7 6" xfId="4933"/>
    <cellStyle name="Normal 2 5 3 8" xfId="475"/>
    <cellStyle name="Normal 2 5 3 8 2" xfId="2298"/>
    <cellStyle name="Normal 2 5 3 8 2 2" xfId="7580"/>
    <cellStyle name="Normal 2 5 3 8 3" xfId="3730"/>
    <cellStyle name="Normal 2 5 3 8 3 2" xfId="8745"/>
    <cellStyle name="Normal 2 5 3 8 4" xfId="5839"/>
    <cellStyle name="Normal 2 5 3 8 5" xfId="10199"/>
    <cellStyle name="Normal 2 5 3 8 6" xfId="5174"/>
    <cellStyle name="Normal 2 5 3 9" xfId="1434"/>
    <cellStyle name="Normal 2 5 3 9 2" xfId="3961"/>
    <cellStyle name="Normal 2 5 3 9 2 2" xfId="8976"/>
    <cellStyle name="Normal 2 5 3 9 3" xfId="10430"/>
    <cellStyle name="Normal 2 5 3 9 4" xfId="6725"/>
    <cellStyle name="Normal 2 5 3_Degree data" xfId="2745"/>
    <cellStyle name="Normal 2 5 4" xfId="172"/>
    <cellStyle name="Normal 2 5 4 10" xfId="2931"/>
    <cellStyle name="Normal 2 5 4 10 2" xfId="9403"/>
    <cellStyle name="Normal 2 5 4 10 3" xfId="7947"/>
    <cellStyle name="Normal 2 5 4 11" xfId="5555"/>
    <cellStyle name="Normal 2 5 4 12" xfId="9373"/>
    <cellStyle name="Normal 2 5 4 13" xfId="4332"/>
    <cellStyle name="Normal 2 5 4 2" xfId="237"/>
    <cellStyle name="Normal 2 5 4 2 10" xfId="9505"/>
    <cellStyle name="Normal 2 5 4 2 11" xfId="4365"/>
    <cellStyle name="Normal 2 5 4 2 2" xfId="446"/>
    <cellStyle name="Normal 2 5 4 2 2 2" xfId="952"/>
    <cellStyle name="Normal 2 5 4 2 2 2 2" xfId="1904"/>
    <cellStyle name="Normal 2 5 4 2 2 2 2 2" xfId="7193"/>
    <cellStyle name="Normal 2 5 4 2 2 2 3" xfId="3393"/>
    <cellStyle name="Normal 2 5 4 2 2 2 3 2" xfId="8409"/>
    <cellStyle name="Normal 2 5 4 2 2 2 4" xfId="6309"/>
    <cellStyle name="Normal 2 5 4 2 2 2 5" xfId="9863"/>
    <cellStyle name="Normal 2 5 4 2 2 2 6" xfId="4786"/>
    <cellStyle name="Normal 2 5 4 2 2 3" xfId="1111"/>
    <cellStyle name="Normal 2 5 4 2 2 3 2" xfId="2063"/>
    <cellStyle name="Normal 2 5 4 2 2 3 2 2" xfId="7352"/>
    <cellStyle name="Normal 2 5 4 2 2 3 3" xfId="3742"/>
    <cellStyle name="Normal 2 5 4 2 2 3 3 2" xfId="8757"/>
    <cellStyle name="Normal 2 5 4 2 2 3 4" xfId="6468"/>
    <cellStyle name="Normal 2 5 4 2 2 3 5" xfId="10211"/>
    <cellStyle name="Normal 2 5 4 2 2 3 6" xfId="4945"/>
    <cellStyle name="Normal 2 5 4 2 2 4" xfId="632"/>
    <cellStyle name="Normal 2 5 4 2 2 4 2" xfId="2620"/>
    <cellStyle name="Normal 2 5 4 2 2 4 2 2" xfId="7902"/>
    <cellStyle name="Normal 2 5 4 2 2 4 3" xfId="4283"/>
    <cellStyle name="Normal 2 5 4 2 2 4 3 2" xfId="9298"/>
    <cellStyle name="Normal 2 5 4 2 2 4 4" xfId="5990"/>
    <cellStyle name="Normal 2 5 4 2 2 4 5" xfId="10752"/>
    <cellStyle name="Normal 2 5 4 2 2 4 6" xfId="5496"/>
    <cellStyle name="Normal 2 5 4 2 2 5" xfId="1587"/>
    <cellStyle name="Normal 2 5 4 2 2 5 2" xfId="6876"/>
    <cellStyle name="Normal 2 5 4 2 2 6" xfId="3239"/>
    <cellStyle name="Normal 2 5 4 2 2 6 2" xfId="8255"/>
    <cellStyle name="Normal 2 5 4 2 2 7" xfId="5816"/>
    <cellStyle name="Normal 2 5 4 2 2 8" xfId="9709"/>
    <cellStyle name="Normal 2 5 4 2 2 9" xfId="4469"/>
    <cellStyle name="Normal 2 5 4 2 2_Degree data" xfId="2653"/>
    <cellStyle name="Normal 2 5 4 2 3" xfId="339"/>
    <cellStyle name="Normal 2 5 4 2 3 2" xfId="1112"/>
    <cellStyle name="Normal 2 5 4 2 3 2 2" xfId="2064"/>
    <cellStyle name="Normal 2 5 4 2 3 2 2 2" xfId="7353"/>
    <cellStyle name="Normal 2 5 4 2 3 2 3" xfId="3394"/>
    <cellStyle name="Normal 2 5 4 2 3 2 3 2" xfId="8410"/>
    <cellStyle name="Normal 2 5 4 2 3 2 4" xfId="6469"/>
    <cellStyle name="Normal 2 5 4 2 3 2 5" xfId="9864"/>
    <cellStyle name="Normal 2 5 4 2 3 2 6" xfId="4946"/>
    <cellStyle name="Normal 2 5 4 2 3 3" xfId="848"/>
    <cellStyle name="Normal 2 5 4 2 3 3 2" xfId="2516"/>
    <cellStyle name="Normal 2 5 4 2 3 3 2 2" xfId="7798"/>
    <cellStyle name="Normal 2 5 4 2 3 3 3" xfId="3743"/>
    <cellStyle name="Normal 2 5 4 2 3 3 3 2" xfId="8758"/>
    <cellStyle name="Normal 2 5 4 2 3 3 4" xfId="6205"/>
    <cellStyle name="Normal 2 5 4 2 3 3 5" xfId="10212"/>
    <cellStyle name="Normal 2 5 4 2 3 3 6" xfId="5392"/>
    <cellStyle name="Normal 2 5 4 2 3 4" xfId="1800"/>
    <cellStyle name="Normal 2 5 4 2 3 4 2" xfId="4179"/>
    <cellStyle name="Normal 2 5 4 2 3 4 2 2" xfId="9194"/>
    <cellStyle name="Normal 2 5 4 2 3 4 3" xfId="10648"/>
    <cellStyle name="Normal 2 5 4 2 3 4 4" xfId="7089"/>
    <cellStyle name="Normal 2 5 4 2 3 5" xfId="3135"/>
    <cellStyle name="Normal 2 5 4 2 3 5 2" xfId="8151"/>
    <cellStyle name="Normal 2 5 4 2 3 6" xfId="5712"/>
    <cellStyle name="Normal 2 5 4 2 3 7" xfId="9605"/>
    <cellStyle name="Normal 2 5 4 2 3 8" xfId="4682"/>
    <cellStyle name="Normal 2 5 4 2 3_Degree data" xfId="1421"/>
    <cellStyle name="Normal 2 5 4 2 4" xfId="748"/>
    <cellStyle name="Normal 2 5 4 2 4 2" xfId="1700"/>
    <cellStyle name="Normal 2 5 4 2 4 2 2" xfId="6989"/>
    <cellStyle name="Normal 2 5 4 2 4 3" xfId="3392"/>
    <cellStyle name="Normal 2 5 4 2 4 3 2" xfId="8408"/>
    <cellStyle name="Normal 2 5 4 2 4 4" xfId="6105"/>
    <cellStyle name="Normal 2 5 4 2 4 5" xfId="9862"/>
    <cellStyle name="Normal 2 5 4 2 4 6" xfId="4582"/>
    <cellStyle name="Normal 2 5 4 2 5" xfId="1110"/>
    <cellStyle name="Normal 2 5 4 2 5 2" xfId="2062"/>
    <cellStyle name="Normal 2 5 4 2 5 2 2" xfId="7351"/>
    <cellStyle name="Normal 2 5 4 2 5 3" xfId="3741"/>
    <cellStyle name="Normal 2 5 4 2 5 3 2" xfId="8756"/>
    <cellStyle name="Normal 2 5 4 2 5 4" xfId="6467"/>
    <cellStyle name="Normal 2 5 4 2 5 5" xfId="10210"/>
    <cellStyle name="Normal 2 5 4 2 5 6" xfId="4944"/>
    <cellStyle name="Normal 2 5 4 2 6" xfId="525"/>
    <cellStyle name="Normal 2 5 4 2 6 2" xfId="2416"/>
    <cellStyle name="Normal 2 5 4 2 6 2 2" xfId="7698"/>
    <cellStyle name="Normal 2 5 4 2 6 3" xfId="4079"/>
    <cellStyle name="Normal 2 5 4 2 6 3 2" xfId="9094"/>
    <cellStyle name="Normal 2 5 4 2 6 4" xfId="5886"/>
    <cellStyle name="Normal 2 5 4 2 6 5" xfId="10548"/>
    <cellStyle name="Normal 2 5 4 2 6 6" xfId="5292"/>
    <cellStyle name="Normal 2 5 4 2 7" xfId="1483"/>
    <cellStyle name="Normal 2 5 4 2 7 2" xfId="6772"/>
    <cellStyle name="Normal 2 5 4 2 8" xfId="3035"/>
    <cellStyle name="Normal 2 5 4 2 8 2" xfId="8051"/>
    <cellStyle name="Normal 2 5 4 2 9" xfId="5612"/>
    <cellStyle name="Normal 2 5 4 2_Degree data" xfId="2647"/>
    <cellStyle name="Normal 2 5 4 3" xfId="282"/>
    <cellStyle name="Normal 2 5 4 3 10" xfId="4408"/>
    <cellStyle name="Normal 2 5 4 3 2" xfId="384"/>
    <cellStyle name="Normal 2 5 4 3 2 2" xfId="1114"/>
    <cellStyle name="Normal 2 5 4 3 2 2 2" xfId="2066"/>
    <cellStyle name="Normal 2 5 4 3 2 2 2 2" xfId="7355"/>
    <cellStyle name="Normal 2 5 4 3 2 2 3" xfId="3396"/>
    <cellStyle name="Normal 2 5 4 3 2 2 3 2" xfId="8412"/>
    <cellStyle name="Normal 2 5 4 3 2 2 4" xfId="6471"/>
    <cellStyle name="Normal 2 5 4 3 2 2 5" xfId="9866"/>
    <cellStyle name="Normal 2 5 4 3 2 2 6" xfId="4948"/>
    <cellStyle name="Normal 2 5 4 3 2 3" xfId="891"/>
    <cellStyle name="Normal 2 5 4 3 2 3 2" xfId="2559"/>
    <cellStyle name="Normal 2 5 4 3 2 3 2 2" xfId="7841"/>
    <cellStyle name="Normal 2 5 4 3 2 3 3" xfId="3745"/>
    <cellStyle name="Normal 2 5 4 3 2 3 3 2" xfId="8760"/>
    <cellStyle name="Normal 2 5 4 3 2 3 4" xfId="6248"/>
    <cellStyle name="Normal 2 5 4 3 2 3 5" xfId="10214"/>
    <cellStyle name="Normal 2 5 4 3 2 3 6" xfId="5435"/>
    <cellStyle name="Normal 2 5 4 3 2 4" xfId="1843"/>
    <cellStyle name="Normal 2 5 4 3 2 4 2" xfId="4222"/>
    <cellStyle name="Normal 2 5 4 3 2 4 2 2" xfId="9237"/>
    <cellStyle name="Normal 2 5 4 3 2 4 3" xfId="10691"/>
    <cellStyle name="Normal 2 5 4 3 2 4 4" xfId="7132"/>
    <cellStyle name="Normal 2 5 4 3 2 5" xfId="3178"/>
    <cellStyle name="Normal 2 5 4 3 2 5 2" xfId="8194"/>
    <cellStyle name="Normal 2 5 4 3 2 6" xfId="5755"/>
    <cellStyle name="Normal 2 5 4 3 2 7" xfId="9648"/>
    <cellStyle name="Normal 2 5 4 3 2 8" xfId="4725"/>
    <cellStyle name="Normal 2 5 4 3 2_Degree data" xfId="2665"/>
    <cellStyle name="Normal 2 5 4 3 3" xfId="791"/>
    <cellStyle name="Normal 2 5 4 3 3 2" xfId="1743"/>
    <cellStyle name="Normal 2 5 4 3 3 2 2" xfId="7032"/>
    <cellStyle name="Normal 2 5 4 3 3 3" xfId="3395"/>
    <cellStyle name="Normal 2 5 4 3 3 3 2" xfId="8411"/>
    <cellStyle name="Normal 2 5 4 3 3 4" xfId="6148"/>
    <cellStyle name="Normal 2 5 4 3 3 5" xfId="9865"/>
    <cellStyle name="Normal 2 5 4 3 3 6" xfId="4625"/>
    <cellStyle name="Normal 2 5 4 3 4" xfId="1113"/>
    <cellStyle name="Normal 2 5 4 3 4 2" xfId="2065"/>
    <cellStyle name="Normal 2 5 4 3 4 2 2" xfId="7354"/>
    <cellStyle name="Normal 2 5 4 3 4 3" xfId="3744"/>
    <cellStyle name="Normal 2 5 4 3 4 3 2" xfId="8759"/>
    <cellStyle name="Normal 2 5 4 3 4 4" xfId="6470"/>
    <cellStyle name="Normal 2 5 4 3 4 5" xfId="10213"/>
    <cellStyle name="Normal 2 5 4 3 4 6" xfId="4947"/>
    <cellStyle name="Normal 2 5 4 3 5" xfId="571"/>
    <cellStyle name="Normal 2 5 4 3 5 2" xfId="2459"/>
    <cellStyle name="Normal 2 5 4 3 5 2 2" xfId="7741"/>
    <cellStyle name="Normal 2 5 4 3 5 3" xfId="4122"/>
    <cellStyle name="Normal 2 5 4 3 5 3 2" xfId="9137"/>
    <cellStyle name="Normal 2 5 4 3 5 4" xfId="5929"/>
    <cellStyle name="Normal 2 5 4 3 5 5" xfId="10591"/>
    <cellStyle name="Normal 2 5 4 3 5 6" xfId="5335"/>
    <cellStyle name="Normal 2 5 4 3 6" xfId="1526"/>
    <cellStyle name="Normal 2 5 4 3 6 2" xfId="6815"/>
    <cellStyle name="Normal 2 5 4 3 7" xfId="3078"/>
    <cellStyle name="Normal 2 5 4 3 7 2" xfId="8094"/>
    <cellStyle name="Normal 2 5 4 3 8" xfId="5655"/>
    <cellStyle name="Normal 2 5 4 3 9" xfId="9548"/>
    <cellStyle name="Normal 2 5 4 3_Degree data" xfId="2748"/>
    <cellStyle name="Normal 2 5 4 4" xfId="200"/>
    <cellStyle name="Normal 2 5 4 4 10" xfId="4437"/>
    <cellStyle name="Normal 2 5 4 4 2" xfId="414"/>
    <cellStyle name="Normal 2 5 4 4 2 2" xfId="1116"/>
    <cellStyle name="Normal 2 5 4 4 2 2 2" xfId="2068"/>
    <cellStyle name="Normal 2 5 4 4 2 2 2 2" xfId="7357"/>
    <cellStyle name="Normal 2 5 4 4 2 2 3" xfId="3398"/>
    <cellStyle name="Normal 2 5 4 4 2 2 3 2" xfId="8414"/>
    <cellStyle name="Normal 2 5 4 4 2 2 4" xfId="6473"/>
    <cellStyle name="Normal 2 5 4 4 2 2 5" xfId="9868"/>
    <cellStyle name="Normal 2 5 4 4 2 2 6" xfId="4950"/>
    <cellStyle name="Normal 2 5 4 4 2 3" xfId="920"/>
    <cellStyle name="Normal 2 5 4 4 2 3 2" xfId="2588"/>
    <cellStyle name="Normal 2 5 4 4 2 3 2 2" xfId="7870"/>
    <cellStyle name="Normal 2 5 4 4 2 3 3" xfId="3747"/>
    <cellStyle name="Normal 2 5 4 4 2 3 3 2" xfId="8762"/>
    <cellStyle name="Normal 2 5 4 4 2 3 4" xfId="6277"/>
    <cellStyle name="Normal 2 5 4 4 2 3 5" xfId="10216"/>
    <cellStyle name="Normal 2 5 4 4 2 3 6" xfId="5464"/>
    <cellStyle name="Normal 2 5 4 4 2 4" xfId="1872"/>
    <cellStyle name="Normal 2 5 4 4 2 4 2" xfId="4251"/>
    <cellStyle name="Normal 2 5 4 4 2 4 2 2" xfId="9266"/>
    <cellStyle name="Normal 2 5 4 4 2 4 3" xfId="10720"/>
    <cellStyle name="Normal 2 5 4 4 2 4 4" xfId="7161"/>
    <cellStyle name="Normal 2 5 4 4 2 5" xfId="3207"/>
    <cellStyle name="Normal 2 5 4 4 2 5 2" xfId="8223"/>
    <cellStyle name="Normal 2 5 4 4 2 6" xfId="5784"/>
    <cellStyle name="Normal 2 5 4 4 2 7" xfId="9677"/>
    <cellStyle name="Normal 2 5 4 4 2 8" xfId="4754"/>
    <cellStyle name="Normal 2 5 4 4 2_Degree data" xfId="2645"/>
    <cellStyle name="Normal 2 5 4 4 3" xfId="715"/>
    <cellStyle name="Normal 2 5 4 4 3 2" xfId="1667"/>
    <cellStyle name="Normal 2 5 4 4 3 2 2" xfId="6956"/>
    <cellStyle name="Normal 2 5 4 4 3 3" xfId="3397"/>
    <cellStyle name="Normal 2 5 4 4 3 3 2" xfId="8413"/>
    <cellStyle name="Normal 2 5 4 4 3 4" xfId="6072"/>
    <cellStyle name="Normal 2 5 4 4 3 5" xfId="9867"/>
    <cellStyle name="Normal 2 5 4 4 3 6" xfId="4549"/>
    <cellStyle name="Normal 2 5 4 4 4" xfId="1115"/>
    <cellStyle name="Normal 2 5 4 4 4 2" xfId="2067"/>
    <cellStyle name="Normal 2 5 4 4 4 2 2" xfId="7356"/>
    <cellStyle name="Normal 2 5 4 4 4 3" xfId="3746"/>
    <cellStyle name="Normal 2 5 4 4 4 3 2" xfId="8761"/>
    <cellStyle name="Normal 2 5 4 4 4 4" xfId="6472"/>
    <cellStyle name="Normal 2 5 4 4 4 5" xfId="10215"/>
    <cellStyle name="Normal 2 5 4 4 4 6" xfId="4949"/>
    <cellStyle name="Normal 2 5 4 4 5" xfId="600"/>
    <cellStyle name="Normal 2 5 4 4 5 2" xfId="2383"/>
    <cellStyle name="Normal 2 5 4 4 5 2 2" xfId="7665"/>
    <cellStyle name="Normal 2 5 4 4 5 3" xfId="4046"/>
    <cellStyle name="Normal 2 5 4 4 5 3 2" xfId="9061"/>
    <cellStyle name="Normal 2 5 4 4 5 4" xfId="5958"/>
    <cellStyle name="Normal 2 5 4 4 5 5" xfId="10515"/>
    <cellStyle name="Normal 2 5 4 4 5 6" xfId="5259"/>
    <cellStyle name="Normal 2 5 4 4 6" xfId="1555"/>
    <cellStyle name="Normal 2 5 4 4 6 2" xfId="6844"/>
    <cellStyle name="Normal 2 5 4 4 7" xfId="3002"/>
    <cellStyle name="Normal 2 5 4 4 7 2" xfId="8018"/>
    <cellStyle name="Normal 2 5 4 4 8" xfId="5579"/>
    <cellStyle name="Normal 2 5 4 4 9" xfId="9472"/>
    <cellStyle name="Normal 2 5 4 4_Degree data" xfId="2718"/>
    <cellStyle name="Normal 2 5 4 5" xfId="306"/>
    <cellStyle name="Normal 2 5 4 5 2" xfId="1117"/>
    <cellStyle name="Normal 2 5 4 5 2 2" xfId="2069"/>
    <cellStyle name="Normal 2 5 4 5 2 2 2" xfId="7358"/>
    <cellStyle name="Normal 2 5 4 5 2 3" xfId="3399"/>
    <cellStyle name="Normal 2 5 4 5 2 3 2" xfId="8415"/>
    <cellStyle name="Normal 2 5 4 5 2 4" xfId="6474"/>
    <cellStyle name="Normal 2 5 4 5 2 5" xfId="9869"/>
    <cellStyle name="Normal 2 5 4 5 2 6" xfId="4951"/>
    <cellStyle name="Normal 2 5 4 5 3" xfId="815"/>
    <cellStyle name="Normal 2 5 4 5 3 2" xfId="2483"/>
    <cellStyle name="Normal 2 5 4 5 3 2 2" xfId="7765"/>
    <cellStyle name="Normal 2 5 4 5 3 3" xfId="3748"/>
    <cellStyle name="Normal 2 5 4 5 3 3 2" xfId="8763"/>
    <cellStyle name="Normal 2 5 4 5 3 4" xfId="6172"/>
    <cellStyle name="Normal 2 5 4 5 3 5" xfId="10217"/>
    <cellStyle name="Normal 2 5 4 5 3 6" xfId="5359"/>
    <cellStyle name="Normal 2 5 4 5 4" xfId="1767"/>
    <cellStyle name="Normal 2 5 4 5 4 2" xfId="4146"/>
    <cellStyle name="Normal 2 5 4 5 4 2 2" xfId="9161"/>
    <cellStyle name="Normal 2 5 4 5 4 3" xfId="10615"/>
    <cellStyle name="Normal 2 5 4 5 4 4" xfId="7056"/>
    <cellStyle name="Normal 2 5 4 5 5" xfId="3102"/>
    <cellStyle name="Normal 2 5 4 5 5 2" xfId="8118"/>
    <cellStyle name="Normal 2 5 4 5 6" xfId="5679"/>
    <cellStyle name="Normal 2 5 4 5 7" xfId="9572"/>
    <cellStyle name="Normal 2 5 4 5 8" xfId="4649"/>
    <cellStyle name="Normal 2 5 4 5_Degree data" xfId="2720"/>
    <cellStyle name="Normal 2 5 4 6" xfId="691"/>
    <cellStyle name="Normal 2 5 4 6 2" xfId="1118"/>
    <cellStyle name="Normal 2 5 4 6 2 2" xfId="2070"/>
    <cellStyle name="Normal 2 5 4 6 2 2 2" xfId="7359"/>
    <cellStyle name="Normal 2 5 4 6 2 3" xfId="3400"/>
    <cellStyle name="Normal 2 5 4 6 2 3 2" xfId="8416"/>
    <cellStyle name="Normal 2 5 4 6 2 4" xfId="6475"/>
    <cellStyle name="Normal 2 5 4 6 2 5" xfId="9870"/>
    <cellStyle name="Normal 2 5 4 6 2 6" xfId="4952"/>
    <cellStyle name="Normal 2 5 4 6 3" xfId="1406"/>
    <cellStyle name="Normal 2 5 4 6 3 2" xfId="2359"/>
    <cellStyle name="Normal 2 5 4 6 3 2 2" xfId="7641"/>
    <cellStyle name="Normal 2 5 4 6 3 3" xfId="3749"/>
    <cellStyle name="Normal 2 5 4 6 3 3 2" xfId="8764"/>
    <cellStyle name="Normal 2 5 4 6 3 4" xfId="6702"/>
    <cellStyle name="Normal 2 5 4 6 3 5" xfId="10218"/>
    <cellStyle name="Normal 2 5 4 6 3 6" xfId="5235"/>
    <cellStyle name="Normal 2 5 4 6 4" xfId="1643"/>
    <cellStyle name="Normal 2 5 4 6 4 2" xfId="4022"/>
    <cellStyle name="Normal 2 5 4 6 4 2 2" xfId="9037"/>
    <cellStyle name="Normal 2 5 4 6 4 3" xfId="10491"/>
    <cellStyle name="Normal 2 5 4 6 4 4" xfId="6932"/>
    <cellStyle name="Normal 2 5 4 6 5" xfId="2976"/>
    <cellStyle name="Normal 2 5 4 6 5 2" xfId="7992"/>
    <cellStyle name="Normal 2 5 4 6 6" xfId="6048"/>
    <cellStyle name="Normal 2 5 4 6 7" xfId="9448"/>
    <cellStyle name="Normal 2 5 4 6 8" xfId="4525"/>
    <cellStyle name="Normal 2 5 4 6_Degree data" xfId="2649"/>
    <cellStyle name="Normal 2 5 4 7" xfId="1109"/>
    <cellStyle name="Normal 2 5 4 7 2" xfId="2061"/>
    <cellStyle name="Normal 2 5 4 7 2 2" xfId="7350"/>
    <cellStyle name="Normal 2 5 4 7 3" xfId="3391"/>
    <cellStyle name="Normal 2 5 4 7 3 2" xfId="8407"/>
    <cellStyle name="Normal 2 5 4 7 4" xfId="6466"/>
    <cellStyle name="Normal 2 5 4 7 5" xfId="9861"/>
    <cellStyle name="Normal 2 5 4 7 6" xfId="4943"/>
    <cellStyle name="Normal 2 5 4 8" xfId="488"/>
    <cellStyle name="Normal 2 5 4 8 2" xfId="2314"/>
    <cellStyle name="Normal 2 5 4 8 2 2" xfId="7596"/>
    <cellStyle name="Normal 2 5 4 8 3" xfId="3740"/>
    <cellStyle name="Normal 2 5 4 8 3 2" xfId="8755"/>
    <cellStyle name="Normal 2 5 4 8 4" xfId="5852"/>
    <cellStyle name="Normal 2 5 4 8 5" xfId="10209"/>
    <cellStyle name="Normal 2 5 4 8 6" xfId="5190"/>
    <cellStyle name="Normal 2 5 4 9" xfId="1449"/>
    <cellStyle name="Normal 2 5 4 9 2" xfId="3977"/>
    <cellStyle name="Normal 2 5 4 9 2 2" xfId="8992"/>
    <cellStyle name="Normal 2 5 4 9 3" xfId="10446"/>
    <cellStyle name="Normal 2 5 4 9 4" xfId="6739"/>
    <cellStyle name="Normal 2 5 4_Degree data" xfId="2709"/>
    <cellStyle name="Normal 2 5 5" xfId="132"/>
    <cellStyle name="Normal 2 5 5 10" xfId="5525"/>
    <cellStyle name="Normal 2 5 5 11" xfId="9345"/>
    <cellStyle name="Normal 2 5 5 12" xfId="4337"/>
    <cellStyle name="Normal 2 5 5 2" xfId="253"/>
    <cellStyle name="Normal 2 5 5 2 10" xfId="4380"/>
    <cellStyle name="Normal 2 5 5 2 2" xfId="355"/>
    <cellStyle name="Normal 2 5 5 2 2 2" xfId="1121"/>
    <cellStyle name="Normal 2 5 5 2 2 2 2" xfId="2073"/>
    <cellStyle name="Normal 2 5 5 2 2 2 2 2" xfId="7362"/>
    <cellStyle name="Normal 2 5 5 2 2 2 3" xfId="3403"/>
    <cellStyle name="Normal 2 5 5 2 2 2 3 2" xfId="8419"/>
    <cellStyle name="Normal 2 5 5 2 2 2 4" xfId="6478"/>
    <cellStyle name="Normal 2 5 5 2 2 2 5" xfId="9873"/>
    <cellStyle name="Normal 2 5 5 2 2 2 6" xfId="4955"/>
    <cellStyle name="Normal 2 5 5 2 2 3" xfId="863"/>
    <cellStyle name="Normal 2 5 5 2 2 3 2" xfId="2531"/>
    <cellStyle name="Normal 2 5 5 2 2 3 2 2" xfId="7813"/>
    <cellStyle name="Normal 2 5 5 2 2 3 3" xfId="3752"/>
    <cellStyle name="Normal 2 5 5 2 2 3 3 2" xfId="8767"/>
    <cellStyle name="Normal 2 5 5 2 2 3 4" xfId="6220"/>
    <cellStyle name="Normal 2 5 5 2 2 3 5" xfId="10221"/>
    <cellStyle name="Normal 2 5 5 2 2 3 6" xfId="5407"/>
    <cellStyle name="Normal 2 5 5 2 2 4" xfId="1815"/>
    <cellStyle name="Normal 2 5 5 2 2 4 2" xfId="4194"/>
    <cellStyle name="Normal 2 5 5 2 2 4 2 2" xfId="9209"/>
    <cellStyle name="Normal 2 5 5 2 2 4 3" xfId="10663"/>
    <cellStyle name="Normal 2 5 5 2 2 4 4" xfId="7104"/>
    <cellStyle name="Normal 2 5 5 2 2 5" xfId="3150"/>
    <cellStyle name="Normal 2 5 5 2 2 5 2" xfId="8166"/>
    <cellStyle name="Normal 2 5 5 2 2 6" xfId="5727"/>
    <cellStyle name="Normal 2 5 5 2 2 7" xfId="9620"/>
    <cellStyle name="Normal 2 5 5 2 2 8" xfId="4697"/>
    <cellStyle name="Normal 2 5 5 2 2_Degree data" xfId="2280"/>
    <cellStyle name="Normal 2 5 5 2 3" xfId="763"/>
    <cellStyle name="Normal 2 5 5 2 3 2" xfId="1715"/>
    <cellStyle name="Normal 2 5 5 2 3 2 2" xfId="7004"/>
    <cellStyle name="Normal 2 5 5 2 3 3" xfId="3402"/>
    <cellStyle name="Normal 2 5 5 2 3 3 2" xfId="8418"/>
    <cellStyle name="Normal 2 5 5 2 3 4" xfId="6120"/>
    <cellStyle name="Normal 2 5 5 2 3 5" xfId="9872"/>
    <cellStyle name="Normal 2 5 5 2 3 6" xfId="4597"/>
    <cellStyle name="Normal 2 5 5 2 4" xfId="1120"/>
    <cellStyle name="Normal 2 5 5 2 4 2" xfId="2072"/>
    <cellStyle name="Normal 2 5 5 2 4 2 2" xfId="7361"/>
    <cellStyle name="Normal 2 5 5 2 4 3" xfId="3751"/>
    <cellStyle name="Normal 2 5 5 2 4 3 2" xfId="8766"/>
    <cellStyle name="Normal 2 5 5 2 4 4" xfId="6477"/>
    <cellStyle name="Normal 2 5 5 2 4 5" xfId="10220"/>
    <cellStyle name="Normal 2 5 5 2 4 6" xfId="4954"/>
    <cellStyle name="Normal 2 5 5 2 5" xfId="542"/>
    <cellStyle name="Normal 2 5 5 2 5 2" xfId="2431"/>
    <cellStyle name="Normal 2 5 5 2 5 2 2" xfId="7713"/>
    <cellStyle name="Normal 2 5 5 2 5 3" xfId="4094"/>
    <cellStyle name="Normal 2 5 5 2 5 3 2" xfId="9109"/>
    <cellStyle name="Normal 2 5 5 2 5 4" xfId="5901"/>
    <cellStyle name="Normal 2 5 5 2 5 5" xfId="10563"/>
    <cellStyle name="Normal 2 5 5 2 5 6" xfId="5307"/>
    <cellStyle name="Normal 2 5 5 2 6" xfId="1498"/>
    <cellStyle name="Normal 2 5 5 2 6 2" xfId="6787"/>
    <cellStyle name="Normal 2 5 5 2 7" xfId="3050"/>
    <cellStyle name="Normal 2 5 5 2 7 2" xfId="8066"/>
    <cellStyle name="Normal 2 5 5 2 8" xfId="5627"/>
    <cellStyle name="Normal 2 5 5 2 9" xfId="9520"/>
    <cellStyle name="Normal 2 5 5 2_Degree data" xfId="2703"/>
    <cellStyle name="Normal 2 5 5 3" xfId="208"/>
    <cellStyle name="Normal 2 5 5 3 10" xfId="4442"/>
    <cellStyle name="Normal 2 5 5 3 2" xfId="419"/>
    <cellStyle name="Normal 2 5 5 3 2 2" xfId="1123"/>
    <cellStyle name="Normal 2 5 5 3 2 2 2" xfId="2075"/>
    <cellStyle name="Normal 2 5 5 3 2 2 2 2" xfId="7364"/>
    <cellStyle name="Normal 2 5 5 3 2 2 3" xfId="3405"/>
    <cellStyle name="Normal 2 5 5 3 2 2 3 2" xfId="8421"/>
    <cellStyle name="Normal 2 5 5 3 2 2 4" xfId="6480"/>
    <cellStyle name="Normal 2 5 5 3 2 2 5" xfId="9875"/>
    <cellStyle name="Normal 2 5 5 3 2 2 6" xfId="4957"/>
    <cellStyle name="Normal 2 5 5 3 2 3" xfId="925"/>
    <cellStyle name="Normal 2 5 5 3 2 3 2" xfId="2593"/>
    <cellStyle name="Normal 2 5 5 3 2 3 2 2" xfId="7875"/>
    <cellStyle name="Normal 2 5 5 3 2 3 3" xfId="3754"/>
    <cellStyle name="Normal 2 5 5 3 2 3 3 2" xfId="8769"/>
    <cellStyle name="Normal 2 5 5 3 2 3 4" xfId="6282"/>
    <cellStyle name="Normal 2 5 5 3 2 3 5" xfId="10223"/>
    <cellStyle name="Normal 2 5 5 3 2 3 6" xfId="5469"/>
    <cellStyle name="Normal 2 5 5 3 2 4" xfId="1877"/>
    <cellStyle name="Normal 2 5 5 3 2 4 2" xfId="4256"/>
    <cellStyle name="Normal 2 5 5 3 2 4 2 2" xfId="9271"/>
    <cellStyle name="Normal 2 5 5 3 2 4 3" xfId="10725"/>
    <cellStyle name="Normal 2 5 5 3 2 4 4" xfId="7166"/>
    <cellStyle name="Normal 2 5 5 3 2 5" xfId="3212"/>
    <cellStyle name="Normal 2 5 5 3 2 5 2" xfId="8228"/>
    <cellStyle name="Normal 2 5 5 3 2 6" xfId="5789"/>
    <cellStyle name="Normal 2 5 5 3 2 7" xfId="9682"/>
    <cellStyle name="Normal 2 5 5 3 2 8" xfId="4759"/>
    <cellStyle name="Normal 2 5 5 3 2_Degree data" xfId="2695"/>
    <cellStyle name="Normal 2 5 5 3 3" xfId="720"/>
    <cellStyle name="Normal 2 5 5 3 3 2" xfId="1672"/>
    <cellStyle name="Normal 2 5 5 3 3 2 2" xfId="6961"/>
    <cellStyle name="Normal 2 5 5 3 3 3" xfId="3404"/>
    <cellStyle name="Normal 2 5 5 3 3 3 2" xfId="8420"/>
    <cellStyle name="Normal 2 5 5 3 3 4" xfId="6077"/>
    <cellStyle name="Normal 2 5 5 3 3 5" xfId="9874"/>
    <cellStyle name="Normal 2 5 5 3 3 6" xfId="4554"/>
    <cellStyle name="Normal 2 5 5 3 4" xfId="1122"/>
    <cellStyle name="Normal 2 5 5 3 4 2" xfId="2074"/>
    <cellStyle name="Normal 2 5 5 3 4 2 2" xfId="7363"/>
    <cellStyle name="Normal 2 5 5 3 4 3" xfId="3753"/>
    <cellStyle name="Normal 2 5 5 3 4 3 2" xfId="8768"/>
    <cellStyle name="Normal 2 5 5 3 4 4" xfId="6479"/>
    <cellStyle name="Normal 2 5 5 3 4 5" xfId="10222"/>
    <cellStyle name="Normal 2 5 5 3 4 6" xfId="4956"/>
    <cellStyle name="Normal 2 5 5 3 5" xfId="605"/>
    <cellStyle name="Normal 2 5 5 3 5 2" xfId="2388"/>
    <cellStyle name="Normal 2 5 5 3 5 2 2" xfId="7670"/>
    <cellStyle name="Normal 2 5 5 3 5 3" xfId="4051"/>
    <cellStyle name="Normal 2 5 5 3 5 3 2" xfId="9066"/>
    <cellStyle name="Normal 2 5 5 3 5 4" xfId="5963"/>
    <cellStyle name="Normal 2 5 5 3 5 5" xfId="10520"/>
    <cellStyle name="Normal 2 5 5 3 5 6" xfId="5264"/>
    <cellStyle name="Normal 2 5 5 3 6" xfId="1560"/>
    <cellStyle name="Normal 2 5 5 3 6 2" xfId="6849"/>
    <cellStyle name="Normal 2 5 5 3 7" xfId="3007"/>
    <cellStyle name="Normal 2 5 5 3 7 2" xfId="8023"/>
    <cellStyle name="Normal 2 5 5 3 8" xfId="5584"/>
    <cellStyle name="Normal 2 5 5 3 9" xfId="9477"/>
    <cellStyle name="Normal 2 5 5 3_Degree data" xfId="2725"/>
    <cellStyle name="Normal 2 5 5 4" xfId="311"/>
    <cellStyle name="Normal 2 5 5 4 2" xfId="1124"/>
    <cellStyle name="Normal 2 5 5 4 2 2" xfId="2076"/>
    <cellStyle name="Normal 2 5 5 4 2 2 2" xfId="7365"/>
    <cellStyle name="Normal 2 5 5 4 2 3" xfId="3406"/>
    <cellStyle name="Normal 2 5 5 4 2 3 2" xfId="8422"/>
    <cellStyle name="Normal 2 5 5 4 2 4" xfId="6481"/>
    <cellStyle name="Normal 2 5 5 4 2 5" xfId="9876"/>
    <cellStyle name="Normal 2 5 5 4 2 6" xfId="4958"/>
    <cellStyle name="Normal 2 5 5 4 3" xfId="820"/>
    <cellStyle name="Normal 2 5 5 4 3 2" xfId="2488"/>
    <cellStyle name="Normal 2 5 5 4 3 2 2" xfId="7770"/>
    <cellStyle name="Normal 2 5 5 4 3 3" xfId="3755"/>
    <cellStyle name="Normal 2 5 5 4 3 3 2" xfId="8770"/>
    <cellStyle name="Normal 2 5 5 4 3 4" xfId="6177"/>
    <cellStyle name="Normal 2 5 5 4 3 5" xfId="10224"/>
    <cellStyle name="Normal 2 5 5 4 3 6" xfId="5364"/>
    <cellStyle name="Normal 2 5 5 4 4" xfId="1772"/>
    <cellStyle name="Normal 2 5 5 4 4 2" xfId="4151"/>
    <cellStyle name="Normal 2 5 5 4 4 2 2" xfId="9166"/>
    <cellStyle name="Normal 2 5 5 4 4 3" xfId="10620"/>
    <cellStyle name="Normal 2 5 5 4 4 4" xfId="7061"/>
    <cellStyle name="Normal 2 5 5 4 5" xfId="3107"/>
    <cellStyle name="Normal 2 5 5 4 5 2" xfId="8123"/>
    <cellStyle name="Normal 2 5 5 4 6" xfId="5684"/>
    <cellStyle name="Normal 2 5 5 4 7" xfId="9577"/>
    <cellStyle name="Normal 2 5 5 4 8" xfId="4654"/>
    <cellStyle name="Normal 2 5 5 4_Degree data" xfId="2674"/>
    <cellStyle name="Normal 2 5 5 5" xfId="661"/>
    <cellStyle name="Normal 2 5 5 5 2" xfId="1613"/>
    <cellStyle name="Normal 2 5 5 5 2 2" xfId="6902"/>
    <cellStyle name="Normal 2 5 5 5 3" xfId="3401"/>
    <cellStyle name="Normal 2 5 5 5 3 2" xfId="8417"/>
    <cellStyle name="Normal 2 5 5 5 4" xfId="6018"/>
    <cellStyle name="Normal 2 5 5 5 5" xfId="9871"/>
    <cellStyle name="Normal 2 5 5 5 6" xfId="4495"/>
    <cellStyle name="Normal 2 5 5 6" xfId="1119"/>
    <cellStyle name="Normal 2 5 5 6 2" xfId="2071"/>
    <cellStyle name="Normal 2 5 5 6 2 2" xfId="7360"/>
    <cellStyle name="Normal 2 5 5 6 3" xfId="3750"/>
    <cellStyle name="Normal 2 5 5 6 3 2" xfId="8765"/>
    <cellStyle name="Normal 2 5 5 6 4" xfId="6476"/>
    <cellStyle name="Normal 2 5 5 6 5" xfId="10219"/>
    <cellStyle name="Normal 2 5 5 6 6" xfId="4953"/>
    <cellStyle name="Normal 2 5 5 7" xfId="496"/>
    <cellStyle name="Normal 2 5 5 7 2" xfId="2329"/>
    <cellStyle name="Normal 2 5 5 7 2 2" xfId="7611"/>
    <cellStyle name="Normal 2 5 5 7 3" xfId="3992"/>
    <cellStyle name="Normal 2 5 5 7 3 2" xfId="9007"/>
    <cellStyle name="Normal 2 5 5 7 4" xfId="5857"/>
    <cellStyle name="Normal 2 5 5 7 5" xfId="10461"/>
    <cellStyle name="Normal 2 5 5 7 6" xfId="5205"/>
    <cellStyle name="Normal 2 5 5 8" xfId="1455"/>
    <cellStyle name="Normal 2 5 5 8 2" xfId="9418"/>
    <cellStyle name="Normal 2 5 5 8 3" xfId="6744"/>
    <cellStyle name="Normal 2 5 5 9" xfId="2946"/>
    <cellStyle name="Normal 2 5 5 9 2" xfId="7962"/>
    <cellStyle name="Normal 2 5 5_Degree data" xfId="2682"/>
    <cellStyle name="Normal 2 5 6" xfId="244"/>
    <cellStyle name="Normal 2 5 6 10" xfId="4371"/>
    <cellStyle name="Normal 2 5 6 2" xfId="346"/>
    <cellStyle name="Normal 2 5 6 2 2" xfId="1126"/>
    <cellStyle name="Normal 2 5 6 2 2 2" xfId="2078"/>
    <cellStyle name="Normal 2 5 6 2 2 2 2" xfId="7367"/>
    <cellStyle name="Normal 2 5 6 2 2 3" xfId="3408"/>
    <cellStyle name="Normal 2 5 6 2 2 3 2" xfId="8424"/>
    <cellStyle name="Normal 2 5 6 2 2 4" xfId="6483"/>
    <cellStyle name="Normal 2 5 6 2 2 5" xfId="9878"/>
    <cellStyle name="Normal 2 5 6 2 2 6" xfId="4960"/>
    <cellStyle name="Normal 2 5 6 2 3" xfId="854"/>
    <cellStyle name="Normal 2 5 6 2 3 2" xfId="2522"/>
    <cellStyle name="Normal 2 5 6 2 3 2 2" xfId="7804"/>
    <cellStyle name="Normal 2 5 6 2 3 3" xfId="3757"/>
    <cellStyle name="Normal 2 5 6 2 3 3 2" xfId="8772"/>
    <cellStyle name="Normal 2 5 6 2 3 4" xfId="6211"/>
    <cellStyle name="Normal 2 5 6 2 3 5" xfId="10226"/>
    <cellStyle name="Normal 2 5 6 2 3 6" xfId="5398"/>
    <cellStyle name="Normal 2 5 6 2 4" xfId="1806"/>
    <cellStyle name="Normal 2 5 6 2 4 2" xfId="4185"/>
    <cellStyle name="Normal 2 5 6 2 4 2 2" xfId="9200"/>
    <cellStyle name="Normal 2 5 6 2 4 3" xfId="10654"/>
    <cellStyle name="Normal 2 5 6 2 4 4" xfId="7095"/>
    <cellStyle name="Normal 2 5 6 2 5" xfId="3141"/>
    <cellStyle name="Normal 2 5 6 2 5 2" xfId="8157"/>
    <cellStyle name="Normal 2 5 6 2 6" xfId="5718"/>
    <cellStyle name="Normal 2 5 6 2 7" xfId="9611"/>
    <cellStyle name="Normal 2 5 6 2 8" xfId="4688"/>
    <cellStyle name="Normal 2 5 6 2_Degree data" xfId="2283"/>
    <cellStyle name="Normal 2 5 6 3" xfId="754"/>
    <cellStyle name="Normal 2 5 6 3 2" xfId="1706"/>
    <cellStyle name="Normal 2 5 6 3 2 2" xfId="6995"/>
    <cellStyle name="Normal 2 5 6 3 3" xfId="3407"/>
    <cellStyle name="Normal 2 5 6 3 3 2" xfId="8423"/>
    <cellStyle name="Normal 2 5 6 3 4" xfId="6111"/>
    <cellStyle name="Normal 2 5 6 3 5" xfId="9877"/>
    <cellStyle name="Normal 2 5 6 3 6" xfId="4588"/>
    <cellStyle name="Normal 2 5 6 4" xfId="1125"/>
    <cellStyle name="Normal 2 5 6 4 2" xfId="2077"/>
    <cellStyle name="Normal 2 5 6 4 2 2" xfId="7366"/>
    <cellStyle name="Normal 2 5 6 4 3" xfId="3756"/>
    <cellStyle name="Normal 2 5 6 4 3 2" xfId="8771"/>
    <cellStyle name="Normal 2 5 6 4 4" xfId="6482"/>
    <cellStyle name="Normal 2 5 6 4 5" xfId="10225"/>
    <cellStyle name="Normal 2 5 6 4 6" xfId="4959"/>
    <cellStyle name="Normal 2 5 6 5" xfId="533"/>
    <cellStyle name="Normal 2 5 6 5 2" xfId="2422"/>
    <cellStyle name="Normal 2 5 6 5 2 2" xfId="7704"/>
    <cellStyle name="Normal 2 5 6 5 3" xfId="4085"/>
    <cellStyle name="Normal 2 5 6 5 3 2" xfId="9100"/>
    <cellStyle name="Normal 2 5 6 5 4" xfId="5892"/>
    <cellStyle name="Normal 2 5 6 5 5" xfId="10554"/>
    <cellStyle name="Normal 2 5 6 5 6" xfId="5298"/>
    <cellStyle name="Normal 2 5 6 6" xfId="1489"/>
    <cellStyle name="Normal 2 5 6 6 2" xfId="6778"/>
    <cellStyle name="Normal 2 5 6 7" xfId="3041"/>
    <cellStyle name="Normal 2 5 6 7 2" xfId="8057"/>
    <cellStyle name="Normal 2 5 6 8" xfId="5618"/>
    <cellStyle name="Normal 2 5 6 9" xfId="9511"/>
    <cellStyle name="Normal 2 5 6_Degree data" xfId="2704"/>
    <cellStyle name="Normal 2 5 7" xfId="182"/>
    <cellStyle name="Normal 2 5 7 10" xfId="4419"/>
    <cellStyle name="Normal 2 5 7 2" xfId="396"/>
    <cellStyle name="Normal 2 5 7 2 2" xfId="1128"/>
    <cellStyle name="Normal 2 5 7 2 2 2" xfId="2080"/>
    <cellStyle name="Normal 2 5 7 2 2 2 2" xfId="7369"/>
    <cellStyle name="Normal 2 5 7 2 2 3" xfId="3410"/>
    <cellStyle name="Normal 2 5 7 2 2 3 2" xfId="8426"/>
    <cellStyle name="Normal 2 5 7 2 2 4" xfId="6485"/>
    <cellStyle name="Normal 2 5 7 2 2 5" xfId="9880"/>
    <cellStyle name="Normal 2 5 7 2 2 6" xfId="4962"/>
    <cellStyle name="Normal 2 5 7 2 3" xfId="902"/>
    <cellStyle name="Normal 2 5 7 2 3 2" xfId="2570"/>
    <cellStyle name="Normal 2 5 7 2 3 2 2" xfId="7852"/>
    <cellStyle name="Normal 2 5 7 2 3 3" xfId="3759"/>
    <cellStyle name="Normal 2 5 7 2 3 3 2" xfId="8774"/>
    <cellStyle name="Normal 2 5 7 2 3 4" xfId="6259"/>
    <cellStyle name="Normal 2 5 7 2 3 5" xfId="10228"/>
    <cellStyle name="Normal 2 5 7 2 3 6" xfId="5446"/>
    <cellStyle name="Normal 2 5 7 2 4" xfId="1854"/>
    <cellStyle name="Normal 2 5 7 2 4 2" xfId="4233"/>
    <cellStyle name="Normal 2 5 7 2 4 2 2" xfId="9248"/>
    <cellStyle name="Normal 2 5 7 2 4 3" xfId="10702"/>
    <cellStyle name="Normal 2 5 7 2 4 4" xfId="7143"/>
    <cellStyle name="Normal 2 5 7 2 5" xfId="3189"/>
    <cellStyle name="Normal 2 5 7 2 5 2" xfId="8205"/>
    <cellStyle name="Normal 2 5 7 2 6" xfId="5766"/>
    <cellStyle name="Normal 2 5 7 2 7" xfId="9659"/>
    <cellStyle name="Normal 2 5 7 2 8" xfId="4736"/>
    <cellStyle name="Normal 2 5 7 2_Degree data" xfId="2736"/>
    <cellStyle name="Normal 2 5 7 3" xfId="697"/>
    <cellStyle name="Normal 2 5 7 3 2" xfId="1649"/>
    <cellStyle name="Normal 2 5 7 3 2 2" xfId="6938"/>
    <cellStyle name="Normal 2 5 7 3 3" xfId="3409"/>
    <cellStyle name="Normal 2 5 7 3 3 2" xfId="8425"/>
    <cellStyle name="Normal 2 5 7 3 4" xfId="6054"/>
    <cellStyle name="Normal 2 5 7 3 5" xfId="9879"/>
    <cellStyle name="Normal 2 5 7 3 6" xfId="4531"/>
    <cellStyle name="Normal 2 5 7 4" xfId="1127"/>
    <cellStyle name="Normal 2 5 7 4 2" xfId="2079"/>
    <cellStyle name="Normal 2 5 7 4 2 2" xfId="7368"/>
    <cellStyle name="Normal 2 5 7 4 3" xfId="3758"/>
    <cellStyle name="Normal 2 5 7 4 3 2" xfId="8773"/>
    <cellStyle name="Normal 2 5 7 4 4" xfId="6484"/>
    <cellStyle name="Normal 2 5 7 4 5" xfId="10227"/>
    <cellStyle name="Normal 2 5 7 4 6" xfId="4961"/>
    <cellStyle name="Normal 2 5 7 5" xfId="582"/>
    <cellStyle name="Normal 2 5 7 5 2" xfId="2365"/>
    <cellStyle name="Normal 2 5 7 5 2 2" xfId="7647"/>
    <cellStyle name="Normal 2 5 7 5 3" xfId="4028"/>
    <cellStyle name="Normal 2 5 7 5 3 2" xfId="9043"/>
    <cellStyle name="Normal 2 5 7 5 4" xfId="5940"/>
    <cellStyle name="Normal 2 5 7 5 5" xfId="10497"/>
    <cellStyle name="Normal 2 5 7 5 6" xfId="5241"/>
    <cellStyle name="Normal 2 5 7 6" xfId="1537"/>
    <cellStyle name="Normal 2 5 7 6 2" xfId="6826"/>
    <cellStyle name="Normal 2 5 7 7" xfId="2984"/>
    <cellStyle name="Normal 2 5 7 7 2" xfId="8000"/>
    <cellStyle name="Normal 2 5 7 8" xfId="5561"/>
    <cellStyle name="Normal 2 5 7 9" xfId="9454"/>
    <cellStyle name="Normal 2 5 7_Degree data" xfId="2693"/>
    <cellStyle name="Normal 2 5 8" xfId="452"/>
    <cellStyle name="Normal 2 5 8 2" xfId="958"/>
    <cellStyle name="Normal 2 5 8 2 2" xfId="1910"/>
    <cellStyle name="Normal 2 5 8 2 2 2" xfId="7199"/>
    <cellStyle name="Normal 2 5 8 2 3" xfId="3411"/>
    <cellStyle name="Normal 2 5 8 2 3 2" xfId="8427"/>
    <cellStyle name="Normal 2 5 8 2 4" xfId="6315"/>
    <cellStyle name="Normal 2 5 8 2 5" xfId="9881"/>
    <cellStyle name="Normal 2 5 8 2 6" xfId="4792"/>
    <cellStyle name="Normal 2 5 8 3" xfId="1129"/>
    <cellStyle name="Normal 2 5 8 3 2" xfId="2081"/>
    <cellStyle name="Normal 2 5 8 3 2 2" xfId="7370"/>
    <cellStyle name="Normal 2 5 8 3 3" xfId="3760"/>
    <cellStyle name="Normal 2 5 8 3 3 2" xfId="8775"/>
    <cellStyle name="Normal 2 5 8 3 4" xfId="6486"/>
    <cellStyle name="Normal 2 5 8 3 5" xfId="10229"/>
    <cellStyle name="Normal 2 5 8 3 6" xfId="4963"/>
    <cellStyle name="Normal 2 5 8 4" xfId="638"/>
    <cellStyle name="Normal 2 5 8 4 2" xfId="2626"/>
    <cellStyle name="Normal 2 5 8 4 2 2" xfId="7908"/>
    <cellStyle name="Normal 2 5 8 4 3" xfId="4289"/>
    <cellStyle name="Normal 2 5 8 4 3 2" xfId="9304"/>
    <cellStyle name="Normal 2 5 8 4 4" xfId="5996"/>
    <cellStyle name="Normal 2 5 8 4 5" xfId="10758"/>
    <cellStyle name="Normal 2 5 8 4 6" xfId="5502"/>
    <cellStyle name="Normal 2 5 8 5" xfId="1593"/>
    <cellStyle name="Normal 2 5 8 5 2" xfId="6882"/>
    <cellStyle name="Normal 2 5 8 6" xfId="3245"/>
    <cellStyle name="Normal 2 5 8 6 2" xfId="8261"/>
    <cellStyle name="Normal 2 5 8 7" xfId="5822"/>
    <cellStyle name="Normal 2 5 8 8" xfId="9715"/>
    <cellStyle name="Normal 2 5 8 9" xfId="4475"/>
    <cellStyle name="Normal 2 5 8_Degree data" xfId="2278"/>
    <cellStyle name="Normal 2 5 9" xfId="288"/>
    <cellStyle name="Normal 2 5 9 2" xfId="1130"/>
    <cellStyle name="Normal 2 5 9 2 2" xfId="2082"/>
    <cellStyle name="Normal 2 5 9 2 2 2" xfId="7371"/>
    <cellStyle name="Normal 2 5 9 2 3" xfId="3412"/>
    <cellStyle name="Normal 2 5 9 2 3 2" xfId="8428"/>
    <cellStyle name="Normal 2 5 9 2 4" xfId="6487"/>
    <cellStyle name="Normal 2 5 9 2 5" xfId="9882"/>
    <cellStyle name="Normal 2 5 9 2 6" xfId="4964"/>
    <cellStyle name="Normal 2 5 9 3" xfId="797"/>
    <cellStyle name="Normal 2 5 9 3 2" xfId="2465"/>
    <cellStyle name="Normal 2 5 9 3 2 2" xfId="7747"/>
    <cellStyle name="Normal 2 5 9 3 3" xfId="3761"/>
    <cellStyle name="Normal 2 5 9 3 3 2" xfId="8776"/>
    <cellStyle name="Normal 2 5 9 3 4" xfId="6154"/>
    <cellStyle name="Normal 2 5 9 3 5" xfId="10230"/>
    <cellStyle name="Normal 2 5 9 3 6" xfId="5341"/>
    <cellStyle name="Normal 2 5 9 4" xfId="1749"/>
    <cellStyle name="Normal 2 5 9 4 2" xfId="4128"/>
    <cellStyle name="Normal 2 5 9 4 2 2" xfId="9143"/>
    <cellStyle name="Normal 2 5 9 4 3" xfId="10597"/>
    <cellStyle name="Normal 2 5 9 4 4" xfId="7038"/>
    <cellStyle name="Normal 2 5 9 5" xfId="3084"/>
    <cellStyle name="Normal 2 5 9 5 2" xfId="8100"/>
    <cellStyle name="Normal 2 5 9 6" xfId="5661"/>
    <cellStyle name="Normal 2 5 9 7" xfId="9554"/>
    <cellStyle name="Normal 2 5 9 8" xfId="4631"/>
    <cellStyle name="Normal 2 5 9_Degree data" xfId="2644"/>
    <cellStyle name="Normal 2 5_Degree data" xfId="2743"/>
    <cellStyle name="Normal 2 6" xfId="456"/>
    <cellStyle name="Normal 2 6 2" xfId="1131"/>
    <cellStyle name="Normal 2 6 3" xfId="641"/>
    <cellStyle name="Normal 2 6_Degree data" xfId="2677"/>
    <cellStyle name="Normal 2 7" xfId="1373"/>
    <cellStyle name="Normal 2 8" xfId="34"/>
    <cellStyle name="Normal 20" xfId="123"/>
    <cellStyle name="Normal 21" xfId="79"/>
    <cellStyle name="Normal 22" xfId="125"/>
    <cellStyle name="Normal 23" xfId="126"/>
    <cellStyle name="Normal 24" xfId="87"/>
    <cellStyle name="Normal 25" xfId="63"/>
    <cellStyle name="Normal 26" xfId="64"/>
    <cellStyle name="Normal 27" xfId="41"/>
    <cellStyle name="Normal 28" xfId="42"/>
    <cellStyle name="Normal 29" xfId="43"/>
    <cellStyle name="Normal 3" xfId="77"/>
    <cellStyle name="Normal 3 2" xfId="109"/>
    <cellStyle name="Normal 3 2 2" xfId="459"/>
    <cellStyle name="Normal 3 2 2 2" xfId="962"/>
    <cellStyle name="Normal 3 2 2 2 2" xfId="1914"/>
    <cellStyle name="Normal 3 2 2 2 2 2" xfId="7203"/>
    <cellStyle name="Normal 3 2 2 2 3" xfId="3413"/>
    <cellStyle name="Normal 3 2 2 2 3 2" xfId="8429"/>
    <cellStyle name="Normal 3 2 2 2 4" xfId="6319"/>
    <cellStyle name="Normal 3 2 2 2 5" xfId="9883"/>
    <cellStyle name="Normal 3 2 2 2 6" xfId="4796"/>
    <cellStyle name="Normal 3 2 2 3" xfId="1132"/>
    <cellStyle name="Normal 3 2 2 3 2" xfId="2083"/>
    <cellStyle name="Normal 3 2 2 3 2 2" xfId="7372"/>
    <cellStyle name="Normal 3 2 2 3 3" xfId="3762"/>
    <cellStyle name="Normal 3 2 2 3 3 2" xfId="8777"/>
    <cellStyle name="Normal 3 2 2 3 4" xfId="6488"/>
    <cellStyle name="Normal 3 2 2 3 5" xfId="10231"/>
    <cellStyle name="Normal 3 2 2 3 6" xfId="4965"/>
    <cellStyle name="Normal 3 2 2 4" xfId="643"/>
    <cellStyle name="Normal 3 2 2 4 2" xfId="2630"/>
    <cellStyle name="Normal 3 2 2 4 2 2" xfId="7912"/>
    <cellStyle name="Normal 3 2 2 4 3" xfId="4293"/>
    <cellStyle name="Normal 3 2 2 4 3 2" xfId="9308"/>
    <cellStyle name="Normal 3 2 2 4 4" xfId="6000"/>
    <cellStyle name="Normal 3 2 2 4 5" xfId="10762"/>
    <cellStyle name="Normal 3 2 2 4 6" xfId="5506"/>
    <cellStyle name="Normal 3 2 2 5" xfId="1597"/>
    <cellStyle name="Normal 3 2 2 5 2" xfId="6886"/>
    <cellStyle name="Normal 3 2 2 6" xfId="3249"/>
    <cellStyle name="Normal 3 2 2 6 2" xfId="8265"/>
    <cellStyle name="Normal 3 2 2 7" xfId="5826"/>
    <cellStyle name="Normal 3 2 2 8" xfId="9719"/>
    <cellStyle name="Normal 3 2 2 9" xfId="4479"/>
    <cellStyle name="Normal 3 2 2_Degree data" xfId="1420"/>
    <cellStyle name="Normal 3 3" xfId="150"/>
    <cellStyle name="Normal 30" xfId="44"/>
    <cellStyle name="Normal 31" xfId="45"/>
    <cellStyle name="Normal 32" xfId="46"/>
    <cellStyle name="Normal 33" xfId="47"/>
    <cellStyle name="Normal 34" xfId="48"/>
    <cellStyle name="Normal 35" xfId="49"/>
    <cellStyle name="Normal 36" xfId="50"/>
    <cellStyle name="Normal 37" xfId="51"/>
    <cellStyle name="Normal 38" xfId="88"/>
    <cellStyle name="Normal 39" xfId="52"/>
    <cellStyle name="Normal 4" xfId="94"/>
    <cellStyle name="Normal 4 2" xfId="122"/>
    <cellStyle name="Normal 4 2 2" xfId="458"/>
    <cellStyle name="Normal 4 3" xfId="95"/>
    <cellStyle name="Normal 4 4" xfId="453"/>
    <cellStyle name="Normal 4 4 2" xfId="959"/>
    <cellStyle name="Normal 4 4 2 2" xfId="1911"/>
    <cellStyle name="Normal 4 4 2 2 2" xfId="7200"/>
    <cellStyle name="Normal 4 4 2 3" xfId="3414"/>
    <cellStyle name="Normal 4 4 2 3 2" xfId="8430"/>
    <cellStyle name="Normal 4 4 2 4" xfId="6316"/>
    <cellStyle name="Normal 4 4 2 5" xfId="9884"/>
    <cellStyle name="Normal 4 4 2 6" xfId="4793"/>
    <cellStyle name="Normal 4 4 3" xfId="1133"/>
    <cellStyle name="Normal 4 4 3 2" xfId="2084"/>
    <cellStyle name="Normal 4 4 3 2 2" xfId="7373"/>
    <cellStyle name="Normal 4 4 3 3" xfId="3763"/>
    <cellStyle name="Normal 4 4 3 3 2" xfId="8778"/>
    <cellStyle name="Normal 4 4 3 4" xfId="6489"/>
    <cellStyle name="Normal 4 4 3 5" xfId="10232"/>
    <cellStyle name="Normal 4 4 3 6" xfId="4966"/>
    <cellStyle name="Normal 4 4 4" xfId="639"/>
    <cellStyle name="Normal 4 4 4 2" xfId="2627"/>
    <cellStyle name="Normal 4 4 4 2 2" xfId="7909"/>
    <cellStyle name="Normal 4 4 4 3" xfId="4290"/>
    <cellStyle name="Normal 4 4 4 3 2" xfId="9305"/>
    <cellStyle name="Normal 4 4 4 4" xfId="5997"/>
    <cellStyle name="Normal 4 4 4 5" xfId="10759"/>
    <cellStyle name="Normal 4 4 4 6" xfId="5503"/>
    <cellStyle name="Normal 4 4 5" xfId="1594"/>
    <cellStyle name="Normal 4 4 5 2" xfId="6883"/>
    <cellStyle name="Normal 4 4 6" xfId="3246"/>
    <cellStyle name="Normal 4 4 6 2" xfId="8262"/>
    <cellStyle name="Normal 4 4 7" xfId="5823"/>
    <cellStyle name="Normal 4 4 8" xfId="9716"/>
    <cellStyle name="Normal 4 4 9" xfId="4476"/>
    <cellStyle name="Normal 4 4_Degree data" xfId="2735"/>
    <cellStyle name="Normal 40" xfId="53"/>
    <cellStyle name="Normal 41" xfId="54"/>
    <cellStyle name="Normal 42" xfId="55"/>
    <cellStyle name="Normal 43" xfId="56"/>
    <cellStyle name="Normal 44" xfId="57"/>
    <cellStyle name="Normal 45" xfId="58"/>
    <cellStyle name="Normal 46" xfId="59"/>
    <cellStyle name="Normal 47" xfId="60"/>
    <cellStyle name="Normal 48" xfId="61"/>
    <cellStyle name="Normal 49" xfId="65"/>
    <cellStyle name="Normal 5" xfId="74"/>
    <cellStyle name="Normal 5 10" xfId="1393"/>
    <cellStyle name="Normal 5 10 2" xfId="2287"/>
    <cellStyle name="Normal 5 10 2 2" xfId="7569"/>
    <cellStyle name="Normal 5 10 3" xfId="3764"/>
    <cellStyle name="Normal 5 10 3 2" xfId="8779"/>
    <cellStyle name="Normal 5 10 4" xfId="6689"/>
    <cellStyle name="Normal 5 10 5" xfId="10233"/>
    <cellStyle name="Normal 5 10 6" xfId="5163"/>
    <cellStyle name="Normal 5 11" xfId="2707"/>
    <cellStyle name="Normal 5 11 2" xfId="3950"/>
    <cellStyle name="Normal 5 11 2 2" xfId="8965"/>
    <cellStyle name="Normal 5 11 3" xfId="10419"/>
    <cellStyle name="Normal 5 11 4" xfId="7915"/>
    <cellStyle name="Normal 5 12" xfId="2903"/>
    <cellStyle name="Normal 5 12 2" xfId="9376"/>
    <cellStyle name="Normal 5 12 3" xfId="7919"/>
    <cellStyle name="Normal 5 13" xfId="5515"/>
    <cellStyle name="Normal 5 14" xfId="9332"/>
    <cellStyle name="Normal 5 2" xfId="78"/>
    <cellStyle name="Normal 5 2 10" xfId="9336"/>
    <cellStyle name="Normal 5 2 11" xfId="4320"/>
    <cellStyle name="Normal 5 2 2" xfId="166"/>
    <cellStyle name="Normal 5 2 2 10" xfId="9367"/>
    <cellStyle name="Normal 5 2 2 2" xfId="149"/>
    <cellStyle name="Normal 5 2 2 2 10" xfId="9325"/>
    <cellStyle name="Normal 5 2 2 2 11" xfId="4359"/>
    <cellStyle name="Normal 5 2 2 2 2" xfId="231"/>
    <cellStyle name="Normal 5 2 2 2 2 10" xfId="4463"/>
    <cellStyle name="Normal 5 2 2 2 2 2" xfId="440"/>
    <cellStyle name="Normal 5 2 2 2 2 2 2" xfId="1137"/>
    <cellStyle name="Normal 5 2 2 2 2 2 2 2" xfId="2088"/>
    <cellStyle name="Normal 5 2 2 2 2 2 2 2 2" xfId="7377"/>
    <cellStyle name="Normal 5 2 2 2 2 2 2 3" xfId="3418"/>
    <cellStyle name="Normal 5 2 2 2 2 2 2 3 2" xfId="8434"/>
    <cellStyle name="Normal 5 2 2 2 2 2 2 4" xfId="6493"/>
    <cellStyle name="Normal 5 2 2 2 2 2 2 5" xfId="9888"/>
    <cellStyle name="Normal 5 2 2 2 2 2 2 6" xfId="4970"/>
    <cellStyle name="Normal 5 2 2 2 2 2 3" xfId="946"/>
    <cellStyle name="Normal 5 2 2 2 2 2 3 2" xfId="2614"/>
    <cellStyle name="Normal 5 2 2 2 2 2 3 2 2" xfId="7896"/>
    <cellStyle name="Normal 5 2 2 2 2 2 3 3" xfId="3767"/>
    <cellStyle name="Normal 5 2 2 2 2 2 3 3 2" xfId="8782"/>
    <cellStyle name="Normal 5 2 2 2 2 2 3 4" xfId="6303"/>
    <cellStyle name="Normal 5 2 2 2 2 2 3 5" xfId="10236"/>
    <cellStyle name="Normal 5 2 2 2 2 2 3 6" xfId="5490"/>
    <cellStyle name="Normal 5 2 2 2 2 2 4" xfId="1898"/>
    <cellStyle name="Normal 5 2 2 2 2 2 4 2" xfId="4277"/>
    <cellStyle name="Normal 5 2 2 2 2 2 4 2 2" xfId="9292"/>
    <cellStyle name="Normal 5 2 2 2 2 2 4 3" xfId="10746"/>
    <cellStyle name="Normal 5 2 2 2 2 2 4 4" xfId="7187"/>
    <cellStyle name="Normal 5 2 2 2 2 2 5" xfId="3233"/>
    <cellStyle name="Normal 5 2 2 2 2 2 5 2" xfId="8249"/>
    <cellStyle name="Normal 5 2 2 2 2 2 6" xfId="5810"/>
    <cellStyle name="Normal 5 2 2 2 2 2 7" xfId="9703"/>
    <cellStyle name="Normal 5 2 2 2 2 2 8" xfId="4780"/>
    <cellStyle name="Normal 5 2 2 2 2 2_Degree data" xfId="2654"/>
    <cellStyle name="Normal 5 2 2 2 2 3" xfId="742"/>
    <cellStyle name="Normal 5 2 2 2 2 3 2" xfId="1694"/>
    <cellStyle name="Normal 5 2 2 2 2 3 2 2" xfId="6983"/>
    <cellStyle name="Normal 5 2 2 2 2 3 3" xfId="3417"/>
    <cellStyle name="Normal 5 2 2 2 2 3 3 2" xfId="8433"/>
    <cellStyle name="Normal 5 2 2 2 2 3 4" xfId="6099"/>
    <cellStyle name="Normal 5 2 2 2 2 3 5" xfId="9887"/>
    <cellStyle name="Normal 5 2 2 2 2 3 6" xfId="4576"/>
    <cellStyle name="Normal 5 2 2 2 2 4" xfId="1136"/>
    <cellStyle name="Normal 5 2 2 2 2 4 2" xfId="2087"/>
    <cellStyle name="Normal 5 2 2 2 2 4 2 2" xfId="7376"/>
    <cellStyle name="Normal 5 2 2 2 2 4 3" xfId="3766"/>
    <cellStyle name="Normal 5 2 2 2 2 4 3 2" xfId="8781"/>
    <cellStyle name="Normal 5 2 2 2 2 4 4" xfId="6492"/>
    <cellStyle name="Normal 5 2 2 2 2 4 5" xfId="10235"/>
    <cellStyle name="Normal 5 2 2 2 2 4 6" xfId="4969"/>
    <cellStyle name="Normal 5 2 2 2 2 5" xfId="626"/>
    <cellStyle name="Normal 5 2 2 2 2 5 2" xfId="2410"/>
    <cellStyle name="Normal 5 2 2 2 2 5 2 2" xfId="7692"/>
    <cellStyle name="Normal 5 2 2 2 2 5 3" xfId="4073"/>
    <cellStyle name="Normal 5 2 2 2 2 5 3 2" xfId="9088"/>
    <cellStyle name="Normal 5 2 2 2 2 5 4" xfId="5984"/>
    <cellStyle name="Normal 5 2 2 2 2 5 5" xfId="10542"/>
    <cellStyle name="Normal 5 2 2 2 2 5 6" xfId="5286"/>
    <cellStyle name="Normal 5 2 2 2 2 6" xfId="1581"/>
    <cellStyle name="Normal 5 2 2 2 2 6 2" xfId="6870"/>
    <cellStyle name="Normal 5 2 2 2 2 7" xfId="3029"/>
    <cellStyle name="Normal 5 2 2 2 2 7 2" xfId="8045"/>
    <cellStyle name="Normal 5 2 2 2 2 8" xfId="5606"/>
    <cellStyle name="Normal 5 2 2 2 2 9" xfId="9499"/>
    <cellStyle name="Normal 5 2 2 2 2_Degree data" xfId="2641"/>
    <cellStyle name="Normal 5 2 2 2 3" xfId="386"/>
    <cellStyle name="Normal 5 2 2 2 4" xfId="333"/>
    <cellStyle name="Normal 5 2 2 2 4 2" xfId="1138"/>
    <cellStyle name="Normal 5 2 2 2 4 2 2" xfId="2089"/>
    <cellStyle name="Normal 5 2 2 2 4 2 2 2" xfId="7378"/>
    <cellStyle name="Normal 5 2 2 2 4 2 3" xfId="3419"/>
    <cellStyle name="Normal 5 2 2 2 4 2 3 2" xfId="8435"/>
    <cellStyle name="Normal 5 2 2 2 4 2 4" xfId="6494"/>
    <cellStyle name="Normal 5 2 2 2 4 2 5" xfId="9889"/>
    <cellStyle name="Normal 5 2 2 2 4 2 6" xfId="4971"/>
    <cellStyle name="Normal 5 2 2 2 4 3" xfId="842"/>
    <cellStyle name="Normal 5 2 2 2 4 3 2" xfId="2510"/>
    <cellStyle name="Normal 5 2 2 2 4 3 2 2" xfId="7792"/>
    <cellStyle name="Normal 5 2 2 2 4 3 3" xfId="3768"/>
    <cellStyle name="Normal 5 2 2 2 4 3 3 2" xfId="8783"/>
    <cellStyle name="Normal 5 2 2 2 4 3 4" xfId="6199"/>
    <cellStyle name="Normal 5 2 2 2 4 3 5" xfId="10237"/>
    <cellStyle name="Normal 5 2 2 2 4 3 6" xfId="5386"/>
    <cellStyle name="Normal 5 2 2 2 4 4" xfId="1794"/>
    <cellStyle name="Normal 5 2 2 2 4 4 2" xfId="4173"/>
    <cellStyle name="Normal 5 2 2 2 4 4 2 2" xfId="9188"/>
    <cellStyle name="Normal 5 2 2 2 4 4 3" xfId="10642"/>
    <cellStyle name="Normal 5 2 2 2 4 4 4" xfId="7083"/>
    <cellStyle name="Normal 5 2 2 2 4 5" xfId="3129"/>
    <cellStyle name="Normal 5 2 2 2 4 5 2" xfId="8145"/>
    <cellStyle name="Normal 5 2 2 2 4 6" xfId="5706"/>
    <cellStyle name="Normal 5 2 2 2 4 7" xfId="9599"/>
    <cellStyle name="Normal 5 2 2 2 4 8" xfId="4676"/>
    <cellStyle name="Normal 5 2 2 2 4_Degree data" xfId="2669"/>
    <cellStyle name="Normal 5 2 2 2 5" xfId="519"/>
    <cellStyle name="Normal 5 2 2 2 5 2" xfId="5880"/>
    <cellStyle name="Normal 5 2 2 2 6" xfId="1477"/>
    <cellStyle name="Normal 5 2 2 2 6 2" xfId="6766"/>
    <cellStyle name="Normal 5 2 2 2 7" xfId="5510"/>
    <cellStyle name="Normal 5 2 2 2 8" xfId="9326"/>
    <cellStyle name="Normal 5 2 2 2 9" xfId="9324"/>
    <cellStyle name="Normal 5 2 2 3" xfId="276"/>
    <cellStyle name="Normal 5 2 2 3 10" xfId="4402"/>
    <cellStyle name="Normal 5 2 2 3 2" xfId="378"/>
    <cellStyle name="Normal 5 2 2 3 2 2" xfId="1140"/>
    <cellStyle name="Normal 5 2 2 3 2 2 2" xfId="2091"/>
    <cellStyle name="Normal 5 2 2 3 2 2 2 2" xfId="7380"/>
    <cellStyle name="Normal 5 2 2 3 2 2 3" xfId="3421"/>
    <cellStyle name="Normal 5 2 2 3 2 2 3 2" xfId="8437"/>
    <cellStyle name="Normal 5 2 2 3 2 2 4" xfId="6496"/>
    <cellStyle name="Normal 5 2 2 3 2 2 5" xfId="9891"/>
    <cellStyle name="Normal 5 2 2 3 2 2 6" xfId="4973"/>
    <cellStyle name="Normal 5 2 2 3 2 3" xfId="885"/>
    <cellStyle name="Normal 5 2 2 3 2 3 2" xfId="2553"/>
    <cellStyle name="Normal 5 2 2 3 2 3 2 2" xfId="7835"/>
    <cellStyle name="Normal 5 2 2 3 2 3 3" xfId="3770"/>
    <cellStyle name="Normal 5 2 2 3 2 3 3 2" xfId="8785"/>
    <cellStyle name="Normal 5 2 2 3 2 3 4" xfId="6242"/>
    <cellStyle name="Normal 5 2 2 3 2 3 5" xfId="10239"/>
    <cellStyle name="Normal 5 2 2 3 2 3 6" xfId="5429"/>
    <cellStyle name="Normal 5 2 2 3 2 4" xfId="1837"/>
    <cellStyle name="Normal 5 2 2 3 2 4 2" xfId="4216"/>
    <cellStyle name="Normal 5 2 2 3 2 4 2 2" xfId="9231"/>
    <cellStyle name="Normal 5 2 2 3 2 4 3" xfId="10685"/>
    <cellStyle name="Normal 5 2 2 3 2 4 4" xfId="7126"/>
    <cellStyle name="Normal 5 2 2 3 2 5" xfId="3172"/>
    <cellStyle name="Normal 5 2 2 3 2 5 2" xfId="8188"/>
    <cellStyle name="Normal 5 2 2 3 2 6" xfId="5749"/>
    <cellStyle name="Normal 5 2 2 3 2 7" xfId="9642"/>
    <cellStyle name="Normal 5 2 2 3 2 8" xfId="4719"/>
    <cellStyle name="Normal 5 2 2 3 2_Degree data" xfId="2746"/>
    <cellStyle name="Normal 5 2 2 3 3" xfId="785"/>
    <cellStyle name="Normal 5 2 2 3 3 2" xfId="1737"/>
    <cellStyle name="Normal 5 2 2 3 3 2 2" xfId="7026"/>
    <cellStyle name="Normal 5 2 2 3 3 3" xfId="3420"/>
    <cellStyle name="Normal 5 2 2 3 3 3 2" xfId="8436"/>
    <cellStyle name="Normal 5 2 2 3 3 4" xfId="6142"/>
    <cellStyle name="Normal 5 2 2 3 3 5" xfId="9890"/>
    <cellStyle name="Normal 5 2 2 3 3 6" xfId="4619"/>
    <cellStyle name="Normal 5 2 2 3 4" xfId="1139"/>
    <cellStyle name="Normal 5 2 2 3 4 2" xfId="2090"/>
    <cellStyle name="Normal 5 2 2 3 4 2 2" xfId="7379"/>
    <cellStyle name="Normal 5 2 2 3 4 3" xfId="3769"/>
    <cellStyle name="Normal 5 2 2 3 4 3 2" xfId="8784"/>
    <cellStyle name="Normal 5 2 2 3 4 4" xfId="6495"/>
    <cellStyle name="Normal 5 2 2 3 4 5" xfId="10238"/>
    <cellStyle name="Normal 5 2 2 3 4 6" xfId="4972"/>
    <cellStyle name="Normal 5 2 2 3 5" xfId="565"/>
    <cellStyle name="Normal 5 2 2 3 5 2" xfId="2453"/>
    <cellStyle name="Normal 5 2 2 3 5 2 2" xfId="7735"/>
    <cellStyle name="Normal 5 2 2 3 5 3" xfId="4116"/>
    <cellStyle name="Normal 5 2 2 3 5 3 2" xfId="9131"/>
    <cellStyle name="Normal 5 2 2 3 5 4" xfId="5923"/>
    <cellStyle name="Normal 5 2 2 3 5 5" xfId="10585"/>
    <cellStyle name="Normal 5 2 2 3 5 6" xfId="5329"/>
    <cellStyle name="Normal 5 2 2 3 6" xfId="1520"/>
    <cellStyle name="Normal 5 2 2 3 6 2" xfId="6809"/>
    <cellStyle name="Normal 5 2 2 3 7" xfId="3072"/>
    <cellStyle name="Normal 5 2 2 3 7 2" xfId="8088"/>
    <cellStyle name="Normal 5 2 2 3 8" xfId="5649"/>
    <cellStyle name="Normal 5 2 2 3 9" xfId="9542"/>
    <cellStyle name="Normal 5 2 2 3_Degree data" xfId="2747"/>
    <cellStyle name="Normal 5 2 2 4" xfId="685"/>
    <cellStyle name="Normal 5 2 2 4 2" xfId="1141"/>
    <cellStyle name="Normal 5 2 2 4 2 2" xfId="2092"/>
    <cellStyle name="Normal 5 2 2 4 2 2 2" xfId="7381"/>
    <cellStyle name="Normal 5 2 2 4 2 3" xfId="3422"/>
    <cellStyle name="Normal 5 2 2 4 2 3 2" xfId="8438"/>
    <cellStyle name="Normal 5 2 2 4 2 4" xfId="6497"/>
    <cellStyle name="Normal 5 2 2 4 2 5" xfId="9892"/>
    <cellStyle name="Normal 5 2 2 4 2 6" xfId="4974"/>
    <cellStyle name="Normal 5 2 2 4 3" xfId="1395"/>
    <cellStyle name="Normal 5 2 2 4 3 2" xfId="2353"/>
    <cellStyle name="Normal 5 2 2 4 3 2 2" xfId="7635"/>
    <cellStyle name="Normal 5 2 2 4 3 3" xfId="3771"/>
    <cellStyle name="Normal 5 2 2 4 3 3 2" xfId="8786"/>
    <cellStyle name="Normal 5 2 2 4 3 4" xfId="6691"/>
    <cellStyle name="Normal 5 2 2 4 3 5" xfId="10240"/>
    <cellStyle name="Normal 5 2 2 4 3 6" xfId="5229"/>
    <cellStyle name="Normal 5 2 2 4 4" xfId="1637"/>
    <cellStyle name="Normal 5 2 2 4 4 2" xfId="4016"/>
    <cellStyle name="Normal 5 2 2 4 4 2 2" xfId="9031"/>
    <cellStyle name="Normal 5 2 2 4 4 3" xfId="10485"/>
    <cellStyle name="Normal 5 2 2 4 4 4" xfId="6926"/>
    <cellStyle name="Normal 5 2 2 4 5" xfId="2970"/>
    <cellStyle name="Normal 5 2 2 4 5 2" xfId="7986"/>
    <cellStyle name="Normal 5 2 2 4 6" xfId="6042"/>
    <cellStyle name="Normal 5 2 2 4 7" xfId="9442"/>
    <cellStyle name="Normal 5 2 2 4 8" xfId="4519"/>
    <cellStyle name="Normal 5 2 2 4_Degree data" xfId="2700"/>
    <cellStyle name="Normal 5 2 2 5" xfId="1135"/>
    <cellStyle name="Normal 5 2 2 5 2" xfId="2086"/>
    <cellStyle name="Normal 5 2 2 5 2 2" xfId="7375"/>
    <cellStyle name="Normal 5 2 2 5 3" xfId="3416"/>
    <cellStyle name="Normal 5 2 2 5 3 2" xfId="8432"/>
    <cellStyle name="Normal 5 2 2 5 4" xfId="6491"/>
    <cellStyle name="Normal 5 2 2 5 5" xfId="9886"/>
    <cellStyle name="Normal 5 2 2 5 6" xfId="4968"/>
    <cellStyle name="Normal 5 2 2 6" xfId="1403"/>
    <cellStyle name="Normal 5 2 2 6 2" xfId="2308"/>
    <cellStyle name="Normal 5 2 2 6 2 2" xfId="7590"/>
    <cellStyle name="Normal 5 2 2 6 3" xfId="3765"/>
    <cellStyle name="Normal 5 2 2 6 3 2" xfId="8780"/>
    <cellStyle name="Normal 5 2 2 6 4" xfId="6699"/>
    <cellStyle name="Normal 5 2 2 6 5" xfId="10234"/>
    <cellStyle name="Normal 5 2 2 6 6" xfId="5184"/>
    <cellStyle name="Normal 5 2 2 7" xfId="1445"/>
    <cellStyle name="Normal 5 2 2 7 2" xfId="3971"/>
    <cellStyle name="Normal 5 2 2 7 2 2" xfId="8986"/>
    <cellStyle name="Normal 5 2 2 7 3" xfId="10440"/>
    <cellStyle name="Normal 5 2 2 7 4" xfId="6735"/>
    <cellStyle name="Normal 5 2 2 8" xfId="2925"/>
    <cellStyle name="Normal 5 2 2 8 2" xfId="9397"/>
    <cellStyle name="Normal 5 2 2 8 3" xfId="7941"/>
    <cellStyle name="Normal 5 2 2 9" xfId="5549"/>
    <cellStyle name="Normal 5 2 2_Degree data" xfId="2659"/>
    <cellStyle name="Normal 5 2 3" xfId="267"/>
    <cellStyle name="Normal 5 2 4" xfId="248"/>
    <cellStyle name="Normal 5 2 4 10" xfId="4375"/>
    <cellStyle name="Normal 5 2 4 2" xfId="350"/>
    <cellStyle name="Normal 5 2 4 2 2" xfId="1143"/>
    <cellStyle name="Normal 5 2 4 2 2 2" xfId="2094"/>
    <cellStyle name="Normal 5 2 4 2 2 2 2" xfId="7383"/>
    <cellStyle name="Normal 5 2 4 2 2 3" xfId="3424"/>
    <cellStyle name="Normal 5 2 4 2 2 3 2" xfId="8440"/>
    <cellStyle name="Normal 5 2 4 2 2 4" xfId="6499"/>
    <cellStyle name="Normal 5 2 4 2 2 5" xfId="9894"/>
    <cellStyle name="Normal 5 2 4 2 2 6" xfId="4976"/>
    <cellStyle name="Normal 5 2 4 2 3" xfId="858"/>
    <cellStyle name="Normal 5 2 4 2 3 2" xfId="2526"/>
    <cellStyle name="Normal 5 2 4 2 3 2 2" xfId="7808"/>
    <cellStyle name="Normal 5 2 4 2 3 3" xfId="3773"/>
    <cellStyle name="Normal 5 2 4 2 3 3 2" xfId="8788"/>
    <cellStyle name="Normal 5 2 4 2 3 4" xfId="6215"/>
    <cellStyle name="Normal 5 2 4 2 3 5" xfId="10242"/>
    <cellStyle name="Normal 5 2 4 2 3 6" xfId="5402"/>
    <cellStyle name="Normal 5 2 4 2 4" xfId="1810"/>
    <cellStyle name="Normal 5 2 4 2 4 2" xfId="4189"/>
    <cellStyle name="Normal 5 2 4 2 4 2 2" xfId="9204"/>
    <cellStyle name="Normal 5 2 4 2 4 3" xfId="10658"/>
    <cellStyle name="Normal 5 2 4 2 4 4" xfId="7099"/>
    <cellStyle name="Normal 5 2 4 2 5" xfId="3145"/>
    <cellStyle name="Normal 5 2 4 2 5 2" xfId="8161"/>
    <cellStyle name="Normal 5 2 4 2 6" xfId="5722"/>
    <cellStyle name="Normal 5 2 4 2 7" xfId="9615"/>
    <cellStyle name="Normal 5 2 4 2 8" xfId="4692"/>
    <cellStyle name="Normal 5 2 4 2_Degree data" xfId="2651"/>
    <cellStyle name="Normal 5 2 4 3" xfId="758"/>
    <cellStyle name="Normal 5 2 4 3 2" xfId="1710"/>
    <cellStyle name="Normal 5 2 4 3 2 2" xfId="6999"/>
    <cellStyle name="Normal 5 2 4 3 3" xfId="3423"/>
    <cellStyle name="Normal 5 2 4 3 3 2" xfId="8439"/>
    <cellStyle name="Normal 5 2 4 3 4" xfId="6115"/>
    <cellStyle name="Normal 5 2 4 3 5" xfId="9893"/>
    <cellStyle name="Normal 5 2 4 3 6" xfId="4592"/>
    <cellStyle name="Normal 5 2 4 4" xfId="1142"/>
    <cellStyle name="Normal 5 2 4 4 2" xfId="2093"/>
    <cellStyle name="Normal 5 2 4 4 2 2" xfId="7382"/>
    <cellStyle name="Normal 5 2 4 4 3" xfId="3772"/>
    <cellStyle name="Normal 5 2 4 4 3 2" xfId="8787"/>
    <cellStyle name="Normal 5 2 4 4 4" xfId="6498"/>
    <cellStyle name="Normal 5 2 4 4 5" xfId="10241"/>
    <cellStyle name="Normal 5 2 4 4 6" xfId="4975"/>
    <cellStyle name="Normal 5 2 4 5" xfId="537"/>
    <cellStyle name="Normal 5 2 4 5 2" xfId="2426"/>
    <cellStyle name="Normal 5 2 4 5 2 2" xfId="7708"/>
    <cellStyle name="Normal 5 2 4 5 3" xfId="4089"/>
    <cellStyle name="Normal 5 2 4 5 3 2" xfId="9104"/>
    <cellStyle name="Normal 5 2 4 5 4" xfId="5896"/>
    <cellStyle name="Normal 5 2 4 5 5" xfId="10558"/>
    <cellStyle name="Normal 5 2 4 5 6" xfId="5302"/>
    <cellStyle name="Normal 5 2 4 6" xfId="1493"/>
    <cellStyle name="Normal 5 2 4 6 2" xfId="6782"/>
    <cellStyle name="Normal 5 2 4 7" xfId="3045"/>
    <cellStyle name="Normal 5 2 4 7 2" xfId="8061"/>
    <cellStyle name="Normal 5 2 4 8" xfId="5622"/>
    <cellStyle name="Normal 5 2 4 9" xfId="9515"/>
    <cellStyle name="Normal 5 2 4_Degree data" xfId="2691"/>
    <cellStyle name="Normal 5 2 5" xfId="188"/>
    <cellStyle name="Normal 5 2 5 10" xfId="4425"/>
    <cellStyle name="Normal 5 2 5 2" xfId="402"/>
    <cellStyle name="Normal 5 2 5 2 2" xfId="1145"/>
    <cellStyle name="Normal 5 2 5 2 2 2" xfId="2096"/>
    <cellStyle name="Normal 5 2 5 2 2 2 2" xfId="7385"/>
    <cellStyle name="Normal 5 2 5 2 2 3" xfId="3426"/>
    <cellStyle name="Normal 5 2 5 2 2 3 2" xfId="8442"/>
    <cellStyle name="Normal 5 2 5 2 2 4" xfId="6501"/>
    <cellStyle name="Normal 5 2 5 2 2 5" xfId="9896"/>
    <cellStyle name="Normal 5 2 5 2 2 6" xfId="4978"/>
    <cellStyle name="Normal 5 2 5 2 3" xfId="908"/>
    <cellStyle name="Normal 5 2 5 2 3 2" xfId="2576"/>
    <cellStyle name="Normal 5 2 5 2 3 2 2" xfId="7858"/>
    <cellStyle name="Normal 5 2 5 2 3 3" xfId="3775"/>
    <cellStyle name="Normal 5 2 5 2 3 3 2" xfId="8790"/>
    <cellStyle name="Normal 5 2 5 2 3 4" xfId="6265"/>
    <cellStyle name="Normal 5 2 5 2 3 5" xfId="10244"/>
    <cellStyle name="Normal 5 2 5 2 3 6" xfId="5452"/>
    <cellStyle name="Normal 5 2 5 2 4" xfId="1860"/>
    <cellStyle name="Normal 5 2 5 2 4 2" xfId="4239"/>
    <cellStyle name="Normal 5 2 5 2 4 2 2" xfId="9254"/>
    <cellStyle name="Normal 5 2 5 2 4 3" xfId="10708"/>
    <cellStyle name="Normal 5 2 5 2 4 4" xfId="7149"/>
    <cellStyle name="Normal 5 2 5 2 5" xfId="3195"/>
    <cellStyle name="Normal 5 2 5 2 5 2" xfId="8211"/>
    <cellStyle name="Normal 5 2 5 2 6" xfId="5772"/>
    <cellStyle name="Normal 5 2 5 2 7" xfId="9665"/>
    <cellStyle name="Normal 5 2 5 2 8" xfId="4742"/>
    <cellStyle name="Normal 5 2 5 2_Degree data" xfId="2663"/>
    <cellStyle name="Normal 5 2 5 3" xfId="703"/>
    <cellStyle name="Normal 5 2 5 3 2" xfId="1655"/>
    <cellStyle name="Normal 5 2 5 3 2 2" xfId="6944"/>
    <cellStyle name="Normal 5 2 5 3 3" xfId="3425"/>
    <cellStyle name="Normal 5 2 5 3 3 2" xfId="8441"/>
    <cellStyle name="Normal 5 2 5 3 4" xfId="6060"/>
    <cellStyle name="Normal 5 2 5 3 5" xfId="9895"/>
    <cellStyle name="Normal 5 2 5 3 6" xfId="4537"/>
    <cellStyle name="Normal 5 2 5 4" xfId="1144"/>
    <cellStyle name="Normal 5 2 5 4 2" xfId="2095"/>
    <cellStyle name="Normal 5 2 5 4 2 2" xfId="7384"/>
    <cellStyle name="Normal 5 2 5 4 3" xfId="3774"/>
    <cellStyle name="Normal 5 2 5 4 3 2" xfId="8789"/>
    <cellStyle name="Normal 5 2 5 4 4" xfId="6500"/>
    <cellStyle name="Normal 5 2 5 4 5" xfId="10243"/>
    <cellStyle name="Normal 5 2 5 4 6" xfId="4977"/>
    <cellStyle name="Normal 5 2 5 5" xfId="588"/>
    <cellStyle name="Normal 5 2 5 5 2" xfId="2371"/>
    <cellStyle name="Normal 5 2 5 5 2 2" xfId="7653"/>
    <cellStyle name="Normal 5 2 5 5 3" xfId="4034"/>
    <cellStyle name="Normal 5 2 5 5 3 2" xfId="9049"/>
    <cellStyle name="Normal 5 2 5 5 4" xfId="5946"/>
    <cellStyle name="Normal 5 2 5 5 5" xfId="10503"/>
    <cellStyle name="Normal 5 2 5 5 6" xfId="5247"/>
    <cellStyle name="Normal 5 2 5 6" xfId="1543"/>
    <cellStyle name="Normal 5 2 5 6 2" xfId="6832"/>
    <cellStyle name="Normal 5 2 5 7" xfId="2990"/>
    <cellStyle name="Normal 5 2 5 7 2" xfId="8006"/>
    <cellStyle name="Normal 5 2 5 8" xfId="5567"/>
    <cellStyle name="Normal 5 2 5 9" xfId="9460"/>
    <cellStyle name="Normal 5 2 5_Degree data" xfId="2688"/>
    <cellStyle name="Normal 5 2 6" xfId="460"/>
    <cellStyle name="Normal 5 2 6 2" xfId="963"/>
    <cellStyle name="Normal 5 2 6 2 2" xfId="1915"/>
    <cellStyle name="Normal 5 2 6 2 2 2" xfId="7204"/>
    <cellStyle name="Normal 5 2 6 2 3" xfId="3427"/>
    <cellStyle name="Normal 5 2 6 2 3 2" xfId="8443"/>
    <cellStyle name="Normal 5 2 6 2 4" xfId="6320"/>
    <cellStyle name="Normal 5 2 6 2 5" xfId="9897"/>
    <cellStyle name="Normal 5 2 6 2 6" xfId="4797"/>
    <cellStyle name="Normal 5 2 6 3" xfId="1146"/>
    <cellStyle name="Normal 5 2 6 3 2" xfId="2097"/>
    <cellStyle name="Normal 5 2 6 3 2 2" xfId="7386"/>
    <cellStyle name="Normal 5 2 6 3 3" xfId="3776"/>
    <cellStyle name="Normal 5 2 6 3 3 2" xfId="8791"/>
    <cellStyle name="Normal 5 2 6 3 4" xfId="6502"/>
    <cellStyle name="Normal 5 2 6 3 5" xfId="10245"/>
    <cellStyle name="Normal 5 2 6 3 6" xfId="4979"/>
    <cellStyle name="Normal 5 2 6 4" xfId="644"/>
    <cellStyle name="Normal 5 2 6 4 2" xfId="2631"/>
    <cellStyle name="Normal 5 2 6 4 2 2" xfId="7913"/>
    <cellStyle name="Normal 5 2 6 4 3" xfId="4294"/>
    <cellStyle name="Normal 5 2 6 4 3 2" xfId="9309"/>
    <cellStyle name="Normal 5 2 6 4 4" xfId="6001"/>
    <cellStyle name="Normal 5 2 6 4 5" xfId="10763"/>
    <cellStyle name="Normal 5 2 6 4 6" xfId="5507"/>
    <cellStyle name="Normal 5 2 6 5" xfId="1598"/>
    <cellStyle name="Normal 5 2 6 5 2" xfId="6887"/>
    <cellStyle name="Normal 5 2 6 6" xfId="3250"/>
    <cellStyle name="Normal 5 2 6 6 2" xfId="8266"/>
    <cellStyle name="Normal 5 2 6 7" xfId="5827"/>
    <cellStyle name="Normal 5 2 6 8" xfId="9720"/>
    <cellStyle name="Normal 5 2 6 9" xfId="4480"/>
    <cellStyle name="Normal 5 2 6_Degree data" xfId="2734"/>
    <cellStyle name="Normal 5 2 7" xfId="294"/>
    <cellStyle name="Normal 5 2 7 2" xfId="1147"/>
    <cellStyle name="Normal 5 2 7 2 2" xfId="2098"/>
    <cellStyle name="Normal 5 2 7 2 2 2" xfId="7387"/>
    <cellStyle name="Normal 5 2 7 2 3" xfId="3428"/>
    <cellStyle name="Normal 5 2 7 2 3 2" xfId="8444"/>
    <cellStyle name="Normal 5 2 7 2 4" xfId="6503"/>
    <cellStyle name="Normal 5 2 7 2 5" xfId="9898"/>
    <cellStyle name="Normal 5 2 7 2 6" xfId="4980"/>
    <cellStyle name="Normal 5 2 7 3" xfId="803"/>
    <cellStyle name="Normal 5 2 7 3 2" xfId="2471"/>
    <cellStyle name="Normal 5 2 7 3 2 2" xfId="7753"/>
    <cellStyle name="Normal 5 2 7 3 3" xfId="3777"/>
    <cellStyle name="Normal 5 2 7 3 3 2" xfId="8792"/>
    <cellStyle name="Normal 5 2 7 3 4" xfId="6160"/>
    <cellStyle name="Normal 5 2 7 3 5" xfId="10246"/>
    <cellStyle name="Normal 5 2 7 3 6" xfId="5347"/>
    <cellStyle name="Normal 5 2 7 4" xfId="1755"/>
    <cellStyle name="Normal 5 2 7 4 2" xfId="4134"/>
    <cellStyle name="Normal 5 2 7 4 2 2" xfId="9149"/>
    <cellStyle name="Normal 5 2 7 4 3" xfId="10603"/>
    <cellStyle name="Normal 5 2 7 4 4" xfId="7044"/>
    <cellStyle name="Normal 5 2 7 5" xfId="3090"/>
    <cellStyle name="Normal 5 2 7 5 2" xfId="8106"/>
    <cellStyle name="Normal 5 2 7 6" xfId="5667"/>
    <cellStyle name="Normal 5 2 7 7" xfId="9560"/>
    <cellStyle name="Normal 5 2 7 8" xfId="4637"/>
    <cellStyle name="Normal 5 2 7_Degree data" xfId="2636"/>
    <cellStyle name="Normal 5 2 8" xfId="476"/>
    <cellStyle name="Normal 5 2 8 2" xfId="5840"/>
    <cellStyle name="Normal 5 2 9" xfId="1435"/>
    <cellStyle name="Normal 5 2 9 2" xfId="6726"/>
    <cellStyle name="Normal 5 3" xfId="99"/>
    <cellStyle name="Normal 5 3 10" xfId="2917"/>
    <cellStyle name="Normal 5 3 10 2" xfId="9389"/>
    <cellStyle name="Normal 5 3 10 3" xfId="7933"/>
    <cellStyle name="Normal 5 3 11" xfId="5516"/>
    <cellStyle name="Normal 5 3 12" xfId="9359"/>
    <cellStyle name="Normal 5 3 13" xfId="4316"/>
    <cellStyle name="Normal 5 3 2" xfId="157"/>
    <cellStyle name="Normal 5 3 2 10" xfId="5541"/>
    <cellStyle name="Normal 5 3 2 11" xfId="9434"/>
    <cellStyle name="Normal 5 3 2 12" xfId="4351"/>
    <cellStyle name="Normal 5 3 2 2" xfId="223"/>
    <cellStyle name="Normal 5 3 2 2 10" xfId="4455"/>
    <cellStyle name="Normal 5 3 2 2 2" xfId="432"/>
    <cellStyle name="Normal 5 3 2 2 2 2" xfId="1151"/>
    <cellStyle name="Normal 5 3 2 2 2 2 2" xfId="2102"/>
    <cellStyle name="Normal 5 3 2 2 2 2 2 2" xfId="7391"/>
    <cellStyle name="Normal 5 3 2 2 2 2 3" xfId="3432"/>
    <cellStyle name="Normal 5 3 2 2 2 2 3 2" xfId="8448"/>
    <cellStyle name="Normal 5 3 2 2 2 2 4" xfId="6507"/>
    <cellStyle name="Normal 5 3 2 2 2 2 5" xfId="9902"/>
    <cellStyle name="Normal 5 3 2 2 2 2 6" xfId="4984"/>
    <cellStyle name="Normal 5 3 2 2 2 3" xfId="938"/>
    <cellStyle name="Normal 5 3 2 2 2 3 2" xfId="2606"/>
    <cellStyle name="Normal 5 3 2 2 2 3 2 2" xfId="7888"/>
    <cellStyle name="Normal 5 3 2 2 2 3 3" xfId="3781"/>
    <cellStyle name="Normal 5 3 2 2 2 3 3 2" xfId="8796"/>
    <cellStyle name="Normal 5 3 2 2 2 3 4" xfId="6295"/>
    <cellStyle name="Normal 5 3 2 2 2 3 5" xfId="10250"/>
    <cellStyle name="Normal 5 3 2 2 2 3 6" xfId="5482"/>
    <cellStyle name="Normal 5 3 2 2 2 4" xfId="1890"/>
    <cellStyle name="Normal 5 3 2 2 2 4 2" xfId="4269"/>
    <cellStyle name="Normal 5 3 2 2 2 4 2 2" xfId="9284"/>
    <cellStyle name="Normal 5 3 2 2 2 4 3" xfId="10738"/>
    <cellStyle name="Normal 5 3 2 2 2 4 4" xfId="7179"/>
    <cellStyle name="Normal 5 3 2 2 2 5" xfId="3225"/>
    <cellStyle name="Normal 5 3 2 2 2 5 2" xfId="8241"/>
    <cellStyle name="Normal 5 3 2 2 2 6" xfId="5802"/>
    <cellStyle name="Normal 5 3 2 2 2 7" xfId="9695"/>
    <cellStyle name="Normal 5 3 2 2 2 8" xfId="4772"/>
    <cellStyle name="Normal 5 3 2 2 2_Degree data" xfId="2686"/>
    <cellStyle name="Normal 5 3 2 2 3" xfId="734"/>
    <cellStyle name="Normal 5 3 2 2 3 2" xfId="1686"/>
    <cellStyle name="Normal 5 3 2 2 3 2 2" xfId="6975"/>
    <cellStyle name="Normal 5 3 2 2 3 3" xfId="3431"/>
    <cellStyle name="Normal 5 3 2 2 3 3 2" xfId="8447"/>
    <cellStyle name="Normal 5 3 2 2 3 4" xfId="6091"/>
    <cellStyle name="Normal 5 3 2 2 3 5" xfId="9901"/>
    <cellStyle name="Normal 5 3 2 2 3 6" xfId="4568"/>
    <cellStyle name="Normal 5 3 2 2 4" xfId="1150"/>
    <cellStyle name="Normal 5 3 2 2 4 2" xfId="2101"/>
    <cellStyle name="Normal 5 3 2 2 4 2 2" xfId="7390"/>
    <cellStyle name="Normal 5 3 2 2 4 3" xfId="3780"/>
    <cellStyle name="Normal 5 3 2 2 4 3 2" xfId="8795"/>
    <cellStyle name="Normal 5 3 2 2 4 4" xfId="6506"/>
    <cellStyle name="Normal 5 3 2 2 4 5" xfId="10249"/>
    <cellStyle name="Normal 5 3 2 2 4 6" xfId="4983"/>
    <cellStyle name="Normal 5 3 2 2 5" xfId="618"/>
    <cellStyle name="Normal 5 3 2 2 5 2" xfId="2402"/>
    <cellStyle name="Normal 5 3 2 2 5 2 2" xfId="7684"/>
    <cellStyle name="Normal 5 3 2 2 5 3" xfId="4065"/>
    <cellStyle name="Normal 5 3 2 2 5 3 2" xfId="9080"/>
    <cellStyle name="Normal 5 3 2 2 5 4" xfId="5976"/>
    <cellStyle name="Normal 5 3 2 2 5 5" xfId="10534"/>
    <cellStyle name="Normal 5 3 2 2 5 6" xfId="5278"/>
    <cellStyle name="Normal 5 3 2 2 6" xfId="1573"/>
    <cellStyle name="Normal 5 3 2 2 6 2" xfId="6862"/>
    <cellStyle name="Normal 5 3 2 2 7" xfId="3021"/>
    <cellStyle name="Normal 5 3 2 2 7 2" xfId="8037"/>
    <cellStyle name="Normal 5 3 2 2 8" xfId="5598"/>
    <cellStyle name="Normal 5 3 2 2 9" xfId="9491"/>
    <cellStyle name="Normal 5 3 2 2_Degree data" xfId="2721"/>
    <cellStyle name="Normal 5 3 2 3" xfId="389"/>
    <cellStyle name="Normal 5 3 2 3 2" xfId="895"/>
    <cellStyle name="Normal 5 3 2 3 2 2" xfId="1847"/>
    <cellStyle name="Normal 5 3 2 3 2 2 2" xfId="7136"/>
    <cellStyle name="Normal 5 3 2 3 2 3" xfId="3433"/>
    <cellStyle name="Normal 5 3 2 3 2 3 2" xfId="8449"/>
    <cellStyle name="Normal 5 3 2 3 2 4" xfId="6252"/>
    <cellStyle name="Normal 5 3 2 3 2 5" xfId="9903"/>
    <cellStyle name="Normal 5 3 2 3 2 6" xfId="4729"/>
    <cellStyle name="Normal 5 3 2 3 3" xfId="1152"/>
    <cellStyle name="Normal 5 3 2 3 3 2" xfId="2103"/>
    <cellStyle name="Normal 5 3 2 3 3 2 2" xfId="7392"/>
    <cellStyle name="Normal 5 3 2 3 3 3" xfId="3782"/>
    <cellStyle name="Normal 5 3 2 3 3 3 2" xfId="8797"/>
    <cellStyle name="Normal 5 3 2 3 3 4" xfId="6508"/>
    <cellStyle name="Normal 5 3 2 3 3 5" xfId="10251"/>
    <cellStyle name="Normal 5 3 2 3 3 6" xfId="4985"/>
    <cellStyle name="Normal 5 3 2 3 4" xfId="575"/>
    <cellStyle name="Normal 5 3 2 3 4 2" xfId="2563"/>
    <cellStyle name="Normal 5 3 2 3 4 2 2" xfId="7845"/>
    <cellStyle name="Normal 5 3 2 3 4 3" xfId="4226"/>
    <cellStyle name="Normal 5 3 2 3 4 3 2" xfId="9241"/>
    <cellStyle name="Normal 5 3 2 3 4 4" xfId="5933"/>
    <cellStyle name="Normal 5 3 2 3 4 5" xfId="10695"/>
    <cellStyle name="Normal 5 3 2 3 4 6" xfId="5439"/>
    <cellStyle name="Normal 5 3 2 3 5" xfId="1530"/>
    <cellStyle name="Normal 5 3 2 3 5 2" xfId="6819"/>
    <cellStyle name="Normal 5 3 2 3 6" xfId="3182"/>
    <cellStyle name="Normal 5 3 2 3 6 2" xfId="8198"/>
    <cellStyle name="Normal 5 3 2 3 7" xfId="5759"/>
    <cellStyle name="Normal 5 3 2 3 8" xfId="9652"/>
    <cellStyle name="Normal 5 3 2 3 9" xfId="4412"/>
    <cellStyle name="Normal 5 3 2 3_Degree data" xfId="2680"/>
    <cellStyle name="Normal 5 3 2 4" xfId="325"/>
    <cellStyle name="Normal 5 3 2 4 2" xfId="1153"/>
    <cellStyle name="Normal 5 3 2 4 2 2" xfId="2104"/>
    <cellStyle name="Normal 5 3 2 4 2 2 2" xfId="7393"/>
    <cellStyle name="Normal 5 3 2 4 2 3" xfId="3434"/>
    <cellStyle name="Normal 5 3 2 4 2 3 2" xfId="8450"/>
    <cellStyle name="Normal 5 3 2 4 2 4" xfId="6509"/>
    <cellStyle name="Normal 5 3 2 4 2 5" xfId="9904"/>
    <cellStyle name="Normal 5 3 2 4 2 6" xfId="4986"/>
    <cellStyle name="Normal 5 3 2 4 3" xfId="834"/>
    <cellStyle name="Normal 5 3 2 4 3 2" xfId="2502"/>
    <cellStyle name="Normal 5 3 2 4 3 2 2" xfId="7784"/>
    <cellStyle name="Normal 5 3 2 4 3 3" xfId="3783"/>
    <cellStyle name="Normal 5 3 2 4 3 3 2" xfId="8798"/>
    <cellStyle name="Normal 5 3 2 4 3 4" xfId="6191"/>
    <cellStyle name="Normal 5 3 2 4 3 5" xfId="10252"/>
    <cellStyle name="Normal 5 3 2 4 3 6" xfId="5378"/>
    <cellStyle name="Normal 5 3 2 4 4" xfId="1786"/>
    <cellStyle name="Normal 5 3 2 4 4 2" xfId="4165"/>
    <cellStyle name="Normal 5 3 2 4 4 2 2" xfId="9180"/>
    <cellStyle name="Normal 5 3 2 4 4 3" xfId="10634"/>
    <cellStyle name="Normal 5 3 2 4 4 4" xfId="7075"/>
    <cellStyle name="Normal 5 3 2 4 5" xfId="3121"/>
    <cellStyle name="Normal 5 3 2 4 5 2" xfId="8137"/>
    <cellStyle name="Normal 5 3 2 4 6" xfId="5698"/>
    <cellStyle name="Normal 5 3 2 4 7" xfId="9591"/>
    <cellStyle name="Normal 5 3 2 4 8" xfId="4668"/>
    <cellStyle name="Normal 5 3 2 4_Degree data" xfId="2698"/>
    <cellStyle name="Normal 5 3 2 5" xfId="677"/>
    <cellStyle name="Normal 5 3 2 5 2" xfId="1629"/>
    <cellStyle name="Normal 5 3 2 5 2 2" xfId="6918"/>
    <cellStyle name="Normal 5 3 2 5 3" xfId="3430"/>
    <cellStyle name="Normal 5 3 2 5 3 2" xfId="8446"/>
    <cellStyle name="Normal 5 3 2 5 4" xfId="6034"/>
    <cellStyle name="Normal 5 3 2 5 5" xfId="9900"/>
    <cellStyle name="Normal 5 3 2 5 6" xfId="4511"/>
    <cellStyle name="Normal 5 3 2 6" xfId="1149"/>
    <cellStyle name="Normal 5 3 2 6 2" xfId="2100"/>
    <cellStyle name="Normal 5 3 2 6 2 2" xfId="7389"/>
    <cellStyle name="Normal 5 3 2 6 3" xfId="3779"/>
    <cellStyle name="Normal 5 3 2 6 3 2" xfId="8794"/>
    <cellStyle name="Normal 5 3 2 6 4" xfId="6505"/>
    <cellStyle name="Normal 5 3 2 6 5" xfId="10248"/>
    <cellStyle name="Normal 5 3 2 6 6" xfId="4982"/>
    <cellStyle name="Normal 5 3 2 7" xfId="511"/>
    <cellStyle name="Normal 5 3 2 7 2" xfId="2345"/>
    <cellStyle name="Normal 5 3 2 7 2 2" xfId="7627"/>
    <cellStyle name="Normal 5 3 2 7 3" xfId="4008"/>
    <cellStyle name="Normal 5 3 2 7 3 2" xfId="9023"/>
    <cellStyle name="Normal 5 3 2 7 4" xfId="5872"/>
    <cellStyle name="Normal 5 3 2 7 5" xfId="10477"/>
    <cellStyle name="Normal 5 3 2 7 6" xfId="5221"/>
    <cellStyle name="Normal 5 3 2 8" xfId="1469"/>
    <cellStyle name="Normal 5 3 2 8 2" xfId="6758"/>
    <cellStyle name="Normal 5 3 2 9" xfId="2962"/>
    <cellStyle name="Normal 5 3 2 9 2" xfId="7978"/>
    <cellStyle name="Normal 5 3 2_Degree data" xfId="2684"/>
    <cellStyle name="Normal 5 3 3" xfId="268"/>
    <cellStyle name="Normal 5 3 3 10" xfId="4394"/>
    <cellStyle name="Normal 5 3 3 2" xfId="370"/>
    <cellStyle name="Normal 5 3 3 2 2" xfId="1155"/>
    <cellStyle name="Normal 5 3 3 2 2 2" xfId="2106"/>
    <cellStyle name="Normal 5 3 3 2 2 2 2" xfId="7395"/>
    <cellStyle name="Normal 5 3 3 2 2 3" xfId="3436"/>
    <cellStyle name="Normal 5 3 3 2 2 3 2" xfId="8452"/>
    <cellStyle name="Normal 5 3 3 2 2 4" xfId="6511"/>
    <cellStyle name="Normal 5 3 3 2 2 5" xfId="9906"/>
    <cellStyle name="Normal 5 3 3 2 2 6" xfId="4988"/>
    <cellStyle name="Normal 5 3 3 2 3" xfId="877"/>
    <cellStyle name="Normal 5 3 3 2 3 2" xfId="2545"/>
    <cellStyle name="Normal 5 3 3 2 3 2 2" xfId="7827"/>
    <cellStyle name="Normal 5 3 3 2 3 3" xfId="3785"/>
    <cellStyle name="Normal 5 3 3 2 3 3 2" xfId="8800"/>
    <cellStyle name="Normal 5 3 3 2 3 4" xfId="6234"/>
    <cellStyle name="Normal 5 3 3 2 3 5" xfId="10254"/>
    <cellStyle name="Normal 5 3 3 2 3 6" xfId="5421"/>
    <cellStyle name="Normal 5 3 3 2 4" xfId="1829"/>
    <cellStyle name="Normal 5 3 3 2 4 2" xfId="4208"/>
    <cellStyle name="Normal 5 3 3 2 4 2 2" xfId="9223"/>
    <cellStyle name="Normal 5 3 3 2 4 3" xfId="10677"/>
    <cellStyle name="Normal 5 3 3 2 4 4" xfId="7118"/>
    <cellStyle name="Normal 5 3 3 2 5" xfId="3164"/>
    <cellStyle name="Normal 5 3 3 2 5 2" xfId="8180"/>
    <cellStyle name="Normal 5 3 3 2 6" xfId="5741"/>
    <cellStyle name="Normal 5 3 3 2 7" xfId="9634"/>
    <cellStyle name="Normal 5 3 3 2 8" xfId="4711"/>
    <cellStyle name="Normal 5 3 3 2_Degree data" xfId="2642"/>
    <cellStyle name="Normal 5 3 3 3" xfId="777"/>
    <cellStyle name="Normal 5 3 3 3 2" xfId="1729"/>
    <cellStyle name="Normal 5 3 3 3 2 2" xfId="7018"/>
    <cellStyle name="Normal 5 3 3 3 3" xfId="3435"/>
    <cellStyle name="Normal 5 3 3 3 3 2" xfId="8451"/>
    <cellStyle name="Normal 5 3 3 3 4" xfId="6134"/>
    <cellStyle name="Normal 5 3 3 3 5" xfId="9905"/>
    <cellStyle name="Normal 5 3 3 3 6" xfId="4611"/>
    <cellStyle name="Normal 5 3 3 4" xfId="1154"/>
    <cellStyle name="Normal 5 3 3 4 2" xfId="2105"/>
    <cellStyle name="Normal 5 3 3 4 2 2" xfId="7394"/>
    <cellStyle name="Normal 5 3 3 4 3" xfId="3784"/>
    <cellStyle name="Normal 5 3 3 4 3 2" xfId="8799"/>
    <cellStyle name="Normal 5 3 3 4 4" xfId="6510"/>
    <cellStyle name="Normal 5 3 3 4 5" xfId="10253"/>
    <cellStyle name="Normal 5 3 3 4 6" xfId="4987"/>
    <cellStyle name="Normal 5 3 3 5" xfId="557"/>
    <cellStyle name="Normal 5 3 3 5 2" xfId="2445"/>
    <cellStyle name="Normal 5 3 3 5 2 2" xfId="7727"/>
    <cellStyle name="Normal 5 3 3 5 3" xfId="4108"/>
    <cellStyle name="Normal 5 3 3 5 3 2" xfId="9123"/>
    <cellStyle name="Normal 5 3 3 5 4" xfId="5915"/>
    <cellStyle name="Normal 5 3 3 5 5" xfId="10577"/>
    <cellStyle name="Normal 5 3 3 5 6" xfId="5321"/>
    <cellStyle name="Normal 5 3 3 6" xfId="1512"/>
    <cellStyle name="Normal 5 3 3 6 2" xfId="6801"/>
    <cellStyle name="Normal 5 3 3 7" xfId="3064"/>
    <cellStyle name="Normal 5 3 3 7 2" xfId="8080"/>
    <cellStyle name="Normal 5 3 3 8" xfId="5641"/>
    <cellStyle name="Normal 5 3 3 9" xfId="9534"/>
    <cellStyle name="Normal 5 3 3_Degree data" xfId="2662"/>
    <cellStyle name="Normal 5 3 4" xfId="184"/>
    <cellStyle name="Normal 5 3 4 10" xfId="4421"/>
    <cellStyle name="Normal 5 3 4 2" xfId="398"/>
    <cellStyle name="Normal 5 3 4 2 2" xfId="1157"/>
    <cellStyle name="Normal 5 3 4 2 2 2" xfId="2108"/>
    <cellStyle name="Normal 5 3 4 2 2 2 2" xfId="7397"/>
    <cellStyle name="Normal 5 3 4 2 2 3" xfId="3438"/>
    <cellStyle name="Normal 5 3 4 2 2 3 2" xfId="8454"/>
    <cellStyle name="Normal 5 3 4 2 2 4" xfId="6513"/>
    <cellStyle name="Normal 5 3 4 2 2 5" xfId="9908"/>
    <cellStyle name="Normal 5 3 4 2 2 6" xfId="4990"/>
    <cellStyle name="Normal 5 3 4 2 3" xfId="904"/>
    <cellStyle name="Normal 5 3 4 2 3 2" xfId="2572"/>
    <cellStyle name="Normal 5 3 4 2 3 2 2" xfId="7854"/>
    <cellStyle name="Normal 5 3 4 2 3 3" xfId="3787"/>
    <cellStyle name="Normal 5 3 4 2 3 3 2" xfId="8802"/>
    <cellStyle name="Normal 5 3 4 2 3 4" xfId="6261"/>
    <cellStyle name="Normal 5 3 4 2 3 5" xfId="10256"/>
    <cellStyle name="Normal 5 3 4 2 3 6" xfId="5448"/>
    <cellStyle name="Normal 5 3 4 2 4" xfId="1856"/>
    <cellStyle name="Normal 5 3 4 2 4 2" xfId="4235"/>
    <cellStyle name="Normal 5 3 4 2 4 2 2" xfId="9250"/>
    <cellStyle name="Normal 5 3 4 2 4 3" xfId="10704"/>
    <cellStyle name="Normal 5 3 4 2 4 4" xfId="7145"/>
    <cellStyle name="Normal 5 3 4 2 5" xfId="3191"/>
    <cellStyle name="Normal 5 3 4 2 5 2" xfId="8207"/>
    <cellStyle name="Normal 5 3 4 2 6" xfId="5768"/>
    <cellStyle name="Normal 5 3 4 2 7" xfId="9661"/>
    <cellStyle name="Normal 5 3 4 2 8" xfId="4738"/>
    <cellStyle name="Normal 5 3 4 2_Degree data" xfId="2731"/>
    <cellStyle name="Normal 5 3 4 3" xfId="699"/>
    <cellStyle name="Normal 5 3 4 3 2" xfId="1651"/>
    <cellStyle name="Normal 5 3 4 3 2 2" xfId="6940"/>
    <cellStyle name="Normal 5 3 4 3 3" xfId="3437"/>
    <cellStyle name="Normal 5 3 4 3 3 2" xfId="8453"/>
    <cellStyle name="Normal 5 3 4 3 4" xfId="6056"/>
    <cellStyle name="Normal 5 3 4 3 5" xfId="9907"/>
    <cellStyle name="Normal 5 3 4 3 6" xfId="4533"/>
    <cellStyle name="Normal 5 3 4 4" xfId="1156"/>
    <cellStyle name="Normal 5 3 4 4 2" xfId="2107"/>
    <cellStyle name="Normal 5 3 4 4 2 2" xfId="7396"/>
    <cellStyle name="Normal 5 3 4 4 3" xfId="3786"/>
    <cellStyle name="Normal 5 3 4 4 3 2" xfId="8801"/>
    <cellStyle name="Normal 5 3 4 4 4" xfId="6512"/>
    <cellStyle name="Normal 5 3 4 4 5" xfId="10255"/>
    <cellStyle name="Normal 5 3 4 4 6" xfId="4989"/>
    <cellStyle name="Normal 5 3 4 5" xfId="584"/>
    <cellStyle name="Normal 5 3 4 5 2" xfId="2367"/>
    <cellStyle name="Normal 5 3 4 5 2 2" xfId="7649"/>
    <cellStyle name="Normal 5 3 4 5 3" xfId="4030"/>
    <cellStyle name="Normal 5 3 4 5 3 2" xfId="9045"/>
    <cellStyle name="Normal 5 3 4 5 4" xfId="5942"/>
    <cellStyle name="Normal 5 3 4 5 5" xfId="10499"/>
    <cellStyle name="Normal 5 3 4 5 6" xfId="5243"/>
    <cellStyle name="Normal 5 3 4 6" xfId="1539"/>
    <cellStyle name="Normal 5 3 4 6 2" xfId="6828"/>
    <cellStyle name="Normal 5 3 4 7" xfId="2986"/>
    <cellStyle name="Normal 5 3 4 7 2" xfId="8002"/>
    <cellStyle name="Normal 5 3 4 8" xfId="5563"/>
    <cellStyle name="Normal 5 3 4 9" xfId="9456"/>
    <cellStyle name="Normal 5 3 4_Degree data" xfId="2690"/>
    <cellStyle name="Normal 5 3 5" xfId="290"/>
    <cellStyle name="Normal 5 3 5 2" xfId="1158"/>
    <cellStyle name="Normal 5 3 5 2 2" xfId="2109"/>
    <cellStyle name="Normal 5 3 5 2 2 2" xfId="7398"/>
    <cellStyle name="Normal 5 3 5 2 3" xfId="3439"/>
    <cellStyle name="Normal 5 3 5 2 3 2" xfId="8455"/>
    <cellStyle name="Normal 5 3 5 2 4" xfId="6514"/>
    <cellStyle name="Normal 5 3 5 2 5" xfId="9909"/>
    <cellStyle name="Normal 5 3 5 2 6" xfId="4991"/>
    <cellStyle name="Normal 5 3 5 3" xfId="799"/>
    <cellStyle name="Normal 5 3 5 3 2" xfId="2467"/>
    <cellStyle name="Normal 5 3 5 3 2 2" xfId="7749"/>
    <cellStyle name="Normal 5 3 5 3 3" xfId="3788"/>
    <cellStyle name="Normal 5 3 5 3 3 2" xfId="8803"/>
    <cellStyle name="Normal 5 3 5 3 4" xfId="6156"/>
    <cellStyle name="Normal 5 3 5 3 5" xfId="10257"/>
    <cellStyle name="Normal 5 3 5 3 6" xfId="5343"/>
    <cellStyle name="Normal 5 3 5 4" xfId="1751"/>
    <cellStyle name="Normal 5 3 5 4 2" xfId="4130"/>
    <cellStyle name="Normal 5 3 5 4 2 2" xfId="9145"/>
    <cellStyle name="Normal 5 3 5 4 3" xfId="10599"/>
    <cellStyle name="Normal 5 3 5 4 4" xfId="7040"/>
    <cellStyle name="Normal 5 3 5 5" xfId="3086"/>
    <cellStyle name="Normal 5 3 5 5 2" xfId="8102"/>
    <cellStyle name="Normal 5 3 5 6" xfId="5663"/>
    <cellStyle name="Normal 5 3 5 7" xfId="9556"/>
    <cellStyle name="Normal 5 3 5 8" xfId="4633"/>
    <cellStyle name="Normal 5 3 5_Degree data" xfId="2694"/>
    <cellStyle name="Normal 5 3 6" xfId="652"/>
    <cellStyle name="Normal 5 3 6 2" xfId="1159"/>
    <cellStyle name="Normal 5 3 6 2 2" xfId="2110"/>
    <cellStyle name="Normal 5 3 6 2 2 2" xfId="7399"/>
    <cellStyle name="Normal 5 3 6 2 3" xfId="3440"/>
    <cellStyle name="Normal 5 3 6 2 3 2" xfId="8456"/>
    <cellStyle name="Normal 5 3 6 2 4" xfId="6515"/>
    <cellStyle name="Normal 5 3 6 2 5" xfId="9910"/>
    <cellStyle name="Normal 5 3 6 2 6" xfId="4992"/>
    <cellStyle name="Normal 5 3 6 3" xfId="462"/>
    <cellStyle name="Normal 5 3 6 3 2" xfId="2320"/>
    <cellStyle name="Normal 5 3 6 3 2 2" xfId="7602"/>
    <cellStyle name="Normal 5 3 6 3 3" xfId="3789"/>
    <cellStyle name="Normal 5 3 6 3 3 2" xfId="8804"/>
    <cellStyle name="Normal 5 3 6 3 4" xfId="5829"/>
    <cellStyle name="Normal 5 3 6 3 5" xfId="10258"/>
    <cellStyle name="Normal 5 3 6 3 6" xfId="5196"/>
    <cellStyle name="Normal 5 3 6 4" xfId="1604"/>
    <cellStyle name="Normal 5 3 6 4 2" xfId="3983"/>
    <cellStyle name="Normal 5 3 6 4 2 2" xfId="8998"/>
    <cellStyle name="Normal 5 3 6 4 3" xfId="10452"/>
    <cellStyle name="Normal 5 3 6 4 4" xfId="6893"/>
    <cellStyle name="Normal 5 3 6 5" xfId="2937"/>
    <cellStyle name="Normal 5 3 6 5 2" xfId="7953"/>
    <cellStyle name="Normal 5 3 6 6" xfId="6009"/>
    <cellStyle name="Normal 5 3 6 7" xfId="9409"/>
    <cellStyle name="Normal 5 3 6 8" xfId="4486"/>
    <cellStyle name="Normal 5 3 6_Degree data" xfId="2722"/>
    <cellStyle name="Normal 5 3 7" xfId="1148"/>
    <cellStyle name="Normal 5 3 7 2" xfId="2099"/>
    <cellStyle name="Normal 5 3 7 2 2" xfId="7388"/>
    <cellStyle name="Normal 5 3 7 3" xfId="3429"/>
    <cellStyle name="Normal 5 3 7 3 2" xfId="8445"/>
    <cellStyle name="Normal 5 3 7 4" xfId="6504"/>
    <cellStyle name="Normal 5 3 7 5" xfId="9899"/>
    <cellStyle name="Normal 5 3 7 6" xfId="4981"/>
    <cellStyle name="Normal 5 3 8" xfId="472"/>
    <cellStyle name="Normal 5 3 8 2" xfId="2300"/>
    <cellStyle name="Normal 5 3 8 2 2" xfId="7582"/>
    <cellStyle name="Normal 5 3 8 3" xfId="3778"/>
    <cellStyle name="Normal 5 3 8 3 2" xfId="8793"/>
    <cellStyle name="Normal 5 3 8 4" xfId="5836"/>
    <cellStyle name="Normal 5 3 8 5" xfId="10247"/>
    <cellStyle name="Normal 5 3 8 6" xfId="5176"/>
    <cellStyle name="Normal 5 3 9" xfId="1431"/>
    <cellStyle name="Normal 5 3 9 2" xfId="3963"/>
    <cellStyle name="Normal 5 3 9 2 2" xfId="8978"/>
    <cellStyle name="Normal 5 3 9 3" xfId="10432"/>
    <cellStyle name="Normal 5 3 9 4" xfId="6722"/>
    <cellStyle name="Normal 5 3_Degree data" xfId="2711"/>
    <cellStyle name="Normal 5 4" xfId="147"/>
    <cellStyle name="Normal 5 4 10" xfId="5538"/>
    <cellStyle name="Normal 5 4 11" xfId="9358"/>
    <cellStyle name="Normal 5 4 12" xfId="4350"/>
    <cellStyle name="Normal 5 4 2" xfId="266"/>
    <cellStyle name="Normal 5 4 2 10" xfId="4393"/>
    <cellStyle name="Normal 5 4 2 2" xfId="368"/>
    <cellStyle name="Normal 5 4 2 2 2" xfId="1162"/>
    <cellStyle name="Normal 5 4 2 2 2 2" xfId="2113"/>
    <cellStyle name="Normal 5 4 2 2 2 2 2" xfId="7402"/>
    <cellStyle name="Normal 5 4 2 2 2 3" xfId="3443"/>
    <cellStyle name="Normal 5 4 2 2 2 3 2" xfId="8459"/>
    <cellStyle name="Normal 5 4 2 2 2 4" xfId="6518"/>
    <cellStyle name="Normal 5 4 2 2 2 5" xfId="9913"/>
    <cellStyle name="Normal 5 4 2 2 2 6" xfId="4995"/>
    <cellStyle name="Normal 5 4 2 2 3" xfId="876"/>
    <cellStyle name="Normal 5 4 2 2 3 2" xfId="2544"/>
    <cellStyle name="Normal 5 4 2 2 3 2 2" xfId="7826"/>
    <cellStyle name="Normal 5 4 2 2 3 3" xfId="3792"/>
    <cellStyle name="Normal 5 4 2 2 3 3 2" xfId="8807"/>
    <cellStyle name="Normal 5 4 2 2 3 4" xfId="6233"/>
    <cellStyle name="Normal 5 4 2 2 3 5" xfId="10261"/>
    <cellStyle name="Normal 5 4 2 2 3 6" xfId="5420"/>
    <cellStyle name="Normal 5 4 2 2 4" xfId="1828"/>
    <cellStyle name="Normal 5 4 2 2 4 2" xfId="4207"/>
    <cellStyle name="Normal 5 4 2 2 4 2 2" xfId="9222"/>
    <cellStyle name="Normal 5 4 2 2 4 3" xfId="10676"/>
    <cellStyle name="Normal 5 4 2 2 4 4" xfId="7117"/>
    <cellStyle name="Normal 5 4 2 2 5" xfId="3163"/>
    <cellStyle name="Normal 5 4 2 2 5 2" xfId="8179"/>
    <cellStyle name="Normal 5 4 2 2 6" xfId="5740"/>
    <cellStyle name="Normal 5 4 2 2 7" xfId="9633"/>
    <cellStyle name="Normal 5 4 2 2 8" xfId="4710"/>
    <cellStyle name="Normal 5 4 2 2_Degree data" xfId="2678"/>
    <cellStyle name="Normal 5 4 2 3" xfId="776"/>
    <cellStyle name="Normal 5 4 2 3 2" xfId="1728"/>
    <cellStyle name="Normal 5 4 2 3 2 2" xfId="7017"/>
    <cellStyle name="Normal 5 4 2 3 3" xfId="3442"/>
    <cellStyle name="Normal 5 4 2 3 3 2" xfId="8458"/>
    <cellStyle name="Normal 5 4 2 3 4" xfId="6133"/>
    <cellStyle name="Normal 5 4 2 3 5" xfId="9912"/>
    <cellStyle name="Normal 5 4 2 3 6" xfId="4610"/>
    <cellStyle name="Normal 5 4 2 4" xfId="1161"/>
    <cellStyle name="Normal 5 4 2 4 2" xfId="2112"/>
    <cellStyle name="Normal 5 4 2 4 2 2" xfId="7401"/>
    <cellStyle name="Normal 5 4 2 4 3" xfId="3791"/>
    <cellStyle name="Normal 5 4 2 4 3 2" xfId="8806"/>
    <cellStyle name="Normal 5 4 2 4 4" xfId="6517"/>
    <cellStyle name="Normal 5 4 2 4 5" xfId="10260"/>
    <cellStyle name="Normal 5 4 2 4 6" xfId="4994"/>
    <cellStyle name="Normal 5 4 2 5" xfId="555"/>
    <cellStyle name="Normal 5 4 2 5 2" xfId="2444"/>
    <cellStyle name="Normal 5 4 2 5 2 2" xfId="7726"/>
    <cellStyle name="Normal 5 4 2 5 3" xfId="4107"/>
    <cellStyle name="Normal 5 4 2 5 3 2" xfId="9122"/>
    <cellStyle name="Normal 5 4 2 5 4" xfId="5914"/>
    <cellStyle name="Normal 5 4 2 5 5" xfId="10576"/>
    <cellStyle name="Normal 5 4 2 5 6" xfId="5320"/>
    <cellStyle name="Normal 5 4 2 6" xfId="1511"/>
    <cellStyle name="Normal 5 4 2 6 2" xfId="6800"/>
    <cellStyle name="Normal 5 4 2 7" xfId="3063"/>
    <cellStyle name="Normal 5 4 2 7 2" xfId="8079"/>
    <cellStyle name="Normal 5 4 2 8" xfId="5640"/>
    <cellStyle name="Normal 5 4 2 9" xfId="9533"/>
    <cellStyle name="Normal 5 4 2_Degree data" xfId="2673"/>
    <cellStyle name="Normal 5 4 3" xfId="221"/>
    <cellStyle name="Normal 5 4 3 10" xfId="4454"/>
    <cellStyle name="Normal 5 4 3 2" xfId="431"/>
    <cellStyle name="Normal 5 4 3 2 2" xfId="1164"/>
    <cellStyle name="Normal 5 4 3 2 2 2" xfId="2115"/>
    <cellStyle name="Normal 5 4 3 2 2 2 2" xfId="7404"/>
    <cellStyle name="Normal 5 4 3 2 2 3" xfId="3445"/>
    <cellStyle name="Normal 5 4 3 2 2 3 2" xfId="8461"/>
    <cellStyle name="Normal 5 4 3 2 2 4" xfId="6520"/>
    <cellStyle name="Normal 5 4 3 2 2 5" xfId="9915"/>
    <cellStyle name="Normal 5 4 3 2 2 6" xfId="4997"/>
    <cellStyle name="Normal 5 4 3 2 3" xfId="937"/>
    <cellStyle name="Normal 5 4 3 2 3 2" xfId="2605"/>
    <cellStyle name="Normal 5 4 3 2 3 2 2" xfId="7887"/>
    <cellStyle name="Normal 5 4 3 2 3 3" xfId="3794"/>
    <cellStyle name="Normal 5 4 3 2 3 3 2" xfId="8809"/>
    <cellStyle name="Normal 5 4 3 2 3 4" xfId="6294"/>
    <cellStyle name="Normal 5 4 3 2 3 5" xfId="10263"/>
    <cellStyle name="Normal 5 4 3 2 3 6" xfId="5481"/>
    <cellStyle name="Normal 5 4 3 2 4" xfId="1889"/>
    <cellStyle name="Normal 5 4 3 2 4 2" xfId="4268"/>
    <cellStyle name="Normal 5 4 3 2 4 2 2" xfId="9283"/>
    <cellStyle name="Normal 5 4 3 2 4 3" xfId="10737"/>
    <cellStyle name="Normal 5 4 3 2 4 4" xfId="7178"/>
    <cellStyle name="Normal 5 4 3 2 5" xfId="3224"/>
    <cellStyle name="Normal 5 4 3 2 5 2" xfId="8240"/>
    <cellStyle name="Normal 5 4 3 2 6" xfId="5801"/>
    <cellStyle name="Normal 5 4 3 2 7" xfId="9694"/>
    <cellStyle name="Normal 5 4 3 2 8" xfId="4771"/>
    <cellStyle name="Normal 5 4 3 2_Degree data" xfId="2281"/>
    <cellStyle name="Normal 5 4 3 3" xfId="733"/>
    <cellStyle name="Normal 5 4 3 3 2" xfId="1685"/>
    <cellStyle name="Normal 5 4 3 3 2 2" xfId="6974"/>
    <cellStyle name="Normal 5 4 3 3 3" xfId="3444"/>
    <cellStyle name="Normal 5 4 3 3 3 2" xfId="8460"/>
    <cellStyle name="Normal 5 4 3 3 4" xfId="6090"/>
    <cellStyle name="Normal 5 4 3 3 5" xfId="9914"/>
    <cellStyle name="Normal 5 4 3 3 6" xfId="4567"/>
    <cellStyle name="Normal 5 4 3 4" xfId="1163"/>
    <cellStyle name="Normal 5 4 3 4 2" xfId="2114"/>
    <cellStyle name="Normal 5 4 3 4 2 2" xfId="7403"/>
    <cellStyle name="Normal 5 4 3 4 3" xfId="3793"/>
    <cellStyle name="Normal 5 4 3 4 3 2" xfId="8808"/>
    <cellStyle name="Normal 5 4 3 4 4" xfId="6519"/>
    <cellStyle name="Normal 5 4 3 4 5" xfId="10262"/>
    <cellStyle name="Normal 5 4 3 4 6" xfId="4996"/>
    <cellStyle name="Normal 5 4 3 5" xfId="617"/>
    <cellStyle name="Normal 5 4 3 5 2" xfId="2401"/>
    <cellStyle name="Normal 5 4 3 5 2 2" xfId="7683"/>
    <cellStyle name="Normal 5 4 3 5 3" xfId="4064"/>
    <cellStyle name="Normal 5 4 3 5 3 2" xfId="9079"/>
    <cellStyle name="Normal 5 4 3 5 4" xfId="5975"/>
    <cellStyle name="Normal 5 4 3 5 5" xfId="10533"/>
    <cellStyle name="Normal 5 4 3 5 6" xfId="5277"/>
    <cellStyle name="Normal 5 4 3 6" xfId="1572"/>
    <cellStyle name="Normal 5 4 3 6 2" xfId="6861"/>
    <cellStyle name="Normal 5 4 3 7" xfId="3020"/>
    <cellStyle name="Normal 5 4 3 7 2" xfId="8036"/>
    <cellStyle name="Normal 5 4 3 8" xfId="5597"/>
    <cellStyle name="Normal 5 4 3 9" xfId="9490"/>
    <cellStyle name="Normal 5 4 3_Degree data" xfId="2655"/>
    <cellStyle name="Normal 5 4 4" xfId="324"/>
    <cellStyle name="Normal 5 4 4 2" xfId="1165"/>
    <cellStyle name="Normal 5 4 4 2 2" xfId="2116"/>
    <cellStyle name="Normal 5 4 4 2 2 2" xfId="7405"/>
    <cellStyle name="Normal 5 4 4 2 3" xfId="3446"/>
    <cellStyle name="Normal 5 4 4 2 3 2" xfId="8462"/>
    <cellStyle name="Normal 5 4 4 2 4" xfId="6521"/>
    <cellStyle name="Normal 5 4 4 2 5" xfId="9916"/>
    <cellStyle name="Normal 5 4 4 2 6" xfId="4998"/>
    <cellStyle name="Normal 5 4 4 3" xfId="833"/>
    <cellStyle name="Normal 5 4 4 3 2" xfId="2501"/>
    <cellStyle name="Normal 5 4 4 3 2 2" xfId="7783"/>
    <cellStyle name="Normal 5 4 4 3 3" xfId="3795"/>
    <cellStyle name="Normal 5 4 4 3 3 2" xfId="8810"/>
    <cellStyle name="Normal 5 4 4 3 4" xfId="6190"/>
    <cellStyle name="Normal 5 4 4 3 5" xfId="10264"/>
    <cellStyle name="Normal 5 4 4 3 6" xfId="5377"/>
    <cellStyle name="Normal 5 4 4 4" xfId="1785"/>
    <cellStyle name="Normal 5 4 4 4 2" xfId="4164"/>
    <cellStyle name="Normal 5 4 4 4 2 2" xfId="9179"/>
    <cellStyle name="Normal 5 4 4 4 3" xfId="10633"/>
    <cellStyle name="Normal 5 4 4 4 4" xfId="7074"/>
    <cellStyle name="Normal 5 4 4 5" xfId="3120"/>
    <cellStyle name="Normal 5 4 4 5 2" xfId="8136"/>
    <cellStyle name="Normal 5 4 4 6" xfId="5697"/>
    <cellStyle name="Normal 5 4 4 7" xfId="9590"/>
    <cellStyle name="Normal 5 4 4 8" xfId="4667"/>
    <cellStyle name="Normal 5 4 4_Degree data" xfId="2661"/>
    <cellStyle name="Normal 5 4 5" xfId="674"/>
    <cellStyle name="Normal 5 4 5 2" xfId="1166"/>
    <cellStyle name="Normal 5 4 5 2 2" xfId="2117"/>
    <cellStyle name="Normal 5 4 5 2 2 2" xfId="7406"/>
    <cellStyle name="Normal 5 4 5 2 3" xfId="3447"/>
    <cellStyle name="Normal 5 4 5 2 3 2" xfId="8463"/>
    <cellStyle name="Normal 5 4 5 2 4" xfId="6522"/>
    <cellStyle name="Normal 5 4 5 2 5" xfId="9917"/>
    <cellStyle name="Normal 5 4 5 2 6" xfId="4999"/>
    <cellStyle name="Normal 5 4 5 3" xfId="1394"/>
    <cellStyle name="Normal 5 4 5 3 2" xfId="2342"/>
    <cellStyle name="Normal 5 4 5 3 2 2" xfId="7624"/>
    <cellStyle name="Normal 5 4 5 3 3" xfId="3796"/>
    <cellStyle name="Normal 5 4 5 3 3 2" xfId="8811"/>
    <cellStyle name="Normal 5 4 5 3 4" xfId="6690"/>
    <cellStyle name="Normal 5 4 5 3 5" xfId="10265"/>
    <cellStyle name="Normal 5 4 5 3 6" xfId="5218"/>
    <cellStyle name="Normal 5 4 5 4" xfId="1626"/>
    <cellStyle name="Normal 5 4 5 4 2" xfId="4005"/>
    <cellStyle name="Normal 5 4 5 4 2 2" xfId="9020"/>
    <cellStyle name="Normal 5 4 5 4 3" xfId="10474"/>
    <cellStyle name="Normal 5 4 5 4 4" xfId="6915"/>
    <cellStyle name="Normal 5 4 5 5" xfId="2959"/>
    <cellStyle name="Normal 5 4 5 5 2" xfId="7975"/>
    <cellStyle name="Normal 5 4 5 6" xfId="6031"/>
    <cellStyle name="Normal 5 4 5 7" xfId="9431"/>
    <cellStyle name="Normal 5 4 5 8" xfId="4508"/>
    <cellStyle name="Normal 5 4 5_Degree data" xfId="2740"/>
    <cellStyle name="Normal 5 4 6" xfId="1160"/>
    <cellStyle name="Normal 5 4 6 2" xfId="2111"/>
    <cellStyle name="Normal 5 4 6 2 2" xfId="7400"/>
    <cellStyle name="Normal 5 4 6 3" xfId="3441"/>
    <cellStyle name="Normal 5 4 6 3 2" xfId="8457"/>
    <cellStyle name="Normal 5 4 6 4" xfId="6516"/>
    <cellStyle name="Normal 5 4 6 5" xfId="9911"/>
    <cellStyle name="Normal 5 4 6 6" xfId="4993"/>
    <cellStyle name="Normal 5 4 7" xfId="509"/>
    <cellStyle name="Normal 5 4 7 2" xfId="2299"/>
    <cellStyle name="Normal 5 4 7 2 2" xfId="7581"/>
    <cellStyle name="Normal 5 4 7 3" xfId="3790"/>
    <cellStyle name="Normal 5 4 7 3 2" xfId="8805"/>
    <cellStyle name="Normal 5 4 7 4" xfId="5870"/>
    <cellStyle name="Normal 5 4 7 5" xfId="10259"/>
    <cellStyle name="Normal 5 4 7 6" xfId="5175"/>
    <cellStyle name="Normal 5 4 8" xfId="1468"/>
    <cellStyle name="Normal 5 4 8 2" xfId="3962"/>
    <cellStyle name="Normal 5 4 8 2 2" xfId="8977"/>
    <cellStyle name="Normal 5 4 8 3" xfId="10431"/>
    <cellStyle name="Normal 5 4 8 4" xfId="6757"/>
    <cellStyle name="Normal 5 4 9" xfId="2916"/>
    <cellStyle name="Normal 5 4 9 2" xfId="9388"/>
    <cellStyle name="Normal 5 4 9 3" xfId="7932"/>
    <cellStyle name="Normal 5 4_Degree data" xfId="2639"/>
    <cellStyle name="Normal 5 5" xfId="133"/>
    <cellStyle name="Normal 5 5 10" xfId="5526"/>
    <cellStyle name="Normal 5 5 11" xfId="9346"/>
    <cellStyle name="Normal 5 5 12" xfId="4338"/>
    <cellStyle name="Normal 5 5 2" xfId="254"/>
    <cellStyle name="Normal 5 5 2 10" xfId="4381"/>
    <cellStyle name="Normal 5 5 2 2" xfId="356"/>
    <cellStyle name="Normal 5 5 2 2 2" xfId="1169"/>
    <cellStyle name="Normal 5 5 2 2 2 2" xfId="2120"/>
    <cellStyle name="Normal 5 5 2 2 2 2 2" xfId="7409"/>
    <cellStyle name="Normal 5 5 2 2 2 3" xfId="3450"/>
    <cellStyle name="Normal 5 5 2 2 2 3 2" xfId="8466"/>
    <cellStyle name="Normal 5 5 2 2 2 4" xfId="6525"/>
    <cellStyle name="Normal 5 5 2 2 2 5" xfId="9920"/>
    <cellStyle name="Normal 5 5 2 2 2 6" xfId="5002"/>
    <cellStyle name="Normal 5 5 2 2 3" xfId="864"/>
    <cellStyle name="Normal 5 5 2 2 3 2" xfId="2532"/>
    <cellStyle name="Normal 5 5 2 2 3 2 2" xfId="7814"/>
    <cellStyle name="Normal 5 5 2 2 3 3" xfId="3799"/>
    <cellStyle name="Normal 5 5 2 2 3 3 2" xfId="8814"/>
    <cellStyle name="Normal 5 5 2 2 3 4" xfId="6221"/>
    <cellStyle name="Normal 5 5 2 2 3 5" xfId="10268"/>
    <cellStyle name="Normal 5 5 2 2 3 6" xfId="5408"/>
    <cellStyle name="Normal 5 5 2 2 4" xfId="1816"/>
    <cellStyle name="Normal 5 5 2 2 4 2" xfId="4195"/>
    <cellStyle name="Normal 5 5 2 2 4 2 2" xfId="9210"/>
    <cellStyle name="Normal 5 5 2 2 4 3" xfId="10664"/>
    <cellStyle name="Normal 5 5 2 2 4 4" xfId="7105"/>
    <cellStyle name="Normal 5 5 2 2 5" xfId="3151"/>
    <cellStyle name="Normal 5 5 2 2 5 2" xfId="8167"/>
    <cellStyle name="Normal 5 5 2 2 6" xfId="5728"/>
    <cellStyle name="Normal 5 5 2 2 7" xfId="9621"/>
    <cellStyle name="Normal 5 5 2 2 8" xfId="4698"/>
    <cellStyle name="Normal 5 5 2 2_Degree data" xfId="2715"/>
    <cellStyle name="Normal 5 5 2 3" xfId="764"/>
    <cellStyle name="Normal 5 5 2 3 2" xfId="1716"/>
    <cellStyle name="Normal 5 5 2 3 2 2" xfId="7005"/>
    <cellStyle name="Normal 5 5 2 3 3" xfId="3449"/>
    <cellStyle name="Normal 5 5 2 3 3 2" xfId="8465"/>
    <cellStyle name="Normal 5 5 2 3 4" xfId="6121"/>
    <cellStyle name="Normal 5 5 2 3 5" xfId="9919"/>
    <cellStyle name="Normal 5 5 2 3 6" xfId="4598"/>
    <cellStyle name="Normal 5 5 2 4" xfId="1168"/>
    <cellStyle name="Normal 5 5 2 4 2" xfId="2119"/>
    <cellStyle name="Normal 5 5 2 4 2 2" xfId="7408"/>
    <cellStyle name="Normal 5 5 2 4 3" xfId="3798"/>
    <cellStyle name="Normal 5 5 2 4 3 2" xfId="8813"/>
    <cellStyle name="Normal 5 5 2 4 4" xfId="6524"/>
    <cellStyle name="Normal 5 5 2 4 5" xfId="10267"/>
    <cellStyle name="Normal 5 5 2 4 6" xfId="5001"/>
    <cellStyle name="Normal 5 5 2 5" xfId="543"/>
    <cellStyle name="Normal 5 5 2 5 2" xfId="2432"/>
    <cellStyle name="Normal 5 5 2 5 2 2" xfId="7714"/>
    <cellStyle name="Normal 5 5 2 5 3" xfId="4095"/>
    <cellStyle name="Normal 5 5 2 5 3 2" xfId="9110"/>
    <cellStyle name="Normal 5 5 2 5 4" xfId="5902"/>
    <cellStyle name="Normal 5 5 2 5 5" xfId="10564"/>
    <cellStyle name="Normal 5 5 2 5 6" xfId="5308"/>
    <cellStyle name="Normal 5 5 2 6" xfId="1499"/>
    <cellStyle name="Normal 5 5 2 6 2" xfId="6788"/>
    <cellStyle name="Normal 5 5 2 7" xfId="3051"/>
    <cellStyle name="Normal 5 5 2 7 2" xfId="8067"/>
    <cellStyle name="Normal 5 5 2 8" xfId="5628"/>
    <cellStyle name="Normal 5 5 2 9" xfId="9521"/>
    <cellStyle name="Normal 5 5 2_Degree data" xfId="2701"/>
    <cellStyle name="Normal 5 5 3" xfId="209"/>
    <cellStyle name="Normal 5 5 3 10" xfId="4443"/>
    <cellStyle name="Normal 5 5 3 2" xfId="420"/>
    <cellStyle name="Normal 5 5 3 2 2" xfId="1171"/>
    <cellStyle name="Normal 5 5 3 2 2 2" xfId="2122"/>
    <cellStyle name="Normal 5 5 3 2 2 2 2" xfId="7411"/>
    <cellStyle name="Normal 5 5 3 2 2 3" xfId="3452"/>
    <cellStyle name="Normal 5 5 3 2 2 3 2" xfId="8468"/>
    <cellStyle name="Normal 5 5 3 2 2 4" xfId="6527"/>
    <cellStyle name="Normal 5 5 3 2 2 5" xfId="9922"/>
    <cellStyle name="Normal 5 5 3 2 2 6" xfId="5004"/>
    <cellStyle name="Normal 5 5 3 2 3" xfId="926"/>
    <cellStyle name="Normal 5 5 3 2 3 2" xfId="2594"/>
    <cellStyle name="Normal 5 5 3 2 3 2 2" xfId="7876"/>
    <cellStyle name="Normal 5 5 3 2 3 3" xfId="3801"/>
    <cellStyle name="Normal 5 5 3 2 3 3 2" xfId="8816"/>
    <cellStyle name="Normal 5 5 3 2 3 4" xfId="6283"/>
    <cellStyle name="Normal 5 5 3 2 3 5" xfId="10270"/>
    <cellStyle name="Normal 5 5 3 2 3 6" xfId="5470"/>
    <cellStyle name="Normal 5 5 3 2 4" xfId="1878"/>
    <cellStyle name="Normal 5 5 3 2 4 2" xfId="4257"/>
    <cellStyle name="Normal 5 5 3 2 4 2 2" xfId="9272"/>
    <cellStyle name="Normal 5 5 3 2 4 3" xfId="10726"/>
    <cellStyle name="Normal 5 5 3 2 4 4" xfId="7167"/>
    <cellStyle name="Normal 5 5 3 2 5" xfId="3213"/>
    <cellStyle name="Normal 5 5 3 2 5 2" xfId="8229"/>
    <cellStyle name="Normal 5 5 3 2 6" xfId="5790"/>
    <cellStyle name="Normal 5 5 3 2 7" xfId="9683"/>
    <cellStyle name="Normal 5 5 3 2 8" xfId="4760"/>
    <cellStyle name="Normal 5 5 3 2_Degree data" xfId="2670"/>
    <cellStyle name="Normal 5 5 3 3" xfId="721"/>
    <cellStyle name="Normal 5 5 3 3 2" xfId="1673"/>
    <cellStyle name="Normal 5 5 3 3 2 2" xfId="6962"/>
    <cellStyle name="Normal 5 5 3 3 3" xfId="3451"/>
    <cellStyle name="Normal 5 5 3 3 3 2" xfId="8467"/>
    <cellStyle name="Normal 5 5 3 3 4" xfId="6078"/>
    <cellStyle name="Normal 5 5 3 3 5" xfId="9921"/>
    <cellStyle name="Normal 5 5 3 3 6" xfId="4555"/>
    <cellStyle name="Normal 5 5 3 4" xfId="1170"/>
    <cellStyle name="Normal 5 5 3 4 2" xfId="2121"/>
    <cellStyle name="Normal 5 5 3 4 2 2" xfId="7410"/>
    <cellStyle name="Normal 5 5 3 4 3" xfId="3800"/>
    <cellStyle name="Normal 5 5 3 4 3 2" xfId="8815"/>
    <cellStyle name="Normal 5 5 3 4 4" xfId="6526"/>
    <cellStyle name="Normal 5 5 3 4 5" xfId="10269"/>
    <cellStyle name="Normal 5 5 3 4 6" xfId="5003"/>
    <cellStyle name="Normal 5 5 3 5" xfId="606"/>
    <cellStyle name="Normal 5 5 3 5 2" xfId="2389"/>
    <cellStyle name="Normal 5 5 3 5 2 2" xfId="7671"/>
    <cellStyle name="Normal 5 5 3 5 3" xfId="4052"/>
    <cellStyle name="Normal 5 5 3 5 3 2" xfId="9067"/>
    <cellStyle name="Normal 5 5 3 5 4" xfId="5964"/>
    <cellStyle name="Normal 5 5 3 5 5" xfId="10521"/>
    <cellStyle name="Normal 5 5 3 5 6" xfId="5265"/>
    <cellStyle name="Normal 5 5 3 6" xfId="1561"/>
    <cellStyle name="Normal 5 5 3 6 2" xfId="6850"/>
    <cellStyle name="Normal 5 5 3 7" xfId="3008"/>
    <cellStyle name="Normal 5 5 3 7 2" xfId="8024"/>
    <cellStyle name="Normal 5 5 3 8" xfId="5585"/>
    <cellStyle name="Normal 5 5 3 9" xfId="9478"/>
    <cellStyle name="Normal 5 5 3_Degree data" xfId="2699"/>
    <cellStyle name="Normal 5 5 4" xfId="312"/>
    <cellStyle name="Normal 5 5 4 2" xfId="1172"/>
    <cellStyle name="Normal 5 5 4 2 2" xfId="2123"/>
    <cellStyle name="Normal 5 5 4 2 2 2" xfId="7412"/>
    <cellStyle name="Normal 5 5 4 2 3" xfId="3453"/>
    <cellStyle name="Normal 5 5 4 2 3 2" xfId="8469"/>
    <cellStyle name="Normal 5 5 4 2 4" xfId="6528"/>
    <cellStyle name="Normal 5 5 4 2 5" xfId="9923"/>
    <cellStyle name="Normal 5 5 4 2 6" xfId="5005"/>
    <cellStyle name="Normal 5 5 4 3" xfId="821"/>
    <cellStyle name="Normal 5 5 4 3 2" xfId="2489"/>
    <cellStyle name="Normal 5 5 4 3 2 2" xfId="7771"/>
    <cellStyle name="Normal 5 5 4 3 3" xfId="3802"/>
    <cellStyle name="Normal 5 5 4 3 3 2" xfId="8817"/>
    <cellStyle name="Normal 5 5 4 3 4" xfId="6178"/>
    <cellStyle name="Normal 5 5 4 3 5" xfId="10271"/>
    <cellStyle name="Normal 5 5 4 3 6" xfId="5365"/>
    <cellStyle name="Normal 5 5 4 4" xfId="1773"/>
    <cellStyle name="Normal 5 5 4 4 2" xfId="4152"/>
    <cellStyle name="Normal 5 5 4 4 2 2" xfId="9167"/>
    <cellStyle name="Normal 5 5 4 4 3" xfId="10621"/>
    <cellStyle name="Normal 5 5 4 4 4" xfId="7062"/>
    <cellStyle name="Normal 5 5 4 5" xfId="3108"/>
    <cellStyle name="Normal 5 5 4 5 2" xfId="8124"/>
    <cellStyle name="Normal 5 5 4 6" xfId="5685"/>
    <cellStyle name="Normal 5 5 4 7" xfId="9578"/>
    <cellStyle name="Normal 5 5 4 8" xfId="4655"/>
    <cellStyle name="Normal 5 5 4_Degree data" xfId="2708"/>
    <cellStyle name="Normal 5 5 5" xfId="662"/>
    <cellStyle name="Normal 5 5 5 2" xfId="1614"/>
    <cellStyle name="Normal 5 5 5 2 2" xfId="6903"/>
    <cellStyle name="Normal 5 5 5 3" xfId="3448"/>
    <cellStyle name="Normal 5 5 5 3 2" xfId="8464"/>
    <cellStyle name="Normal 5 5 5 4" xfId="6019"/>
    <cellStyle name="Normal 5 5 5 5" xfId="9918"/>
    <cellStyle name="Normal 5 5 5 6" xfId="4496"/>
    <cellStyle name="Normal 5 5 6" xfId="1167"/>
    <cellStyle name="Normal 5 5 6 2" xfId="2118"/>
    <cellStyle name="Normal 5 5 6 2 2" xfId="7407"/>
    <cellStyle name="Normal 5 5 6 3" xfId="3797"/>
    <cellStyle name="Normal 5 5 6 3 2" xfId="8812"/>
    <cellStyle name="Normal 5 5 6 4" xfId="6523"/>
    <cellStyle name="Normal 5 5 6 5" xfId="10266"/>
    <cellStyle name="Normal 5 5 6 6" xfId="5000"/>
    <cellStyle name="Normal 5 5 7" xfId="497"/>
    <cellStyle name="Normal 5 5 7 2" xfId="2330"/>
    <cellStyle name="Normal 5 5 7 2 2" xfId="7612"/>
    <cellStyle name="Normal 5 5 7 3" xfId="3993"/>
    <cellStyle name="Normal 5 5 7 3 2" xfId="9008"/>
    <cellStyle name="Normal 5 5 7 4" xfId="5858"/>
    <cellStyle name="Normal 5 5 7 5" xfId="10462"/>
    <cellStyle name="Normal 5 5 7 6" xfId="5206"/>
    <cellStyle name="Normal 5 5 8" xfId="1456"/>
    <cellStyle name="Normal 5 5 8 2" xfId="9419"/>
    <cellStyle name="Normal 5 5 8 3" xfId="6745"/>
    <cellStyle name="Normal 5 5 9" xfId="2947"/>
    <cellStyle name="Normal 5 5 9 2" xfId="7963"/>
    <cellStyle name="Normal 5 5_Degree data" xfId="2643"/>
    <cellStyle name="Normal 5 6" xfId="245"/>
    <cellStyle name="Normal 5 6 10" xfId="4372"/>
    <cellStyle name="Normal 5 6 2" xfId="347"/>
    <cellStyle name="Normal 5 6 2 2" xfId="1174"/>
    <cellStyle name="Normal 5 6 2 2 2" xfId="2125"/>
    <cellStyle name="Normal 5 6 2 2 2 2" xfId="7414"/>
    <cellStyle name="Normal 5 6 2 2 3" xfId="3455"/>
    <cellStyle name="Normal 5 6 2 2 3 2" xfId="8471"/>
    <cellStyle name="Normal 5 6 2 2 4" xfId="6530"/>
    <cellStyle name="Normal 5 6 2 2 5" xfId="9925"/>
    <cellStyle name="Normal 5 6 2 2 6" xfId="5007"/>
    <cellStyle name="Normal 5 6 2 3" xfId="855"/>
    <cellStyle name="Normal 5 6 2 3 2" xfId="2523"/>
    <cellStyle name="Normal 5 6 2 3 2 2" xfId="7805"/>
    <cellStyle name="Normal 5 6 2 3 3" xfId="3804"/>
    <cellStyle name="Normal 5 6 2 3 3 2" xfId="8819"/>
    <cellStyle name="Normal 5 6 2 3 4" xfId="6212"/>
    <cellStyle name="Normal 5 6 2 3 5" xfId="10273"/>
    <cellStyle name="Normal 5 6 2 3 6" xfId="5399"/>
    <cellStyle name="Normal 5 6 2 4" xfId="1807"/>
    <cellStyle name="Normal 5 6 2 4 2" xfId="4186"/>
    <cellStyle name="Normal 5 6 2 4 2 2" xfId="9201"/>
    <cellStyle name="Normal 5 6 2 4 3" xfId="10655"/>
    <cellStyle name="Normal 5 6 2 4 4" xfId="7096"/>
    <cellStyle name="Normal 5 6 2 5" xfId="3142"/>
    <cellStyle name="Normal 5 6 2 5 2" xfId="8158"/>
    <cellStyle name="Normal 5 6 2 6" xfId="5719"/>
    <cellStyle name="Normal 5 6 2 7" xfId="9612"/>
    <cellStyle name="Normal 5 6 2 8" xfId="4689"/>
    <cellStyle name="Normal 5 6 2_Degree data" xfId="2679"/>
    <cellStyle name="Normal 5 6 3" xfId="755"/>
    <cellStyle name="Normal 5 6 3 2" xfId="1707"/>
    <cellStyle name="Normal 5 6 3 2 2" xfId="6996"/>
    <cellStyle name="Normal 5 6 3 3" xfId="3454"/>
    <cellStyle name="Normal 5 6 3 3 2" xfId="8470"/>
    <cellStyle name="Normal 5 6 3 4" xfId="6112"/>
    <cellStyle name="Normal 5 6 3 5" xfId="9924"/>
    <cellStyle name="Normal 5 6 3 6" xfId="4589"/>
    <cellStyle name="Normal 5 6 4" xfId="1173"/>
    <cellStyle name="Normal 5 6 4 2" xfId="2124"/>
    <cellStyle name="Normal 5 6 4 2 2" xfId="7413"/>
    <cellStyle name="Normal 5 6 4 3" xfId="3803"/>
    <cellStyle name="Normal 5 6 4 3 2" xfId="8818"/>
    <cellStyle name="Normal 5 6 4 4" xfId="6529"/>
    <cellStyle name="Normal 5 6 4 5" xfId="10272"/>
    <cellStyle name="Normal 5 6 4 6" xfId="5006"/>
    <cellStyle name="Normal 5 6 5" xfId="534"/>
    <cellStyle name="Normal 5 6 5 2" xfId="2423"/>
    <cellStyle name="Normal 5 6 5 2 2" xfId="7705"/>
    <cellStyle name="Normal 5 6 5 3" xfId="4086"/>
    <cellStyle name="Normal 5 6 5 3 2" xfId="9101"/>
    <cellStyle name="Normal 5 6 5 4" xfId="5893"/>
    <cellStyle name="Normal 5 6 5 5" xfId="10555"/>
    <cellStyle name="Normal 5 6 5 6" xfId="5299"/>
    <cellStyle name="Normal 5 6 6" xfId="1490"/>
    <cellStyle name="Normal 5 6 6 2" xfId="6779"/>
    <cellStyle name="Normal 5 6 7" xfId="3042"/>
    <cellStyle name="Normal 5 6 7 2" xfId="8058"/>
    <cellStyle name="Normal 5 6 8" xfId="5619"/>
    <cellStyle name="Normal 5 6 9" xfId="9512"/>
    <cellStyle name="Normal 5 6_Degree data" xfId="2672"/>
    <cellStyle name="Normal 5 7" xfId="455"/>
    <cellStyle name="Normal 5 7 2" xfId="960"/>
    <cellStyle name="Normal 5 7 2 2" xfId="1912"/>
    <cellStyle name="Normal 5 7 2 2 2" xfId="7201"/>
    <cellStyle name="Normal 5 7 2 3" xfId="3456"/>
    <cellStyle name="Normal 5 7 2 3 2" xfId="8472"/>
    <cellStyle name="Normal 5 7 2 4" xfId="6317"/>
    <cellStyle name="Normal 5 7 2 5" xfId="9926"/>
    <cellStyle name="Normal 5 7 2 6" xfId="4794"/>
    <cellStyle name="Normal 5 7 3" xfId="1175"/>
    <cellStyle name="Normal 5 7 3 2" xfId="2126"/>
    <cellStyle name="Normal 5 7 3 2 2" xfId="7415"/>
    <cellStyle name="Normal 5 7 3 3" xfId="3805"/>
    <cellStyle name="Normal 5 7 3 3 2" xfId="8820"/>
    <cellStyle name="Normal 5 7 3 4" xfId="6531"/>
    <cellStyle name="Normal 5 7 3 5" xfId="10274"/>
    <cellStyle name="Normal 5 7 3 6" xfId="5008"/>
    <cellStyle name="Normal 5 7 4" xfId="640"/>
    <cellStyle name="Normal 5 7 4 2" xfId="2628"/>
    <cellStyle name="Normal 5 7 4 2 2" xfId="7910"/>
    <cellStyle name="Normal 5 7 4 3" xfId="4291"/>
    <cellStyle name="Normal 5 7 4 3 2" xfId="9306"/>
    <cellStyle name="Normal 5 7 4 4" xfId="5998"/>
    <cellStyle name="Normal 5 7 4 5" xfId="10760"/>
    <cellStyle name="Normal 5 7 4 6" xfId="5504"/>
    <cellStyle name="Normal 5 7 5" xfId="1595"/>
    <cellStyle name="Normal 5 7 5 2" xfId="6884"/>
    <cellStyle name="Normal 5 7 6" xfId="3247"/>
    <cellStyle name="Normal 5 7 6 2" xfId="8263"/>
    <cellStyle name="Normal 5 7 7" xfId="5824"/>
    <cellStyle name="Normal 5 7 8" xfId="9717"/>
    <cellStyle name="Normal 5 7 9" xfId="4477"/>
    <cellStyle name="Normal 5 7_Degree data" xfId="2716"/>
    <cellStyle name="Normal 5 8" xfId="651"/>
    <cellStyle name="Normal 5 8 2" xfId="1176"/>
    <cellStyle name="Normal 5 8 2 2" xfId="2127"/>
    <cellStyle name="Normal 5 8 2 2 2" xfId="7416"/>
    <cellStyle name="Normal 5 8 2 3" xfId="3457"/>
    <cellStyle name="Normal 5 8 2 3 2" xfId="8473"/>
    <cellStyle name="Normal 5 8 2 4" xfId="6532"/>
    <cellStyle name="Normal 5 8 2 5" xfId="9927"/>
    <cellStyle name="Normal 5 8 2 6" xfId="5009"/>
    <cellStyle name="Normal 5 8 3" xfId="1398"/>
    <cellStyle name="Normal 5 8 3 2" xfId="2319"/>
    <cellStyle name="Normal 5 8 3 2 2" xfId="7601"/>
    <cellStyle name="Normal 5 8 3 3" xfId="3806"/>
    <cellStyle name="Normal 5 8 3 3 2" xfId="8821"/>
    <cellStyle name="Normal 5 8 3 4" xfId="6694"/>
    <cellStyle name="Normal 5 8 3 5" xfId="10275"/>
    <cellStyle name="Normal 5 8 3 6" xfId="5195"/>
    <cellStyle name="Normal 5 8 4" xfId="1603"/>
    <cellStyle name="Normal 5 8 4 2" xfId="3982"/>
    <cellStyle name="Normal 5 8 4 2 2" xfId="8997"/>
    <cellStyle name="Normal 5 8 4 3" xfId="10451"/>
    <cellStyle name="Normal 5 8 4 4" xfId="6892"/>
    <cellStyle name="Normal 5 8 5" xfId="2936"/>
    <cellStyle name="Normal 5 8 5 2" xfId="7952"/>
    <cellStyle name="Normal 5 8 6" xfId="6008"/>
    <cellStyle name="Normal 5 8 7" xfId="9408"/>
    <cellStyle name="Normal 5 8 8" xfId="4485"/>
    <cellStyle name="Normal 5 8_Degree data" xfId="2749"/>
    <cellStyle name="Normal 5 9" xfId="1134"/>
    <cellStyle name="Normal 5 9 2" xfId="2085"/>
    <cellStyle name="Normal 5 9 2 2" xfId="7374"/>
    <cellStyle name="Normal 5 9 3" xfId="3415"/>
    <cellStyle name="Normal 5 9 3 2" xfId="8431"/>
    <cellStyle name="Normal 5 9 4" xfId="6490"/>
    <cellStyle name="Normal 5 9 5" xfId="9885"/>
    <cellStyle name="Normal 5 9 6" xfId="4967"/>
    <cellStyle name="Normal 5_Degree data" xfId="2652"/>
    <cellStyle name="Normal 50" xfId="66"/>
    <cellStyle name="Normal 51" xfId="67"/>
    <cellStyle name="Normal 52" xfId="62"/>
    <cellStyle name="Normal 53" xfId="84"/>
    <cellStyle name="Normal 54" xfId="85"/>
    <cellStyle name="Normal 55" xfId="86"/>
    <cellStyle name="Normal 56" xfId="116"/>
    <cellStyle name="Normal 57" xfId="69"/>
    <cellStyle name="Normal 57 10" xfId="447"/>
    <cellStyle name="Normal 57 10 2" xfId="953"/>
    <cellStyle name="Normal 57 10 2 2" xfId="1905"/>
    <cellStyle name="Normal 57 10 2 2 2" xfId="7194"/>
    <cellStyle name="Normal 57 10 2 3" xfId="3459"/>
    <cellStyle name="Normal 57 10 2 3 2" xfId="8475"/>
    <cellStyle name="Normal 57 10 2 4" xfId="6310"/>
    <cellStyle name="Normal 57 10 2 5" xfId="9929"/>
    <cellStyle name="Normal 57 10 2 6" xfId="4787"/>
    <cellStyle name="Normal 57 10 3" xfId="1178"/>
    <cellStyle name="Normal 57 10 3 2" xfId="2129"/>
    <cellStyle name="Normal 57 10 3 2 2" xfId="7418"/>
    <cellStyle name="Normal 57 10 3 3" xfId="3808"/>
    <cellStyle name="Normal 57 10 3 3 2" xfId="8823"/>
    <cellStyle name="Normal 57 10 3 4" xfId="6534"/>
    <cellStyle name="Normal 57 10 3 5" xfId="10277"/>
    <cellStyle name="Normal 57 10 3 6" xfId="5011"/>
    <cellStyle name="Normal 57 10 4" xfId="633"/>
    <cellStyle name="Normal 57 10 4 2" xfId="2621"/>
    <cellStyle name="Normal 57 10 4 2 2" xfId="7903"/>
    <cellStyle name="Normal 57 10 4 3" xfId="4284"/>
    <cellStyle name="Normal 57 10 4 3 2" xfId="9299"/>
    <cellStyle name="Normal 57 10 4 4" xfId="5991"/>
    <cellStyle name="Normal 57 10 4 5" xfId="10753"/>
    <cellStyle name="Normal 57 10 4 6" xfId="5497"/>
    <cellStyle name="Normal 57 10 5" xfId="1588"/>
    <cellStyle name="Normal 57 10 5 2" xfId="6877"/>
    <cellStyle name="Normal 57 10 6" xfId="3240"/>
    <cellStyle name="Normal 57 10 6 2" xfId="8256"/>
    <cellStyle name="Normal 57 10 7" xfId="5817"/>
    <cellStyle name="Normal 57 10 8" xfId="9710"/>
    <cellStyle name="Normal 57 10 9" xfId="4470"/>
    <cellStyle name="Normal 57 10_Degree data" xfId="2751"/>
    <cellStyle name="Normal 57 11" xfId="283"/>
    <cellStyle name="Normal 57 11 2" xfId="1179"/>
    <cellStyle name="Normal 57 11 2 2" xfId="2130"/>
    <cellStyle name="Normal 57 11 2 2 2" xfId="7419"/>
    <cellStyle name="Normal 57 11 2 3" xfId="3460"/>
    <cellStyle name="Normal 57 11 2 3 2" xfId="8476"/>
    <cellStyle name="Normal 57 11 2 4" xfId="6535"/>
    <cellStyle name="Normal 57 11 2 5" xfId="9930"/>
    <cellStyle name="Normal 57 11 2 6" xfId="5012"/>
    <cellStyle name="Normal 57 11 3" xfId="792"/>
    <cellStyle name="Normal 57 11 3 2" xfId="2460"/>
    <cellStyle name="Normal 57 11 3 2 2" xfId="7742"/>
    <cellStyle name="Normal 57 11 3 3" xfId="3809"/>
    <cellStyle name="Normal 57 11 3 3 2" xfId="8824"/>
    <cellStyle name="Normal 57 11 3 4" xfId="6149"/>
    <cellStyle name="Normal 57 11 3 5" xfId="10278"/>
    <cellStyle name="Normal 57 11 3 6" xfId="5336"/>
    <cellStyle name="Normal 57 11 4" xfId="1744"/>
    <cellStyle name="Normal 57 11 4 2" xfId="4123"/>
    <cellStyle name="Normal 57 11 4 2 2" xfId="9138"/>
    <cellStyle name="Normal 57 11 4 3" xfId="10592"/>
    <cellStyle name="Normal 57 11 4 4" xfId="7033"/>
    <cellStyle name="Normal 57 11 5" xfId="3079"/>
    <cellStyle name="Normal 57 11 5 2" xfId="8095"/>
    <cellStyle name="Normal 57 11 6" xfId="5656"/>
    <cellStyle name="Normal 57 11 7" xfId="9549"/>
    <cellStyle name="Normal 57 11 8" xfId="4626"/>
    <cellStyle name="Normal 57 11_Degree data" xfId="2752"/>
    <cellStyle name="Normal 57 12" xfId="647"/>
    <cellStyle name="Normal 57 12 2" xfId="1180"/>
    <cellStyle name="Normal 57 12 2 2" xfId="2131"/>
    <cellStyle name="Normal 57 12 2 2 2" xfId="7420"/>
    <cellStyle name="Normal 57 12 2 3" xfId="3461"/>
    <cellStyle name="Normal 57 12 2 3 2" xfId="8477"/>
    <cellStyle name="Normal 57 12 2 4" xfId="6536"/>
    <cellStyle name="Normal 57 12 2 5" xfId="9931"/>
    <cellStyle name="Normal 57 12 2 6" xfId="5013"/>
    <cellStyle name="Normal 57 12 3" xfId="1392"/>
    <cellStyle name="Normal 57 12 3 2" xfId="2315"/>
    <cellStyle name="Normal 57 12 3 2 2" xfId="7597"/>
    <cellStyle name="Normal 57 12 3 3" xfId="3810"/>
    <cellStyle name="Normal 57 12 3 3 2" xfId="8825"/>
    <cellStyle name="Normal 57 12 3 4" xfId="6688"/>
    <cellStyle name="Normal 57 12 3 5" xfId="10279"/>
    <cellStyle name="Normal 57 12 3 6" xfId="5191"/>
    <cellStyle name="Normal 57 12 4" xfId="1599"/>
    <cellStyle name="Normal 57 12 4 2" xfId="3978"/>
    <cellStyle name="Normal 57 12 4 2 2" xfId="8993"/>
    <cellStyle name="Normal 57 12 4 3" xfId="10447"/>
    <cellStyle name="Normal 57 12 4 4" xfId="6888"/>
    <cellStyle name="Normal 57 12 5" xfId="2932"/>
    <cellStyle name="Normal 57 12 5 2" xfId="7948"/>
    <cellStyle name="Normal 57 12 6" xfId="6004"/>
    <cellStyle name="Normal 57 12 7" xfId="9404"/>
    <cellStyle name="Normal 57 12 8" xfId="4481"/>
    <cellStyle name="Normal 57 12_Degree data" xfId="2753"/>
    <cellStyle name="Normal 57 13" xfId="1177"/>
    <cellStyle name="Normal 57 13 2" xfId="2128"/>
    <cellStyle name="Normal 57 13 2 2" xfId="7417"/>
    <cellStyle name="Normal 57 13 3" xfId="3458"/>
    <cellStyle name="Normal 57 13 3 2" xfId="8474"/>
    <cellStyle name="Normal 57 13 4" xfId="6533"/>
    <cellStyle name="Normal 57 13 5" xfId="9928"/>
    <cellStyle name="Normal 57 13 6" xfId="5010"/>
    <cellStyle name="Normal 57 14" xfId="461"/>
    <cellStyle name="Normal 57 14 2" xfId="2285"/>
    <cellStyle name="Normal 57 14 2 2" xfId="7567"/>
    <cellStyle name="Normal 57 14 3" xfId="3807"/>
    <cellStyle name="Normal 57 14 3 2" xfId="8822"/>
    <cellStyle name="Normal 57 14 4" xfId="5828"/>
    <cellStyle name="Normal 57 14 5" xfId="10276"/>
    <cellStyle name="Normal 57 14 6" xfId="5161"/>
    <cellStyle name="Normal 57 15" xfId="1422"/>
    <cellStyle name="Normal 57 15 2" xfId="3948"/>
    <cellStyle name="Normal 57 15 2 2" xfId="8963"/>
    <cellStyle name="Normal 57 15 3" xfId="10417"/>
    <cellStyle name="Normal 57 15 4" xfId="6715"/>
    <cellStyle name="Normal 57 16" xfId="2901"/>
    <cellStyle name="Normal 57 16 2" xfId="9374"/>
    <cellStyle name="Normal 57 16 3" xfId="7917"/>
    <cellStyle name="Normal 57 17" xfId="5511"/>
    <cellStyle name="Normal 57 18" xfId="9331"/>
    <cellStyle name="Normal 57 19" xfId="4309"/>
    <cellStyle name="Normal 57 2" xfId="110"/>
    <cellStyle name="Normal 57 3" xfId="100"/>
    <cellStyle name="Normal 57 3 10" xfId="1437"/>
    <cellStyle name="Normal 57 3 10 2" xfId="3952"/>
    <cellStyle name="Normal 57 3 10 2 2" xfId="8967"/>
    <cellStyle name="Normal 57 3 10 3" xfId="10421"/>
    <cellStyle name="Normal 57 3 10 4" xfId="6728"/>
    <cellStyle name="Normal 57 3 11" xfId="2905"/>
    <cellStyle name="Normal 57 3 11 2" xfId="9378"/>
    <cellStyle name="Normal 57 3 11 3" xfId="7921"/>
    <cellStyle name="Normal 57 3 12" xfId="5517"/>
    <cellStyle name="Normal 57 3 13" xfId="9338"/>
    <cellStyle name="Normal 57 3 14" xfId="4322"/>
    <cellStyle name="Normal 57 3 2" xfId="158"/>
    <cellStyle name="Normal 57 3 2 10" xfId="5542"/>
    <cellStyle name="Normal 57 3 2 11" xfId="9360"/>
    <cellStyle name="Normal 57 3 2 12" xfId="4352"/>
    <cellStyle name="Normal 57 3 2 2" xfId="269"/>
    <cellStyle name="Normal 57 3 2 2 10" xfId="4395"/>
    <cellStyle name="Normal 57 3 2 2 2" xfId="371"/>
    <cellStyle name="Normal 57 3 2 2 2 2" xfId="1184"/>
    <cellStyle name="Normal 57 3 2 2 2 2 2" xfId="2135"/>
    <cellStyle name="Normal 57 3 2 2 2 2 2 2" xfId="7424"/>
    <cellStyle name="Normal 57 3 2 2 2 2 3" xfId="3465"/>
    <cellStyle name="Normal 57 3 2 2 2 2 3 2" xfId="8481"/>
    <cellStyle name="Normal 57 3 2 2 2 2 4" xfId="6540"/>
    <cellStyle name="Normal 57 3 2 2 2 2 5" xfId="9935"/>
    <cellStyle name="Normal 57 3 2 2 2 2 6" xfId="5017"/>
    <cellStyle name="Normal 57 3 2 2 2 3" xfId="878"/>
    <cellStyle name="Normal 57 3 2 2 2 3 2" xfId="2546"/>
    <cellStyle name="Normal 57 3 2 2 2 3 2 2" xfId="7828"/>
    <cellStyle name="Normal 57 3 2 2 2 3 3" xfId="3814"/>
    <cellStyle name="Normal 57 3 2 2 2 3 3 2" xfId="8829"/>
    <cellStyle name="Normal 57 3 2 2 2 3 4" xfId="6235"/>
    <cellStyle name="Normal 57 3 2 2 2 3 5" xfId="10283"/>
    <cellStyle name="Normal 57 3 2 2 2 3 6" xfId="5422"/>
    <cellStyle name="Normal 57 3 2 2 2 4" xfId="1830"/>
    <cellStyle name="Normal 57 3 2 2 2 4 2" xfId="4209"/>
    <cellStyle name="Normal 57 3 2 2 2 4 2 2" xfId="9224"/>
    <cellStyle name="Normal 57 3 2 2 2 4 3" xfId="10678"/>
    <cellStyle name="Normal 57 3 2 2 2 4 4" xfId="7119"/>
    <cellStyle name="Normal 57 3 2 2 2 5" xfId="3165"/>
    <cellStyle name="Normal 57 3 2 2 2 5 2" xfId="8181"/>
    <cellStyle name="Normal 57 3 2 2 2 6" xfId="5742"/>
    <cellStyle name="Normal 57 3 2 2 2 7" xfId="9635"/>
    <cellStyle name="Normal 57 3 2 2 2 8" xfId="4712"/>
    <cellStyle name="Normal 57 3 2 2 2_Degree data" xfId="2757"/>
    <cellStyle name="Normal 57 3 2 2 3" xfId="778"/>
    <cellStyle name="Normal 57 3 2 2 3 2" xfId="1730"/>
    <cellStyle name="Normal 57 3 2 2 3 2 2" xfId="7019"/>
    <cellStyle name="Normal 57 3 2 2 3 3" xfId="3464"/>
    <cellStyle name="Normal 57 3 2 2 3 3 2" xfId="8480"/>
    <cellStyle name="Normal 57 3 2 2 3 4" xfId="6135"/>
    <cellStyle name="Normal 57 3 2 2 3 5" xfId="9934"/>
    <cellStyle name="Normal 57 3 2 2 3 6" xfId="4612"/>
    <cellStyle name="Normal 57 3 2 2 4" xfId="1183"/>
    <cellStyle name="Normal 57 3 2 2 4 2" xfId="2134"/>
    <cellStyle name="Normal 57 3 2 2 4 2 2" xfId="7423"/>
    <cellStyle name="Normal 57 3 2 2 4 3" xfId="3813"/>
    <cellStyle name="Normal 57 3 2 2 4 3 2" xfId="8828"/>
    <cellStyle name="Normal 57 3 2 2 4 4" xfId="6539"/>
    <cellStyle name="Normal 57 3 2 2 4 5" xfId="10282"/>
    <cellStyle name="Normal 57 3 2 2 4 6" xfId="5016"/>
    <cellStyle name="Normal 57 3 2 2 5" xfId="558"/>
    <cellStyle name="Normal 57 3 2 2 5 2" xfId="2446"/>
    <cellStyle name="Normal 57 3 2 2 5 2 2" xfId="7728"/>
    <cellStyle name="Normal 57 3 2 2 5 3" xfId="4109"/>
    <cellStyle name="Normal 57 3 2 2 5 3 2" xfId="9124"/>
    <cellStyle name="Normal 57 3 2 2 5 4" xfId="5916"/>
    <cellStyle name="Normal 57 3 2 2 5 5" xfId="10578"/>
    <cellStyle name="Normal 57 3 2 2 5 6" xfId="5322"/>
    <cellStyle name="Normal 57 3 2 2 6" xfId="1513"/>
    <cellStyle name="Normal 57 3 2 2 6 2" xfId="6802"/>
    <cellStyle name="Normal 57 3 2 2 7" xfId="3065"/>
    <cellStyle name="Normal 57 3 2 2 7 2" xfId="8081"/>
    <cellStyle name="Normal 57 3 2 2 8" xfId="5642"/>
    <cellStyle name="Normal 57 3 2 2 9" xfId="9535"/>
    <cellStyle name="Normal 57 3 2 2_Degree data" xfId="2756"/>
    <cellStyle name="Normal 57 3 2 3" xfId="224"/>
    <cellStyle name="Normal 57 3 2 3 10" xfId="4456"/>
    <cellStyle name="Normal 57 3 2 3 2" xfId="433"/>
    <cellStyle name="Normal 57 3 2 3 2 2" xfId="1186"/>
    <cellStyle name="Normal 57 3 2 3 2 2 2" xfId="2137"/>
    <cellStyle name="Normal 57 3 2 3 2 2 2 2" xfId="7426"/>
    <cellStyle name="Normal 57 3 2 3 2 2 3" xfId="3467"/>
    <cellStyle name="Normal 57 3 2 3 2 2 3 2" xfId="8483"/>
    <cellStyle name="Normal 57 3 2 3 2 2 4" xfId="6542"/>
    <cellStyle name="Normal 57 3 2 3 2 2 5" xfId="9937"/>
    <cellStyle name="Normal 57 3 2 3 2 2 6" xfId="5019"/>
    <cellStyle name="Normal 57 3 2 3 2 3" xfId="939"/>
    <cellStyle name="Normal 57 3 2 3 2 3 2" xfId="2607"/>
    <cellStyle name="Normal 57 3 2 3 2 3 2 2" xfId="7889"/>
    <cellStyle name="Normal 57 3 2 3 2 3 3" xfId="3816"/>
    <cellStyle name="Normal 57 3 2 3 2 3 3 2" xfId="8831"/>
    <cellStyle name="Normal 57 3 2 3 2 3 4" xfId="6296"/>
    <cellStyle name="Normal 57 3 2 3 2 3 5" xfId="10285"/>
    <cellStyle name="Normal 57 3 2 3 2 3 6" xfId="5483"/>
    <cellStyle name="Normal 57 3 2 3 2 4" xfId="1891"/>
    <cellStyle name="Normal 57 3 2 3 2 4 2" xfId="4270"/>
    <cellStyle name="Normal 57 3 2 3 2 4 2 2" xfId="9285"/>
    <cellStyle name="Normal 57 3 2 3 2 4 3" xfId="10739"/>
    <cellStyle name="Normal 57 3 2 3 2 4 4" xfId="7180"/>
    <cellStyle name="Normal 57 3 2 3 2 5" xfId="3226"/>
    <cellStyle name="Normal 57 3 2 3 2 5 2" xfId="8242"/>
    <cellStyle name="Normal 57 3 2 3 2 6" xfId="5803"/>
    <cellStyle name="Normal 57 3 2 3 2 7" xfId="9696"/>
    <cellStyle name="Normal 57 3 2 3 2 8" xfId="4773"/>
    <cellStyle name="Normal 57 3 2 3 2_Degree data" xfId="2759"/>
    <cellStyle name="Normal 57 3 2 3 3" xfId="735"/>
    <cellStyle name="Normal 57 3 2 3 3 2" xfId="1687"/>
    <cellStyle name="Normal 57 3 2 3 3 2 2" xfId="6976"/>
    <cellStyle name="Normal 57 3 2 3 3 3" xfId="3466"/>
    <cellStyle name="Normal 57 3 2 3 3 3 2" xfId="8482"/>
    <cellStyle name="Normal 57 3 2 3 3 4" xfId="6092"/>
    <cellStyle name="Normal 57 3 2 3 3 5" xfId="9936"/>
    <cellStyle name="Normal 57 3 2 3 3 6" xfId="4569"/>
    <cellStyle name="Normal 57 3 2 3 4" xfId="1185"/>
    <cellStyle name="Normal 57 3 2 3 4 2" xfId="2136"/>
    <cellStyle name="Normal 57 3 2 3 4 2 2" xfId="7425"/>
    <cellStyle name="Normal 57 3 2 3 4 3" xfId="3815"/>
    <cellStyle name="Normal 57 3 2 3 4 3 2" xfId="8830"/>
    <cellStyle name="Normal 57 3 2 3 4 4" xfId="6541"/>
    <cellStyle name="Normal 57 3 2 3 4 5" xfId="10284"/>
    <cellStyle name="Normal 57 3 2 3 4 6" xfId="5018"/>
    <cellStyle name="Normal 57 3 2 3 5" xfId="619"/>
    <cellStyle name="Normal 57 3 2 3 5 2" xfId="2403"/>
    <cellStyle name="Normal 57 3 2 3 5 2 2" xfId="7685"/>
    <cellStyle name="Normal 57 3 2 3 5 3" xfId="4066"/>
    <cellStyle name="Normal 57 3 2 3 5 3 2" xfId="9081"/>
    <cellStyle name="Normal 57 3 2 3 5 4" xfId="5977"/>
    <cellStyle name="Normal 57 3 2 3 5 5" xfId="10535"/>
    <cellStyle name="Normal 57 3 2 3 5 6" xfId="5279"/>
    <cellStyle name="Normal 57 3 2 3 6" xfId="1574"/>
    <cellStyle name="Normal 57 3 2 3 6 2" xfId="6863"/>
    <cellStyle name="Normal 57 3 2 3 7" xfId="3022"/>
    <cellStyle name="Normal 57 3 2 3 7 2" xfId="8038"/>
    <cellStyle name="Normal 57 3 2 3 8" xfId="5599"/>
    <cellStyle name="Normal 57 3 2 3 9" xfId="9492"/>
    <cellStyle name="Normal 57 3 2 3_Degree data" xfId="2758"/>
    <cellStyle name="Normal 57 3 2 4" xfId="326"/>
    <cellStyle name="Normal 57 3 2 4 2" xfId="1187"/>
    <cellStyle name="Normal 57 3 2 4 2 2" xfId="2138"/>
    <cellStyle name="Normal 57 3 2 4 2 2 2" xfId="7427"/>
    <cellStyle name="Normal 57 3 2 4 2 3" xfId="3468"/>
    <cellStyle name="Normal 57 3 2 4 2 3 2" xfId="8484"/>
    <cellStyle name="Normal 57 3 2 4 2 4" xfId="6543"/>
    <cellStyle name="Normal 57 3 2 4 2 5" xfId="9938"/>
    <cellStyle name="Normal 57 3 2 4 2 6" xfId="5020"/>
    <cellStyle name="Normal 57 3 2 4 3" xfId="835"/>
    <cellStyle name="Normal 57 3 2 4 3 2" xfId="2503"/>
    <cellStyle name="Normal 57 3 2 4 3 2 2" xfId="7785"/>
    <cellStyle name="Normal 57 3 2 4 3 3" xfId="3817"/>
    <cellStyle name="Normal 57 3 2 4 3 3 2" xfId="8832"/>
    <cellStyle name="Normal 57 3 2 4 3 4" xfId="6192"/>
    <cellStyle name="Normal 57 3 2 4 3 5" xfId="10286"/>
    <cellStyle name="Normal 57 3 2 4 3 6" xfId="5379"/>
    <cellStyle name="Normal 57 3 2 4 4" xfId="1787"/>
    <cellStyle name="Normal 57 3 2 4 4 2" xfId="4166"/>
    <cellStyle name="Normal 57 3 2 4 4 2 2" xfId="9181"/>
    <cellStyle name="Normal 57 3 2 4 4 3" xfId="10635"/>
    <cellStyle name="Normal 57 3 2 4 4 4" xfId="7076"/>
    <cellStyle name="Normal 57 3 2 4 5" xfId="3122"/>
    <cellStyle name="Normal 57 3 2 4 5 2" xfId="8138"/>
    <cellStyle name="Normal 57 3 2 4 6" xfId="5699"/>
    <cellStyle name="Normal 57 3 2 4 7" xfId="9592"/>
    <cellStyle name="Normal 57 3 2 4 8" xfId="4669"/>
    <cellStyle name="Normal 57 3 2 4_Degree data" xfId="2760"/>
    <cellStyle name="Normal 57 3 2 5" xfId="678"/>
    <cellStyle name="Normal 57 3 2 5 2" xfId="1188"/>
    <cellStyle name="Normal 57 3 2 5 2 2" xfId="2139"/>
    <cellStyle name="Normal 57 3 2 5 2 2 2" xfId="7428"/>
    <cellStyle name="Normal 57 3 2 5 2 3" xfId="3469"/>
    <cellStyle name="Normal 57 3 2 5 2 3 2" xfId="8485"/>
    <cellStyle name="Normal 57 3 2 5 2 4" xfId="6544"/>
    <cellStyle name="Normal 57 3 2 5 2 5" xfId="9939"/>
    <cellStyle name="Normal 57 3 2 5 2 6" xfId="5021"/>
    <cellStyle name="Normal 57 3 2 5 3" xfId="1408"/>
    <cellStyle name="Normal 57 3 2 5 3 2" xfId="2346"/>
    <cellStyle name="Normal 57 3 2 5 3 2 2" xfId="7628"/>
    <cellStyle name="Normal 57 3 2 5 3 3" xfId="3818"/>
    <cellStyle name="Normal 57 3 2 5 3 3 2" xfId="8833"/>
    <cellStyle name="Normal 57 3 2 5 3 4" xfId="6704"/>
    <cellStyle name="Normal 57 3 2 5 3 5" xfId="10287"/>
    <cellStyle name="Normal 57 3 2 5 3 6" xfId="5222"/>
    <cellStyle name="Normal 57 3 2 5 4" xfId="1630"/>
    <cellStyle name="Normal 57 3 2 5 4 2" xfId="4009"/>
    <cellStyle name="Normal 57 3 2 5 4 2 2" xfId="9024"/>
    <cellStyle name="Normal 57 3 2 5 4 3" xfId="10478"/>
    <cellStyle name="Normal 57 3 2 5 4 4" xfId="6919"/>
    <cellStyle name="Normal 57 3 2 5 5" xfId="2963"/>
    <cellStyle name="Normal 57 3 2 5 5 2" xfId="7979"/>
    <cellStyle name="Normal 57 3 2 5 6" xfId="6035"/>
    <cellStyle name="Normal 57 3 2 5 7" xfId="9435"/>
    <cellStyle name="Normal 57 3 2 5 8" xfId="4512"/>
    <cellStyle name="Normal 57 3 2 5_Degree data" xfId="2761"/>
    <cellStyle name="Normal 57 3 2 6" xfId="1182"/>
    <cellStyle name="Normal 57 3 2 6 2" xfId="2133"/>
    <cellStyle name="Normal 57 3 2 6 2 2" xfId="7422"/>
    <cellStyle name="Normal 57 3 2 6 3" xfId="3463"/>
    <cellStyle name="Normal 57 3 2 6 3 2" xfId="8479"/>
    <cellStyle name="Normal 57 3 2 6 4" xfId="6538"/>
    <cellStyle name="Normal 57 3 2 6 5" xfId="9933"/>
    <cellStyle name="Normal 57 3 2 6 6" xfId="5015"/>
    <cellStyle name="Normal 57 3 2 7" xfId="512"/>
    <cellStyle name="Normal 57 3 2 7 2" xfId="2301"/>
    <cellStyle name="Normal 57 3 2 7 2 2" xfId="7583"/>
    <cellStyle name="Normal 57 3 2 7 3" xfId="3812"/>
    <cellStyle name="Normal 57 3 2 7 3 2" xfId="8827"/>
    <cellStyle name="Normal 57 3 2 7 4" xfId="5873"/>
    <cellStyle name="Normal 57 3 2 7 5" xfId="10281"/>
    <cellStyle name="Normal 57 3 2 7 6" xfId="5177"/>
    <cellStyle name="Normal 57 3 2 8" xfId="1470"/>
    <cellStyle name="Normal 57 3 2 8 2" xfId="3964"/>
    <cellStyle name="Normal 57 3 2 8 2 2" xfId="8979"/>
    <cellStyle name="Normal 57 3 2 8 3" xfId="10433"/>
    <cellStyle name="Normal 57 3 2 8 4" xfId="6759"/>
    <cellStyle name="Normal 57 3 2 9" xfId="2918"/>
    <cellStyle name="Normal 57 3 2 9 2" xfId="9390"/>
    <cellStyle name="Normal 57 3 2 9 3" xfId="7934"/>
    <cellStyle name="Normal 57 3 2_Degree data" xfId="2755"/>
    <cellStyle name="Normal 57 3 3" xfId="135"/>
    <cellStyle name="Normal 57 3 3 10" xfId="5528"/>
    <cellStyle name="Normal 57 3 3 11" xfId="9348"/>
    <cellStyle name="Normal 57 3 3 12" xfId="4340"/>
    <cellStyle name="Normal 57 3 3 2" xfId="256"/>
    <cellStyle name="Normal 57 3 3 2 10" xfId="4383"/>
    <cellStyle name="Normal 57 3 3 2 2" xfId="358"/>
    <cellStyle name="Normal 57 3 3 2 2 2" xfId="1191"/>
    <cellStyle name="Normal 57 3 3 2 2 2 2" xfId="2142"/>
    <cellStyle name="Normal 57 3 3 2 2 2 2 2" xfId="7431"/>
    <cellStyle name="Normal 57 3 3 2 2 2 3" xfId="3472"/>
    <cellStyle name="Normal 57 3 3 2 2 2 3 2" xfId="8488"/>
    <cellStyle name="Normal 57 3 3 2 2 2 4" xfId="6547"/>
    <cellStyle name="Normal 57 3 3 2 2 2 5" xfId="9942"/>
    <cellStyle name="Normal 57 3 3 2 2 2 6" xfId="5024"/>
    <cellStyle name="Normal 57 3 3 2 2 3" xfId="866"/>
    <cellStyle name="Normal 57 3 3 2 2 3 2" xfId="2534"/>
    <cellStyle name="Normal 57 3 3 2 2 3 2 2" xfId="7816"/>
    <cellStyle name="Normal 57 3 3 2 2 3 3" xfId="3821"/>
    <cellStyle name="Normal 57 3 3 2 2 3 3 2" xfId="8836"/>
    <cellStyle name="Normal 57 3 3 2 2 3 4" xfId="6223"/>
    <cellStyle name="Normal 57 3 3 2 2 3 5" xfId="10290"/>
    <cellStyle name="Normal 57 3 3 2 2 3 6" xfId="5410"/>
    <cellStyle name="Normal 57 3 3 2 2 4" xfId="1818"/>
    <cellStyle name="Normal 57 3 3 2 2 4 2" xfId="4197"/>
    <cellStyle name="Normal 57 3 3 2 2 4 2 2" xfId="9212"/>
    <cellStyle name="Normal 57 3 3 2 2 4 3" xfId="10666"/>
    <cellStyle name="Normal 57 3 3 2 2 4 4" xfId="7107"/>
    <cellStyle name="Normal 57 3 3 2 2 5" xfId="3153"/>
    <cellStyle name="Normal 57 3 3 2 2 5 2" xfId="8169"/>
    <cellStyle name="Normal 57 3 3 2 2 6" xfId="5730"/>
    <cellStyle name="Normal 57 3 3 2 2 7" xfId="9623"/>
    <cellStyle name="Normal 57 3 3 2 2 8" xfId="4700"/>
    <cellStyle name="Normal 57 3 3 2 2_Degree data" xfId="2764"/>
    <cellStyle name="Normal 57 3 3 2 3" xfId="766"/>
    <cellStyle name="Normal 57 3 3 2 3 2" xfId="1718"/>
    <cellStyle name="Normal 57 3 3 2 3 2 2" xfId="7007"/>
    <cellStyle name="Normal 57 3 3 2 3 3" xfId="3471"/>
    <cellStyle name="Normal 57 3 3 2 3 3 2" xfId="8487"/>
    <cellStyle name="Normal 57 3 3 2 3 4" xfId="6123"/>
    <cellStyle name="Normal 57 3 3 2 3 5" xfId="9941"/>
    <cellStyle name="Normal 57 3 3 2 3 6" xfId="4600"/>
    <cellStyle name="Normal 57 3 3 2 4" xfId="1190"/>
    <cellStyle name="Normal 57 3 3 2 4 2" xfId="2141"/>
    <cellStyle name="Normal 57 3 3 2 4 2 2" xfId="7430"/>
    <cellStyle name="Normal 57 3 3 2 4 3" xfId="3820"/>
    <cellStyle name="Normal 57 3 3 2 4 3 2" xfId="8835"/>
    <cellStyle name="Normal 57 3 3 2 4 4" xfId="6546"/>
    <cellStyle name="Normal 57 3 3 2 4 5" xfId="10289"/>
    <cellStyle name="Normal 57 3 3 2 4 6" xfId="5023"/>
    <cellStyle name="Normal 57 3 3 2 5" xfId="545"/>
    <cellStyle name="Normal 57 3 3 2 5 2" xfId="2434"/>
    <cellStyle name="Normal 57 3 3 2 5 2 2" xfId="7716"/>
    <cellStyle name="Normal 57 3 3 2 5 3" xfId="4097"/>
    <cellStyle name="Normal 57 3 3 2 5 3 2" xfId="9112"/>
    <cellStyle name="Normal 57 3 3 2 5 4" xfId="5904"/>
    <cellStyle name="Normal 57 3 3 2 5 5" xfId="10566"/>
    <cellStyle name="Normal 57 3 3 2 5 6" xfId="5310"/>
    <cellStyle name="Normal 57 3 3 2 6" xfId="1501"/>
    <cellStyle name="Normal 57 3 3 2 6 2" xfId="6790"/>
    <cellStyle name="Normal 57 3 3 2 7" xfId="3053"/>
    <cellStyle name="Normal 57 3 3 2 7 2" xfId="8069"/>
    <cellStyle name="Normal 57 3 3 2 8" xfId="5630"/>
    <cellStyle name="Normal 57 3 3 2 9" xfId="9523"/>
    <cellStyle name="Normal 57 3 3 2_Degree data" xfId="2763"/>
    <cellStyle name="Normal 57 3 3 3" xfId="211"/>
    <cellStyle name="Normal 57 3 3 3 10" xfId="4445"/>
    <cellStyle name="Normal 57 3 3 3 2" xfId="422"/>
    <cellStyle name="Normal 57 3 3 3 2 2" xfId="1193"/>
    <cellStyle name="Normal 57 3 3 3 2 2 2" xfId="2144"/>
    <cellStyle name="Normal 57 3 3 3 2 2 2 2" xfId="7433"/>
    <cellStyle name="Normal 57 3 3 3 2 2 3" xfId="3474"/>
    <cellStyle name="Normal 57 3 3 3 2 2 3 2" xfId="8490"/>
    <cellStyle name="Normal 57 3 3 3 2 2 4" xfId="6549"/>
    <cellStyle name="Normal 57 3 3 3 2 2 5" xfId="9944"/>
    <cellStyle name="Normal 57 3 3 3 2 2 6" xfId="5026"/>
    <cellStyle name="Normal 57 3 3 3 2 3" xfId="928"/>
    <cellStyle name="Normal 57 3 3 3 2 3 2" xfId="2596"/>
    <cellStyle name="Normal 57 3 3 3 2 3 2 2" xfId="7878"/>
    <cellStyle name="Normal 57 3 3 3 2 3 3" xfId="3823"/>
    <cellStyle name="Normal 57 3 3 3 2 3 3 2" xfId="8838"/>
    <cellStyle name="Normal 57 3 3 3 2 3 4" xfId="6285"/>
    <cellStyle name="Normal 57 3 3 3 2 3 5" xfId="10292"/>
    <cellStyle name="Normal 57 3 3 3 2 3 6" xfId="5472"/>
    <cellStyle name="Normal 57 3 3 3 2 4" xfId="1880"/>
    <cellStyle name="Normal 57 3 3 3 2 4 2" xfId="4259"/>
    <cellStyle name="Normal 57 3 3 3 2 4 2 2" xfId="9274"/>
    <cellStyle name="Normal 57 3 3 3 2 4 3" xfId="10728"/>
    <cellStyle name="Normal 57 3 3 3 2 4 4" xfId="7169"/>
    <cellStyle name="Normal 57 3 3 3 2 5" xfId="3215"/>
    <cellStyle name="Normal 57 3 3 3 2 5 2" xfId="8231"/>
    <cellStyle name="Normal 57 3 3 3 2 6" xfId="5792"/>
    <cellStyle name="Normal 57 3 3 3 2 7" xfId="9685"/>
    <cellStyle name="Normal 57 3 3 3 2 8" xfId="4762"/>
    <cellStyle name="Normal 57 3 3 3 2_Degree data" xfId="2766"/>
    <cellStyle name="Normal 57 3 3 3 3" xfId="723"/>
    <cellStyle name="Normal 57 3 3 3 3 2" xfId="1675"/>
    <cellStyle name="Normal 57 3 3 3 3 2 2" xfId="6964"/>
    <cellStyle name="Normal 57 3 3 3 3 3" xfId="3473"/>
    <cellStyle name="Normal 57 3 3 3 3 3 2" xfId="8489"/>
    <cellStyle name="Normal 57 3 3 3 3 4" xfId="6080"/>
    <cellStyle name="Normal 57 3 3 3 3 5" xfId="9943"/>
    <cellStyle name="Normal 57 3 3 3 3 6" xfId="4557"/>
    <cellStyle name="Normal 57 3 3 3 4" xfId="1192"/>
    <cellStyle name="Normal 57 3 3 3 4 2" xfId="2143"/>
    <cellStyle name="Normal 57 3 3 3 4 2 2" xfId="7432"/>
    <cellStyle name="Normal 57 3 3 3 4 3" xfId="3822"/>
    <cellStyle name="Normal 57 3 3 3 4 3 2" xfId="8837"/>
    <cellStyle name="Normal 57 3 3 3 4 4" xfId="6548"/>
    <cellStyle name="Normal 57 3 3 3 4 5" xfId="10291"/>
    <cellStyle name="Normal 57 3 3 3 4 6" xfId="5025"/>
    <cellStyle name="Normal 57 3 3 3 5" xfId="608"/>
    <cellStyle name="Normal 57 3 3 3 5 2" xfId="2391"/>
    <cellStyle name="Normal 57 3 3 3 5 2 2" xfId="7673"/>
    <cellStyle name="Normal 57 3 3 3 5 3" xfId="4054"/>
    <cellStyle name="Normal 57 3 3 3 5 3 2" xfId="9069"/>
    <cellStyle name="Normal 57 3 3 3 5 4" xfId="5966"/>
    <cellStyle name="Normal 57 3 3 3 5 5" xfId="10523"/>
    <cellStyle name="Normal 57 3 3 3 5 6" xfId="5267"/>
    <cellStyle name="Normal 57 3 3 3 6" xfId="1563"/>
    <cellStyle name="Normal 57 3 3 3 6 2" xfId="6852"/>
    <cellStyle name="Normal 57 3 3 3 7" xfId="3010"/>
    <cellStyle name="Normal 57 3 3 3 7 2" xfId="8026"/>
    <cellStyle name="Normal 57 3 3 3 8" xfId="5587"/>
    <cellStyle name="Normal 57 3 3 3 9" xfId="9480"/>
    <cellStyle name="Normal 57 3 3 3_Degree data" xfId="2765"/>
    <cellStyle name="Normal 57 3 3 4" xfId="314"/>
    <cellStyle name="Normal 57 3 3 4 2" xfId="1194"/>
    <cellStyle name="Normal 57 3 3 4 2 2" xfId="2145"/>
    <cellStyle name="Normal 57 3 3 4 2 2 2" xfId="7434"/>
    <cellStyle name="Normal 57 3 3 4 2 3" xfId="3475"/>
    <cellStyle name="Normal 57 3 3 4 2 3 2" xfId="8491"/>
    <cellStyle name="Normal 57 3 3 4 2 4" xfId="6550"/>
    <cellStyle name="Normal 57 3 3 4 2 5" xfId="9945"/>
    <cellStyle name="Normal 57 3 3 4 2 6" xfId="5027"/>
    <cellStyle name="Normal 57 3 3 4 3" xfId="823"/>
    <cellStyle name="Normal 57 3 3 4 3 2" xfId="2491"/>
    <cellStyle name="Normal 57 3 3 4 3 2 2" xfId="7773"/>
    <cellStyle name="Normal 57 3 3 4 3 3" xfId="3824"/>
    <cellStyle name="Normal 57 3 3 4 3 3 2" xfId="8839"/>
    <cellStyle name="Normal 57 3 3 4 3 4" xfId="6180"/>
    <cellStyle name="Normal 57 3 3 4 3 5" xfId="10293"/>
    <cellStyle name="Normal 57 3 3 4 3 6" xfId="5367"/>
    <cellStyle name="Normal 57 3 3 4 4" xfId="1775"/>
    <cellStyle name="Normal 57 3 3 4 4 2" xfId="4154"/>
    <cellStyle name="Normal 57 3 3 4 4 2 2" xfId="9169"/>
    <cellStyle name="Normal 57 3 3 4 4 3" xfId="10623"/>
    <cellStyle name="Normal 57 3 3 4 4 4" xfId="7064"/>
    <cellStyle name="Normal 57 3 3 4 5" xfId="3110"/>
    <cellStyle name="Normal 57 3 3 4 5 2" xfId="8126"/>
    <cellStyle name="Normal 57 3 3 4 6" xfId="5687"/>
    <cellStyle name="Normal 57 3 3 4 7" xfId="9580"/>
    <cellStyle name="Normal 57 3 3 4 8" xfId="4657"/>
    <cellStyle name="Normal 57 3 3 4_Degree data" xfId="2767"/>
    <cellStyle name="Normal 57 3 3 5" xfId="664"/>
    <cellStyle name="Normal 57 3 3 5 2" xfId="1616"/>
    <cellStyle name="Normal 57 3 3 5 2 2" xfId="6905"/>
    <cellStyle name="Normal 57 3 3 5 3" xfId="3470"/>
    <cellStyle name="Normal 57 3 3 5 3 2" xfId="8486"/>
    <cellStyle name="Normal 57 3 3 5 4" xfId="6021"/>
    <cellStyle name="Normal 57 3 3 5 5" xfId="9940"/>
    <cellStyle name="Normal 57 3 3 5 6" xfId="4498"/>
    <cellStyle name="Normal 57 3 3 6" xfId="1189"/>
    <cellStyle name="Normal 57 3 3 6 2" xfId="2140"/>
    <cellStyle name="Normal 57 3 3 6 2 2" xfId="7429"/>
    <cellStyle name="Normal 57 3 3 6 3" xfId="3819"/>
    <cellStyle name="Normal 57 3 3 6 3 2" xfId="8834"/>
    <cellStyle name="Normal 57 3 3 6 4" xfId="6545"/>
    <cellStyle name="Normal 57 3 3 6 5" xfId="10288"/>
    <cellStyle name="Normal 57 3 3 6 6" xfId="5022"/>
    <cellStyle name="Normal 57 3 3 7" xfId="499"/>
    <cellStyle name="Normal 57 3 3 7 2" xfId="2332"/>
    <cellStyle name="Normal 57 3 3 7 2 2" xfId="7614"/>
    <cellStyle name="Normal 57 3 3 7 3" xfId="3995"/>
    <cellStyle name="Normal 57 3 3 7 3 2" xfId="9010"/>
    <cellStyle name="Normal 57 3 3 7 4" xfId="5860"/>
    <cellStyle name="Normal 57 3 3 7 5" xfId="10464"/>
    <cellStyle name="Normal 57 3 3 7 6" xfId="5208"/>
    <cellStyle name="Normal 57 3 3 8" xfId="1458"/>
    <cellStyle name="Normal 57 3 3 8 2" xfId="9421"/>
    <cellStyle name="Normal 57 3 3 8 3" xfId="6747"/>
    <cellStyle name="Normal 57 3 3 9" xfId="2949"/>
    <cellStyle name="Normal 57 3 3 9 2" xfId="7965"/>
    <cellStyle name="Normal 57 3 3_Degree data" xfId="2762"/>
    <cellStyle name="Normal 57 3 4" xfId="250"/>
    <cellStyle name="Normal 57 3 4 10" xfId="4377"/>
    <cellStyle name="Normal 57 3 4 2" xfId="352"/>
    <cellStyle name="Normal 57 3 4 2 2" xfId="1196"/>
    <cellStyle name="Normal 57 3 4 2 2 2" xfId="2147"/>
    <cellStyle name="Normal 57 3 4 2 2 2 2" xfId="7436"/>
    <cellStyle name="Normal 57 3 4 2 2 3" xfId="3477"/>
    <cellStyle name="Normal 57 3 4 2 2 3 2" xfId="8493"/>
    <cellStyle name="Normal 57 3 4 2 2 4" xfId="6552"/>
    <cellStyle name="Normal 57 3 4 2 2 5" xfId="9947"/>
    <cellStyle name="Normal 57 3 4 2 2 6" xfId="5029"/>
    <cellStyle name="Normal 57 3 4 2 3" xfId="860"/>
    <cellStyle name="Normal 57 3 4 2 3 2" xfId="2528"/>
    <cellStyle name="Normal 57 3 4 2 3 2 2" xfId="7810"/>
    <cellStyle name="Normal 57 3 4 2 3 3" xfId="3826"/>
    <cellStyle name="Normal 57 3 4 2 3 3 2" xfId="8841"/>
    <cellStyle name="Normal 57 3 4 2 3 4" xfId="6217"/>
    <cellStyle name="Normal 57 3 4 2 3 5" xfId="10295"/>
    <cellStyle name="Normal 57 3 4 2 3 6" xfId="5404"/>
    <cellStyle name="Normal 57 3 4 2 4" xfId="1812"/>
    <cellStyle name="Normal 57 3 4 2 4 2" xfId="4191"/>
    <cellStyle name="Normal 57 3 4 2 4 2 2" xfId="9206"/>
    <cellStyle name="Normal 57 3 4 2 4 3" xfId="10660"/>
    <cellStyle name="Normal 57 3 4 2 4 4" xfId="7101"/>
    <cellStyle name="Normal 57 3 4 2 5" xfId="3147"/>
    <cellStyle name="Normal 57 3 4 2 5 2" xfId="8163"/>
    <cellStyle name="Normal 57 3 4 2 6" xfId="5724"/>
    <cellStyle name="Normal 57 3 4 2 7" xfId="9617"/>
    <cellStyle name="Normal 57 3 4 2 8" xfId="4694"/>
    <cellStyle name="Normal 57 3 4 2_Degree data" xfId="2769"/>
    <cellStyle name="Normal 57 3 4 3" xfId="760"/>
    <cellStyle name="Normal 57 3 4 3 2" xfId="1712"/>
    <cellStyle name="Normal 57 3 4 3 2 2" xfId="7001"/>
    <cellStyle name="Normal 57 3 4 3 3" xfId="3476"/>
    <cellStyle name="Normal 57 3 4 3 3 2" xfId="8492"/>
    <cellStyle name="Normal 57 3 4 3 4" xfId="6117"/>
    <cellStyle name="Normal 57 3 4 3 5" xfId="9946"/>
    <cellStyle name="Normal 57 3 4 3 6" xfId="4594"/>
    <cellStyle name="Normal 57 3 4 4" xfId="1195"/>
    <cellStyle name="Normal 57 3 4 4 2" xfId="2146"/>
    <cellStyle name="Normal 57 3 4 4 2 2" xfId="7435"/>
    <cellStyle name="Normal 57 3 4 4 3" xfId="3825"/>
    <cellStyle name="Normal 57 3 4 4 3 2" xfId="8840"/>
    <cellStyle name="Normal 57 3 4 4 4" xfId="6551"/>
    <cellStyle name="Normal 57 3 4 4 5" xfId="10294"/>
    <cellStyle name="Normal 57 3 4 4 6" xfId="5028"/>
    <cellStyle name="Normal 57 3 4 5" xfId="539"/>
    <cellStyle name="Normal 57 3 4 5 2" xfId="2428"/>
    <cellStyle name="Normal 57 3 4 5 2 2" xfId="7710"/>
    <cellStyle name="Normal 57 3 4 5 3" xfId="4091"/>
    <cellStyle name="Normal 57 3 4 5 3 2" xfId="9106"/>
    <cellStyle name="Normal 57 3 4 5 4" xfId="5898"/>
    <cellStyle name="Normal 57 3 4 5 5" xfId="10560"/>
    <cellStyle name="Normal 57 3 4 5 6" xfId="5304"/>
    <cellStyle name="Normal 57 3 4 6" xfId="1495"/>
    <cellStyle name="Normal 57 3 4 6 2" xfId="6784"/>
    <cellStyle name="Normal 57 3 4 7" xfId="3047"/>
    <cellStyle name="Normal 57 3 4 7 2" xfId="8063"/>
    <cellStyle name="Normal 57 3 4 8" xfId="5624"/>
    <cellStyle name="Normal 57 3 4 9" xfId="9517"/>
    <cellStyle name="Normal 57 3 4_Degree data" xfId="2768"/>
    <cellStyle name="Normal 57 3 5" xfId="190"/>
    <cellStyle name="Normal 57 3 5 10" xfId="4427"/>
    <cellStyle name="Normal 57 3 5 2" xfId="404"/>
    <cellStyle name="Normal 57 3 5 2 2" xfId="1198"/>
    <cellStyle name="Normal 57 3 5 2 2 2" xfId="2149"/>
    <cellStyle name="Normal 57 3 5 2 2 2 2" xfId="7438"/>
    <cellStyle name="Normal 57 3 5 2 2 3" xfId="3479"/>
    <cellStyle name="Normal 57 3 5 2 2 3 2" xfId="8495"/>
    <cellStyle name="Normal 57 3 5 2 2 4" xfId="6554"/>
    <cellStyle name="Normal 57 3 5 2 2 5" xfId="9949"/>
    <cellStyle name="Normal 57 3 5 2 2 6" xfId="5031"/>
    <cellStyle name="Normal 57 3 5 2 3" xfId="910"/>
    <cellStyle name="Normal 57 3 5 2 3 2" xfId="2578"/>
    <cellStyle name="Normal 57 3 5 2 3 2 2" xfId="7860"/>
    <cellStyle name="Normal 57 3 5 2 3 3" xfId="3828"/>
    <cellStyle name="Normal 57 3 5 2 3 3 2" xfId="8843"/>
    <cellStyle name="Normal 57 3 5 2 3 4" xfId="6267"/>
    <cellStyle name="Normal 57 3 5 2 3 5" xfId="10297"/>
    <cellStyle name="Normal 57 3 5 2 3 6" xfId="5454"/>
    <cellStyle name="Normal 57 3 5 2 4" xfId="1862"/>
    <cellStyle name="Normal 57 3 5 2 4 2" xfId="4241"/>
    <cellStyle name="Normal 57 3 5 2 4 2 2" xfId="9256"/>
    <cellStyle name="Normal 57 3 5 2 4 3" xfId="10710"/>
    <cellStyle name="Normal 57 3 5 2 4 4" xfId="7151"/>
    <cellStyle name="Normal 57 3 5 2 5" xfId="3197"/>
    <cellStyle name="Normal 57 3 5 2 5 2" xfId="8213"/>
    <cellStyle name="Normal 57 3 5 2 6" xfId="5774"/>
    <cellStyle name="Normal 57 3 5 2 7" xfId="9667"/>
    <cellStyle name="Normal 57 3 5 2 8" xfId="4744"/>
    <cellStyle name="Normal 57 3 5 2_Degree data" xfId="2771"/>
    <cellStyle name="Normal 57 3 5 3" xfId="705"/>
    <cellStyle name="Normal 57 3 5 3 2" xfId="1657"/>
    <cellStyle name="Normal 57 3 5 3 2 2" xfId="6946"/>
    <cellStyle name="Normal 57 3 5 3 3" xfId="3478"/>
    <cellStyle name="Normal 57 3 5 3 3 2" xfId="8494"/>
    <cellStyle name="Normal 57 3 5 3 4" xfId="6062"/>
    <cellStyle name="Normal 57 3 5 3 5" xfId="9948"/>
    <cellStyle name="Normal 57 3 5 3 6" xfId="4539"/>
    <cellStyle name="Normal 57 3 5 4" xfId="1197"/>
    <cellStyle name="Normal 57 3 5 4 2" xfId="2148"/>
    <cellStyle name="Normal 57 3 5 4 2 2" xfId="7437"/>
    <cellStyle name="Normal 57 3 5 4 3" xfId="3827"/>
    <cellStyle name="Normal 57 3 5 4 3 2" xfId="8842"/>
    <cellStyle name="Normal 57 3 5 4 4" xfId="6553"/>
    <cellStyle name="Normal 57 3 5 4 5" xfId="10296"/>
    <cellStyle name="Normal 57 3 5 4 6" xfId="5030"/>
    <cellStyle name="Normal 57 3 5 5" xfId="590"/>
    <cellStyle name="Normal 57 3 5 5 2" xfId="2373"/>
    <cellStyle name="Normal 57 3 5 5 2 2" xfId="7655"/>
    <cellStyle name="Normal 57 3 5 5 3" xfId="4036"/>
    <cellStyle name="Normal 57 3 5 5 3 2" xfId="9051"/>
    <cellStyle name="Normal 57 3 5 5 4" xfId="5948"/>
    <cellStyle name="Normal 57 3 5 5 5" xfId="10505"/>
    <cellStyle name="Normal 57 3 5 5 6" xfId="5249"/>
    <cellStyle name="Normal 57 3 5 6" xfId="1545"/>
    <cellStyle name="Normal 57 3 5 6 2" xfId="6834"/>
    <cellStyle name="Normal 57 3 5 7" xfId="2992"/>
    <cellStyle name="Normal 57 3 5 7 2" xfId="8008"/>
    <cellStyle name="Normal 57 3 5 8" xfId="5569"/>
    <cellStyle name="Normal 57 3 5 9" xfId="9462"/>
    <cellStyle name="Normal 57 3 5_Degree data" xfId="2770"/>
    <cellStyle name="Normal 57 3 6" xfId="296"/>
    <cellStyle name="Normal 57 3 6 2" xfId="1199"/>
    <cellStyle name="Normal 57 3 6 2 2" xfId="2150"/>
    <cellStyle name="Normal 57 3 6 2 2 2" xfId="7439"/>
    <cellStyle name="Normal 57 3 6 2 3" xfId="3480"/>
    <cellStyle name="Normal 57 3 6 2 3 2" xfId="8496"/>
    <cellStyle name="Normal 57 3 6 2 4" xfId="6555"/>
    <cellStyle name="Normal 57 3 6 2 5" xfId="9950"/>
    <cellStyle name="Normal 57 3 6 2 6" xfId="5032"/>
    <cellStyle name="Normal 57 3 6 3" xfId="805"/>
    <cellStyle name="Normal 57 3 6 3 2" xfId="2473"/>
    <cellStyle name="Normal 57 3 6 3 2 2" xfId="7755"/>
    <cellStyle name="Normal 57 3 6 3 3" xfId="3829"/>
    <cellStyle name="Normal 57 3 6 3 3 2" xfId="8844"/>
    <cellStyle name="Normal 57 3 6 3 4" xfId="6162"/>
    <cellStyle name="Normal 57 3 6 3 5" xfId="10298"/>
    <cellStyle name="Normal 57 3 6 3 6" xfId="5349"/>
    <cellStyle name="Normal 57 3 6 4" xfId="1757"/>
    <cellStyle name="Normal 57 3 6 4 2" xfId="4136"/>
    <cellStyle name="Normal 57 3 6 4 2 2" xfId="9151"/>
    <cellStyle name="Normal 57 3 6 4 3" xfId="10605"/>
    <cellStyle name="Normal 57 3 6 4 4" xfId="7046"/>
    <cellStyle name="Normal 57 3 6 5" xfId="3092"/>
    <cellStyle name="Normal 57 3 6 5 2" xfId="8108"/>
    <cellStyle name="Normal 57 3 6 6" xfId="5669"/>
    <cellStyle name="Normal 57 3 6 7" xfId="9562"/>
    <cellStyle name="Normal 57 3 6 8" xfId="4639"/>
    <cellStyle name="Normal 57 3 6_Degree data" xfId="2772"/>
    <cellStyle name="Normal 57 3 7" xfId="653"/>
    <cellStyle name="Normal 57 3 7 2" xfId="1200"/>
    <cellStyle name="Normal 57 3 7 2 2" xfId="2151"/>
    <cellStyle name="Normal 57 3 7 2 2 2" xfId="7440"/>
    <cellStyle name="Normal 57 3 7 2 3" xfId="3481"/>
    <cellStyle name="Normal 57 3 7 2 3 2" xfId="8497"/>
    <cellStyle name="Normal 57 3 7 2 4" xfId="6556"/>
    <cellStyle name="Normal 57 3 7 2 5" xfId="9951"/>
    <cellStyle name="Normal 57 3 7 2 6" xfId="5033"/>
    <cellStyle name="Normal 57 3 7 3" xfId="1409"/>
    <cellStyle name="Normal 57 3 7 3 2" xfId="2321"/>
    <cellStyle name="Normal 57 3 7 3 2 2" xfId="7603"/>
    <cellStyle name="Normal 57 3 7 3 3" xfId="3830"/>
    <cellStyle name="Normal 57 3 7 3 3 2" xfId="8845"/>
    <cellStyle name="Normal 57 3 7 3 4" xfId="6705"/>
    <cellStyle name="Normal 57 3 7 3 5" xfId="10299"/>
    <cellStyle name="Normal 57 3 7 3 6" xfId="5197"/>
    <cellStyle name="Normal 57 3 7 4" xfId="1605"/>
    <cellStyle name="Normal 57 3 7 4 2" xfId="3984"/>
    <cellStyle name="Normal 57 3 7 4 2 2" xfId="8999"/>
    <cellStyle name="Normal 57 3 7 4 3" xfId="10453"/>
    <cellStyle name="Normal 57 3 7 4 4" xfId="6894"/>
    <cellStyle name="Normal 57 3 7 5" xfId="2938"/>
    <cellStyle name="Normal 57 3 7 5 2" xfId="7954"/>
    <cellStyle name="Normal 57 3 7 6" xfId="6010"/>
    <cellStyle name="Normal 57 3 7 7" xfId="9410"/>
    <cellStyle name="Normal 57 3 7 8" xfId="4487"/>
    <cellStyle name="Normal 57 3 7_Degree data" xfId="2773"/>
    <cellStyle name="Normal 57 3 8" xfId="1181"/>
    <cellStyle name="Normal 57 3 8 2" xfId="2132"/>
    <cellStyle name="Normal 57 3 8 2 2" xfId="7421"/>
    <cellStyle name="Normal 57 3 8 3" xfId="3462"/>
    <cellStyle name="Normal 57 3 8 3 2" xfId="8478"/>
    <cellStyle name="Normal 57 3 8 4" xfId="6537"/>
    <cellStyle name="Normal 57 3 8 5" xfId="9932"/>
    <cellStyle name="Normal 57 3 8 6" xfId="5014"/>
    <cellStyle name="Normal 57 3 9" xfId="478"/>
    <cellStyle name="Normal 57 3 9 2" xfId="2289"/>
    <cellStyle name="Normal 57 3 9 2 2" xfId="7571"/>
    <cellStyle name="Normal 57 3 9 3" xfId="3811"/>
    <cellStyle name="Normal 57 3 9 3 2" xfId="8826"/>
    <cellStyle name="Normal 57 3 9 4" xfId="5842"/>
    <cellStyle name="Normal 57 3 9 5" xfId="10280"/>
    <cellStyle name="Normal 57 3 9 6" xfId="5165"/>
    <cellStyle name="Normal 57 3_Degree data" xfId="2754"/>
    <cellStyle name="Normal 57 4" xfId="143"/>
    <cellStyle name="Normal 57 4 10" xfId="2912"/>
    <cellStyle name="Normal 57 4 10 2" xfId="9384"/>
    <cellStyle name="Normal 57 4 10 3" xfId="7928"/>
    <cellStyle name="Normal 57 4 11" xfId="5534"/>
    <cellStyle name="Normal 57 4 12" xfId="9334"/>
    <cellStyle name="Normal 57 4 13" xfId="4318"/>
    <cellStyle name="Normal 57 4 2" xfId="217"/>
    <cellStyle name="Normal 57 4 2 10" xfId="9354"/>
    <cellStyle name="Normal 57 4 2 11" xfId="4346"/>
    <cellStyle name="Normal 57 4 2 2" xfId="262"/>
    <cellStyle name="Normal 57 4 2 2 10" xfId="4389"/>
    <cellStyle name="Normal 57 4 2 2 2" xfId="364"/>
    <cellStyle name="Normal 57 4 2 2 2 2" xfId="1204"/>
    <cellStyle name="Normal 57 4 2 2 2 2 2" xfId="2155"/>
    <cellStyle name="Normal 57 4 2 2 2 2 2 2" xfId="7444"/>
    <cellStyle name="Normal 57 4 2 2 2 2 3" xfId="3485"/>
    <cellStyle name="Normal 57 4 2 2 2 2 3 2" xfId="8501"/>
    <cellStyle name="Normal 57 4 2 2 2 2 4" xfId="6560"/>
    <cellStyle name="Normal 57 4 2 2 2 2 5" xfId="9955"/>
    <cellStyle name="Normal 57 4 2 2 2 2 6" xfId="5037"/>
    <cellStyle name="Normal 57 4 2 2 2 3" xfId="872"/>
    <cellStyle name="Normal 57 4 2 2 2 3 2" xfId="2540"/>
    <cellStyle name="Normal 57 4 2 2 2 3 2 2" xfId="7822"/>
    <cellStyle name="Normal 57 4 2 2 2 3 3" xfId="3834"/>
    <cellStyle name="Normal 57 4 2 2 2 3 3 2" xfId="8849"/>
    <cellStyle name="Normal 57 4 2 2 2 3 4" xfId="6229"/>
    <cellStyle name="Normal 57 4 2 2 2 3 5" xfId="10303"/>
    <cellStyle name="Normal 57 4 2 2 2 3 6" xfId="5416"/>
    <cellStyle name="Normal 57 4 2 2 2 4" xfId="1824"/>
    <cellStyle name="Normal 57 4 2 2 2 4 2" xfId="4203"/>
    <cellStyle name="Normal 57 4 2 2 2 4 2 2" xfId="9218"/>
    <cellStyle name="Normal 57 4 2 2 2 4 3" xfId="10672"/>
    <cellStyle name="Normal 57 4 2 2 2 4 4" xfId="7113"/>
    <cellStyle name="Normal 57 4 2 2 2 5" xfId="3159"/>
    <cellStyle name="Normal 57 4 2 2 2 5 2" xfId="8175"/>
    <cellStyle name="Normal 57 4 2 2 2 6" xfId="5736"/>
    <cellStyle name="Normal 57 4 2 2 2 7" xfId="9629"/>
    <cellStyle name="Normal 57 4 2 2 2 8" xfId="4706"/>
    <cellStyle name="Normal 57 4 2 2 2_Degree data" xfId="2777"/>
    <cellStyle name="Normal 57 4 2 2 3" xfId="772"/>
    <cellStyle name="Normal 57 4 2 2 3 2" xfId="1724"/>
    <cellStyle name="Normal 57 4 2 2 3 2 2" xfId="7013"/>
    <cellStyle name="Normal 57 4 2 2 3 3" xfId="3484"/>
    <cellStyle name="Normal 57 4 2 2 3 3 2" xfId="8500"/>
    <cellStyle name="Normal 57 4 2 2 3 4" xfId="6129"/>
    <cellStyle name="Normal 57 4 2 2 3 5" xfId="9954"/>
    <cellStyle name="Normal 57 4 2 2 3 6" xfId="4606"/>
    <cellStyle name="Normal 57 4 2 2 4" xfId="1203"/>
    <cellStyle name="Normal 57 4 2 2 4 2" xfId="2154"/>
    <cellStyle name="Normal 57 4 2 2 4 2 2" xfId="7443"/>
    <cellStyle name="Normal 57 4 2 2 4 3" xfId="3833"/>
    <cellStyle name="Normal 57 4 2 2 4 3 2" xfId="8848"/>
    <cellStyle name="Normal 57 4 2 2 4 4" xfId="6559"/>
    <cellStyle name="Normal 57 4 2 2 4 5" xfId="10302"/>
    <cellStyle name="Normal 57 4 2 2 4 6" xfId="5036"/>
    <cellStyle name="Normal 57 4 2 2 5" xfId="551"/>
    <cellStyle name="Normal 57 4 2 2 5 2" xfId="2440"/>
    <cellStyle name="Normal 57 4 2 2 5 2 2" xfId="7722"/>
    <cellStyle name="Normal 57 4 2 2 5 3" xfId="4103"/>
    <cellStyle name="Normal 57 4 2 2 5 3 2" xfId="9118"/>
    <cellStyle name="Normal 57 4 2 2 5 4" xfId="5910"/>
    <cellStyle name="Normal 57 4 2 2 5 5" xfId="10572"/>
    <cellStyle name="Normal 57 4 2 2 5 6" xfId="5316"/>
    <cellStyle name="Normal 57 4 2 2 6" xfId="1507"/>
    <cellStyle name="Normal 57 4 2 2 6 2" xfId="6796"/>
    <cellStyle name="Normal 57 4 2 2 7" xfId="3059"/>
    <cellStyle name="Normal 57 4 2 2 7 2" xfId="8075"/>
    <cellStyle name="Normal 57 4 2 2 8" xfId="5636"/>
    <cellStyle name="Normal 57 4 2 2 9" xfId="9529"/>
    <cellStyle name="Normal 57 4 2 2_Degree data" xfId="2776"/>
    <cellStyle name="Normal 57 4 2 3" xfId="320"/>
    <cellStyle name="Normal 57 4 2 3 2" xfId="1205"/>
    <cellStyle name="Normal 57 4 2 3 2 2" xfId="2156"/>
    <cellStyle name="Normal 57 4 2 3 2 2 2" xfId="7445"/>
    <cellStyle name="Normal 57 4 2 3 2 3" xfId="3486"/>
    <cellStyle name="Normal 57 4 2 3 2 3 2" xfId="8502"/>
    <cellStyle name="Normal 57 4 2 3 2 4" xfId="6561"/>
    <cellStyle name="Normal 57 4 2 3 2 5" xfId="9956"/>
    <cellStyle name="Normal 57 4 2 3 2 6" xfId="5038"/>
    <cellStyle name="Normal 57 4 2 3 3" xfId="829"/>
    <cellStyle name="Normal 57 4 2 3 3 2" xfId="2497"/>
    <cellStyle name="Normal 57 4 2 3 3 2 2" xfId="7779"/>
    <cellStyle name="Normal 57 4 2 3 3 3" xfId="3835"/>
    <cellStyle name="Normal 57 4 2 3 3 3 2" xfId="8850"/>
    <cellStyle name="Normal 57 4 2 3 3 4" xfId="6186"/>
    <cellStyle name="Normal 57 4 2 3 3 5" xfId="10304"/>
    <cellStyle name="Normal 57 4 2 3 3 6" xfId="5373"/>
    <cellStyle name="Normal 57 4 2 3 4" xfId="1781"/>
    <cellStyle name="Normal 57 4 2 3 4 2" xfId="4160"/>
    <cellStyle name="Normal 57 4 2 3 4 2 2" xfId="9175"/>
    <cellStyle name="Normal 57 4 2 3 4 3" xfId="10629"/>
    <cellStyle name="Normal 57 4 2 3 4 4" xfId="7070"/>
    <cellStyle name="Normal 57 4 2 3 5" xfId="3116"/>
    <cellStyle name="Normal 57 4 2 3 5 2" xfId="8132"/>
    <cellStyle name="Normal 57 4 2 3 6" xfId="5693"/>
    <cellStyle name="Normal 57 4 2 3 7" xfId="9586"/>
    <cellStyle name="Normal 57 4 2 3 8" xfId="4663"/>
    <cellStyle name="Normal 57 4 2 3_Degree data" xfId="2778"/>
    <cellStyle name="Normal 57 4 2 4" xfId="729"/>
    <cellStyle name="Normal 57 4 2 4 2" xfId="1681"/>
    <cellStyle name="Normal 57 4 2 4 2 2" xfId="6970"/>
    <cellStyle name="Normal 57 4 2 4 3" xfId="3483"/>
    <cellStyle name="Normal 57 4 2 4 3 2" xfId="8499"/>
    <cellStyle name="Normal 57 4 2 4 4" xfId="6086"/>
    <cellStyle name="Normal 57 4 2 4 5" xfId="9953"/>
    <cellStyle name="Normal 57 4 2 4 6" xfId="4563"/>
    <cellStyle name="Normal 57 4 2 5" xfId="1202"/>
    <cellStyle name="Normal 57 4 2 5 2" xfId="2153"/>
    <cellStyle name="Normal 57 4 2 5 2 2" xfId="7442"/>
    <cellStyle name="Normal 57 4 2 5 3" xfId="3832"/>
    <cellStyle name="Normal 57 4 2 5 3 2" xfId="8847"/>
    <cellStyle name="Normal 57 4 2 5 4" xfId="6558"/>
    <cellStyle name="Normal 57 4 2 5 5" xfId="10301"/>
    <cellStyle name="Normal 57 4 2 5 6" xfId="5035"/>
    <cellStyle name="Normal 57 4 2 6" xfId="505"/>
    <cellStyle name="Normal 57 4 2 6 2" xfId="2397"/>
    <cellStyle name="Normal 57 4 2 6 2 2" xfId="7679"/>
    <cellStyle name="Normal 57 4 2 6 3" xfId="4060"/>
    <cellStyle name="Normal 57 4 2 6 3 2" xfId="9075"/>
    <cellStyle name="Normal 57 4 2 6 4" xfId="5866"/>
    <cellStyle name="Normal 57 4 2 6 5" xfId="10529"/>
    <cellStyle name="Normal 57 4 2 6 6" xfId="5273"/>
    <cellStyle name="Normal 57 4 2 7" xfId="1464"/>
    <cellStyle name="Normal 57 4 2 7 2" xfId="9486"/>
    <cellStyle name="Normal 57 4 2 7 3" xfId="6753"/>
    <cellStyle name="Normal 57 4 2 8" xfId="3016"/>
    <cellStyle name="Normal 57 4 2 8 2" xfId="8032"/>
    <cellStyle name="Normal 57 4 2 9" xfId="5593"/>
    <cellStyle name="Normal 57 4 2_Degree data" xfId="2775"/>
    <cellStyle name="Normal 57 4 3" xfId="247"/>
    <cellStyle name="Normal 57 4 3 10" xfId="4374"/>
    <cellStyle name="Normal 57 4 3 2" xfId="349"/>
    <cellStyle name="Normal 57 4 3 2 2" xfId="1207"/>
    <cellStyle name="Normal 57 4 3 2 2 2" xfId="2158"/>
    <cellStyle name="Normal 57 4 3 2 2 2 2" xfId="7447"/>
    <cellStyle name="Normal 57 4 3 2 2 3" xfId="3488"/>
    <cellStyle name="Normal 57 4 3 2 2 3 2" xfId="8504"/>
    <cellStyle name="Normal 57 4 3 2 2 4" xfId="6563"/>
    <cellStyle name="Normal 57 4 3 2 2 5" xfId="9958"/>
    <cellStyle name="Normal 57 4 3 2 2 6" xfId="5040"/>
    <cellStyle name="Normal 57 4 3 2 3" xfId="857"/>
    <cellStyle name="Normal 57 4 3 2 3 2" xfId="2525"/>
    <cellStyle name="Normal 57 4 3 2 3 2 2" xfId="7807"/>
    <cellStyle name="Normal 57 4 3 2 3 3" xfId="3837"/>
    <cellStyle name="Normal 57 4 3 2 3 3 2" xfId="8852"/>
    <cellStyle name="Normal 57 4 3 2 3 4" xfId="6214"/>
    <cellStyle name="Normal 57 4 3 2 3 5" xfId="10306"/>
    <cellStyle name="Normal 57 4 3 2 3 6" xfId="5401"/>
    <cellStyle name="Normal 57 4 3 2 4" xfId="1809"/>
    <cellStyle name="Normal 57 4 3 2 4 2" xfId="4188"/>
    <cellStyle name="Normal 57 4 3 2 4 2 2" xfId="9203"/>
    <cellStyle name="Normal 57 4 3 2 4 3" xfId="10657"/>
    <cellStyle name="Normal 57 4 3 2 4 4" xfId="7098"/>
    <cellStyle name="Normal 57 4 3 2 5" xfId="3144"/>
    <cellStyle name="Normal 57 4 3 2 5 2" xfId="8160"/>
    <cellStyle name="Normal 57 4 3 2 6" xfId="5721"/>
    <cellStyle name="Normal 57 4 3 2 7" xfId="9614"/>
    <cellStyle name="Normal 57 4 3 2 8" xfId="4691"/>
    <cellStyle name="Normal 57 4 3 2_Degree data" xfId="2780"/>
    <cellStyle name="Normal 57 4 3 3" xfId="757"/>
    <cellStyle name="Normal 57 4 3 3 2" xfId="1709"/>
    <cellStyle name="Normal 57 4 3 3 2 2" xfId="6998"/>
    <cellStyle name="Normal 57 4 3 3 3" xfId="3487"/>
    <cellStyle name="Normal 57 4 3 3 3 2" xfId="8503"/>
    <cellStyle name="Normal 57 4 3 3 4" xfId="6114"/>
    <cellStyle name="Normal 57 4 3 3 5" xfId="9957"/>
    <cellStyle name="Normal 57 4 3 3 6" xfId="4591"/>
    <cellStyle name="Normal 57 4 3 4" xfId="1206"/>
    <cellStyle name="Normal 57 4 3 4 2" xfId="2157"/>
    <cellStyle name="Normal 57 4 3 4 2 2" xfId="7446"/>
    <cellStyle name="Normal 57 4 3 4 3" xfId="3836"/>
    <cellStyle name="Normal 57 4 3 4 3 2" xfId="8851"/>
    <cellStyle name="Normal 57 4 3 4 4" xfId="6562"/>
    <cellStyle name="Normal 57 4 3 4 5" xfId="10305"/>
    <cellStyle name="Normal 57 4 3 4 6" xfId="5039"/>
    <cellStyle name="Normal 57 4 3 5" xfId="536"/>
    <cellStyle name="Normal 57 4 3 5 2" xfId="2425"/>
    <cellStyle name="Normal 57 4 3 5 2 2" xfId="7707"/>
    <cellStyle name="Normal 57 4 3 5 3" xfId="4088"/>
    <cellStyle name="Normal 57 4 3 5 3 2" xfId="9103"/>
    <cellStyle name="Normal 57 4 3 5 4" xfId="5895"/>
    <cellStyle name="Normal 57 4 3 5 5" xfId="10557"/>
    <cellStyle name="Normal 57 4 3 5 6" xfId="5301"/>
    <cellStyle name="Normal 57 4 3 6" xfId="1492"/>
    <cellStyle name="Normal 57 4 3 6 2" xfId="6781"/>
    <cellStyle name="Normal 57 4 3 7" xfId="3044"/>
    <cellStyle name="Normal 57 4 3 7 2" xfId="8060"/>
    <cellStyle name="Normal 57 4 3 8" xfId="5621"/>
    <cellStyle name="Normal 57 4 3 9" xfId="9514"/>
    <cellStyle name="Normal 57 4 3_Degree data" xfId="2779"/>
    <cellStyle name="Normal 57 4 4" xfId="186"/>
    <cellStyle name="Normal 57 4 4 10" xfId="4423"/>
    <cellStyle name="Normal 57 4 4 2" xfId="400"/>
    <cellStyle name="Normal 57 4 4 2 2" xfId="1209"/>
    <cellStyle name="Normal 57 4 4 2 2 2" xfId="2160"/>
    <cellStyle name="Normal 57 4 4 2 2 2 2" xfId="7449"/>
    <cellStyle name="Normal 57 4 4 2 2 3" xfId="3490"/>
    <cellStyle name="Normal 57 4 4 2 2 3 2" xfId="8506"/>
    <cellStyle name="Normal 57 4 4 2 2 4" xfId="6565"/>
    <cellStyle name="Normal 57 4 4 2 2 5" xfId="9960"/>
    <cellStyle name="Normal 57 4 4 2 2 6" xfId="5042"/>
    <cellStyle name="Normal 57 4 4 2 3" xfId="906"/>
    <cellStyle name="Normal 57 4 4 2 3 2" xfId="2574"/>
    <cellStyle name="Normal 57 4 4 2 3 2 2" xfId="7856"/>
    <cellStyle name="Normal 57 4 4 2 3 3" xfId="3839"/>
    <cellStyle name="Normal 57 4 4 2 3 3 2" xfId="8854"/>
    <cellStyle name="Normal 57 4 4 2 3 4" xfId="6263"/>
    <cellStyle name="Normal 57 4 4 2 3 5" xfId="10308"/>
    <cellStyle name="Normal 57 4 4 2 3 6" xfId="5450"/>
    <cellStyle name="Normal 57 4 4 2 4" xfId="1858"/>
    <cellStyle name="Normal 57 4 4 2 4 2" xfId="4237"/>
    <cellStyle name="Normal 57 4 4 2 4 2 2" xfId="9252"/>
    <cellStyle name="Normal 57 4 4 2 4 3" xfId="10706"/>
    <cellStyle name="Normal 57 4 4 2 4 4" xfId="7147"/>
    <cellStyle name="Normal 57 4 4 2 5" xfId="3193"/>
    <cellStyle name="Normal 57 4 4 2 5 2" xfId="8209"/>
    <cellStyle name="Normal 57 4 4 2 6" xfId="5770"/>
    <cellStyle name="Normal 57 4 4 2 7" xfId="9663"/>
    <cellStyle name="Normal 57 4 4 2 8" xfId="4740"/>
    <cellStyle name="Normal 57 4 4 2_Degree data" xfId="2782"/>
    <cellStyle name="Normal 57 4 4 3" xfId="701"/>
    <cellStyle name="Normal 57 4 4 3 2" xfId="1653"/>
    <cellStyle name="Normal 57 4 4 3 2 2" xfId="6942"/>
    <cellStyle name="Normal 57 4 4 3 3" xfId="3489"/>
    <cellStyle name="Normal 57 4 4 3 3 2" xfId="8505"/>
    <cellStyle name="Normal 57 4 4 3 4" xfId="6058"/>
    <cellStyle name="Normal 57 4 4 3 5" xfId="9959"/>
    <cellStyle name="Normal 57 4 4 3 6" xfId="4535"/>
    <cellStyle name="Normal 57 4 4 4" xfId="1208"/>
    <cellStyle name="Normal 57 4 4 4 2" xfId="2159"/>
    <cellStyle name="Normal 57 4 4 4 2 2" xfId="7448"/>
    <cellStyle name="Normal 57 4 4 4 3" xfId="3838"/>
    <cellStyle name="Normal 57 4 4 4 3 2" xfId="8853"/>
    <cellStyle name="Normal 57 4 4 4 4" xfId="6564"/>
    <cellStyle name="Normal 57 4 4 4 5" xfId="10307"/>
    <cellStyle name="Normal 57 4 4 4 6" xfId="5041"/>
    <cellStyle name="Normal 57 4 4 5" xfId="586"/>
    <cellStyle name="Normal 57 4 4 5 2" xfId="2369"/>
    <cellStyle name="Normal 57 4 4 5 2 2" xfId="7651"/>
    <cellStyle name="Normal 57 4 4 5 3" xfId="4032"/>
    <cellStyle name="Normal 57 4 4 5 3 2" xfId="9047"/>
    <cellStyle name="Normal 57 4 4 5 4" xfId="5944"/>
    <cellStyle name="Normal 57 4 4 5 5" xfId="10501"/>
    <cellStyle name="Normal 57 4 4 5 6" xfId="5245"/>
    <cellStyle name="Normal 57 4 4 6" xfId="1541"/>
    <cellStyle name="Normal 57 4 4 6 2" xfId="6830"/>
    <cellStyle name="Normal 57 4 4 7" xfId="2988"/>
    <cellStyle name="Normal 57 4 4 7 2" xfId="8004"/>
    <cellStyle name="Normal 57 4 4 8" xfId="5565"/>
    <cellStyle name="Normal 57 4 4 9" xfId="9458"/>
    <cellStyle name="Normal 57 4 4_Degree data" xfId="2781"/>
    <cellStyle name="Normal 57 4 5" xfId="292"/>
    <cellStyle name="Normal 57 4 5 2" xfId="1210"/>
    <cellStyle name="Normal 57 4 5 2 2" xfId="2161"/>
    <cellStyle name="Normal 57 4 5 2 2 2" xfId="7450"/>
    <cellStyle name="Normal 57 4 5 2 3" xfId="3491"/>
    <cellStyle name="Normal 57 4 5 2 3 2" xfId="8507"/>
    <cellStyle name="Normal 57 4 5 2 4" xfId="6566"/>
    <cellStyle name="Normal 57 4 5 2 5" xfId="9961"/>
    <cellStyle name="Normal 57 4 5 2 6" xfId="5043"/>
    <cellStyle name="Normal 57 4 5 3" xfId="801"/>
    <cellStyle name="Normal 57 4 5 3 2" xfId="2469"/>
    <cellStyle name="Normal 57 4 5 3 2 2" xfId="7751"/>
    <cellStyle name="Normal 57 4 5 3 3" xfId="3840"/>
    <cellStyle name="Normal 57 4 5 3 3 2" xfId="8855"/>
    <cellStyle name="Normal 57 4 5 3 4" xfId="6158"/>
    <cellStyle name="Normal 57 4 5 3 5" xfId="10309"/>
    <cellStyle name="Normal 57 4 5 3 6" xfId="5345"/>
    <cellStyle name="Normal 57 4 5 4" xfId="1753"/>
    <cellStyle name="Normal 57 4 5 4 2" xfId="4132"/>
    <cellStyle name="Normal 57 4 5 4 2 2" xfId="9147"/>
    <cellStyle name="Normal 57 4 5 4 3" xfId="10601"/>
    <cellStyle name="Normal 57 4 5 4 4" xfId="7042"/>
    <cellStyle name="Normal 57 4 5 5" xfId="3088"/>
    <cellStyle name="Normal 57 4 5 5 2" xfId="8104"/>
    <cellStyle name="Normal 57 4 5 6" xfId="5665"/>
    <cellStyle name="Normal 57 4 5 7" xfId="9558"/>
    <cellStyle name="Normal 57 4 5 8" xfId="4635"/>
    <cellStyle name="Normal 57 4 5_Degree data" xfId="2783"/>
    <cellStyle name="Normal 57 4 6" xfId="670"/>
    <cellStyle name="Normal 57 4 6 2" xfId="1211"/>
    <cellStyle name="Normal 57 4 6 2 2" xfId="2162"/>
    <cellStyle name="Normal 57 4 6 2 2 2" xfId="7451"/>
    <cellStyle name="Normal 57 4 6 2 3" xfId="3492"/>
    <cellStyle name="Normal 57 4 6 2 3 2" xfId="8508"/>
    <cellStyle name="Normal 57 4 6 2 4" xfId="6567"/>
    <cellStyle name="Normal 57 4 6 2 5" xfId="9962"/>
    <cellStyle name="Normal 57 4 6 2 6" xfId="5044"/>
    <cellStyle name="Normal 57 4 6 3" xfId="1410"/>
    <cellStyle name="Normal 57 4 6 3 2" xfId="2338"/>
    <cellStyle name="Normal 57 4 6 3 2 2" xfId="7620"/>
    <cellStyle name="Normal 57 4 6 3 3" xfId="3841"/>
    <cellStyle name="Normal 57 4 6 3 3 2" xfId="8856"/>
    <cellStyle name="Normal 57 4 6 3 4" xfId="6706"/>
    <cellStyle name="Normal 57 4 6 3 5" xfId="10310"/>
    <cellStyle name="Normal 57 4 6 3 6" xfId="5214"/>
    <cellStyle name="Normal 57 4 6 4" xfId="1622"/>
    <cellStyle name="Normal 57 4 6 4 2" xfId="4001"/>
    <cellStyle name="Normal 57 4 6 4 2 2" xfId="9016"/>
    <cellStyle name="Normal 57 4 6 4 3" xfId="10470"/>
    <cellStyle name="Normal 57 4 6 4 4" xfId="6911"/>
    <cellStyle name="Normal 57 4 6 5" xfId="2955"/>
    <cellStyle name="Normal 57 4 6 5 2" xfId="7971"/>
    <cellStyle name="Normal 57 4 6 6" xfId="6027"/>
    <cellStyle name="Normal 57 4 6 7" xfId="9427"/>
    <cellStyle name="Normal 57 4 6 8" xfId="4504"/>
    <cellStyle name="Normal 57 4 6_Degree data" xfId="2784"/>
    <cellStyle name="Normal 57 4 7" xfId="1201"/>
    <cellStyle name="Normal 57 4 7 2" xfId="2152"/>
    <cellStyle name="Normal 57 4 7 2 2" xfId="7441"/>
    <cellStyle name="Normal 57 4 7 3" xfId="3482"/>
    <cellStyle name="Normal 57 4 7 3 2" xfId="8498"/>
    <cellStyle name="Normal 57 4 7 4" xfId="6557"/>
    <cellStyle name="Normal 57 4 7 5" xfId="9952"/>
    <cellStyle name="Normal 57 4 7 6" xfId="5034"/>
    <cellStyle name="Normal 57 4 8" xfId="474"/>
    <cellStyle name="Normal 57 4 8 2" xfId="2295"/>
    <cellStyle name="Normal 57 4 8 2 2" xfId="7577"/>
    <cellStyle name="Normal 57 4 8 3" xfId="3831"/>
    <cellStyle name="Normal 57 4 8 3 2" xfId="8846"/>
    <cellStyle name="Normal 57 4 8 4" xfId="5838"/>
    <cellStyle name="Normal 57 4 8 5" xfId="10300"/>
    <cellStyle name="Normal 57 4 8 6" xfId="5171"/>
    <cellStyle name="Normal 57 4 9" xfId="1433"/>
    <cellStyle name="Normal 57 4 9 2" xfId="3958"/>
    <cellStyle name="Normal 57 4 9 2 2" xfId="8973"/>
    <cellStyle name="Normal 57 4 9 3" xfId="10427"/>
    <cellStyle name="Normal 57 4 9 4" xfId="6724"/>
    <cellStyle name="Normal 57 4_Degree data" xfId="2774"/>
    <cellStyle name="Normal 57 5" xfId="167"/>
    <cellStyle name="Normal 57 5 10" xfId="2926"/>
    <cellStyle name="Normal 57 5 10 2" xfId="9398"/>
    <cellStyle name="Normal 57 5 10 3" xfId="7942"/>
    <cellStyle name="Normal 57 5 11" xfId="5550"/>
    <cellStyle name="Normal 57 5 12" xfId="9368"/>
    <cellStyle name="Normal 57 5 13" xfId="4315"/>
    <cellStyle name="Normal 57 5 2" xfId="232"/>
    <cellStyle name="Normal 57 5 2 10" xfId="9500"/>
    <cellStyle name="Normal 57 5 2 11" xfId="4360"/>
    <cellStyle name="Normal 57 5 2 2" xfId="441"/>
    <cellStyle name="Normal 57 5 2 2 2" xfId="947"/>
    <cellStyle name="Normal 57 5 2 2 2 2" xfId="1899"/>
    <cellStyle name="Normal 57 5 2 2 2 2 2" xfId="7188"/>
    <cellStyle name="Normal 57 5 2 2 2 3" xfId="3495"/>
    <cellStyle name="Normal 57 5 2 2 2 3 2" xfId="8511"/>
    <cellStyle name="Normal 57 5 2 2 2 4" xfId="6304"/>
    <cellStyle name="Normal 57 5 2 2 2 5" xfId="9965"/>
    <cellStyle name="Normal 57 5 2 2 2 6" xfId="4781"/>
    <cellStyle name="Normal 57 5 2 2 3" xfId="1214"/>
    <cellStyle name="Normal 57 5 2 2 3 2" xfId="2165"/>
    <cellStyle name="Normal 57 5 2 2 3 2 2" xfId="7454"/>
    <cellStyle name="Normal 57 5 2 2 3 3" xfId="3844"/>
    <cellStyle name="Normal 57 5 2 2 3 3 2" xfId="8859"/>
    <cellStyle name="Normal 57 5 2 2 3 4" xfId="6570"/>
    <cellStyle name="Normal 57 5 2 2 3 5" xfId="10313"/>
    <cellStyle name="Normal 57 5 2 2 3 6" xfId="5047"/>
    <cellStyle name="Normal 57 5 2 2 4" xfId="627"/>
    <cellStyle name="Normal 57 5 2 2 4 2" xfId="2615"/>
    <cellStyle name="Normal 57 5 2 2 4 2 2" xfId="7897"/>
    <cellStyle name="Normal 57 5 2 2 4 3" xfId="4278"/>
    <cellStyle name="Normal 57 5 2 2 4 3 2" xfId="9293"/>
    <cellStyle name="Normal 57 5 2 2 4 4" xfId="5985"/>
    <cellStyle name="Normal 57 5 2 2 4 5" xfId="10747"/>
    <cellStyle name="Normal 57 5 2 2 4 6" xfId="5491"/>
    <cellStyle name="Normal 57 5 2 2 5" xfId="1582"/>
    <cellStyle name="Normal 57 5 2 2 5 2" xfId="6871"/>
    <cellStyle name="Normal 57 5 2 2 6" xfId="3234"/>
    <cellStyle name="Normal 57 5 2 2 6 2" xfId="8250"/>
    <cellStyle name="Normal 57 5 2 2 7" xfId="5811"/>
    <cellStyle name="Normal 57 5 2 2 8" xfId="9704"/>
    <cellStyle name="Normal 57 5 2 2 9" xfId="4464"/>
    <cellStyle name="Normal 57 5 2 2_Degree data" xfId="2787"/>
    <cellStyle name="Normal 57 5 2 3" xfId="334"/>
    <cellStyle name="Normal 57 5 2 3 2" xfId="1215"/>
    <cellStyle name="Normal 57 5 2 3 2 2" xfId="2166"/>
    <cellStyle name="Normal 57 5 2 3 2 2 2" xfId="7455"/>
    <cellStyle name="Normal 57 5 2 3 2 3" xfId="3496"/>
    <cellStyle name="Normal 57 5 2 3 2 3 2" xfId="8512"/>
    <cellStyle name="Normal 57 5 2 3 2 4" xfId="6571"/>
    <cellStyle name="Normal 57 5 2 3 2 5" xfId="9966"/>
    <cellStyle name="Normal 57 5 2 3 2 6" xfId="5048"/>
    <cellStyle name="Normal 57 5 2 3 3" xfId="843"/>
    <cellStyle name="Normal 57 5 2 3 3 2" xfId="2511"/>
    <cellStyle name="Normal 57 5 2 3 3 2 2" xfId="7793"/>
    <cellStyle name="Normal 57 5 2 3 3 3" xfId="3845"/>
    <cellStyle name="Normal 57 5 2 3 3 3 2" xfId="8860"/>
    <cellStyle name="Normal 57 5 2 3 3 4" xfId="6200"/>
    <cellStyle name="Normal 57 5 2 3 3 5" xfId="10314"/>
    <cellStyle name="Normal 57 5 2 3 3 6" xfId="5387"/>
    <cellStyle name="Normal 57 5 2 3 4" xfId="1795"/>
    <cellStyle name="Normal 57 5 2 3 4 2" xfId="4174"/>
    <cellStyle name="Normal 57 5 2 3 4 2 2" xfId="9189"/>
    <cellStyle name="Normal 57 5 2 3 4 3" xfId="10643"/>
    <cellStyle name="Normal 57 5 2 3 4 4" xfId="7084"/>
    <cellStyle name="Normal 57 5 2 3 5" xfId="3130"/>
    <cellStyle name="Normal 57 5 2 3 5 2" xfId="8146"/>
    <cellStyle name="Normal 57 5 2 3 6" xfId="5707"/>
    <cellStyle name="Normal 57 5 2 3 7" xfId="9600"/>
    <cellStyle name="Normal 57 5 2 3 8" xfId="4677"/>
    <cellStyle name="Normal 57 5 2 3_Degree data" xfId="2788"/>
    <cellStyle name="Normal 57 5 2 4" xfId="743"/>
    <cellStyle name="Normal 57 5 2 4 2" xfId="1695"/>
    <cellStyle name="Normal 57 5 2 4 2 2" xfId="6984"/>
    <cellStyle name="Normal 57 5 2 4 3" xfId="3494"/>
    <cellStyle name="Normal 57 5 2 4 3 2" xfId="8510"/>
    <cellStyle name="Normal 57 5 2 4 4" xfId="6100"/>
    <cellStyle name="Normal 57 5 2 4 5" xfId="9964"/>
    <cellStyle name="Normal 57 5 2 4 6" xfId="4577"/>
    <cellStyle name="Normal 57 5 2 5" xfId="1213"/>
    <cellStyle name="Normal 57 5 2 5 2" xfId="2164"/>
    <cellStyle name="Normal 57 5 2 5 2 2" xfId="7453"/>
    <cellStyle name="Normal 57 5 2 5 3" xfId="3843"/>
    <cellStyle name="Normal 57 5 2 5 3 2" xfId="8858"/>
    <cellStyle name="Normal 57 5 2 5 4" xfId="6569"/>
    <cellStyle name="Normal 57 5 2 5 5" xfId="10312"/>
    <cellStyle name="Normal 57 5 2 5 6" xfId="5046"/>
    <cellStyle name="Normal 57 5 2 6" xfId="520"/>
    <cellStyle name="Normal 57 5 2 6 2" xfId="2411"/>
    <cellStyle name="Normal 57 5 2 6 2 2" xfId="7693"/>
    <cellStyle name="Normal 57 5 2 6 3" xfId="4074"/>
    <cellStyle name="Normal 57 5 2 6 3 2" xfId="9089"/>
    <cellStyle name="Normal 57 5 2 6 4" xfId="5881"/>
    <cellStyle name="Normal 57 5 2 6 5" xfId="10543"/>
    <cellStyle name="Normal 57 5 2 6 6" xfId="5287"/>
    <cellStyle name="Normal 57 5 2 7" xfId="1478"/>
    <cellStyle name="Normal 57 5 2 7 2" xfId="6767"/>
    <cellStyle name="Normal 57 5 2 8" xfId="3030"/>
    <cellStyle name="Normal 57 5 2 8 2" xfId="8046"/>
    <cellStyle name="Normal 57 5 2 9" xfId="5607"/>
    <cellStyle name="Normal 57 5 2_Degree data" xfId="2786"/>
    <cellStyle name="Normal 57 5 3" xfId="277"/>
    <cellStyle name="Normal 57 5 3 10" xfId="4403"/>
    <cellStyle name="Normal 57 5 3 2" xfId="379"/>
    <cellStyle name="Normal 57 5 3 2 2" xfId="1217"/>
    <cellStyle name="Normal 57 5 3 2 2 2" xfId="2168"/>
    <cellStyle name="Normal 57 5 3 2 2 2 2" xfId="7457"/>
    <cellStyle name="Normal 57 5 3 2 2 3" xfId="3498"/>
    <cellStyle name="Normal 57 5 3 2 2 3 2" xfId="8514"/>
    <cellStyle name="Normal 57 5 3 2 2 4" xfId="6573"/>
    <cellStyle name="Normal 57 5 3 2 2 5" xfId="9968"/>
    <cellStyle name="Normal 57 5 3 2 2 6" xfId="5050"/>
    <cellStyle name="Normal 57 5 3 2 3" xfId="886"/>
    <cellStyle name="Normal 57 5 3 2 3 2" xfId="2554"/>
    <cellStyle name="Normal 57 5 3 2 3 2 2" xfId="7836"/>
    <cellStyle name="Normal 57 5 3 2 3 3" xfId="3847"/>
    <cellStyle name="Normal 57 5 3 2 3 3 2" xfId="8862"/>
    <cellStyle name="Normal 57 5 3 2 3 4" xfId="6243"/>
    <cellStyle name="Normal 57 5 3 2 3 5" xfId="10316"/>
    <cellStyle name="Normal 57 5 3 2 3 6" xfId="5430"/>
    <cellStyle name="Normal 57 5 3 2 4" xfId="1838"/>
    <cellStyle name="Normal 57 5 3 2 4 2" xfId="4217"/>
    <cellStyle name="Normal 57 5 3 2 4 2 2" xfId="9232"/>
    <cellStyle name="Normal 57 5 3 2 4 3" xfId="10686"/>
    <cellStyle name="Normal 57 5 3 2 4 4" xfId="7127"/>
    <cellStyle name="Normal 57 5 3 2 5" xfId="3173"/>
    <cellStyle name="Normal 57 5 3 2 5 2" xfId="8189"/>
    <cellStyle name="Normal 57 5 3 2 6" xfId="5750"/>
    <cellStyle name="Normal 57 5 3 2 7" xfId="9643"/>
    <cellStyle name="Normal 57 5 3 2 8" xfId="4720"/>
    <cellStyle name="Normal 57 5 3 2_Degree data" xfId="2790"/>
    <cellStyle name="Normal 57 5 3 3" xfId="786"/>
    <cellStyle name="Normal 57 5 3 3 2" xfId="1738"/>
    <cellStyle name="Normal 57 5 3 3 2 2" xfId="7027"/>
    <cellStyle name="Normal 57 5 3 3 3" xfId="3497"/>
    <cellStyle name="Normal 57 5 3 3 3 2" xfId="8513"/>
    <cellStyle name="Normal 57 5 3 3 4" xfId="6143"/>
    <cellStyle name="Normal 57 5 3 3 5" xfId="9967"/>
    <cellStyle name="Normal 57 5 3 3 6" xfId="4620"/>
    <cellStyle name="Normal 57 5 3 4" xfId="1216"/>
    <cellStyle name="Normal 57 5 3 4 2" xfId="2167"/>
    <cellStyle name="Normal 57 5 3 4 2 2" xfId="7456"/>
    <cellStyle name="Normal 57 5 3 4 3" xfId="3846"/>
    <cellStyle name="Normal 57 5 3 4 3 2" xfId="8861"/>
    <cellStyle name="Normal 57 5 3 4 4" xfId="6572"/>
    <cellStyle name="Normal 57 5 3 4 5" xfId="10315"/>
    <cellStyle name="Normal 57 5 3 4 6" xfId="5049"/>
    <cellStyle name="Normal 57 5 3 5" xfId="566"/>
    <cellStyle name="Normal 57 5 3 5 2" xfId="2454"/>
    <cellStyle name="Normal 57 5 3 5 2 2" xfId="7736"/>
    <cellStyle name="Normal 57 5 3 5 3" xfId="4117"/>
    <cellStyle name="Normal 57 5 3 5 3 2" xfId="9132"/>
    <cellStyle name="Normal 57 5 3 5 4" xfId="5924"/>
    <cellStyle name="Normal 57 5 3 5 5" xfId="10586"/>
    <cellStyle name="Normal 57 5 3 5 6" xfId="5330"/>
    <cellStyle name="Normal 57 5 3 6" xfId="1521"/>
    <cellStyle name="Normal 57 5 3 6 2" xfId="6810"/>
    <cellStyle name="Normal 57 5 3 7" xfId="3073"/>
    <cellStyle name="Normal 57 5 3 7 2" xfId="8089"/>
    <cellStyle name="Normal 57 5 3 8" xfId="5650"/>
    <cellStyle name="Normal 57 5 3 9" xfId="9543"/>
    <cellStyle name="Normal 57 5 3_Degree data" xfId="2789"/>
    <cellStyle name="Normal 57 5 4" xfId="183"/>
    <cellStyle name="Normal 57 5 4 10" xfId="4420"/>
    <cellStyle name="Normal 57 5 4 2" xfId="397"/>
    <cellStyle name="Normal 57 5 4 2 2" xfId="1219"/>
    <cellStyle name="Normal 57 5 4 2 2 2" xfId="2170"/>
    <cellStyle name="Normal 57 5 4 2 2 2 2" xfId="7459"/>
    <cellStyle name="Normal 57 5 4 2 2 3" xfId="3500"/>
    <cellStyle name="Normal 57 5 4 2 2 3 2" xfId="8516"/>
    <cellStyle name="Normal 57 5 4 2 2 4" xfId="6575"/>
    <cellStyle name="Normal 57 5 4 2 2 5" xfId="9970"/>
    <cellStyle name="Normal 57 5 4 2 2 6" xfId="5052"/>
    <cellStyle name="Normal 57 5 4 2 3" xfId="903"/>
    <cellStyle name="Normal 57 5 4 2 3 2" xfId="2571"/>
    <cellStyle name="Normal 57 5 4 2 3 2 2" xfId="7853"/>
    <cellStyle name="Normal 57 5 4 2 3 3" xfId="3849"/>
    <cellStyle name="Normal 57 5 4 2 3 3 2" xfId="8864"/>
    <cellStyle name="Normal 57 5 4 2 3 4" xfId="6260"/>
    <cellStyle name="Normal 57 5 4 2 3 5" xfId="10318"/>
    <cellStyle name="Normal 57 5 4 2 3 6" xfId="5447"/>
    <cellStyle name="Normal 57 5 4 2 4" xfId="1855"/>
    <cellStyle name="Normal 57 5 4 2 4 2" xfId="4234"/>
    <cellStyle name="Normal 57 5 4 2 4 2 2" xfId="9249"/>
    <cellStyle name="Normal 57 5 4 2 4 3" xfId="10703"/>
    <cellStyle name="Normal 57 5 4 2 4 4" xfId="7144"/>
    <cellStyle name="Normal 57 5 4 2 5" xfId="3190"/>
    <cellStyle name="Normal 57 5 4 2 5 2" xfId="8206"/>
    <cellStyle name="Normal 57 5 4 2 6" xfId="5767"/>
    <cellStyle name="Normal 57 5 4 2 7" xfId="9660"/>
    <cellStyle name="Normal 57 5 4 2 8" xfId="4737"/>
    <cellStyle name="Normal 57 5 4 2_Degree data" xfId="2792"/>
    <cellStyle name="Normal 57 5 4 3" xfId="698"/>
    <cellStyle name="Normal 57 5 4 3 2" xfId="1650"/>
    <cellStyle name="Normal 57 5 4 3 2 2" xfId="6939"/>
    <cellStyle name="Normal 57 5 4 3 3" xfId="3499"/>
    <cellStyle name="Normal 57 5 4 3 3 2" xfId="8515"/>
    <cellStyle name="Normal 57 5 4 3 4" xfId="6055"/>
    <cellStyle name="Normal 57 5 4 3 5" xfId="9969"/>
    <cellStyle name="Normal 57 5 4 3 6" xfId="4532"/>
    <cellStyle name="Normal 57 5 4 4" xfId="1218"/>
    <cellStyle name="Normal 57 5 4 4 2" xfId="2169"/>
    <cellStyle name="Normal 57 5 4 4 2 2" xfId="7458"/>
    <cellStyle name="Normal 57 5 4 4 3" xfId="3848"/>
    <cellStyle name="Normal 57 5 4 4 3 2" xfId="8863"/>
    <cellStyle name="Normal 57 5 4 4 4" xfId="6574"/>
    <cellStyle name="Normal 57 5 4 4 5" xfId="10317"/>
    <cellStyle name="Normal 57 5 4 4 6" xfId="5051"/>
    <cellStyle name="Normal 57 5 4 5" xfId="583"/>
    <cellStyle name="Normal 57 5 4 5 2" xfId="2366"/>
    <cellStyle name="Normal 57 5 4 5 2 2" xfId="7648"/>
    <cellStyle name="Normal 57 5 4 5 3" xfId="4029"/>
    <cellStyle name="Normal 57 5 4 5 3 2" xfId="9044"/>
    <cellStyle name="Normal 57 5 4 5 4" xfId="5941"/>
    <cellStyle name="Normal 57 5 4 5 5" xfId="10498"/>
    <cellStyle name="Normal 57 5 4 5 6" xfId="5242"/>
    <cellStyle name="Normal 57 5 4 6" xfId="1538"/>
    <cellStyle name="Normal 57 5 4 6 2" xfId="6827"/>
    <cellStyle name="Normal 57 5 4 7" xfId="2985"/>
    <cellStyle name="Normal 57 5 4 7 2" xfId="8001"/>
    <cellStyle name="Normal 57 5 4 8" xfId="5562"/>
    <cellStyle name="Normal 57 5 4 9" xfId="9455"/>
    <cellStyle name="Normal 57 5 4_Degree data" xfId="2791"/>
    <cellStyle name="Normal 57 5 5" xfId="289"/>
    <cellStyle name="Normal 57 5 5 2" xfId="1220"/>
    <cellStyle name="Normal 57 5 5 2 2" xfId="2171"/>
    <cellStyle name="Normal 57 5 5 2 2 2" xfId="7460"/>
    <cellStyle name="Normal 57 5 5 2 3" xfId="3501"/>
    <cellStyle name="Normal 57 5 5 2 3 2" xfId="8517"/>
    <cellStyle name="Normal 57 5 5 2 4" xfId="6576"/>
    <cellStyle name="Normal 57 5 5 2 5" xfId="9971"/>
    <cellStyle name="Normal 57 5 5 2 6" xfId="5053"/>
    <cellStyle name="Normal 57 5 5 3" xfId="798"/>
    <cellStyle name="Normal 57 5 5 3 2" xfId="2466"/>
    <cellStyle name="Normal 57 5 5 3 2 2" xfId="7748"/>
    <cellStyle name="Normal 57 5 5 3 3" xfId="3850"/>
    <cellStyle name="Normal 57 5 5 3 3 2" xfId="8865"/>
    <cellStyle name="Normal 57 5 5 3 4" xfId="6155"/>
    <cellStyle name="Normal 57 5 5 3 5" xfId="10319"/>
    <cellStyle name="Normal 57 5 5 3 6" xfId="5342"/>
    <cellStyle name="Normal 57 5 5 4" xfId="1750"/>
    <cellStyle name="Normal 57 5 5 4 2" xfId="4129"/>
    <cellStyle name="Normal 57 5 5 4 2 2" xfId="9144"/>
    <cellStyle name="Normal 57 5 5 4 3" xfId="10598"/>
    <cellStyle name="Normal 57 5 5 4 4" xfId="7039"/>
    <cellStyle name="Normal 57 5 5 5" xfId="3085"/>
    <cellStyle name="Normal 57 5 5 5 2" xfId="8101"/>
    <cellStyle name="Normal 57 5 5 6" xfId="5662"/>
    <cellStyle name="Normal 57 5 5 7" xfId="9555"/>
    <cellStyle name="Normal 57 5 5 8" xfId="4632"/>
    <cellStyle name="Normal 57 5 5_Degree data" xfId="2793"/>
    <cellStyle name="Normal 57 5 6" xfId="686"/>
    <cellStyle name="Normal 57 5 6 2" xfId="1221"/>
    <cellStyle name="Normal 57 5 6 2 2" xfId="2172"/>
    <cellStyle name="Normal 57 5 6 2 2 2" xfId="7461"/>
    <cellStyle name="Normal 57 5 6 2 3" xfId="3502"/>
    <cellStyle name="Normal 57 5 6 2 3 2" xfId="8518"/>
    <cellStyle name="Normal 57 5 6 2 4" xfId="6577"/>
    <cellStyle name="Normal 57 5 6 2 5" xfId="9972"/>
    <cellStyle name="Normal 57 5 6 2 6" xfId="5054"/>
    <cellStyle name="Normal 57 5 6 3" xfId="1411"/>
    <cellStyle name="Normal 57 5 6 3 2" xfId="2354"/>
    <cellStyle name="Normal 57 5 6 3 2 2" xfId="7636"/>
    <cellStyle name="Normal 57 5 6 3 3" xfId="3851"/>
    <cellStyle name="Normal 57 5 6 3 3 2" xfId="8866"/>
    <cellStyle name="Normal 57 5 6 3 4" xfId="6707"/>
    <cellStyle name="Normal 57 5 6 3 5" xfId="10320"/>
    <cellStyle name="Normal 57 5 6 3 6" xfId="5230"/>
    <cellStyle name="Normal 57 5 6 4" xfId="1638"/>
    <cellStyle name="Normal 57 5 6 4 2" xfId="4017"/>
    <cellStyle name="Normal 57 5 6 4 2 2" xfId="9032"/>
    <cellStyle name="Normal 57 5 6 4 3" xfId="10486"/>
    <cellStyle name="Normal 57 5 6 4 4" xfId="6927"/>
    <cellStyle name="Normal 57 5 6 5" xfId="2971"/>
    <cellStyle name="Normal 57 5 6 5 2" xfId="7987"/>
    <cellStyle name="Normal 57 5 6 6" xfId="6043"/>
    <cellStyle name="Normal 57 5 6 7" xfId="9443"/>
    <cellStyle name="Normal 57 5 6 8" xfId="4520"/>
    <cellStyle name="Normal 57 5 6_Degree data" xfId="2794"/>
    <cellStyle name="Normal 57 5 7" xfId="1212"/>
    <cellStyle name="Normal 57 5 7 2" xfId="2163"/>
    <cellStyle name="Normal 57 5 7 2 2" xfId="7452"/>
    <cellStyle name="Normal 57 5 7 3" xfId="3493"/>
    <cellStyle name="Normal 57 5 7 3 2" xfId="8509"/>
    <cellStyle name="Normal 57 5 7 4" xfId="6568"/>
    <cellStyle name="Normal 57 5 7 5" xfId="9963"/>
    <cellStyle name="Normal 57 5 7 6" xfId="5045"/>
    <cellStyle name="Normal 57 5 8" xfId="471"/>
    <cellStyle name="Normal 57 5 8 2" xfId="2309"/>
    <cellStyle name="Normal 57 5 8 2 2" xfId="7591"/>
    <cellStyle name="Normal 57 5 8 3" xfId="3842"/>
    <cellStyle name="Normal 57 5 8 3 2" xfId="8857"/>
    <cellStyle name="Normal 57 5 8 4" xfId="5835"/>
    <cellStyle name="Normal 57 5 8 5" xfId="10311"/>
    <cellStyle name="Normal 57 5 8 6" xfId="5185"/>
    <cellStyle name="Normal 57 5 9" xfId="1430"/>
    <cellStyle name="Normal 57 5 9 2" xfId="3972"/>
    <cellStyle name="Normal 57 5 9 2 2" xfId="8987"/>
    <cellStyle name="Normal 57 5 9 3" xfId="10441"/>
    <cellStyle name="Normal 57 5 9 4" xfId="6721"/>
    <cellStyle name="Normal 57 5_Degree data" xfId="2785"/>
    <cellStyle name="Normal 57 6" xfId="131"/>
    <cellStyle name="Normal 57 6 10" xfId="5524"/>
    <cellStyle name="Normal 57 6 11" xfId="9344"/>
    <cellStyle name="Normal 57 6 12" xfId="4333"/>
    <cellStyle name="Normal 57 6 2" xfId="252"/>
    <cellStyle name="Normal 57 6 2 10" xfId="4379"/>
    <cellStyle name="Normal 57 6 2 2" xfId="354"/>
    <cellStyle name="Normal 57 6 2 2 2" xfId="1224"/>
    <cellStyle name="Normal 57 6 2 2 2 2" xfId="2175"/>
    <cellStyle name="Normal 57 6 2 2 2 2 2" xfId="7464"/>
    <cellStyle name="Normal 57 6 2 2 2 3" xfId="3505"/>
    <cellStyle name="Normal 57 6 2 2 2 3 2" xfId="8521"/>
    <cellStyle name="Normal 57 6 2 2 2 4" xfId="6580"/>
    <cellStyle name="Normal 57 6 2 2 2 5" xfId="9975"/>
    <cellStyle name="Normal 57 6 2 2 2 6" xfId="5057"/>
    <cellStyle name="Normal 57 6 2 2 3" xfId="862"/>
    <cellStyle name="Normal 57 6 2 2 3 2" xfId="2530"/>
    <cellStyle name="Normal 57 6 2 2 3 2 2" xfId="7812"/>
    <cellStyle name="Normal 57 6 2 2 3 3" xfId="3854"/>
    <cellStyle name="Normal 57 6 2 2 3 3 2" xfId="8869"/>
    <cellStyle name="Normal 57 6 2 2 3 4" xfId="6219"/>
    <cellStyle name="Normal 57 6 2 2 3 5" xfId="10323"/>
    <cellStyle name="Normal 57 6 2 2 3 6" xfId="5406"/>
    <cellStyle name="Normal 57 6 2 2 4" xfId="1814"/>
    <cellStyle name="Normal 57 6 2 2 4 2" xfId="4193"/>
    <cellStyle name="Normal 57 6 2 2 4 2 2" xfId="9208"/>
    <cellStyle name="Normal 57 6 2 2 4 3" xfId="10662"/>
    <cellStyle name="Normal 57 6 2 2 4 4" xfId="7103"/>
    <cellStyle name="Normal 57 6 2 2 5" xfId="3149"/>
    <cellStyle name="Normal 57 6 2 2 5 2" xfId="8165"/>
    <cellStyle name="Normal 57 6 2 2 6" xfId="5726"/>
    <cellStyle name="Normal 57 6 2 2 7" xfId="9619"/>
    <cellStyle name="Normal 57 6 2 2 8" xfId="4696"/>
    <cellStyle name="Normal 57 6 2 2_Degree data" xfId="2797"/>
    <cellStyle name="Normal 57 6 2 3" xfId="762"/>
    <cellStyle name="Normal 57 6 2 3 2" xfId="1714"/>
    <cellStyle name="Normal 57 6 2 3 2 2" xfId="7003"/>
    <cellStyle name="Normal 57 6 2 3 3" xfId="3504"/>
    <cellStyle name="Normal 57 6 2 3 3 2" xfId="8520"/>
    <cellStyle name="Normal 57 6 2 3 4" xfId="6119"/>
    <cellStyle name="Normal 57 6 2 3 5" xfId="9974"/>
    <cellStyle name="Normal 57 6 2 3 6" xfId="4596"/>
    <cellStyle name="Normal 57 6 2 4" xfId="1223"/>
    <cellStyle name="Normal 57 6 2 4 2" xfId="2174"/>
    <cellStyle name="Normal 57 6 2 4 2 2" xfId="7463"/>
    <cellStyle name="Normal 57 6 2 4 3" xfId="3853"/>
    <cellStyle name="Normal 57 6 2 4 3 2" xfId="8868"/>
    <cellStyle name="Normal 57 6 2 4 4" xfId="6579"/>
    <cellStyle name="Normal 57 6 2 4 5" xfId="10322"/>
    <cellStyle name="Normal 57 6 2 4 6" xfId="5056"/>
    <cellStyle name="Normal 57 6 2 5" xfId="541"/>
    <cellStyle name="Normal 57 6 2 5 2" xfId="2430"/>
    <cellStyle name="Normal 57 6 2 5 2 2" xfId="7712"/>
    <cellStyle name="Normal 57 6 2 5 3" xfId="4093"/>
    <cellStyle name="Normal 57 6 2 5 3 2" xfId="9108"/>
    <cellStyle name="Normal 57 6 2 5 4" xfId="5900"/>
    <cellStyle name="Normal 57 6 2 5 5" xfId="10562"/>
    <cellStyle name="Normal 57 6 2 5 6" xfId="5306"/>
    <cellStyle name="Normal 57 6 2 6" xfId="1497"/>
    <cellStyle name="Normal 57 6 2 6 2" xfId="6786"/>
    <cellStyle name="Normal 57 6 2 7" xfId="3049"/>
    <cellStyle name="Normal 57 6 2 7 2" xfId="8065"/>
    <cellStyle name="Normal 57 6 2 8" xfId="5626"/>
    <cellStyle name="Normal 57 6 2 9" xfId="9519"/>
    <cellStyle name="Normal 57 6 2_Degree data" xfId="2796"/>
    <cellStyle name="Normal 57 6 3" xfId="201"/>
    <cellStyle name="Normal 57 6 3 10" xfId="4438"/>
    <cellStyle name="Normal 57 6 3 2" xfId="415"/>
    <cellStyle name="Normal 57 6 3 2 2" xfId="1226"/>
    <cellStyle name="Normal 57 6 3 2 2 2" xfId="2177"/>
    <cellStyle name="Normal 57 6 3 2 2 2 2" xfId="7466"/>
    <cellStyle name="Normal 57 6 3 2 2 3" xfId="3507"/>
    <cellStyle name="Normal 57 6 3 2 2 3 2" xfId="8523"/>
    <cellStyle name="Normal 57 6 3 2 2 4" xfId="6582"/>
    <cellStyle name="Normal 57 6 3 2 2 5" xfId="9977"/>
    <cellStyle name="Normal 57 6 3 2 2 6" xfId="5059"/>
    <cellStyle name="Normal 57 6 3 2 3" xfId="921"/>
    <cellStyle name="Normal 57 6 3 2 3 2" xfId="2589"/>
    <cellStyle name="Normal 57 6 3 2 3 2 2" xfId="7871"/>
    <cellStyle name="Normal 57 6 3 2 3 3" xfId="3856"/>
    <cellStyle name="Normal 57 6 3 2 3 3 2" xfId="8871"/>
    <cellStyle name="Normal 57 6 3 2 3 4" xfId="6278"/>
    <cellStyle name="Normal 57 6 3 2 3 5" xfId="10325"/>
    <cellStyle name="Normal 57 6 3 2 3 6" xfId="5465"/>
    <cellStyle name="Normal 57 6 3 2 4" xfId="1873"/>
    <cellStyle name="Normal 57 6 3 2 4 2" xfId="4252"/>
    <cellStyle name="Normal 57 6 3 2 4 2 2" xfId="9267"/>
    <cellStyle name="Normal 57 6 3 2 4 3" xfId="10721"/>
    <cellStyle name="Normal 57 6 3 2 4 4" xfId="7162"/>
    <cellStyle name="Normal 57 6 3 2 5" xfId="3208"/>
    <cellStyle name="Normal 57 6 3 2 5 2" xfId="8224"/>
    <cellStyle name="Normal 57 6 3 2 6" xfId="5785"/>
    <cellStyle name="Normal 57 6 3 2 7" xfId="9678"/>
    <cellStyle name="Normal 57 6 3 2 8" xfId="4755"/>
    <cellStyle name="Normal 57 6 3 2_Degree data" xfId="2799"/>
    <cellStyle name="Normal 57 6 3 3" xfId="716"/>
    <cellStyle name="Normal 57 6 3 3 2" xfId="1668"/>
    <cellStyle name="Normal 57 6 3 3 2 2" xfId="6957"/>
    <cellStyle name="Normal 57 6 3 3 3" xfId="3506"/>
    <cellStyle name="Normal 57 6 3 3 3 2" xfId="8522"/>
    <cellStyle name="Normal 57 6 3 3 4" xfId="6073"/>
    <cellStyle name="Normal 57 6 3 3 5" xfId="9976"/>
    <cellStyle name="Normal 57 6 3 3 6" xfId="4550"/>
    <cellStyle name="Normal 57 6 3 4" xfId="1225"/>
    <cellStyle name="Normal 57 6 3 4 2" xfId="2176"/>
    <cellStyle name="Normal 57 6 3 4 2 2" xfId="7465"/>
    <cellStyle name="Normal 57 6 3 4 3" xfId="3855"/>
    <cellStyle name="Normal 57 6 3 4 3 2" xfId="8870"/>
    <cellStyle name="Normal 57 6 3 4 4" xfId="6581"/>
    <cellStyle name="Normal 57 6 3 4 5" xfId="10324"/>
    <cellStyle name="Normal 57 6 3 4 6" xfId="5058"/>
    <cellStyle name="Normal 57 6 3 5" xfId="601"/>
    <cellStyle name="Normal 57 6 3 5 2" xfId="2384"/>
    <cellStyle name="Normal 57 6 3 5 2 2" xfId="7666"/>
    <cellStyle name="Normal 57 6 3 5 3" xfId="4047"/>
    <cellStyle name="Normal 57 6 3 5 3 2" xfId="9062"/>
    <cellStyle name="Normal 57 6 3 5 4" xfId="5959"/>
    <cellStyle name="Normal 57 6 3 5 5" xfId="10516"/>
    <cellStyle name="Normal 57 6 3 5 6" xfId="5260"/>
    <cellStyle name="Normal 57 6 3 6" xfId="1556"/>
    <cellStyle name="Normal 57 6 3 6 2" xfId="6845"/>
    <cellStyle name="Normal 57 6 3 7" xfId="3003"/>
    <cellStyle name="Normal 57 6 3 7 2" xfId="8019"/>
    <cellStyle name="Normal 57 6 3 8" xfId="5580"/>
    <cellStyle name="Normal 57 6 3 9" xfId="9473"/>
    <cellStyle name="Normal 57 6 3_Degree data" xfId="2798"/>
    <cellStyle name="Normal 57 6 4" xfId="307"/>
    <cellStyle name="Normal 57 6 4 2" xfId="1227"/>
    <cellStyle name="Normal 57 6 4 2 2" xfId="2178"/>
    <cellStyle name="Normal 57 6 4 2 2 2" xfId="7467"/>
    <cellStyle name="Normal 57 6 4 2 3" xfId="3508"/>
    <cellStyle name="Normal 57 6 4 2 3 2" xfId="8524"/>
    <cellStyle name="Normal 57 6 4 2 4" xfId="6583"/>
    <cellStyle name="Normal 57 6 4 2 5" xfId="9978"/>
    <cellStyle name="Normal 57 6 4 2 6" xfId="5060"/>
    <cellStyle name="Normal 57 6 4 3" xfId="816"/>
    <cellStyle name="Normal 57 6 4 3 2" xfId="2484"/>
    <cellStyle name="Normal 57 6 4 3 2 2" xfId="7766"/>
    <cellStyle name="Normal 57 6 4 3 3" xfId="3857"/>
    <cellStyle name="Normal 57 6 4 3 3 2" xfId="8872"/>
    <cellStyle name="Normal 57 6 4 3 4" xfId="6173"/>
    <cellStyle name="Normal 57 6 4 3 5" xfId="10326"/>
    <cellStyle name="Normal 57 6 4 3 6" xfId="5360"/>
    <cellStyle name="Normal 57 6 4 4" xfId="1768"/>
    <cellStyle name="Normal 57 6 4 4 2" xfId="4147"/>
    <cellStyle name="Normal 57 6 4 4 2 2" xfId="9162"/>
    <cellStyle name="Normal 57 6 4 4 3" xfId="10616"/>
    <cellStyle name="Normal 57 6 4 4 4" xfId="7057"/>
    <cellStyle name="Normal 57 6 4 5" xfId="3103"/>
    <cellStyle name="Normal 57 6 4 5 2" xfId="8119"/>
    <cellStyle name="Normal 57 6 4 6" xfId="5680"/>
    <cellStyle name="Normal 57 6 4 7" xfId="9573"/>
    <cellStyle name="Normal 57 6 4 8" xfId="4650"/>
    <cellStyle name="Normal 57 6 4_Degree data" xfId="2800"/>
    <cellStyle name="Normal 57 6 5" xfId="660"/>
    <cellStyle name="Normal 57 6 5 2" xfId="1612"/>
    <cellStyle name="Normal 57 6 5 2 2" xfId="6901"/>
    <cellStyle name="Normal 57 6 5 3" xfId="3503"/>
    <cellStyle name="Normal 57 6 5 3 2" xfId="8519"/>
    <cellStyle name="Normal 57 6 5 4" xfId="6017"/>
    <cellStyle name="Normal 57 6 5 5" xfId="9973"/>
    <cellStyle name="Normal 57 6 5 6" xfId="4494"/>
    <cellStyle name="Normal 57 6 6" xfId="1222"/>
    <cellStyle name="Normal 57 6 6 2" xfId="2173"/>
    <cellStyle name="Normal 57 6 6 2 2" xfId="7462"/>
    <cellStyle name="Normal 57 6 6 3" xfId="3852"/>
    <cellStyle name="Normal 57 6 6 3 2" xfId="8867"/>
    <cellStyle name="Normal 57 6 6 4" xfId="6578"/>
    <cellStyle name="Normal 57 6 6 5" xfId="10321"/>
    <cellStyle name="Normal 57 6 6 6" xfId="5055"/>
    <cellStyle name="Normal 57 6 7" xfId="489"/>
    <cellStyle name="Normal 57 6 7 2" xfId="2328"/>
    <cellStyle name="Normal 57 6 7 2 2" xfId="7610"/>
    <cellStyle name="Normal 57 6 7 3" xfId="3991"/>
    <cellStyle name="Normal 57 6 7 3 2" xfId="9006"/>
    <cellStyle name="Normal 57 6 7 4" xfId="5853"/>
    <cellStyle name="Normal 57 6 7 5" xfId="10460"/>
    <cellStyle name="Normal 57 6 7 6" xfId="5204"/>
    <cellStyle name="Normal 57 6 8" xfId="1450"/>
    <cellStyle name="Normal 57 6 8 2" xfId="9417"/>
    <cellStyle name="Normal 57 6 8 3" xfId="6740"/>
    <cellStyle name="Normal 57 6 9" xfId="2945"/>
    <cellStyle name="Normal 57 6 9 2" xfId="7961"/>
    <cellStyle name="Normal 57 6_Degree data" xfId="2795"/>
    <cellStyle name="Normal 57 7" xfId="207"/>
    <cellStyle name="Normal 57 7 10" xfId="9476"/>
    <cellStyle name="Normal 57 7 11" xfId="4336"/>
    <cellStyle name="Normal 57 7 2" xfId="418"/>
    <cellStyle name="Normal 57 7 2 2" xfId="924"/>
    <cellStyle name="Normal 57 7 2 2 2" xfId="1876"/>
    <cellStyle name="Normal 57 7 2 2 2 2" xfId="7165"/>
    <cellStyle name="Normal 57 7 2 2 3" xfId="3510"/>
    <cellStyle name="Normal 57 7 2 2 3 2" xfId="8526"/>
    <cellStyle name="Normal 57 7 2 2 4" xfId="6281"/>
    <cellStyle name="Normal 57 7 2 2 5" xfId="9980"/>
    <cellStyle name="Normal 57 7 2 2 6" xfId="4758"/>
    <cellStyle name="Normal 57 7 2 3" xfId="1229"/>
    <cellStyle name="Normal 57 7 2 3 2" xfId="2180"/>
    <cellStyle name="Normal 57 7 2 3 2 2" xfId="7469"/>
    <cellStyle name="Normal 57 7 2 3 3" xfId="3859"/>
    <cellStyle name="Normal 57 7 2 3 3 2" xfId="8874"/>
    <cellStyle name="Normal 57 7 2 3 4" xfId="6585"/>
    <cellStyle name="Normal 57 7 2 3 5" xfId="10328"/>
    <cellStyle name="Normal 57 7 2 3 6" xfId="5062"/>
    <cellStyle name="Normal 57 7 2 4" xfId="604"/>
    <cellStyle name="Normal 57 7 2 4 2" xfId="2592"/>
    <cellStyle name="Normal 57 7 2 4 2 2" xfId="7874"/>
    <cellStyle name="Normal 57 7 2 4 3" xfId="4255"/>
    <cellStyle name="Normal 57 7 2 4 3 2" xfId="9270"/>
    <cellStyle name="Normal 57 7 2 4 4" xfId="5962"/>
    <cellStyle name="Normal 57 7 2 4 5" xfId="10724"/>
    <cellStyle name="Normal 57 7 2 4 6" xfId="5468"/>
    <cellStyle name="Normal 57 7 2 5" xfId="1559"/>
    <cellStyle name="Normal 57 7 2 5 2" xfId="6848"/>
    <cellStyle name="Normal 57 7 2 6" xfId="3211"/>
    <cellStyle name="Normal 57 7 2 6 2" xfId="8227"/>
    <cellStyle name="Normal 57 7 2 7" xfId="5788"/>
    <cellStyle name="Normal 57 7 2 8" xfId="9681"/>
    <cellStyle name="Normal 57 7 2 9" xfId="4441"/>
    <cellStyle name="Normal 57 7 2_Degree data" xfId="2802"/>
    <cellStyle name="Normal 57 7 3" xfId="310"/>
    <cellStyle name="Normal 57 7 3 2" xfId="1230"/>
    <cellStyle name="Normal 57 7 3 2 2" xfId="2181"/>
    <cellStyle name="Normal 57 7 3 2 2 2" xfId="7470"/>
    <cellStyle name="Normal 57 7 3 2 3" xfId="3511"/>
    <cellStyle name="Normal 57 7 3 2 3 2" xfId="8527"/>
    <cellStyle name="Normal 57 7 3 2 4" xfId="6586"/>
    <cellStyle name="Normal 57 7 3 2 5" xfId="9981"/>
    <cellStyle name="Normal 57 7 3 2 6" xfId="5063"/>
    <cellStyle name="Normal 57 7 3 3" xfId="819"/>
    <cellStyle name="Normal 57 7 3 3 2" xfId="2487"/>
    <cellStyle name="Normal 57 7 3 3 2 2" xfId="7769"/>
    <cellStyle name="Normal 57 7 3 3 3" xfId="3860"/>
    <cellStyle name="Normal 57 7 3 3 3 2" xfId="8875"/>
    <cellStyle name="Normal 57 7 3 3 4" xfId="6176"/>
    <cellStyle name="Normal 57 7 3 3 5" xfId="10329"/>
    <cellStyle name="Normal 57 7 3 3 6" xfId="5363"/>
    <cellStyle name="Normal 57 7 3 4" xfId="1771"/>
    <cellStyle name="Normal 57 7 3 4 2" xfId="4150"/>
    <cellStyle name="Normal 57 7 3 4 2 2" xfId="9165"/>
    <cellStyle name="Normal 57 7 3 4 3" xfId="10619"/>
    <cellStyle name="Normal 57 7 3 4 4" xfId="7060"/>
    <cellStyle name="Normal 57 7 3 5" xfId="3106"/>
    <cellStyle name="Normal 57 7 3 5 2" xfId="8122"/>
    <cellStyle name="Normal 57 7 3 6" xfId="5683"/>
    <cellStyle name="Normal 57 7 3 7" xfId="9576"/>
    <cellStyle name="Normal 57 7 3 8" xfId="4653"/>
    <cellStyle name="Normal 57 7 3_Degree data" xfId="2803"/>
    <cellStyle name="Normal 57 7 4" xfId="719"/>
    <cellStyle name="Normal 57 7 4 2" xfId="1671"/>
    <cellStyle name="Normal 57 7 4 2 2" xfId="6960"/>
    <cellStyle name="Normal 57 7 4 3" xfId="3509"/>
    <cellStyle name="Normal 57 7 4 3 2" xfId="8525"/>
    <cellStyle name="Normal 57 7 4 4" xfId="6076"/>
    <cellStyle name="Normal 57 7 4 5" xfId="9979"/>
    <cellStyle name="Normal 57 7 4 6" xfId="4553"/>
    <cellStyle name="Normal 57 7 5" xfId="1228"/>
    <cellStyle name="Normal 57 7 5 2" xfId="2179"/>
    <cellStyle name="Normal 57 7 5 2 2" xfId="7468"/>
    <cellStyle name="Normal 57 7 5 3" xfId="3858"/>
    <cellStyle name="Normal 57 7 5 3 2" xfId="8873"/>
    <cellStyle name="Normal 57 7 5 4" xfId="6584"/>
    <cellStyle name="Normal 57 7 5 5" xfId="10327"/>
    <cellStyle name="Normal 57 7 5 6" xfId="5061"/>
    <cellStyle name="Normal 57 7 6" xfId="495"/>
    <cellStyle name="Normal 57 7 6 2" xfId="2387"/>
    <cellStyle name="Normal 57 7 6 2 2" xfId="7669"/>
    <cellStyle name="Normal 57 7 6 3" xfId="4050"/>
    <cellStyle name="Normal 57 7 6 3 2" xfId="9065"/>
    <cellStyle name="Normal 57 7 6 4" xfId="5856"/>
    <cellStyle name="Normal 57 7 6 5" xfId="10519"/>
    <cellStyle name="Normal 57 7 6 6" xfId="5263"/>
    <cellStyle name="Normal 57 7 7" xfId="1454"/>
    <cellStyle name="Normal 57 7 7 2" xfId="6743"/>
    <cellStyle name="Normal 57 7 8" xfId="3006"/>
    <cellStyle name="Normal 57 7 8 2" xfId="8022"/>
    <cellStyle name="Normal 57 7 9" xfId="5583"/>
    <cellStyle name="Normal 57 7_Degree data" xfId="2801"/>
    <cellStyle name="Normal 57 8" xfId="239"/>
    <cellStyle name="Normal 57 8 10" xfId="4366"/>
    <cellStyle name="Normal 57 8 2" xfId="341"/>
    <cellStyle name="Normal 57 8 2 2" xfId="1232"/>
    <cellStyle name="Normal 57 8 2 2 2" xfId="2183"/>
    <cellStyle name="Normal 57 8 2 2 2 2" xfId="7472"/>
    <cellStyle name="Normal 57 8 2 2 3" xfId="3513"/>
    <cellStyle name="Normal 57 8 2 2 3 2" xfId="8529"/>
    <cellStyle name="Normal 57 8 2 2 4" xfId="6588"/>
    <cellStyle name="Normal 57 8 2 2 5" xfId="9983"/>
    <cellStyle name="Normal 57 8 2 2 6" xfId="5065"/>
    <cellStyle name="Normal 57 8 2 3" xfId="849"/>
    <cellStyle name="Normal 57 8 2 3 2" xfId="2517"/>
    <cellStyle name="Normal 57 8 2 3 2 2" xfId="7799"/>
    <cellStyle name="Normal 57 8 2 3 3" xfId="3862"/>
    <cellStyle name="Normal 57 8 2 3 3 2" xfId="8877"/>
    <cellStyle name="Normal 57 8 2 3 4" xfId="6206"/>
    <cellStyle name="Normal 57 8 2 3 5" xfId="10331"/>
    <cellStyle name="Normal 57 8 2 3 6" xfId="5393"/>
    <cellStyle name="Normal 57 8 2 4" xfId="1801"/>
    <cellStyle name="Normal 57 8 2 4 2" xfId="4180"/>
    <cellStyle name="Normal 57 8 2 4 2 2" xfId="9195"/>
    <cellStyle name="Normal 57 8 2 4 3" xfId="10649"/>
    <cellStyle name="Normal 57 8 2 4 4" xfId="7090"/>
    <cellStyle name="Normal 57 8 2 5" xfId="3136"/>
    <cellStyle name="Normal 57 8 2 5 2" xfId="8152"/>
    <cellStyle name="Normal 57 8 2 6" xfId="5713"/>
    <cellStyle name="Normal 57 8 2 7" xfId="9606"/>
    <cellStyle name="Normal 57 8 2 8" xfId="4683"/>
    <cellStyle name="Normal 57 8 2_Degree data" xfId="2805"/>
    <cellStyle name="Normal 57 8 3" xfId="749"/>
    <cellStyle name="Normal 57 8 3 2" xfId="1701"/>
    <cellStyle name="Normal 57 8 3 2 2" xfId="6990"/>
    <cellStyle name="Normal 57 8 3 3" xfId="3512"/>
    <cellStyle name="Normal 57 8 3 3 2" xfId="8528"/>
    <cellStyle name="Normal 57 8 3 4" xfId="6106"/>
    <cellStyle name="Normal 57 8 3 5" xfId="9982"/>
    <cellStyle name="Normal 57 8 3 6" xfId="4583"/>
    <cellStyle name="Normal 57 8 4" xfId="1231"/>
    <cellStyle name="Normal 57 8 4 2" xfId="2182"/>
    <cellStyle name="Normal 57 8 4 2 2" xfId="7471"/>
    <cellStyle name="Normal 57 8 4 3" xfId="3861"/>
    <cellStyle name="Normal 57 8 4 3 2" xfId="8876"/>
    <cellStyle name="Normal 57 8 4 4" xfId="6587"/>
    <cellStyle name="Normal 57 8 4 5" xfId="10330"/>
    <cellStyle name="Normal 57 8 4 6" xfId="5064"/>
    <cellStyle name="Normal 57 8 5" xfId="528"/>
    <cellStyle name="Normal 57 8 5 2" xfId="2417"/>
    <cellStyle name="Normal 57 8 5 2 2" xfId="7699"/>
    <cellStyle name="Normal 57 8 5 3" xfId="4080"/>
    <cellStyle name="Normal 57 8 5 3 2" xfId="9095"/>
    <cellStyle name="Normal 57 8 5 4" xfId="5887"/>
    <cellStyle name="Normal 57 8 5 5" xfId="10549"/>
    <cellStyle name="Normal 57 8 5 6" xfId="5293"/>
    <cellStyle name="Normal 57 8 6" xfId="1484"/>
    <cellStyle name="Normal 57 8 6 2" xfId="6773"/>
    <cellStyle name="Normal 57 8 7" xfId="3036"/>
    <cellStyle name="Normal 57 8 7 2" xfId="8052"/>
    <cellStyle name="Normal 57 8 8" xfId="5613"/>
    <cellStyle name="Normal 57 8 9" xfId="9506"/>
    <cellStyle name="Normal 57 8_Degree data" xfId="2804"/>
    <cellStyle name="Normal 57 9" xfId="177"/>
    <cellStyle name="Normal 57 9 10" xfId="4414"/>
    <cellStyle name="Normal 57 9 2" xfId="391"/>
    <cellStyle name="Normal 57 9 2 2" xfId="1234"/>
    <cellStyle name="Normal 57 9 2 2 2" xfId="2185"/>
    <cellStyle name="Normal 57 9 2 2 2 2" xfId="7474"/>
    <cellStyle name="Normal 57 9 2 2 3" xfId="3515"/>
    <cellStyle name="Normal 57 9 2 2 3 2" xfId="8531"/>
    <cellStyle name="Normal 57 9 2 2 4" xfId="6590"/>
    <cellStyle name="Normal 57 9 2 2 5" xfId="9985"/>
    <cellStyle name="Normal 57 9 2 2 6" xfId="5067"/>
    <cellStyle name="Normal 57 9 2 3" xfId="897"/>
    <cellStyle name="Normal 57 9 2 3 2" xfId="2565"/>
    <cellStyle name="Normal 57 9 2 3 2 2" xfId="7847"/>
    <cellStyle name="Normal 57 9 2 3 3" xfId="3864"/>
    <cellStyle name="Normal 57 9 2 3 3 2" xfId="8879"/>
    <cellStyle name="Normal 57 9 2 3 4" xfId="6254"/>
    <cellStyle name="Normal 57 9 2 3 5" xfId="10333"/>
    <cellStyle name="Normal 57 9 2 3 6" xfId="5441"/>
    <cellStyle name="Normal 57 9 2 4" xfId="1849"/>
    <cellStyle name="Normal 57 9 2 4 2" xfId="4228"/>
    <cellStyle name="Normal 57 9 2 4 2 2" xfId="9243"/>
    <cellStyle name="Normal 57 9 2 4 3" xfId="10697"/>
    <cellStyle name="Normal 57 9 2 4 4" xfId="7138"/>
    <cellStyle name="Normal 57 9 2 5" xfId="3184"/>
    <cellStyle name="Normal 57 9 2 5 2" xfId="8200"/>
    <cellStyle name="Normal 57 9 2 6" xfId="5761"/>
    <cellStyle name="Normal 57 9 2 7" xfId="9654"/>
    <cellStyle name="Normal 57 9 2 8" xfId="4731"/>
    <cellStyle name="Normal 57 9 2_Degree data" xfId="2807"/>
    <cellStyle name="Normal 57 9 3" xfId="692"/>
    <cellStyle name="Normal 57 9 3 2" xfId="1644"/>
    <cellStyle name="Normal 57 9 3 2 2" xfId="6933"/>
    <cellStyle name="Normal 57 9 3 3" xfId="3514"/>
    <cellStyle name="Normal 57 9 3 3 2" xfId="8530"/>
    <cellStyle name="Normal 57 9 3 4" xfId="6049"/>
    <cellStyle name="Normal 57 9 3 5" xfId="9984"/>
    <cellStyle name="Normal 57 9 3 6" xfId="4526"/>
    <cellStyle name="Normal 57 9 4" xfId="1233"/>
    <cellStyle name="Normal 57 9 4 2" xfId="2184"/>
    <cellStyle name="Normal 57 9 4 2 2" xfId="7473"/>
    <cellStyle name="Normal 57 9 4 3" xfId="3863"/>
    <cellStyle name="Normal 57 9 4 3 2" xfId="8878"/>
    <cellStyle name="Normal 57 9 4 4" xfId="6589"/>
    <cellStyle name="Normal 57 9 4 5" xfId="10332"/>
    <cellStyle name="Normal 57 9 4 6" xfId="5066"/>
    <cellStyle name="Normal 57 9 5" xfId="577"/>
    <cellStyle name="Normal 57 9 5 2" xfId="2360"/>
    <cellStyle name="Normal 57 9 5 2 2" xfId="7642"/>
    <cellStyle name="Normal 57 9 5 3" xfId="4023"/>
    <cellStyle name="Normal 57 9 5 3 2" xfId="9038"/>
    <cellStyle name="Normal 57 9 5 4" xfId="5935"/>
    <cellStyle name="Normal 57 9 5 5" xfId="10492"/>
    <cellStyle name="Normal 57 9 5 6" xfId="5236"/>
    <cellStyle name="Normal 57 9 6" xfId="1532"/>
    <cellStyle name="Normal 57 9 6 2" xfId="6821"/>
    <cellStyle name="Normal 57 9 7" xfId="2979"/>
    <cellStyle name="Normal 57 9 7 2" xfId="7995"/>
    <cellStyle name="Normal 57 9 8" xfId="5556"/>
    <cellStyle name="Normal 57 9 9" xfId="9449"/>
    <cellStyle name="Normal 57 9_Degree data" xfId="2806"/>
    <cellStyle name="Normal 57_Degree data" xfId="2750"/>
    <cellStyle name="Normal 58" xfId="71"/>
    <cellStyle name="Normal 58 10" xfId="284"/>
    <cellStyle name="Normal 58 10 2" xfId="1236"/>
    <cellStyle name="Normal 58 10 2 2" xfId="2187"/>
    <cellStyle name="Normal 58 10 2 2 2" xfId="7476"/>
    <cellStyle name="Normal 58 10 2 3" xfId="3517"/>
    <cellStyle name="Normal 58 10 2 3 2" xfId="8533"/>
    <cellStyle name="Normal 58 10 2 4" xfId="6592"/>
    <cellStyle name="Normal 58 10 2 5" xfId="9987"/>
    <cellStyle name="Normal 58 10 2 6" xfId="5069"/>
    <cellStyle name="Normal 58 10 3" xfId="793"/>
    <cellStyle name="Normal 58 10 3 2" xfId="2461"/>
    <cellStyle name="Normal 58 10 3 2 2" xfId="7743"/>
    <cellStyle name="Normal 58 10 3 3" xfId="3866"/>
    <cellStyle name="Normal 58 10 3 3 2" xfId="8881"/>
    <cellStyle name="Normal 58 10 3 4" xfId="6150"/>
    <cellStyle name="Normal 58 10 3 5" xfId="10335"/>
    <cellStyle name="Normal 58 10 3 6" xfId="5337"/>
    <cellStyle name="Normal 58 10 4" xfId="1745"/>
    <cellStyle name="Normal 58 10 4 2" xfId="4124"/>
    <cellStyle name="Normal 58 10 4 2 2" xfId="9139"/>
    <cellStyle name="Normal 58 10 4 3" xfId="10593"/>
    <cellStyle name="Normal 58 10 4 4" xfId="7034"/>
    <cellStyle name="Normal 58 10 5" xfId="3080"/>
    <cellStyle name="Normal 58 10 5 2" xfId="8096"/>
    <cellStyle name="Normal 58 10 6" xfId="5657"/>
    <cellStyle name="Normal 58 10 7" xfId="9550"/>
    <cellStyle name="Normal 58 10 8" xfId="4627"/>
    <cellStyle name="Normal 58 10_Degree data" xfId="2809"/>
    <cellStyle name="Normal 58 11" xfId="649"/>
    <cellStyle name="Normal 58 11 2" xfId="1237"/>
    <cellStyle name="Normal 58 11 2 2" xfId="2188"/>
    <cellStyle name="Normal 58 11 2 2 2" xfId="7477"/>
    <cellStyle name="Normal 58 11 2 3" xfId="3518"/>
    <cellStyle name="Normal 58 11 2 3 2" xfId="8534"/>
    <cellStyle name="Normal 58 11 2 4" xfId="6593"/>
    <cellStyle name="Normal 58 11 2 5" xfId="9988"/>
    <cellStyle name="Normal 58 11 2 6" xfId="5070"/>
    <cellStyle name="Normal 58 11 3" xfId="1412"/>
    <cellStyle name="Normal 58 11 3 2" xfId="2317"/>
    <cellStyle name="Normal 58 11 3 2 2" xfId="7599"/>
    <cellStyle name="Normal 58 11 3 3" xfId="3867"/>
    <cellStyle name="Normal 58 11 3 3 2" xfId="8882"/>
    <cellStyle name="Normal 58 11 3 4" xfId="6708"/>
    <cellStyle name="Normal 58 11 3 5" xfId="10336"/>
    <cellStyle name="Normal 58 11 3 6" xfId="5193"/>
    <cellStyle name="Normal 58 11 4" xfId="1601"/>
    <cellStyle name="Normal 58 11 4 2" xfId="3980"/>
    <cellStyle name="Normal 58 11 4 2 2" xfId="8995"/>
    <cellStyle name="Normal 58 11 4 3" xfId="10449"/>
    <cellStyle name="Normal 58 11 4 4" xfId="6890"/>
    <cellStyle name="Normal 58 11 5" xfId="2934"/>
    <cellStyle name="Normal 58 11 5 2" xfId="7950"/>
    <cellStyle name="Normal 58 11 6" xfId="6006"/>
    <cellStyle name="Normal 58 11 7" xfId="9406"/>
    <cellStyle name="Normal 58 11 8" xfId="4483"/>
    <cellStyle name="Normal 58 11_Degree data" xfId="2810"/>
    <cellStyle name="Normal 58 12" xfId="1235"/>
    <cellStyle name="Normal 58 12 2" xfId="2186"/>
    <cellStyle name="Normal 58 12 2 2" xfId="7475"/>
    <cellStyle name="Normal 58 12 3" xfId="3516"/>
    <cellStyle name="Normal 58 12 3 2" xfId="8532"/>
    <cellStyle name="Normal 58 12 4" xfId="6591"/>
    <cellStyle name="Normal 58 12 5" xfId="9986"/>
    <cellStyle name="Normal 58 12 6" xfId="5068"/>
    <cellStyle name="Normal 58 13" xfId="463"/>
    <cellStyle name="Normal 58 13 2" xfId="2290"/>
    <cellStyle name="Normal 58 13 2 2" xfId="7572"/>
    <cellStyle name="Normal 58 13 3" xfId="3865"/>
    <cellStyle name="Normal 58 13 3 2" xfId="8880"/>
    <cellStyle name="Normal 58 13 4" xfId="5830"/>
    <cellStyle name="Normal 58 13 5" xfId="10334"/>
    <cellStyle name="Normal 58 13 6" xfId="5166"/>
    <cellStyle name="Normal 58 14" xfId="1424"/>
    <cellStyle name="Normal 58 14 2" xfId="3953"/>
    <cellStyle name="Normal 58 14 2 2" xfId="8968"/>
    <cellStyle name="Normal 58 14 3" xfId="10422"/>
    <cellStyle name="Normal 58 14 4" xfId="6716"/>
    <cellStyle name="Normal 58 15" xfId="2907"/>
    <cellStyle name="Normal 58 15 2" xfId="9379"/>
    <cellStyle name="Normal 58 15 3" xfId="7923"/>
    <cellStyle name="Normal 58 16" xfId="5513"/>
    <cellStyle name="Normal 58 17" xfId="9339"/>
    <cellStyle name="Normal 58 18" xfId="4310"/>
    <cellStyle name="Normal 58 2" xfId="111"/>
    <cellStyle name="Normal 58 3" xfId="112"/>
    <cellStyle name="Normal 58 3 10" xfId="2919"/>
    <cellStyle name="Normal 58 3 10 2" xfId="9391"/>
    <cellStyle name="Normal 58 3 10 3" xfId="7935"/>
    <cellStyle name="Normal 58 3 11" xfId="5518"/>
    <cellStyle name="Normal 58 3 12" xfId="9361"/>
    <cellStyle name="Normal 58 3 13" xfId="4323"/>
    <cellStyle name="Normal 58 3 2" xfId="160"/>
    <cellStyle name="Normal 58 3 2 10" xfId="5543"/>
    <cellStyle name="Normal 58 3 2 11" xfId="9436"/>
    <cellStyle name="Normal 58 3 2 12" xfId="4353"/>
    <cellStyle name="Normal 58 3 2 2" xfId="225"/>
    <cellStyle name="Normal 58 3 2 2 10" xfId="4457"/>
    <cellStyle name="Normal 58 3 2 2 2" xfId="434"/>
    <cellStyle name="Normal 58 3 2 2 2 2" xfId="1241"/>
    <cellStyle name="Normal 58 3 2 2 2 2 2" xfId="2192"/>
    <cellStyle name="Normal 58 3 2 2 2 2 2 2" xfId="7481"/>
    <cellStyle name="Normal 58 3 2 2 2 2 3" xfId="3522"/>
    <cellStyle name="Normal 58 3 2 2 2 2 3 2" xfId="8538"/>
    <cellStyle name="Normal 58 3 2 2 2 2 4" xfId="6597"/>
    <cellStyle name="Normal 58 3 2 2 2 2 5" xfId="9992"/>
    <cellStyle name="Normal 58 3 2 2 2 2 6" xfId="5074"/>
    <cellStyle name="Normal 58 3 2 2 2 3" xfId="940"/>
    <cellStyle name="Normal 58 3 2 2 2 3 2" xfId="2608"/>
    <cellStyle name="Normal 58 3 2 2 2 3 2 2" xfId="7890"/>
    <cellStyle name="Normal 58 3 2 2 2 3 3" xfId="3871"/>
    <cellStyle name="Normal 58 3 2 2 2 3 3 2" xfId="8886"/>
    <cellStyle name="Normal 58 3 2 2 2 3 4" xfId="6297"/>
    <cellStyle name="Normal 58 3 2 2 2 3 5" xfId="10340"/>
    <cellStyle name="Normal 58 3 2 2 2 3 6" xfId="5484"/>
    <cellStyle name="Normal 58 3 2 2 2 4" xfId="1892"/>
    <cellStyle name="Normal 58 3 2 2 2 4 2" xfId="4271"/>
    <cellStyle name="Normal 58 3 2 2 2 4 2 2" xfId="9286"/>
    <cellStyle name="Normal 58 3 2 2 2 4 3" xfId="10740"/>
    <cellStyle name="Normal 58 3 2 2 2 4 4" xfId="7181"/>
    <cellStyle name="Normal 58 3 2 2 2 5" xfId="3227"/>
    <cellStyle name="Normal 58 3 2 2 2 5 2" xfId="8243"/>
    <cellStyle name="Normal 58 3 2 2 2 6" xfId="5804"/>
    <cellStyle name="Normal 58 3 2 2 2 7" xfId="9697"/>
    <cellStyle name="Normal 58 3 2 2 2 8" xfId="4774"/>
    <cellStyle name="Normal 58 3 2 2 2_Degree data" xfId="2814"/>
    <cellStyle name="Normal 58 3 2 2 3" xfId="736"/>
    <cellStyle name="Normal 58 3 2 2 3 2" xfId="1688"/>
    <cellStyle name="Normal 58 3 2 2 3 2 2" xfId="6977"/>
    <cellStyle name="Normal 58 3 2 2 3 3" xfId="3521"/>
    <cellStyle name="Normal 58 3 2 2 3 3 2" xfId="8537"/>
    <cellStyle name="Normal 58 3 2 2 3 4" xfId="6093"/>
    <cellStyle name="Normal 58 3 2 2 3 5" xfId="9991"/>
    <cellStyle name="Normal 58 3 2 2 3 6" xfId="4570"/>
    <cellStyle name="Normal 58 3 2 2 4" xfId="1240"/>
    <cellStyle name="Normal 58 3 2 2 4 2" xfId="2191"/>
    <cellStyle name="Normal 58 3 2 2 4 2 2" xfId="7480"/>
    <cellStyle name="Normal 58 3 2 2 4 3" xfId="3870"/>
    <cellStyle name="Normal 58 3 2 2 4 3 2" xfId="8885"/>
    <cellStyle name="Normal 58 3 2 2 4 4" xfId="6596"/>
    <cellStyle name="Normal 58 3 2 2 4 5" xfId="10339"/>
    <cellStyle name="Normal 58 3 2 2 4 6" xfId="5073"/>
    <cellStyle name="Normal 58 3 2 2 5" xfId="620"/>
    <cellStyle name="Normal 58 3 2 2 5 2" xfId="2404"/>
    <cellStyle name="Normal 58 3 2 2 5 2 2" xfId="7686"/>
    <cellStyle name="Normal 58 3 2 2 5 3" xfId="4067"/>
    <cellStyle name="Normal 58 3 2 2 5 3 2" xfId="9082"/>
    <cellStyle name="Normal 58 3 2 2 5 4" xfId="5978"/>
    <cellStyle name="Normal 58 3 2 2 5 5" xfId="10536"/>
    <cellStyle name="Normal 58 3 2 2 5 6" xfId="5280"/>
    <cellStyle name="Normal 58 3 2 2 6" xfId="1575"/>
    <cellStyle name="Normal 58 3 2 2 6 2" xfId="6864"/>
    <cellStyle name="Normal 58 3 2 2 7" xfId="3023"/>
    <cellStyle name="Normal 58 3 2 2 7 2" xfId="8039"/>
    <cellStyle name="Normal 58 3 2 2 8" xfId="5600"/>
    <cellStyle name="Normal 58 3 2 2 9" xfId="9493"/>
    <cellStyle name="Normal 58 3 2 2_Degree data" xfId="2813"/>
    <cellStyle name="Normal 58 3 2 3" xfId="390"/>
    <cellStyle name="Normal 58 3 2 3 2" xfId="896"/>
    <cellStyle name="Normal 58 3 2 3 2 2" xfId="1848"/>
    <cellStyle name="Normal 58 3 2 3 2 2 2" xfId="7137"/>
    <cellStyle name="Normal 58 3 2 3 2 3" xfId="3523"/>
    <cellStyle name="Normal 58 3 2 3 2 3 2" xfId="8539"/>
    <cellStyle name="Normal 58 3 2 3 2 4" xfId="6253"/>
    <cellStyle name="Normal 58 3 2 3 2 5" xfId="9993"/>
    <cellStyle name="Normal 58 3 2 3 2 6" xfId="4730"/>
    <cellStyle name="Normal 58 3 2 3 3" xfId="1242"/>
    <cellStyle name="Normal 58 3 2 3 3 2" xfId="2193"/>
    <cellStyle name="Normal 58 3 2 3 3 2 2" xfId="7482"/>
    <cellStyle name="Normal 58 3 2 3 3 3" xfId="3872"/>
    <cellStyle name="Normal 58 3 2 3 3 3 2" xfId="8887"/>
    <cellStyle name="Normal 58 3 2 3 3 4" xfId="6598"/>
    <cellStyle name="Normal 58 3 2 3 3 5" xfId="10341"/>
    <cellStyle name="Normal 58 3 2 3 3 6" xfId="5075"/>
    <cellStyle name="Normal 58 3 2 3 4" xfId="576"/>
    <cellStyle name="Normal 58 3 2 3 4 2" xfId="2564"/>
    <cellStyle name="Normal 58 3 2 3 4 2 2" xfId="7846"/>
    <cellStyle name="Normal 58 3 2 3 4 3" xfId="4227"/>
    <cellStyle name="Normal 58 3 2 3 4 3 2" xfId="9242"/>
    <cellStyle name="Normal 58 3 2 3 4 4" xfId="5934"/>
    <cellStyle name="Normal 58 3 2 3 4 5" xfId="10696"/>
    <cellStyle name="Normal 58 3 2 3 4 6" xfId="5440"/>
    <cellStyle name="Normal 58 3 2 3 5" xfId="1531"/>
    <cellStyle name="Normal 58 3 2 3 5 2" xfId="6820"/>
    <cellStyle name="Normal 58 3 2 3 6" xfId="3183"/>
    <cellStyle name="Normal 58 3 2 3 6 2" xfId="8199"/>
    <cellStyle name="Normal 58 3 2 3 7" xfId="5760"/>
    <cellStyle name="Normal 58 3 2 3 8" xfId="9653"/>
    <cellStyle name="Normal 58 3 2 3 9" xfId="4413"/>
    <cellStyle name="Normal 58 3 2 3_Degree data" xfId="2815"/>
    <cellStyle name="Normal 58 3 2 4" xfId="327"/>
    <cellStyle name="Normal 58 3 2 4 2" xfId="1243"/>
    <cellStyle name="Normal 58 3 2 4 2 2" xfId="2194"/>
    <cellStyle name="Normal 58 3 2 4 2 2 2" xfId="7483"/>
    <cellStyle name="Normal 58 3 2 4 2 3" xfId="3524"/>
    <cellStyle name="Normal 58 3 2 4 2 3 2" xfId="8540"/>
    <cellStyle name="Normal 58 3 2 4 2 4" xfId="6599"/>
    <cellStyle name="Normal 58 3 2 4 2 5" xfId="9994"/>
    <cellStyle name="Normal 58 3 2 4 2 6" xfId="5076"/>
    <cellStyle name="Normal 58 3 2 4 3" xfId="836"/>
    <cellStyle name="Normal 58 3 2 4 3 2" xfId="2504"/>
    <cellStyle name="Normal 58 3 2 4 3 2 2" xfId="7786"/>
    <cellStyle name="Normal 58 3 2 4 3 3" xfId="3873"/>
    <cellStyle name="Normal 58 3 2 4 3 3 2" xfId="8888"/>
    <cellStyle name="Normal 58 3 2 4 3 4" xfId="6193"/>
    <cellStyle name="Normal 58 3 2 4 3 5" xfId="10342"/>
    <cellStyle name="Normal 58 3 2 4 3 6" xfId="5380"/>
    <cellStyle name="Normal 58 3 2 4 4" xfId="1788"/>
    <cellStyle name="Normal 58 3 2 4 4 2" xfId="4167"/>
    <cellStyle name="Normal 58 3 2 4 4 2 2" xfId="9182"/>
    <cellStyle name="Normal 58 3 2 4 4 3" xfId="10636"/>
    <cellStyle name="Normal 58 3 2 4 4 4" xfId="7077"/>
    <cellStyle name="Normal 58 3 2 4 5" xfId="3123"/>
    <cellStyle name="Normal 58 3 2 4 5 2" xfId="8139"/>
    <cellStyle name="Normal 58 3 2 4 6" xfId="5700"/>
    <cellStyle name="Normal 58 3 2 4 7" xfId="9593"/>
    <cellStyle name="Normal 58 3 2 4 8" xfId="4670"/>
    <cellStyle name="Normal 58 3 2 4_Degree data" xfId="2816"/>
    <cellStyle name="Normal 58 3 2 5" xfId="679"/>
    <cellStyle name="Normal 58 3 2 5 2" xfId="1631"/>
    <cellStyle name="Normal 58 3 2 5 2 2" xfId="6920"/>
    <cellStyle name="Normal 58 3 2 5 3" xfId="3520"/>
    <cellStyle name="Normal 58 3 2 5 3 2" xfId="8536"/>
    <cellStyle name="Normal 58 3 2 5 4" xfId="6036"/>
    <cellStyle name="Normal 58 3 2 5 5" xfId="9990"/>
    <cellStyle name="Normal 58 3 2 5 6" xfId="4513"/>
    <cellStyle name="Normal 58 3 2 6" xfId="1239"/>
    <cellStyle name="Normal 58 3 2 6 2" xfId="2190"/>
    <cellStyle name="Normal 58 3 2 6 2 2" xfId="7479"/>
    <cellStyle name="Normal 58 3 2 6 3" xfId="3869"/>
    <cellStyle name="Normal 58 3 2 6 3 2" xfId="8884"/>
    <cellStyle name="Normal 58 3 2 6 4" xfId="6595"/>
    <cellStyle name="Normal 58 3 2 6 5" xfId="10338"/>
    <cellStyle name="Normal 58 3 2 6 6" xfId="5072"/>
    <cellStyle name="Normal 58 3 2 7" xfId="513"/>
    <cellStyle name="Normal 58 3 2 7 2" xfId="2347"/>
    <cellStyle name="Normal 58 3 2 7 2 2" xfId="7629"/>
    <cellStyle name="Normal 58 3 2 7 3" xfId="4010"/>
    <cellStyle name="Normal 58 3 2 7 3 2" xfId="9025"/>
    <cellStyle name="Normal 58 3 2 7 4" xfId="5874"/>
    <cellStyle name="Normal 58 3 2 7 5" xfId="10479"/>
    <cellStyle name="Normal 58 3 2 7 6" xfId="5223"/>
    <cellStyle name="Normal 58 3 2 8" xfId="1471"/>
    <cellStyle name="Normal 58 3 2 8 2" xfId="6760"/>
    <cellStyle name="Normal 58 3 2 9" xfId="2964"/>
    <cellStyle name="Normal 58 3 2 9 2" xfId="7980"/>
    <cellStyle name="Normal 58 3 2_Degree data" xfId="2812"/>
    <cellStyle name="Normal 58 3 3" xfId="270"/>
    <cellStyle name="Normal 58 3 3 10" xfId="4396"/>
    <cellStyle name="Normal 58 3 3 2" xfId="372"/>
    <cellStyle name="Normal 58 3 3 2 2" xfId="1245"/>
    <cellStyle name="Normal 58 3 3 2 2 2" xfId="2196"/>
    <cellStyle name="Normal 58 3 3 2 2 2 2" xfId="7485"/>
    <cellStyle name="Normal 58 3 3 2 2 3" xfId="3526"/>
    <cellStyle name="Normal 58 3 3 2 2 3 2" xfId="8542"/>
    <cellStyle name="Normal 58 3 3 2 2 4" xfId="6601"/>
    <cellStyle name="Normal 58 3 3 2 2 5" xfId="9996"/>
    <cellStyle name="Normal 58 3 3 2 2 6" xfId="5078"/>
    <cellStyle name="Normal 58 3 3 2 3" xfId="879"/>
    <cellStyle name="Normal 58 3 3 2 3 2" xfId="2547"/>
    <cellStyle name="Normal 58 3 3 2 3 2 2" xfId="7829"/>
    <cellStyle name="Normal 58 3 3 2 3 3" xfId="3875"/>
    <cellStyle name="Normal 58 3 3 2 3 3 2" xfId="8890"/>
    <cellStyle name="Normal 58 3 3 2 3 4" xfId="6236"/>
    <cellStyle name="Normal 58 3 3 2 3 5" xfId="10344"/>
    <cellStyle name="Normal 58 3 3 2 3 6" xfId="5423"/>
    <cellStyle name="Normal 58 3 3 2 4" xfId="1831"/>
    <cellStyle name="Normal 58 3 3 2 4 2" xfId="4210"/>
    <cellStyle name="Normal 58 3 3 2 4 2 2" xfId="9225"/>
    <cellStyle name="Normal 58 3 3 2 4 3" xfId="10679"/>
    <cellStyle name="Normal 58 3 3 2 4 4" xfId="7120"/>
    <cellStyle name="Normal 58 3 3 2 5" xfId="3166"/>
    <cellStyle name="Normal 58 3 3 2 5 2" xfId="8182"/>
    <cellStyle name="Normal 58 3 3 2 6" xfId="5743"/>
    <cellStyle name="Normal 58 3 3 2 7" xfId="9636"/>
    <cellStyle name="Normal 58 3 3 2 8" xfId="4713"/>
    <cellStyle name="Normal 58 3 3 2_Degree data" xfId="2818"/>
    <cellStyle name="Normal 58 3 3 3" xfId="779"/>
    <cellStyle name="Normal 58 3 3 3 2" xfId="1731"/>
    <cellStyle name="Normal 58 3 3 3 2 2" xfId="7020"/>
    <cellStyle name="Normal 58 3 3 3 3" xfId="3525"/>
    <cellStyle name="Normal 58 3 3 3 3 2" xfId="8541"/>
    <cellStyle name="Normal 58 3 3 3 4" xfId="6136"/>
    <cellStyle name="Normal 58 3 3 3 5" xfId="9995"/>
    <cellStyle name="Normal 58 3 3 3 6" xfId="4613"/>
    <cellStyle name="Normal 58 3 3 4" xfId="1244"/>
    <cellStyle name="Normal 58 3 3 4 2" xfId="2195"/>
    <cellStyle name="Normal 58 3 3 4 2 2" xfId="7484"/>
    <cellStyle name="Normal 58 3 3 4 3" xfId="3874"/>
    <cellStyle name="Normal 58 3 3 4 3 2" xfId="8889"/>
    <cellStyle name="Normal 58 3 3 4 4" xfId="6600"/>
    <cellStyle name="Normal 58 3 3 4 5" xfId="10343"/>
    <cellStyle name="Normal 58 3 3 4 6" xfId="5077"/>
    <cellStyle name="Normal 58 3 3 5" xfId="559"/>
    <cellStyle name="Normal 58 3 3 5 2" xfId="2447"/>
    <cellStyle name="Normal 58 3 3 5 2 2" xfId="7729"/>
    <cellStyle name="Normal 58 3 3 5 3" xfId="4110"/>
    <cellStyle name="Normal 58 3 3 5 3 2" xfId="9125"/>
    <cellStyle name="Normal 58 3 3 5 4" xfId="5917"/>
    <cellStyle name="Normal 58 3 3 5 5" xfId="10579"/>
    <cellStyle name="Normal 58 3 3 5 6" xfId="5323"/>
    <cellStyle name="Normal 58 3 3 6" xfId="1514"/>
    <cellStyle name="Normal 58 3 3 6 2" xfId="6803"/>
    <cellStyle name="Normal 58 3 3 7" xfId="3066"/>
    <cellStyle name="Normal 58 3 3 7 2" xfId="8082"/>
    <cellStyle name="Normal 58 3 3 8" xfId="5643"/>
    <cellStyle name="Normal 58 3 3 9" xfId="9536"/>
    <cellStyle name="Normal 58 3 3_Degree data" xfId="2817"/>
    <cellStyle name="Normal 58 3 4" xfId="191"/>
    <cellStyle name="Normal 58 3 4 10" xfId="4428"/>
    <cellStyle name="Normal 58 3 4 2" xfId="405"/>
    <cellStyle name="Normal 58 3 4 2 2" xfId="1247"/>
    <cellStyle name="Normal 58 3 4 2 2 2" xfId="2198"/>
    <cellStyle name="Normal 58 3 4 2 2 2 2" xfId="7487"/>
    <cellStyle name="Normal 58 3 4 2 2 3" xfId="3528"/>
    <cellStyle name="Normal 58 3 4 2 2 3 2" xfId="8544"/>
    <cellStyle name="Normal 58 3 4 2 2 4" xfId="6603"/>
    <cellStyle name="Normal 58 3 4 2 2 5" xfId="9998"/>
    <cellStyle name="Normal 58 3 4 2 2 6" xfId="5080"/>
    <cellStyle name="Normal 58 3 4 2 3" xfId="911"/>
    <cellStyle name="Normal 58 3 4 2 3 2" xfId="2579"/>
    <cellStyle name="Normal 58 3 4 2 3 2 2" xfId="7861"/>
    <cellStyle name="Normal 58 3 4 2 3 3" xfId="3877"/>
    <cellStyle name="Normal 58 3 4 2 3 3 2" xfId="8892"/>
    <cellStyle name="Normal 58 3 4 2 3 4" xfId="6268"/>
    <cellStyle name="Normal 58 3 4 2 3 5" xfId="10346"/>
    <cellStyle name="Normal 58 3 4 2 3 6" xfId="5455"/>
    <cellStyle name="Normal 58 3 4 2 4" xfId="1863"/>
    <cellStyle name="Normal 58 3 4 2 4 2" xfId="4242"/>
    <cellStyle name="Normal 58 3 4 2 4 2 2" xfId="9257"/>
    <cellStyle name="Normal 58 3 4 2 4 3" xfId="10711"/>
    <cellStyle name="Normal 58 3 4 2 4 4" xfId="7152"/>
    <cellStyle name="Normal 58 3 4 2 5" xfId="3198"/>
    <cellStyle name="Normal 58 3 4 2 5 2" xfId="8214"/>
    <cellStyle name="Normal 58 3 4 2 6" xfId="5775"/>
    <cellStyle name="Normal 58 3 4 2 7" xfId="9668"/>
    <cellStyle name="Normal 58 3 4 2 8" xfId="4745"/>
    <cellStyle name="Normal 58 3 4 2_Degree data" xfId="2820"/>
    <cellStyle name="Normal 58 3 4 3" xfId="706"/>
    <cellStyle name="Normal 58 3 4 3 2" xfId="1658"/>
    <cellStyle name="Normal 58 3 4 3 2 2" xfId="6947"/>
    <cellStyle name="Normal 58 3 4 3 3" xfId="3527"/>
    <cellStyle name="Normal 58 3 4 3 3 2" xfId="8543"/>
    <cellStyle name="Normal 58 3 4 3 4" xfId="6063"/>
    <cellStyle name="Normal 58 3 4 3 5" xfId="9997"/>
    <cellStyle name="Normal 58 3 4 3 6" xfId="4540"/>
    <cellStyle name="Normal 58 3 4 4" xfId="1246"/>
    <cellStyle name="Normal 58 3 4 4 2" xfId="2197"/>
    <cellStyle name="Normal 58 3 4 4 2 2" xfId="7486"/>
    <cellStyle name="Normal 58 3 4 4 3" xfId="3876"/>
    <cellStyle name="Normal 58 3 4 4 3 2" xfId="8891"/>
    <cellStyle name="Normal 58 3 4 4 4" xfId="6602"/>
    <cellStyle name="Normal 58 3 4 4 5" xfId="10345"/>
    <cellStyle name="Normal 58 3 4 4 6" xfId="5079"/>
    <cellStyle name="Normal 58 3 4 5" xfId="591"/>
    <cellStyle name="Normal 58 3 4 5 2" xfId="2374"/>
    <cellStyle name="Normal 58 3 4 5 2 2" xfId="7656"/>
    <cellStyle name="Normal 58 3 4 5 3" xfId="4037"/>
    <cellStyle name="Normal 58 3 4 5 3 2" xfId="9052"/>
    <cellStyle name="Normal 58 3 4 5 4" xfId="5949"/>
    <cellStyle name="Normal 58 3 4 5 5" xfId="10506"/>
    <cellStyle name="Normal 58 3 4 5 6" xfId="5250"/>
    <cellStyle name="Normal 58 3 4 6" xfId="1546"/>
    <cellStyle name="Normal 58 3 4 6 2" xfId="6835"/>
    <cellStyle name="Normal 58 3 4 7" xfId="2993"/>
    <cellStyle name="Normal 58 3 4 7 2" xfId="8009"/>
    <cellStyle name="Normal 58 3 4 8" xfId="5570"/>
    <cellStyle name="Normal 58 3 4 9" xfId="9463"/>
    <cellStyle name="Normal 58 3 4_Degree data" xfId="2819"/>
    <cellStyle name="Normal 58 3 5" xfId="297"/>
    <cellStyle name="Normal 58 3 5 2" xfId="1248"/>
    <cellStyle name="Normal 58 3 5 2 2" xfId="2199"/>
    <cellStyle name="Normal 58 3 5 2 2 2" xfId="7488"/>
    <cellStyle name="Normal 58 3 5 2 3" xfId="3529"/>
    <cellStyle name="Normal 58 3 5 2 3 2" xfId="8545"/>
    <cellStyle name="Normal 58 3 5 2 4" xfId="6604"/>
    <cellStyle name="Normal 58 3 5 2 5" xfId="9999"/>
    <cellStyle name="Normal 58 3 5 2 6" xfId="5081"/>
    <cellStyle name="Normal 58 3 5 3" xfId="806"/>
    <cellStyle name="Normal 58 3 5 3 2" xfId="2474"/>
    <cellStyle name="Normal 58 3 5 3 2 2" xfId="7756"/>
    <cellStyle name="Normal 58 3 5 3 3" xfId="3878"/>
    <cellStyle name="Normal 58 3 5 3 3 2" xfId="8893"/>
    <cellStyle name="Normal 58 3 5 3 4" xfId="6163"/>
    <cellStyle name="Normal 58 3 5 3 5" xfId="10347"/>
    <cellStyle name="Normal 58 3 5 3 6" xfId="5350"/>
    <cellStyle name="Normal 58 3 5 4" xfId="1758"/>
    <cellStyle name="Normal 58 3 5 4 2" xfId="4137"/>
    <cellStyle name="Normal 58 3 5 4 2 2" xfId="9152"/>
    <cellStyle name="Normal 58 3 5 4 3" xfId="10606"/>
    <cellStyle name="Normal 58 3 5 4 4" xfId="7047"/>
    <cellStyle name="Normal 58 3 5 5" xfId="3093"/>
    <cellStyle name="Normal 58 3 5 5 2" xfId="8109"/>
    <cellStyle name="Normal 58 3 5 6" xfId="5670"/>
    <cellStyle name="Normal 58 3 5 7" xfId="9563"/>
    <cellStyle name="Normal 58 3 5 8" xfId="4640"/>
    <cellStyle name="Normal 58 3 5_Degree data" xfId="2821"/>
    <cellStyle name="Normal 58 3 6" xfId="654"/>
    <cellStyle name="Normal 58 3 6 2" xfId="1249"/>
    <cellStyle name="Normal 58 3 6 2 2" xfId="2200"/>
    <cellStyle name="Normal 58 3 6 2 2 2" xfId="7489"/>
    <cellStyle name="Normal 58 3 6 2 3" xfId="3530"/>
    <cellStyle name="Normal 58 3 6 2 3 2" xfId="8546"/>
    <cellStyle name="Normal 58 3 6 2 4" xfId="6605"/>
    <cellStyle name="Normal 58 3 6 2 5" xfId="10000"/>
    <cellStyle name="Normal 58 3 6 2 6" xfId="5082"/>
    <cellStyle name="Normal 58 3 6 3" xfId="1413"/>
    <cellStyle name="Normal 58 3 6 3 2" xfId="2322"/>
    <cellStyle name="Normal 58 3 6 3 2 2" xfId="7604"/>
    <cellStyle name="Normal 58 3 6 3 3" xfId="3879"/>
    <cellStyle name="Normal 58 3 6 3 3 2" xfId="8894"/>
    <cellStyle name="Normal 58 3 6 3 4" xfId="6709"/>
    <cellStyle name="Normal 58 3 6 3 5" xfId="10348"/>
    <cellStyle name="Normal 58 3 6 3 6" xfId="5198"/>
    <cellStyle name="Normal 58 3 6 4" xfId="1606"/>
    <cellStyle name="Normal 58 3 6 4 2" xfId="3985"/>
    <cellStyle name="Normal 58 3 6 4 2 2" xfId="9000"/>
    <cellStyle name="Normal 58 3 6 4 3" xfId="10454"/>
    <cellStyle name="Normal 58 3 6 4 4" xfId="6895"/>
    <cellStyle name="Normal 58 3 6 5" xfId="2939"/>
    <cellStyle name="Normal 58 3 6 5 2" xfId="7955"/>
    <cellStyle name="Normal 58 3 6 6" xfId="6011"/>
    <cellStyle name="Normal 58 3 6 7" xfId="9411"/>
    <cellStyle name="Normal 58 3 6 8" xfId="4488"/>
    <cellStyle name="Normal 58 3 6_Degree data" xfId="2822"/>
    <cellStyle name="Normal 58 3 7" xfId="1238"/>
    <cellStyle name="Normal 58 3 7 2" xfId="2189"/>
    <cellStyle name="Normal 58 3 7 2 2" xfId="7478"/>
    <cellStyle name="Normal 58 3 7 3" xfId="3519"/>
    <cellStyle name="Normal 58 3 7 3 2" xfId="8535"/>
    <cellStyle name="Normal 58 3 7 4" xfId="6594"/>
    <cellStyle name="Normal 58 3 7 5" xfId="9989"/>
    <cellStyle name="Normal 58 3 7 6" xfId="5071"/>
    <cellStyle name="Normal 58 3 8" xfId="479"/>
    <cellStyle name="Normal 58 3 8 2" xfId="2302"/>
    <cellStyle name="Normal 58 3 8 2 2" xfId="7584"/>
    <cellStyle name="Normal 58 3 8 3" xfId="3868"/>
    <cellStyle name="Normal 58 3 8 3 2" xfId="8883"/>
    <cellStyle name="Normal 58 3 8 4" xfId="5843"/>
    <cellStyle name="Normal 58 3 8 5" xfId="10337"/>
    <cellStyle name="Normal 58 3 8 6" xfId="5178"/>
    <cellStyle name="Normal 58 3 9" xfId="1438"/>
    <cellStyle name="Normal 58 3 9 2" xfId="3965"/>
    <cellStyle name="Normal 58 3 9 2 2" xfId="8980"/>
    <cellStyle name="Normal 58 3 9 3" xfId="10434"/>
    <cellStyle name="Normal 58 3 9 4" xfId="6729"/>
    <cellStyle name="Normal 58 3_Degree data" xfId="2811"/>
    <cellStyle name="Normal 58 4" xfId="145"/>
    <cellStyle name="Normal 58 4 10" xfId="2914"/>
    <cellStyle name="Normal 58 4 10 2" xfId="9386"/>
    <cellStyle name="Normal 58 4 10 3" xfId="7930"/>
    <cellStyle name="Normal 58 4 11" xfId="5536"/>
    <cellStyle name="Normal 58 4 12" xfId="9356"/>
    <cellStyle name="Normal 58 4 13" xfId="4334"/>
    <cellStyle name="Normal 58 4 2" xfId="219"/>
    <cellStyle name="Normal 58 4 2 10" xfId="9488"/>
    <cellStyle name="Normal 58 4 2 11" xfId="4348"/>
    <cellStyle name="Normal 58 4 2 2" xfId="429"/>
    <cellStyle name="Normal 58 4 2 2 2" xfId="935"/>
    <cellStyle name="Normal 58 4 2 2 2 2" xfId="1887"/>
    <cellStyle name="Normal 58 4 2 2 2 2 2" xfId="7176"/>
    <cellStyle name="Normal 58 4 2 2 2 3" xfId="3533"/>
    <cellStyle name="Normal 58 4 2 2 2 3 2" xfId="8549"/>
    <cellStyle name="Normal 58 4 2 2 2 4" xfId="6292"/>
    <cellStyle name="Normal 58 4 2 2 2 5" xfId="10003"/>
    <cellStyle name="Normal 58 4 2 2 2 6" xfId="4769"/>
    <cellStyle name="Normal 58 4 2 2 3" xfId="1252"/>
    <cellStyle name="Normal 58 4 2 2 3 2" xfId="2203"/>
    <cellStyle name="Normal 58 4 2 2 3 2 2" xfId="7492"/>
    <cellStyle name="Normal 58 4 2 2 3 3" xfId="3882"/>
    <cellStyle name="Normal 58 4 2 2 3 3 2" xfId="8897"/>
    <cellStyle name="Normal 58 4 2 2 3 4" xfId="6608"/>
    <cellStyle name="Normal 58 4 2 2 3 5" xfId="10351"/>
    <cellStyle name="Normal 58 4 2 2 3 6" xfId="5085"/>
    <cellStyle name="Normal 58 4 2 2 4" xfId="615"/>
    <cellStyle name="Normal 58 4 2 2 4 2" xfId="2603"/>
    <cellStyle name="Normal 58 4 2 2 4 2 2" xfId="7885"/>
    <cellStyle name="Normal 58 4 2 2 4 3" xfId="4266"/>
    <cellStyle name="Normal 58 4 2 2 4 3 2" xfId="9281"/>
    <cellStyle name="Normal 58 4 2 2 4 4" xfId="5973"/>
    <cellStyle name="Normal 58 4 2 2 4 5" xfId="10735"/>
    <cellStyle name="Normal 58 4 2 2 4 6" xfId="5479"/>
    <cellStyle name="Normal 58 4 2 2 5" xfId="1570"/>
    <cellStyle name="Normal 58 4 2 2 5 2" xfId="6859"/>
    <cellStyle name="Normal 58 4 2 2 6" xfId="3222"/>
    <cellStyle name="Normal 58 4 2 2 6 2" xfId="8238"/>
    <cellStyle name="Normal 58 4 2 2 7" xfId="5799"/>
    <cellStyle name="Normal 58 4 2 2 8" xfId="9692"/>
    <cellStyle name="Normal 58 4 2 2 9" xfId="4452"/>
    <cellStyle name="Normal 58 4 2 2_Degree data" xfId="2825"/>
    <cellStyle name="Normal 58 4 2 3" xfId="322"/>
    <cellStyle name="Normal 58 4 2 3 2" xfId="1253"/>
    <cellStyle name="Normal 58 4 2 3 2 2" xfId="2204"/>
    <cellStyle name="Normal 58 4 2 3 2 2 2" xfId="7493"/>
    <cellStyle name="Normal 58 4 2 3 2 3" xfId="3534"/>
    <cellStyle name="Normal 58 4 2 3 2 3 2" xfId="8550"/>
    <cellStyle name="Normal 58 4 2 3 2 4" xfId="6609"/>
    <cellStyle name="Normal 58 4 2 3 2 5" xfId="10004"/>
    <cellStyle name="Normal 58 4 2 3 2 6" xfId="5086"/>
    <cellStyle name="Normal 58 4 2 3 3" xfId="831"/>
    <cellStyle name="Normal 58 4 2 3 3 2" xfId="2499"/>
    <cellStyle name="Normal 58 4 2 3 3 2 2" xfId="7781"/>
    <cellStyle name="Normal 58 4 2 3 3 3" xfId="3883"/>
    <cellStyle name="Normal 58 4 2 3 3 3 2" xfId="8898"/>
    <cellStyle name="Normal 58 4 2 3 3 4" xfId="6188"/>
    <cellStyle name="Normal 58 4 2 3 3 5" xfId="10352"/>
    <cellStyle name="Normal 58 4 2 3 3 6" xfId="5375"/>
    <cellStyle name="Normal 58 4 2 3 4" xfId="1783"/>
    <cellStyle name="Normal 58 4 2 3 4 2" xfId="4162"/>
    <cellStyle name="Normal 58 4 2 3 4 2 2" xfId="9177"/>
    <cellStyle name="Normal 58 4 2 3 4 3" xfId="10631"/>
    <cellStyle name="Normal 58 4 2 3 4 4" xfId="7072"/>
    <cellStyle name="Normal 58 4 2 3 5" xfId="3118"/>
    <cellStyle name="Normal 58 4 2 3 5 2" xfId="8134"/>
    <cellStyle name="Normal 58 4 2 3 6" xfId="5695"/>
    <cellStyle name="Normal 58 4 2 3 7" xfId="9588"/>
    <cellStyle name="Normal 58 4 2 3 8" xfId="4665"/>
    <cellStyle name="Normal 58 4 2 3_Degree data" xfId="2826"/>
    <cellStyle name="Normal 58 4 2 4" xfId="731"/>
    <cellStyle name="Normal 58 4 2 4 2" xfId="1683"/>
    <cellStyle name="Normal 58 4 2 4 2 2" xfId="6972"/>
    <cellStyle name="Normal 58 4 2 4 3" xfId="3532"/>
    <cellStyle name="Normal 58 4 2 4 3 2" xfId="8548"/>
    <cellStyle name="Normal 58 4 2 4 4" xfId="6088"/>
    <cellStyle name="Normal 58 4 2 4 5" xfId="10002"/>
    <cellStyle name="Normal 58 4 2 4 6" xfId="4565"/>
    <cellStyle name="Normal 58 4 2 5" xfId="1251"/>
    <cellStyle name="Normal 58 4 2 5 2" xfId="2202"/>
    <cellStyle name="Normal 58 4 2 5 2 2" xfId="7491"/>
    <cellStyle name="Normal 58 4 2 5 3" xfId="3881"/>
    <cellStyle name="Normal 58 4 2 5 3 2" xfId="8896"/>
    <cellStyle name="Normal 58 4 2 5 4" xfId="6607"/>
    <cellStyle name="Normal 58 4 2 5 5" xfId="10350"/>
    <cellStyle name="Normal 58 4 2 5 6" xfId="5084"/>
    <cellStyle name="Normal 58 4 2 6" xfId="507"/>
    <cellStyle name="Normal 58 4 2 6 2" xfId="2399"/>
    <cellStyle name="Normal 58 4 2 6 2 2" xfId="7681"/>
    <cellStyle name="Normal 58 4 2 6 3" xfId="4062"/>
    <cellStyle name="Normal 58 4 2 6 3 2" xfId="9077"/>
    <cellStyle name="Normal 58 4 2 6 4" xfId="5868"/>
    <cellStyle name="Normal 58 4 2 6 5" xfId="10531"/>
    <cellStyle name="Normal 58 4 2 6 6" xfId="5275"/>
    <cellStyle name="Normal 58 4 2 7" xfId="1466"/>
    <cellStyle name="Normal 58 4 2 7 2" xfId="6755"/>
    <cellStyle name="Normal 58 4 2 8" xfId="3018"/>
    <cellStyle name="Normal 58 4 2 8 2" xfId="8034"/>
    <cellStyle name="Normal 58 4 2 9" xfId="5595"/>
    <cellStyle name="Normal 58 4 2_Degree data" xfId="2824"/>
    <cellStyle name="Normal 58 4 3" xfId="264"/>
    <cellStyle name="Normal 58 4 3 10" xfId="4391"/>
    <cellStyle name="Normal 58 4 3 2" xfId="366"/>
    <cellStyle name="Normal 58 4 3 2 2" xfId="1255"/>
    <cellStyle name="Normal 58 4 3 2 2 2" xfId="2206"/>
    <cellStyle name="Normal 58 4 3 2 2 2 2" xfId="7495"/>
    <cellStyle name="Normal 58 4 3 2 2 3" xfId="3536"/>
    <cellStyle name="Normal 58 4 3 2 2 3 2" xfId="8552"/>
    <cellStyle name="Normal 58 4 3 2 2 4" xfId="6611"/>
    <cellStyle name="Normal 58 4 3 2 2 5" xfId="10006"/>
    <cellStyle name="Normal 58 4 3 2 2 6" xfId="5088"/>
    <cellStyle name="Normal 58 4 3 2 3" xfId="874"/>
    <cellStyle name="Normal 58 4 3 2 3 2" xfId="2542"/>
    <cellStyle name="Normal 58 4 3 2 3 2 2" xfId="7824"/>
    <cellStyle name="Normal 58 4 3 2 3 3" xfId="3885"/>
    <cellStyle name="Normal 58 4 3 2 3 3 2" xfId="8900"/>
    <cellStyle name="Normal 58 4 3 2 3 4" xfId="6231"/>
    <cellStyle name="Normal 58 4 3 2 3 5" xfId="10354"/>
    <cellStyle name="Normal 58 4 3 2 3 6" xfId="5418"/>
    <cellStyle name="Normal 58 4 3 2 4" xfId="1826"/>
    <cellStyle name="Normal 58 4 3 2 4 2" xfId="4205"/>
    <cellStyle name="Normal 58 4 3 2 4 2 2" xfId="9220"/>
    <cellStyle name="Normal 58 4 3 2 4 3" xfId="10674"/>
    <cellStyle name="Normal 58 4 3 2 4 4" xfId="7115"/>
    <cellStyle name="Normal 58 4 3 2 5" xfId="3161"/>
    <cellStyle name="Normal 58 4 3 2 5 2" xfId="8177"/>
    <cellStyle name="Normal 58 4 3 2 6" xfId="5738"/>
    <cellStyle name="Normal 58 4 3 2 7" xfId="9631"/>
    <cellStyle name="Normal 58 4 3 2 8" xfId="4708"/>
    <cellStyle name="Normal 58 4 3 2_Degree data" xfId="2828"/>
    <cellStyle name="Normal 58 4 3 3" xfId="774"/>
    <cellStyle name="Normal 58 4 3 3 2" xfId="1726"/>
    <cellStyle name="Normal 58 4 3 3 2 2" xfId="7015"/>
    <cellStyle name="Normal 58 4 3 3 3" xfId="3535"/>
    <cellStyle name="Normal 58 4 3 3 3 2" xfId="8551"/>
    <cellStyle name="Normal 58 4 3 3 4" xfId="6131"/>
    <cellStyle name="Normal 58 4 3 3 5" xfId="10005"/>
    <cellStyle name="Normal 58 4 3 3 6" xfId="4608"/>
    <cellStyle name="Normal 58 4 3 4" xfId="1254"/>
    <cellStyle name="Normal 58 4 3 4 2" xfId="2205"/>
    <cellStyle name="Normal 58 4 3 4 2 2" xfId="7494"/>
    <cellStyle name="Normal 58 4 3 4 3" xfId="3884"/>
    <cellStyle name="Normal 58 4 3 4 3 2" xfId="8899"/>
    <cellStyle name="Normal 58 4 3 4 4" xfId="6610"/>
    <cellStyle name="Normal 58 4 3 4 5" xfId="10353"/>
    <cellStyle name="Normal 58 4 3 4 6" xfId="5087"/>
    <cellStyle name="Normal 58 4 3 5" xfId="553"/>
    <cellStyle name="Normal 58 4 3 5 2" xfId="2442"/>
    <cellStyle name="Normal 58 4 3 5 2 2" xfId="7724"/>
    <cellStyle name="Normal 58 4 3 5 3" xfId="4105"/>
    <cellStyle name="Normal 58 4 3 5 3 2" xfId="9120"/>
    <cellStyle name="Normal 58 4 3 5 4" xfId="5912"/>
    <cellStyle name="Normal 58 4 3 5 5" xfId="10574"/>
    <cellStyle name="Normal 58 4 3 5 6" xfId="5318"/>
    <cellStyle name="Normal 58 4 3 6" xfId="1509"/>
    <cellStyle name="Normal 58 4 3 6 2" xfId="6798"/>
    <cellStyle name="Normal 58 4 3 7" xfId="3061"/>
    <cellStyle name="Normal 58 4 3 7 2" xfId="8077"/>
    <cellStyle name="Normal 58 4 3 8" xfId="5638"/>
    <cellStyle name="Normal 58 4 3 9" xfId="9531"/>
    <cellStyle name="Normal 58 4 3_Degree data" xfId="2827"/>
    <cellStyle name="Normal 58 4 4" xfId="202"/>
    <cellStyle name="Normal 58 4 4 10" xfId="4439"/>
    <cellStyle name="Normal 58 4 4 2" xfId="416"/>
    <cellStyle name="Normal 58 4 4 2 2" xfId="1257"/>
    <cellStyle name="Normal 58 4 4 2 2 2" xfId="2208"/>
    <cellStyle name="Normal 58 4 4 2 2 2 2" xfId="7497"/>
    <cellStyle name="Normal 58 4 4 2 2 3" xfId="3538"/>
    <cellStyle name="Normal 58 4 4 2 2 3 2" xfId="8554"/>
    <cellStyle name="Normal 58 4 4 2 2 4" xfId="6613"/>
    <cellStyle name="Normal 58 4 4 2 2 5" xfId="10008"/>
    <cellStyle name="Normal 58 4 4 2 2 6" xfId="5090"/>
    <cellStyle name="Normal 58 4 4 2 3" xfId="922"/>
    <cellStyle name="Normal 58 4 4 2 3 2" xfId="2590"/>
    <cellStyle name="Normal 58 4 4 2 3 2 2" xfId="7872"/>
    <cellStyle name="Normal 58 4 4 2 3 3" xfId="3887"/>
    <cellStyle name="Normal 58 4 4 2 3 3 2" xfId="8902"/>
    <cellStyle name="Normal 58 4 4 2 3 4" xfId="6279"/>
    <cellStyle name="Normal 58 4 4 2 3 5" xfId="10356"/>
    <cellStyle name="Normal 58 4 4 2 3 6" xfId="5466"/>
    <cellStyle name="Normal 58 4 4 2 4" xfId="1874"/>
    <cellStyle name="Normal 58 4 4 2 4 2" xfId="4253"/>
    <cellStyle name="Normal 58 4 4 2 4 2 2" xfId="9268"/>
    <cellStyle name="Normal 58 4 4 2 4 3" xfId="10722"/>
    <cellStyle name="Normal 58 4 4 2 4 4" xfId="7163"/>
    <cellStyle name="Normal 58 4 4 2 5" xfId="3209"/>
    <cellStyle name="Normal 58 4 4 2 5 2" xfId="8225"/>
    <cellStyle name="Normal 58 4 4 2 6" xfId="5786"/>
    <cellStyle name="Normal 58 4 4 2 7" xfId="9679"/>
    <cellStyle name="Normal 58 4 4 2 8" xfId="4756"/>
    <cellStyle name="Normal 58 4 4 2_Degree data" xfId="2830"/>
    <cellStyle name="Normal 58 4 4 3" xfId="717"/>
    <cellStyle name="Normal 58 4 4 3 2" xfId="1669"/>
    <cellStyle name="Normal 58 4 4 3 2 2" xfId="6958"/>
    <cellStyle name="Normal 58 4 4 3 3" xfId="3537"/>
    <cellStyle name="Normal 58 4 4 3 3 2" xfId="8553"/>
    <cellStyle name="Normal 58 4 4 3 4" xfId="6074"/>
    <cellStyle name="Normal 58 4 4 3 5" xfId="10007"/>
    <cellStyle name="Normal 58 4 4 3 6" xfId="4551"/>
    <cellStyle name="Normal 58 4 4 4" xfId="1256"/>
    <cellStyle name="Normal 58 4 4 4 2" xfId="2207"/>
    <cellStyle name="Normal 58 4 4 4 2 2" xfId="7496"/>
    <cellStyle name="Normal 58 4 4 4 3" xfId="3886"/>
    <cellStyle name="Normal 58 4 4 4 3 2" xfId="8901"/>
    <cellStyle name="Normal 58 4 4 4 4" xfId="6612"/>
    <cellStyle name="Normal 58 4 4 4 5" xfId="10355"/>
    <cellStyle name="Normal 58 4 4 4 6" xfId="5089"/>
    <cellStyle name="Normal 58 4 4 5" xfId="602"/>
    <cellStyle name="Normal 58 4 4 5 2" xfId="2385"/>
    <cellStyle name="Normal 58 4 4 5 2 2" xfId="7667"/>
    <cellStyle name="Normal 58 4 4 5 3" xfId="4048"/>
    <cellStyle name="Normal 58 4 4 5 3 2" xfId="9063"/>
    <cellStyle name="Normal 58 4 4 5 4" xfId="5960"/>
    <cellStyle name="Normal 58 4 4 5 5" xfId="10517"/>
    <cellStyle name="Normal 58 4 4 5 6" xfId="5261"/>
    <cellStyle name="Normal 58 4 4 6" xfId="1557"/>
    <cellStyle name="Normal 58 4 4 6 2" xfId="6846"/>
    <cellStyle name="Normal 58 4 4 7" xfId="3004"/>
    <cellStyle name="Normal 58 4 4 7 2" xfId="8020"/>
    <cellStyle name="Normal 58 4 4 8" xfId="5581"/>
    <cellStyle name="Normal 58 4 4 9" xfId="9474"/>
    <cellStyle name="Normal 58 4 4_Degree data" xfId="2829"/>
    <cellStyle name="Normal 58 4 5" xfId="308"/>
    <cellStyle name="Normal 58 4 5 2" xfId="1258"/>
    <cellStyle name="Normal 58 4 5 2 2" xfId="2209"/>
    <cellStyle name="Normal 58 4 5 2 2 2" xfId="7498"/>
    <cellStyle name="Normal 58 4 5 2 3" xfId="3539"/>
    <cellStyle name="Normal 58 4 5 2 3 2" xfId="8555"/>
    <cellStyle name="Normal 58 4 5 2 4" xfId="6614"/>
    <cellStyle name="Normal 58 4 5 2 5" xfId="10009"/>
    <cellStyle name="Normal 58 4 5 2 6" xfId="5091"/>
    <cellStyle name="Normal 58 4 5 3" xfId="817"/>
    <cellStyle name="Normal 58 4 5 3 2" xfId="2485"/>
    <cellStyle name="Normal 58 4 5 3 2 2" xfId="7767"/>
    <cellStyle name="Normal 58 4 5 3 3" xfId="3888"/>
    <cellStyle name="Normal 58 4 5 3 3 2" xfId="8903"/>
    <cellStyle name="Normal 58 4 5 3 4" xfId="6174"/>
    <cellStyle name="Normal 58 4 5 3 5" xfId="10357"/>
    <cellStyle name="Normal 58 4 5 3 6" xfId="5361"/>
    <cellStyle name="Normal 58 4 5 4" xfId="1769"/>
    <cellStyle name="Normal 58 4 5 4 2" xfId="4148"/>
    <cellStyle name="Normal 58 4 5 4 2 2" xfId="9163"/>
    <cellStyle name="Normal 58 4 5 4 3" xfId="10617"/>
    <cellStyle name="Normal 58 4 5 4 4" xfId="7058"/>
    <cellStyle name="Normal 58 4 5 5" xfId="3104"/>
    <cellStyle name="Normal 58 4 5 5 2" xfId="8120"/>
    <cellStyle name="Normal 58 4 5 6" xfId="5681"/>
    <cellStyle name="Normal 58 4 5 7" xfId="9574"/>
    <cellStyle name="Normal 58 4 5 8" xfId="4651"/>
    <cellStyle name="Normal 58 4 5_Degree data" xfId="2831"/>
    <cellStyle name="Normal 58 4 6" xfId="672"/>
    <cellStyle name="Normal 58 4 6 2" xfId="1259"/>
    <cellStyle name="Normal 58 4 6 2 2" xfId="2210"/>
    <cellStyle name="Normal 58 4 6 2 2 2" xfId="7499"/>
    <cellStyle name="Normal 58 4 6 2 3" xfId="3540"/>
    <cellStyle name="Normal 58 4 6 2 3 2" xfId="8556"/>
    <cellStyle name="Normal 58 4 6 2 4" xfId="6615"/>
    <cellStyle name="Normal 58 4 6 2 5" xfId="10010"/>
    <cellStyle name="Normal 58 4 6 2 6" xfId="5092"/>
    <cellStyle name="Normal 58 4 6 3" xfId="1414"/>
    <cellStyle name="Normal 58 4 6 3 2" xfId="2340"/>
    <cellStyle name="Normal 58 4 6 3 2 2" xfId="7622"/>
    <cellStyle name="Normal 58 4 6 3 3" xfId="3889"/>
    <cellStyle name="Normal 58 4 6 3 3 2" xfId="8904"/>
    <cellStyle name="Normal 58 4 6 3 4" xfId="6710"/>
    <cellStyle name="Normal 58 4 6 3 5" xfId="10358"/>
    <cellStyle name="Normal 58 4 6 3 6" xfId="5216"/>
    <cellStyle name="Normal 58 4 6 4" xfId="1624"/>
    <cellStyle name="Normal 58 4 6 4 2" xfId="4003"/>
    <cellStyle name="Normal 58 4 6 4 2 2" xfId="9018"/>
    <cellStyle name="Normal 58 4 6 4 3" xfId="10472"/>
    <cellStyle name="Normal 58 4 6 4 4" xfId="6913"/>
    <cellStyle name="Normal 58 4 6 5" xfId="2957"/>
    <cellStyle name="Normal 58 4 6 5 2" xfId="7973"/>
    <cellStyle name="Normal 58 4 6 6" xfId="6029"/>
    <cellStyle name="Normal 58 4 6 7" xfId="9429"/>
    <cellStyle name="Normal 58 4 6 8" xfId="4506"/>
    <cellStyle name="Normal 58 4 6_Degree data" xfId="2832"/>
    <cellStyle name="Normal 58 4 7" xfId="1250"/>
    <cellStyle name="Normal 58 4 7 2" xfId="2201"/>
    <cellStyle name="Normal 58 4 7 2 2" xfId="7490"/>
    <cellStyle name="Normal 58 4 7 3" xfId="3531"/>
    <cellStyle name="Normal 58 4 7 3 2" xfId="8547"/>
    <cellStyle name="Normal 58 4 7 4" xfId="6606"/>
    <cellStyle name="Normal 58 4 7 5" xfId="10001"/>
    <cellStyle name="Normal 58 4 7 6" xfId="5083"/>
    <cellStyle name="Normal 58 4 8" xfId="490"/>
    <cellStyle name="Normal 58 4 8 2" xfId="2297"/>
    <cellStyle name="Normal 58 4 8 2 2" xfId="7579"/>
    <cellStyle name="Normal 58 4 8 3" xfId="3880"/>
    <cellStyle name="Normal 58 4 8 3 2" xfId="8895"/>
    <cellStyle name="Normal 58 4 8 4" xfId="5854"/>
    <cellStyle name="Normal 58 4 8 5" xfId="10349"/>
    <cellStyle name="Normal 58 4 8 6" xfId="5173"/>
    <cellStyle name="Normal 58 4 9" xfId="1451"/>
    <cellStyle name="Normal 58 4 9 2" xfId="3960"/>
    <cellStyle name="Normal 58 4 9 2 2" xfId="8975"/>
    <cellStyle name="Normal 58 4 9 3" xfId="10429"/>
    <cellStyle name="Normal 58 4 9 4" xfId="6741"/>
    <cellStyle name="Normal 58 4_Degree data" xfId="2823"/>
    <cellStyle name="Normal 58 5" xfId="168"/>
    <cellStyle name="Normal 58 5 10" xfId="5551"/>
    <cellStyle name="Normal 58 5 11" xfId="9369"/>
    <cellStyle name="Normal 58 5 12" xfId="4361"/>
    <cellStyle name="Normal 58 5 2" xfId="278"/>
    <cellStyle name="Normal 58 5 2 10" xfId="4404"/>
    <cellStyle name="Normal 58 5 2 2" xfId="380"/>
    <cellStyle name="Normal 58 5 2 2 2" xfId="1262"/>
    <cellStyle name="Normal 58 5 2 2 2 2" xfId="2213"/>
    <cellStyle name="Normal 58 5 2 2 2 2 2" xfId="7502"/>
    <cellStyle name="Normal 58 5 2 2 2 3" xfId="3543"/>
    <cellStyle name="Normal 58 5 2 2 2 3 2" xfId="8559"/>
    <cellStyle name="Normal 58 5 2 2 2 4" xfId="6618"/>
    <cellStyle name="Normal 58 5 2 2 2 5" xfId="10013"/>
    <cellStyle name="Normal 58 5 2 2 2 6" xfId="5095"/>
    <cellStyle name="Normal 58 5 2 2 3" xfId="887"/>
    <cellStyle name="Normal 58 5 2 2 3 2" xfId="2555"/>
    <cellStyle name="Normal 58 5 2 2 3 2 2" xfId="7837"/>
    <cellStyle name="Normal 58 5 2 2 3 3" xfId="3892"/>
    <cellStyle name="Normal 58 5 2 2 3 3 2" xfId="8907"/>
    <cellStyle name="Normal 58 5 2 2 3 4" xfId="6244"/>
    <cellStyle name="Normal 58 5 2 2 3 5" xfId="10361"/>
    <cellStyle name="Normal 58 5 2 2 3 6" xfId="5431"/>
    <cellStyle name="Normal 58 5 2 2 4" xfId="1839"/>
    <cellStyle name="Normal 58 5 2 2 4 2" xfId="4218"/>
    <cellStyle name="Normal 58 5 2 2 4 2 2" xfId="9233"/>
    <cellStyle name="Normal 58 5 2 2 4 3" xfId="10687"/>
    <cellStyle name="Normal 58 5 2 2 4 4" xfId="7128"/>
    <cellStyle name="Normal 58 5 2 2 5" xfId="3174"/>
    <cellStyle name="Normal 58 5 2 2 5 2" xfId="8190"/>
    <cellStyle name="Normal 58 5 2 2 6" xfId="5751"/>
    <cellStyle name="Normal 58 5 2 2 7" xfId="9644"/>
    <cellStyle name="Normal 58 5 2 2 8" xfId="4721"/>
    <cellStyle name="Normal 58 5 2 2_Degree data" xfId="2835"/>
    <cellStyle name="Normal 58 5 2 3" xfId="787"/>
    <cellStyle name="Normal 58 5 2 3 2" xfId="1739"/>
    <cellStyle name="Normal 58 5 2 3 2 2" xfId="7028"/>
    <cellStyle name="Normal 58 5 2 3 3" xfId="3542"/>
    <cellStyle name="Normal 58 5 2 3 3 2" xfId="8558"/>
    <cellStyle name="Normal 58 5 2 3 4" xfId="6144"/>
    <cellStyle name="Normal 58 5 2 3 5" xfId="10012"/>
    <cellStyle name="Normal 58 5 2 3 6" xfId="4621"/>
    <cellStyle name="Normal 58 5 2 4" xfId="1261"/>
    <cellStyle name="Normal 58 5 2 4 2" xfId="2212"/>
    <cellStyle name="Normal 58 5 2 4 2 2" xfId="7501"/>
    <cellStyle name="Normal 58 5 2 4 3" xfId="3891"/>
    <cellStyle name="Normal 58 5 2 4 3 2" xfId="8906"/>
    <cellStyle name="Normal 58 5 2 4 4" xfId="6617"/>
    <cellStyle name="Normal 58 5 2 4 5" xfId="10360"/>
    <cellStyle name="Normal 58 5 2 4 6" xfId="5094"/>
    <cellStyle name="Normal 58 5 2 5" xfId="567"/>
    <cellStyle name="Normal 58 5 2 5 2" xfId="2455"/>
    <cellStyle name="Normal 58 5 2 5 2 2" xfId="7737"/>
    <cellStyle name="Normal 58 5 2 5 3" xfId="4118"/>
    <cellStyle name="Normal 58 5 2 5 3 2" xfId="9133"/>
    <cellStyle name="Normal 58 5 2 5 4" xfId="5925"/>
    <cellStyle name="Normal 58 5 2 5 5" xfId="10587"/>
    <cellStyle name="Normal 58 5 2 5 6" xfId="5331"/>
    <cellStyle name="Normal 58 5 2 6" xfId="1522"/>
    <cellStyle name="Normal 58 5 2 6 2" xfId="6811"/>
    <cellStyle name="Normal 58 5 2 7" xfId="3074"/>
    <cellStyle name="Normal 58 5 2 7 2" xfId="8090"/>
    <cellStyle name="Normal 58 5 2 8" xfId="5651"/>
    <cellStyle name="Normal 58 5 2 9" xfId="9544"/>
    <cellStyle name="Normal 58 5 2_Degree data" xfId="2834"/>
    <cellStyle name="Normal 58 5 3" xfId="233"/>
    <cellStyle name="Normal 58 5 3 10" xfId="4465"/>
    <cellStyle name="Normal 58 5 3 2" xfId="442"/>
    <cellStyle name="Normal 58 5 3 2 2" xfId="1264"/>
    <cellStyle name="Normal 58 5 3 2 2 2" xfId="2215"/>
    <cellStyle name="Normal 58 5 3 2 2 2 2" xfId="7504"/>
    <cellStyle name="Normal 58 5 3 2 2 3" xfId="3545"/>
    <cellStyle name="Normal 58 5 3 2 2 3 2" xfId="8561"/>
    <cellStyle name="Normal 58 5 3 2 2 4" xfId="6620"/>
    <cellStyle name="Normal 58 5 3 2 2 5" xfId="10015"/>
    <cellStyle name="Normal 58 5 3 2 2 6" xfId="5097"/>
    <cellStyle name="Normal 58 5 3 2 3" xfId="948"/>
    <cellStyle name="Normal 58 5 3 2 3 2" xfId="2616"/>
    <cellStyle name="Normal 58 5 3 2 3 2 2" xfId="7898"/>
    <cellStyle name="Normal 58 5 3 2 3 3" xfId="3894"/>
    <cellStyle name="Normal 58 5 3 2 3 3 2" xfId="8909"/>
    <cellStyle name="Normal 58 5 3 2 3 4" xfId="6305"/>
    <cellStyle name="Normal 58 5 3 2 3 5" xfId="10363"/>
    <cellStyle name="Normal 58 5 3 2 3 6" xfId="5492"/>
    <cellStyle name="Normal 58 5 3 2 4" xfId="1900"/>
    <cellStyle name="Normal 58 5 3 2 4 2" xfId="4279"/>
    <cellStyle name="Normal 58 5 3 2 4 2 2" xfId="9294"/>
    <cellStyle name="Normal 58 5 3 2 4 3" xfId="10748"/>
    <cellStyle name="Normal 58 5 3 2 4 4" xfId="7189"/>
    <cellStyle name="Normal 58 5 3 2 5" xfId="3235"/>
    <cellStyle name="Normal 58 5 3 2 5 2" xfId="8251"/>
    <cellStyle name="Normal 58 5 3 2 6" xfId="5812"/>
    <cellStyle name="Normal 58 5 3 2 7" xfId="9705"/>
    <cellStyle name="Normal 58 5 3 2 8" xfId="4782"/>
    <cellStyle name="Normal 58 5 3 2_Degree data" xfId="2837"/>
    <cellStyle name="Normal 58 5 3 3" xfId="744"/>
    <cellStyle name="Normal 58 5 3 3 2" xfId="1696"/>
    <cellStyle name="Normal 58 5 3 3 2 2" xfId="6985"/>
    <cellStyle name="Normal 58 5 3 3 3" xfId="3544"/>
    <cellStyle name="Normal 58 5 3 3 3 2" xfId="8560"/>
    <cellStyle name="Normal 58 5 3 3 4" xfId="6101"/>
    <cellStyle name="Normal 58 5 3 3 5" xfId="10014"/>
    <cellStyle name="Normal 58 5 3 3 6" xfId="4578"/>
    <cellStyle name="Normal 58 5 3 4" xfId="1263"/>
    <cellStyle name="Normal 58 5 3 4 2" xfId="2214"/>
    <cellStyle name="Normal 58 5 3 4 2 2" xfId="7503"/>
    <cellStyle name="Normal 58 5 3 4 3" xfId="3893"/>
    <cellStyle name="Normal 58 5 3 4 3 2" xfId="8908"/>
    <cellStyle name="Normal 58 5 3 4 4" xfId="6619"/>
    <cellStyle name="Normal 58 5 3 4 5" xfId="10362"/>
    <cellStyle name="Normal 58 5 3 4 6" xfId="5096"/>
    <cellStyle name="Normal 58 5 3 5" xfId="628"/>
    <cellStyle name="Normal 58 5 3 5 2" xfId="2412"/>
    <cellStyle name="Normal 58 5 3 5 2 2" xfId="7694"/>
    <cellStyle name="Normal 58 5 3 5 3" xfId="4075"/>
    <cellStyle name="Normal 58 5 3 5 3 2" xfId="9090"/>
    <cellStyle name="Normal 58 5 3 5 4" xfId="5986"/>
    <cellStyle name="Normal 58 5 3 5 5" xfId="10544"/>
    <cellStyle name="Normal 58 5 3 5 6" xfId="5288"/>
    <cellStyle name="Normal 58 5 3 6" xfId="1583"/>
    <cellStyle name="Normal 58 5 3 6 2" xfId="6872"/>
    <cellStyle name="Normal 58 5 3 7" xfId="3031"/>
    <cellStyle name="Normal 58 5 3 7 2" xfId="8047"/>
    <cellStyle name="Normal 58 5 3 8" xfId="5608"/>
    <cellStyle name="Normal 58 5 3 9" xfId="9501"/>
    <cellStyle name="Normal 58 5 3_Degree data" xfId="2836"/>
    <cellStyle name="Normal 58 5 4" xfId="335"/>
    <cellStyle name="Normal 58 5 4 2" xfId="1265"/>
    <cellStyle name="Normal 58 5 4 2 2" xfId="2216"/>
    <cellStyle name="Normal 58 5 4 2 2 2" xfId="7505"/>
    <cellStyle name="Normal 58 5 4 2 3" xfId="3546"/>
    <cellStyle name="Normal 58 5 4 2 3 2" xfId="8562"/>
    <cellStyle name="Normal 58 5 4 2 4" xfId="6621"/>
    <cellStyle name="Normal 58 5 4 2 5" xfId="10016"/>
    <cellStyle name="Normal 58 5 4 2 6" xfId="5098"/>
    <cellStyle name="Normal 58 5 4 3" xfId="844"/>
    <cellStyle name="Normal 58 5 4 3 2" xfId="2512"/>
    <cellStyle name="Normal 58 5 4 3 2 2" xfId="7794"/>
    <cellStyle name="Normal 58 5 4 3 3" xfId="3895"/>
    <cellStyle name="Normal 58 5 4 3 3 2" xfId="8910"/>
    <cellStyle name="Normal 58 5 4 3 4" xfId="6201"/>
    <cellStyle name="Normal 58 5 4 3 5" xfId="10364"/>
    <cellStyle name="Normal 58 5 4 3 6" xfId="5388"/>
    <cellStyle name="Normal 58 5 4 4" xfId="1796"/>
    <cellStyle name="Normal 58 5 4 4 2" xfId="4175"/>
    <cellStyle name="Normal 58 5 4 4 2 2" xfId="9190"/>
    <cellStyle name="Normal 58 5 4 4 3" xfId="10644"/>
    <cellStyle name="Normal 58 5 4 4 4" xfId="7085"/>
    <cellStyle name="Normal 58 5 4 5" xfId="3131"/>
    <cellStyle name="Normal 58 5 4 5 2" xfId="8147"/>
    <cellStyle name="Normal 58 5 4 6" xfId="5708"/>
    <cellStyle name="Normal 58 5 4 7" xfId="9601"/>
    <cellStyle name="Normal 58 5 4 8" xfId="4678"/>
    <cellStyle name="Normal 58 5 4_Degree data" xfId="2838"/>
    <cellStyle name="Normal 58 5 5" xfId="687"/>
    <cellStyle name="Normal 58 5 5 2" xfId="1266"/>
    <cellStyle name="Normal 58 5 5 2 2" xfId="2217"/>
    <cellStyle name="Normal 58 5 5 2 2 2" xfId="7506"/>
    <cellStyle name="Normal 58 5 5 2 3" xfId="3547"/>
    <cellStyle name="Normal 58 5 5 2 3 2" xfId="8563"/>
    <cellStyle name="Normal 58 5 5 2 4" xfId="6622"/>
    <cellStyle name="Normal 58 5 5 2 5" xfId="10017"/>
    <cellStyle name="Normal 58 5 5 2 6" xfId="5099"/>
    <cellStyle name="Normal 58 5 5 3" xfId="1415"/>
    <cellStyle name="Normal 58 5 5 3 2" xfId="2355"/>
    <cellStyle name="Normal 58 5 5 3 2 2" xfId="7637"/>
    <cellStyle name="Normal 58 5 5 3 3" xfId="3896"/>
    <cellStyle name="Normal 58 5 5 3 3 2" xfId="8911"/>
    <cellStyle name="Normal 58 5 5 3 4" xfId="6711"/>
    <cellStyle name="Normal 58 5 5 3 5" xfId="10365"/>
    <cellStyle name="Normal 58 5 5 3 6" xfId="5231"/>
    <cellStyle name="Normal 58 5 5 4" xfId="1639"/>
    <cellStyle name="Normal 58 5 5 4 2" xfId="4018"/>
    <cellStyle name="Normal 58 5 5 4 2 2" xfId="9033"/>
    <cellStyle name="Normal 58 5 5 4 3" xfId="10487"/>
    <cellStyle name="Normal 58 5 5 4 4" xfId="6928"/>
    <cellStyle name="Normal 58 5 5 5" xfId="2972"/>
    <cellStyle name="Normal 58 5 5 5 2" xfId="7988"/>
    <cellStyle name="Normal 58 5 5 6" xfId="6044"/>
    <cellStyle name="Normal 58 5 5 7" xfId="9444"/>
    <cellStyle name="Normal 58 5 5 8" xfId="4521"/>
    <cellStyle name="Normal 58 5 5_Degree data" xfId="2839"/>
    <cellStyle name="Normal 58 5 6" xfId="1260"/>
    <cellStyle name="Normal 58 5 6 2" xfId="2211"/>
    <cellStyle name="Normal 58 5 6 2 2" xfId="7500"/>
    <cellStyle name="Normal 58 5 6 3" xfId="3541"/>
    <cellStyle name="Normal 58 5 6 3 2" xfId="8557"/>
    <cellStyle name="Normal 58 5 6 4" xfId="6616"/>
    <cellStyle name="Normal 58 5 6 5" xfId="10011"/>
    <cellStyle name="Normal 58 5 6 6" xfId="5093"/>
    <cellStyle name="Normal 58 5 7" xfId="521"/>
    <cellStyle name="Normal 58 5 7 2" xfId="2310"/>
    <cellStyle name="Normal 58 5 7 2 2" xfId="7592"/>
    <cellStyle name="Normal 58 5 7 3" xfId="3890"/>
    <cellStyle name="Normal 58 5 7 3 2" xfId="8905"/>
    <cellStyle name="Normal 58 5 7 4" xfId="5882"/>
    <cellStyle name="Normal 58 5 7 5" xfId="10359"/>
    <cellStyle name="Normal 58 5 7 6" xfId="5186"/>
    <cellStyle name="Normal 58 5 8" xfId="1479"/>
    <cellStyle name="Normal 58 5 8 2" xfId="3973"/>
    <cellStyle name="Normal 58 5 8 2 2" xfId="8988"/>
    <cellStyle name="Normal 58 5 8 3" xfId="10442"/>
    <cellStyle name="Normal 58 5 8 4" xfId="6768"/>
    <cellStyle name="Normal 58 5 9" xfId="2927"/>
    <cellStyle name="Normal 58 5 9 2" xfId="9399"/>
    <cellStyle name="Normal 58 5 9 3" xfId="7943"/>
    <cellStyle name="Normal 58 5_Degree data" xfId="2833"/>
    <cellStyle name="Normal 58 6" xfId="136"/>
    <cellStyle name="Normal 58 6 10" xfId="5529"/>
    <cellStyle name="Normal 58 6 11" xfId="9349"/>
    <cellStyle name="Normal 58 6 12" xfId="4341"/>
    <cellStyle name="Normal 58 6 2" xfId="257"/>
    <cellStyle name="Normal 58 6 2 10" xfId="4384"/>
    <cellStyle name="Normal 58 6 2 2" xfId="359"/>
    <cellStyle name="Normal 58 6 2 2 2" xfId="1269"/>
    <cellStyle name="Normal 58 6 2 2 2 2" xfId="2220"/>
    <cellStyle name="Normal 58 6 2 2 2 2 2" xfId="7509"/>
    <cellStyle name="Normal 58 6 2 2 2 3" xfId="3550"/>
    <cellStyle name="Normal 58 6 2 2 2 3 2" xfId="8566"/>
    <cellStyle name="Normal 58 6 2 2 2 4" xfId="6625"/>
    <cellStyle name="Normal 58 6 2 2 2 5" xfId="10020"/>
    <cellStyle name="Normal 58 6 2 2 2 6" xfId="5102"/>
    <cellStyle name="Normal 58 6 2 2 3" xfId="867"/>
    <cellStyle name="Normal 58 6 2 2 3 2" xfId="2535"/>
    <cellStyle name="Normal 58 6 2 2 3 2 2" xfId="7817"/>
    <cellStyle name="Normal 58 6 2 2 3 3" xfId="3899"/>
    <cellStyle name="Normal 58 6 2 2 3 3 2" xfId="8914"/>
    <cellStyle name="Normal 58 6 2 2 3 4" xfId="6224"/>
    <cellStyle name="Normal 58 6 2 2 3 5" xfId="10368"/>
    <cellStyle name="Normal 58 6 2 2 3 6" xfId="5411"/>
    <cellStyle name="Normal 58 6 2 2 4" xfId="1819"/>
    <cellStyle name="Normal 58 6 2 2 4 2" xfId="4198"/>
    <cellStyle name="Normal 58 6 2 2 4 2 2" xfId="9213"/>
    <cellStyle name="Normal 58 6 2 2 4 3" xfId="10667"/>
    <cellStyle name="Normal 58 6 2 2 4 4" xfId="7108"/>
    <cellStyle name="Normal 58 6 2 2 5" xfId="3154"/>
    <cellStyle name="Normal 58 6 2 2 5 2" xfId="8170"/>
    <cellStyle name="Normal 58 6 2 2 6" xfId="5731"/>
    <cellStyle name="Normal 58 6 2 2 7" xfId="9624"/>
    <cellStyle name="Normal 58 6 2 2 8" xfId="4701"/>
    <cellStyle name="Normal 58 6 2 2_Degree data" xfId="2842"/>
    <cellStyle name="Normal 58 6 2 3" xfId="767"/>
    <cellStyle name="Normal 58 6 2 3 2" xfId="1719"/>
    <cellStyle name="Normal 58 6 2 3 2 2" xfId="7008"/>
    <cellStyle name="Normal 58 6 2 3 3" xfId="3549"/>
    <cellStyle name="Normal 58 6 2 3 3 2" xfId="8565"/>
    <cellStyle name="Normal 58 6 2 3 4" xfId="6124"/>
    <cellStyle name="Normal 58 6 2 3 5" xfId="10019"/>
    <cellStyle name="Normal 58 6 2 3 6" xfId="4601"/>
    <cellStyle name="Normal 58 6 2 4" xfId="1268"/>
    <cellStyle name="Normal 58 6 2 4 2" xfId="2219"/>
    <cellStyle name="Normal 58 6 2 4 2 2" xfId="7508"/>
    <cellStyle name="Normal 58 6 2 4 3" xfId="3898"/>
    <cellStyle name="Normal 58 6 2 4 3 2" xfId="8913"/>
    <cellStyle name="Normal 58 6 2 4 4" xfId="6624"/>
    <cellStyle name="Normal 58 6 2 4 5" xfId="10367"/>
    <cellStyle name="Normal 58 6 2 4 6" xfId="5101"/>
    <cellStyle name="Normal 58 6 2 5" xfId="546"/>
    <cellStyle name="Normal 58 6 2 5 2" xfId="2435"/>
    <cellStyle name="Normal 58 6 2 5 2 2" xfId="7717"/>
    <cellStyle name="Normal 58 6 2 5 3" xfId="4098"/>
    <cellStyle name="Normal 58 6 2 5 3 2" xfId="9113"/>
    <cellStyle name="Normal 58 6 2 5 4" xfId="5905"/>
    <cellStyle name="Normal 58 6 2 5 5" xfId="10567"/>
    <cellStyle name="Normal 58 6 2 5 6" xfId="5311"/>
    <cellStyle name="Normal 58 6 2 6" xfId="1502"/>
    <cellStyle name="Normal 58 6 2 6 2" xfId="6791"/>
    <cellStyle name="Normal 58 6 2 7" xfId="3054"/>
    <cellStyle name="Normal 58 6 2 7 2" xfId="8070"/>
    <cellStyle name="Normal 58 6 2 8" xfId="5631"/>
    <cellStyle name="Normal 58 6 2 9" xfId="9524"/>
    <cellStyle name="Normal 58 6 2_Degree data" xfId="2841"/>
    <cellStyle name="Normal 58 6 3" xfId="212"/>
    <cellStyle name="Normal 58 6 3 10" xfId="4446"/>
    <cellStyle name="Normal 58 6 3 2" xfId="423"/>
    <cellStyle name="Normal 58 6 3 2 2" xfId="1271"/>
    <cellStyle name="Normal 58 6 3 2 2 2" xfId="2222"/>
    <cellStyle name="Normal 58 6 3 2 2 2 2" xfId="7511"/>
    <cellStyle name="Normal 58 6 3 2 2 3" xfId="3552"/>
    <cellStyle name="Normal 58 6 3 2 2 3 2" xfId="8568"/>
    <cellStyle name="Normal 58 6 3 2 2 4" xfId="6627"/>
    <cellStyle name="Normal 58 6 3 2 2 5" xfId="10022"/>
    <cellStyle name="Normal 58 6 3 2 2 6" xfId="5104"/>
    <cellStyle name="Normal 58 6 3 2 3" xfId="929"/>
    <cellStyle name="Normal 58 6 3 2 3 2" xfId="2597"/>
    <cellStyle name="Normal 58 6 3 2 3 2 2" xfId="7879"/>
    <cellStyle name="Normal 58 6 3 2 3 3" xfId="3901"/>
    <cellStyle name="Normal 58 6 3 2 3 3 2" xfId="8916"/>
    <cellStyle name="Normal 58 6 3 2 3 4" xfId="6286"/>
    <cellStyle name="Normal 58 6 3 2 3 5" xfId="10370"/>
    <cellStyle name="Normal 58 6 3 2 3 6" xfId="5473"/>
    <cellStyle name="Normal 58 6 3 2 4" xfId="1881"/>
    <cellStyle name="Normal 58 6 3 2 4 2" xfId="4260"/>
    <cellStyle name="Normal 58 6 3 2 4 2 2" xfId="9275"/>
    <cellStyle name="Normal 58 6 3 2 4 3" xfId="10729"/>
    <cellStyle name="Normal 58 6 3 2 4 4" xfId="7170"/>
    <cellStyle name="Normal 58 6 3 2 5" xfId="3216"/>
    <cellStyle name="Normal 58 6 3 2 5 2" xfId="8232"/>
    <cellStyle name="Normal 58 6 3 2 6" xfId="5793"/>
    <cellStyle name="Normal 58 6 3 2 7" xfId="9686"/>
    <cellStyle name="Normal 58 6 3 2 8" xfId="4763"/>
    <cellStyle name="Normal 58 6 3 2_Degree data" xfId="2844"/>
    <cellStyle name="Normal 58 6 3 3" xfId="724"/>
    <cellStyle name="Normal 58 6 3 3 2" xfId="1676"/>
    <cellStyle name="Normal 58 6 3 3 2 2" xfId="6965"/>
    <cellStyle name="Normal 58 6 3 3 3" xfId="3551"/>
    <cellStyle name="Normal 58 6 3 3 3 2" xfId="8567"/>
    <cellStyle name="Normal 58 6 3 3 4" xfId="6081"/>
    <cellStyle name="Normal 58 6 3 3 5" xfId="10021"/>
    <cellStyle name="Normal 58 6 3 3 6" xfId="4558"/>
    <cellStyle name="Normal 58 6 3 4" xfId="1270"/>
    <cellStyle name="Normal 58 6 3 4 2" xfId="2221"/>
    <cellStyle name="Normal 58 6 3 4 2 2" xfId="7510"/>
    <cellStyle name="Normal 58 6 3 4 3" xfId="3900"/>
    <cellStyle name="Normal 58 6 3 4 3 2" xfId="8915"/>
    <cellStyle name="Normal 58 6 3 4 4" xfId="6626"/>
    <cellStyle name="Normal 58 6 3 4 5" xfId="10369"/>
    <cellStyle name="Normal 58 6 3 4 6" xfId="5103"/>
    <cellStyle name="Normal 58 6 3 5" xfId="609"/>
    <cellStyle name="Normal 58 6 3 5 2" xfId="2392"/>
    <cellStyle name="Normal 58 6 3 5 2 2" xfId="7674"/>
    <cellStyle name="Normal 58 6 3 5 3" xfId="4055"/>
    <cellStyle name="Normal 58 6 3 5 3 2" xfId="9070"/>
    <cellStyle name="Normal 58 6 3 5 4" xfId="5967"/>
    <cellStyle name="Normal 58 6 3 5 5" xfId="10524"/>
    <cellStyle name="Normal 58 6 3 5 6" xfId="5268"/>
    <cellStyle name="Normal 58 6 3 6" xfId="1564"/>
    <cellStyle name="Normal 58 6 3 6 2" xfId="6853"/>
    <cellStyle name="Normal 58 6 3 7" xfId="3011"/>
    <cellStyle name="Normal 58 6 3 7 2" xfId="8027"/>
    <cellStyle name="Normal 58 6 3 8" xfId="5588"/>
    <cellStyle name="Normal 58 6 3 9" xfId="9481"/>
    <cellStyle name="Normal 58 6 3_Degree data" xfId="2843"/>
    <cellStyle name="Normal 58 6 4" xfId="315"/>
    <cellStyle name="Normal 58 6 4 2" xfId="1272"/>
    <cellStyle name="Normal 58 6 4 2 2" xfId="2223"/>
    <cellStyle name="Normal 58 6 4 2 2 2" xfId="7512"/>
    <cellStyle name="Normal 58 6 4 2 3" xfId="3553"/>
    <cellStyle name="Normal 58 6 4 2 3 2" xfId="8569"/>
    <cellStyle name="Normal 58 6 4 2 4" xfId="6628"/>
    <cellStyle name="Normal 58 6 4 2 5" xfId="10023"/>
    <cellStyle name="Normal 58 6 4 2 6" xfId="5105"/>
    <cellStyle name="Normal 58 6 4 3" xfId="824"/>
    <cellStyle name="Normal 58 6 4 3 2" xfId="2492"/>
    <cellStyle name="Normal 58 6 4 3 2 2" xfId="7774"/>
    <cellStyle name="Normal 58 6 4 3 3" xfId="3902"/>
    <cellStyle name="Normal 58 6 4 3 3 2" xfId="8917"/>
    <cellStyle name="Normal 58 6 4 3 4" xfId="6181"/>
    <cellStyle name="Normal 58 6 4 3 5" xfId="10371"/>
    <cellStyle name="Normal 58 6 4 3 6" xfId="5368"/>
    <cellStyle name="Normal 58 6 4 4" xfId="1776"/>
    <cellStyle name="Normal 58 6 4 4 2" xfId="4155"/>
    <cellStyle name="Normal 58 6 4 4 2 2" xfId="9170"/>
    <cellStyle name="Normal 58 6 4 4 3" xfId="10624"/>
    <cellStyle name="Normal 58 6 4 4 4" xfId="7065"/>
    <cellStyle name="Normal 58 6 4 5" xfId="3111"/>
    <cellStyle name="Normal 58 6 4 5 2" xfId="8127"/>
    <cellStyle name="Normal 58 6 4 6" xfId="5688"/>
    <cellStyle name="Normal 58 6 4 7" xfId="9581"/>
    <cellStyle name="Normal 58 6 4 8" xfId="4658"/>
    <cellStyle name="Normal 58 6 4_Degree data" xfId="2845"/>
    <cellStyle name="Normal 58 6 5" xfId="665"/>
    <cellStyle name="Normal 58 6 5 2" xfId="1617"/>
    <cellStyle name="Normal 58 6 5 2 2" xfId="6906"/>
    <cellStyle name="Normal 58 6 5 3" xfId="3548"/>
    <cellStyle name="Normal 58 6 5 3 2" xfId="8564"/>
    <cellStyle name="Normal 58 6 5 4" xfId="6022"/>
    <cellStyle name="Normal 58 6 5 5" xfId="10018"/>
    <cellStyle name="Normal 58 6 5 6" xfId="4499"/>
    <cellStyle name="Normal 58 6 6" xfId="1267"/>
    <cellStyle name="Normal 58 6 6 2" xfId="2218"/>
    <cellStyle name="Normal 58 6 6 2 2" xfId="7507"/>
    <cellStyle name="Normal 58 6 6 3" xfId="3897"/>
    <cellStyle name="Normal 58 6 6 3 2" xfId="8912"/>
    <cellStyle name="Normal 58 6 6 4" xfId="6623"/>
    <cellStyle name="Normal 58 6 6 5" xfId="10366"/>
    <cellStyle name="Normal 58 6 6 6" xfId="5100"/>
    <cellStyle name="Normal 58 6 7" xfId="500"/>
    <cellStyle name="Normal 58 6 7 2" xfId="2333"/>
    <cellStyle name="Normal 58 6 7 2 2" xfId="7615"/>
    <cellStyle name="Normal 58 6 7 3" xfId="3996"/>
    <cellStyle name="Normal 58 6 7 3 2" xfId="9011"/>
    <cellStyle name="Normal 58 6 7 4" xfId="5861"/>
    <cellStyle name="Normal 58 6 7 5" xfId="10465"/>
    <cellStyle name="Normal 58 6 7 6" xfId="5209"/>
    <cellStyle name="Normal 58 6 8" xfId="1459"/>
    <cellStyle name="Normal 58 6 8 2" xfId="9422"/>
    <cellStyle name="Normal 58 6 8 3" xfId="6748"/>
    <cellStyle name="Normal 58 6 9" xfId="2950"/>
    <cellStyle name="Normal 58 6 9 2" xfId="7966"/>
    <cellStyle name="Normal 58 6_Degree data" xfId="2840"/>
    <cellStyle name="Normal 58 7" xfId="240"/>
    <cellStyle name="Normal 58 7 10" xfId="4367"/>
    <cellStyle name="Normal 58 7 2" xfId="342"/>
    <cellStyle name="Normal 58 7 2 2" xfId="1274"/>
    <cellStyle name="Normal 58 7 2 2 2" xfId="2225"/>
    <cellStyle name="Normal 58 7 2 2 2 2" xfId="7514"/>
    <cellStyle name="Normal 58 7 2 2 3" xfId="3555"/>
    <cellStyle name="Normal 58 7 2 2 3 2" xfId="8571"/>
    <cellStyle name="Normal 58 7 2 2 4" xfId="6630"/>
    <cellStyle name="Normal 58 7 2 2 5" xfId="10025"/>
    <cellStyle name="Normal 58 7 2 2 6" xfId="5107"/>
    <cellStyle name="Normal 58 7 2 3" xfId="850"/>
    <cellStyle name="Normal 58 7 2 3 2" xfId="2518"/>
    <cellStyle name="Normal 58 7 2 3 2 2" xfId="7800"/>
    <cellStyle name="Normal 58 7 2 3 3" xfId="3904"/>
    <cellStyle name="Normal 58 7 2 3 3 2" xfId="8919"/>
    <cellStyle name="Normal 58 7 2 3 4" xfId="6207"/>
    <cellStyle name="Normal 58 7 2 3 5" xfId="10373"/>
    <cellStyle name="Normal 58 7 2 3 6" xfId="5394"/>
    <cellStyle name="Normal 58 7 2 4" xfId="1802"/>
    <cellStyle name="Normal 58 7 2 4 2" xfId="4181"/>
    <cellStyle name="Normal 58 7 2 4 2 2" xfId="9196"/>
    <cellStyle name="Normal 58 7 2 4 3" xfId="10650"/>
    <cellStyle name="Normal 58 7 2 4 4" xfId="7091"/>
    <cellStyle name="Normal 58 7 2 5" xfId="3137"/>
    <cellStyle name="Normal 58 7 2 5 2" xfId="8153"/>
    <cellStyle name="Normal 58 7 2 6" xfId="5714"/>
    <cellStyle name="Normal 58 7 2 7" xfId="9607"/>
    <cellStyle name="Normal 58 7 2 8" xfId="4684"/>
    <cellStyle name="Normal 58 7 2_Degree data" xfId="2847"/>
    <cellStyle name="Normal 58 7 3" xfId="750"/>
    <cellStyle name="Normal 58 7 3 2" xfId="1702"/>
    <cellStyle name="Normal 58 7 3 2 2" xfId="6991"/>
    <cellStyle name="Normal 58 7 3 3" xfId="3554"/>
    <cellStyle name="Normal 58 7 3 3 2" xfId="8570"/>
    <cellStyle name="Normal 58 7 3 4" xfId="6107"/>
    <cellStyle name="Normal 58 7 3 5" xfId="10024"/>
    <cellStyle name="Normal 58 7 3 6" xfId="4584"/>
    <cellStyle name="Normal 58 7 4" xfId="1273"/>
    <cellStyle name="Normal 58 7 4 2" xfId="2224"/>
    <cellStyle name="Normal 58 7 4 2 2" xfId="7513"/>
    <cellStyle name="Normal 58 7 4 3" xfId="3903"/>
    <cellStyle name="Normal 58 7 4 3 2" xfId="8918"/>
    <cellStyle name="Normal 58 7 4 4" xfId="6629"/>
    <cellStyle name="Normal 58 7 4 5" xfId="10372"/>
    <cellStyle name="Normal 58 7 4 6" xfId="5106"/>
    <cellStyle name="Normal 58 7 5" xfId="529"/>
    <cellStyle name="Normal 58 7 5 2" xfId="2418"/>
    <cellStyle name="Normal 58 7 5 2 2" xfId="7700"/>
    <cellStyle name="Normal 58 7 5 3" xfId="4081"/>
    <cellStyle name="Normal 58 7 5 3 2" xfId="9096"/>
    <cellStyle name="Normal 58 7 5 4" xfId="5888"/>
    <cellStyle name="Normal 58 7 5 5" xfId="10550"/>
    <cellStyle name="Normal 58 7 5 6" xfId="5294"/>
    <cellStyle name="Normal 58 7 6" xfId="1485"/>
    <cellStyle name="Normal 58 7 6 2" xfId="6774"/>
    <cellStyle name="Normal 58 7 7" xfId="3037"/>
    <cellStyle name="Normal 58 7 7 2" xfId="8053"/>
    <cellStyle name="Normal 58 7 8" xfId="5614"/>
    <cellStyle name="Normal 58 7 9" xfId="9507"/>
    <cellStyle name="Normal 58 7_Degree data" xfId="2846"/>
    <cellStyle name="Normal 58 8" xfId="178"/>
    <cellStyle name="Normal 58 8 10" xfId="4415"/>
    <cellStyle name="Normal 58 8 2" xfId="392"/>
    <cellStyle name="Normal 58 8 2 2" xfId="1276"/>
    <cellStyle name="Normal 58 8 2 2 2" xfId="2227"/>
    <cellStyle name="Normal 58 8 2 2 2 2" xfId="7516"/>
    <cellStyle name="Normal 58 8 2 2 3" xfId="3557"/>
    <cellStyle name="Normal 58 8 2 2 3 2" xfId="8573"/>
    <cellStyle name="Normal 58 8 2 2 4" xfId="6632"/>
    <cellStyle name="Normal 58 8 2 2 5" xfId="10027"/>
    <cellStyle name="Normal 58 8 2 2 6" xfId="5109"/>
    <cellStyle name="Normal 58 8 2 3" xfId="898"/>
    <cellStyle name="Normal 58 8 2 3 2" xfId="2566"/>
    <cellStyle name="Normal 58 8 2 3 2 2" xfId="7848"/>
    <cellStyle name="Normal 58 8 2 3 3" xfId="3906"/>
    <cellStyle name="Normal 58 8 2 3 3 2" xfId="8921"/>
    <cellStyle name="Normal 58 8 2 3 4" xfId="6255"/>
    <cellStyle name="Normal 58 8 2 3 5" xfId="10375"/>
    <cellStyle name="Normal 58 8 2 3 6" xfId="5442"/>
    <cellStyle name="Normal 58 8 2 4" xfId="1850"/>
    <cellStyle name="Normal 58 8 2 4 2" xfId="4229"/>
    <cellStyle name="Normal 58 8 2 4 2 2" xfId="9244"/>
    <cellStyle name="Normal 58 8 2 4 3" xfId="10698"/>
    <cellStyle name="Normal 58 8 2 4 4" xfId="7139"/>
    <cellStyle name="Normal 58 8 2 5" xfId="3185"/>
    <cellStyle name="Normal 58 8 2 5 2" xfId="8201"/>
    <cellStyle name="Normal 58 8 2 6" xfId="5762"/>
    <cellStyle name="Normal 58 8 2 7" xfId="9655"/>
    <cellStyle name="Normal 58 8 2 8" xfId="4732"/>
    <cellStyle name="Normal 58 8 2_Degree data" xfId="2849"/>
    <cellStyle name="Normal 58 8 3" xfId="693"/>
    <cellStyle name="Normal 58 8 3 2" xfId="1645"/>
    <cellStyle name="Normal 58 8 3 2 2" xfId="6934"/>
    <cellStyle name="Normal 58 8 3 3" xfId="3556"/>
    <cellStyle name="Normal 58 8 3 3 2" xfId="8572"/>
    <cellStyle name="Normal 58 8 3 4" xfId="6050"/>
    <cellStyle name="Normal 58 8 3 5" xfId="10026"/>
    <cellStyle name="Normal 58 8 3 6" xfId="4527"/>
    <cellStyle name="Normal 58 8 4" xfId="1275"/>
    <cellStyle name="Normal 58 8 4 2" xfId="2226"/>
    <cellStyle name="Normal 58 8 4 2 2" xfId="7515"/>
    <cellStyle name="Normal 58 8 4 3" xfId="3905"/>
    <cellStyle name="Normal 58 8 4 3 2" xfId="8920"/>
    <cellStyle name="Normal 58 8 4 4" xfId="6631"/>
    <cellStyle name="Normal 58 8 4 5" xfId="10374"/>
    <cellStyle name="Normal 58 8 4 6" xfId="5108"/>
    <cellStyle name="Normal 58 8 5" xfId="578"/>
    <cellStyle name="Normal 58 8 5 2" xfId="2361"/>
    <cellStyle name="Normal 58 8 5 2 2" xfId="7643"/>
    <cellStyle name="Normal 58 8 5 3" xfId="4024"/>
    <cellStyle name="Normal 58 8 5 3 2" xfId="9039"/>
    <cellStyle name="Normal 58 8 5 4" xfId="5936"/>
    <cellStyle name="Normal 58 8 5 5" xfId="10493"/>
    <cellStyle name="Normal 58 8 5 6" xfId="5237"/>
    <cellStyle name="Normal 58 8 6" xfId="1533"/>
    <cellStyle name="Normal 58 8 6 2" xfId="6822"/>
    <cellStyle name="Normal 58 8 7" xfId="2980"/>
    <cellStyle name="Normal 58 8 7 2" xfId="7996"/>
    <cellStyle name="Normal 58 8 8" xfId="5557"/>
    <cellStyle name="Normal 58 8 9" xfId="9450"/>
    <cellStyle name="Normal 58 8_Degree data" xfId="2848"/>
    <cellStyle name="Normal 58 9" xfId="448"/>
    <cellStyle name="Normal 58 9 2" xfId="954"/>
    <cellStyle name="Normal 58 9 2 2" xfId="1906"/>
    <cellStyle name="Normal 58 9 2 2 2" xfId="7195"/>
    <cellStyle name="Normal 58 9 2 3" xfId="3558"/>
    <cellStyle name="Normal 58 9 2 3 2" xfId="8574"/>
    <cellStyle name="Normal 58 9 2 4" xfId="6311"/>
    <cellStyle name="Normal 58 9 2 5" xfId="10028"/>
    <cellStyle name="Normal 58 9 2 6" xfId="4788"/>
    <cellStyle name="Normal 58 9 3" xfId="1277"/>
    <cellStyle name="Normal 58 9 3 2" xfId="2228"/>
    <cellStyle name="Normal 58 9 3 2 2" xfId="7517"/>
    <cellStyle name="Normal 58 9 3 3" xfId="3907"/>
    <cellStyle name="Normal 58 9 3 3 2" xfId="8922"/>
    <cellStyle name="Normal 58 9 3 4" xfId="6633"/>
    <cellStyle name="Normal 58 9 3 5" xfId="10376"/>
    <cellStyle name="Normal 58 9 3 6" xfId="5110"/>
    <cellStyle name="Normal 58 9 4" xfId="634"/>
    <cellStyle name="Normal 58 9 4 2" xfId="2622"/>
    <cellStyle name="Normal 58 9 4 2 2" xfId="7904"/>
    <cellStyle name="Normal 58 9 4 3" xfId="4285"/>
    <cellStyle name="Normal 58 9 4 3 2" xfId="9300"/>
    <cellStyle name="Normal 58 9 4 4" xfId="5992"/>
    <cellStyle name="Normal 58 9 4 5" xfId="10754"/>
    <cellStyle name="Normal 58 9 4 6" xfId="5498"/>
    <cellStyle name="Normal 58 9 5" xfId="1589"/>
    <cellStyle name="Normal 58 9 5 2" xfId="6878"/>
    <cellStyle name="Normal 58 9 6" xfId="3241"/>
    <cellStyle name="Normal 58 9 6 2" xfId="8257"/>
    <cellStyle name="Normal 58 9 7" xfId="5818"/>
    <cellStyle name="Normal 58 9 8" xfId="9711"/>
    <cellStyle name="Normal 58 9 9" xfId="4471"/>
    <cellStyle name="Normal 58 9_Degree data" xfId="2850"/>
    <cellStyle name="Normal 58_Degree data" xfId="2808"/>
    <cellStyle name="Normal 59" xfId="118"/>
    <cellStyle name="Normal 6" xfId="101"/>
    <cellStyle name="Normal 6 2 2" xfId="117"/>
    <cellStyle name="Normal 6_sreb progression tab 2 redo" xfId="108"/>
    <cellStyle name="Normal 60" xfId="175"/>
    <cellStyle name="Normal 60 2" xfId="1278"/>
    <cellStyle name="Normal 60 3" xfId="468"/>
    <cellStyle name="Normal 60_Degree data" xfId="2851"/>
    <cellStyle name="Normal 61" xfId="173"/>
    <cellStyle name="Normal 61 2" xfId="1279"/>
    <cellStyle name="Normal 61 3" xfId="469"/>
    <cellStyle name="Normal 61_Degree data" xfId="2852"/>
    <cellStyle name="Normal 62" xfId="129"/>
    <cellStyle name="Normal 62 2" xfId="1280"/>
    <cellStyle name="Normal 62 3" xfId="470"/>
    <cellStyle name="Normal 62_Degree data" xfId="2853"/>
    <cellStyle name="Normal 63" xfId="155"/>
    <cellStyle name="Normal 63 10" xfId="5540"/>
    <cellStyle name="Normal 63 11" xfId="9433"/>
    <cellStyle name="Normal 63 12" xfId="4329"/>
    <cellStyle name="Normal 63 2" xfId="197"/>
    <cellStyle name="Normal 63 2 10" xfId="4434"/>
    <cellStyle name="Normal 63 2 2" xfId="411"/>
    <cellStyle name="Normal 63 2 2 2" xfId="1283"/>
    <cellStyle name="Normal 63 2 2 2 2" xfId="2231"/>
    <cellStyle name="Normal 63 2 2 2 2 2" xfId="7520"/>
    <cellStyle name="Normal 63 2 2 2 3" xfId="3561"/>
    <cellStyle name="Normal 63 2 2 2 3 2" xfId="8577"/>
    <cellStyle name="Normal 63 2 2 2 4" xfId="6636"/>
    <cellStyle name="Normal 63 2 2 2 5" xfId="10031"/>
    <cellStyle name="Normal 63 2 2 2 6" xfId="5113"/>
    <cellStyle name="Normal 63 2 2 3" xfId="917"/>
    <cellStyle name="Normal 63 2 2 3 2" xfId="2585"/>
    <cellStyle name="Normal 63 2 2 3 2 2" xfId="7867"/>
    <cellStyle name="Normal 63 2 2 3 3" xfId="3910"/>
    <cellStyle name="Normal 63 2 2 3 3 2" xfId="8925"/>
    <cellStyle name="Normal 63 2 2 3 4" xfId="6274"/>
    <cellStyle name="Normal 63 2 2 3 5" xfId="10379"/>
    <cellStyle name="Normal 63 2 2 3 6" xfId="5461"/>
    <cellStyle name="Normal 63 2 2 4" xfId="1869"/>
    <cellStyle name="Normal 63 2 2 4 2" xfId="4248"/>
    <cellStyle name="Normal 63 2 2 4 2 2" xfId="9263"/>
    <cellStyle name="Normal 63 2 2 4 3" xfId="10717"/>
    <cellStyle name="Normal 63 2 2 4 4" xfId="7158"/>
    <cellStyle name="Normal 63 2 2 5" xfId="3204"/>
    <cellStyle name="Normal 63 2 2 5 2" xfId="8220"/>
    <cellStyle name="Normal 63 2 2 6" xfId="5781"/>
    <cellStyle name="Normal 63 2 2 7" xfId="9674"/>
    <cellStyle name="Normal 63 2 2 8" xfId="4751"/>
    <cellStyle name="Normal 63 2 2_Degree data" xfId="2856"/>
    <cellStyle name="Normal 63 2 3" xfId="712"/>
    <cellStyle name="Normal 63 2 3 2" xfId="1664"/>
    <cellStyle name="Normal 63 2 3 2 2" xfId="6953"/>
    <cellStyle name="Normal 63 2 3 3" xfId="3560"/>
    <cellStyle name="Normal 63 2 3 3 2" xfId="8576"/>
    <cellStyle name="Normal 63 2 3 4" xfId="6069"/>
    <cellStyle name="Normal 63 2 3 5" xfId="10030"/>
    <cellStyle name="Normal 63 2 3 6" xfId="4546"/>
    <cellStyle name="Normal 63 2 4" xfId="1282"/>
    <cellStyle name="Normal 63 2 4 2" xfId="2230"/>
    <cellStyle name="Normal 63 2 4 2 2" xfId="7519"/>
    <cellStyle name="Normal 63 2 4 3" xfId="3909"/>
    <cellStyle name="Normal 63 2 4 3 2" xfId="8924"/>
    <cellStyle name="Normal 63 2 4 4" xfId="6635"/>
    <cellStyle name="Normal 63 2 4 5" xfId="10378"/>
    <cellStyle name="Normal 63 2 4 6" xfId="5112"/>
    <cellStyle name="Normal 63 2 5" xfId="597"/>
    <cellStyle name="Normal 63 2 5 2" xfId="2380"/>
    <cellStyle name="Normal 63 2 5 2 2" xfId="7662"/>
    <cellStyle name="Normal 63 2 5 3" xfId="4043"/>
    <cellStyle name="Normal 63 2 5 3 2" xfId="9058"/>
    <cellStyle name="Normal 63 2 5 4" xfId="5955"/>
    <cellStyle name="Normal 63 2 5 5" xfId="10512"/>
    <cellStyle name="Normal 63 2 5 6" xfId="5256"/>
    <cellStyle name="Normal 63 2 6" xfId="1552"/>
    <cellStyle name="Normal 63 2 6 2" xfId="6841"/>
    <cellStyle name="Normal 63 2 7" xfId="2999"/>
    <cellStyle name="Normal 63 2 7 2" xfId="8015"/>
    <cellStyle name="Normal 63 2 8" xfId="5576"/>
    <cellStyle name="Normal 63 2 9" xfId="9469"/>
    <cellStyle name="Normal 63 2_Degree data" xfId="2855"/>
    <cellStyle name="Normal 63 3" xfId="388"/>
    <cellStyle name="Normal 63 3 2" xfId="894"/>
    <cellStyle name="Normal 63 3 2 2" xfId="1846"/>
    <cellStyle name="Normal 63 3 2 2 2" xfId="7135"/>
    <cellStyle name="Normal 63 3 2 3" xfId="3562"/>
    <cellStyle name="Normal 63 3 2 3 2" xfId="8578"/>
    <cellStyle name="Normal 63 3 2 4" xfId="6251"/>
    <cellStyle name="Normal 63 3 2 5" xfId="10032"/>
    <cellStyle name="Normal 63 3 2 6" xfId="4728"/>
    <cellStyle name="Normal 63 3 3" xfId="1284"/>
    <cellStyle name="Normal 63 3 3 2" xfId="2232"/>
    <cellStyle name="Normal 63 3 3 2 2" xfId="7521"/>
    <cellStyle name="Normal 63 3 3 3" xfId="3911"/>
    <cellStyle name="Normal 63 3 3 3 2" xfId="8926"/>
    <cellStyle name="Normal 63 3 3 4" xfId="6637"/>
    <cellStyle name="Normal 63 3 3 5" xfId="10380"/>
    <cellStyle name="Normal 63 3 3 6" xfId="5114"/>
    <cellStyle name="Normal 63 3 4" xfId="574"/>
    <cellStyle name="Normal 63 3 4 2" xfId="2562"/>
    <cellStyle name="Normal 63 3 4 2 2" xfId="7844"/>
    <cellStyle name="Normal 63 3 4 3" xfId="4225"/>
    <cellStyle name="Normal 63 3 4 3 2" xfId="9240"/>
    <cellStyle name="Normal 63 3 4 4" xfId="5932"/>
    <cellStyle name="Normal 63 3 4 5" xfId="10694"/>
    <cellStyle name="Normal 63 3 4 6" xfId="5438"/>
    <cellStyle name="Normal 63 3 5" xfId="1529"/>
    <cellStyle name="Normal 63 3 5 2" xfId="6818"/>
    <cellStyle name="Normal 63 3 6" xfId="3181"/>
    <cellStyle name="Normal 63 3 6 2" xfId="8197"/>
    <cellStyle name="Normal 63 3 7" xfId="5758"/>
    <cellStyle name="Normal 63 3 8" xfId="9651"/>
    <cellStyle name="Normal 63 3 9" xfId="4411"/>
    <cellStyle name="Normal 63 3_Degree data" xfId="2857"/>
    <cellStyle name="Normal 63 4" xfId="303"/>
    <cellStyle name="Normal 63 4 2" xfId="1285"/>
    <cellStyle name="Normal 63 4 2 2" xfId="2233"/>
    <cellStyle name="Normal 63 4 2 2 2" xfId="7522"/>
    <cellStyle name="Normal 63 4 2 3" xfId="3563"/>
    <cellStyle name="Normal 63 4 2 3 2" xfId="8579"/>
    <cellStyle name="Normal 63 4 2 4" xfId="6638"/>
    <cellStyle name="Normal 63 4 2 5" xfId="10033"/>
    <cellStyle name="Normal 63 4 2 6" xfId="5115"/>
    <cellStyle name="Normal 63 4 3" xfId="812"/>
    <cellStyle name="Normal 63 4 3 2" xfId="2480"/>
    <cellStyle name="Normal 63 4 3 2 2" xfId="7762"/>
    <cellStyle name="Normal 63 4 3 3" xfId="3912"/>
    <cellStyle name="Normal 63 4 3 3 2" xfId="8927"/>
    <cellStyle name="Normal 63 4 3 4" xfId="6169"/>
    <cellStyle name="Normal 63 4 3 5" xfId="10381"/>
    <cellStyle name="Normal 63 4 3 6" xfId="5356"/>
    <cellStyle name="Normal 63 4 4" xfId="1764"/>
    <cellStyle name="Normal 63 4 4 2" xfId="4143"/>
    <cellStyle name="Normal 63 4 4 2 2" xfId="9158"/>
    <cellStyle name="Normal 63 4 4 3" xfId="10612"/>
    <cellStyle name="Normal 63 4 4 4" xfId="7053"/>
    <cellStyle name="Normal 63 4 5" xfId="3099"/>
    <cellStyle name="Normal 63 4 5 2" xfId="8115"/>
    <cellStyle name="Normal 63 4 6" xfId="5676"/>
    <cellStyle name="Normal 63 4 7" xfId="9569"/>
    <cellStyle name="Normal 63 4 8" xfId="4646"/>
    <cellStyle name="Normal 63 4_Degree data" xfId="2858"/>
    <cellStyle name="Normal 63 5" xfId="676"/>
    <cellStyle name="Normal 63 5 2" xfId="1628"/>
    <cellStyle name="Normal 63 5 2 2" xfId="6917"/>
    <cellStyle name="Normal 63 5 3" xfId="3559"/>
    <cellStyle name="Normal 63 5 3 2" xfId="8575"/>
    <cellStyle name="Normal 63 5 4" xfId="6033"/>
    <cellStyle name="Normal 63 5 5" xfId="10029"/>
    <cellStyle name="Normal 63 5 6" xfId="4510"/>
    <cellStyle name="Normal 63 6" xfId="1281"/>
    <cellStyle name="Normal 63 6 2" xfId="2229"/>
    <cellStyle name="Normal 63 6 2 2" xfId="7518"/>
    <cellStyle name="Normal 63 6 3" xfId="3908"/>
    <cellStyle name="Normal 63 6 3 2" xfId="8923"/>
    <cellStyle name="Normal 63 6 4" xfId="6634"/>
    <cellStyle name="Normal 63 6 5" xfId="10377"/>
    <cellStyle name="Normal 63 6 6" xfId="5111"/>
    <cellStyle name="Normal 63 7" xfId="485"/>
    <cellStyle name="Normal 63 7 2" xfId="2344"/>
    <cellStyle name="Normal 63 7 2 2" xfId="7626"/>
    <cellStyle name="Normal 63 7 3" xfId="4007"/>
    <cellStyle name="Normal 63 7 3 2" xfId="9022"/>
    <cellStyle name="Normal 63 7 4" xfId="5849"/>
    <cellStyle name="Normal 63 7 5" xfId="10476"/>
    <cellStyle name="Normal 63 7 6" xfId="5220"/>
    <cellStyle name="Normal 63 8" xfId="1446"/>
    <cellStyle name="Normal 63 8 2" xfId="6736"/>
    <cellStyle name="Normal 63 9" xfId="2961"/>
    <cellStyle name="Normal 63 9 2" xfId="7977"/>
    <cellStyle name="Normal 63_Degree data" xfId="2854"/>
    <cellStyle name="Normal 64" xfId="204"/>
    <cellStyle name="Normal 64 2" xfId="1286"/>
    <cellStyle name="Normal 64 3" xfId="492"/>
    <cellStyle name="Normal 64_Degree data" xfId="2859"/>
    <cellStyle name="Normal 65" xfId="206"/>
    <cellStyle name="Normal 65 2" xfId="1287"/>
    <cellStyle name="Normal 65 3" xfId="494"/>
    <cellStyle name="Normal 65_Degree data" xfId="2860"/>
    <cellStyle name="Normal 66" xfId="205"/>
    <cellStyle name="Normal 66 2" xfId="1288"/>
    <cellStyle name="Normal 66 3" xfId="493"/>
    <cellStyle name="Normal 66_Degree data" xfId="2861"/>
    <cellStyle name="Normal 67" xfId="238"/>
    <cellStyle name="Normal 67 2" xfId="1289"/>
    <cellStyle name="Normal 67 3" xfId="526"/>
    <cellStyle name="Normal 67_Degree data" xfId="2862"/>
    <cellStyle name="Normal 68" xfId="340"/>
    <cellStyle name="Normal 68 2" xfId="1290"/>
    <cellStyle name="Normal 68 3" xfId="527"/>
    <cellStyle name="Normal 68_Degree data" xfId="2863"/>
    <cellStyle name="Normal 69" xfId="369"/>
    <cellStyle name="Normal 69 2" xfId="1291"/>
    <cellStyle name="Normal 69 3" xfId="556"/>
    <cellStyle name="Normal 69_Degree data" xfId="2864"/>
    <cellStyle name="Normal 7" xfId="115"/>
    <cellStyle name="Normal 7 10" xfId="1292"/>
    <cellStyle name="Normal 7 10 2" xfId="2234"/>
    <cellStyle name="Normal 7 10 2 2" xfId="7523"/>
    <cellStyle name="Normal 7 10 3" xfId="3565"/>
    <cellStyle name="Normal 7 10 3 2" xfId="8580"/>
    <cellStyle name="Normal 7 10 4" xfId="6639"/>
    <cellStyle name="Normal 7 10 5" xfId="10034"/>
    <cellStyle name="Normal 7 10 6" xfId="5116"/>
    <cellStyle name="Normal 7 11" xfId="466"/>
    <cellStyle name="Normal 7 11 2" xfId="2293"/>
    <cellStyle name="Normal 7 11 2 2" xfId="7575"/>
    <cellStyle name="Normal 7 11 3" xfId="3913"/>
    <cellStyle name="Normal 7 11 3 2" xfId="8928"/>
    <cellStyle name="Normal 7 11 4" xfId="5833"/>
    <cellStyle name="Normal 7 11 5" xfId="10382"/>
    <cellStyle name="Normal 7 11 6" xfId="5169"/>
    <cellStyle name="Normal 7 12" xfId="1427"/>
    <cellStyle name="Normal 7 12 2" xfId="3956"/>
    <cellStyle name="Normal 7 12 2 2" xfId="8971"/>
    <cellStyle name="Normal 7 12 3" xfId="10425"/>
    <cellStyle name="Normal 7 12 4" xfId="6719"/>
    <cellStyle name="Normal 7 13" xfId="2910"/>
    <cellStyle name="Normal 7 13 2" xfId="9382"/>
    <cellStyle name="Normal 7 13 3" xfId="7926"/>
    <cellStyle name="Normal 7 14" xfId="5521"/>
    <cellStyle name="Normal 7 15" xfId="9342"/>
    <cellStyle name="Normal 7 16" xfId="4313"/>
    <cellStyle name="Normal 7 2" xfId="163"/>
    <cellStyle name="Normal 7 2 10" xfId="2922"/>
    <cellStyle name="Normal 7 2 10 2" xfId="9394"/>
    <cellStyle name="Normal 7 2 10 3" xfId="7938"/>
    <cellStyle name="Normal 7 2 11" xfId="5546"/>
    <cellStyle name="Normal 7 2 12" xfId="9364"/>
    <cellStyle name="Normal 7 2 13" xfId="4326"/>
    <cellStyle name="Normal 7 2 2" xfId="228"/>
    <cellStyle name="Normal 7 2 2 10" xfId="9496"/>
    <cellStyle name="Normal 7 2 2 11" xfId="4356"/>
    <cellStyle name="Normal 7 2 2 2" xfId="437"/>
    <cellStyle name="Normal 7 2 2 2 2" xfId="943"/>
    <cellStyle name="Normal 7 2 2 2 2 2" xfId="1895"/>
    <cellStyle name="Normal 7 2 2 2 2 2 2" xfId="7184"/>
    <cellStyle name="Normal 7 2 2 2 2 3" xfId="3568"/>
    <cellStyle name="Normal 7 2 2 2 2 3 2" xfId="8583"/>
    <cellStyle name="Normal 7 2 2 2 2 4" xfId="6300"/>
    <cellStyle name="Normal 7 2 2 2 2 5" xfId="10037"/>
    <cellStyle name="Normal 7 2 2 2 2 6" xfId="4777"/>
    <cellStyle name="Normal 7 2 2 2 3" xfId="1295"/>
    <cellStyle name="Normal 7 2 2 2 3 2" xfId="2237"/>
    <cellStyle name="Normal 7 2 2 2 3 2 2" xfId="7526"/>
    <cellStyle name="Normal 7 2 2 2 3 3" xfId="3916"/>
    <cellStyle name="Normal 7 2 2 2 3 3 2" xfId="8931"/>
    <cellStyle name="Normal 7 2 2 2 3 4" xfId="6642"/>
    <cellStyle name="Normal 7 2 2 2 3 5" xfId="10385"/>
    <cellStyle name="Normal 7 2 2 2 3 6" xfId="5119"/>
    <cellStyle name="Normal 7 2 2 2 4" xfId="623"/>
    <cellStyle name="Normal 7 2 2 2 4 2" xfId="2611"/>
    <cellStyle name="Normal 7 2 2 2 4 2 2" xfId="7893"/>
    <cellStyle name="Normal 7 2 2 2 4 3" xfId="4274"/>
    <cellStyle name="Normal 7 2 2 2 4 3 2" xfId="9289"/>
    <cellStyle name="Normal 7 2 2 2 4 4" xfId="5981"/>
    <cellStyle name="Normal 7 2 2 2 4 5" xfId="10743"/>
    <cellStyle name="Normal 7 2 2 2 4 6" xfId="5487"/>
    <cellStyle name="Normal 7 2 2 2 5" xfId="1578"/>
    <cellStyle name="Normal 7 2 2 2 5 2" xfId="6867"/>
    <cellStyle name="Normal 7 2 2 2 6" xfId="3230"/>
    <cellStyle name="Normal 7 2 2 2 6 2" xfId="8246"/>
    <cellStyle name="Normal 7 2 2 2 7" xfId="5807"/>
    <cellStyle name="Normal 7 2 2 2 8" xfId="9700"/>
    <cellStyle name="Normal 7 2 2 2 9" xfId="4460"/>
    <cellStyle name="Normal 7 2 2 2_Degree data" xfId="2868"/>
    <cellStyle name="Normal 7 2 2 3" xfId="330"/>
    <cellStyle name="Normal 7 2 2 3 2" xfId="1296"/>
    <cellStyle name="Normal 7 2 2 3 2 2" xfId="2238"/>
    <cellStyle name="Normal 7 2 2 3 2 2 2" xfId="7527"/>
    <cellStyle name="Normal 7 2 2 3 2 3" xfId="3569"/>
    <cellStyle name="Normal 7 2 2 3 2 3 2" xfId="8584"/>
    <cellStyle name="Normal 7 2 2 3 2 4" xfId="6643"/>
    <cellStyle name="Normal 7 2 2 3 2 5" xfId="10038"/>
    <cellStyle name="Normal 7 2 2 3 2 6" xfId="5120"/>
    <cellStyle name="Normal 7 2 2 3 3" xfId="839"/>
    <cellStyle name="Normal 7 2 2 3 3 2" xfId="2507"/>
    <cellStyle name="Normal 7 2 2 3 3 2 2" xfId="7789"/>
    <cellStyle name="Normal 7 2 2 3 3 3" xfId="3917"/>
    <cellStyle name="Normal 7 2 2 3 3 3 2" xfId="8932"/>
    <cellStyle name="Normal 7 2 2 3 3 4" xfId="6196"/>
    <cellStyle name="Normal 7 2 2 3 3 5" xfId="10386"/>
    <cellStyle name="Normal 7 2 2 3 3 6" xfId="5383"/>
    <cellStyle name="Normal 7 2 2 3 4" xfId="1791"/>
    <cellStyle name="Normal 7 2 2 3 4 2" xfId="4170"/>
    <cellStyle name="Normal 7 2 2 3 4 2 2" xfId="9185"/>
    <cellStyle name="Normal 7 2 2 3 4 3" xfId="10639"/>
    <cellStyle name="Normal 7 2 2 3 4 4" xfId="7080"/>
    <cellStyle name="Normal 7 2 2 3 5" xfId="3126"/>
    <cellStyle name="Normal 7 2 2 3 5 2" xfId="8142"/>
    <cellStyle name="Normal 7 2 2 3 6" xfId="5703"/>
    <cellStyle name="Normal 7 2 2 3 7" xfId="9596"/>
    <cellStyle name="Normal 7 2 2 3 8" xfId="4673"/>
    <cellStyle name="Normal 7 2 2 3_Degree data" xfId="2869"/>
    <cellStyle name="Normal 7 2 2 4" xfId="739"/>
    <cellStyle name="Normal 7 2 2 4 2" xfId="1691"/>
    <cellStyle name="Normal 7 2 2 4 2 2" xfId="6980"/>
    <cellStyle name="Normal 7 2 2 4 3" xfId="3567"/>
    <cellStyle name="Normal 7 2 2 4 3 2" xfId="8582"/>
    <cellStyle name="Normal 7 2 2 4 4" xfId="6096"/>
    <cellStyle name="Normal 7 2 2 4 5" xfId="10036"/>
    <cellStyle name="Normal 7 2 2 4 6" xfId="4573"/>
    <cellStyle name="Normal 7 2 2 5" xfId="1294"/>
    <cellStyle name="Normal 7 2 2 5 2" xfId="2236"/>
    <cellStyle name="Normal 7 2 2 5 2 2" xfId="7525"/>
    <cellStyle name="Normal 7 2 2 5 3" xfId="3915"/>
    <cellStyle name="Normal 7 2 2 5 3 2" xfId="8930"/>
    <cellStyle name="Normal 7 2 2 5 4" xfId="6641"/>
    <cellStyle name="Normal 7 2 2 5 5" xfId="10384"/>
    <cellStyle name="Normal 7 2 2 5 6" xfId="5118"/>
    <cellStyle name="Normal 7 2 2 6" xfId="516"/>
    <cellStyle name="Normal 7 2 2 6 2" xfId="2407"/>
    <cellStyle name="Normal 7 2 2 6 2 2" xfId="7689"/>
    <cellStyle name="Normal 7 2 2 6 3" xfId="4070"/>
    <cellStyle name="Normal 7 2 2 6 3 2" xfId="9085"/>
    <cellStyle name="Normal 7 2 2 6 4" xfId="5877"/>
    <cellStyle name="Normal 7 2 2 6 5" xfId="10539"/>
    <cellStyle name="Normal 7 2 2 6 6" xfId="5283"/>
    <cellStyle name="Normal 7 2 2 7" xfId="1474"/>
    <cellStyle name="Normal 7 2 2 7 2" xfId="6763"/>
    <cellStyle name="Normal 7 2 2 8" xfId="3026"/>
    <cellStyle name="Normal 7 2 2 8 2" xfId="8042"/>
    <cellStyle name="Normal 7 2 2 9" xfId="5603"/>
    <cellStyle name="Normal 7 2 2_Degree data" xfId="2867"/>
    <cellStyle name="Normal 7 2 3" xfId="273"/>
    <cellStyle name="Normal 7 2 3 10" xfId="4399"/>
    <cellStyle name="Normal 7 2 3 2" xfId="375"/>
    <cellStyle name="Normal 7 2 3 2 2" xfId="1298"/>
    <cellStyle name="Normal 7 2 3 2 2 2" xfId="2240"/>
    <cellStyle name="Normal 7 2 3 2 2 2 2" xfId="7529"/>
    <cellStyle name="Normal 7 2 3 2 2 3" xfId="3571"/>
    <cellStyle name="Normal 7 2 3 2 2 3 2" xfId="8586"/>
    <cellStyle name="Normal 7 2 3 2 2 4" xfId="6645"/>
    <cellStyle name="Normal 7 2 3 2 2 5" xfId="10040"/>
    <cellStyle name="Normal 7 2 3 2 2 6" xfId="5122"/>
    <cellStyle name="Normal 7 2 3 2 3" xfId="882"/>
    <cellStyle name="Normal 7 2 3 2 3 2" xfId="2550"/>
    <cellStyle name="Normal 7 2 3 2 3 2 2" xfId="7832"/>
    <cellStyle name="Normal 7 2 3 2 3 3" xfId="3919"/>
    <cellStyle name="Normal 7 2 3 2 3 3 2" xfId="8934"/>
    <cellStyle name="Normal 7 2 3 2 3 4" xfId="6239"/>
    <cellStyle name="Normal 7 2 3 2 3 5" xfId="10388"/>
    <cellStyle name="Normal 7 2 3 2 3 6" xfId="5426"/>
    <cellStyle name="Normal 7 2 3 2 4" xfId="1834"/>
    <cellStyle name="Normal 7 2 3 2 4 2" xfId="4213"/>
    <cellStyle name="Normal 7 2 3 2 4 2 2" xfId="9228"/>
    <cellStyle name="Normal 7 2 3 2 4 3" xfId="10682"/>
    <cellStyle name="Normal 7 2 3 2 4 4" xfId="7123"/>
    <cellStyle name="Normal 7 2 3 2 5" xfId="3169"/>
    <cellStyle name="Normal 7 2 3 2 5 2" xfId="8185"/>
    <cellStyle name="Normal 7 2 3 2 6" xfId="5746"/>
    <cellStyle name="Normal 7 2 3 2 7" xfId="9639"/>
    <cellStyle name="Normal 7 2 3 2 8" xfId="4716"/>
    <cellStyle name="Normal 7 2 3 2_Degree data" xfId="2871"/>
    <cellStyle name="Normal 7 2 3 3" xfId="782"/>
    <cellStyle name="Normal 7 2 3 3 2" xfId="1734"/>
    <cellStyle name="Normal 7 2 3 3 2 2" xfId="7023"/>
    <cellStyle name="Normal 7 2 3 3 3" xfId="3570"/>
    <cellStyle name="Normal 7 2 3 3 3 2" xfId="8585"/>
    <cellStyle name="Normal 7 2 3 3 4" xfId="6139"/>
    <cellStyle name="Normal 7 2 3 3 5" xfId="10039"/>
    <cellStyle name="Normal 7 2 3 3 6" xfId="4616"/>
    <cellStyle name="Normal 7 2 3 4" xfId="1297"/>
    <cellStyle name="Normal 7 2 3 4 2" xfId="2239"/>
    <cellStyle name="Normal 7 2 3 4 2 2" xfId="7528"/>
    <cellStyle name="Normal 7 2 3 4 3" xfId="3918"/>
    <cellStyle name="Normal 7 2 3 4 3 2" xfId="8933"/>
    <cellStyle name="Normal 7 2 3 4 4" xfId="6644"/>
    <cellStyle name="Normal 7 2 3 4 5" xfId="10387"/>
    <cellStyle name="Normal 7 2 3 4 6" xfId="5121"/>
    <cellStyle name="Normal 7 2 3 5" xfId="562"/>
    <cellStyle name="Normal 7 2 3 5 2" xfId="2450"/>
    <cellStyle name="Normal 7 2 3 5 2 2" xfId="7732"/>
    <cellStyle name="Normal 7 2 3 5 3" xfId="4113"/>
    <cellStyle name="Normal 7 2 3 5 3 2" xfId="9128"/>
    <cellStyle name="Normal 7 2 3 5 4" xfId="5920"/>
    <cellStyle name="Normal 7 2 3 5 5" xfId="10582"/>
    <cellStyle name="Normal 7 2 3 5 6" xfId="5326"/>
    <cellStyle name="Normal 7 2 3 6" xfId="1517"/>
    <cellStyle name="Normal 7 2 3 6 2" xfId="6806"/>
    <cellStyle name="Normal 7 2 3 7" xfId="3069"/>
    <cellStyle name="Normal 7 2 3 7 2" xfId="8085"/>
    <cellStyle name="Normal 7 2 3 8" xfId="5646"/>
    <cellStyle name="Normal 7 2 3 9" xfId="9539"/>
    <cellStyle name="Normal 7 2 3_Degree data" xfId="2870"/>
    <cellStyle name="Normal 7 2 4" xfId="194"/>
    <cellStyle name="Normal 7 2 4 10" xfId="4431"/>
    <cellStyle name="Normal 7 2 4 2" xfId="408"/>
    <cellStyle name="Normal 7 2 4 2 2" xfId="1300"/>
    <cellStyle name="Normal 7 2 4 2 2 2" xfId="2242"/>
    <cellStyle name="Normal 7 2 4 2 2 2 2" xfId="7531"/>
    <cellStyle name="Normal 7 2 4 2 2 3" xfId="3573"/>
    <cellStyle name="Normal 7 2 4 2 2 3 2" xfId="8588"/>
    <cellStyle name="Normal 7 2 4 2 2 4" xfId="6647"/>
    <cellStyle name="Normal 7 2 4 2 2 5" xfId="10042"/>
    <cellStyle name="Normal 7 2 4 2 2 6" xfId="5124"/>
    <cellStyle name="Normal 7 2 4 2 3" xfId="914"/>
    <cellStyle name="Normal 7 2 4 2 3 2" xfId="2582"/>
    <cellStyle name="Normal 7 2 4 2 3 2 2" xfId="7864"/>
    <cellStyle name="Normal 7 2 4 2 3 3" xfId="3921"/>
    <cellStyle name="Normal 7 2 4 2 3 3 2" xfId="8936"/>
    <cellStyle name="Normal 7 2 4 2 3 4" xfId="6271"/>
    <cellStyle name="Normal 7 2 4 2 3 5" xfId="10390"/>
    <cellStyle name="Normal 7 2 4 2 3 6" xfId="5458"/>
    <cellStyle name="Normal 7 2 4 2 4" xfId="1866"/>
    <cellStyle name="Normal 7 2 4 2 4 2" xfId="4245"/>
    <cellStyle name="Normal 7 2 4 2 4 2 2" xfId="9260"/>
    <cellStyle name="Normal 7 2 4 2 4 3" xfId="10714"/>
    <cellStyle name="Normal 7 2 4 2 4 4" xfId="7155"/>
    <cellStyle name="Normal 7 2 4 2 5" xfId="3201"/>
    <cellStyle name="Normal 7 2 4 2 5 2" xfId="8217"/>
    <cellStyle name="Normal 7 2 4 2 6" xfId="5778"/>
    <cellStyle name="Normal 7 2 4 2 7" xfId="9671"/>
    <cellStyle name="Normal 7 2 4 2 8" xfId="4748"/>
    <cellStyle name="Normal 7 2 4 2_Degree data" xfId="2873"/>
    <cellStyle name="Normal 7 2 4 3" xfId="709"/>
    <cellStyle name="Normal 7 2 4 3 2" xfId="1661"/>
    <cellStyle name="Normal 7 2 4 3 2 2" xfId="6950"/>
    <cellStyle name="Normal 7 2 4 3 3" xfId="3572"/>
    <cellStyle name="Normal 7 2 4 3 3 2" xfId="8587"/>
    <cellStyle name="Normal 7 2 4 3 4" xfId="6066"/>
    <cellStyle name="Normal 7 2 4 3 5" xfId="10041"/>
    <cellStyle name="Normal 7 2 4 3 6" xfId="4543"/>
    <cellStyle name="Normal 7 2 4 4" xfId="1299"/>
    <cellStyle name="Normal 7 2 4 4 2" xfId="2241"/>
    <cellStyle name="Normal 7 2 4 4 2 2" xfId="7530"/>
    <cellStyle name="Normal 7 2 4 4 3" xfId="3920"/>
    <cellStyle name="Normal 7 2 4 4 3 2" xfId="8935"/>
    <cellStyle name="Normal 7 2 4 4 4" xfId="6646"/>
    <cellStyle name="Normal 7 2 4 4 5" xfId="10389"/>
    <cellStyle name="Normal 7 2 4 4 6" xfId="5123"/>
    <cellStyle name="Normal 7 2 4 5" xfId="594"/>
    <cellStyle name="Normal 7 2 4 5 2" xfId="2377"/>
    <cellStyle name="Normal 7 2 4 5 2 2" xfId="7659"/>
    <cellStyle name="Normal 7 2 4 5 3" xfId="4040"/>
    <cellStyle name="Normal 7 2 4 5 3 2" xfId="9055"/>
    <cellStyle name="Normal 7 2 4 5 4" xfId="5952"/>
    <cellStyle name="Normal 7 2 4 5 5" xfId="10509"/>
    <cellStyle name="Normal 7 2 4 5 6" xfId="5253"/>
    <cellStyle name="Normal 7 2 4 6" xfId="1549"/>
    <cellStyle name="Normal 7 2 4 6 2" xfId="6838"/>
    <cellStyle name="Normal 7 2 4 7" xfId="2996"/>
    <cellStyle name="Normal 7 2 4 7 2" xfId="8012"/>
    <cellStyle name="Normal 7 2 4 8" xfId="5573"/>
    <cellStyle name="Normal 7 2 4 9" xfId="9466"/>
    <cellStyle name="Normal 7 2 4_Degree data" xfId="2872"/>
    <cellStyle name="Normal 7 2 5" xfId="300"/>
    <cellStyle name="Normal 7 2 5 2" xfId="1301"/>
    <cellStyle name="Normal 7 2 5 2 2" xfId="2243"/>
    <cellStyle name="Normal 7 2 5 2 2 2" xfId="7532"/>
    <cellStyle name="Normal 7 2 5 2 3" xfId="3574"/>
    <cellStyle name="Normal 7 2 5 2 3 2" xfId="8589"/>
    <cellStyle name="Normal 7 2 5 2 4" xfId="6648"/>
    <cellStyle name="Normal 7 2 5 2 5" xfId="10043"/>
    <cellStyle name="Normal 7 2 5 2 6" xfId="5125"/>
    <cellStyle name="Normal 7 2 5 3" xfId="809"/>
    <cellStyle name="Normal 7 2 5 3 2" xfId="2477"/>
    <cellStyle name="Normal 7 2 5 3 2 2" xfId="7759"/>
    <cellStyle name="Normal 7 2 5 3 3" xfId="3922"/>
    <cellStyle name="Normal 7 2 5 3 3 2" xfId="8937"/>
    <cellStyle name="Normal 7 2 5 3 4" xfId="6166"/>
    <cellStyle name="Normal 7 2 5 3 5" xfId="10391"/>
    <cellStyle name="Normal 7 2 5 3 6" xfId="5353"/>
    <cellStyle name="Normal 7 2 5 4" xfId="1761"/>
    <cellStyle name="Normal 7 2 5 4 2" xfId="4140"/>
    <cellStyle name="Normal 7 2 5 4 2 2" xfId="9155"/>
    <cellStyle name="Normal 7 2 5 4 3" xfId="10609"/>
    <cellStyle name="Normal 7 2 5 4 4" xfId="7050"/>
    <cellStyle name="Normal 7 2 5 5" xfId="3096"/>
    <cellStyle name="Normal 7 2 5 5 2" xfId="8112"/>
    <cellStyle name="Normal 7 2 5 6" xfId="5673"/>
    <cellStyle name="Normal 7 2 5 7" xfId="9566"/>
    <cellStyle name="Normal 7 2 5 8" xfId="4643"/>
    <cellStyle name="Normal 7 2 5_Degree data" xfId="2874"/>
    <cellStyle name="Normal 7 2 6" xfId="682"/>
    <cellStyle name="Normal 7 2 6 2" xfId="1302"/>
    <cellStyle name="Normal 7 2 6 2 2" xfId="2244"/>
    <cellStyle name="Normal 7 2 6 2 2 2" xfId="7533"/>
    <cellStyle name="Normal 7 2 6 2 3" xfId="3575"/>
    <cellStyle name="Normal 7 2 6 2 3 2" xfId="8590"/>
    <cellStyle name="Normal 7 2 6 2 4" xfId="6649"/>
    <cellStyle name="Normal 7 2 6 2 5" xfId="10044"/>
    <cellStyle name="Normal 7 2 6 2 6" xfId="5126"/>
    <cellStyle name="Normal 7 2 6 3" xfId="1416"/>
    <cellStyle name="Normal 7 2 6 3 2" xfId="2350"/>
    <cellStyle name="Normal 7 2 6 3 2 2" xfId="7632"/>
    <cellStyle name="Normal 7 2 6 3 3" xfId="3923"/>
    <cellStyle name="Normal 7 2 6 3 3 2" xfId="8938"/>
    <cellStyle name="Normal 7 2 6 3 4" xfId="6712"/>
    <cellStyle name="Normal 7 2 6 3 5" xfId="10392"/>
    <cellStyle name="Normal 7 2 6 3 6" xfId="5226"/>
    <cellStyle name="Normal 7 2 6 4" xfId="1634"/>
    <cellStyle name="Normal 7 2 6 4 2" xfId="4013"/>
    <cellStyle name="Normal 7 2 6 4 2 2" xfId="9028"/>
    <cellStyle name="Normal 7 2 6 4 3" xfId="10482"/>
    <cellStyle name="Normal 7 2 6 4 4" xfId="6923"/>
    <cellStyle name="Normal 7 2 6 5" xfId="2967"/>
    <cellStyle name="Normal 7 2 6 5 2" xfId="7983"/>
    <cellStyle name="Normal 7 2 6 6" xfId="6039"/>
    <cellStyle name="Normal 7 2 6 7" xfId="9439"/>
    <cellStyle name="Normal 7 2 6 8" xfId="4516"/>
    <cellStyle name="Normal 7 2 6_Degree data" xfId="2875"/>
    <cellStyle name="Normal 7 2 7" xfId="1293"/>
    <cellStyle name="Normal 7 2 7 2" xfId="2235"/>
    <cellStyle name="Normal 7 2 7 2 2" xfId="7524"/>
    <cellStyle name="Normal 7 2 7 3" xfId="3566"/>
    <cellStyle name="Normal 7 2 7 3 2" xfId="8581"/>
    <cellStyle name="Normal 7 2 7 4" xfId="6640"/>
    <cellStyle name="Normal 7 2 7 5" xfId="10035"/>
    <cellStyle name="Normal 7 2 7 6" xfId="5117"/>
    <cellStyle name="Normal 7 2 8" xfId="482"/>
    <cellStyle name="Normal 7 2 8 2" xfId="2305"/>
    <cellStyle name="Normal 7 2 8 2 2" xfId="7587"/>
    <cellStyle name="Normal 7 2 8 3" xfId="3914"/>
    <cellStyle name="Normal 7 2 8 3 2" xfId="8929"/>
    <cellStyle name="Normal 7 2 8 4" xfId="5846"/>
    <cellStyle name="Normal 7 2 8 5" xfId="10383"/>
    <cellStyle name="Normal 7 2 8 6" xfId="5181"/>
    <cellStyle name="Normal 7 2 9" xfId="1441"/>
    <cellStyle name="Normal 7 2 9 2" xfId="3968"/>
    <cellStyle name="Normal 7 2 9 2 2" xfId="8983"/>
    <cellStyle name="Normal 7 2 9 3" xfId="10437"/>
    <cellStyle name="Normal 7 2 9 4" xfId="6732"/>
    <cellStyle name="Normal 7 2_Degree data" xfId="2866"/>
    <cellStyle name="Normal 7 3" xfId="171"/>
    <cellStyle name="Normal 7 3 10" xfId="2930"/>
    <cellStyle name="Normal 7 3 10 2" xfId="9402"/>
    <cellStyle name="Normal 7 3 10 3" xfId="7946"/>
    <cellStyle name="Normal 7 3 11" xfId="5554"/>
    <cellStyle name="Normal 7 3 12" xfId="9372"/>
    <cellStyle name="Normal 7 3 13" xfId="4335"/>
    <cellStyle name="Normal 7 3 2" xfId="236"/>
    <cellStyle name="Normal 7 3 2 10" xfId="9504"/>
    <cellStyle name="Normal 7 3 2 11" xfId="4364"/>
    <cellStyle name="Normal 7 3 2 2" xfId="445"/>
    <cellStyle name="Normal 7 3 2 2 2" xfId="951"/>
    <cellStyle name="Normal 7 3 2 2 2 2" xfId="1903"/>
    <cellStyle name="Normal 7 3 2 2 2 2 2" xfId="7192"/>
    <cellStyle name="Normal 7 3 2 2 2 3" xfId="3578"/>
    <cellStyle name="Normal 7 3 2 2 2 3 2" xfId="8593"/>
    <cellStyle name="Normal 7 3 2 2 2 4" xfId="6308"/>
    <cellStyle name="Normal 7 3 2 2 2 5" xfId="10047"/>
    <cellStyle name="Normal 7 3 2 2 2 6" xfId="4785"/>
    <cellStyle name="Normal 7 3 2 2 3" xfId="1305"/>
    <cellStyle name="Normal 7 3 2 2 3 2" xfId="2247"/>
    <cellStyle name="Normal 7 3 2 2 3 2 2" xfId="7536"/>
    <cellStyle name="Normal 7 3 2 2 3 3" xfId="3926"/>
    <cellStyle name="Normal 7 3 2 2 3 3 2" xfId="8941"/>
    <cellStyle name="Normal 7 3 2 2 3 4" xfId="6652"/>
    <cellStyle name="Normal 7 3 2 2 3 5" xfId="10395"/>
    <cellStyle name="Normal 7 3 2 2 3 6" xfId="5129"/>
    <cellStyle name="Normal 7 3 2 2 4" xfId="631"/>
    <cellStyle name="Normal 7 3 2 2 4 2" xfId="2619"/>
    <cellStyle name="Normal 7 3 2 2 4 2 2" xfId="7901"/>
    <cellStyle name="Normal 7 3 2 2 4 3" xfId="4282"/>
    <cellStyle name="Normal 7 3 2 2 4 3 2" xfId="9297"/>
    <cellStyle name="Normal 7 3 2 2 4 4" xfId="5989"/>
    <cellStyle name="Normal 7 3 2 2 4 5" xfId="10751"/>
    <cellStyle name="Normal 7 3 2 2 4 6" xfId="5495"/>
    <cellStyle name="Normal 7 3 2 2 5" xfId="1586"/>
    <cellStyle name="Normal 7 3 2 2 5 2" xfId="6875"/>
    <cellStyle name="Normal 7 3 2 2 6" xfId="3238"/>
    <cellStyle name="Normal 7 3 2 2 6 2" xfId="8254"/>
    <cellStyle name="Normal 7 3 2 2 7" xfId="5815"/>
    <cellStyle name="Normal 7 3 2 2 8" xfId="9708"/>
    <cellStyle name="Normal 7 3 2 2 9" xfId="4468"/>
    <cellStyle name="Normal 7 3 2 2_Degree data" xfId="2878"/>
    <cellStyle name="Normal 7 3 2 3" xfId="338"/>
    <cellStyle name="Normal 7 3 2 3 2" xfId="1306"/>
    <cellStyle name="Normal 7 3 2 3 2 2" xfId="2248"/>
    <cellStyle name="Normal 7 3 2 3 2 2 2" xfId="7537"/>
    <cellStyle name="Normal 7 3 2 3 2 3" xfId="3579"/>
    <cellStyle name="Normal 7 3 2 3 2 3 2" xfId="8594"/>
    <cellStyle name="Normal 7 3 2 3 2 4" xfId="6653"/>
    <cellStyle name="Normal 7 3 2 3 2 5" xfId="10048"/>
    <cellStyle name="Normal 7 3 2 3 2 6" xfId="5130"/>
    <cellStyle name="Normal 7 3 2 3 3" xfId="847"/>
    <cellStyle name="Normal 7 3 2 3 3 2" xfId="2515"/>
    <cellStyle name="Normal 7 3 2 3 3 2 2" xfId="7797"/>
    <cellStyle name="Normal 7 3 2 3 3 3" xfId="3927"/>
    <cellStyle name="Normal 7 3 2 3 3 3 2" xfId="8942"/>
    <cellStyle name="Normal 7 3 2 3 3 4" xfId="6204"/>
    <cellStyle name="Normal 7 3 2 3 3 5" xfId="10396"/>
    <cellStyle name="Normal 7 3 2 3 3 6" xfId="5391"/>
    <cellStyle name="Normal 7 3 2 3 4" xfId="1799"/>
    <cellStyle name="Normal 7 3 2 3 4 2" xfId="4178"/>
    <cellStyle name="Normal 7 3 2 3 4 2 2" xfId="9193"/>
    <cellStyle name="Normal 7 3 2 3 4 3" xfId="10647"/>
    <cellStyle name="Normal 7 3 2 3 4 4" xfId="7088"/>
    <cellStyle name="Normal 7 3 2 3 5" xfId="3134"/>
    <cellStyle name="Normal 7 3 2 3 5 2" xfId="8150"/>
    <cellStyle name="Normal 7 3 2 3 6" xfId="5711"/>
    <cellStyle name="Normal 7 3 2 3 7" xfId="9604"/>
    <cellStyle name="Normal 7 3 2 3 8" xfId="4681"/>
    <cellStyle name="Normal 7 3 2 3_Degree data" xfId="2879"/>
    <cellStyle name="Normal 7 3 2 4" xfId="747"/>
    <cellStyle name="Normal 7 3 2 4 2" xfId="1699"/>
    <cellStyle name="Normal 7 3 2 4 2 2" xfId="6988"/>
    <cellStyle name="Normal 7 3 2 4 3" xfId="3577"/>
    <cellStyle name="Normal 7 3 2 4 3 2" xfId="8592"/>
    <cellStyle name="Normal 7 3 2 4 4" xfId="6104"/>
    <cellStyle name="Normal 7 3 2 4 5" xfId="10046"/>
    <cellStyle name="Normal 7 3 2 4 6" xfId="4581"/>
    <cellStyle name="Normal 7 3 2 5" xfId="1304"/>
    <cellStyle name="Normal 7 3 2 5 2" xfId="2246"/>
    <cellStyle name="Normal 7 3 2 5 2 2" xfId="7535"/>
    <cellStyle name="Normal 7 3 2 5 3" xfId="3925"/>
    <cellStyle name="Normal 7 3 2 5 3 2" xfId="8940"/>
    <cellStyle name="Normal 7 3 2 5 4" xfId="6651"/>
    <cellStyle name="Normal 7 3 2 5 5" xfId="10394"/>
    <cellStyle name="Normal 7 3 2 5 6" xfId="5128"/>
    <cellStyle name="Normal 7 3 2 6" xfId="524"/>
    <cellStyle name="Normal 7 3 2 6 2" xfId="2415"/>
    <cellStyle name="Normal 7 3 2 6 2 2" xfId="7697"/>
    <cellStyle name="Normal 7 3 2 6 3" xfId="4078"/>
    <cellStyle name="Normal 7 3 2 6 3 2" xfId="9093"/>
    <cellStyle name="Normal 7 3 2 6 4" xfId="5885"/>
    <cellStyle name="Normal 7 3 2 6 5" xfId="10547"/>
    <cellStyle name="Normal 7 3 2 6 6" xfId="5291"/>
    <cellStyle name="Normal 7 3 2 7" xfId="1482"/>
    <cellStyle name="Normal 7 3 2 7 2" xfId="6771"/>
    <cellStyle name="Normal 7 3 2 8" xfId="3034"/>
    <cellStyle name="Normal 7 3 2 8 2" xfId="8050"/>
    <cellStyle name="Normal 7 3 2 9" xfId="5611"/>
    <cellStyle name="Normal 7 3 2_Degree data" xfId="2877"/>
    <cellStyle name="Normal 7 3 3" xfId="281"/>
    <cellStyle name="Normal 7 3 3 10" xfId="4407"/>
    <cellStyle name="Normal 7 3 3 2" xfId="383"/>
    <cellStyle name="Normal 7 3 3 2 2" xfId="1308"/>
    <cellStyle name="Normal 7 3 3 2 2 2" xfId="2250"/>
    <cellStyle name="Normal 7 3 3 2 2 2 2" xfId="7539"/>
    <cellStyle name="Normal 7 3 3 2 2 3" xfId="3581"/>
    <cellStyle name="Normal 7 3 3 2 2 3 2" xfId="8596"/>
    <cellStyle name="Normal 7 3 3 2 2 4" xfId="6655"/>
    <cellStyle name="Normal 7 3 3 2 2 5" xfId="10050"/>
    <cellStyle name="Normal 7 3 3 2 2 6" xfId="5132"/>
    <cellStyle name="Normal 7 3 3 2 3" xfId="890"/>
    <cellStyle name="Normal 7 3 3 2 3 2" xfId="2558"/>
    <cellStyle name="Normal 7 3 3 2 3 2 2" xfId="7840"/>
    <cellStyle name="Normal 7 3 3 2 3 3" xfId="3929"/>
    <cellStyle name="Normal 7 3 3 2 3 3 2" xfId="8944"/>
    <cellStyle name="Normal 7 3 3 2 3 4" xfId="6247"/>
    <cellStyle name="Normal 7 3 3 2 3 5" xfId="10398"/>
    <cellStyle name="Normal 7 3 3 2 3 6" xfId="5434"/>
    <cellStyle name="Normal 7 3 3 2 4" xfId="1842"/>
    <cellStyle name="Normal 7 3 3 2 4 2" xfId="4221"/>
    <cellStyle name="Normal 7 3 3 2 4 2 2" xfId="9236"/>
    <cellStyle name="Normal 7 3 3 2 4 3" xfId="10690"/>
    <cellStyle name="Normal 7 3 3 2 4 4" xfId="7131"/>
    <cellStyle name="Normal 7 3 3 2 5" xfId="3177"/>
    <cellStyle name="Normal 7 3 3 2 5 2" xfId="8193"/>
    <cellStyle name="Normal 7 3 3 2 6" xfId="5754"/>
    <cellStyle name="Normal 7 3 3 2 7" xfId="9647"/>
    <cellStyle name="Normal 7 3 3 2 8" xfId="4724"/>
    <cellStyle name="Normal 7 3 3 2_Degree data" xfId="2881"/>
    <cellStyle name="Normal 7 3 3 3" xfId="790"/>
    <cellStyle name="Normal 7 3 3 3 2" xfId="1742"/>
    <cellStyle name="Normal 7 3 3 3 2 2" xfId="7031"/>
    <cellStyle name="Normal 7 3 3 3 3" xfId="3580"/>
    <cellStyle name="Normal 7 3 3 3 3 2" xfId="8595"/>
    <cellStyle name="Normal 7 3 3 3 4" xfId="6147"/>
    <cellStyle name="Normal 7 3 3 3 5" xfId="10049"/>
    <cellStyle name="Normal 7 3 3 3 6" xfId="4624"/>
    <cellStyle name="Normal 7 3 3 4" xfId="1307"/>
    <cellStyle name="Normal 7 3 3 4 2" xfId="2249"/>
    <cellStyle name="Normal 7 3 3 4 2 2" xfId="7538"/>
    <cellStyle name="Normal 7 3 3 4 3" xfId="3928"/>
    <cellStyle name="Normal 7 3 3 4 3 2" xfId="8943"/>
    <cellStyle name="Normal 7 3 3 4 4" xfId="6654"/>
    <cellStyle name="Normal 7 3 3 4 5" xfId="10397"/>
    <cellStyle name="Normal 7 3 3 4 6" xfId="5131"/>
    <cellStyle name="Normal 7 3 3 5" xfId="570"/>
    <cellStyle name="Normal 7 3 3 5 2" xfId="2458"/>
    <cellStyle name="Normal 7 3 3 5 2 2" xfId="7740"/>
    <cellStyle name="Normal 7 3 3 5 3" xfId="4121"/>
    <cellStyle name="Normal 7 3 3 5 3 2" xfId="9136"/>
    <cellStyle name="Normal 7 3 3 5 4" xfId="5928"/>
    <cellStyle name="Normal 7 3 3 5 5" xfId="10590"/>
    <cellStyle name="Normal 7 3 3 5 6" xfId="5334"/>
    <cellStyle name="Normal 7 3 3 6" xfId="1525"/>
    <cellStyle name="Normal 7 3 3 6 2" xfId="6814"/>
    <cellStyle name="Normal 7 3 3 7" xfId="3077"/>
    <cellStyle name="Normal 7 3 3 7 2" xfId="8093"/>
    <cellStyle name="Normal 7 3 3 8" xfId="5654"/>
    <cellStyle name="Normal 7 3 3 9" xfId="9547"/>
    <cellStyle name="Normal 7 3 3_Degree data" xfId="2880"/>
    <cellStyle name="Normal 7 3 4" xfId="203"/>
    <cellStyle name="Normal 7 3 4 10" xfId="4440"/>
    <cellStyle name="Normal 7 3 4 2" xfId="417"/>
    <cellStyle name="Normal 7 3 4 2 2" xfId="1310"/>
    <cellStyle name="Normal 7 3 4 2 2 2" xfId="2252"/>
    <cellStyle name="Normal 7 3 4 2 2 2 2" xfId="7541"/>
    <cellStyle name="Normal 7 3 4 2 2 3" xfId="3583"/>
    <cellStyle name="Normal 7 3 4 2 2 3 2" xfId="8598"/>
    <cellStyle name="Normal 7 3 4 2 2 4" xfId="6657"/>
    <cellStyle name="Normal 7 3 4 2 2 5" xfId="10052"/>
    <cellStyle name="Normal 7 3 4 2 2 6" xfId="5134"/>
    <cellStyle name="Normal 7 3 4 2 3" xfId="923"/>
    <cellStyle name="Normal 7 3 4 2 3 2" xfId="2591"/>
    <cellStyle name="Normal 7 3 4 2 3 2 2" xfId="7873"/>
    <cellStyle name="Normal 7 3 4 2 3 3" xfId="3931"/>
    <cellStyle name="Normal 7 3 4 2 3 3 2" xfId="8946"/>
    <cellStyle name="Normal 7 3 4 2 3 4" xfId="6280"/>
    <cellStyle name="Normal 7 3 4 2 3 5" xfId="10400"/>
    <cellStyle name="Normal 7 3 4 2 3 6" xfId="5467"/>
    <cellStyle name="Normal 7 3 4 2 4" xfId="1875"/>
    <cellStyle name="Normal 7 3 4 2 4 2" xfId="4254"/>
    <cellStyle name="Normal 7 3 4 2 4 2 2" xfId="9269"/>
    <cellStyle name="Normal 7 3 4 2 4 3" xfId="10723"/>
    <cellStyle name="Normal 7 3 4 2 4 4" xfId="7164"/>
    <cellStyle name="Normal 7 3 4 2 5" xfId="3210"/>
    <cellStyle name="Normal 7 3 4 2 5 2" xfId="8226"/>
    <cellStyle name="Normal 7 3 4 2 6" xfId="5787"/>
    <cellStyle name="Normal 7 3 4 2 7" xfId="9680"/>
    <cellStyle name="Normal 7 3 4 2 8" xfId="4757"/>
    <cellStyle name="Normal 7 3 4 2_Degree data" xfId="2883"/>
    <cellStyle name="Normal 7 3 4 3" xfId="718"/>
    <cellStyle name="Normal 7 3 4 3 2" xfId="1670"/>
    <cellStyle name="Normal 7 3 4 3 2 2" xfId="6959"/>
    <cellStyle name="Normal 7 3 4 3 3" xfId="3582"/>
    <cellStyle name="Normal 7 3 4 3 3 2" xfId="8597"/>
    <cellStyle name="Normal 7 3 4 3 4" xfId="6075"/>
    <cellStyle name="Normal 7 3 4 3 5" xfId="10051"/>
    <cellStyle name="Normal 7 3 4 3 6" xfId="4552"/>
    <cellStyle name="Normal 7 3 4 4" xfId="1309"/>
    <cellStyle name="Normal 7 3 4 4 2" xfId="2251"/>
    <cellStyle name="Normal 7 3 4 4 2 2" xfId="7540"/>
    <cellStyle name="Normal 7 3 4 4 3" xfId="3930"/>
    <cellStyle name="Normal 7 3 4 4 3 2" xfId="8945"/>
    <cellStyle name="Normal 7 3 4 4 4" xfId="6656"/>
    <cellStyle name="Normal 7 3 4 4 5" xfId="10399"/>
    <cellStyle name="Normal 7 3 4 4 6" xfId="5133"/>
    <cellStyle name="Normal 7 3 4 5" xfId="603"/>
    <cellStyle name="Normal 7 3 4 5 2" xfId="2386"/>
    <cellStyle name="Normal 7 3 4 5 2 2" xfId="7668"/>
    <cellStyle name="Normal 7 3 4 5 3" xfId="4049"/>
    <cellStyle name="Normal 7 3 4 5 3 2" xfId="9064"/>
    <cellStyle name="Normal 7 3 4 5 4" xfId="5961"/>
    <cellStyle name="Normal 7 3 4 5 5" xfId="10518"/>
    <cellStyle name="Normal 7 3 4 5 6" xfId="5262"/>
    <cellStyle name="Normal 7 3 4 6" xfId="1558"/>
    <cellStyle name="Normal 7 3 4 6 2" xfId="6847"/>
    <cellStyle name="Normal 7 3 4 7" xfId="3005"/>
    <cellStyle name="Normal 7 3 4 7 2" xfId="8021"/>
    <cellStyle name="Normal 7 3 4 8" xfId="5582"/>
    <cellStyle name="Normal 7 3 4 9" xfId="9475"/>
    <cellStyle name="Normal 7 3 4_Degree data" xfId="2882"/>
    <cellStyle name="Normal 7 3 5" xfId="309"/>
    <cellStyle name="Normal 7 3 5 2" xfId="1311"/>
    <cellStyle name="Normal 7 3 5 2 2" xfId="2253"/>
    <cellStyle name="Normal 7 3 5 2 2 2" xfId="7542"/>
    <cellStyle name="Normal 7 3 5 2 3" xfId="3584"/>
    <cellStyle name="Normal 7 3 5 2 3 2" xfId="8599"/>
    <cellStyle name="Normal 7 3 5 2 4" xfId="6658"/>
    <cellStyle name="Normal 7 3 5 2 5" xfId="10053"/>
    <cellStyle name="Normal 7 3 5 2 6" xfId="5135"/>
    <cellStyle name="Normal 7 3 5 3" xfId="818"/>
    <cellStyle name="Normal 7 3 5 3 2" xfId="2486"/>
    <cellStyle name="Normal 7 3 5 3 2 2" xfId="7768"/>
    <cellStyle name="Normal 7 3 5 3 3" xfId="3932"/>
    <cellStyle name="Normal 7 3 5 3 3 2" xfId="8947"/>
    <cellStyle name="Normal 7 3 5 3 4" xfId="6175"/>
    <cellStyle name="Normal 7 3 5 3 5" xfId="10401"/>
    <cellStyle name="Normal 7 3 5 3 6" xfId="5362"/>
    <cellStyle name="Normal 7 3 5 4" xfId="1770"/>
    <cellStyle name="Normal 7 3 5 4 2" xfId="4149"/>
    <cellStyle name="Normal 7 3 5 4 2 2" xfId="9164"/>
    <cellStyle name="Normal 7 3 5 4 3" xfId="10618"/>
    <cellStyle name="Normal 7 3 5 4 4" xfId="7059"/>
    <cellStyle name="Normal 7 3 5 5" xfId="3105"/>
    <cellStyle name="Normal 7 3 5 5 2" xfId="8121"/>
    <cellStyle name="Normal 7 3 5 6" xfId="5682"/>
    <cellStyle name="Normal 7 3 5 7" xfId="9575"/>
    <cellStyle name="Normal 7 3 5 8" xfId="4652"/>
    <cellStyle name="Normal 7 3 5_Degree data" xfId="2884"/>
    <cellStyle name="Normal 7 3 6" xfId="690"/>
    <cellStyle name="Normal 7 3 6 2" xfId="1312"/>
    <cellStyle name="Normal 7 3 6 2 2" xfId="2254"/>
    <cellStyle name="Normal 7 3 6 2 2 2" xfId="7543"/>
    <cellStyle name="Normal 7 3 6 2 3" xfId="3585"/>
    <cellStyle name="Normal 7 3 6 2 3 2" xfId="8600"/>
    <cellStyle name="Normal 7 3 6 2 4" xfId="6659"/>
    <cellStyle name="Normal 7 3 6 2 5" xfId="10054"/>
    <cellStyle name="Normal 7 3 6 2 6" xfId="5136"/>
    <cellStyle name="Normal 7 3 6 3" xfId="1417"/>
    <cellStyle name="Normal 7 3 6 3 2" xfId="2358"/>
    <cellStyle name="Normal 7 3 6 3 2 2" xfId="7640"/>
    <cellStyle name="Normal 7 3 6 3 3" xfId="3933"/>
    <cellStyle name="Normal 7 3 6 3 3 2" xfId="8948"/>
    <cellStyle name="Normal 7 3 6 3 4" xfId="6713"/>
    <cellStyle name="Normal 7 3 6 3 5" xfId="10402"/>
    <cellStyle name="Normal 7 3 6 3 6" xfId="5234"/>
    <cellStyle name="Normal 7 3 6 4" xfId="1642"/>
    <cellStyle name="Normal 7 3 6 4 2" xfId="4021"/>
    <cellStyle name="Normal 7 3 6 4 2 2" xfId="9036"/>
    <cellStyle name="Normal 7 3 6 4 3" xfId="10490"/>
    <cellStyle name="Normal 7 3 6 4 4" xfId="6931"/>
    <cellStyle name="Normal 7 3 6 5" xfId="2975"/>
    <cellStyle name="Normal 7 3 6 5 2" xfId="7991"/>
    <cellStyle name="Normal 7 3 6 6" xfId="6047"/>
    <cellStyle name="Normal 7 3 6 7" xfId="9447"/>
    <cellStyle name="Normal 7 3 6 8" xfId="4524"/>
    <cellStyle name="Normal 7 3 6_Degree data" xfId="2885"/>
    <cellStyle name="Normal 7 3 7" xfId="1303"/>
    <cellStyle name="Normal 7 3 7 2" xfId="2245"/>
    <cellStyle name="Normal 7 3 7 2 2" xfId="7534"/>
    <cellStyle name="Normal 7 3 7 3" xfId="3576"/>
    <cellStyle name="Normal 7 3 7 3 2" xfId="8591"/>
    <cellStyle name="Normal 7 3 7 4" xfId="6650"/>
    <cellStyle name="Normal 7 3 7 5" xfId="10045"/>
    <cellStyle name="Normal 7 3 7 6" xfId="5127"/>
    <cellStyle name="Normal 7 3 8" xfId="491"/>
    <cellStyle name="Normal 7 3 8 2" xfId="2313"/>
    <cellStyle name="Normal 7 3 8 2 2" xfId="7595"/>
    <cellStyle name="Normal 7 3 8 3" xfId="3924"/>
    <cellStyle name="Normal 7 3 8 3 2" xfId="8939"/>
    <cellStyle name="Normal 7 3 8 4" xfId="5855"/>
    <cellStyle name="Normal 7 3 8 5" xfId="10393"/>
    <cellStyle name="Normal 7 3 8 6" xfId="5189"/>
    <cellStyle name="Normal 7 3 9" xfId="1452"/>
    <cellStyle name="Normal 7 3 9 2" xfId="3976"/>
    <cellStyle name="Normal 7 3 9 2 2" xfId="8991"/>
    <cellStyle name="Normal 7 3 9 3" xfId="10445"/>
    <cellStyle name="Normal 7 3 9 4" xfId="6742"/>
    <cellStyle name="Normal 7 3_Degree data" xfId="2876"/>
    <cellStyle name="Normal 7 4" xfId="139"/>
    <cellStyle name="Normal 7 4 10" xfId="5532"/>
    <cellStyle name="Normal 7 4 11" xfId="9352"/>
    <cellStyle name="Normal 7 4 12" xfId="4344"/>
    <cellStyle name="Normal 7 4 2" xfId="260"/>
    <cellStyle name="Normal 7 4 2 10" xfId="4387"/>
    <cellStyle name="Normal 7 4 2 2" xfId="362"/>
    <cellStyle name="Normal 7 4 2 2 2" xfId="1315"/>
    <cellStyle name="Normal 7 4 2 2 2 2" xfId="2257"/>
    <cellStyle name="Normal 7 4 2 2 2 2 2" xfId="7546"/>
    <cellStyle name="Normal 7 4 2 2 2 3" xfId="3588"/>
    <cellStyle name="Normal 7 4 2 2 2 3 2" xfId="8603"/>
    <cellStyle name="Normal 7 4 2 2 2 4" xfId="6662"/>
    <cellStyle name="Normal 7 4 2 2 2 5" xfId="10057"/>
    <cellStyle name="Normal 7 4 2 2 2 6" xfId="5139"/>
    <cellStyle name="Normal 7 4 2 2 3" xfId="870"/>
    <cellStyle name="Normal 7 4 2 2 3 2" xfId="2538"/>
    <cellStyle name="Normal 7 4 2 2 3 2 2" xfId="7820"/>
    <cellStyle name="Normal 7 4 2 2 3 3" xfId="3936"/>
    <cellStyle name="Normal 7 4 2 2 3 3 2" xfId="8951"/>
    <cellStyle name="Normal 7 4 2 2 3 4" xfId="6227"/>
    <cellStyle name="Normal 7 4 2 2 3 5" xfId="10405"/>
    <cellStyle name="Normal 7 4 2 2 3 6" xfId="5414"/>
    <cellStyle name="Normal 7 4 2 2 4" xfId="1822"/>
    <cellStyle name="Normal 7 4 2 2 4 2" xfId="4201"/>
    <cellStyle name="Normal 7 4 2 2 4 2 2" xfId="9216"/>
    <cellStyle name="Normal 7 4 2 2 4 3" xfId="10670"/>
    <cellStyle name="Normal 7 4 2 2 4 4" xfId="7111"/>
    <cellStyle name="Normal 7 4 2 2 5" xfId="3157"/>
    <cellStyle name="Normal 7 4 2 2 5 2" xfId="8173"/>
    <cellStyle name="Normal 7 4 2 2 6" xfId="5734"/>
    <cellStyle name="Normal 7 4 2 2 7" xfId="9627"/>
    <cellStyle name="Normal 7 4 2 2 8" xfId="4704"/>
    <cellStyle name="Normal 7 4 2 2_Degree data" xfId="2888"/>
    <cellStyle name="Normal 7 4 2 3" xfId="770"/>
    <cellStyle name="Normal 7 4 2 3 2" xfId="1722"/>
    <cellStyle name="Normal 7 4 2 3 2 2" xfId="7011"/>
    <cellStyle name="Normal 7 4 2 3 3" xfId="3587"/>
    <cellStyle name="Normal 7 4 2 3 3 2" xfId="8602"/>
    <cellStyle name="Normal 7 4 2 3 4" xfId="6127"/>
    <cellStyle name="Normal 7 4 2 3 5" xfId="10056"/>
    <cellStyle name="Normal 7 4 2 3 6" xfId="4604"/>
    <cellStyle name="Normal 7 4 2 4" xfId="1314"/>
    <cellStyle name="Normal 7 4 2 4 2" xfId="2256"/>
    <cellStyle name="Normal 7 4 2 4 2 2" xfId="7545"/>
    <cellStyle name="Normal 7 4 2 4 3" xfId="3935"/>
    <cellStyle name="Normal 7 4 2 4 3 2" xfId="8950"/>
    <cellStyle name="Normal 7 4 2 4 4" xfId="6661"/>
    <cellStyle name="Normal 7 4 2 4 5" xfId="10404"/>
    <cellStyle name="Normal 7 4 2 4 6" xfId="5138"/>
    <cellStyle name="Normal 7 4 2 5" xfId="549"/>
    <cellStyle name="Normal 7 4 2 5 2" xfId="2438"/>
    <cellStyle name="Normal 7 4 2 5 2 2" xfId="7720"/>
    <cellStyle name="Normal 7 4 2 5 3" xfId="4101"/>
    <cellStyle name="Normal 7 4 2 5 3 2" xfId="9116"/>
    <cellStyle name="Normal 7 4 2 5 4" xfId="5908"/>
    <cellStyle name="Normal 7 4 2 5 5" xfId="10570"/>
    <cellStyle name="Normal 7 4 2 5 6" xfId="5314"/>
    <cellStyle name="Normal 7 4 2 6" xfId="1505"/>
    <cellStyle name="Normal 7 4 2 6 2" xfId="6794"/>
    <cellStyle name="Normal 7 4 2 7" xfId="3057"/>
    <cellStyle name="Normal 7 4 2 7 2" xfId="8073"/>
    <cellStyle name="Normal 7 4 2 8" xfId="5634"/>
    <cellStyle name="Normal 7 4 2 9" xfId="9527"/>
    <cellStyle name="Normal 7 4 2_Degree data" xfId="2887"/>
    <cellStyle name="Normal 7 4 3" xfId="215"/>
    <cellStyle name="Normal 7 4 3 10" xfId="4449"/>
    <cellStyle name="Normal 7 4 3 2" xfId="426"/>
    <cellStyle name="Normal 7 4 3 2 2" xfId="1317"/>
    <cellStyle name="Normal 7 4 3 2 2 2" xfId="2259"/>
    <cellStyle name="Normal 7 4 3 2 2 2 2" xfId="7548"/>
    <cellStyle name="Normal 7 4 3 2 2 3" xfId="3590"/>
    <cellStyle name="Normal 7 4 3 2 2 3 2" xfId="8605"/>
    <cellStyle name="Normal 7 4 3 2 2 4" xfId="6664"/>
    <cellStyle name="Normal 7 4 3 2 2 5" xfId="10059"/>
    <cellStyle name="Normal 7 4 3 2 2 6" xfId="5141"/>
    <cellStyle name="Normal 7 4 3 2 3" xfId="932"/>
    <cellStyle name="Normal 7 4 3 2 3 2" xfId="2600"/>
    <cellStyle name="Normal 7 4 3 2 3 2 2" xfId="7882"/>
    <cellStyle name="Normal 7 4 3 2 3 3" xfId="3938"/>
    <cellStyle name="Normal 7 4 3 2 3 3 2" xfId="8953"/>
    <cellStyle name="Normal 7 4 3 2 3 4" xfId="6289"/>
    <cellStyle name="Normal 7 4 3 2 3 5" xfId="10407"/>
    <cellStyle name="Normal 7 4 3 2 3 6" xfId="5476"/>
    <cellStyle name="Normal 7 4 3 2 4" xfId="1884"/>
    <cellStyle name="Normal 7 4 3 2 4 2" xfId="4263"/>
    <cellStyle name="Normal 7 4 3 2 4 2 2" xfId="9278"/>
    <cellStyle name="Normal 7 4 3 2 4 3" xfId="10732"/>
    <cellStyle name="Normal 7 4 3 2 4 4" xfId="7173"/>
    <cellStyle name="Normal 7 4 3 2 5" xfId="3219"/>
    <cellStyle name="Normal 7 4 3 2 5 2" xfId="8235"/>
    <cellStyle name="Normal 7 4 3 2 6" xfId="5796"/>
    <cellStyle name="Normal 7 4 3 2 7" xfId="9689"/>
    <cellStyle name="Normal 7 4 3 2 8" xfId="4766"/>
    <cellStyle name="Normal 7 4 3 2_Degree data" xfId="2890"/>
    <cellStyle name="Normal 7 4 3 3" xfId="727"/>
    <cellStyle name="Normal 7 4 3 3 2" xfId="1679"/>
    <cellStyle name="Normal 7 4 3 3 2 2" xfId="6968"/>
    <cellStyle name="Normal 7 4 3 3 3" xfId="3589"/>
    <cellStyle name="Normal 7 4 3 3 3 2" xfId="8604"/>
    <cellStyle name="Normal 7 4 3 3 4" xfId="6084"/>
    <cellStyle name="Normal 7 4 3 3 5" xfId="10058"/>
    <cellStyle name="Normal 7 4 3 3 6" xfId="4561"/>
    <cellStyle name="Normal 7 4 3 4" xfId="1316"/>
    <cellStyle name="Normal 7 4 3 4 2" xfId="2258"/>
    <cellStyle name="Normal 7 4 3 4 2 2" xfId="7547"/>
    <cellStyle name="Normal 7 4 3 4 3" xfId="3937"/>
    <cellStyle name="Normal 7 4 3 4 3 2" xfId="8952"/>
    <cellStyle name="Normal 7 4 3 4 4" xfId="6663"/>
    <cellStyle name="Normal 7 4 3 4 5" xfId="10406"/>
    <cellStyle name="Normal 7 4 3 4 6" xfId="5140"/>
    <cellStyle name="Normal 7 4 3 5" xfId="612"/>
    <cellStyle name="Normal 7 4 3 5 2" xfId="2395"/>
    <cellStyle name="Normal 7 4 3 5 2 2" xfId="7677"/>
    <cellStyle name="Normal 7 4 3 5 3" xfId="4058"/>
    <cellStyle name="Normal 7 4 3 5 3 2" xfId="9073"/>
    <cellStyle name="Normal 7 4 3 5 4" xfId="5970"/>
    <cellStyle name="Normal 7 4 3 5 5" xfId="10527"/>
    <cellStyle name="Normal 7 4 3 5 6" xfId="5271"/>
    <cellStyle name="Normal 7 4 3 6" xfId="1567"/>
    <cellStyle name="Normal 7 4 3 6 2" xfId="6856"/>
    <cellStyle name="Normal 7 4 3 7" xfId="3014"/>
    <cellStyle name="Normal 7 4 3 7 2" xfId="8030"/>
    <cellStyle name="Normal 7 4 3 8" xfId="5591"/>
    <cellStyle name="Normal 7 4 3 9" xfId="9484"/>
    <cellStyle name="Normal 7 4 3_Degree data" xfId="2889"/>
    <cellStyle name="Normal 7 4 4" xfId="318"/>
    <cellStyle name="Normal 7 4 4 2" xfId="1318"/>
    <cellStyle name="Normal 7 4 4 2 2" xfId="2260"/>
    <cellStyle name="Normal 7 4 4 2 2 2" xfId="7549"/>
    <cellStyle name="Normal 7 4 4 2 3" xfId="3591"/>
    <cellStyle name="Normal 7 4 4 2 3 2" xfId="8606"/>
    <cellStyle name="Normal 7 4 4 2 4" xfId="6665"/>
    <cellStyle name="Normal 7 4 4 2 5" xfId="10060"/>
    <cellStyle name="Normal 7 4 4 2 6" xfId="5142"/>
    <cellStyle name="Normal 7 4 4 3" xfId="827"/>
    <cellStyle name="Normal 7 4 4 3 2" xfId="2495"/>
    <cellStyle name="Normal 7 4 4 3 2 2" xfId="7777"/>
    <cellStyle name="Normal 7 4 4 3 3" xfId="3939"/>
    <cellStyle name="Normal 7 4 4 3 3 2" xfId="8954"/>
    <cellStyle name="Normal 7 4 4 3 4" xfId="6184"/>
    <cellStyle name="Normal 7 4 4 3 5" xfId="10408"/>
    <cellStyle name="Normal 7 4 4 3 6" xfId="5371"/>
    <cellStyle name="Normal 7 4 4 4" xfId="1779"/>
    <cellStyle name="Normal 7 4 4 4 2" xfId="4158"/>
    <cellStyle name="Normal 7 4 4 4 2 2" xfId="9173"/>
    <cellStyle name="Normal 7 4 4 4 3" xfId="10627"/>
    <cellStyle name="Normal 7 4 4 4 4" xfId="7068"/>
    <cellStyle name="Normal 7 4 4 5" xfId="3114"/>
    <cellStyle name="Normal 7 4 4 5 2" xfId="8130"/>
    <cellStyle name="Normal 7 4 4 6" xfId="5691"/>
    <cellStyle name="Normal 7 4 4 7" xfId="9584"/>
    <cellStyle name="Normal 7 4 4 8" xfId="4661"/>
    <cellStyle name="Normal 7 4 4_Degree data" xfId="2891"/>
    <cellStyle name="Normal 7 4 5" xfId="668"/>
    <cellStyle name="Normal 7 4 5 2" xfId="1620"/>
    <cellStyle name="Normal 7 4 5 2 2" xfId="6909"/>
    <cellStyle name="Normal 7 4 5 3" xfId="3586"/>
    <cellStyle name="Normal 7 4 5 3 2" xfId="8601"/>
    <cellStyle name="Normal 7 4 5 4" xfId="6025"/>
    <cellStyle name="Normal 7 4 5 5" xfId="10055"/>
    <cellStyle name="Normal 7 4 5 6" xfId="4502"/>
    <cellStyle name="Normal 7 4 6" xfId="1313"/>
    <cellStyle name="Normal 7 4 6 2" xfId="2255"/>
    <cellStyle name="Normal 7 4 6 2 2" xfId="7544"/>
    <cellStyle name="Normal 7 4 6 3" xfId="3934"/>
    <cellStyle name="Normal 7 4 6 3 2" xfId="8949"/>
    <cellStyle name="Normal 7 4 6 4" xfId="6660"/>
    <cellStyle name="Normal 7 4 6 5" xfId="10403"/>
    <cellStyle name="Normal 7 4 6 6" xfId="5137"/>
    <cellStyle name="Normal 7 4 7" xfId="503"/>
    <cellStyle name="Normal 7 4 7 2" xfId="2336"/>
    <cellStyle name="Normal 7 4 7 2 2" xfId="7618"/>
    <cellStyle name="Normal 7 4 7 3" xfId="3999"/>
    <cellStyle name="Normal 7 4 7 3 2" xfId="9014"/>
    <cellStyle name="Normal 7 4 7 4" xfId="5864"/>
    <cellStyle name="Normal 7 4 7 5" xfId="10468"/>
    <cellStyle name="Normal 7 4 7 6" xfId="5212"/>
    <cellStyle name="Normal 7 4 8" xfId="1462"/>
    <cellStyle name="Normal 7 4 8 2" xfId="9425"/>
    <cellStyle name="Normal 7 4 8 3" xfId="6751"/>
    <cellStyle name="Normal 7 4 9" xfId="2953"/>
    <cellStyle name="Normal 7 4 9 2" xfId="7969"/>
    <cellStyle name="Normal 7 4_Degree data" xfId="2886"/>
    <cellStyle name="Normal 7 5" xfId="243"/>
    <cellStyle name="Normal 7 5 10" xfId="4370"/>
    <cellStyle name="Normal 7 5 2" xfId="345"/>
    <cellStyle name="Normal 7 5 2 2" xfId="1320"/>
    <cellStyle name="Normal 7 5 2 2 2" xfId="2262"/>
    <cellStyle name="Normal 7 5 2 2 2 2" xfId="7551"/>
    <cellStyle name="Normal 7 5 2 2 3" xfId="3593"/>
    <cellStyle name="Normal 7 5 2 2 3 2" xfId="8608"/>
    <cellStyle name="Normal 7 5 2 2 4" xfId="6667"/>
    <cellStyle name="Normal 7 5 2 2 5" xfId="10062"/>
    <cellStyle name="Normal 7 5 2 2 6" xfId="5144"/>
    <cellStyle name="Normal 7 5 2 3" xfId="853"/>
    <cellStyle name="Normal 7 5 2 3 2" xfId="2521"/>
    <cellStyle name="Normal 7 5 2 3 2 2" xfId="7803"/>
    <cellStyle name="Normal 7 5 2 3 3" xfId="3941"/>
    <cellStyle name="Normal 7 5 2 3 3 2" xfId="8956"/>
    <cellStyle name="Normal 7 5 2 3 4" xfId="6210"/>
    <cellStyle name="Normal 7 5 2 3 5" xfId="10410"/>
    <cellStyle name="Normal 7 5 2 3 6" xfId="5397"/>
    <cellStyle name="Normal 7 5 2 4" xfId="1805"/>
    <cellStyle name="Normal 7 5 2 4 2" xfId="4184"/>
    <cellStyle name="Normal 7 5 2 4 2 2" xfId="9199"/>
    <cellStyle name="Normal 7 5 2 4 3" xfId="10653"/>
    <cellStyle name="Normal 7 5 2 4 4" xfId="7094"/>
    <cellStyle name="Normal 7 5 2 5" xfId="3140"/>
    <cellStyle name="Normal 7 5 2 5 2" xfId="8156"/>
    <cellStyle name="Normal 7 5 2 6" xfId="5717"/>
    <cellStyle name="Normal 7 5 2 7" xfId="9610"/>
    <cellStyle name="Normal 7 5 2 8" xfId="4687"/>
    <cellStyle name="Normal 7 5 2_Degree data" xfId="2893"/>
    <cellStyle name="Normal 7 5 3" xfId="753"/>
    <cellStyle name="Normal 7 5 3 2" xfId="1705"/>
    <cellStyle name="Normal 7 5 3 2 2" xfId="6994"/>
    <cellStyle name="Normal 7 5 3 3" xfId="3592"/>
    <cellStyle name="Normal 7 5 3 3 2" xfId="8607"/>
    <cellStyle name="Normal 7 5 3 4" xfId="6110"/>
    <cellStyle name="Normal 7 5 3 5" xfId="10061"/>
    <cellStyle name="Normal 7 5 3 6" xfId="4587"/>
    <cellStyle name="Normal 7 5 4" xfId="1319"/>
    <cellStyle name="Normal 7 5 4 2" xfId="2261"/>
    <cellStyle name="Normal 7 5 4 2 2" xfId="7550"/>
    <cellStyle name="Normal 7 5 4 3" xfId="3940"/>
    <cellStyle name="Normal 7 5 4 3 2" xfId="8955"/>
    <cellStyle name="Normal 7 5 4 4" xfId="6666"/>
    <cellStyle name="Normal 7 5 4 5" xfId="10409"/>
    <cellStyle name="Normal 7 5 4 6" xfId="5143"/>
    <cellStyle name="Normal 7 5 5" xfId="532"/>
    <cellStyle name="Normal 7 5 5 2" xfId="2421"/>
    <cellStyle name="Normal 7 5 5 2 2" xfId="7703"/>
    <cellStyle name="Normal 7 5 5 3" xfId="4084"/>
    <cellStyle name="Normal 7 5 5 3 2" xfId="9099"/>
    <cellStyle name="Normal 7 5 5 4" xfId="5891"/>
    <cellStyle name="Normal 7 5 5 5" xfId="10553"/>
    <cellStyle name="Normal 7 5 5 6" xfId="5297"/>
    <cellStyle name="Normal 7 5 6" xfId="1488"/>
    <cellStyle name="Normal 7 5 6 2" xfId="6777"/>
    <cellStyle name="Normal 7 5 7" xfId="3040"/>
    <cellStyle name="Normal 7 5 7 2" xfId="8056"/>
    <cellStyle name="Normal 7 5 8" xfId="5617"/>
    <cellStyle name="Normal 7 5 9" xfId="9510"/>
    <cellStyle name="Normal 7 5_Degree data" xfId="2892"/>
    <cellStyle name="Normal 7 6" xfId="181"/>
    <cellStyle name="Normal 7 6 10" xfId="4418"/>
    <cellStyle name="Normal 7 6 2" xfId="395"/>
    <cellStyle name="Normal 7 6 2 2" xfId="1322"/>
    <cellStyle name="Normal 7 6 2 2 2" xfId="2264"/>
    <cellStyle name="Normal 7 6 2 2 2 2" xfId="7553"/>
    <cellStyle name="Normal 7 6 2 2 3" xfId="3595"/>
    <cellStyle name="Normal 7 6 2 2 3 2" xfId="8610"/>
    <cellStyle name="Normal 7 6 2 2 4" xfId="6669"/>
    <cellStyle name="Normal 7 6 2 2 5" xfId="10064"/>
    <cellStyle name="Normal 7 6 2 2 6" xfId="5146"/>
    <cellStyle name="Normal 7 6 2 3" xfId="901"/>
    <cellStyle name="Normal 7 6 2 3 2" xfId="2569"/>
    <cellStyle name="Normal 7 6 2 3 2 2" xfId="7851"/>
    <cellStyle name="Normal 7 6 2 3 3" xfId="3943"/>
    <cellStyle name="Normal 7 6 2 3 3 2" xfId="8958"/>
    <cellStyle name="Normal 7 6 2 3 4" xfId="6258"/>
    <cellStyle name="Normal 7 6 2 3 5" xfId="10412"/>
    <cellStyle name="Normal 7 6 2 3 6" xfId="5445"/>
    <cellStyle name="Normal 7 6 2 4" xfId="1853"/>
    <cellStyle name="Normal 7 6 2 4 2" xfId="4232"/>
    <cellStyle name="Normal 7 6 2 4 2 2" xfId="9247"/>
    <cellStyle name="Normal 7 6 2 4 3" xfId="10701"/>
    <cellStyle name="Normal 7 6 2 4 4" xfId="7142"/>
    <cellStyle name="Normal 7 6 2 5" xfId="3188"/>
    <cellStyle name="Normal 7 6 2 5 2" xfId="8204"/>
    <cellStyle name="Normal 7 6 2 6" xfId="5765"/>
    <cellStyle name="Normal 7 6 2 7" xfId="9658"/>
    <cellStyle name="Normal 7 6 2 8" xfId="4735"/>
    <cellStyle name="Normal 7 6 2_Degree data" xfId="2895"/>
    <cellStyle name="Normal 7 6 3" xfId="696"/>
    <cellStyle name="Normal 7 6 3 2" xfId="1648"/>
    <cellStyle name="Normal 7 6 3 2 2" xfId="6937"/>
    <cellStyle name="Normal 7 6 3 3" xfId="3594"/>
    <cellStyle name="Normal 7 6 3 3 2" xfId="8609"/>
    <cellStyle name="Normal 7 6 3 4" xfId="6053"/>
    <cellStyle name="Normal 7 6 3 5" xfId="10063"/>
    <cellStyle name="Normal 7 6 3 6" xfId="4530"/>
    <cellStyle name="Normal 7 6 4" xfId="1321"/>
    <cellStyle name="Normal 7 6 4 2" xfId="2263"/>
    <cellStyle name="Normal 7 6 4 2 2" xfId="7552"/>
    <cellStyle name="Normal 7 6 4 3" xfId="3942"/>
    <cellStyle name="Normal 7 6 4 3 2" xfId="8957"/>
    <cellStyle name="Normal 7 6 4 4" xfId="6668"/>
    <cellStyle name="Normal 7 6 4 5" xfId="10411"/>
    <cellStyle name="Normal 7 6 4 6" xfId="5145"/>
    <cellStyle name="Normal 7 6 5" xfId="581"/>
    <cellStyle name="Normal 7 6 5 2" xfId="2364"/>
    <cellStyle name="Normal 7 6 5 2 2" xfId="7646"/>
    <cellStyle name="Normal 7 6 5 3" xfId="4027"/>
    <cellStyle name="Normal 7 6 5 3 2" xfId="9042"/>
    <cellStyle name="Normal 7 6 5 4" xfId="5939"/>
    <cellStyle name="Normal 7 6 5 5" xfId="10496"/>
    <cellStyle name="Normal 7 6 5 6" xfId="5240"/>
    <cellStyle name="Normal 7 6 6" xfId="1536"/>
    <cellStyle name="Normal 7 6 6 2" xfId="6825"/>
    <cellStyle name="Normal 7 6 7" xfId="2983"/>
    <cellStyle name="Normal 7 6 7 2" xfId="7999"/>
    <cellStyle name="Normal 7 6 8" xfId="5560"/>
    <cellStyle name="Normal 7 6 9" xfId="9453"/>
    <cellStyle name="Normal 7 6_Degree data" xfId="2894"/>
    <cellStyle name="Normal 7 7" xfId="451"/>
    <cellStyle name="Normal 7 7 2" xfId="957"/>
    <cellStyle name="Normal 7 7 2 2" xfId="1909"/>
    <cellStyle name="Normal 7 7 2 2 2" xfId="7198"/>
    <cellStyle name="Normal 7 7 2 3" xfId="3596"/>
    <cellStyle name="Normal 7 7 2 3 2" xfId="8611"/>
    <cellStyle name="Normal 7 7 2 4" xfId="6314"/>
    <cellStyle name="Normal 7 7 2 5" xfId="10065"/>
    <cellStyle name="Normal 7 7 2 6" xfId="4791"/>
    <cellStyle name="Normal 7 7 3" xfId="1323"/>
    <cellStyle name="Normal 7 7 3 2" xfId="2265"/>
    <cellStyle name="Normal 7 7 3 2 2" xfId="7554"/>
    <cellStyle name="Normal 7 7 3 3" xfId="3944"/>
    <cellStyle name="Normal 7 7 3 3 2" xfId="8959"/>
    <cellStyle name="Normal 7 7 3 4" xfId="6670"/>
    <cellStyle name="Normal 7 7 3 5" xfId="10413"/>
    <cellStyle name="Normal 7 7 3 6" xfId="5147"/>
    <cellStyle name="Normal 7 7 4" xfId="637"/>
    <cellStyle name="Normal 7 7 4 2" xfId="2625"/>
    <cellStyle name="Normal 7 7 4 2 2" xfId="7907"/>
    <cellStyle name="Normal 7 7 4 3" xfId="4288"/>
    <cellStyle name="Normal 7 7 4 3 2" xfId="9303"/>
    <cellStyle name="Normal 7 7 4 4" xfId="5995"/>
    <cellStyle name="Normal 7 7 4 5" xfId="10757"/>
    <cellStyle name="Normal 7 7 4 6" xfId="5501"/>
    <cellStyle name="Normal 7 7 5" xfId="1592"/>
    <cellStyle name="Normal 7 7 5 2" xfId="6881"/>
    <cellStyle name="Normal 7 7 6" xfId="3244"/>
    <cellStyle name="Normal 7 7 6 2" xfId="8260"/>
    <cellStyle name="Normal 7 7 7" xfId="5821"/>
    <cellStyle name="Normal 7 7 8" xfId="9714"/>
    <cellStyle name="Normal 7 7 9" xfId="4474"/>
    <cellStyle name="Normal 7 7_Degree data" xfId="2896"/>
    <cellStyle name="Normal 7 8" xfId="287"/>
    <cellStyle name="Normal 7 8 2" xfId="1324"/>
    <cellStyle name="Normal 7 8 2 2" xfId="2266"/>
    <cellStyle name="Normal 7 8 2 2 2" xfId="7555"/>
    <cellStyle name="Normal 7 8 2 3" xfId="3597"/>
    <cellStyle name="Normal 7 8 2 3 2" xfId="8612"/>
    <cellStyle name="Normal 7 8 2 4" xfId="6671"/>
    <cellStyle name="Normal 7 8 2 5" xfId="10066"/>
    <cellStyle name="Normal 7 8 2 6" xfId="5148"/>
    <cellStyle name="Normal 7 8 3" xfId="796"/>
    <cellStyle name="Normal 7 8 3 2" xfId="2464"/>
    <cellStyle name="Normal 7 8 3 2 2" xfId="7746"/>
    <cellStyle name="Normal 7 8 3 3" xfId="3945"/>
    <cellStyle name="Normal 7 8 3 3 2" xfId="8960"/>
    <cellStyle name="Normal 7 8 3 4" xfId="6153"/>
    <cellStyle name="Normal 7 8 3 5" xfId="10414"/>
    <cellStyle name="Normal 7 8 3 6" xfId="5340"/>
    <cellStyle name="Normal 7 8 4" xfId="1748"/>
    <cellStyle name="Normal 7 8 4 2" xfId="4127"/>
    <cellStyle name="Normal 7 8 4 2 2" xfId="9142"/>
    <cellStyle name="Normal 7 8 4 3" xfId="10596"/>
    <cellStyle name="Normal 7 8 4 4" xfId="7037"/>
    <cellStyle name="Normal 7 8 5" xfId="3083"/>
    <cellStyle name="Normal 7 8 5 2" xfId="8099"/>
    <cellStyle name="Normal 7 8 6" xfId="5660"/>
    <cellStyle name="Normal 7 8 7" xfId="9553"/>
    <cellStyle name="Normal 7 8 8" xfId="4630"/>
    <cellStyle name="Normal 7 8_Degree data" xfId="2897"/>
    <cellStyle name="Normal 7 9" xfId="657"/>
    <cellStyle name="Normal 7 9 2" xfId="1325"/>
    <cellStyle name="Normal 7 9 2 2" xfId="2267"/>
    <cellStyle name="Normal 7 9 2 2 2" xfId="7556"/>
    <cellStyle name="Normal 7 9 2 3" xfId="3598"/>
    <cellStyle name="Normal 7 9 2 3 2" xfId="8613"/>
    <cellStyle name="Normal 7 9 2 4" xfId="6672"/>
    <cellStyle name="Normal 7 9 2 5" xfId="10067"/>
    <cellStyle name="Normal 7 9 2 6" xfId="5149"/>
    <cellStyle name="Normal 7 9 3" xfId="1418"/>
    <cellStyle name="Normal 7 9 3 2" xfId="2325"/>
    <cellStyle name="Normal 7 9 3 2 2" xfId="7607"/>
    <cellStyle name="Normal 7 9 3 3" xfId="3946"/>
    <cellStyle name="Normal 7 9 3 3 2" xfId="8961"/>
    <cellStyle name="Normal 7 9 3 4" xfId="6714"/>
    <cellStyle name="Normal 7 9 3 5" xfId="10415"/>
    <cellStyle name="Normal 7 9 3 6" xfId="5201"/>
    <cellStyle name="Normal 7 9 4" xfId="1609"/>
    <cellStyle name="Normal 7 9 4 2" xfId="3988"/>
    <cellStyle name="Normal 7 9 4 2 2" xfId="9003"/>
    <cellStyle name="Normal 7 9 4 3" xfId="10457"/>
    <cellStyle name="Normal 7 9 4 4" xfId="6898"/>
    <cellStyle name="Normal 7 9 5" xfId="2942"/>
    <cellStyle name="Normal 7 9 5 2" xfId="7958"/>
    <cellStyle name="Normal 7 9 6" xfId="6014"/>
    <cellStyle name="Normal 7 9 7" xfId="9414"/>
    <cellStyle name="Normal 7 9 8" xfId="4491"/>
    <cellStyle name="Normal 7 9_Degree data" xfId="2898"/>
    <cellStyle name="Normal 7_Degree data" xfId="2865"/>
    <cellStyle name="Normal 70" xfId="645"/>
    <cellStyle name="Normal 70 2" xfId="1326"/>
    <cellStyle name="Normal 70 2 2" xfId="2268"/>
    <cellStyle name="Normal 70 2 2 2" xfId="7557"/>
    <cellStyle name="Normal 70 2 3" xfId="4304"/>
    <cellStyle name="Normal 70 2 3 2" xfId="9318"/>
    <cellStyle name="Normal 70 2 4" xfId="6673"/>
    <cellStyle name="Normal 70 2 5" xfId="5150"/>
    <cellStyle name="Normal 70 3" xfId="6002"/>
    <cellStyle name="Normal 71" xfId="5"/>
    <cellStyle name="Normal 72" xfId="6"/>
    <cellStyle name="Normal 73" xfId="7"/>
    <cellStyle name="Normal 73 2" xfId="1327"/>
    <cellStyle name="Normal 73 2 2" xfId="2269"/>
    <cellStyle name="Normal 73 2 2 2" xfId="7558"/>
    <cellStyle name="Normal 73 2 3" xfId="4302"/>
    <cellStyle name="Normal 73 2 3 2" xfId="9316"/>
    <cellStyle name="Normal 73 2 4" xfId="6674"/>
    <cellStyle name="Normal 73 2 5" xfId="5151"/>
    <cellStyle name="Normal 73 3" xfId="6003"/>
    <cellStyle name="Normal 73 4" xfId="646"/>
    <cellStyle name="Normal 74" xfId="1328"/>
    <cellStyle name="Normal 74 2" xfId="2270"/>
    <cellStyle name="Normal 74 2 2" xfId="7559"/>
    <cellStyle name="Normal 74 3" xfId="4300"/>
    <cellStyle name="Normal 74 3 2" xfId="9315"/>
    <cellStyle name="Normal 74 4" xfId="6675"/>
    <cellStyle name="Normal 74 5" xfId="5152"/>
    <cellStyle name="Normal 75" xfId="1329"/>
    <cellStyle name="Normal 75 2" xfId="2271"/>
    <cellStyle name="Normal 75 2 2" xfId="7560"/>
    <cellStyle name="Normal 75 3" xfId="4297"/>
    <cellStyle name="Normal 75 3 2" xfId="9312"/>
    <cellStyle name="Normal 75 4" xfId="6676"/>
    <cellStyle name="Normal 75 5" xfId="5153"/>
    <cellStyle name="Normal 76" xfId="1330"/>
    <cellStyle name="Normal 76 2" xfId="2272"/>
    <cellStyle name="Normal 76 2 2" xfId="7561"/>
    <cellStyle name="Normal 76 3" xfId="4296"/>
    <cellStyle name="Normal 76 3 2" xfId="9311"/>
    <cellStyle name="Normal 76 4" xfId="6677"/>
    <cellStyle name="Normal 76 5" xfId="5154"/>
    <cellStyle name="Normal 77" xfId="965"/>
    <cellStyle name="Normal 77 2" xfId="1917"/>
    <cellStyle name="Normal 77 2 2" xfId="7206"/>
    <cellStyle name="Normal 77 3" xfId="4305"/>
    <cellStyle name="Normal 77 3 2" xfId="9319"/>
    <cellStyle name="Normal 77 4" xfId="6322"/>
    <cellStyle name="Normal 77 5" xfId="4799"/>
    <cellStyle name="Normal 78" xfId="1331"/>
    <cellStyle name="Normal 78 2" xfId="2273"/>
    <cellStyle name="Normal 78 2 2" xfId="7562"/>
    <cellStyle name="Normal 78 3" xfId="2978"/>
    <cellStyle name="Normal 78 3 2" xfId="7994"/>
    <cellStyle name="Normal 78 4" xfId="6678"/>
    <cellStyle name="Normal 78 5" xfId="5155"/>
    <cellStyle name="Normal 79" xfId="966"/>
    <cellStyle name="Normal 79 2" xfId="1918"/>
    <cellStyle name="Normal 79 2 2" xfId="7207"/>
    <cellStyle name="Normal 79 3" xfId="4303"/>
    <cellStyle name="Normal 79 3 2" xfId="9317"/>
    <cellStyle name="Normal 79 4" xfId="6323"/>
    <cellStyle name="Normal 79 5" xfId="4800"/>
    <cellStyle name="Normal 8" xfId="89"/>
    <cellStyle name="Normal 8 2" xfId="104"/>
    <cellStyle name="Normal 8 3" xfId="154"/>
    <cellStyle name="Normal 80" xfId="967"/>
    <cellStyle name="Normal 80 2" xfId="1919"/>
    <cellStyle name="Normal 80 2 2" xfId="7208"/>
    <cellStyle name="Normal 80 3" xfId="4299"/>
    <cellStyle name="Normal 80 3 2" xfId="9314"/>
    <cellStyle name="Normal 80 4" xfId="6324"/>
    <cellStyle name="Normal 80 5" xfId="4801"/>
    <cellStyle name="Normal 81" xfId="1332"/>
    <cellStyle name="Normal 81 2" xfId="2274"/>
    <cellStyle name="Normal 81 2 2" xfId="7563"/>
    <cellStyle name="Normal 81 3" xfId="2906"/>
    <cellStyle name="Normal 81 3 2" xfId="7922"/>
    <cellStyle name="Normal 81 4" xfId="6679"/>
    <cellStyle name="Normal 81 5" xfId="5156"/>
    <cellStyle name="Normal 82" xfId="1333"/>
    <cellStyle name="Normal 82 2" xfId="2275"/>
    <cellStyle name="Normal 82 2 2" xfId="7564"/>
    <cellStyle name="Normal 82 3" xfId="4306"/>
    <cellStyle name="Normal 82 3 2" xfId="9320"/>
    <cellStyle name="Normal 82 4" xfId="6680"/>
    <cellStyle name="Normal 82 5" xfId="5157"/>
    <cellStyle name="Normal 83" xfId="8"/>
    <cellStyle name="Normal 84" xfId="9"/>
    <cellStyle name="Normal 85" xfId="19"/>
    <cellStyle name="Normal 85 2" xfId="1920"/>
    <cellStyle name="Normal 85 2 2" xfId="7209"/>
    <cellStyle name="Normal 85 3" xfId="4298"/>
    <cellStyle name="Normal 85 3 2" xfId="9313"/>
    <cellStyle name="Normal 85 4" xfId="6325"/>
    <cellStyle name="Normal 85 5" xfId="4802"/>
    <cellStyle name="Normal 85 6" xfId="968"/>
    <cellStyle name="Normal 86" xfId="10"/>
    <cellStyle name="Normal 87" xfId="964"/>
    <cellStyle name="Normal 87 2" xfId="1916"/>
    <cellStyle name="Normal 87 2 2" xfId="7205"/>
    <cellStyle name="Normal 87 3" xfId="4307"/>
    <cellStyle name="Normal 87 3 2" xfId="9321"/>
    <cellStyle name="Normal 87 4" xfId="6321"/>
    <cellStyle name="Normal 87 5" xfId="4798"/>
    <cellStyle name="Normal 88" xfId="2284"/>
    <cellStyle name="Normal 89" xfId="2900"/>
    <cellStyle name="Normal 9" xfId="90"/>
    <cellStyle name="Normal 9 2" xfId="457"/>
    <cellStyle name="Normal 9 2 2" xfId="961"/>
    <cellStyle name="Normal 9 2 2 2" xfId="1913"/>
    <cellStyle name="Normal 9 2 2 2 2" xfId="7202"/>
    <cellStyle name="Normal 9 2 2 3" xfId="3599"/>
    <cellStyle name="Normal 9 2 2 3 2" xfId="8614"/>
    <cellStyle name="Normal 9 2 2 4" xfId="6318"/>
    <cellStyle name="Normal 9 2 2 5" xfId="10068"/>
    <cellStyle name="Normal 9 2 2 6" xfId="4795"/>
    <cellStyle name="Normal 9 2 3" xfId="1334"/>
    <cellStyle name="Normal 9 2 3 2" xfId="2276"/>
    <cellStyle name="Normal 9 2 3 2 2" xfId="7565"/>
    <cellStyle name="Normal 9 2 3 3" xfId="3947"/>
    <cellStyle name="Normal 9 2 3 3 2" xfId="8962"/>
    <cellStyle name="Normal 9 2 3 4" xfId="6681"/>
    <cellStyle name="Normal 9 2 3 5" xfId="10416"/>
    <cellStyle name="Normal 9 2 3 6" xfId="5158"/>
    <cellStyle name="Normal 9 2 4" xfId="642"/>
    <cellStyle name="Normal 9 2 4 2" xfId="2629"/>
    <cellStyle name="Normal 9 2 4 2 2" xfId="7911"/>
    <cellStyle name="Normal 9 2 4 3" xfId="4292"/>
    <cellStyle name="Normal 9 2 4 3 2" xfId="9307"/>
    <cellStyle name="Normal 9 2 4 4" xfId="5999"/>
    <cellStyle name="Normal 9 2 4 5" xfId="10761"/>
    <cellStyle name="Normal 9 2 4 6" xfId="5505"/>
    <cellStyle name="Normal 9 2 5" xfId="1596"/>
    <cellStyle name="Normal 9 2 5 2" xfId="6885"/>
    <cellStyle name="Normal 9 2 6" xfId="3248"/>
    <cellStyle name="Normal 9 2 6 2" xfId="8264"/>
    <cellStyle name="Normal 9 2 7" xfId="5825"/>
    <cellStyle name="Normal 9 2 8" xfId="9718"/>
    <cellStyle name="Normal 9 2 9" xfId="4478"/>
    <cellStyle name="Normal 9 2_Degree data" xfId="2899"/>
    <cellStyle name="Normal 90" xfId="11"/>
    <cellStyle name="Normal 90 2" xfId="3564"/>
    <cellStyle name="Normal 91" xfId="12"/>
    <cellStyle name="Normal 91 2" xfId="4301"/>
    <cellStyle name="Normal 92" xfId="13"/>
    <cellStyle name="Normal 92 2" xfId="5509"/>
    <cellStyle name="Normal 93" xfId="14"/>
    <cellStyle name="Normal 93 2" xfId="6683"/>
    <cellStyle name="Normal 94" xfId="20"/>
    <cellStyle name="Normal 94 2" xfId="9323"/>
    <cellStyle name="Normal 95" xfId="15"/>
    <cellStyle name="Normal 95 2" xfId="9322"/>
    <cellStyle name="Normal 96" xfId="17"/>
    <cellStyle name="Normal 96 2" xfId="9327"/>
    <cellStyle name="Normal 97" xfId="18"/>
    <cellStyle name="Normal 97 2" xfId="9328"/>
    <cellStyle name="Normal 98" xfId="16"/>
    <cellStyle name="Normal 99" xfId="9330"/>
    <cellStyle name="Normal_03SCH&amp;FTE05" xfId="10766"/>
    <cellStyle name="Normal_Degree02 Form" xfId="30"/>
    <cellStyle name="Normal_Degree02 Form 2" xfId="25"/>
    <cellStyle name="Normal_Degree02 Form 3" xfId="96"/>
    <cellStyle name="Normal_Degrees02 Form" xfId="29"/>
    <cellStyle name="Normal_Degrees02 Form 2" xfId="28"/>
    <cellStyle name="Normal_Degrees02 Form 2 2" xfId="27"/>
    <cellStyle name="Normal_Degrees02 Form 3" xfId="10772"/>
    <cellStyle name="Normal_SCH&amp;FTE02 Form" xfId="10767"/>
    <cellStyle name="Normal_SCH&amp;FTE03 Form" xfId="10770"/>
    <cellStyle name="Normal_StProg01B" xfId="10768"/>
    <cellStyle name="Normal_StProg01B 2" xfId="31"/>
    <cellStyle name="Normal_StProg02 Form" xfId="10769"/>
    <cellStyle name="Normal_Tuition02 Form" xfId="10771"/>
    <cellStyle name="Note 2" xfId="1335"/>
    <cellStyle name="Note 2 2" xfId="1375"/>
    <cellStyle name="Note 2 3" xfId="1382"/>
    <cellStyle name="Note 2 4" xfId="2277"/>
    <cellStyle name="Note 2 4 2" xfId="7566"/>
    <cellStyle name="Note 2 5" xfId="2977"/>
    <cellStyle name="Note 2 5 2" xfId="7993"/>
    <cellStyle name="Note 2 6" xfId="6682"/>
    <cellStyle name="Note 2 7" xfId="5159"/>
    <cellStyle name="Note 3" xfId="1374"/>
    <cellStyle name="Note 4" xfId="1383"/>
    <cellStyle name="Output 2" xfId="1376"/>
    <cellStyle name="Output 3" xfId="1386"/>
    <cellStyle name="Percent" xfId="24" builtinId="5"/>
    <cellStyle name="Percent 2" xfId="35"/>
    <cellStyle name="Percent 2 2" xfId="98"/>
    <cellStyle name="Percent 2 2 2" xfId="174"/>
    <cellStyle name="Percent 2 2 3" xfId="159"/>
    <cellStyle name="Percent 2 3" xfId="1378"/>
    <cellStyle name="Percent 3" xfId="68"/>
    <cellStyle name="Percent 4" xfId="102"/>
    <cellStyle name="Percent 5" xfId="128"/>
    <cellStyle name="Percent 6" xfId="1377"/>
    <cellStyle name="questionable" xfId="32"/>
    <cellStyle name="questionable 2" xfId="80"/>
    <cellStyle name="review" xfId="33"/>
    <cellStyle name="Title 2" xfId="1379"/>
    <cellStyle name="Total 2" xfId="1380"/>
    <cellStyle name="Total 3" xfId="1387"/>
    <cellStyle name="Warning Text 2" xfId="1381"/>
  </cellStyles>
  <dxfs count="341">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0"/>
      </font>
    </dxf>
    <dxf>
      <font>
        <name val="Arial"/>
        <scheme val="none"/>
      </font>
    </dxf>
    <dxf>
      <font>
        <b val="0"/>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bottom style="thin">
          <color indexed="64"/>
        </bottom>
      </border>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0"/>
      </font>
    </dxf>
    <dxf>
      <font>
        <name val="Arial"/>
        <scheme val="none"/>
      </font>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bottom style="thin">
          <color indexed="64"/>
        </bottom>
      </border>
    </dxf>
    <dxf>
      <border>
        <bottom style="thin">
          <color indexed="64"/>
        </bottom>
      </border>
    </dxf>
    <dxf>
      <font>
        <b val="0"/>
      </font>
    </dxf>
    <dxf>
      <border>
        <bottom style="medium">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border>
        <bottom style="medium">
          <color indexed="64"/>
        </bottom>
      </border>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border>
        <bottom style="thin">
          <color indexed="64"/>
        </bottom>
      </border>
    </dxf>
    <dxf>
      <numFmt numFmtId="3" formatCode="#,##0"/>
    </dxf>
    <dxf>
      <numFmt numFmtId="3" formatCode="#,##0"/>
    </dxf>
    <dxf>
      <numFmt numFmtId="3" formatCode="#,##0"/>
    </dxf>
    <dxf>
      <font>
        <sz val="10"/>
      </font>
    </dxf>
    <dxf>
      <font>
        <name val="Arial"/>
        <scheme val="none"/>
      </font>
    </dxf>
  </dxfs>
  <tableStyles count="0" defaultTableStyle="TableStyleMedium9" defaultPivotStyle="PivotStyleLight16"/>
  <colors>
    <mruColors>
      <color rgb="FF0000FF"/>
      <color rgb="FF00FF00"/>
      <color rgb="FF008000"/>
      <color rgb="FFFFCCCC"/>
      <color rgb="FFB1A0C7"/>
      <color rgb="FF00CC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isa Cowan" refreshedDate="41779.372515856485" createdVersion="4" refreshedVersion="4" minRefreshableVersion="3" recordCount="673">
  <cacheSource type="worksheet">
    <worksheetSource ref="A7:EA680" sheet="Faculty Salary Data"/>
  </cacheSource>
  <cacheFields count="132">
    <cacheField name="State" numFmtId="49">
      <sharedItems count="16">
        <s v="AL"/>
        <s v="AR"/>
        <s v="DE"/>
        <s v="FL"/>
        <s v="GA"/>
        <s v="KY"/>
        <s v="LA"/>
        <s v="MD"/>
        <s v="MS"/>
        <s v="NC"/>
        <s v="OK"/>
        <s v="SC"/>
        <s v="TN"/>
        <s v="TX"/>
        <s v="VA"/>
        <s v="WV"/>
      </sharedItems>
    </cacheField>
    <cacheField name="Institution" numFmtId="0">
      <sharedItems/>
    </cacheField>
    <cacheField name="Note" numFmtId="0">
      <sharedItems containsBlank="1"/>
    </cacheField>
    <cacheField name="ID #" numFmtId="0">
      <sharedItems containsMixedTypes="1" containsNumber="1" containsInteger="1" minValue="100654" maxValue="870501"/>
    </cacheField>
    <cacheField name="Category" numFmtId="0">
      <sharedItems containsSemiMixedTypes="0" containsString="0" containsNumber="1" containsInteger="1" minValue="1" maxValue="99" count="14">
        <n v="1"/>
        <n v="2"/>
        <n v="3"/>
        <n v="4"/>
        <n v="5"/>
        <n v="6"/>
        <n v="8"/>
        <n v="9"/>
        <n v="10"/>
        <n v="12"/>
        <n v="13"/>
        <n v="7"/>
        <n v="99"/>
        <n v="11"/>
      </sharedItems>
      <fieldGroup par="131"/>
    </cacheField>
    <cacheField name="Old # Prof9" numFmtId="165">
      <sharedItems containsString="0" containsBlank="1" containsNumber="1" containsInteger="1" minValue="0" maxValue="982"/>
    </cacheField>
    <cacheField name="New # Prof9" numFmtId="165">
      <sharedItems containsString="0" containsBlank="1" containsNumber="1" containsInteger="1" minValue="0" maxValue="983"/>
    </cacheField>
    <cacheField name="Old # Prof10" numFmtId="165">
      <sharedItems containsString="0" containsBlank="1" containsNumber="1" containsInteger="1" minValue="0" maxValue="0"/>
    </cacheField>
    <cacheField name="New # Prof10" numFmtId="165">
      <sharedItems containsString="0" containsBlank="1" containsNumber="1" containsInteger="1" minValue="0" maxValue="436"/>
    </cacheField>
    <cacheField name="Old # Prof11" numFmtId="165">
      <sharedItems containsString="0" containsBlank="1" containsNumber="1" containsInteger="1" minValue="0" maxValue="429"/>
    </cacheField>
    <cacheField name="New # Prof11" numFmtId="165">
      <sharedItems containsString="0" containsBlank="1" containsNumber="1" containsInteger="1" minValue="0" maxValue="285"/>
    </cacheField>
    <cacheField name="Old # Prof12" numFmtId="165">
      <sharedItems containsString="0" containsBlank="1" containsNumber="1" containsInteger="1" minValue="0" maxValue="221"/>
    </cacheField>
    <cacheField name="New # Prof12" numFmtId="165">
      <sharedItems containsString="0" containsBlank="1" containsNumber="1" containsInteger="1" minValue="0" maxValue="391"/>
    </cacheField>
    <cacheField name="Old # Asc9" numFmtId="165">
      <sharedItems containsString="0" containsBlank="1" containsNumber="1" containsInteger="1" minValue="0" maxValue="644"/>
    </cacheField>
    <cacheField name="New # Asc9" numFmtId="165">
      <sharedItems containsString="0" containsBlank="1" containsNumber="1" containsInteger="1" minValue="0" maxValue="671"/>
    </cacheField>
    <cacheField name="Old # Asc10" numFmtId="165">
      <sharedItems containsNonDate="0" containsString="0" containsBlank="1"/>
    </cacheField>
    <cacheField name="New # Asc10" numFmtId="165">
      <sharedItems containsString="0" containsBlank="1" containsNumber="1" containsInteger="1" minValue="0" maxValue="235"/>
    </cacheField>
    <cacheField name="Old # Asc11" numFmtId="165">
      <sharedItems containsString="0" containsBlank="1" containsNumber="1" containsInteger="1" minValue="0" maxValue="274"/>
    </cacheField>
    <cacheField name="New # Asc11" numFmtId="165">
      <sharedItems containsString="0" containsBlank="1" containsNumber="1" containsInteger="1" minValue="0" maxValue="135"/>
    </cacheField>
    <cacheField name="Old # Asc12" numFmtId="165">
      <sharedItems containsString="0" containsBlank="1" containsNumber="1" containsInteger="1" minValue="0" maxValue="182"/>
    </cacheField>
    <cacheField name="New # Asc12" numFmtId="165">
      <sharedItems containsString="0" containsBlank="1" containsNumber="1" containsInteger="1" minValue="0" maxValue="266"/>
    </cacheField>
    <cacheField name="Old # Ast9" numFmtId="165">
      <sharedItems containsString="0" containsBlank="1" containsNumber="1" containsInteger="1" minValue="0" maxValue="626"/>
    </cacheField>
    <cacheField name="New # Ast9" numFmtId="165">
      <sharedItems containsString="0" containsBlank="1" containsNumber="1" containsInteger="1" minValue="0" maxValue="702"/>
    </cacheField>
    <cacheField name="Old # Ast10" numFmtId="165">
      <sharedItems containsNonDate="0" containsString="0" containsBlank="1"/>
    </cacheField>
    <cacheField name="New # Ast10" numFmtId="165">
      <sharedItems containsString="0" containsBlank="1" containsNumber="1" containsInteger="1" minValue="0" maxValue="271"/>
    </cacheField>
    <cacheField name="Old # Ast11" numFmtId="165">
      <sharedItems containsString="0" containsBlank="1" containsNumber="1" containsInteger="1" minValue="0" maxValue="239"/>
    </cacheField>
    <cacheField name="New # Ast11" numFmtId="165">
      <sharedItems containsString="0" containsBlank="1" containsNumber="1" containsInteger="1" minValue="0" maxValue="84"/>
    </cacheField>
    <cacheField name="Old # Ast12" numFmtId="165">
      <sharedItems containsString="0" containsBlank="1" containsNumber="1" containsInteger="1" minValue="0" maxValue="233"/>
    </cacheField>
    <cacheField name="New # Ast12" numFmtId="165">
      <sharedItems containsString="0" containsBlank="1" containsNumber="1" containsInteger="1" minValue="0" maxValue="230"/>
    </cacheField>
    <cacheField name="Old # Inst9" numFmtId="165">
      <sharedItems containsString="0" containsBlank="1" containsNumber="1" containsInteger="1" minValue="0" maxValue="732"/>
    </cacheField>
    <cacheField name="New # Inst9" numFmtId="165">
      <sharedItems containsString="0" containsBlank="1" containsNumber="1" containsInteger="1" minValue="0" maxValue="481"/>
    </cacheField>
    <cacheField name="Old # Inst10" numFmtId="165">
      <sharedItems containsNonDate="0" containsString="0" containsBlank="1"/>
    </cacheField>
    <cacheField name="New # Inst10" numFmtId="165">
      <sharedItems containsString="0" containsBlank="1" containsNumber="1" containsInteger="1" minValue="0" maxValue="516"/>
    </cacheField>
    <cacheField name="Old # Inst11" numFmtId="165">
      <sharedItems containsString="0" containsBlank="1" containsNumber="1" containsInteger="1" minValue="0" maxValue="208"/>
    </cacheField>
    <cacheField name="New # Inst11" numFmtId="165">
      <sharedItems containsString="0" containsBlank="1" containsNumber="1" containsInteger="1" minValue="0" maxValue="85"/>
    </cacheField>
    <cacheField name="Old # Inst12" numFmtId="165">
      <sharedItems containsString="0" containsBlank="1" containsNumber="1" containsInteger="1" minValue="0" maxValue="78"/>
    </cacheField>
    <cacheField name="New # Inst12" numFmtId="165">
      <sharedItems containsString="0" containsBlank="1" containsNumber="1" containsInteger="1" minValue="0" maxValue="207"/>
    </cacheField>
    <cacheField name="Old # Oth9" numFmtId="165">
      <sharedItems containsString="0" containsBlank="1" containsNumber="1" containsInteger="1" minValue="0" maxValue="553"/>
    </cacheField>
    <cacheField name="New # Oth9" numFmtId="165">
      <sharedItems containsString="0" containsBlank="1" containsNumber="1" containsInteger="1" minValue="0" maxValue="616"/>
    </cacheField>
    <cacheField name="Old # Oth10" numFmtId="165">
      <sharedItems containsNonDate="0" containsString="0" containsBlank="1"/>
    </cacheField>
    <cacheField name="New # Oth10" numFmtId="165">
      <sharedItems containsString="0" containsBlank="1" containsNumber="1" containsInteger="1" minValue="0" maxValue="346"/>
    </cacheField>
    <cacheField name="Old # Oth11" numFmtId="165">
      <sharedItems containsString="0" containsBlank="1" containsNumber="1" containsInteger="1" minValue="0" maxValue="128"/>
    </cacheField>
    <cacheField name="New # Oth11" numFmtId="165">
      <sharedItems containsString="0" containsBlank="1" containsNumber="1" containsInteger="1" minValue="0" maxValue="170"/>
    </cacheField>
    <cacheField name="Old # Oth12" numFmtId="165">
      <sharedItems containsString="0" containsBlank="1" containsNumber="1" containsInteger="1" minValue="0" maxValue="111"/>
    </cacheField>
    <cacheField name="New # Oth12" numFmtId="165">
      <sharedItems containsString="0" containsBlank="1" containsNumber="1" containsInteger="1" minValue="0" maxValue="173"/>
    </cacheField>
    <cacheField name="Old # SR9" numFmtId="165">
      <sharedItems containsString="0" containsBlank="1" containsNumber="1" minValue="0" maxValue="673"/>
    </cacheField>
    <cacheField name="New # SR9" numFmtId="165">
      <sharedItems containsString="0" containsBlank="1" containsNumber="1" minValue="0" maxValue="659"/>
    </cacheField>
    <cacheField name="Old # SR10" numFmtId="165">
      <sharedItems containsString="0" containsBlank="1" containsNumber="1" containsInteger="1" minValue="1" maxValue="77"/>
    </cacheField>
    <cacheField name="New # SR10" numFmtId="165">
      <sharedItems containsString="0" containsBlank="1" containsNumber="1" minValue="0" maxValue="158"/>
    </cacheField>
    <cacheField name="Old # SR11" numFmtId="165">
      <sharedItems containsString="0" containsBlank="1" containsNumber="1" minValue="0" maxValue="185"/>
    </cacheField>
    <cacheField name="New # SR11" numFmtId="165">
      <sharedItems containsString="0" containsBlank="1" containsNumber="1" minValue="0" maxValue="57"/>
    </cacheField>
    <cacheField name="Old # SR12" numFmtId="165">
      <sharedItems containsString="0" containsBlank="1" containsNumber="1" containsInteger="1" minValue="1" maxValue="38"/>
    </cacheField>
    <cacheField name="New # SR12" numFmtId="165">
      <sharedItems containsString="0" containsBlank="1" containsNumber="1" minValue="0" maxValue="172"/>
    </cacheField>
    <cacheField name="Old $ Prof" numFmtId="165">
      <sharedItems containsMixedTypes="1" containsNumber="1" minValue="0" maxValue="138052223"/>
    </cacheField>
    <cacheField name="New $ Prof" numFmtId="165">
      <sharedItems containsString="0" containsBlank="1" containsNumber="1" minValue="0" maxValue="141373705"/>
    </cacheField>
    <cacheField name="Old $ Asc" numFmtId="165">
      <sharedItems containsMixedTypes="1" containsNumber="1" minValue="0" maxValue="55711270"/>
    </cacheField>
    <cacheField name="New $ Asc" numFmtId="165">
      <sharedItems containsString="0" containsBlank="1" containsNumber="1" minValue="0" maxValue="56437804"/>
    </cacheField>
    <cacheField name="Old $ Ast" numFmtId="165">
      <sharedItems containsMixedTypes="1" containsNumber="1" minValue="0" maxValue="42617129"/>
    </cacheField>
    <cacheField name="New $ Ast" numFmtId="165">
      <sharedItems containsString="0" containsBlank="1" containsNumber="1" minValue="0" maxValue="42072474"/>
    </cacheField>
    <cacheField name="Old $  Inst" numFmtId="165">
      <sharedItems containsString="0" containsBlank="1" containsNumber="1" minValue="0" maxValue="52503207"/>
    </cacheField>
    <cacheField name="New $  Inst" numFmtId="165">
      <sharedItems containsString="0" containsBlank="1" containsNumber="1" minValue="0" maxValue="51173017"/>
    </cacheField>
    <cacheField name="Old $  Oth" numFmtId="165">
      <sharedItems containsString="0" containsBlank="1" containsNumber="1" minValue="0" maxValue="32753740"/>
    </cacheField>
    <cacheField name="New $  Oth" numFmtId="165">
      <sharedItems containsString="0" containsBlank="1" containsNumber="1" minValue="0" maxValue="36822828"/>
    </cacheField>
    <cacheField name="Old $  SR" numFmtId="165">
      <sharedItems containsSemiMixedTypes="0" containsString="0" containsNumber="1" minValue="0" maxValue="40083880"/>
    </cacheField>
    <cacheField name="New $  SR" numFmtId="165">
      <sharedItems containsString="0" containsBlank="1" containsNumber="1" minValue="0" maxValue="40374953"/>
    </cacheField>
    <cacheField name="Old SM Prof" numFmtId="165">
      <sharedItems containsSemiMixedTypes="0" containsString="0" containsNumber="1" containsInteger="1" minValue="0" maxValue="8838"/>
    </cacheField>
    <cacheField name="New SM Prof" numFmtId="165">
      <sharedItems containsSemiMixedTypes="0" containsString="0" containsNumber="1" containsInteger="1" minValue="0" maxValue="8847"/>
    </cacheField>
    <cacheField name="Old SM Asc" numFmtId="165">
      <sharedItems containsSemiMixedTypes="0" containsString="0" containsNumber="1" containsInteger="1" minValue="0" maxValue="6401"/>
    </cacheField>
    <cacheField name="New SM Asc" numFmtId="165">
      <sharedItems containsSemiMixedTypes="0" containsString="0" containsNumber="1" containsInteger="1" minValue="0" maxValue="6627"/>
    </cacheField>
    <cacheField name="Old SM Ast" numFmtId="165">
      <sharedItems containsSemiMixedTypes="0" containsString="0" containsNumber="1" containsInteger="1" minValue="0" maxValue="6206"/>
    </cacheField>
    <cacheField name="New SM Ast" numFmtId="165">
      <sharedItems containsSemiMixedTypes="0" containsString="0" containsNumber="1" containsInteger="1" minValue="0" maxValue="6786"/>
    </cacheField>
    <cacheField name="Old SM Inst" numFmtId="165">
      <sharedItems containsSemiMixedTypes="0" containsString="0" containsNumber="1" containsInteger="1" minValue="0" maxValue="7435"/>
    </cacheField>
    <cacheField name="New SM Inst" numFmtId="165">
      <sharedItems containsSemiMixedTypes="0" containsString="0" containsNumber="1" containsInteger="1" minValue="0" maxValue="7854"/>
    </cacheField>
    <cacheField name="Old SM Oth" numFmtId="165">
      <sharedItems containsSemiMixedTypes="0" containsString="0" containsNumber="1" containsInteger="1" minValue="0" maxValue="4977"/>
    </cacheField>
    <cacheField name="New SM Oth" numFmtId="165">
      <sharedItems containsSemiMixedTypes="0" containsString="0" containsNumber="1" containsInteger="1" minValue="0" maxValue="5544"/>
    </cacheField>
    <cacheField name="Old SM SR" numFmtId="165">
      <sharedItems containsSemiMixedTypes="0" containsString="0" containsNumber="1" minValue="0" maxValue="6057"/>
    </cacheField>
    <cacheField name="New SM SR" numFmtId="165">
      <sharedItems containsSemiMixedTypes="0" containsString="0" containsNumber="1" minValue="0" maxValue="5931"/>
    </cacheField>
    <cacheField name="Old Avg p/m Prof" numFmtId="165">
      <sharedItems containsSemiMixedTypes="0" containsString="0" containsNumber="1" minValue="0" maxValue="16705.070607553367"/>
    </cacheField>
    <cacheField name="New Avg p/m Prof" numFmtId="165">
      <sharedItems containsSemiMixedTypes="0" containsString="0" containsNumber="1" minValue="0" maxValue="51805"/>
    </cacheField>
    <cacheField name="Old Avg p/m Asc" numFmtId="165">
      <sharedItems containsSemiMixedTypes="0" containsString="0" containsNumber="1" minValue="0" maxValue="13172.98747763864"/>
    </cacheField>
    <cacheField name="New Avg p/m Asc" numFmtId="165">
      <sharedItems containsSemiMixedTypes="0" containsString="0" containsNumber="1" minValue="0" maxValue="11799.396210163652"/>
    </cacheField>
    <cacheField name="Old Avg p/m Ast" numFmtId="165">
      <sharedItems containsSemiMixedTypes="0" containsString="0" containsNumber="1" minValue="0" maxValue="11227.111111111111"/>
    </cacheField>
    <cacheField name="New Avg p/m Ast" numFmtId="165">
      <sharedItems containsSemiMixedTypes="0" containsString="0" containsNumber="1" minValue="0" maxValue="16560.823529411766"/>
    </cacheField>
    <cacheField name="Old Avg p/m Inst" numFmtId="165">
      <sharedItems containsSemiMixedTypes="0" containsString="0" containsNumber="1" minValue="0" maxValue="10887.793103448275"/>
    </cacheField>
    <cacheField name="New Avg p/m Inst" numFmtId="165">
      <sharedItems containsSemiMixedTypes="0" containsString="0" containsNumber="1" minValue="0" maxValue="17393.3046875"/>
    </cacheField>
    <cacheField name="Old Avg p/m Oth" numFmtId="165">
      <sharedItems containsSemiMixedTypes="0" containsString="0" containsNumber="1" minValue="0" maxValue="11747"/>
    </cacheField>
    <cacheField name="New Avg p/m Oth" numFmtId="165">
      <sharedItems containsSemiMixedTypes="0" containsString="0" containsNumber="1" minValue="0" maxValue="8333.3333333333339"/>
    </cacheField>
    <cacheField name="Old Avg p/m SR" numFmtId="165">
      <sharedItems containsSemiMixedTypes="0" containsString="0" containsNumber="1" minValue="0" maxValue="14711.248366013071"/>
    </cacheField>
    <cacheField name="New Avg p/m SR" numFmtId="165">
      <sharedItems containsSemiMixedTypes="0" containsString="0" containsNumber="1" minValue="0" maxValue="11761.875"/>
    </cacheField>
    <cacheField name="Old 9mEqv Prof" numFmtId="165">
      <sharedItems containsSemiMixedTypes="0" containsString="0" containsNumber="1" minValue="0" maxValue="150345.63546798029"/>
    </cacheField>
    <cacheField name="New 9mEqv Prof" numFmtId="165">
      <sharedItems containsSemiMixedTypes="0" containsString="0" containsNumber="1" minValue="0" maxValue="466245"/>
    </cacheField>
    <cacheField name="Old 9mEqv Asc" numFmtId="165">
      <sharedItems containsSemiMixedTypes="0" containsString="0" containsNumber="1" minValue="0" maxValue="118556.88729874777"/>
    </cacheField>
    <cacheField name="New 9mEqv Asc" numFmtId="165">
      <sharedItems containsSemiMixedTypes="0" containsString="0" containsNumber="1" minValue="0" maxValue="106194.56589147287"/>
    </cacheField>
    <cacheField name="Old 9mEqv Ast" numFmtId="165">
      <sharedItems containsSemiMixedTypes="0" containsString="0" containsNumber="1" minValue="0" maxValue="101044"/>
    </cacheField>
    <cacheField name="New 9mEqv Ast" numFmtId="165">
      <sharedItems containsSemiMixedTypes="0" containsString="0" containsNumber="1" minValue="0" maxValue="149047.4117647059"/>
    </cacheField>
    <cacheField name="Old 9mEqv Inst" numFmtId="165">
      <sharedItems containsSemiMixedTypes="0" containsString="0" containsNumber="1" minValue="0" maxValue="97990.137931034478"/>
    </cacheField>
    <cacheField name="New 9mEqv Inst" numFmtId="165">
      <sharedItems containsSemiMixedTypes="0" containsString="0" containsNumber="1" minValue="0" maxValue="156539.7421875"/>
    </cacheField>
    <cacheField name="Old 9mEqv Oth" numFmtId="165">
      <sharedItems containsSemiMixedTypes="0" containsString="0" containsNumber="1" minValue="0" maxValue="105723"/>
    </cacheField>
    <cacheField name="New 9mEqv Oth" numFmtId="165">
      <sharedItems containsSemiMixedTypes="0" containsString="0" containsNumber="1" minValue="0" maxValue="75000"/>
    </cacheField>
    <cacheField name="Old 9mEqv SR" numFmtId="165">
      <sharedItems containsSemiMixedTypes="0" containsString="0" containsNumber="1" minValue="0" maxValue="132401.23529411765"/>
    </cacheField>
    <cacheField name="New 9mEqv SR" numFmtId="165">
      <sharedItems containsSemiMixedTypes="0" containsString="0" containsNumber="1" minValue="0" maxValue="105856.875"/>
    </cacheField>
    <cacheField name="Old 9mEqv AR" numFmtId="165">
      <sharedItems containsSemiMixedTypes="0" containsString="0" containsNumber="1" minValue="0" maxValue="132401.23529411765"/>
    </cacheField>
    <cacheField name="New 9mEqv AR" numFmtId="165">
      <sharedItems containsSemiMixedTypes="0" containsString="0" containsNumber="1" minValue="0" maxValue="110736.20305343512"/>
    </cacheField>
    <cacheField name="Old # Prof Tot" numFmtId="165">
      <sharedItems containsSemiMixedTypes="0" containsString="0" containsNumber="1" containsInteger="1" minValue="0" maxValue="982"/>
    </cacheField>
    <cacheField name="New # Prof Tot" numFmtId="165">
      <sharedItems containsSemiMixedTypes="0" containsString="0" containsNumber="1" containsInteger="1" minValue="0" maxValue="983"/>
    </cacheField>
    <cacheField name="Old # Asc Tot" numFmtId="165">
      <sharedItems containsSemiMixedTypes="0" containsString="0" containsNumber="1" containsInteger="1" minValue="0" maxValue="699"/>
    </cacheField>
    <cacheField name="New # Asc Tot" numFmtId="165">
      <sharedItems containsSemiMixedTypes="0" containsString="0" containsNumber="1" containsInteger="1" minValue="0" maxValue="720"/>
    </cacheField>
    <cacheField name="Old # Ast Tot" numFmtId="165">
      <sharedItems containsSemiMixedTypes="0" containsString="0" containsNumber="1" containsInteger="1" minValue="0" maxValue="678"/>
    </cacheField>
    <cacheField name="New # Ast Tot" numFmtId="165">
      <sharedItems containsSemiMixedTypes="0" containsString="0" containsNumber="1" containsInteger="1" minValue="0" maxValue="741"/>
    </cacheField>
    <cacheField name="Old # Inst Tot" numFmtId="165">
      <sharedItems containsSemiMixedTypes="0" containsString="0" containsNumber="1" containsInteger="1" minValue="0" maxValue="809"/>
    </cacheField>
    <cacheField name="New # Inst Tot" numFmtId="165">
      <sharedItems containsSemiMixedTypes="0" containsString="0" containsNumber="1" containsInteger="1" minValue="0" maxValue="789"/>
    </cacheField>
    <cacheField name="Old # Oth Tot" numFmtId="165">
      <sharedItems containsSemiMixedTypes="0" containsString="0" containsNumber="1" containsInteger="1" minValue="0" maxValue="553"/>
    </cacheField>
    <cacheField name="New # Oth Tot" numFmtId="165">
      <sharedItems containsSemiMixedTypes="0" containsString="0" containsNumber="1" containsInteger="1" minValue="0" maxValue="616"/>
    </cacheField>
    <cacheField name="Old # SR Tot" numFmtId="165">
      <sharedItems containsSemiMixedTypes="0" containsString="0" containsNumber="1" minValue="0" maxValue="673"/>
    </cacheField>
    <cacheField name="New # SR Tot" numFmtId="165">
      <sharedItems containsSemiMixedTypes="0" containsString="0" containsNumber="1" minValue="0" maxValue="659"/>
    </cacheField>
    <cacheField name="Old # AR Tot" numFmtId="165">
      <sharedItems containsSemiMixedTypes="0" containsString="0" containsNumber="1" minValue="0" maxValue="2462"/>
    </cacheField>
    <cacheField name="New # AR Tot" numFmtId="165">
      <sharedItems containsSemiMixedTypes="0" containsString="0" containsNumber="1" minValue="0" maxValue="2526"/>
    </cacheField>
    <cacheField name="Old 9mEqv Outlay Prof" numFmtId="165">
      <sharedItems containsSemiMixedTypes="0" containsString="0" containsNumber="1" minValue="0" maxValue="138052223"/>
    </cacheField>
    <cacheField name="New 9mEqv Outlay Prof" numFmtId="165">
      <sharedItems containsSemiMixedTypes="0" containsString="0" containsNumber="1" minValue="0" maxValue="141373705"/>
    </cacheField>
    <cacheField name="Old 9mEqv Outlay Asc" numFmtId="165">
      <sharedItems containsSemiMixedTypes="0" containsString="0" containsNumber="1" minValue="0" maxValue="50442973.889559962"/>
    </cacheField>
    <cacheField name="New 9mEqv Outlay Asc" numFmtId="165">
      <sharedItems containsSemiMixedTypes="0" containsString="0" containsNumber="1" minValue="0" maxValue="48999138"/>
    </cacheField>
    <cacheField name="Old 9mEqv Outlay Ast" numFmtId="165">
      <sharedItems containsSemiMixedTypes="0" containsString="0" containsNumber="1" minValue="0" maxValue="38674611.550416104"/>
    </cacheField>
    <cacheField name="New 9mEqv Outlay Ast" numFmtId="165">
      <sharedItems containsSemiMixedTypes="0" containsString="0" containsNumber="1" minValue="0" maxValue="41347086.517241381"/>
    </cacheField>
    <cacheField name="Old 9mEqv Outlay Inst" numFmtId="165">
      <sharedItems containsSemiMixedTypes="0" containsString="0" containsNumber="1" minValue="0" maxValue="51415716.229589775"/>
    </cacheField>
    <cacheField name="New 9mEqv Outlay Inst" numFmtId="165">
      <sharedItems containsSemiMixedTypes="0" containsString="0" containsNumber="1" minValue="0" maxValue="46266818.655080214"/>
    </cacheField>
    <cacheField name="Old 9mEqv Outlay Oth" numFmtId="165">
      <sharedItems containsSemiMixedTypes="0" containsString="0" containsNumber="1" minValue="0" maxValue="32753740.000000004"/>
    </cacheField>
    <cacheField name="New 9mEqv Outlay Oth" numFmtId="165">
      <sharedItems containsSemiMixedTypes="0" containsString="0" containsNumber="1" minValue="0" maxValue="36822828"/>
    </cacheField>
    <cacheField name="Old 9mEqv Outlay SR" numFmtId="165">
      <sharedItems containsSemiMixedTypes="0" containsString="0" containsNumber="1" minValue="0" maxValue="40083880"/>
    </cacheField>
    <cacheField name="New 9mEqv Outlay SR" numFmtId="165">
      <sharedItems containsSemiMixedTypes="0" containsString="0" containsNumber="1" minValue="0" maxValue="40374953"/>
    </cacheField>
    <cacheField name="Old 9mEqv Outlay AR" numFmtId="165">
      <sharedItems containsSemiMixedTypes="0" containsString="0" containsNumber="1" minValue="0" maxValue="251743495"/>
    </cacheField>
    <cacheField name="New 9mEqv Outlay AR" numFmtId="165">
      <sharedItems containsSemiMixedTypes="0" containsString="0" containsNumber="1" minValue="0" maxValue="261498898"/>
    </cacheField>
    <cacheField name="Category2" numFmtId="0" databaseField="0">
      <fieldGroup base="4">
        <discretePr count="14">
          <x v="1"/>
          <x v="1"/>
          <x v="1"/>
          <x v="1"/>
          <x v="1"/>
          <x v="1"/>
          <x v="2"/>
          <x v="2"/>
          <x v="2"/>
          <x v="3"/>
          <x v="3"/>
          <x v="2"/>
          <x v="0"/>
          <x v="2"/>
        </discretePr>
        <groupItems count="4">
          <n v="99"/>
          <s v="Group1"/>
          <s v="Group2"/>
          <s v="Group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3">
  <r>
    <x v="0"/>
    <s v="Auburn University"/>
    <m/>
    <n v="100858"/>
    <x v="0"/>
    <n v="275"/>
    <n v="270"/>
    <m/>
    <m/>
    <n v="172"/>
    <m/>
    <m/>
    <n v="173"/>
    <n v="281"/>
    <n v="302"/>
    <m/>
    <m/>
    <n v="90"/>
    <m/>
    <m/>
    <n v="95"/>
    <n v="194"/>
    <n v="192"/>
    <m/>
    <n v="0"/>
    <n v="61"/>
    <m/>
    <m/>
    <n v="57"/>
    <n v="80"/>
    <n v="80"/>
    <m/>
    <n v="0"/>
    <n v="14"/>
    <m/>
    <m/>
    <n v="16"/>
    <n v="8"/>
    <n v="7"/>
    <m/>
    <m/>
    <n v="2"/>
    <m/>
    <m/>
    <m/>
    <m/>
    <m/>
    <m/>
    <m/>
    <m/>
    <m/>
    <m/>
    <m/>
    <n v="52252360"/>
    <n v="52958406"/>
    <n v="29879225"/>
    <n v="32282931"/>
    <n v="17774528"/>
    <n v="17966199"/>
    <n v="3989237"/>
    <n v="4224851"/>
    <n v="563491"/>
    <n v="404000"/>
    <n v="0"/>
    <m/>
    <n v="4367"/>
    <n v="4506"/>
    <n v="3519"/>
    <n v="3858"/>
    <n v="2417"/>
    <n v="2412"/>
    <n v="874"/>
    <n v="912"/>
    <n v="94"/>
    <n v="63"/>
    <n v="0"/>
    <n v="0"/>
    <n v="11965.275933134875"/>
    <n v="11752.864181091878"/>
    <n v="8490.8283603296386"/>
    <n v="8367.7892690513218"/>
    <n v="7353.9627637567228"/>
    <n v="7448.6728855721394"/>
    <n v="4564.3443935926771"/>
    <n v="4632.5120614035086"/>
    <n v="5994.5851063829787"/>
    <n v="6412.6984126984125"/>
    <n v="0"/>
    <n v="0"/>
    <n v="107687.48339821388"/>
    <n v="105775.7776298269"/>
    <n v="76417.455242966753"/>
    <n v="75310.103421461899"/>
    <n v="66185.6648738105"/>
    <n v="67038.05597014926"/>
    <n v="41079.099542334094"/>
    <n v="41692.60855263158"/>
    <n v="53951.265957446805"/>
    <n v="57714.28571428571"/>
    <n v="0"/>
    <n v="0"/>
    <n v="83063.274030176559"/>
    <n v="82093.747404323396"/>
    <n v="447"/>
    <n v="443"/>
    <n v="371"/>
    <n v="397"/>
    <n v="255"/>
    <n v="249"/>
    <n v="94"/>
    <n v="96"/>
    <n v="10"/>
    <n v="7"/>
    <n v="0"/>
    <n v="0"/>
    <n v="1177"/>
    <n v="1192"/>
    <n v="48136305.079001606"/>
    <n v="46858669.490013316"/>
    <n v="28350875.895140667"/>
    <n v="29898111.058320373"/>
    <n v="16877344.542821676"/>
    <n v="16692475.936567165"/>
    <n v="3861435.3569794046"/>
    <n v="4002490.4210526319"/>
    <n v="539512.65957446804"/>
    <n v="404000"/>
    <n v="0"/>
    <n v="0"/>
    <n v="97765473.533517808"/>
    <n v="97855746.905953482"/>
  </r>
  <r>
    <x v="0"/>
    <s v="University of Alabama "/>
    <m/>
    <n v="100751"/>
    <x v="0"/>
    <n v="302"/>
    <n v="304"/>
    <m/>
    <m/>
    <n v="31"/>
    <m/>
    <m/>
    <n v="34"/>
    <n v="258"/>
    <n v="274"/>
    <m/>
    <m/>
    <n v="35"/>
    <m/>
    <m/>
    <n v="35"/>
    <n v="285"/>
    <n v="275"/>
    <m/>
    <n v="0"/>
    <n v="59"/>
    <m/>
    <m/>
    <n v="52"/>
    <n v="198"/>
    <n v="217"/>
    <m/>
    <n v="0"/>
    <n v="34"/>
    <m/>
    <m/>
    <n v="36"/>
    <n v="11"/>
    <n v="8"/>
    <m/>
    <m/>
    <n v="4"/>
    <m/>
    <m/>
    <n v="4"/>
    <m/>
    <m/>
    <m/>
    <m/>
    <m/>
    <m/>
    <m/>
    <m/>
    <n v="43823231"/>
    <n v="45542930"/>
    <n v="26212908"/>
    <n v="28154504"/>
    <n v="23474762"/>
    <n v="22617295"/>
    <n v="10208079"/>
    <n v="11638062"/>
    <n v="1154909"/>
    <n v="965220"/>
    <n v="0"/>
    <m/>
    <n v="3059"/>
    <n v="3144"/>
    <n v="2707"/>
    <n v="2886"/>
    <n v="3214"/>
    <n v="3099"/>
    <n v="2156"/>
    <n v="2385"/>
    <n v="143"/>
    <n v="120"/>
    <n v="0"/>
    <n v="0"/>
    <n v="14325.999019287348"/>
    <n v="14485.664758269721"/>
    <n v="9683.3793867750283"/>
    <n v="9755.5453915453909"/>
    <n v="7303.9085252022405"/>
    <n v="7298.2558889964503"/>
    <n v="4734.7305194805194"/>
    <n v="4879.6905660377361"/>
    <n v="8076.2867132867132"/>
    <n v="8043.5"/>
    <n v="0"/>
    <n v="0"/>
    <n v="128933.99117358614"/>
    <n v="130370.98282442748"/>
    <n v="87150.414480975247"/>
    <n v="87799.908523908525"/>
    <n v="65735.176726820166"/>
    <n v="65684.303000968051"/>
    <n v="42612.574675324679"/>
    <n v="43917.215094339626"/>
    <n v="72686.580419580423"/>
    <n v="72391.5"/>
    <n v="0"/>
    <n v="0"/>
    <n v="83861.468634942546"/>
    <n v="84466.573388804449"/>
    <n v="333"/>
    <n v="338"/>
    <n v="293"/>
    <n v="309"/>
    <n v="344"/>
    <n v="327"/>
    <n v="232"/>
    <n v="253"/>
    <n v="15"/>
    <n v="12"/>
    <n v="0"/>
    <n v="0"/>
    <n v="1217"/>
    <n v="1239"/>
    <n v="42935019.060804181"/>
    <n v="44065392.194656491"/>
    <n v="25535071.442925747"/>
    <n v="27130171.733887736"/>
    <n v="22612900.794026136"/>
    <n v="21478767.081316553"/>
    <n v="9886117.3246753253"/>
    <n v="11111055.418867925"/>
    <n v="1090298.7062937063"/>
    <n v="868698"/>
    <n v="0"/>
    <n v="0"/>
    <n v="102059407.32872508"/>
    <n v="104654084.42872871"/>
  </r>
  <r>
    <x v="0"/>
    <s v="University of Alabama at Birmingham"/>
    <s v="Reclassified: met the criteria for Four-Year 2 in 2010-11, 2011-12, and 2012-13."/>
    <n v="100663"/>
    <x v="1"/>
    <n v="88"/>
    <n v="94"/>
    <m/>
    <m/>
    <n v="129"/>
    <m/>
    <m/>
    <n v="127"/>
    <n v="135"/>
    <n v="136"/>
    <m/>
    <m/>
    <n v="115"/>
    <m/>
    <m/>
    <n v="114"/>
    <n v="124"/>
    <n v="139"/>
    <m/>
    <n v="0"/>
    <n v="164"/>
    <m/>
    <m/>
    <n v="147"/>
    <n v="34"/>
    <n v="31"/>
    <m/>
    <n v="0"/>
    <n v="63"/>
    <m/>
    <m/>
    <n v="65"/>
    <m/>
    <m/>
    <m/>
    <m/>
    <m/>
    <m/>
    <m/>
    <m/>
    <m/>
    <m/>
    <m/>
    <m/>
    <m/>
    <m/>
    <m/>
    <m/>
    <n v="31754621"/>
    <n v="33254059"/>
    <n v="23996744"/>
    <n v="24321998"/>
    <n v="22822623"/>
    <n v="22637130"/>
    <n v="6545482"/>
    <n v="6983766"/>
    <n v="0"/>
    <m/>
    <n v="0"/>
    <m/>
    <n v="2211"/>
    <n v="2370"/>
    <n v="2480"/>
    <n v="2592"/>
    <n v="2920"/>
    <n v="3015"/>
    <n v="999"/>
    <n v="1059"/>
    <n v="0"/>
    <n v="0"/>
    <n v="0"/>
    <n v="0"/>
    <n v="14362.108095884216"/>
    <n v="14031.24852320675"/>
    <n v="9676.1064516129027"/>
    <n v="9383.4868827160499"/>
    <n v="7815.9667808219174"/>
    <n v="7508.1691542288554"/>
    <n v="6552.0340340340344"/>
    <n v="6594.6798866855524"/>
    <n v="0"/>
    <n v="0"/>
    <n v="0"/>
    <n v="0"/>
    <n v="129258.97286295795"/>
    <n v="126281.23670886076"/>
    <n v="87084.958064516119"/>
    <n v="84451.381944444453"/>
    <n v="70343.701027397256"/>
    <n v="67573.522388059704"/>
    <n v="58968.306306306309"/>
    <n v="59352.118980169973"/>
    <n v="0"/>
    <n v="0"/>
    <n v="0"/>
    <n v="0"/>
    <n v="88966.371167832214"/>
    <n v="86805.192993963341"/>
    <n v="217"/>
    <n v="221"/>
    <n v="250"/>
    <n v="250"/>
    <n v="288"/>
    <n v="286"/>
    <n v="97"/>
    <n v="96"/>
    <n v="0"/>
    <n v="0"/>
    <n v="0"/>
    <n v="0"/>
    <n v="852"/>
    <n v="853"/>
    <n v="28049197.111261874"/>
    <n v="27908153.312658228"/>
    <n v="21771239.516129028"/>
    <n v="21112845.486111112"/>
    <n v="20258985.895890411"/>
    <n v="19326027.402985074"/>
    <n v="5719925.7117117122"/>
    <n v="5697803.4220963176"/>
    <n v="0"/>
    <n v="0"/>
    <n v="0"/>
    <n v="0"/>
    <n v="75799348.234993041"/>
    <n v="74044829.623850733"/>
  </r>
  <r>
    <x v="0"/>
    <s v="University of Alabama in Huntsville"/>
    <m/>
    <n v="100706"/>
    <x v="1"/>
    <n v="61"/>
    <n v="60"/>
    <m/>
    <m/>
    <n v="18"/>
    <m/>
    <m/>
    <n v="20"/>
    <n v="77"/>
    <n v="85"/>
    <m/>
    <m/>
    <n v="9"/>
    <m/>
    <m/>
    <n v="10"/>
    <n v="84"/>
    <n v="81"/>
    <m/>
    <n v="0"/>
    <n v="3"/>
    <m/>
    <m/>
    <n v="3"/>
    <n v="14"/>
    <n v="14"/>
    <m/>
    <n v="0"/>
    <m/>
    <m/>
    <m/>
    <n v="0"/>
    <n v="30"/>
    <n v="31"/>
    <m/>
    <m/>
    <n v="10"/>
    <m/>
    <m/>
    <n v="10"/>
    <m/>
    <m/>
    <m/>
    <m/>
    <m/>
    <m/>
    <m/>
    <m/>
    <n v="9532903"/>
    <n v="9539678"/>
    <n v="7109003"/>
    <n v="8032692"/>
    <n v="5962596"/>
    <n v="5919018"/>
    <n v="724276"/>
    <n v="743259"/>
    <n v="2006169"/>
    <n v="2134148"/>
    <n v="0"/>
    <m/>
    <n v="747"/>
    <n v="780"/>
    <n v="792"/>
    <n v="885"/>
    <n v="789"/>
    <n v="765"/>
    <n v="126"/>
    <n v="126"/>
    <n v="380"/>
    <n v="399"/>
    <n v="0"/>
    <n v="0"/>
    <n v="12761.583668005354"/>
    <n v="12230.356410256411"/>
    <n v="8976.0138888888887"/>
    <n v="9076.4881355932212"/>
    <n v="7557.1558935361218"/>
    <n v="7737.2784313725488"/>
    <n v="5748.2222222222226"/>
    <n v="5898.8809523809523"/>
    <n v="5279.3921052631576"/>
    <n v="5348.7418546365916"/>
    <n v="0"/>
    <n v="0"/>
    <n v="114854.2530120482"/>
    <n v="110073.2076923077"/>
    <n v="80784.125"/>
    <n v="81688.393220338985"/>
    <n v="68014.403041825091"/>
    <n v="69635.50588235294"/>
    <n v="51734"/>
    <n v="53089.928571428572"/>
    <n v="47514.528947368417"/>
    <n v="48138.676691729328"/>
    <n v="0"/>
    <n v="0"/>
    <n v="80271.343008121985"/>
    <n v="80040.067547119004"/>
    <n v="79"/>
    <n v="80"/>
    <n v="86"/>
    <n v="95"/>
    <n v="87"/>
    <n v="84"/>
    <n v="14"/>
    <n v="14"/>
    <n v="40"/>
    <n v="41"/>
    <n v="0"/>
    <n v="0"/>
    <n v="306"/>
    <n v="314"/>
    <n v="9073485.9879518077"/>
    <n v="8805856.615384616"/>
    <n v="6947434.75"/>
    <n v="7760397.3559322031"/>
    <n v="5917253.0646387832"/>
    <n v="5849382.4941176474"/>
    <n v="724276"/>
    <n v="743259"/>
    <n v="1900581.1578947366"/>
    <n v="1973685.7443609023"/>
    <n v="0"/>
    <n v="0"/>
    <n v="24563030.960485328"/>
    <n v="25132581.209795367"/>
  </r>
  <r>
    <x v="0"/>
    <s v="Alabama Agricultural &amp; Mechanical University"/>
    <m/>
    <n v="100654"/>
    <x v="2"/>
    <n v="38"/>
    <n v="45"/>
    <m/>
    <m/>
    <n v="10"/>
    <m/>
    <m/>
    <n v="3"/>
    <n v="54"/>
    <n v="59"/>
    <m/>
    <m/>
    <n v="6"/>
    <m/>
    <m/>
    <n v="2"/>
    <n v="99"/>
    <n v="93"/>
    <m/>
    <n v="0"/>
    <n v="6"/>
    <m/>
    <m/>
    <n v="2"/>
    <n v="40"/>
    <n v="37"/>
    <m/>
    <n v="0"/>
    <n v="1"/>
    <m/>
    <m/>
    <n v="0"/>
    <m/>
    <m/>
    <m/>
    <m/>
    <m/>
    <m/>
    <m/>
    <m/>
    <m/>
    <m/>
    <m/>
    <m/>
    <m/>
    <m/>
    <m/>
    <m/>
    <n v="4168527"/>
    <n v="4017859"/>
    <n v="4108135.0000000005"/>
    <n v="3975008"/>
    <n v="5850988"/>
    <n v="5129072"/>
    <n v="1757125"/>
    <n v="1503440"/>
    <n v="0"/>
    <m/>
    <n v="0"/>
    <m/>
    <n v="452"/>
    <n v="441"/>
    <n v="552"/>
    <n v="555"/>
    <n v="957"/>
    <n v="861"/>
    <n v="371"/>
    <n v="333"/>
    <n v="0"/>
    <n v="0"/>
    <n v="0"/>
    <n v="0"/>
    <n v="9222.4048672566369"/>
    <n v="9110.7913832199538"/>
    <n v="7442.2735507246389"/>
    <n v="7162.1765765765767"/>
    <n v="6113.8850574712642"/>
    <n v="5957.1103368176537"/>
    <n v="4736.1859838274931"/>
    <n v="4514.8348348348345"/>
    <n v="0"/>
    <n v="0"/>
    <n v="0"/>
    <n v="0"/>
    <n v="83001.643805309737"/>
    <n v="81997.122448979586"/>
    <n v="66980.461956521744"/>
    <n v="64459.589189189188"/>
    <n v="55024.965517241377"/>
    <n v="53613.993031358885"/>
    <n v="42625.673854447436"/>
    <n v="40633.513513513513"/>
    <n v="0"/>
    <n v="0"/>
    <n v="0"/>
    <n v="0"/>
    <n v="61134.569399168744"/>
    <n v="60019.361643446697"/>
    <n v="48"/>
    <n v="48"/>
    <n v="60"/>
    <n v="61"/>
    <n v="105"/>
    <n v="95"/>
    <n v="41"/>
    <n v="37"/>
    <n v="0"/>
    <n v="0"/>
    <n v="0"/>
    <n v="0"/>
    <n v="254"/>
    <n v="241"/>
    <n v="3984078.9026548676"/>
    <n v="3935861.8775510201"/>
    <n v="4018827.7173913047"/>
    <n v="3932034.9405405405"/>
    <n v="5777621.3793103443"/>
    <n v="5093329.3379790941"/>
    <n v="1747652.6280323449"/>
    <n v="1503440"/>
    <n v="0"/>
    <n v="0"/>
    <n v="0"/>
    <n v="0"/>
    <n v="15528180.627388861"/>
    <n v="14464666.156070653"/>
  </r>
  <r>
    <x v="0"/>
    <s v="Jacksonville State University "/>
    <m/>
    <n v="101480"/>
    <x v="2"/>
    <n v="61"/>
    <n v="73"/>
    <m/>
    <m/>
    <n v="22"/>
    <m/>
    <m/>
    <n v="20"/>
    <n v="68"/>
    <n v="66"/>
    <m/>
    <m/>
    <n v="4"/>
    <m/>
    <m/>
    <n v="5"/>
    <n v="82"/>
    <n v="64"/>
    <m/>
    <n v="0"/>
    <m/>
    <m/>
    <m/>
    <n v="1"/>
    <n v="83"/>
    <n v="89"/>
    <m/>
    <n v="0"/>
    <n v="1"/>
    <m/>
    <m/>
    <n v="1"/>
    <m/>
    <m/>
    <m/>
    <m/>
    <m/>
    <m/>
    <m/>
    <m/>
    <m/>
    <m/>
    <m/>
    <m/>
    <m/>
    <m/>
    <m/>
    <m/>
    <n v="7000497"/>
    <n v="7586136"/>
    <n v="4728197"/>
    <n v="4495770"/>
    <n v="4489094"/>
    <n v="3524973"/>
    <n v="3988769"/>
    <n v="4238314"/>
    <n v="0"/>
    <n v="0"/>
    <n v="0"/>
    <m/>
    <n v="791"/>
    <n v="897"/>
    <n v="656"/>
    <n v="654"/>
    <n v="738"/>
    <n v="588"/>
    <n v="758"/>
    <n v="813"/>
    <n v="0"/>
    <n v="0"/>
    <n v="0"/>
    <n v="0"/>
    <n v="8850.1858407079653"/>
    <n v="8457.2307692307695"/>
    <n v="7207.6173780487807"/>
    <n v="6874.2660550458713"/>
    <n v="6082.7831978319782"/>
    <n v="5994.8520408163267"/>
    <n v="5262.2282321899738"/>
    <n v="5213.1783517835174"/>
    <n v="0"/>
    <n v="0"/>
    <n v="0"/>
    <n v="0"/>
    <n v="79651.672566371693"/>
    <n v="76115.076923076922"/>
    <n v="64868.556402439026"/>
    <n v="61868.394495412838"/>
    <n v="54745.048780487807"/>
    <n v="53953.668367346938"/>
    <n v="47360.054089709767"/>
    <n v="46918.605166051653"/>
    <n v="0"/>
    <n v="0"/>
    <n v="0"/>
    <n v="0"/>
    <n v="61523.250553022059"/>
    <n v="60191.288626466041"/>
    <n v="83"/>
    <n v="93"/>
    <n v="72"/>
    <n v="71"/>
    <n v="82"/>
    <n v="65"/>
    <n v="84"/>
    <n v="90"/>
    <n v="0"/>
    <n v="0"/>
    <n v="0"/>
    <n v="0"/>
    <n v="321"/>
    <n v="319"/>
    <n v="6611088.8230088502"/>
    <n v="7078702.153846154"/>
    <n v="4670536.0609756103"/>
    <n v="4392656.0091743115"/>
    <n v="4489094"/>
    <n v="3506988.4438775508"/>
    <n v="3978244.5435356204"/>
    <n v="4222674.4649446486"/>
    <n v="0"/>
    <n v="0"/>
    <n v="0"/>
    <n v="0"/>
    <n v="19748963.427520081"/>
    <n v="19201021.071842667"/>
  </r>
  <r>
    <x v="0"/>
    <s v="Troy University"/>
    <m/>
    <n v="102368"/>
    <x v="2"/>
    <n v="39"/>
    <n v="0"/>
    <m/>
    <n v="37"/>
    <n v="26"/>
    <m/>
    <m/>
    <n v="44"/>
    <n v="73"/>
    <n v="0"/>
    <m/>
    <n v="70"/>
    <n v="31"/>
    <m/>
    <m/>
    <n v="43"/>
    <n v="135"/>
    <n v="0"/>
    <m/>
    <n v="125"/>
    <n v="31"/>
    <m/>
    <m/>
    <n v="37"/>
    <n v="8"/>
    <n v="0"/>
    <m/>
    <n v="5"/>
    <n v="7"/>
    <m/>
    <m/>
    <n v="2"/>
    <n v="52"/>
    <m/>
    <m/>
    <n v="56"/>
    <n v="18"/>
    <m/>
    <m/>
    <n v="20"/>
    <m/>
    <m/>
    <m/>
    <m/>
    <m/>
    <m/>
    <m/>
    <m/>
    <n v="5473333"/>
    <n v="7475858"/>
    <n v="7355103.9999999991"/>
    <n v="8784840"/>
    <n v="9974702"/>
    <n v="10117740"/>
    <n v="688012"/>
    <n v="318243"/>
    <n v="3183604"/>
    <n v="3613517"/>
    <n v="0"/>
    <m/>
    <n v="637"/>
    <n v="898"/>
    <n v="998"/>
    <n v="1216"/>
    <n v="1556"/>
    <n v="1694"/>
    <n v="149"/>
    <n v="74"/>
    <n v="666"/>
    <n v="800"/>
    <n v="0"/>
    <n v="0"/>
    <n v="8592.3594976452114"/>
    <n v="8325.008908685968"/>
    <n v="7369.8436873747487"/>
    <n v="7224.375"/>
    <n v="6410.4768637532134"/>
    <n v="5972.6918536009443"/>
    <n v="4617.5302013422815"/>
    <n v="4300.5810810810808"/>
    <n v="4780.1861861861862"/>
    <n v="4516.8962499999998"/>
    <n v="0"/>
    <n v="0"/>
    <n v="77331.235478806906"/>
    <n v="74925.08017817371"/>
    <n v="66328.593186372746"/>
    <n v="65019.375"/>
    <n v="57694.291773778918"/>
    <n v="53754.226682408502"/>
    <n v="41557.771812080537"/>
    <n v="38705.229729729726"/>
    <n v="43021.675675675673"/>
    <n v="40652.066249999996"/>
    <n v="0"/>
    <n v="0"/>
    <n v="59849.619777216707"/>
    <n v="58051.934476287817"/>
    <n v="65"/>
    <n v="81"/>
    <n v="104"/>
    <n v="113"/>
    <n v="166"/>
    <n v="162"/>
    <n v="15"/>
    <n v="7"/>
    <n v="70"/>
    <n v="76"/>
    <n v="0"/>
    <n v="0"/>
    <n v="420"/>
    <n v="439"/>
    <n v="5026530.3061224492"/>
    <n v="6068931.4944320703"/>
    <n v="6898173.6913827658"/>
    <n v="7347189.375"/>
    <n v="9577252.4344472997"/>
    <n v="8708184.7225501779"/>
    <n v="623366.57718120806"/>
    <n v="270936.60810810811"/>
    <n v="3011517.297297297"/>
    <n v="3089557.0349999997"/>
    <n v="0"/>
    <n v="0"/>
    <n v="25136840.306431018"/>
    <n v="25484799.235090353"/>
  </r>
  <r>
    <x v="0"/>
    <s v="University of South Alabama"/>
    <m/>
    <n v="102094"/>
    <x v="2"/>
    <n v="71"/>
    <n v="70"/>
    <m/>
    <m/>
    <n v="47"/>
    <m/>
    <m/>
    <n v="58"/>
    <n v="102"/>
    <n v="102"/>
    <m/>
    <m/>
    <n v="28"/>
    <m/>
    <m/>
    <n v="26"/>
    <n v="97"/>
    <n v="97"/>
    <m/>
    <n v="0"/>
    <n v="45"/>
    <m/>
    <m/>
    <n v="53"/>
    <n v="67"/>
    <n v="66"/>
    <m/>
    <n v="0"/>
    <n v="66"/>
    <m/>
    <m/>
    <n v="56"/>
    <n v="1"/>
    <n v="1"/>
    <m/>
    <m/>
    <n v="0"/>
    <m/>
    <m/>
    <m/>
    <m/>
    <m/>
    <m/>
    <m/>
    <m/>
    <m/>
    <m/>
    <m/>
    <n v="11312483"/>
    <n v="12341987"/>
    <n v="9399811"/>
    <n v="9013737"/>
    <n v="9040449"/>
    <n v="9740456"/>
    <n v="7196981"/>
    <n v="6349110"/>
    <n v="49078"/>
    <n v="49078"/>
    <n v="0"/>
    <m/>
    <n v="1156"/>
    <n v="1326"/>
    <n v="1226"/>
    <n v="1230"/>
    <n v="1368"/>
    <n v="1509"/>
    <n v="1329"/>
    <n v="1266"/>
    <n v="9"/>
    <n v="9"/>
    <n v="0"/>
    <n v="0"/>
    <n v="9785.8849480968856"/>
    <n v="9307.6825037707385"/>
    <n v="7667.056280587276"/>
    <n v="7328.2414634146344"/>
    <n v="6608.5153508771928"/>
    <n v="6454.9078860172303"/>
    <n v="5415.3355906696761"/>
    <n v="5015.0947867298582"/>
    <n v="5453.1111111111113"/>
    <n v="5453.1111111111113"/>
    <n v="0"/>
    <n v="0"/>
    <n v="88072.964532871963"/>
    <n v="83769.142533936654"/>
    <n v="69003.506525285484"/>
    <n v="65954.173170731709"/>
    <n v="59476.638157894733"/>
    <n v="58094.170974155073"/>
    <n v="48738.020316027083"/>
    <n v="45135.853080568726"/>
    <n v="49078"/>
    <n v="49078"/>
    <n v="0"/>
    <n v="0"/>
    <n v="65534.318671027977"/>
    <n v="63202.952990832127"/>
    <n v="118"/>
    <n v="128"/>
    <n v="130"/>
    <n v="128"/>
    <n v="142"/>
    <n v="150"/>
    <n v="133"/>
    <n v="122"/>
    <n v="1"/>
    <n v="1"/>
    <n v="0"/>
    <n v="0"/>
    <n v="524"/>
    <n v="529"/>
    <n v="10392609.814878892"/>
    <n v="10722450.244343892"/>
    <n v="8970455.848287113"/>
    <n v="8442134.1658536587"/>
    <n v="8445682.6184210517"/>
    <n v="8714125.6461232603"/>
    <n v="6482156.7020316022"/>
    <n v="5506574.0758293848"/>
    <n v="49078"/>
    <n v="49078"/>
    <n v="0"/>
    <n v="0"/>
    <n v="34339982.983618662"/>
    <n v="33434362.132150196"/>
  </r>
  <r>
    <x v="0"/>
    <s v="Alabama State University "/>
    <m/>
    <n v="100724"/>
    <x v="3"/>
    <n v="61"/>
    <n v="5"/>
    <m/>
    <n v="59"/>
    <n v="3"/>
    <m/>
    <m/>
    <n v="0"/>
    <n v="52"/>
    <n v="3"/>
    <m/>
    <n v="62"/>
    <n v="7"/>
    <m/>
    <m/>
    <n v="0"/>
    <n v="75"/>
    <n v="9"/>
    <m/>
    <n v="80"/>
    <n v="4"/>
    <m/>
    <m/>
    <n v="0"/>
    <n v="49"/>
    <n v="1"/>
    <m/>
    <n v="57"/>
    <n v="5"/>
    <m/>
    <m/>
    <n v="0"/>
    <m/>
    <m/>
    <m/>
    <m/>
    <n v="0"/>
    <m/>
    <m/>
    <m/>
    <m/>
    <m/>
    <m/>
    <m/>
    <m/>
    <m/>
    <m/>
    <m/>
    <n v="5527743"/>
    <n v="5323549"/>
    <n v="4185144"/>
    <n v="4510455"/>
    <n v="4550439"/>
    <n v="5097881"/>
    <n v="2516638"/>
    <n v="2637988"/>
    <n v="0"/>
    <m/>
    <n v="0"/>
    <m/>
    <n v="582"/>
    <n v="635"/>
    <n v="545"/>
    <n v="647"/>
    <n v="719"/>
    <n v="881"/>
    <n v="496"/>
    <n v="579"/>
    <n v="0"/>
    <n v="0"/>
    <n v="0"/>
    <n v="0"/>
    <n v="9497.8402061855668"/>
    <n v="8383.5417322834637"/>
    <n v="7679.1633027522939"/>
    <n v="6971.336939721793"/>
    <n v="6328.8442280945756"/>
    <n v="5786.4710556186155"/>
    <n v="5073.8669354838712"/>
    <n v="4556.1105354058718"/>
    <n v="0"/>
    <n v="0"/>
    <n v="0"/>
    <n v="0"/>
    <n v="85480.561855670094"/>
    <n v="75451.875590551179"/>
    <n v="69112.46972477065"/>
    <n v="62742.032457496134"/>
    <n v="56959.598052851179"/>
    <n v="52078.239500567543"/>
    <n v="45664.802419354841"/>
    <n v="41004.994818652849"/>
    <n v="0"/>
    <n v="0"/>
    <n v="0"/>
    <n v="0"/>
    <n v="64508.200192752971"/>
    <n v="57682.62740059747"/>
    <n v="64"/>
    <n v="64"/>
    <n v="59"/>
    <n v="65"/>
    <n v="79"/>
    <n v="89"/>
    <n v="54"/>
    <n v="58"/>
    <n v="0"/>
    <n v="0"/>
    <n v="0"/>
    <n v="0"/>
    <n v="256"/>
    <n v="276"/>
    <n v="5470755.958762886"/>
    <n v="4828920.0377952754"/>
    <n v="4077635.7137614684"/>
    <n v="4078232.1097372486"/>
    <n v="4499808.2461752435"/>
    <n v="4634963.3155505117"/>
    <n v="2465899.3306451612"/>
    <n v="2378289.6994818654"/>
    <n v="0"/>
    <n v="0"/>
    <n v="0"/>
    <n v="0"/>
    <n v="16514099.249344761"/>
    <n v="15920405.162564902"/>
  </r>
  <r>
    <x v="0"/>
    <s v="Auburn University at Montgomery"/>
    <m/>
    <n v="100830"/>
    <x v="3"/>
    <n v="42"/>
    <n v="38"/>
    <m/>
    <m/>
    <n v="11"/>
    <m/>
    <m/>
    <n v="11"/>
    <n v="47"/>
    <n v="50"/>
    <m/>
    <m/>
    <n v="15"/>
    <m/>
    <m/>
    <n v="17"/>
    <n v="51"/>
    <n v="46"/>
    <m/>
    <n v="0"/>
    <n v="12"/>
    <m/>
    <m/>
    <n v="15"/>
    <n v="16"/>
    <n v="14"/>
    <m/>
    <n v="0"/>
    <n v="3"/>
    <m/>
    <m/>
    <n v="3"/>
    <m/>
    <n v="2"/>
    <m/>
    <m/>
    <n v="1"/>
    <m/>
    <m/>
    <n v="2"/>
    <m/>
    <m/>
    <m/>
    <m/>
    <m/>
    <m/>
    <m/>
    <m/>
    <n v="4583343"/>
    <n v="4220041"/>
    <n v="4489776"/>
    <n v="5000860"/>
    <n v="3377106"/>
    <n v="3424060"/>
    <n v="757928"/>
    <n v="668052"/>
    <n v="81736"/>
    <n v="284476"/>
    <n v="0"/>
    <m/>
    <n v="499"/>
    <n v="474"/>
    <n v="588"/>
    <n v="654"/>
    <n v="591"/>
    <n v="594"/>
    <n v="177"/>
    <n v="162"/>
    <n v="11"/>
    <n v="42"/>
    <n v="0"/>
    <n v="0"/>
    <n v="9185.056112224449"/>
    <n v="8903.0400843881853"/>
    <n v="7635.6734693877552"/>
    <n v="7646.5749235474004"/>
    <n v="5714.2233502538074"/>
    <n v="5764.4107744107741"/>
    <n v="4282.0790960451977"/>
    <n v="4123.7777777777774"/>
    <n v="7430.545454545455"/>
    <n v="6773.2380952380954"/>
    <n v="0"/>
    <n v="0"/>
    <n v="82665.505010020046"/>
    <n v="80127.360759493662"/>
    <n v="68721.061224489793"/>
    <n v="68819.174311926603"/>
    <n v="51428.010152284267"/>
    <n v="51879.696969696968"/>
    <n v="38538.711864406781"/>
    <n v="37114"/>
    <n v="66874.909090909088"/>
    <n v="60959.142857142855"/>
    <n v="0"/>
    <n v="0"/>
    <n v="64045.720381605926"/>
    <n v="63517.98708431494"/>
    <n v="53"/>
    <n v="49"/>
    <n v="62"/>
    <n v="67"/>
    <n v="63"/>
    <n v="61"/>
    <n v="19"/>
    <n v="17"/>
    <n v="1"/>
    <n v="4"/>
    <n v="0"/>
    <n v="0"/>
    <n v="198"/>
    <n v="198"/>
    <n v="4381271.7655310621"/>
    <n v="3926240.6772151897"/>
    <n v="4260705.7959183669"/>
    <n v="4610884.6788990824"/>
    <n v="3239964.639593909"/>
    <n v="3164661.5151515151"/>
    <n v="732235.52542372886"/>
    <n v="630938"/>
    <n v="66874.909090909088"/>
    <n v="243836.57142857142"/>
    <n v="0"/>
    <n v="0"/>
    <n v="12681052.635557974"/>
    <n v="12576561.442694359"/>
  </r>
  <r>
    <x v="0"/>
    <s v="University of North Alabama"/>
    <m/>
    <n v="101879"/>
    <x v="3"/>
    <n v="78"/>
    <n v="73"/>
    <m/>
    <m/>
    <n v="3"/>
    <m/>
    <m/>
    <n v="2"/>
    <n v="48"/>
    <n v="51"/>
    <m/>
    <m/>
    <n v="1"/>
    <m/>
    <m/>
    <n v="1"/>
    <n v="75"/>
    <n v="76"/>
    <m/>
    <n v="0"/>
    <n v="3"/>
    <m/>
    <m/>
    <n v="2"/>
    <n v="23"/>
    <n v="28"/>
    <m/>
    <n v="0"/>
    <n v="1"/>
    <m/>
    <m/>
    <n v="1"/>
    <m/>
    <m/>
    <m/>
    <m/>
    <m/>
    <m/>
    <m/>
    <m/>
    <m/>
    <m/>
    <m/>
    <m/>
    <m/>
    <m/>
    <m/>
    <m/>
    <n v="6408682"/>
    <n v="5985593"/>
    <n v="3326524"/>
    <n v="3446048"/>
    <n v="4419899"/>
    <n v="4482990"/>
    <n v="1180885"/>
    <n v="1397478"/>
    <n v="0"/>
    <m/>
    <n v="0"/>
    <m/>
    <n v="735"/>
    <n v="681"/>
    <n v="443"/>
    <n v="471"/>
    <n v="708"/>
    <n v="708"/>
    <n v="218"/>
    <n v="264"/>
    <n v="0"/>
    <n v="0"/>
    <n v="0"/>
    <n v="0"/>
    <n v="8719.2952380952374"/>
    <n v="8789.4170337738615"/>
    <n v="7509.0835214446952"/>
    <n v="7316.4501061571127"/>
    <n v="6242.7951977401126"/>
    <n v="6331.906779661017"/>
    <n v="5416.9036697247702"/>
    <n v="5293.477272727273"/>
    <n v="0"/>
    <n v="0"/>
    <n v="0"/>
    <n v="0"/>
    <n v="78473.657142857133"/>
    <n v="79104.753303964753"/>
    <n v="67581.751693002254"/>
    <n v="65848.050955414015"/>
    <n v="56185.156779661011"/>
    <n v="56987.161016949154"/>
    <n v="48752.133027522934"/>
    <n v="47641.295454545456"/>
    <n v="0"/>
    <n v="0"/>
    <n v="0"/>
    <n v="0"/>
    <n v="65605.023633632096"/>
    <n v="64886.971260609986"/>
    <n v="81"/>
    <n v="75"/>
    <n v="49"/>
    <n v="52"/>
    <n v="78"/>
    <n v="78"/>
    <n v="24"/>
    <n v="29"/>
    <n v="0"/>
    <n v="0"/>
    <n v="0"/>
    <n v="0"/>
    <n v="232"/>
    <n v="234"/>
    <n v="6356366.228571428"/>
    <n v="5932856.4977973569"/>
    <n v="3311505.8329571104"/>
    <n v="3424098.649681529"/>
    <n v="4382442.2288135588"/>
    <n v="4444998.559322034"/>
    <n v="1170051.1926605504"/>
    <n v="1381597.5681818181"/>
    <n v="0"/>
    <n v="0"/>
    <n v="0"/>
    <n v="0"/>
    <n v="15220365.483002646"/>
    <n v="15183551.274982737"/>
  </r>
  <r>
    <x v="0"/>
    <s v="University of Montevallo"/>
    <m/>
    <n v="101709"/>
    <x v="4"/>
    <n v="32"/>
    <n v="43"/>
    <m/>
    <m/>
    <m/>
    <m/>
    <m/>
    <n v="0"/>
    <n v="43"/>
    <n v="42"/>
    <m/>
    <m/>
    <m/>
    <m/>
    <m/>
    <n v="0"/>
    <n v="47"/>
    <n v="51"/>
    <m/>
    <n v="0"/>
    <m/>
    <m/>
    <m/>
    <n v="0"/>
    <n v="3"/>
    <n v="5"/>
    <m/>
    <n v="0"/>
    <m/>
    <m/>
    <m/>
    <n v="0"/>
    <m/>
    <m/>
    <m/>
    <m/>
    <m/>
    <m/>
    <m/>
    <m/>
    <m/>
    <m/>
    <m/>
    <m/>
    <m/>
    <m/>
    <m/>
    <m/>
    <n v="2485984"/>
    <n v="3211801"/>
    <n v="2575573"/>
    <n v="2509459"/>
    <n v="2407335"/>
    <n v="2674618"/>
    <n v="143243"/>
    <n v="215421"/>
    <n v="0"/>
    <m/>
    <n v="0"/>
    <m/>
    <n v="288"/>
    <n v="387"/>
    <n v="387"/>
    <n v="378"/>
    <n v="423"/>
    <n v="459"/>
    <n v="27"/>
    <n v="45"/>
    <n v="0"/>
    <n v="0"/>
    <n v="0"/>
    <n v="0"/>
    <n v="8631.8888888888887"/>
    <n v="8299.2273901808785"/>
    <n v="6655.2273901808785"/>
    <n v="6638.7804232804228"/>
    <n v="5691.0992907801419"/>
    <n v="5827.0544662309367"/>
    <n v="5305.2962962962965"/>
    <n v="4787.1333333333332"/>
    <n v="0"/>
    <n v="0"/>
    <n v="0"/>
    <n v="0"/>
    <n v="77687"/>
    <n v="74693.046511627908"/>
    <n v="59897.046511627908"/>
    <n v="59749.023809523802"/>
    <n v="51219.893617021276"/>
    <n v="52443.490196078434"/>
    <n v="47747.666666666672"/>
    <n v="43084.2"/>
    <n v="0"/>
    <n v="0"/>
    <n v="0"/>
    <n v="0"/>
    <n v="60897.08"/>
    <n v="61073.042553191488"/>
    <n v="32"/>
    <n v="43"/>
    <n v="43"/>
    <n v="42"/>
    <n v="47"/>
    <n v="51"/>
    <n v="3"/>
    <n v="5"/>
    <n v="0"/>
    <n v="0"/>
    <n v="0"/>
    <n v="0"/>
    <n v="125"/>
    <n v="141"/>
    <n v="2485984"/>
    <n v="3211801"/>
    <n v="2575573"/>
    <n v="2509458.9999999995"/>
    <n v="2407335"/>
    <n v="2674618"/>
    <n v="143243"/>
    <n v="215421"/>
    <n v="0"/>
    <n v="0"/>
    <n v="0"/>
    <n v="0"/>
    <n v="7612135"/>
    <n v="8611299"/>
  </r>
  <r>
    <x v="0"/>
    <s v="University of West Alabama"/>
    <m/>
    <n v="101587"/>
    <x v="4"/>
    <n v="13"/>
    <n v="2"/>
    <m/>
    <m/>
    <m/>
    <m/>
    <m/>
    <n v="15"/>
    <n v="21"/>
    <n v="3"/>
    <m/>
    <m/>
    <m/>
    <m/>
    <m/>
    <n v="23"/>
    <n v="57"/>
    <n v="13"/>
    <m/>
    <n v="0"/>
    <m/>
    <m/>
    <m/>
    <n v="47"/>
    <n v="12"/>
    <n v="2"/>
    <m/>
    <n v="0"/>
    <m/>
    <n v="4"/>
    <m/>
    <n v="9"/>
    <n v="5"/>
    <n v="4"/>
    <m/>
    <m/>
    <n v="4"/>
    <m/>
    <m/>
    <m/>
    <m/>
    <m/>
    <m/>
    <m/>
    <m/>
    <m/>
    <m/>
    <m/>
    <n v="939382"/>
    <n v="1177799"/>
    <n v="1301707"/>
    <n v="1629171"/>
    <n v="2807229"/>
    <n v="2688255"/>
    <n v="484482"/>
    <n v="614162"/>
    <n v="648052"/>
    <n v="126097"/>
    <n v="0"/>
    <m/>
    <n v="117"/>
    <n v="198"/>
    <n v="189"/>
    <n v="303"/>
    <n v="513"/>
    <n v="681"/>
    <n v="108"/>
    <n v="170"/>
    <n v="89"/>
    <n v="36"/>
    <n v="0"/>
    <n v="0"/>
    <n v="8028.9059829059825"/>
    <n v="5948.4797979797977"/>
    <n v="6887.338624338624"/>
    <n v="5376.8019801980199"/>
    <n v="5472.1812865497077"/>
    <n v="3947.5110132158588"/>
    <n v="4485.9444444444443"/>
    <n v="3612.7176470588233"/>
    <n v="7281.4831460674159"/>
    <n v="3502.6944444444443"/>
    <n v="0"/>
    <n v="0"/>
    <n v="72260.153846153844"/>
    <n v="53536.318181818177"/>
    <n v="61986.047619047618"/>
    <n v="48391.217821782178"/>
    <n v="49249.631578947367"/>
    <n v="35527.59911894273"/>
    <n v="40373.5"/>
    <n v="32514.45882352941"/>
    <n v="65533.348314606745"/>
    <n v="31524.25"/>
    <n v="0"/>
    <n v="0"/>
    <n v="54666.072632423755"/>
    <n v="40276.712311038929"/>
    <n v="13"/>
    <n v="17"/>
    <n v="21"/>
    <n v="26"/>
    <n v="57"/>
    <n v="60"/>
    <n v="12"/>
    <n v="15"/>
    <n v="9"/>
    <n v="4"/>
    <n v="0"/>
    <n v="0"/>
    <n v="112"/>
    <n v="122"/>
    <n v="939382"/>
    <n v="910117.40909090894"/>
    <n v="1301707"/>
    <n v="1258171.6633663366"/>
    <n v="2807229"/>
    <n v="2131655.9471365637"/>
    <n v="484482"/>
    <n v="487716.88235294115"/>
    <n v="589800.13483146066"/>
    <n v="126097"/>
    <n v="0"/>
    <n v="0"/>
    <n v="6122600.1348314602"/>
    <n v="4913758.9019467495"/>
  </r>
  <r>
    <x v="0"/>
    <s v="Athens State University"/>
    <m/>
    <n v="100812"/>
    <x v="5"/>
    <n v="16"/>
    <n v="17"/>
    <m/>
    <m/>
    <n v="4"/>
    <m/>
    <m/>
    <n v="3"/>
    <n v="17"/>
    <n v="18"/>
    <m/>
    <m/>
    <n v="6"/>
    <m/>
    <m/>
    <n v="8"/>
    <n v="35"/>
    <n v="36"/>
    <m/>
    <n v="0"/>
    <n v="4"/>
    <m/>
    <m/>
    <n v="3"/>
    <n v="1"/>
    <n v="1"/>
    <m/>
    <n v="0"/>
    <n v="2"/>
    <m/>
    <m/>
    <n v="2"/>
    <m/>
    <m/>
    <m/>
    <m/>
    <m/>
    <m/>
    <m/>
    <m/>
    <m/>
    <m/>
    <m/>
    <m/>
    <m/>
    <m/>
    <m/>
    <m/>
    <n v="1769282"/>
    <n v="1747631"/>
    <n v="1787410"/>
    <n v="2050639"/>
    <n v="2447083"/>
    <n v="2376360"/>
    <n v="152551"/>
    <n v="152551"/>
    <n v="0"/>
    <m/>
    <n v="0"/>
    <m/>
    <n v="188"/>
    <n v="189"/>
    <n v="219"/>
    <n v="258"/>
    <n v="359"/>
    <n v="360"/>
    <n v="31"/>
    <n v="33"/>
    <n v="0"/>
    <n v="0"/>
    <n v="0"/>
    <n v="0"/>
    <n v="9411.0744680851058"/>
    <n v="9246.7248677248681"/>
    <n v="8161.6894977168949"/>
    <n v="7948.2131782945735"/>
    <n v="6816.3871866295267"/>
    <n v="6601"/>
    <n v="4921"/>
    <n v="4622.757575757576"/>
    <n v="0"/>
    <n v="0"/>
    <n v="0"/>
    <n v="0"/>
    <n v="84699.670212765952"/>
    <n v="83220.523809523816"/>
    <n v="73455.205479452052"/>
    <n v="71533.91860465116"/>
    <n v="61347.484679665737"/>
    <n v="59409"/>
    <n v="44289"/>
    <n v="41604.818181818184"/>
    <n v="0"/>
    <n v="0"/>
    <n v="0"/>
    <n v="0"/>
    <n v="69516.259209290351"/>
    <n v="67796.111527918867"/>
    <n v="20"/>
    <n v="20"/>
    <n v="23"/>
    <n v="26"/>
    <n v="39"/>
    <n v="39"/>
    <n v="3"/>
    <n v="3"/>
    <n v="0"/>
    <n v="0"/>
    <n v="0"/>
    <n v="0"/>
    <n v="85"/>
    <n v="88"/>
    <n v="1693993.4042553189"/>
    <n v="1664410.4761904762"/>
    <n v="1689469.7260273972"/>
    <n v="1859881.8837209302"/>
    <n v="2392551.9025069638"/>
    <n v="2316951"/>
    <n v="132867"/>
    <n v="124814.45454545456"/>
    <n v="0"/>
    <n v="0"/>
    <n v="0"/>
    <n v="0"/>
    <n v="5908882.0327896802"/>
    <n v="5966057.8144568605"/>
  </r>
  <r>
    <x v="0"/>
    <s v="Gadsden State Community College"/>
    <m/>
    <n v="101240"/>
    <x v="6"/>
    <m/>
    <m/>
    <m/>
    <m/>
    <m/>
    <m/>
    <m/>
    <m/>
    <m/>
    <m/>
    <m/>
    <m/>
    <m/>
    <m/>
    <m/>
    <m/>
    <m/>
    <m/>
    <m/>
    <m/>
    <m/>
    <m/>
    <m/>
    <m/>
    <m/>
    <m/>
    <m/>
    <m/>
    <m/>
    <m/>
    <m/>
    <m/>
    <m/>
    <m/>
    <m/>
    <m/>
    <m/>
    <m/>
    <m/>
    <m/>
    <n v="152"/>
    <n v="152"/>
    <m/>
    <m/>
    <n v="1"/>
    <m/>
    <m/>
    <n v="2"/>
    <n v="0"/>
    <m/>
    <n v="0"/>
    <m/>
    <n v="0"/>
    <m/>
    <n v="0"/>
    <m/>
    <n v="0"/>
    <m/>
    <n v="8302419"/>
    <n v="8343168"/>
    <n v="0"/>
    <n v="0"/>
    <n v="0"/>
    <n v="0"/>
    <n v="0"/>
    <n v="0"/>
    <n v="0"/>
    <n v="0"/>
    <n v="0"/>
    <n v="0"/>
    <n v="1379"/>
    <n v="1392"/>
    <n v="0"/>
    <n v="0"/>
    <n v="0"/>
    <n v="0"/>
    <n v="0"/>
    <n v="0"/>
    <n v="0"/>
    <n v="0"/>
    <n v="0"/>
    <n v="0"/>
    <n v="6020.6084118926756"/>
    <n v="5993.6551724137935"/>
    <n v="0"/>
    <n v="0"/>
    <n v="0"/>
    <n v="0"/>
    <n v="0"/>
    <n v="0"/>
    <n v="0"/>
    <n v="0"/>
    <n v="0"/>
    <n v="0"/>
    <n v="54185.475707034078"/>
    <n v="53942.896551724145"/>
    <n v="54185.475707034078"/>
    <n v="53942.896551724145"/>
    <n v="0"/>
    <n v="0"/>
    <n v="0"/>
    <n v="0"/>
    <n v="0"/>
    <n v="0"/>
    <n v="0"/>
    <n v="0"/>
    <n v="0"/>
    <n v="0"/>
    <n v="153"/>
    <n v="154"/>
    <n v="153"/>
    <n v="154"/>
    <n v="0"/>
    <n v="0"/>
    <n v="0"/>
    <n v="0"/>
    <n v="0"/>
    <n v="0"/>
    <n v="0"/>
    <n v="0"/>
    <n v="0"/>
    <n v="0"/>
    <n v="8290377.7831762144"/>
    <n v="8307206.0689655179"/>
    <n v="8290377.7831762144"/>
    <n v="8307206.0689655179"/>
  </r>
  <r>
    <x v="0"/>
    <s v="Jefferson State Community College"/>
    <m/>
    <n v="101505"/>
    <x v="6"/>
    <m/>
    <m/>
    <m/>
    <m/>
    <m/>
    <m/>
    <m/>
    <m/>
    <m/>
    <m/>
    <m/>
    <m/>
    <m/>
    <m/>
    <m/>
    <m/>
    <m/>
    <m/>
    <m/>
    <m/>
    <m/>
    <m/>
    <m/>
    <m/>
    <m/>
    <m/>
    <m/>
    <m/>
    <m/>
    <m/>
    <m/>
    <m/>
    <m/>
    <m/>
    <m/>
    <m/>
    <m/>
    <m/>
    <m/>
    <m/>
    <n v="120"/>
    <n v="129"/>
    <m/>
    <m/>
    <n v="12"/>
    <m/>
    <m/>
    <n v="15"/>
    <n v="0"/>
    <m/>
    <n v="0"/>
    <m/>
    <n v="0"/>
    <m/>
    <n v="0"/>
    <m/>
    <n v="0"/>
    <m/>
    <n v="7267396"/>
    <n v="8245093"/>
    <n v="0"/>
    <n v="0"/>
    <n v="0"/>
    <n v="0"/>
    <n v="0"/>
    <n v="0"/>
    <n v="0"/>
    <n v="0"/>
    <n v="0"/>
    <n v="0"/>
    <n v="1212"/>
    <n v="1341"/>
    <n v="0"/>
    <n v="0"/>
    <n v="0"/>
    <n v="0"/>
    <n v="0"/>
    <n v="0"/>
    <n v="0"/>
    <n v="0"/>
    <n v="0"/>
    <n v="0"/>
    <n v="5996.2013201320133"/>
    <n v="6148.4660700969425"/>
    <n v="0"/>
    <n v="0"/>
    <n v="0"/>
    <n v="0"/>
    <n v="0"/>
    <n v="0"/>
    <n v="0"/>
    <n v="0"/>
    <n v="0"/>
    <n v="0"/>
    <n v="53965.811881188121"/>
    <n v="55336.19463087248"/>
    <n v="53965.811881188121"/>
    <n v="55336.19463087248"/>
    <n v="0"/>
    <n v="0"/>
    <n v="0"/>
    <n v="0"/>
    <n v="0"/>
    <n v="0"/>
    <n v="0"/>
    <n v="0"/>
    <n v="0"/>
    <n v="0"/>
    <n v="132"/>
    <n v="144"/>
    <n v="132"/>
    <n v="144"/>
    <n v="0"/>
    <n v="0"/>
    <n v="0"/>
    <n v="0"/>
    <n v="0"/>
    <n v="0"/>
    <n v="0"/>
    <n v="0"/>
    <n v="0"/>
    <n v="0"/>
    <n v="7123487.1683168318"/>
    <n v="7968412.0268456368"/>
    <n v="7123487.1683168318"/>
    <n v="7968412.0268456368"/>
  </r>
  <r>
    <x v="0"/>
    <s v="John C. Calhoun State Community College "/>
    <m/>
    <n v="101514"/>
    <x v="6"/>
    <m/>
    <m/>
    <m/>
    <m/>
    <m/>
    <m/>
    <m/>
    <m/>
    <m/>
    <m/>
    <m/>
    <m/>
    <m/>
    <m/>
    <m/>
    <m/>
    <m/>
    <m/>
    <m/>
    <m/>
    <m/>
    <m/>
    <m/>
    <m/>
    <m/>
    <m/>
    <m/>
    <m/>
    <m/>
    <m/>
    <m/>
    <m/>
    <m/>
    <m/>
    <m/>
    <m/>
    <m/>
    <m/>
    <m/>
    <m/>
    <n v="147"/>
    <n v="93"/>
    <m/>
    <m/>
    <n v="1"/>
    <m/>
    <m/>
    <n v="0"/>
    <n v="0"/>
    <m/>
    <n v="0"/>
    <m/>
    <n v="0"/>
    <m/>
    <n v="0"/>
    <m/>
    <n v="0"/>
    <m/>
    <n v="8041351"/>
    <n v="7541316"/>
    <n v="0"/>
    <n v="0"/>
    <n v="0"/>
    <n v="0"/>
    <n v="0"/>
    <n v="0"/>
    <n v="0"/>
    <n v="0"/>
    <n v="0"/>
    <n v="0"/>
    <n v="1334"/>
    <n v="837"/>
    <n v="0"/>
    <n v="0"/>
    <n v="0"/>
    <n v="0"/>
    <n v="0"/>
    <n v="0"/>
    <n v="0"/>
    <n v="0"/>
    <n v="0"/>
    <n v="0"/>
    <n v="6027.9992503748126"/>
    <n v="9009.9354838709678"/>
    <n v="0"/>
    <n v="0"/>
    <n v="0"/>
    <n v="0"/>
    <n v="0"/>
    <n v="0"/>
    <n v="0"/>
    <n v="0"/>
    <n v="0"/>
    <n v="0"/>
    <n v="54251.993253373315"/>
    <n v="81089.419354838712"/>
    <n v="54251.993253373315"/>
    <n v="81089.419354838712"/>
    <n v="0"/>
    <n v="0"/>
    <n v="0"/>
    <n v="0"/>
    <n v="0"/>
    <n v="0"/>
    <n v="0"/>
    <n v="0"/>
    <n v="0"/>
    <n v="0"/>
    <n v="148"/>
    <n v="93"/>
    <n v="148"/>
    <n v="93"/>
    <n v="0"/>
    <n v="0"/>
    <n v="0"/>
    <n v="0"/>
    <n v="0"/>
    <n v="0"/>
    <n v="0"/>
    <n v="0"/>
    <n v="0"/>
    <n v="0"/>
    <n v="8029295.0014992505"/>
    <n v="7541316"/>
    <n v="8029295.0014992505"/>
    <n v="7541316"/>
  </r>
  <r>
    <x v="0"/>
    <s v="Wallace Community College - Hanceville"/>
    <s v="Met the criteria for Two-Year 2 in 2012-13."/>
    <n v="101295"/>
    <x v="6"/>
    <m/>
    <m/>
    <m/>
    <m/>
    <m/>
    <m/>
    <m/>
    <m/>
    <m/>
    <m/>
    <m/>
    <m/>
    <m/>
    <m/>
    <m/>
    <m/>
    <m/>
    <m/>
    <m/>
    <m/>
    <m/>
    <m/>
    <m/>
    <m/>
    <m/>
    <m/>
    <m/>
    <m/>
    <m/>
    <m/>
    <m/>
    <m/>
    <m/>
    <m/>
    <m/>
    <m/>
    <m/>
    <m/>
    <m/>
    <m/>
    <n v="122"/>
    <n v="125"/>
    <m/>
    <m/>
    <n v="5"/>
    <m/>
    <m/>
    <n v="1"/>
    <n v="0"/>
    <m/>
    <n v="0"/>
    <m/>
    <n v="0"/>
    <m/>
    <n v="0"/>
    <m/>
    <n v="0"/>
    <m/>
    <n v="6659274"/>
    <n v="6753048"/>
    <n v="0"/>
    <n v="0"/>
    <n v="0"/>
    <n v="0"/>
    <n v="0"/>
    <n v="0"/>
    <n v="0"/>
    <n v="0"/>
    <n v="0"/>
    <n v="0"/>
    <n v="1153"/>
    <n v="1137"/>
    <n v="0"/>
    <n v="0"/>
    <n v="0"/>
    <n v="0"/>
    <n v="0"/>
    <n v="0"/>
    <n v="0"/>
    <n v="0"/>
    <n v="0"/>
    <n v="0"/>
    <n v="5775.6062445793586"/>
    <n v="5939.3562005277045"/>
    <n v="0"/>
    <n v="0"/>
    <n v="0"/>
    <n v="0"/>
    <n v="0"/>
    <n v="0"/>
    <n v="0"/>
    <n v="0"/>
    <n v="0"/>
    <n v="0"/>
    <n v="51980.456201214227"/>
    <n v="53454.205804749341"/>
    <n v="51980.456201214227"/>
    <n v="53454.205804749341"/>
    <n v="0"/>
    <n v="0"/>
    <n v="0"/>
    <n v="0"/>
    <n v="0"/>
    <n v="0"/>
    <n v="0"/>
    <n v="0"/>
    <n v="0"/>
    <n v="0"/>
    <n v="127"/>
    <n v="126"/>
    <n v="127"/>
    <n v="126"/>
    <n v="0"/>
    <n v="0"/>
    <n v="0"/>
    <n v="0"/>
    <n v="0"/>
    <n v="0"/>
    <n v="0"/>
    <n v="0"/>
    <n v="0"/>
    <n v="0"/>
    <n v="6601517.9375542067"/>
    <n v="6735229.9313984169"/>
    <n v="6601517.9375542067"/>
    <n v="6735229.9313984169"/>
  </r>
  <r>
    <x v="0"/>
    <s v="Bevill State Community College"/>
    <m/>
    <n v="102429"/>
    <x v="7"/>
    <m/>
    <m/>
    <m/>
    <m/>
    <m/>
    <m/>
    <m/>
    <m/>
    <m/>
    <m/>
    <m/>
    <m/>
    <m/>
    <m/>
    <m/>
    <m/>
    <m/>
    <m/>
    <m/>
    <m/>
    <m/>
    <m/>
    <m/>
    <m/>
    <m/>
    <m/>
    <m/>
    <m/>
    <m/>
    <m/>
    <m/>
    <m/>
    <m/>
    <m/>
    <m/>
    <m/>
    <m/>
    <m/>
    <m/>
    <m/>
    <n v="114"/>
    <n v="114"/>
    <m/>
    <m/>
    <n v="1"/>
    <m/>
    <m/>
    <n v="0"/>
    <n v="0"/>
    <m/>
    <n v="0"/>
    <m/>
    <n v="0"/>
    <m/>
    <n v="0"/>
    <m/>
    <n v="0"/>
    <m/>
    <n v="6245104"/>
    <n v="6282971"/>
    <n v="0"/>
    <n v="0"/>
    <n v="0"/>
    <n v="0"/>
    <n v="0"/>
    <n v="0"/>
    <n v="0"/>
    <n v="0"/>
    <n v="0"/>
    <n v="0"/>
    <n v="1037"/>
    <n v="1026"/>
    <n v="0"/>
    <n v="0"/>
    <n v="0"/>
    <n v="0"/>
    <n v="0"/>
    <n v="0"/>
    <n v="0"/>
    <n v="0"/>
    <n v="0"/>
    <n v="0"/>
    <n v="6022.2796528447443"/>
    <n v="6123.7534113060428"/>
    <n v="0"/>
    <n v="0"/>
    <n v="0"/>
    <n v="0"/>
    <n v="0"/>
    <n v="0"/>
    <n v="0"/>
    <n v="0"/>
    <n v="0"/>
    <n v="0"/>
    <n v="54200.516875602698"/>
    <n v="55113.780701754382"/>
    <n v="54200.516875602705"/>
    <n v="55113.780701754389"/>
    <n v="0"/>
    <n v="0"/>
    <n v="0"/>
    <n v="0"/>
    <n v="0"/>
    <n v="0"/>
    <n v="0"/>
    <n v="0"/>
    <n v="0"/>
    <n v="0"/>
    <n v="115"/>
    <n v="114"/>
    <n v="115"/>
    <n v="114"/>
    <n v="0"/>
    <n v="0"/>
    <n v="0"/>
    <n v="0"/>
    <n v="0"/>
    <n v="0"/>
    <n v="0"/>
    <n v="0"/>
    <n v="0"/>
    <n v="0"/>
    <n v="6233059.4406943107"/>
    <n v="6282971"/>
    <n v="6233059.4406943107"/>
    <n v="6282971"/>
  </r>
  <r>
    <x v="0"/>
    <s v="Bishop State Community College"/>
    <m/>
    <n v="102030"/>
    <x v="7"/>
    <m/>
    <m/>
    <m/>
    <m/>
    <m/>
    <m/>
    <m/>
    <m/>
    <m/>
    <m/>
    <m/>
    <m/>
    <m/>
    <m/>
    <m/>
    <m/>
    <m/>
    <m/>
    <m/>
    <m/>
    <m/>
    <m/>
    <m/>
    <m/>
    <m/>
    <m/>
    <m/>
    <m/>
    <m/>
    <m/>
    <m/>
    <m/>
    <m/>
    <m/>
    <m/>
    <m/>
    <m/>
    <m/>
    <m/>
    <m/>
    <n v="80"/>
    <n v="82"/>
    <m/>
    <m/>
    <n v="6"/>
    <m/>
    <m/>
    <n v="0"/>
    <n v="0"/>
    <m/>
    <n v="0"/>
    <m/>
    <n v="0"/>
    <m/>
    <n v="0"/>
    <m/>
    <n v="0"/>
    <m/>
    <n v="4691204"/>
    <n v="4557075"/>
    <n v="0"/>
    <n v="0"/>
    <n v="0"/>
    <n v="0"/>
    <n v="0"/>
    <n v="0"/>
    <n v="0"/>
    <n v="0"/>
    <n v="0"/>
    <n v="0"/>
    <n v="786"/>
    <n v="738"/>
    <n v="0"/>
    <n v="0"/>
    <n v="0"/>
    <n v="0"/>
    <n v="0"/>
    <n v="0"/>
    <n v="0"/>
    <n v="0"/>
    <n v="0"/>
    <n v="0"/>
    <n v="5968.4529262086517"/>
    <n v="6174.8983739837395"/>
    <n v="0"/>
    <n v="0"/>
    <n v="0"/>
    <n v="0"/>
    <n v="0"/>
    <n v="0"/>
    <n v="0"/>
    <n v="0"/>
    <n v="0"/>
    <n v="0"/>
    <n v="53716.076335877864"/>
    <n v="55574.085365853658"/>
    <n v="53716.076335877864"/>
    <n v="55574.085365853658"/>
    <n v="0"/>
    <n v="0"/>
    <n v="0"/>
    <n v="0"/>
    <n v="0"/>
    <n v="0"/>
    <n v="0"/>
    <n v="0"/>
    <n v="0"/>
    <n v="0"/>
    <n v="86"/>
    <n v="82"/>
    <n v="86"/>
    <n v="82"/>
    <n v="0"/>
    <n v="0"/>
    <n v="0"/>
    <n v="0"/>
    <n v="0"/>
    <n v="0"/>
    <n v="0"/>
    <n v="0"/>
    <n v="0"/>
    <n v="0"/>
    <n v="4619582.5648854962"/>
    <n v="4557075"/>
    <n v="4619582.5648854962"/>
    <n v="4557075"/>
  </r>
  <r>
    <x v="0"/>
    <s v="Central Alabama Community College"/>
    <s v="Met the criteria for Two-Year 3 in 2012-13."/>
    <n v="100760"/>
    <x v="7"/>
    <m/>
    <m/>
    <m/>
    <m/>
    <m/>
    <m/>
    <m/>
    <m/>
    <m/>
    <m/>
    <m/>
    <m/>
    <m/>
    <m/>
    <m/>
    <m/>
    <m/>
    <m/>
    <m/>
    <m/>
    <m/>
    <m/>
    <m/>
    <m/>
    <m/>
    <m/>
    <m/>
    <m/>
    <m/>
    <m/>
    <m/>
    <m/>
    <m/>
    <m/>
    <m/>
    <m/>
    <m/>
    <m/>
    <m/>
    <m/>
    <n v="55"/>
    <n v="57"/>
    <m/>
    <m/>
    <n v="7"/>
    <m/>
    <m/>
    <n v="0"/>
    <n v="0"/>
    <m/>
    <n v="0"/>
    <m/>
    <n v="0"/>
    <m/>
    <n v="0"/>
    <m/>
    <n v="0"/>
    <m/>
    <n v="3315117"/>
    <n v="3003714"/>
    <n v="0"/>
    <n v="0"/>
    <n v="0"/>
    <n v="0"/>
    <n v="0"/>
    <n v="0"/>
    <n v="0"/>
    <n v="0"/>
    <n v="0"/>
    <n v="0"/>
    <n v="572"/>
    <n v="513"/>
    <n v="0"/>
    <n v="0"/>
    <n v="0"/>
    <n v="0"/>
    <n v="0"/>
    <n v="0"/>
    <n v="0"/>
    <n v="0"/>
    <n v="0"/>
    <n v="0"/>
    <n v="5795.659090909091"/>
    <n v="5855.1929824561403"/>
    <n v="0"/>
    <n v="0"/>
    <n v="0"/>
    <n v="0"/>
    <n v="0"/>
    <n v="0"/>
    <n v="0"/>
    <n v="0"/>
    <n v="0"/>
    <n v="0"/>
    <n v="52160.931818181816"/>
    <n v="52696.73684210526"/>
    <n v="52160.931818181816"/>
    <n v="52696.73684210526"/>
    <n v="0"/>
    <n v="0"/>
    <n v="0"/>
    <n v="0"/>
    <n v="0"/>
    <n v="0"/>
    <n v="0"/>
    <n v="0"/>
    <n v="0"/>
    <n v="0"/>
    <n v="62"/>
    <n v="57"/>
    <n v="62"/>
    <n v="57"/>
    <n v="0"/>
    <n v="0"/>
    <n v="0"/>
    <n v="0"/>
    <n v="0"/>
    <n v="0"/>
    <n v="0"/>
    <n v="0"/>
    <n v="0"/>
    <n v="0"/>
    <n v="3233977.7727272725"/>
    <n v="3003714"/>
    <n v="3233977.7727272725"/>
    <n v="3003714"/>
  </r>
  <r>
    <x v="0"/>
    <s v="Enterprise-Ozark Community College"/>
    <m/>
    <n v="101143"/>
    <x v="7"/>
    <m/>
    <m/>
    <m/>
    <m/>
    <m/>
    <m/>
    <m/>
    <m/>
    <m/>
    <m/>
    <m/>
    <m/>
    <m/>
    <m/>
    <m/>
    <m/>
    <m/>
    <m/>
    <m/>
    <m/>
    <m/>
    <m/>
    <m/>
    <m/>
    <m/>
    <m/>
    <m/>
    <m/>
    <m/>
    <m/>
    <m/>
    <m/>
    <m/>
    <m/>
    <m/>
    <m/>
    <m/>
    <m/>
    <m/>
    <m/>
    <n v="65"/>
    <n v="69"/>
    <m/>
    <m/>
    <n v="2"/>
    <m/>
    <m/>
    <n v="2"/>
    <n v="0"/>
    <m/>
    <n v="0"/>
    <m/>
    <n v="0"/>
    <m/>
    <n v="0"/>
    <m/>
    <n v="0"/>
    <m/>
    <n v="3462622"/>
    <n v="3924862"/>
    <n v="0"/>
    <n v="0"/>
    <n v="0"/>
    <n v="0"/>
    <n v="0"/>
    <n v="0"/>
    <n v="0"/>
    <n v="0"/>
    <n v="0"/>
    <n v="0"/>
    <n v="607"/>
    <n v="645"/>
    <n v="0"/>
    <n v="0"/>
    <n v="0"/>
    <n v="0"/>
    <n v="0"/>
    <n v="0"/>
    <n v="0"/>
    <n v="0"/>
    <n v="0"/>
    <n v="0"/>
    <n v="5704.4843492586488"/>
    <n v="6085.0573643410853"/>
    <n v="0"/>
    <n v="0"/>
    <n v="0"/>
    <n v="0"/>
    <n v="0"/>
    <n v="0"/>
    <n v="0"/>
    <n v="0"/>
    <n v="0"/>
    <n v="0"/>
    <n v="51340.359143327842"/>
    <n v="54765.516279069765"/>
    <n v="51340.359143327842"/>
    <n v="54765.516279069765"/>
    <n v="0"/>
    <n v="0"/>
    <n v="0"/>
    <n v="0"/>
    <n v="0"/>
    <n v="0"/>
    <n v="0"/>
    <n v="0"/>
    <n v="0"/>
    <n v="0"/>
    <n v="67"/>
    <n v="71"/>
    <n v="67"/>
    <n v="71"/>
    <n v="0"/>
    <n v="0"/>
    <n v="0"/>
    <n v="0"/>
    <n v="0"/>
    <n v="0"/>
    <n v="0"/>
    <n v="0"/>
    <n v="0"/>
    <n v="0"/>
    <n v="3439804.0626029652"/>
    <n v="3888351.6558139534"/>
    <n v="3439804.0626029652"/>
    <n v="3888351.6558139534"/>
  </r>
  <r>
    <x v="0"/>
    <s v="George C. Wallace State Community College - Dothan"/>
    <m/>
    <n v="101286"/>
    <x v="7"/>
    <m/>
    <m/>
    <m/>
    <m/>
    <m/>
    <m/>
    <m/>
    <m/>
    <m/>
    <m/>
    <m/>
    <m/>
    <m/>
    <m/>
    <m/>
    <m/>
    <m/>
    <m/>
    <m/>
    <m/>
    <m/>
    <m/>
    <m/>
    <m/>
    <m/>
    <m/>
    <m/>
    <m/>
    <m/>
    <m/>
    <m/>
    <m/>
    <m/>
    <m/>
    <m/>
    <m/>
    <m/>
    <m/>
    <m/>
    <m/>
    <n v="126"/>
    <n v="128"/>
    <m/>
    <m/>
    <n v="2"/>
    <m/>
    <m/>
    <n v="1"/>
    <n v="0"/>
    <m/>
    <n v="0"/>
    <m/>
    <n v="0"/>
    <m/>
    <n v="0"/>
    <m/>
    <n v="0"/>
    <m/>
    <n v="6495590"/>
    <n v="6512615"/>
    <n v="0"/>
    <n v="0"/>
    <n v="0"/>
    <n v="0"/>
    <n v="0"/>
    <n v="0"/>
    <n v="0"/>
    <n v="0"/>
    <n v="0"/>
    <n v="0"/>
    <n v="1156"/>
    <n v="1164"/>
    <n v="0"/>
    <n v="0"/>
    <n v="0"/>
    <n v="0"/>
    <n v="0"/>
    <n v="0"/>
    <n v="0"/>
    <n v="0"/>
    <n v="0"/>
    <n v="0"/>
    <n v="5619.0224913494812"/>
    <n v="5595.0300687285226"/>
    <n v="0"/>
    <n v="0"/>
    <n v="0"/>
    <n v="0"/>
    <n v="0"/>
    <n v="0"/>
    <n v="0"/>
    <n v="0"/>
    <n v="0"/>
    <n v="0"/>
    <n v="50571.202422145332"/>
    <n v="50355.2706185567"/>
    <n v="50571.202422145332"/>
    <n v="50355.2706185567"/>
    <n v="0"/>
    <n v="0"/>
    <n v="0"/>
    <n v="0"/>
    <n v="0"/>
    <n v="0"/>
    <n v="0"/>
    <n v="0"/>
    <n v="0"/>
    <n v="0"/>
    <n v="128"/>
    <n v="129"/>
    <n v="128"/>
    <n v="129"/>
    <n v="0"/>
    <n v="0"/>
    <n v="0"/>
    <n v="0"/>
    <n v="0"/>
    <n v="0"/>
    <n v="0"/>
    <n v="0"/>
    <n v="0"/>
    <n v="0"/>
    <n v="6473113.9100346025"/>
    <n v="6495829.9097938146"/>
    <n v="6473113.9100346025"/>
    <n v="6495829.9097938146"/>
  </r>
  <r>
    <x v="0"/>
    <s v="James H. Faulkner State Community College"/>
    <m/>
    <n v="101161"/>
    <x v="7"/>
    <m/>
    <m/>
    <m/>
    <m/>
    <m/>
    <m/>
    <m/>
    <m/>
    <m/>
    <m/>
    <m/>
    <m/>
    <m/>
    <m/>
    <m/>
    <m/>
    <m/>
    <m/>
    <m/>
    <m/>
    <m/>
    <m/>
    <m/>
    <m/>
    <m/>
    <m/>
    <m/>
    <m/>
    <m/>
    <m/>
    <m/>
    <m/>
    <m/>
    <m/>
    <m/>
    <m/>
    <m/>
    <m/>
    <m/>
    <m/>
    <n v="62"/>
    <n v="63"/>
    <m/>
    <m/>
    <n v="12"/>
    <m/>
    <m/>
    <n v="15"/>
    <n v="0"/>
    <m/>
    <n v="0"/>
    <m/>
    <n v="0"/>
    <m/>
    <n v="0"/>
    <m/>
    <n v="0"/>
    <m/>
    <n v="4191771"/>
    <n v="4541958"/>
    <n v="0"/>
    <n v="0"/>
    <n v="0"/>
    <n v="0"/>
    <n v="0"/>
    <n v="0"/>
    <n v="0"/>
    <n v="0"/>
    <n v="0"/>
    <n v="0"/>
    <n v="690"/>
    <n v="747"/>
    <n v="0"/>
    <n v="0"/>
    <n v="0"/>
    <n v="0"/>
    <n v="0"/>
    <n v="0"/>
    <n v="0"/>
    <n v="0"/>
    <n v="0"/>
    <n v="0"/>
    <n v="6075.0304347826086"/>
    <n v="6080.265060240964"/>
    <n v="0"/>
    <n v="0"/>
    <n v="0"/>
    <n v="0"/>
    <n v="0"/>
    <n v="0"/>
    <n v="0"/>
    <n v="0"/>
    <n v="0"/>
    <n v="0"/>
    <n v="54675.273913043478"/>
    <n v="54722.385542168675"/>
    <n v="54675.273913043478"/>
    <n v="54722.385542168675"/>
    <n v="0"/>
    <n v="0"/>
    <n v="0"/>
    <n v="0"/>
    <n v="0"/>
    <n v="0"/>
    <n v="0"/>
    <n v="0"/>
    <n v="0"/>
    <n v="0"/>
    <n v="74"/>
    <n v="78"/>
    <n v="74"/>
    <n v="78"/>
    <n v="0"/>
    <n v="0"/>
    <n v="0"/>
    <n v="0"/>
    <n v="0"/>
    <n v="0"/>
    <n v="0"/>
    <n v="0"/>
    <n v="0"/>
    <n v="0"/>
    <n v="4045970.2695652172"/>
    <n v="4268346.0722891567"/>
    <n v="4045970.2695652172"/>
    <n v="4268346.0722891567"/>
  </r>
  <r>
    <x v="0"/>
    <s v="Lawson State Community College "/>
    <m/>
    <n v="101569"/>
    <x v="7"/>
    <m/>
    <m/>
    <m/>
    <m/>
    <m/>
    <m/>
    <m/>
    <m/>
    <m/>
    <m/>
    <m/>
    <m/>
    <m/>
    <m/>
    <m/>
    <m/>
    <m/>
    <m/>
    <m/>
    <m/>
    <m/>
    <m/>
    <m/>
    <m/>
    <m/>
    <m/>
    <m/>
    <m/>
    <m/>
    <m/>
    <m/>
    <m/>
    <m/>
    <m/>
    <m/>
    <m/>
    <m/>
    <m/>
    <m/>
    <m/>
    <n v="95"/>
    <n v="86"/>
    <m/>
    <m/>
    <m/>
    <m/>
    <m/>
    <n v="1"/>
    <n v="0"/>
    <m/>
    <n v="0"/>
    <m/>
    <n v="0"/>
    <m/>
    <n v="0"/>
    <m/>
    <n v="0"/>
    <m/>
    <n v="5151240"/>
    <n v="4693105"/>
    <n v="0"/>
    <n v="0"/>
    <n v="0"/>
    <n v="0"/>
    <n v="0"/>
    <n v="0"/>
    <n v="0"/>
    <n v="0"/>
    <n v="0"/>
    <n v="0"/>
    <n v="855"/>
    <n v="786"/>
    <n v="0"/>
    <n v="0"/>
    <n v="0"/>
    <n v="0"/>
    <n v="0"/>
    <n v="0"/>
    <n v="0"/>
    <n v="0"/>
    <n v="0"/>
    <n v="0"/>
    <n v="6024.8421052631575"/>
    <n v="5970.871501272265"/>
    <n v="0"/>
    <n v="0"/>
    <n v="0"/>
    <n v="0"/>
    <n v="0"/>
    <n v="0"/>
    <n v="0"/>
    <n v="0"/>
    <n v="0"/>
    <n v="0"/>
    <n v="54223.57894736842"/>
    <n v="53737.843511450388"/>
    <n v="54223.57894736842"/>
    <n v="53737.843511450395"/>
    <n v="0"/>
    <n v="0"/>
    <n v="0"/>
    <n v="0"/>
    <n v="0"/>
    <n v="0"/>
    <n v="0"/>
    <n v="0"/>
    <n v="0"/>
    <n v="0"/>
    <n v="95"/>
    <n v="87"/>
    <n v="95"/>
    <n v="87"/>
    <n v="0"/>
    <n v="0"/>
    <n v="0"/>
    <n v="0"/>
    <n v="0"/>
    <n v="0"/>
    <n v="0"/>
    <n v="0"/>
    <n v="0"/>
    <n v="0"/>
    <n v="5151240"/>
    <n v="4675192.3854961842"/>
    <n v="5151240"/>
    <n v="4675192.3854961842"/>
  </r>
  <r>
    <x v="0"/>
    <s v="Northeast Alabama State Community College "/>
    <m/>
    <n v="101897"/>
    <x v="7"/>
    <m/>
    <m/>
    <m/>
    <m/>
    <m/>
    <m/>
    <m/>
    <m/>
    <m/>
    <m/>
    <m/>
    <m/>
    <m/>
    <m/>
    <m/>
    <m/>
    <m/>
    <m/>
    <m/>
    <m/>
    <m/>
    <m/>
    <m/>
    <m/>
    <m/>
    <m/>
    <m/>
    <m/>
    <m/>
    <m/>
    <m/>
    <m/>
    <m/>
    <m/>
    <m/>
    <m/>
    <m/>
    <m/>
    <m/>
    <m/>
    <n v="45"/>
    <n v="5"/>
    <m/>
    <m/>
    <n v="12"/>
    <m/>
    <m/>
    <n v="50"/>
    <n v="0"/>
    <m/>
    <n v="0"/>
    <m/>
    <n v="0"/>
    <m/>
    <n v="0"/>
    <m/>
    <n v="0"/>
    <m/>
    <n v="3312285"/>
    <n v="3170064"/>
    <n v="0"/>
    <n v="0"/>
    <n v="0"/>
    <n v="0"/>
    <n v="0"/>
    <n v="0"/>
    <n v="0"/>
    <n v="0"/>
    <n v="0"/>
    <n v="0"/>
    <n v="537"/>
    <n v="645"/>
    <n v="0"/>
    <n v="0"/>
    <n v="0"/>
    <n v="0"/>
    <n v="0"/>
    <n v="0"/>
    <n v="0"/>
    <n v="0"/>
    <n v="0"/>
    <n v="0"/>
    <n v="6168.1284916201121"/>
    <n v="4914.8279069767441"/>
    <n v="0"/>
    <n v="0"/>
    <n v="0"/>
    <n v="0"/>
    <n v="0"/>
    <n v="0"/>
    <n v="0"/>
    <n v="0"/>
    <n v="0"/>
    <n v="0"/>
    <n v="55513.156424581008"/>
    <n v="44233.451162790698"/>
    <n v="55513.156424581008"/>
    <n v="44233.451162790705"/>
    <n v="0"/>
    <n v="0"/>
    <n v="0"/>
    <n v="0"/>
    <n v="0"/>
    <n v="0"/>
    <n v="0"/>
    <n v="0"/>
    <n v="0"/>
    <n v="0"/>
    <n v="57"/>
    <n v="55"/>
    <n v="57"/>
    <n v="55"/>
    <n v="0"/>
    <n v="0"/>
    <n v="0"/>
    <n v="0"/>
    <n v="0"/>
    <n v="0"/>
    <n v="0"/>
    <n v="0"/>
    <n v="0"/>
    <n v="0"/>
    <n v="3164249.9162011174"/>
    <n v="2432839.8139534886"/>
    <n v="3164249.9162011174"/>
    <n v="2432839.8139534886"/>
  </r>
  <r>
    <x v="0"/>
    <s v="Northwest-Shoals Community College"/>
    <m/>
    <n v="101736"/>
    <x v="7"/>
    <m/>
    <m/>
    <m/>
    <m/>
    <m/>
    <m/>
    <m/>
    <m/>
    <m/>
    <m/>
    <m/>
    <m/>
    <m/>
    <m/>
    <m/>
    <m/>
    <m/>
    <m/>
    <m/>
    <m/>
    <m/>
    <m/>
    <m/>
    <m/>
    <m/>
    <m/>
    <m/>
    <m/>
    <m/>
    <m/>
    <m/>
    <m/>
    <m/>
    <m/>
    <m/>
    <m/>
    <m/>
    <m/>
    <m/>
    <m/>
    <n v="74"/>
    <n v="74"/>
    <m/>
    <m/>
    <n v="7"/>
    <m/>
    <m/>
    <n v="1"/>
    <n v="0"/>
    <m/>
    <n v="0"/>
    <m/>
    <n v="0"/>
    <m/>
    <n v="0"/>
    <m/>
    <n v="0"/>
    <m/>
    <n v="4429877"/>
    <n v="4087677"/>
    <n v="0"/>
    <n v="0"/>
    <n v="0"/>
    <n v="0"/>
    <n v="0"/>
    <n v="0"/>
    <n v="0"/>
    <n v="0"/>
    <n v="0"/>
    <n v="0"/>
    <n v="743"/>
    <n v="678"/>
    <n v="0"/>
    <n v="0"/>
    <n v="0"/>
    <n v="0"/>
    <n v="0"/>
    <n v="0"/>
    <n v="0"/>
    <n v="0"/>
    <n v="0"/>
    <n v="0"/>
    <n v="5962.1493943472406"/>
    <n v="6029.0221238938057"/>
    <n v="0"/>
    <n v="0"/>
    <n v="0"/>
    <n v="0"/>
    <n v="0"/>
    <n v="0"/>
    <n v="0"/>
    <n v="0"/>
    <n v="0"/>
    <n v="0"/>
    <n v="53659.344549125162"/>
    <n v="54261.199115044248"/>
    <n v="53659.344549125162"/>
    <n v="54261.199115044248"/>
    <n v="0"/>
    <n v="0"/>
    <n v="0"/>
    <n v="0"/>
    <n v="0"/>
    <n v="0"/>
    <n v="0"/>
    <n v="0"/>
    <n v="0"/>
    <n v="0"/>
    <n v="81"/>
    <n v="75"/>
    <n v="81"/>
    <n v="75"/>
    <n v="0"/>
    <n v="0"/>
    <n v="0"/>
    <n v="0"/>
    <n v="0"/>
    <n v="0"/>
    <n v="0"/>
    <n v="0"/>
    <n v="0"/>
    <n v="0"/>
    <n v="4346406.9084791383"/>
    <n v="4069589.9336283188"/>
    <n v="4346406.9084791383"/>
    <n v="4069589.9336283188"/>
  </r>
  <r>
    <x v="0"/>
    <s v="Shelton State Community College"/>
    <m/>
    <n v="102067"/>
    <x v="7"/>
    <m/>
    <m/>
    <m/>
    <m/>
    <m/>
    <m/>
    <m/>
    <m/>
    <m/>
    <m/>
    <m/>
    <m/>
    <m/>
    <m/>
    <m/>
    <m/>
    <m/>
    <m/>
    <m/>
    <m/>
    <m/>
    <m/>
    <m/>
    <m/>
    <m/>
    <m/>
    <m/>
    <m/>
    <m/>
    <m/>
    <m/>
    <m/>
    <m/>
    <m/>
    <m/>
    <m/>
    <m/>
    <m/>
    <m/>
    <m/>
    <n v="85"/>
    <n v="2"/>
    <m/>
    <m/>
    <n v="6"/>
    <m/>
    <m/>
    <n v="95"/>
    <n v="0"/>
    <m/>
    <n v="0"/>
    <m/>
    <n v="0"/>
    <m/>
    <n v="0"/>
    <m/>
    <n v="0"/>
    <m/>
    <n v="4958680"/>
    <n v="5164035"/>
    <n v="0"/>
    <n v="0"/>
    <n v="0"/>
    <n v="0"/>
    <n v="0"/>
    <n v="0"/>
    <n v="0"/>
    <n v="0"/>
    <n v="0"/>
    <n v="0"/>
    <n v="831"/>
    <n v="1158"/>
    <n v="0"/>
    <n v="0"/>
    <n v="0"/>
    <n v="0"/>
    <n v="0"/>
    <n v="0"/>
    <n v="0"/>
    <n v="0"/>
    <n v="0"/>
    <n v="0"/>
    <n v="5967.1239470517448"/>
    <n v="4459.443005181347"/>
    <n v="0"/>
    <n v="0"/>
    <n v="0"/>
    <n v="0"/>
    <n v="0"/>
    <n v="0"/>
    <n v="0"/>
    <n v="0"/>
    <n v="0"/>
    <n v="0"/>
    <n v="53704.115523465705"/>
    <n v="40134.987046632123"/>
    <n v="53704.115523465705"/>
    <n v="40134.987046632123"/>
    <n v="0"/>
    <n v="0"/>
    <n v="0"/>
    <n v="0"/>
    <n v="0"/>
    <n v="0"/>
    <n v="0"/>
    <n v="0"/>
    <n v="0"/>
    <n v="0"/>
    <n v="91"/>
    <n v="97"/>
    <n v="91"/>
    <n v="97"/>
    <n v="0"/>
    <n v="0"/>
    <n v="0"/>
    <n v="0"/>
    <n v="0"/>
    <n v="0"/>
    <n v="0"/>
    <n v="0"/>
    <n v="0"/>
    <n v="0"/>
    <n v="4887074.5126353791"/>
    <n v="3893093.743523316"/>
    <n v="4887074.5126353791"/>
    <n v="3893093.743523316"/>
  </r>
  <r>
    <x v="0"/>
    <s v="Southern Union State Community College"/>
    <m/>
    <n v="251260"/>
    <x v="7"/>
    <m/>
    <m/>
    <m/>
    <m/>
    <m/>
    <m/>
    <m/>
    <m/>
    <m/>
    <m/>
    <m/>
    <m/>
    <m/>
    <m/>
    <m/>
    <m/>
    <m/>
    <m/>
    <m/>
    <m/>
    <m/>
    <m/>
    <m/>
    <m/>
    <m/>
    <m/>
    <m/>
    <m/>
    <m/>
    <m/>
    <m/>
    <m/>
    <m/>
    <m/>
    <m/>
    <m/>
    <m/>
    <m/>
    <m/>
    <m/>
    <n v="82"/>
    <n v="85"/>
    <m/>
    <m/>
    <n v="4"/>
    <m/>
    <m/>
    <n v="3"/>
    <n v="0"/>
    <m/>
    <n v="0"/>
    <m/>
    <n v="0"/>
    <m/>
    <n v="0"/>
    <m/>
    <n v="0"/>
    <m/>
    <n v="4458341"/>
    <n v="4543232"/>
    <n v="0"/>
    <n v="0"/>
    <n v="0"/>
    <n v="0"/>
    <n v="0"/>
    <n v="0"/>
    <n v="0"/>
    <n v="0"/>
    <n v="0"/>
    <n v="0"/>
    <n v="782"/>
    <n v="801"/>
    <n v="0"/>
    <n v="0"/>
    <n v="0"/>
    <n v="0"/>
    <n v="0"/>
    <n v="0"/>
    <n v="0"/>
    <n v="0"/>
    <n v="0"/>
    <n v="0"/>
    <n v="5701.2033248081843"/>
    <n v="5671.9500624219727"/>
    <n v="0"/>
    <n v="0"/>
    <n v="0"/>
    <n v="0"/>
    <n v="0"/>
    <n v="0"/>
    <n v="0"/>
    <n v="0"/>
    <n v="0"/>
    <n v="0"/>
    <n v="51310.829923273661"/>
    <n v="51047.550561797754"/>
    <n v="51310.829923273661"/>
    <n v="51047.550561797754"/>
    <n v="0"/>
    <n v="0"/>
    <n v="0"/>
    <n v="0"/>
    <n v="0"/>
    <n v="0"/>
    <n v="0"/>
    <n v="0"/>
    <n v="0"/>
    <n v="0"/>
    <n v="86"/>
    <n v="88"/>
    <n v="86"/>
    <n v="88"/>
    <n v="0"/>
    <n v="0"/>
    <n v="0"/>
    <n v="0"/>
    <n v="0"/>
    <n v="0"/>
    <n v="0"/>
    <n v="0"/>
    <n v="0"/>
    <n v="0"/>
    <n v="4412731.3734015347"/>
    <n v="4492184.4494382022"/>
    <n v="4412731.3734015347"/>
    <n v="4492184.4494382022"/>
  </r>
  <r>
    <x v="0"/>
    <s v="Alabama Southern Community College"/>
    <m/>
    <n v="101949"/>
    <x v="8"/>
    <m/>
    <m/>
    <m/>
    <m/>
    <m/>
    <m/>
    <m/>
    <m/>
    <m/>
    <m/>
    <m/>
    <m/>
    <m/>
    <m/>
    <m/>
    <m/>
    <m/>
    <m/>
    <m/>
    <m/>
    <m/>
    <m/>
    <m/>
    <m/>
    <m/>
    <m/>
    <m/>
    <m/>
    <m/>
    <m/>
    <m/>
    <m/>
    <m/>
    <m/>
    <m/>
    <m/>
    <m/>
    <m/>
    <m/>
    <m/>
    <n v="42"/>
    <n v="39"/>
    <m/>
    <m/>
    <n v="16"/>
    <m/>
    <m/>
    <n v="0"/>
    <n v="0"/>
    <m/>
    <n v="0"/>
    <m/>
    <n v="0"/>
    <m/>
    <n v="0"/>
    <m/>
    <n v="0"/>
    <m/>
    <n v="2966999"/>
    <n v="2043562"/>
    <n v="0"/>
    <n v="0"/>
    <n v="0"/>
    <n v="0"/>
    <n v="0"/>
    <n v="0"/>
    <n v="0"/>
    <n v="0"/>
    <n v="0"/>
    <n v="0"/>
    <n v="554"/>
    <n v="351"/>
    <n v="0"/>
    <n v="0"/>
    <n v="0"/>
    <n v="0"/>
    <n v="0"/>
    <n v="0"/>
    <n v="0"/>
    <n v="0"/>
    <n v="0"/>
    <n v="0"/>
    <n v="5355.5938628158847"/>
    <n v="5822.1139601139603"/>
    <n v="0"/>
    <n v="0"/>
    <n v="0"/>
    <n v="0"/>
    <n v="0"/>
    <n v="0"/>
    <n v="0"/>
    <n v="0"/>
    <n v="0"/>
    <n v="0"/>
    <n v="48200.344765342961"/>
    <n v="52399.025641025641"/>
    <n v="48200.344765342961"/>
    <n v="52399.025641025641"/>
    <n v="0"/>
    <n v="0"/>
    <n v="0"/>
    <n v="0"/>
    <n v="0"/>
    <n v="0"/>
    <n v="0"/>
    <n v="0"/>
    <n v="0"/>
    <n v="0"/>
    <n v="58"/>
    <n v="39"/>
    <n v="58"/>
    <n v="39"/>
    <n v="0"/>
    <n v="0"/>
    <n v="0"/>
    <n v="0"/>
    <n v="0"/>
    <n v="0"/>
    <n v="0"/>
    <n v="0"/>
    <n v="0"/>
    <n v="0"/>
    <n v="2795619.996389892"/>
    <n v="2043562"/>
    <n v="2795619.996389892"/>
    <n v="2043562"/>
  </r>
  <r>
    <x v="0"/>
    <s v="Chattahoochee Valley State Community College "/>
    <m/>
    <n v="101028"/>
    <x v="8"/>
    <m/>
    <m/>
    <m/>
    <m/>
    <m/>
    <m/>
    <m/>
    <m/>
    <m/>
    <m/>
    <m/>
    <m/>
    <m/>
    <m/>
    <m/>
    <m/>
    <m/>
    <m/>
    <m/>
    <m/>
    <m/>
    <m/>
    <m/>
    <m/>
    <m/>
    <m/>
    <m/>
    <m/>
    <m/>
    <m/>
    <m/>
    <m/>
    <m/>
    <m/>
    <m/>
    <m/>
    <m/>
    <m/>
    <m/>
    <m/>
    <n v="35"/>
    <n v="20"/>
    <m/>
    <m/>
    <m/>
    <m/>
    <m/>
    <n v="16"/>
    <n v="0"/>
    <m/>
    <n v="0"/>
    <m/>
    <n v="0"/>
    <m/>
    <n v="0"/>
    <m/>
    <n v="0"/>
    <m/>
    <n v="1884434"/>
    <n v="2027915"/>
    <n v="0"/>
    <n v="0"/>
    <n v="0"/>
    <n v="0"/>
    <n v="0"/>
    <n v="0"/>
    <n v="0"/>
    <n v="0"/>
    <n v="0"/>
    <n v="0"/>
    <n v="315"/>
    <n v="372"/>
    <n v="0"/>
    <n v="0"/>
    <n v="0"/>
    <n v="0"/>
    <n v="0"/>
    <n v="0"/>
    <n v="0"/>
    <n v="0"/>
    <n v="0"/>
    <n v="0"/>
    <n v="5982.3301587301585"/>
    <n v="5451.3844086021509"/>
    <n v="0"/>
    <n v="0"/>
    <n v="0"/>
    <n v="0"/>
    <n v="0"/>
    <n v="0"/>
    <n v="0"/>
    <n v="0"/>
    <n v="0"/>
    <n v="0"/>
    <n v="53840.971428571429"/>
    <n v="49062.459677419356"/>
    <n v="53840.971428571429"/>
    <n v="49062.459677419356"/>
    <n v="0"/>
    <n v="0"/>
    <n v="0"/>
    <n v="0"/>
    <n v="0"/>
    <n v="0"/>
    <n v="0"/>
    <n v="0"/>
    <n v="0"/>
    <n v="0"/>
    <n v="35"/>
    <n v="36"/>
    <n v="35"/>
    <n v="36"/>
    <n v="0"/>
    <n v="0"/>
    <n v="0"/>
    <n v="0"/>
    <n v="0"/>
    <n v="0"/>
    <n v="0"/>
    <n v="0"/>
    <n v="0"/>
    <n v="0"/>
    <n v="1884434"/>
    <n v="1766248.5483870967"/>
    <n v="1884434"/>
    <n v="1766248.5483870967"/>
  </r>
  <r>
    <x v="0"/>
    <s v="George Corley Wallace State Community College - Selma"/>
    <m/>
    <n v="101301"/>
    <x v="8"/>
    <m/>
    <m/>
    <m/>
    <m/>
    <m/>
    <m/>
    <m/>
    <m/>
    <m/>
    <m/>
    <m/>
    <m/>
    <m/>
    <m/>
    <m/>
    <m/>
    <m/>
    <m/>
    <m/>
    <m/>
    <m/>
    <m/>
    <m/>
    <m/>
    <m/>
    <m/>
    <m/>
    <m/>
    <m/>
    <m/>
    <m/>
    <m/>
    <m/>
    <m/>
    <m/>
    <m/>
    <m/>
    <m/>
    <m/>
    <m/>
    <n v="52"/>
    <n v="53"/>
    <m/>
    <m/>
    <n v="1"/>
    <m/>
    <m/>
    <n v="0"/>
    <n v="0"/>
    <m/>
    <n v="0"/>
    <m/>
    <n v="0"/>
    <m/>
    <n v="0"/>
    <m/>
    <n v="0"/>
    <m/>
    <n v="2690401"/>
    <n v="2804091"/>
    <n v="0"/>
    <n v="0"/>
    <n v="0"/>
    <n v="0"/>
    <n v="0"/>
    <n v="0"/>
    <n v="0"/>
    <n v="0"/>
    <n v="0"/>
    <n v="0"/>
    <n v="479"/>
    <n v="477"/>
    <n v="0"/>
    <n v="0"/>
    <n v="0"/>
    <n v="0"/>
    <n v="0"/>
    <n v="0"/>
    <n v="0"/>
    <n v="0"/>
    <n v="0"/>
    <n v="0"/>
    <n v="5616.7035490605431"/>
    <n v="5878.5974842767291"/>
    <n v="0"/>
    <n v="0"/>
    <n v="0"/>
    <n v="0"/>
    <n v="0"/>
    <n v="0"/>
    <n v="0"/>
    <n v="0"/>
    <n v="0"/>
    <n v="0"/>
    <n v="50550.331941544886"/>
    <n v="52907.377358490565"/>
    <n v="50550.331941544886"/>
    <n v="52907.377358490565"/>
    <n v="0"/>
    <n v="0"/>
    <n v="0"/>
    <n v="0"/>
    <n v="0"/>
    <n v="0"/>
    <n v="0"/>
    <n v="0"/>
    <n v="0"/>
    <n v="0"/>
    <n v="53"/>
    <n v="53"/>
    <n v="53"/>
    <n v="53"/>
    <n v="0"/>
    <n v="0"/>
    <n v="0"/>
    <n v="0"/>
    <n v="0"/>
    <n v="0"/>
    <n v="0"/>
    <n v="0"/>
    <n v="0"/>
    <n v="0"/>
    <n v="2679167.592901879"/>
    <n v="2804091"/>
    <n v="2679167.592901879"/>
    <n v="2804091"/>
  </r>
  <r>
    <x v="0"/>
    <s v="Jefferson Davis Community College"/>
    <m/>
    <n v="101499"/>
    <x v="8"/>
    <m/>
    <m/>
    <m/>
    <m/>
    <m/>
    <m/>
    <m/>
    <m/>
    <m/>
    <m/>
    <m/>
    <m/>
    <m/>
    <m/>
    <m/>
    <m/>
    <m/>
    <m/>
    <m/>
    <m/>
    <m/>
    <m/>
    <m/>
    <m/>
    <m/>
    <m/>
    <m/>
    <m/>
    <m/>
    <m/>
    <m/>
    <m/>
    <m/>
    <m/>
    <m/>
    <m/>
    <m/>
    <m/>
    <m/>
    <m/>
    <n v="34"/>
    <n v="36"/>
    <m/>
    <m/>
    <n v="2"/>
    <m/>
    <m/>
    <n v="3"/>
    <n v="0"/>
    <m/>
    <n v="0"/>
    <m/>
    <n v="0"/>
    <m/>
    <n v="0"/>
    <m/>
    <n v="0"/>
    <m/>
    <n v="1944167"/>
    <n v="2005137"/>
    <n v="0"/>
    <n v="0"/>
    <n v="0"/>
    <n v="0"/>
    <n v="0"/>
    <n v="0"/>
    <n v="0"/>
    <n v="0"/>
    <n v="0"/>
    <n v="0"/>
    <n v="328"/>
    <n v="360"/>
    <n v="0"/>
    <n v="0"/>
    <n v="0"/>
    <n v="0"/>
    <n v="0"/>
    <n v="0"/>
    <n v="0"/>
    <n v="0"/>
    <n v="0"/>
    <n v="0"/>
    <n v="5927.3384146341459"/>
    <n v="5569.8249999999998"/>
    <n v="0"/>
    <n v="0"/>
    <n v="0"/>
    <n v="0"/>
    <n v="0"/>
    <n v="0"/>
    <n v="0"/>
    <n v="0"/>
    <n v="0"/>
    <n v="0"/>
    <n v="53346.045731707316"/>
    <n v="50128.424999999996"/>
    <n v="53346.045731707316"/>
    <n v="50128.424999999996"/>
    <n v="0"/>
    <n v="0"/>
    <n v="0"/>
    <n v="0"/>
    <n v="0"/>
    <n v="0"/>
    <n v="0"/>
    <n v="0"/>
    <n v="0"/>
    <n v="0"/>
    <n v="36"/>
    <n v="39"/>
    <n v="36"/>
    <n v="39"/>
    <n v="0"/>
    <n v="0"/>
    <n v="0"/>
    <n v="0"/>
    <n v="0"/>
    <n v="0"/>
    <n v="0"/>
    <n v="0"/>
    <n v="0"/>
    <n v="0"/>
    <n v="1920457.6463414633"/>
    <n v="1955008.5749999997"/>
    <n v="1920457.6463414633"/>
    <n v="1955008.5749999997"/>
  </r>
  <r>
    <x v="0"/>
    <s v="Lurleen B. Wallace Community College "/>
    <m/>
    <n v="101602"/>
    <x v="8"/>
    <m/>
    <m/>
    <m/>
    <m/>
    <m/>
    <m/>
    <m/>
    <m/>
    <m/>
    <m/>
    <m/>
    <m/>
    <m/>
    <m/>
    <m/>
    <m/>
    <m/>
    <m/>
    <m/>
    <m/>
    <m/>
    <m/>
    <m/>
    <m/>
    <m/>
    <m/>
    <m/>
    <m/>
    <m/>
    <m/>
    <m/>
    <m/>
    <m/>
    <m/>
    <m/>
    <m/>
    <m/>
    <m/>
    <m/>
    <m/>
    <n v="55"/>
    <n v="56"/>
    <m/>
    <m/>
    <m/>
    <m/>
    <m/>
    <n v="1"/>
    <n v="0"/>
    <m/>
    <n v="0"/>
    <m/>
    <n v="0"/>
    <m/>
    <n v="0"/>
    <m/>
    <n v="0"/>
    <m/>
    <n v="2797314"/>
    <n v="2958003"/>
    <n v="0"/>
    <n v="0"/>
    <n v="0"/>
    <n v="0"/>
    <n v="0"/>
    <n v="0"/>
    <n v="0"/>
    <n v="0"/>
    <n v="0"/>
    <n v="0"/>
    <n v="495"/>
    <n v="516"/>
    <n v="0"/>
    <n v="0"/>
    <n v="0"/>
    <n v="0"/>
    <n v="0"/>
    <n v="0"/>
    <n v="0"/>
    <n v="0"/>
    <n v="0"/>
    <n v="0"/>
    <n v="5651.1393939393938"/>
    <n v="5732.5639534883721"/>
    <n v="0"/>
    <n v="0"/>
    <n v="0"/>
    <n v="0"/>
    <n v="0"/>
    <n v="0"/>
    <n v="0"/>
    <n v="0"/>
    <n v="0"/>
    <n v="0"/>
    <n v="50860.254545454547"/>
    <n v="51593.075581395351"/>
    <n v="50860.254545454547"/>
    <n v="51593.075581395351"/>
    <n v="0"/>
    <n v="0"/>
    <n v="0"/>
    <n v="0"/>
    <n v="0"/>
    <n v="0"/>
    <n v="0"/>
    <n v="0"/>
    <n v="0"/>
    <n v="0"/>
    <n v="55"/>
    <n v="57"/>
    <n v="55"/>
    <n v="57"/>
    <n v="0"/>
    <n v="0"/>
    <n v="0"/>
    <n v="0"/>
    <n v="0"/>
    <n v="0"/>
    <n v="0"/>
    <n v="0"/>
    <n v="0"/>
    <n v="0"/>
    <n v="2797314"/>
    <n v="2940805.3081395351"/>
    <n v="2797314"/>
    <n v="2940805.3081395351"/>
  </r>
  <r>
    <x v="0"/>
    <s v="Snead State Community College "/>
    <s v="Met the criteria for Two-Year 2 in 2012-13."/>
    <n v="102076"/>
    <x v="8"/>
    <m/>
    <m/>
    <m/>
    <m/>
    <m/>
    <m/>
    <m/>
    <m/>
    <m/>
    <m/>
    <m/>
    <m/>
    <m/>
    <m/>
    <m/>
    <m/>
    <m/>
    <m/>
    <m/>
    <m/>
    <m/>
    <m/>
    <m/>
    <m/>
    <m/>
    <m/>
    <m/>
    <m/>
    <m/>
    <m/>
    <m/>
    <m/>
    <m/>
    <m/>
    <m/>
    <m/>
    <m/>
    <m/>
    <m/>
    <m/>
    <n v="20"/>
    <n v="24"/>
    <m/>
    <m/>
    <n v="14"/>
    <m/>
    <m/>
    <n v="10"/>
    <n v="0"/>
    <m/>
    <n v="0"/>
    <m/>
    <n v="0"/>
    <m/>
    <n v="0"/>
    <m/>
    <n v="0"/>
    <m/>
    <n v="2205201"/>
    <n v="2112675"/>
    <n v="0"/>
    <n v="0"/>
    <n v="0"/>
    <n v="0"/>
    <n v="0"/>
    <n v="0"/>
    <n v="0"/>
    <n v="0"/>
    <n v="0"/>
    <n v="0"/>
    <n v="334"/>
    <n v="336"/>
    <n v="0"/>
    <n v="0"/>
    <n v="0"/>
    <n v="0"/>
    <n v="0"/>
    <n v="0"/>
    <n v="0"/>
    <n v="0"/>
    <n v="0"/>
    <n v="0"/>
    <n v="6602.3982035928148"/>
    <n v="6287.7232142857147"/>
    <n v="0"/>
    <n v="0"/>
    <n v="0"/>
    <n v="0"/>
    <n v="0"/>
    <n v="0"/>
    <n v="0"/>
    <n v="0"/>
    <n v="0"/>
    <n v="0"/>
    <n v="59421.583832335331"/>
    <n v="56589.508928571435"/>
    <n v="59421.583832335331"/>
    <n v="56589.508928571435"/>
    <n v="0"/>
    <n v="0"/>
    <n v="0"/>
    <n v="0"/>
    <n v="0"/>
    <n v="0"/>
    <n v="0"/>
    <n v="0"/>
    <n v="0"/>
    <n v="0"/>
    <n v="34"/>
    <n v="34"/>
    <n v="34"/>
    <n v="34"/>
    <n v="0"/>
    <n v="0"/>
    <n v="0"/>
    <n v="0"/>
    <n v="0"/>
    <n v="0"/>
    <n v="0"/>
    <n v="0"/>
    <n v="0"/>
    <n v="0"/>
    <n v="2020333.8502994012"/>
    <n v="1924043.3035714289"/>
    <n v="2020333.8502994012"/>
    <n v="1924043.3035714289"/>
  </r>
  <r>
    <x v="0"/>
    <s v="Trenholm State Technical College "/>
    <m/>
    <n v="102313"/>
    <x v="9"/>
    <m/>
    <m/>
    <m/>
    <m/>
    <m/>
    <m/>
    <m/>
    <m/>
    <m/>
    <m/>
    <m/>
    <m/>
    <m/>
    <m/>
    <m/>
    <m/>
    <m/>
    <m/>
    <m/>
    <m/>
    <m/>
    <m/>
    <m/>
    <m/>
    <m/>
    <m/>
    <m/>
    <m/>
    <m/>
    <m/>
    <m/>
    <m/>
    <m/>
    <m/>
    <m/>
    <m/>
    <m/>
    <m/>
    <m/>
    <m/>
    <n v="47"/>
    <n v="57"/>
    <m/>
    <m/>
    <n v="13"/>
    <m/>
    <m/>
    <n v="7"/>
    <n v="0"/>
    <m/>
    <n v="0"/>
    <m/>
    <n v="0"/>
    <m/>
    <n v="0"/>
    <m/>
    <n v="0"/>
    <m/>
    <n v="3378511"/>
    <n v="3539816"/>
    <n v="0"/>
    <n v="0"/>
    <n v="0"/>
    <n v="0"/>
    <n v="0"/>
    <n v="0"/>
    <n v="0"/>
    <n v="0"/>
    <n v="0"/>
    <n v="0"/>
    <n v="566"/>
    <n v="597"/>
    <n v="0"/>
    <n v="0"/>
    <n v="0"/>
    <n v="0"/>
    <n v="0"/>
    <n v="0"/>
    <n v="0"/>
    <n v="0"/>
    <n v="0"/>
    <n v="0"/>
    <n v="5969.1007067137807"/>
    <n v="5929.3400335008373"/>
    <n v="0"/>
    <n v="0"/>
    <n v="0"/>
    <n v="0"/>
    <n v="0"/>
    <n v="0"/>
    <n v="0"/>
    <n v="0"/>
    <n v="0"/>
    <n v="0"/>
    <n v="53721.906360424029"/>
    <n v="53364.060301507532"/>
    <n v="53721.906360424029"/>
    <n v="53364.060301507532"/>
    <n v="0"/>
    <n v="0"/>
    <n v="0"/>
    <n v="0"/>
    <n v="0"/>
    <n v="0"/>
    <n v="0"/>
    <n v="0"/>
    <n v="0"/>
    <n v="0"/>
    <n v="60"/>
    <n v="64"/>
    <n v="60"/>
    <n v="64"/>
    <n v="0"/>
    <n v="0"/>
    <n v="0"/>
    <n v="0"/>
    <n v="0"/>
    <n v="0"/>
    <n v="0"/>
    <n v="0"/>
    <n v="0"/>
    <n v="0"/>
    <n v="3223314.3816254418"/>
    <n v="3415299.8592964821"/>
    <n v="3223314.3816254418"/>
    <n v="3415299.8592964821"/>
  </r>
  <r>
    <x v="0"/>
    <s v="J.F. Drake State Technical College "/>
    <m/>
    <n v="101462"/>
    <x v="10"/>
    <m/>
    <m/>
    <m/>
    <m/>
    <m/>
    <m/>
    <m/>
    <m/>
    <m/>
    <m/>
    <m/>
    <m/>
    <m/>
    <m/>
    <m/>
    <m/>
    <m/>
    <m/>
    <m/>
    <m/>
    <m/>
    <m/>
    <m/>
    <m/>
    <m/>
    <m/>
    <m/>
    <m/>
    <m/>
    <m/>
    <m/>
    <m/>
    <m/>
    <m/>
    <m/>
    <m/>
    <m/>
    <m/>
    <m/>
    <m/>
    <n v="27"/>
    <n v="1"/>
    <m/>
    <m/>
    <n v="3"/>
    <m/>
    <m/>
    <n v="31"/>
    <n v="0"/>
    <m/>
    <n v="0"/>
    <m/>
    <n v="0"/>
    <m/>
    <n v="0"/>
    <m/>
    <n v="0"/>
    <m/>
    <n v="1530129"/>
    <n v="1659517"/>
    <n v="0"/>
    <n v="0"/>
    <n v="0"/>
    <n v="0"/>
    <n v="0"/>
    <n v="0"/>
    <n v="0"/>
    <n v="0"/>
    <n v="0"/>
    <n v="0"/>
    <n v="276"/>
    <n v="381"/>
    <n v="0"/>
    <n v="0"/>
    <n v="0"/>
    <n v="0"/>
    <n v="0"/>
    <n v="0"/>
    <n v="0"/>
    <n v="0"/>
    <n v="0"/>
    <n v="0"/>
    <n v="5543.945652173913"/>
    <n v="4355.687664041995"/>
    <n v="0"/>
    <n v="0"/>
    <n v="0"/>
    <n v="0"/>
    <n v="0"/>
    <n v="0"/>
    <n v="0"/>
    <n v="0"/>
    <n v="0"/>
    <n v="0"/>
    <n v="49895.510869565216"/>
    <n v="39201.188976377955"/>
    <n v="49895.510869565216"/>
    <n v="39201.188976377955"/>
    <n v="0"/>
    <n v="0"/>
    <n v="0"/>
    <n v="0"/>
    <n v="0"/>
    <n v="0"/>
    <n v="0"/>
    <n v="0"/>
    <n v="0"/>
    <n v="0"/>
    <n v="30"/>
    <n v="32"/>
    <n v="30"/>
    <n v="32"/>
    <n v="0"/>
    <n v="0"/>
    <n v="0"/>
    <n v="0"/>
    <n v="0"/>
    <n v="0"/>
    <n v="0"/>
    <n v="0"/>
    <n v="0"/>
    <n v="0"/>
    <n v="1496865.3260869565"/>
    <n v="1254438.0472440945"/>
    <n v="1496865.3260869565"/>
    <n v="1254438.0472440945"/>
  </r>
  <r>
    <x v="0"/>
    <s v="J.F. Ingram State Technical College "/>
    <m/>
    <n v="101471"/>
    <x v="10"/>
    <m/>
    <m/>
    <m/>
    <m/>
    <m/>
    <m/>
    <m/>
    <m/>
    <m/>
    <m/>
    <m/>
    <m/>
    <m/>
    <m/>
    <m/>
    <m/>
    <m/>
    <m/>
    <m/>
    <m/>
    <m/>
    <m/>
    <m/>
    <m/>
    <m/>
    <m/>
    <m/>
    <m/>
    <m/>
    <m/>
    <m/>
    <m/>
    <m/>
    <m/>
    <m/>
    <m/>
    <m/>
    <m/>
    <m/>
    <m/>
    <n v="19"/>
    <n v="18"/>
    <m/>
    <m/>
    <n v="13"/>
    <m/>
    <m/>
    <n v="13"/>
    <n v="0"/>
    <m/>
    <n v="0"/>
    <m/>
    <n v="0"/>
    <m/>
    <n v="0"/>
    <m/>
    <n v="0"/>
    <m/>
    <n v="2044841"/>
    <n v="2001530"/>
    <n v="0"/>
    <n v="0"/>
    <n v="0"/>
    <n v="0"/>
    <n v="0"/>
    <n v="0"/>
    <n v="0"/>
    <n v="0"/>
    <n v="0"/>
    <n v="0"/>
    <n v="314"/>
    <n v="318"/>
    <n v="0"/>
    <n v="0"/>
    <n v="0"/>
    <n v="0"/>
    <n v="0"/>
    <n v="0"/>
    <n v="0"/>
    <n v="0"/>
    <n v="0"/>
    <n v="0"/>
    <n v="6512.2324840764331"/>
    <n v="6294.1194968553455"/>
    <n v="0"/>
    <n v="0"/>
    <n v="0"/>
    <n v="0"/>
    <n v="0"/>
    <n v="0"/>
    <n v="0"/>
    <n v="0"/>
    <n v="0"/>
    <n v="0"/>
    <n v="58610.092356687899"/>
    <n v="56647.07547169811"/>
    <n v="58610.092356687899"/>
    <n v="56647.07547169811"/>
    <n v="0"/>
    <n v="0"/>
    <n v="0"/>
    <n v="0"/>
    <n v="0"/>
    <n v="0"/>
    <n v="0"/>
    <n v="0"/>
    <n v="0"/>
    <n v="0"/>
    <n v="32"/>
    <n v="31"/>
    <n v="32"/>
    <n v="31"/>
    <n v="0"/>
    <n v="0"/>
    <n v="0"/>
    <n v="0"/>
    <n v="0"/>
    <n v="0"/>
    <n v="0"/>
    <n v="0"/>
    <n v="0"/>
    <n v="0"/>
    <n v="1875522.9554140128"/>
    <n v="1756059.3396226414"/>
    <n v="1875522.9554140128"/>
    <n v="1756059.3396226414"/>
  </r>
  <r>
    <x v="0"/>
    <s v="Reid State Technical College "/>
    <m/>
    <n v="101994"/>
    <x v="10"/>
    <m/>
    <m/>
    <m/>
    <m/>
    <m/>
    <m/>
    <m/>
    <m/>
    <m/>
    <m/>
    <m/>
    <m/>
    <m/>
    <m/>
    <m/>
    <m/>
    <m/>
    <m/>
    <m/>
    <m/>
    <m/>
    <m/>
    <m/>
    <m/>
    <m/>
    <m/>
    <m/>
    <m/>
    <m/>
    <m/>
    <m/>
    <m/>
    <m/>
    <m/>
    <m/>
    <m/>
    <m/>
    <m/>
    <m/>
    <m/>
    <n v="21"/>
    <n v="23"/>
    <m/>
    <m/>
    <n v="6"/>
    <m/>
    <m/>
    <n v="3"/>
    <n v="0"/>
    <m/>
    <n v="0"/>
    <m/>
    <n v="0"/>
    <m/>
    <n v="0"/>
    <m/>
    <n v="0"/>
    <m/>
    <n v="1420492"/>
    <n v="1408600"/>
    <n v="0"/>
    <n v="0"/>
    <n v="0"/>
    <n v="0"/>
    <n v="0"/>
    <n v="0"/>
    <n v="0"/>
    <n v="0"/>
    <n v="0"/>
    <n v="0"/>
    <n v="255"/>
    <n v="243"/>
    <n v="0"/>
    <n v="0"/>
    <n v="0"/>
    <n v="0"/>
    <n v="0"/>
    <n v="0"/>
    <n v="0"/>
    <n v="0"/>
    <n v="0"/>
    <n v="0"/>
    <n v="5570.5568627450984"/>
    <n v="5796.707818930041"/>
    <n v="0"/>
    <n v="0"/>
    <n v="0"/>
    <n v="0"/>
    <n v="0"/>
    <n v="0"/>
    <n v="0"/>
    <n v="0"/>
    <n v="0"/>
    <n v="0"/>
    <n v="50135.011764705887"/>
    <n v="52170.370370370365"/>
    <n v="50135.011764705887"/>
    <n v="52170.370370370365"/>
    <n v="0"/>
    <n v="0"/>
    <n v="0"/>
    <n v="0"/>
    <n v="0"/>
    <n v="0"/>
    <n v="0"/>
    <n v="0"/>
    <n v="0"/>
    <n v="0"/>
    <n v="27"/>
    <n v="26"/>
    <n v="27"/>
    <n v="26"/>
    <n v="0"/>
    <n v="0"/>
    <n v="0"/>
    <n v="0"/>
    <n v="0"/>
    <n v="0"/>
    <n v="0"/>
    <n v="0"/>
    <n v="0"/>
    <n v="0"/>
    <n v="1353645.317647059"/>
    <n v="1356429.6296296294"/>
    <n v="1353645.317647059"/>
    <n v="1356429.6296296294"/>
  </r>
  <r>
    <x v="1"/>
    <s v="University of Arkansas, Fayetteville"/>
    <m/>
    <n v="106397"/>
    <x v="0"/>
    <n v="208"/>
    <n v="214"/>
    <m/>
    <m/>
    <n v="155"/>
    <m/>
    <m/>
    <n v="153"/>
    <n v="168"/>
    <n v="175"/>
    <m/>
    <m/>
    <n v="46"/>
    <m/>
    <m/>
    <n v="43"/>
    <n v="154"/>
    <n v="176"/>
    <m/>
    <m/>
    <n v="13"/>
    <m/>
    <m/>
    <n v="19"/>
    <n v="144"/>
    <n v="147"/>
    <m/>
    <m/>
    <n v="34"/>
    <m/>
    <m/>
    <n v="35"/>
    <n v="67"/>
    <n v="79"/>
    <m/>
    <m/>
    <n v="6"/>
    <m/>
    <m/>
    <n v="7"/>
    <m/>
    <m/>
    <m/>
    <m/>
    <m/>
    <m/>
    <m/>
    <m/>
    <n v="42520454.920000002"/>
    <n v="44630209"/>
    <n v="16841077"/>
    <n v="17790630"/>
    <n v="12718719.49"/>
    <n v="14948485"/>
    <n v="8061944"/>
    <n v="8601216"/>
    <n v="3476255.2"/>
    <n v="4092148"/>
    <n v="0"/>
    <m/>
    <n v="3577"/>
    <n v="3762"/>
    <n v="2018"/>
    <n v="2091"/>
    <n v="1529"/>
    <n v="1812"/>
    <n v="1670"/>
    <n v="1743"/>
    <n v="669"/>
    <n v="795"/>
    <n v="0"/>
    <n v="0"/>
    <n v="11887.183371540397"/>
    <n v="11863.42610313663"/>
    <n v="8345.4296333002967"/>
    <n v="8508.1922525107602"/>
    <n v="8318.3253695225631"/>
    <n v="8249.7157836644583"/>
    <n v="4827.5113772455088"/>
    <n v="4934.719449225473"/>
    <n v="5196.196113602392"/>
    <n v="5147.355974842767"/>
    <n v="0"/>
    <n v="0"/>
    <n v="106984.65034386357"/>
    <n v="106770.83492822967"/>
    <n v="75108.866699702674"/>
    <n v="76573.730272596847"/>
    <n v="74864.928325703062"/>
    <n v="74247.442052980128"/>
    <n v="43447.602395209578"/>
    <n v="44412.475043029255"/>
    <n v="46765.765022421525"/>
    <n v="46326.203773584901"/>
    <n v="0"/>
    <n v="0"/>
    <n v="78953.510202950085"/>
    <n v="78648.229771733924"/>
    <n v="363"/>
    <n v="367"/>
    <n v="214"/>
    <n v="218"/>
    <n v="167"/>
    <n v="195"/>
    <n v="178"/>
    <n v="182"/>
    <n v="73"/>
    <n v="86"/>
    <n v="0"/>
    <n v="0"/>
    <n v="995"/>
    <n v="1048"/>
    <n v="38835428.074822478"/>
    <n v="39184896.418660291"/>
    <n v="16073297.473736372"/>
    <n v="16693073.199426113"/>
    <n v="12502443.030392412"/>
    <n v="14478251.200331125"/>
    <n v="7733673.2263473049"/>
    <n v="8083070.4578313241"/>
    <n v="3413900.8466367712"/>
    <n v="3984053.5245283013"/>
    <n v="0"/>
    <n v="0"/>
    <n v="78558742.651935339"/>
    <n v="82423344.800777152"/>
  </r>
  <r>
    <x v="1"/>
    <s v="Arkansas State University"/>
    <m/>
    <n v="106458"/>
    <x v="2"/>
    <n v="90"/>
    <n v="87"/>
    <m/>
    <m/>
    <n v="14"/>
    <m/>
    <m/>
    <n v="17"/>
    <n v="104"/>
    <n v="103"/>
    <m/>
    <m/>
    <n v="25"/>
    <m/>
    <m/>
    <n v="23"/>
    <n v="130"/>
    <n v="134"/>
    <m/>
    <m/>
    <n v="17"/>
    <m/>
    <m/>
    <n v="21"/>
    <n v="95"/>
    <n v="95"/>
    <m/>
    <m/>
    <n v="10"/>
    <m/>
    <m/>
    <n v="11"/>
    <n v="0"/>
    <m/>
    <m/>
    <m/>
    <n v="0"/>
    <m/>
    <m/>
    <m/>
    <m/>
    <m/>
    <m/>
    <m/>
    <m/>
    <m/>
    <m/>
    <m/>
    <n v="8392461.6999999993"/>
    <n v="8722435"/>
    <n v="8452257.4400000013"/>
    <n v="8532374"/>
    <n v="8548052.4100000001"/>
    <n v="9058795"/>
    <n v="3916706.6999999997"/>
    <n v="4043394"/>
    <n v="0"/>
    <m/>
    <n v="0"/>
    <m/>
    <n v="964"/>
    <n v="987"/>
    <n v="1211"/>
    <n v="1203"/>
    <n v="1357"/>
    <n v="1458"/>
    <n v="965"/>
    <n v="987"/>
    <n v="0"/>
    <n v="0"/>
    <n v="0"/>
    <n v="0"/>
    <n v="8705.8731327800815"/>
    <n v="8837.3201621073968"/>
    <n v="6979.5684888521891"/>
    <n v="7092.5802161263509"/>
    <n v="6299.228010316876"/>
    <n v="6213.1652949245545"/>
    <n v="4058.763419689119"/>
    <n v="4096.6504559270516"/>
    <n v="0"/>
    <n v="0"/>
    <n v="0"/>
    <n v="0"/>
    <n v="78352.85819502073"/>
    <n v="79535.881458966571"/>
    <n v="62816.1163996697"/>
    <n v="63833.221945137157"/>
    <n v="56693.052092851882"/>
    <n v="55918.48765432099"/>
    <n v="36528.870777202072"/>
    <n v="36869.854103343467"/>
    <n v="0"/>
    <n v="0"/>
    <n v="0"/>
    <n v="0"/>
    <n v="58600.796612566992"/>
    <n v="58839.689935221926"/>
    <n v="104"/>
    <n v="104"/>
    <n v="129"/>
    <n v="126"/>
    <n v="147"/>
    <n v="155"/>
    <n v="105"/>
    <n v="106"/>
    <n v="0"/>
    <n v="0"/>
    <n v="0"/>
    <n v="0"/>
    <n v="485"/>
    <n v="491"/>
    <n v="8148697.2522821557"/>
    <n v="8271731.6717325235"/>
    <n v="8103279.0155573916"/>
    <n v="8042985.9650872815"/>
    <n v="8333878.6576492265"/>
    <n v="8667365.5864197537"/>
    <n v="3835531.4316062173"/>
    <n v="3908204.5349544073"/>
    <n v="0"/>
    <n v="0"/>
    <n v="0"/>
    <n v="0"/>
    <n v="28421386.357094992"/>
    <n v="28890287.758193966"/>
  </r>
  <r>
    <x v="1"/>
    <s v="Arkansas Tech University"/>
    <s v="Reclassified: met the criteria for Four-Year 3 in 2010-11, 2011-12 and 2012-13."/>
    <n v="106467"/>
    <x v="2"/>
    <n v="44"/>
    <n v="45"/>
    <m/>
    <m/>
    <n v="9"/>
    <m/>
    <m/>
    <n v="8"/>
    <n v="68"/>
    <n v="79"/>
    <m/>
    <m/>
    <n v="9"/>
    <m/>
    <m/>
    <n v="9"/>
    <n v="106"/>
    <n v="100"/>
    <m/>
    <m/>
    <n v="3"/>
    <m/>
    <m/>
    <n v="4"/>
    <n v="27"/>
    <n v="35"/>
    <m/>
    <m/>
    <n v="0"/>
    <m/>
    <m/>
    <m/>
    <n v="46"/>
    <n v="54"/>
    <m/>
    <m/>
    <n v="0"/>
    <m/>
    <m/>
    <n v="5"/>
    <m/>
    <m/>
    <m/>
    <m/>
    <m/>
    <m/>
    <m/>
    <m/>
    <n v="3875163.78"/>
    <n v="3986786"/>
    <n v="4668579.8399999999"/>
    <n v="5423569"/>
    <n v="5340298.3699999992"/>
    <n v="5301579"/>
    <n v="1022899.05"/>
    <n v="1384622"/>
    <n v="1866167.0999999999"/>
    <n v="2352516"/>
    <n v="0"/>
    <m/>
    <n v="495"/>
    <n v="501"/>
    <n v="711"/>
    <n v="819"/>
    <n v="987"/>
    <n v="948"/>
    <n v="243"/>
    <n v="315"/>
    <n v="414"/>
    <n v="546"/>
    <n v="0"/>
    <n v="0"/>
    <n v="7828.6136969696963"/>
    <n v="7957.6566866267467"/>
    <n v="6566.2163713080163"/>
    <n v="6622.1843711843712"/>
    <n v="5410.6366464032417"/>
    <n v="5592.3829113924048"/>
    <n v="4209.4611111111117"/>
    <n v="4395.6253968253968"/>
    <n v="4507.6499999999996"/>
    <n v="4308.6373626373625"/>
    <n v="0"/>
    <n v="0"/>
    <n v="70457.523272727267"/>
    <n v="71618.910179640719"/>
    <n v="59095.947341772146"/>
    <n v="59599.659340659338"/>
    <n v="48695.729817629173"/>
    <n v="50331.446202531646"/>
    <n v="37885.150000000009"/>
    <n v="39560.62857142857"/>
    <n v="40568.85"/>
    <n v="38777.73626373626"/>
    <n v="0"/>
    <n v="0"/>
    <n v="52825.440316963395"/>
    <n v="52942.62863163041"/>
    <n v="53"/>
    <n v="53"/>
    <n v="77"/>
    <n v="88"/>
    <n v="109"/>
    <n v="104"/>
    <n v="27"/>
    <n v="35"/>
    <n v="46"/>
    <n v="59"/>
    <n v="0"/>
    <n v="0"/>
    <n v="312"/>
    <n v="339"/>
    <n v="3734248.733454545"/>
    <n v="3795802.2395209582"/>
    <n v="4550387.9453164553"/>
    <n v="5244770.0219780216"/>
    <n v="5307834.5501215803"/>
    <n v="5234470.4050632911"/>
    <n v="1022899.0500000003"/>
    <n v="1384622"/>
    <n v="1866167.0999999999"/>
    <n v="2287886.4395604394"/>
    <n v="0"/>
    <n v="0"/>
    <n v="16481537.37889258"/>
    <n v="17947551.10612271"/>
  </r>
  <r>
    <x v="1"/>
    <s v="University of Arkansas at Little Rock"/>
    <s v="Met the criteria for Four-Year 2 in 2012-13."/>
    <n v="106245"/>
    <x v="2"/>
    <n v="116"/>
    <n v="117"/>
    <m/>
    <n v="2"/>
    <n v="32"/>
    <n v="4"/>
    <m/>
    <n v="41"/>
    <n v="104"/>
    <n v="104"/>
    <m/>
    <m/>
    <n v="19"/>
    <n v="5"/>
    <m/>
    <n v="21"/>
    <n v="100"/>
    <n v="107"/>
    <m/>
    <m/>
    <n v="10"/>
    <n v="2"/>
    <m/>
    <n v="12"/>
    <n v="75"/>
    <n v="67"/>
    <m/>
    <m/>
    <n v="15"/>
    <n v="4"/>
    <m/>
    <n v="25"/>
    <n v="16"/>
    <m/>
    <m/>
    <m/>
    <n v="9"/>
    <m/>
    <m/>
    <m/>
    <m/>
    <m/>
    <m/>
    <m/>
    <m/>
    <m/>
    <m/>
    <m/>
    <n v="13218995.479999999"/>
    <n v="14890234"/>
    <n v="8727142.1099999994"/>
    <n v="9330264"/>
    <n v="6526095"/>
    <n v="7444972"/>
    <n v="3943877.7"/>
    <n v="4236672"/>
    <n v="1042478.99"/>
    <m/>
    <n v="0"/>
    <m/>
    <n v="1396"/>
    <n v="1609"/>
    <n v="1145"/>
    <n v="1243"/>
    <n v="1010"/>
    <n v="1129"/>
    <n v="840"/>
    <n v="947"/>
    <n v="243"/>
    <n v="0"/>
    <n v="0"/>
    <n v="0"/>
    <n v="9469.1944699140386"/>
    <n v="9254.3405842137981"/>
    <n v="7621.9581746724889"/>
    <n v="7506.2461786001613"/>
    <n v="6461.4801980198017"/>
    <n v="6594.3064658990261"/>
    <n v="4695.0925000000007"/>
    <n v="4473.7824709609295"/>
    <n v="4290.0369958847732"/>
    <n v="0"/>
    <n v="0"/>
    <n v="0"/>
    <n v="85222.750229226353"/>
    <n v="83289.065257924187"/>
    <n v="68597.623572052398"/>
    <n v="67556.215607401449"/>
    <n v="58153.321782178216"/>
    <n v="59348.758193091235"/>
    <n v="42255.832500000004"/>
    <n v="40264.042238648362"/>
    <n v="38610.332962962959"/>
    <n v="0"/>
    <n v="0"/>
    <n v="0"/>
    <n v="64950.853585487152"/>
    <n v="65534.760327859171"/>
    <n v="148"/>
    <n v="164"/>
    <n v="123"/>
    <n v="130"/>
    <n v="110"/>
    <n v="121"/>
    <n v="90"/>
    <n v="96"/>
    <n v="25"/>
    <n v="0"/>
    <n v="0"/>
    <n v="0"/>
    <n v="496"/>
    <n v="511"/>
    <n v="12612967.0339255"/>
    <n v="13659406.702299567"/>
    <n v="8437507.6993624456"/>
    <n v="8782308.0289621875"/>
    <n v="6396865.3960396042"/>
    <n v="7181199.7413640395"/>
    <n v="3803024.9250000003"/>
    <n v="3865348.0549102426"/>
    <n v="965258.32407407393"/>
    <n v="0"/>
    <n v="0"/>
    <n v="0"/>
    <n v="32215623.378401626"/>
    <n v="33488262.527536035"/>
  </r>
  <r>
    <x v="1"/>
    <s v="University of Central Arkansas "/>
    <m/>
    <n v="106704"/>
    <x v="2"/>
    <n v="61"/>
    <n v="61"/>
    <m/>
    <n v="1"/>
    <n v="24"/>
    <n v="2"/>
    <m/>
    <n v="23"/>
    <n v="112"/>
    <n v="110"/>
    <m/>
    <n v="6"/>
    <n v="12"/>
    <n v="2"/>
    <m/>
    <n v="12"/>
    <n v="152"/>
    <n v="132"/>
    <m/>
    <n v="3"/>
    <n v="4"/>
    <n v="3"/>
    <m/>
    <n v="3"/>
    <n v="94"/>
    <n v="64"/>
    <m/>
    <n v="5"/>
    <n v="11"/>
    <n v="1"/>
    <m/>
    <n v="11"/>
    <n v="53"/>
    <n v="92"/>
    <m/>
    <n v="4"/>
    <n v="4"/>
    <n v="1"/>
    <m/>
    <n v="5"/>
    <m/>
    <n v="0"/>
    <m/>
    <m/>
    <m/>
    <m/>
    <m/>
    <n v="0"/>
    <n v="7127528.9100000001"/>
    <n v="7322080"/>
    <n v="8093741.1600000001"/>
    <n v="8432339"/>
    <n v="8760100.5999999996"/>
    <n v="7976727"/>
    <n v="4405165.58"/>
    <n v="3748430"/>
    <n v="2419475.17"/>
    <n v="2393822"/>
    <n v="0"/>
    <n v="1707457"/>
    <n v="813"/>
    <n v="857"/>
    <n v="1140"/>
    <n v="1216"/>
    <n v="1412"/>
    <n v="1287"/>
    <n v="967"/>
    <n v="769"/>
    <n v="521"/>
    <n v="939"/>
    <n v="0"/>
    <n v="0"/>
    <n v="8766.9482287822884"/>
    <n v="8543.8506417736298"/>
    <n v="7099.7729473684212"/>
    <n v="6934.4893092105267"/>
    <n v="6204.0372521246454"/>
    <n v="6197.9230769230771"/>
    <n v="4555.4969803516033"/>
    <n v="4874.4213263979191"/>
    <n v="4643.9062763915545"/>
    <n v="2549.3312034078808"/>
    <n v="0"/>
    <n v="0"/>
    <n v="78902.534059040598"/>
    <n v="76894.655775962674"/>
    <n v="63897.956526315793"/>
    <n v="62410.40378289474"/>
    <n v="55836.33526912181"/>
    <n v="55781.307692307695"/>
    <n v="40999.472823164426"/>
    <n v="43869.791937581271"/>
    <n v="41795.156487523993"/>
    <n v="22943.980830670927"/>
    <n v="0"/>
    <n v="0"/>
    <n v="56978.745488587752"/>
    <n v="52794.992829155221"/>
    <n v="85"/>
    <n v="87"/>
    <n v="124"/>
    <n v="130"/>
    <n v="156"/>
    <n v="141"/>
    <n v="105"/>
    <n v="81"/>
    <n v="57"/>
    <n v="102"/>
    <n v="0"/>
    <n v="0"/>
    <n v="527"/>
    <n v="541"/>
    <n v="6706715.3950184509"/>
    <n v="6689835.0525087528"/>
    <n v="7923346.6092631584"/>
    <n v="8113352.4917763164"/>
    <n v="8710468.3019830026"/>
    <n v="7865164.384615385"/>
    <n v="4304944.6464322647"/>
    <n v="3553453.1469440828"/>
    <n v="2382323.9197888677"/>
    <n v="2340286.0447284346"/>
    <n v="0"/>
    <n v="0"/>
    <n v="30027798.872485746"/>
    <n v="28562091.120572973"/>
  </r>
  <r>
    <x v="1"/>
    <s v="Henderson State University"/>
    <m/>
    <n v="107071"/>
    <x v="3"/>
    <n v="64"/>
    <m/>
    <m/>
    <n v="63"/>
    <n v="2"/>
    <m/>
    <m/>
    <n v="2"/>
    <n v="23"/>
    <m/>
    <m/>
    <n v="28"/>
    <n v="2"/>
    <m/>
    <m/>
    <n v="2"/>
    <n v="48"/>
    <m/>
    <m/>
    <n v="44"/>
    <n v="2"/>
    <m/>
    <m/>
    <m/>
    <n v="23"/>
    <m/>
    <m/>
    <n v="25"/>
    <n v="6"/>
    <m/>
    <m/>
    <n v="9"/>
    <n v="0"/>
    <m/>
    <m/>
    <m/>
    <n v="1"/>
    <m/>
    <m/>
    <m/>
    <m/>
    <m/>
    <m/>
    <m/>
    <m/>
    <m/>
    <m/>
    <m/>
    <n v="4235597.96"/>
    <n v="4307940"/>
    <n v="1397750.04"/>
    <n v="1846910"/>
    <n v="2576738.16"/>
    <n v="2256523"/>
    <n v="1267091.0299999998"/>
    <n v="1548068"/>
    <n v="62424"/>
    <m/>
    <n v="0"/>
    <m/>
    <n v="598"/>
    <n v="654"/>
    <n v="229"/>
    <n v="304"/>
    <n v="454"/>
    <n v="440"/>
    <n v="273"/>
    <n v="358"/>
    <n v="11"/>
    <n v="0"/>
    <n v="0"/>
    <n v="0"/>
    <n v="7082.9397324414713"/>
    <n v="6587.0642201834862"/>
    <n v="6103.7119650655022"/>
    <n v="6075.3618421052633"/>
    <n v="5675.6347136563882"/>
    <n v="5128.4613636363638"/>
    <n v="4641.3590842490839"/>
    <n v="4324.2122905027936"/>
    <n v="5674.909090909091"/>
    <n v="0"/>
    <n v="0"/>
    <n v="0"/>
    <n v="63746.457591973245"/>
    <n v="59283.577981651375"/>
    <n v="54933.407685589518"/>
    <n v="54678.256578947374"/>
    <n v="51080.712422907491"/>
    <n v="46156.152272727275"/>
    <n v="41772.231758241753"/>
    <n v="38917.910614525143"/>
    <n v="51074.181818181816"/>
    <n v="0"/>
    <n v="0"/>
    <n v="0"/>
    <n v="54953.835772880346"/>
    <n v="51143.699000402405"/>
    <n v="66"/>
    <n v="65"/>
    <n v="25"/>
    <n v="30"/>
    <n v="50"/>
    <n v="44"/>
    <n v="29"/>
    <n v="34"/>
    <n v="1"/>
    <n v="0"/>
    <n v="0"/>
    <n v="0"/>
    <n v="171"/>
    <n v="173"/>
    <n v="4207266.2010702342"/>
    <n v="3853432.5688073393"/>
    <n v="1373335.192139738"/>
    <n v="1640347.6973684211"/>
    <n v="2554035.6211453746"/>
    <n v="2030870.7000000002"/>
    <n v="1211394.7209890108"/>
    <n v="1323208.960893855"/>
    <n v="51074.181818181816"/>
    <n v="0"/>
    <n v="0"/>
    <n v="0"/>
    <n v="9397105.9171625394"/>
    <n v="8847859.9270696156"/>
  </r>
  <r>
    <x v="1"/>
    <s v="Southern Arkansas University"/>
    <m/>
    <n v="107983"/>
    <x v="3"/>
    <n v="17"/>
    <n v="17"/>
    <m/>
    <m/>
    <n v="4"/>
    <m/>
    <m/>
    <n v="6"/>
    <n v="36"/>
    <n v="39"/>
    <m/>
    <n v="1"/>
    <n v="1"/>
    <m/>
    <m/>
    <n v="3"/>
    <n v="57"/>
    <n v="53"/>
    <m/>
    <n v="1"/>
    <n v="4"/>
    <m/>
    <m/>
    <n v="2"/>
    <n v="27"/>
    <n v="22"/>
    <m/>
    <n v="3"/>
    <n v="14"/>
    <m/>
    <m/>
    <n v="14"/>
    <n v="0"/>
    <m/>
    <m/>
    <m/>
    <n v="1"/>
    <m/>
    <m/>
    <n v="2"/>
    <m/>
    <m/>
    <m/>
    <m/>
    <m/>
    <m/>
    <m/>
    <m/>
    <n v="1646379.9400000002"/>
    <n v="1878289"/>
    <n v="2139217.9199999999"/>
    <n v="2370107"/>
    <n v="3096438.2800000003"/>
    <n v="3054919"/>
    <n v="1756924.0299999998"/>
    <n v="1643123"/>
    <n v="56960"/>
    <n v="101460"/>
    <n v="0"/>
    <m/>
    <n v="197"/>
    <n v="225"/>
    <n v="335"/>
    <n v="397"/>
    <n v="557"/>
    <n v="511"/>
    <n v="397"/>
    <n v="396"/>
    <n v="11"/>
    <n v="24"/>
    <n v="0"/>
    <n v="0"/>
    <n v="8357.2585786802047"/>
    <n v="8347.9511111111115"/>
    <n v="6385.7251343283579"/>
    <n v="5970.0428211586905"/>
    <n v="5559.1351526032322"/>
    <n v="5978.3150684931506"/>
    <n v="4425.5013350125937"/>
    <n v="4149.3005050505053"/>
    <n v="5178.181818181818"/>
    <n v="4227.5"/>
    <n v="0"/>
    <n v="0"/>
    <n v="75215.327208121846"/>
    <n v="75131.56"/>
    <n v="57471.52620895522"/>
    <n v="53730.385390428215"/>
    <n v="50032.216373429088"/>
    <n v="53804.835616438359"/>
    <n v="39829.512015113345"/>
    <n v="37343.704545454544"/>
    <n v="46603.63636363636"/>
    <n v="38047.5"/>
    <n v="0"/>
    <n v="0"/>
    <n v="52407.125272449441"/>
    <n v="52662.593396206677"/>
    <n v="21"/>
    <n v="23"/>
    <n v="37"/>
    <n v="43"/>
    <n v="61"/>
    <n v="56"/>
    <n v="41"/>
    <n v="39"/>
    <n v="1"/>
    <n v="2"/>
    <n v="0"/>
    <n v="0"/>
    <n v="161"/>
    <n v="163"/>
    <n v="1579521.8713705589"/>
    <n v="1728025.88"/>
    <n v="2126446.469731343"/>
    <n v="2310406.5717884135"/>
    <n v="3051965.1987791746"/>
    <n v="3013070.7945205481"/>
    <n v="1633009.9926196472"/>
    <n v="1456404.4772727273"/>
    <n v="46603.63636363636"/>
    <n v="76095"/>
    <n v="0"/>
    <n v="0"/>
    <n v="8437547.1688643601"/>
    <n v="8584002.7235816885"/>
  </r>
  <r>
    <x v="1"/>
    <s v="University of Arkansas at Monticello"/>
    <m/>
    <n v="106485"/>
    <x v="4"/>
    <n v="17"/>
    <n v="16"/>
    <m/>
    <m/>
    <n v="3"/>
    <m/>
    <m/>
    <n v="3"/>
    <n v="39"/>
    <n v="44"/>
    <m/>
    <m/>
    <n v="6"/>
    <m/>
    <m/>
    <n v="5"/>
    <n v="20"/>
    <n v="17"/>
    <m/>
    <m/>
    <n v="3"/>
    <m/>
    <m/>
    <n v="4"/>
    <n v="21"/>
    <n v="23"/>
    <m/>
    <n v="7"/>
    <n v="8"/>
    <n v="23"/>
    <m/>
    <n v="9"/>
    <n v="8"/>
    <m/>
    <m/>
    <m/>
    <n v="29"/>
    <m/>
    <m/>
    <m/>
    <m/>
    <m/>
    <m/>
    <m/>
    <m/>
    <m/>
    <m/>
    <m/>
    <n v="1384398.97"/>
    <n v="996258"/>
    <n v="2576904"/>
    <n v="2107951"/>
    <n v="1121957"/>
    <n v="725761"/>
    <n v="1274144.02"/>
    <n v="2054692"/>
    <n v="1524297.01"/>
    <m/>
    <n v="0"/>
    <m/>
    <n v="186"/>
    <n v="180"/>
    <n v="417"/>
    <n v="456"/>
    <n v="213"/>
    <n v="201"/>
    <n v="277"/>
    <n v="638"/>
    <n v="391"/>
    <n v="0"/>
    <n v="0"/>
    <n v="0"/>
    <n v="7443.0052150537631"/>
    <n v="5534.7666666666664"/>
    <n v="6179.6258992805751"/>
    <n v="4622.6995614035086"/>
    <n v="5267.403755868545"/>
    <n v="3610.7512437810947"/>
    <n v="4599.7979061371843"/>
    <n v="3220.5203761755488"/>
    <n v="3898.4578260869566"/>
    <n v="0"/>
    <n v="0"/>
    <n v="0"/>
    <n v="66987.046935483871"/>
    <n v="49812.899999999994"/>
    <n v="55616.633093525175"/>
    <n v="41604.29605263158"/>
    <n v="47406.633802816905"/>
    <n v="32496.761194029852"/>
    <n v="41398.181155234663"/>
    <n v="28984.683385579938"/>
    <n v="35086.120434782613"/>
    <n v="0"/>
    <n v="0"/>
    <n v="0"/>
    <n v="48256.985162154946"/>
    <n v="36188.993122910797"/>
    <n v="20"/>
    <n v="19"/>
    <n v="45"/>
    <n v="49"/>
    <n v="23"/>
    <n v="21"/>
    <n v="29"/>
    <n v="62"/>
    <n v="37"/>
    <n v="0"/>
    <n v="0"/>
    <n v="0"/>
    <n v="154"/>
    <n v="151"/>
    <n v="1339740.9387096774"/>
    <n v="946445.09999999986"/>
    <n v="2502748.4892086331"/>
    <n v="2038610.5065789474"/>
    <n v="1090352.5774647889"/>
    <n v="682431.98507462686"/>
    <n v="1200547.2535018052"/>
    <n v="1797050.3699059561"/>
    <n v="1298186.4560869567"/>
    <n v="0"/>
    <n v="0"/>
    <n v="0"/>
    <n v="7431575.7149718618"/>
    <n v="5464537.9615595303"/>
  </r>
  <r>
    <x v="1"/>
    <s v="University of Arkansas at Fort Smith"/>
    <m/>
    <n v="108092"/>
    <x v="5"/>
    <n v="10"/>
    <n v="11"/>
    <m/>
    <m/>
    <n v="2"/>
    <m/>
    <m/>
    <n v="3"/>
    <n v="36"/>
    <n v="36"/>
    <m/>
    <n v="1"/>
    <n v="18"/>
    <n v="1"/>
    <m/>
    <n v="18"/>
    <n v="98"/>
    <n v="95"/>
    <m/>
    <n v="3"/>
    <n v="8"/>
    <n v="1"/>
    <m/>
    <n v="9"/>
    <n v="47"/>
    <n v="46"/>
    <m/>
    <n v="1"/>
    <n v="13"/>
    <m/>
    <m/>
    <n v="9"/>
    <n v="8"/>
    <n v="9"/>
    <m/>
    <m/>
    <n v="1"/>
    <m/>
    <m/>
    <n v="2"/>
    <m/>
    <n v="0"/>
    <m/>
    <m/>
    <m/>
    <m/>
    <m/>
    <n v="0"/>
    <n v="1090090"/>
    <n v="1381390"/>
    <n v="4166684.1"/>
    <n v="4457076"/>
    <n v="5873533.6000000006"/>
    <n v="6150940"/>
    <n v="3005332.79"/>
    <n v="2991353"/>
    <n v="401311.04"/>
    <n v="479540"/>
    <n v="0"/>
    <n v="0"/>
    <n v="112"/>
    <n v="135"/>
    <n v="522"/>
    <n v="561"/>
    <n v="970"/>
    <n v="1004"/>
    <n v="566"/>
    <n v="532"/>
    <n v="83"/>
    <n v="105"/>
    <n v="0"/>
    <n v="0"/>
    <n v="9732.9464285714294"/>
    <n v="10232.518518518518"/>
    <n v="7982.1534482758625"/>
    <n v="7944.8770053475937"/>
    <n v="6055.1892783505164"/>
    <n v="6126.4342629482071"/>
    <n v="5309.7752473498231"/>
    <n v="5622.8439849624065"/>
    <n v="4835.0727710843375"/>
    <n v="4567.0476190476193"/>
    <n v="0"/>
    <n v="0"/>
    <n v="87596.51785714287"/>
    <n v="92092.666666666657"/>
    <n v="71839.381034482765"/>
    <n v="71503.893048128346"/>
    <n v="54496.703505154648"/>
    <n v="55137.908366533862"/>
    <n v="47787.97722614841"/>
    <n v="50605.595864661656"/>
    <n v="43515.654939759035"/>
    <n v="41103.428571428572"/>
    <n v="0"/>
    <n v="0"/>
    <n v="57950.435227057729"/>
    <n v="59324.328695187527"/>
    <n v="12"/>
    <n v="14"/>
    <n v="54"/>
    <n v="56"/>
    <n v="106"/>
    <n v="108"/>
    <n v="60"/>
    <n v="56"/>
    <n v="9"/>
    <n v="11"/>
    <n v="0"/>
    <n v="0"/>
    <n v="241"/>
    <n v="245"/>
    <n v="1051158.2142857146"/>
    <n v="1289297.3333333333"/>
    <n v="3879326.5758620691"/>
    <n v="4004218.0106951874"/>
    <n v="5776650.5715463925"/>
    <n v="5954894.1035856567"/>
    <n v="2867278.6335689048"/>
    <n v="2833913.3684210526"/>
    <n v="391640.89445783134"/>
    <n v="452137.71428571432"/>
    <n v="0"/>
    <n v="0"/>
    <n v="13966054.889720913"/>
    <n v="14534460.530320944"/>
  </r>
  <r>
    <x v="1"/>
    <s v="University of Arkansas at Pine Bluff"/>
    <s v="Met the criteria for Four-Year 5 in 2012-13."/>
    <n v="106412"/>
    <x v="5"/>
    <n v="13"/>
    <n v="16"/>
    <m/>
    <m/>
    <n v="16"/>
    <m/>
    <m/>
    <n v="12"/>
    <n v="22"/>
    <n v="17"/>
    <m/>
    <n v="1"/>
    <n v="15"/>
    <m/>
    <m/>
    <n v="20"/>
    <n v="28"/>
    <n v="25"/>
    <m/>
    <n v="1"/>
    <n v="19"/>
    <m/>
    <m/>
    <n v="15"/>
    <n v="48"/>
    <n v="45"/>
    <m/>
    <m/>
    <n v="19"/>
    <m/>
    <m/>
    <n v="15"/>
    <n v="0"/>
    <m/>
    <m/>
    <m/>
    <n v="0"/>
    <m/>
    <m/>
    <m/>
    <m/>
    <m/>
    <m/>
    <m/>
    <m/>
    <m/>
    <m/>
    <m/>
    <n v="1964296.9100000001"/>
    <n v="1905023"/>
    <n v="2287053.9899999998"/>
    <n v="2419386"/>
    <n v="2460050.1900000004"/>
    <n v="2221949"/>
    <n v="2654294.09"/>
    <n v="2483355"/>
    <n v="0"/>
    <m/>
    <n v="0"/>
    <m/>
    <n v="293"/>
    <n v="288"/>
    <n v="363"/>
    <n v="403"/>
    <n v="461"/>
    <n v="415"/>
    <n v="641"/>
    <n v="585"/>
    <n v="0"/>
    <n v="0"/>
    <n v="0"/>
    <n v="0"/>
    <n v="6704.0850170648473"/>
    <n v="6614.6631944444443"/>
    <n v="6300.4242148760322"/>
    <n v="6003.4392059553347"/>
    <n v="5336.3344685466391"/>
    <n v="5354.0939759036146"/>
    <n v="4140.8644149765987"/>
    <n v="4245.0512820512822"/>
    <n v="0"/>
    <n v="0"/>
    <n v="0"/>
    <n v="0"/>
    <n v="60336.765153583627"/>
    <n v="59531.96875"/>
    <n v="56703.817933884289"/>
    <n v="54030.952853598013"/>
    <n v="48027.010216919749"/>
    <n v="48186.845783132529"/>
    <n v="37267.779734789387"/>
    <n v="38205.461538461539"/>
    <n v="0"/>
    <n v="0"/>
    <n v="0"/>
    <n v="0"/>
    <n v="47788.989863520888"/>
    <n v="47832.692831454195"/>
    <n v="29"/>
    <n v="28"/>
    <n v="37"/>
    <n v="38"/>
    <n v="47"/>
    <n v="41"/>
    <n v="67"/>
    <n v="60"/>
    <n v="0"/>
    <n v="0"/>
    <n v="0"/>
    <n v="0"/>
    <n v="180"/>
    <n v="167"/>
    <n v="1749766.1894539252"/>
    <n v="1666895.125"/>
    <n v="2098041.2635537186"/>
    <n v="2053176.2084367245"/>
    <n v="2257269.480195228"/>
    <n v="1975660.6771084336"/>
    <n v="2496941.2422308889"/>
    <n v="2292327.6923076925"/>
    <n v="0"/>
    <n v="0"/>
    <n v="0"/>
    <n v="0"/>
    <n v="8602018.1754337605"/>
    <n v="7988059.7028528508"/>
  </r>
  <r>
    <x v="1"/>
    <s v="Northwest Arkansas Community College "/>
    <m/>
    <n v="367459"/>
    <x v="6"/>
    <m/>
    <m/>
    <m/>
    <m/>
    <m/>
    <m/>
    <m/>
    <m/>
    <m/>
    <m/>
    <m/>
    <m/>
    <m/>
    <m/>
    <m/>
    <m/>
    <m/>
    <m/>
    <m/>
    <m/>
    <m/>
    <m/>
    <m/>
    <m/>
    <m/>
    <m/>
    <m/>
    <m/>
    <m/>
    <m/>
    <m/>
    <m/>
    <m/>
    <m/>
    <m/>
    <m/>
    <m/>
    <m/>
    <m/>
    <m/>
    <n v="134"/>
    <n v="123"/>
    <m/>
    <m/>
    <n v="19"/>
    <m/>
    <m/>
    <n v="21"/>
    <n v="0"/>
    <m/>
    <n v="0"/>
    <m/>
    <n v="0"/>
    <m/>
    <n v="0"/>
    <m/>
    <n v="0"/>
    <m/>
    <n v="8345403.1700000009"/>
    <n v="8189517"/>
    <n v="0"/>
    <n v="0"/>
    <n v="0"/>
    <n v="0"/>
    <n v="0"/>
    <n v="0"/>
    <n v="0"/>
    <n v="0"/>
    <n v="0"/>
    <n v="0"/>
    <n v="1415"/>
    <n v="1359"/>
    <n v="0"/>
    <n v="0"/>
    <n v="0"/>
    <n v="0"/>
    <n v="0"/>
    <n v="0"/>
    <n v="0"/>
    <n v="0"/>
    <n v="0"/>
    <n v="0"/>
    <n v="5897.8114275618382"/>
    <n v="6026.1346578366447"/>
    <n v="0"/>
    <n v="0"/>
    <n v="0"/>
    <n v="0"/>
    <n v="0"/>
    <n v="0"/>
    <n v="0"/>
    <n v="0"/>
    <n v="0"/>
    <n v="0"/>
    <n v="53080.302848056541"/>
    <n v="54235.2119205298"/>
    <n v="53080.302848056541"/>
    <n v="54235.2119205298"/>
    <n v="0"/>
    <n v="0"/>
    <n v="0"/>
    <n v="0"/>
    <n v="0"/>
    <n v="0"/>
    <n v="0"/>
    <n v="0"/>
    <n v="0"/>
    <n v="0"/>
    <n v="153"/>
    <n v="144"/>
    <n v="153"/>
    <n v="144"/>
    <n v="0"/>
    <n v="0"/>
    <n v="0"/>
    <n v="0"/>
    <n v="0"/>
    <n v="0"/>
    <n v="0"/>
    <n v="0"/>
    <n v="0"/>
    <n v="0"/>
    <n v="8121286.3357526511"/>
    <n v="7809870.5165562909"/>
    <n v="8121286.3357526511"/>
    <n v="7809870.5165562909"/>
  </r>
  <r>
    <x v="1"/>
    <s v="Pulaski Technical College"/>
    <m/>
    <n v="107664"/>
    <x v="6"/>
    <m/>
    <m/>
    <m/>
    <m/>
    <m/>
    <m/>
    <m/>
    <m/>
    <m/>
    <m/>
    <m/>
    <m/>
    <m/>
    <m/>
    <m/>
    <m/>
    <m/>
    <m/>
    <m/>
    <m/>
    <m/>
    <m/>
    <m/>
    <m/>
    <m/>
    <m/>
    <m/>
    <m/>
    <m/>
    <m/>
    <m/>
    <m/>
    <m/>
    <m/>
    <m/>
    <m/>
    <m/>
    <m/>
    <m/>
    <m/>
    <n v="162"/>
    <n v="166"/>
    <m/>
    <n v="1"/>
    <n v="12"/>
    <m/>
    <m/>
    <n v="9"/>
    <n v="0"/>
    <m/>
    <n v="0"/>
    <m/>
    <n v="0"/>
    <m/>
    <n v="0"/>
    <m/>
    <n v="0"/>
    <m/>
    <n v="8442525.3000000007"/>
    <n v="8425514"/>
    <n v="0"/>
    <n v="0"/>
    <n v="0"/>
    <n v="0"/>
    <n v="0"/>
    <n v="0"/>
    <n v="0"/>
    <n v="0"/>
    <n v="0"/>
    <n v="0"/>
    <n v="1590"/>
    <n v="1612"/>
    <n v="0"/>
    <n v="0"/>
    <n v="0"/>
    <n v="0"/>
    <n v="0"/>
    <n v="0"/>
    <n v="0"/>
    <n v="0"/>
    <n v="0"/>
    <n v="0"/>
    <n v="5309.7643396226422"/>
    <n v="5226.7456575682381"/>
    <n v="0"/>
    <n v="0"/>
    <n v="0"/>
    <n v="0"/>
    <n v="0"/>
    <n v="0"/>
    <n v="0"/>
    <n v="0"/>
    <n v="0"/>
    <n v="0"/>
    <n v="47787.879056603779"/>
    <n v="47040.710918114142"/>
    <n v="47787.879056603779"/>
    <n v="47040.710918114142"/>
    <n v="0"/>
    <n v="0"/>
    <n v="0"/>
    <n v="0"/>
    <n v="0"/>
    <n v="0"/>
    <n v="0"/>
    <n v="0"/>
    <n v="0"/>
    <n v="0"/>
    <n v="174"/>
    <n v="176"/>
    <n v="174"/>
    <n v="176"/>
    <n v="0"/>
    <n v="0"/>
    <n v="0"/>
    <n v="0"/>
    <n v="0"/>
    <n v="0"/>
    <n v="0"/>
    <n v="0"/>
    <n v="0"/>
    <n v="0"/>
    <n v="8315090.9558490571"/>
    <n v="8279165.1215880886"/>
    <n v="8315090.9558490571"/>
    <n v="8279165.1215880886"/>
  </r>
  <r>
    <x v="1"/>
    <s v="Arkansas State University-Beebe"/>
    <m/>
    <n v="106449"/>
    <x v="7"/>
    <n v="5"/>
    <n v="1"/>
    <m/>
    <m/>
    <n v="0"/>
    <m/>
    <m/>
    <m/>
    <n v="6"/>
    <n v="5"/>
    <m/>
    <n v="1"/>
    <n v="4"/>
    <m/>
    <m/>
    <n v="4"/>
    <n v="27"/>
    <n v="30"/>
    <m/>
    <n v="1"/>
    <n v="5"/>
    <m/>
    <m/>
    <n v="5"/>
    <n v="61"/>
    <n v="49"/>
    <m/>
    <n v="20"/>
    <n v="13"/>
    <n v="7"/>
    <m/>
    <n v="6"/>
    <m/>
    <m/>
    <m/>
    <m/>
    <m/>
    <m/>
    <m/>
    <m/>
    <m/>
    <m/>
    <m/>
    <m/>
    <m/>
    <m/>
    <m/>
    <m/>
    <n v="231904"/>
    <n v="55482"/>
    <n v="614248"/>
    <n v="675127"/>
    <n v="1514014.8699999999"/>
    <n v="1824322"/>
    <n v="3107424.25"/>
    <n v="3514365"/>
    <n v="0"/>
    <m/>
    <n v="0"/>
    <m/>
    <n v="45"/>
    <n v="9"/>
    <n v="98"/>
    <n v="103"/>
    <n v="298"/>
    <n v="340"/>
    <n v="692"/>
    <n v="790"/>
    <n v="0"/>
    <n v="0"/>
    <n v="0"/>
    <n v="0"/>
    <n v="5153.4222222222224"/>
    <n v="6164.666666666667"/>
    <n v="6267.8367346938776"/>
    <n v="6554.6310679611652"/>
    <n v="5080.5868120805362"/>
    <n v="5365.6529411764704"/>
    <n v="4490.497471098266"/>
    <n v="4448.5632911392404"/>
    <n v="0"/>
    <n v="0"/>
    <n v="0"/>
    <n v="0"/>
    <n v="46380.800000000003"/>
    <n v="55482"/>
    <n v="56410.530612244896"/>
    <n v="58991.679611650485"/>
    <n v="45725.281308724829"/>
    <n v="48290.876470588235"/>
    <n v="40414.477239884392"/>
    <n v="40037.069620253162"/>
    <n v="0"/>
    <n v="0"/>
    <n v="0"/>
    <n v="0"/>
    <n v="43387.517551678415"/>
    <n v="43929.535332701089"/>
    <n v="5"/>
    <n v="1"/>
    <n v="10"/>
    <n v="10"/>
    <n v="32"/>
    <n v="36"/>
    <n v="74"/>
    <n v="82"/>
    <n v="0"/>
    <n v="0"/>
    <n v="0"/>
    <n v="0"/>
    <n v="121"/>
    <n v="129"/>
    <n v="231904"/>
    <n v="55482"/>
    <n v="564105.30612244899"/>
    <n v="589916.79611650482"/>
    <n v="1463209.0018791945"/>
    <n v="1738471.5529411766"/>
    <n v="2990671.315751445"/>
    <n v="3283039.7088607592"/>
    <n v="0"/>
    <n v="0"/>
    <n v="0"/>
    <n v="0"/>
    <n v="5249889.6237530885"/>
    <n v="5666910.0579184406"/>
  </r>
  <r>
    <x v="1"/>
    <s v="National Park Community College"/>
    <m/>
    <n v="106980"/>
    <x v="7"/>
    <m/>
    <m/>
    <m/>
    <m/>
    <m/>
    <m/>
    <m/>
    <m/>
    <m/>
    <m/>
    <m/>
    <m/>
    <m/>
    <m/>
    <m/>
    <m/>
    <m/>
    <m/>
    <m/>
    <m/>
    <m/>
    <m/>
    <m/>
    <m/>
    <m/>
    <m/>
    <m/>
    <m/>
    <m/>
    <m/>
    <m/>
    <m/>
    <m/>
    <m/>
    <m/>
    <m/>
    <m/>
    <m/>
    <m/>
    <m/>
    <n v="77"/>
    <n v="70"/>
    <m/>
    <n v="5"/>
    <n v="20"/>
    <n v="10"/>
    <m/>
    <n v="13"/>
    <n v="0"/>
    <m/>
    <n v="0"/>
    <m/>
    <n v="0"/>
    <m/>
    <n v="0"/>
    <m/>
    <n v="0"/>
    <m/>
    <n v="4372838.7899999991"/>
    <n v="4357739"/>
    <n v="0"/>
    <n v="0"/>
    <n v="0"/>
    <n v="0"/>
    <n v="0"/>
    <n v="0"/>
    <n v="0"/>
    <n v="0"/>
    <n v="0"/>
    <n v="0"/>
    <n v="913"/>
    <n v="946"/>
    <n v="0"/>
    <n v="0"/>
    <n v="0"/>
    <n v="0"/>
    <n v="0"/>
    <n v="0"/>
    <n v="0"/>
    <n v="0"/>
    <n v="0"/>
    <n v="0"/>
    <n v="4789.5276998904701"/>
    <n v="4606.4894291754754"/>
    <n v="0"/>
    <n v="0"/>
    <n v="0"/>
    <n v="0"/>
    <n v="0"/>
    <n v="0"/>
    <n v="0"/>
    <n v="0"/>
    <n v="0"/>
    <n v="0"/>
    <n v="43105.749299014235"/>
    <n v="41458.404862579278"/>
    <n v="43105.749299014235"/>
    <n v="41458.404862579278"/>
    <n v="0"/>
    <n v="0"/>
    <n v="0"/>
    <n v="0"/>
    <n v="0"/>
    <n v="0"/>
    <n v="0"/>
    <n v="0"/>
    <n v="0"/>
    <n v="0"/>
    <n v="97"/>
    <n v="98"/>
    <n v="97"/>
    <n v="98"/>
    <n v="0"/>
    <n v="0"/>
    <n v="0"/>
    <n v="0"/>
    <n v="0"/>
    <n v="0"/>
    <n v="0"/>
    <n v="0"/>
    <n v="0"/>
    <n v="0"/>
    <n v="4181257.682004381"/>
    <n v="4062923.6765327691"/>
    <n v="4181257.682004381"/>
    <n v="4062923.6765327691"/>
  </r>
  <r>
    <x v="1"/>
    <s v="Arkansas Northeastern College"/>
    <m/>
    <n v="107327"/>
    <x v="8"/>
    <m/>
    <m/>
    <m/>
    <m/>
    <m/>
    <m/>
    <m/>
    <m/>
    <m/>
    <m/>
    <m/>
    <m/>
    <m/>
    <m/>
    <m/>
    <m/>
    <m/>
    <m/>
    <m/>
    <m/>
    <m/>
    <m/>
    <m/>
    <m/>
    <m/>
    <m/>
    <m/>
    <m/>
    <m/>
    <m/>
    <m/>
    <m/>
    <m/>
    <m/>
    <m/>
    <m/>
    <m/>
    <m/>
    <m/>
    <m/>
    <n v="68"/>
    <n v="39"/>
    <m/>
    <n v="23"/>
    <n v="8"/>
    <m/>
    <m/>
    <n v="8"/>
    <n v="0"/>
    <m/>
    <n v="0"/>
    <m/>
    <n v="0"/>
    <m/>
    <n v="0"/>
    <m/>
    <n v="0"/>
    <m/>
    <n v="3440295.92"/>
    <n v="3120195"/>
    <n v="0"/>
    <n v="0"/>
    <n v="0"/>
    <n v="0"/>
    <n v="0"/>
    <n v="0"/>
    <n v="0"/>
    <n v="0"/>
    <n v="0"/>
    <n v="0"/>
    <n v="700"/>
    <n v="677"/>
    <n v="0"/>
    <n v="0"/>
    <n v="0"/>
    <n v="0"/>
    <n v="0"/>
    <n v="0"/>
    <n v="0"/>
    <n v="0"/>
    <n v="0"/>
    <n v="0"/>
    <n v="4914.7084571428568"/>
    <n v="4608.8552437223043"/>
    <n v="0"/>
    <n v="0"/>
    <n v="0"/>
    <n v="0"/>
    <n v="0"/>
    <n v="0"/>
    <n v="0"/>
    <n v="0"/>
    <n v="0"/>
    <n v="0"/>
    <n v="44232.376114285711"/>
    <n v="41479.697193500739"/>
    <n v="44232.376114285711"/>
    <n v="41479.697193500739"/>
    <n v="0"/>
    <n v="0"/>
    <n v="0"/>
    <n v="0"/>
    <n v="0"/>
    <n v="0"/>
    <n v="0"/>
    <n v="0"/>
    <n v="0"/>
    <n v="0"/>
    <n v="76"/>
    <n v="70"/>
    <n v="76"/>
    <n v="70"/>
    <n v="0"/>
    <n v="0"/>
    <n v="0"/>
    <n v="0"/>
    <n v="0"/>
    <n v="0"/>
    <n v="0"/>
    <n v="0"/>
    <n v="0"/>
    <n v="0"/>
    <n v="3361660.584685714"/>
    <n v="2903578.8035450517"/>
    <n v="3361660.584685714"/>
    <n v="2903578.8035450517"/>
  </r>
  <r>
    <x v="1"/>
    <s v="Arkansas State University Mountain Home"/>
    <m/>
    <n v="420538"/>
    <x v="8"/>
    <m/>
    <m/>
    <m/>
    <m/>
    <m/>
    <m/>
    <m/>
    <m/>
    <m/>
    <m/>
    <m/>
    <m/>
    <m/>
    <m/>
    <m/>
    <m/>
    <n v="11"/>
    <n v="11"/>
    <m/>
    <m/>
    <m/>
    <m/>
    <m/>
    <m/>
    <n v="37"/>
    <n v="37"/>
    <m/>
    <m/>
    <m/>
    <m/>
    <m/>
    <m/>
    <m/>
    <m/>
    <m/>
    <m/>
    <m/>
    <m/>
    <m/>
    <m/>
    <m/>
    <m/>
    <m/>
    <m/>
    <m/>
    <m/>
    <m/>
    <m/>
    <n v="0"/>
    <m/>
    <n v="0"/>
    <m/>
    <n v="547165.96"/>
    <n v="510326"/>
    <n v="1419278.93"/>
    <n v="1561652"/>
    <n v="0"/>
    <m/>
    <n v="0"/>
    <m/>
    <n v="0"/>
    <n v="0"/>
    <n v="0"/>
    <n v="0"/>
    <n v="99"/>
    <n v="99"/>
    <n v="333"/>
    <n v="333"/>
    <n v="0"/>
    <n v="0"/>
    <n v="0"/>
    <n v="0"/>
    <n v="0"/>
    <n v="0"/>
    <n v="0"/>
    <n v="0"/>
    <n v="5526.9288888888887"/>
    <n v="5154.8080808080804"/>
    <n v="4262.0988888888887"/>
    <n v="4689.6456456456453"/>
    <n v="0"/>
    <n v="0"/>
    <n v="0"/>
    <n v="0"/>
    <n v="0"/>
    <n v="0"/>
    <n v="0"/>
    <n v="0"/>
    <n v="49742.36"/>
    <n v="46393.272727272721"/>
    <n v="38358.89"/>
    <n v="42206.810810810806"/>
    <n v="0"/>
    <n v="0"/>
    <n v="0"/>
    <n v="0"/>
    <n v="40967.601875"/>
    <n v="43166.208333333328"/>
    <n v="0"/>
    <n v="0"/>
    <n v="0"/>
    <n v="0"/>
    <n v="11"/>
    <n v="11"/>
    <n v="37"/>
    <n v="37"/>
    <n v="0"/>
    <n v="0"/>
    <n v="0"/>
    <n v="0"/>
    <n v="48"/>
    <n v="48"/>
    <n v="0"/>
    <n v="0"/>
    <n v="0"/>
    <n v="0"/>
    <n v="547165.96"/>
    <n v="510325.99999999994"/>
    <n v="1419278.93"/>
    <n v="1561651.9999999998"/>
    <n v="0"/>
    <n v="0"/>
    <n v="0"/>
    <n v="0"/>
    <n v="1966444.8900000001"/>
    <n v="2071977.9999999998"/>
  </r>
  <r>
    <x v="1"/>
    <s v="Arkansas State University-Newport"/>
    <m/>
    <n v="440402"/>
    <x v="8"/>
    <m/>
    <m/>
    <m/>
    <m/>
    <m/>
    <m/>
    <m/>
    <m/>
    <m/>
    <m/>
    <m/>
    <m/>
    <m/>
    <m/>
    <m/>
    <m/>
    <n v="20"/>
    <n v="25"/>
    <m/>
    <m/>
    <n v="5"/>
    <m/>
    <m/>
    <n v="4"/>
    <n v="26"/>
    <n v="2"/>
    <m/>
    <n v="16"/>
    <n v="14"/>
    <m/>
    <m/>
    <n v="13"/>
    <m/>
    <m/>
    <m/>
    <m/>
    <m/>
    <m/>
    <m/>
    <m/>
    <m/>
    <m/>
    <m/>
    <m/>
    <m/>
    <m/>
    <m/>
    <m/>
    <n v="0"/>
    <m/>
    <n v="0"/>
    <m/>
    <n v="881691"/>
    <n v="1293741"/>
    <n v="1816319.06"/>
    <n v="1417058"/>
    <n v="0"/>
    <m/>
    <n v="0"/>
    <m/>
    <n v="0"/>
    <n v="0"/>
    <n v="0"/>
    <n v="0"/>
    <n v="235"/>
    <n v="273"/>
    <n v="388"/>
    <n v="334"/>
    <n v="0"/>
    <n v="0"/>
    <n v="0"/>
    <n v="0"/>
    <n v="0"/>
    <n v="0"/>
    <n v="0"/>
    <n v="0"/>
    <n v="3751.8765957446808"/>
    <n v="4738.9780219780223"/>
    <n v="4681.2346907216497"/>
    <n v="4242.688622754491"/>
    <n v="0"/>
    <n v="0"/>
    <n v="0"/>
    <n v="0"/>
    <n v="0"/>
    <n v="0"/>
    <n v="0"/>
    <n v="0"/>
    <n v="33766.889361702124"/>
    <n v="42650.802197802201"/>
    <n v="42131.112216494847"/>
    <n v="38184.197604790417"/>
    <n v="0"/>
    <n v="0"/>
    <n v="0"/>
    <n v="0"/>
    <n v="38914.103426189955"/>
    <n v="40343.056491412783"/>
    <n v="0"/>
    <n v="0"/>
    <n v="0"/>
    <n v="0"/>
    <n v="25"/>
    <n v="29"/>
    <n v="40"/>
    <n v="31"/>
    <n v="0"/>
    <n v="0"/>
    <n v="0"/>
    <n v="0"/>
    <n v="65"/>
    <n v="60"/>
    <n v="0"/>
    <n v="0"/>
    <n v="0"/>
    <n v="0"/>
    <n v="844172.23404255311"/>
    <n v="1236873.2637362638"/>
    <n v="1685244.488659794"/>
    <n v="1183710.125748503"/>
    <n v="0"/>
    <n v="0"/>
    <n v="0"/>
    <n v="0"/>
    <n v="2529416.7227023472"/>
    <n v="2420583.3894847669"/>
  </r>
  <r>
    <x v="1"/>
    <s v="Black River Technical College"/>
    <m/>
    <n v="106625"/>
    <x v="8"/>
    <m/>
    <m/>
    <m/>
    <m/>
    <m/>
    <m/>
    <m/>
    <m/>
    <m/>
    <m/>
    <m/>
    <m/>
    <m/>
    <m/>
    <m/>
    <m/>
    <m/>
    <m/>
    <m/>
    <m/>
    <m/>
    <m/>
    <m/>
    <m/>
    <m/>
    <m/>
    <m/>
    <m/>
    <m/>
    <m/>
    <m/>
    <m/>
    <m/>
    <n v="0"/>
    <m/>
    <n v="0"/>
    <m/>
    <n v="0"/>
    <m/>
    <n v="0"/>
    <n v="62"/>
    <n v="64"/>
    <m/>
    <n v="2"/>
    <n v="5"/>
    <n v="2"/>
    <m/>
    <n v="6"/>
    <n v="0"/>
    <m/>
    <n v="0"/>
    <m/>
    <n v="0"/>
    <m/>
    <n v="0"/>
    <m/>
    <n v="0"/>
    <n v="0"/>
    <n v="2823077.0799999996"/>
    <n v="3103002"/>
    <n v="0"/>
    <n v="0"/>
    <n v="0"/>
    <n v="0"/>
    <n v="0"/>
    <n v="0"/>
    <n v="0"/>
    <n v="0"/>
    <n v="0"/>
    <n v="0"/>
    <n v="613"/>
    <n v="690"/>
    <n v="0"/>
    <n v="0"/>
    <n v="0"/>
    <n v="0"/>
    <n v="0"/>
    <n v="0"/>
    <n v="0"/>
    <n v="0"/>
    <n v="0"/>
    <n v="0"/>
    <n v="4605.3459706362146"/>
    <n v="4497.1043478260872"/>
    <n v="0"/>
    <n v="0"/>
    <n v="0"/>
    <n v="0"/>
    <n v="0"/>
    <n v="0"/>
    <n v="0"/>
    <n v="0"/>
    <n v="0"/>
    <n v="0"/>
    <n v="41448.113735725929"/>
    <n v="40473.939130434781"/>
    <n v="41448.113735725929"/>
    <n v="40473.939130434781"/>
    <n v="0"/>
    <n v="0"/>
    <n v="0"/>
    <n v="0"/>
    <n v="0"/>
    <n v="0"/>
    <n v="0"/>
    <n v="0"/>
    <n v="0"/>
    <n v="0"/>
    <n v="67"/>
    <n v="74"/>
    <n v="67"/>
    <n v="74"/>
    <n v="0"/>
    <n v="0"/>
    <n v="0"/>
    <n v="0"/>
    <n v="0"/>
    <n v="0"/>
    <n v="0"/>
    <n v="0"/>
    <n v="0"/>
    <n v="0"/>
    <n v="2777023.6202936373"/>
    <n v="2995071.4956521736"/>
    <n v="2777023.6202936373"/>
    <n v="2995071.4956521736"/>
  </r>
  <r>
    <x v="1"/>
    <s v="College of the Ouachitas"/>
    <m/>
    <n v="107521"/>
    <x v="8"/>
    <m/>
    <m/>
    <m/>
    <m/>
    <m/>
    <m/>
    <m/>
    <m/>
    <m/>
    <m/>
    <m/>
    <m/>
    <m/>
    <m/>
    <m/>
    <m/>
    <m/>
    <m/>
    <m/>
    <m/>
    <m/>
    <m/>
    <m/>
    <m/>
    <m/>
    <n v="0"/>
    <m/>
    <m/>
    <m/>
    <m/>
    <m/>
    <n v="0"/>
    <m/>
    <m/>
    <m/>
    <m/>
    <m/>
    <m/>
    <m/>
    <m/>
    <n v="35"/>
    <n v="35"/>
    <m/>
    <m/>
    <n v="5"/>
    <m/>
    <m/>
    <n v="6"/>
    <n v="0"/>
    <m/>
    <n v="0"/>
    <m/>
    <n v="0"/>
    <m/>
    <n v="0"/>
    <n v="0"/>
    <n v="0"/>
    <m/>
    <n v="1696709.05"/>
    <n v="1727277"/>
    <n v="0"/>
    <n v="0"/>
    <n v="0"/>
    <n v="0"/>
    <n v="0"/>
    <n v="0"/>
    <n v="0"/>
    <n v="0"/>
    <n v="0"/>
    <n v="0"/>
    <n v="370"/>
    <n v="387"/>
    <n v="0"/>
    <n v="0"/>
    <n v="0"/>
    <n v="0"/>
    <n v="0"/>
    <n v="0"/>
    <n v="0"/>
    <n v="0"/>
    <n v="0"/>
    <n v="0"/>
    <n v="4585.7001351351355"/>
    <n v="4463.2480620155038"/>
    <n v="0"/>
    <n v="0"/>
    <n v="0"/>
    <n v="0"/>
    <n v="0"/>
    <n v="0"/>
    <n v="0"/>
    <n v="0"/>
    <n v="0"/>
    <n v="0"/>
    <n v="41271.301216216219"/>
    <n v="40169.232558139534"/>
    <n v="41271.301216216219"/>
    <n v="40169.232558139534"/>
    <n v="0"/>
    <n v="0"/>
    <n v="0"/>
    <n v="0"/>
    <n v="0"/>
    <n v="0"/>
    <n v="0"/>
    <n v="0"/>
    <n v="0"/>
    <n v="0"/>
    <n v="40"/>
    <n v="41"/>
    <n v="40"/>
    <n v="41"/>
    <n v="0"/>
    <n v="0"/>
    <n v="0"/>
    <n v="0"/>
    <n v="0"/>
    <n v="0"/>
    <n v="0"/>
    <n v="0"/>
    <n v="0"/>
    <n v="0"/>
    <n v="1650852.0486486489"/>
    <n v="1646938.5348837208"/>
    <n v="1650852.0486486489"/>
    <n v="1646938.5348837208"/>
  </r>
  <r>
    <x v="1"/>
    <s v="Cossatot Community College of the University of Arkansas"/>
    <m/>
    <n v="106795"/>
    <x v="8"/>
    <m/>
    <m/>
    <m/>
    <m/>
    <m/>
    <m/>
    <m/>
    <m/>
    <m/>
    <m/>
    <m/>
    <m/>
    <m/>
    <m/>
    <m/>
    <m/>
    <m/>
    <m/>
    <m/>
    <m/>
    <m/>
    <m/>
    <m/>
    <m/>
    <m/>
    <n v="0"/>
    <m/>
    <n v="0"/>
    <m/>
    <n v="0"/>
    <m/>
    <n v="0"/>
    <m/>
    <m/>
    <m/>
    <m/>
    <m/>
    <m/>
    <m/>
    <m/>
    <n v="29"/>
    <n v="24"/>
    <m/>
    <n v="8"/>
    <n v="6"/>
    <n v="1"/>
    <m/>
    <n v="3"/>
    <n v="0"/>
    <m/>
    <n v="0"/>
    <m/>
    <n v="0"/>
    <m/>
    <n v="0"/>
    <n v="0"/>
    <n v="0"/>
    <m/>
    <n v="1451967.9500000002"/>
    <n v="1524955"/>
    <n v="0"/>
    <n v="0"/>
    <n v="0"/>
    <n v="0"/>
    <n v="0"/>
    <n v="0"/>
    <n v="0"/>
    <n v="0"/>
    <n v="0"/>
    <n v="0"/>
    <n v="327"/>
    <n v="343"/>
    <n v="0"/>
    <n v="0"/>
    <n v="0"/>
    <n v="0"/>
    <n v="0"/>
    <n v="0"/>
    <n v="0"/>
    <n v="0"/>
    <n v="0"/>
    <n v="0"/>
    <n v="4440.268960244649"/>
    <n v="4445.9329446064139"/>
    <n v="0"/>
    <n v="0"/>
    <n v="0"/>
    <n v="0"/>
    <n v="0"/>
    <n v="0"/>
    <n v="0"/>
    <n v="0"/>
    <n v="0"/>
    <n v="0"/>
    <n v="39962.42064220184"/>
    <n v="40013.396501457726"/>
    <n v="39962.42064220184"/>
    <n v="40013.396501457726"/>
    <n v="0"/>
    <n v="0"/>
    <n v="0"/>
    <n v="0"/>
    <n v="0"/>
    <n v="0"/>
    <n v="0"/>
    <n v="0"/>
    <n v="0"/>
    <n v="0"/>
    <n v="35"/>
    <n v="36"/>
    <n v="35"/>
    <n v="36"/>
    <n v="0"/>
    <n v="0"/>
    <n v="0"/>
    <n v="0"/>
    <n v="0"/>
    <n v="0"/>
    <n v="0"/>
    <n v="0"/>
    <n v="0"/>
    <n v="0"/>
    <n v="1398684.7224770645"/>
    <n v="1440482.2740524781"/>
    <n v="1398684.7224770645"/>
    <n v="1440482.2740524781"/>
  </r>
  <r>
    <x v="1"/>
    <s v="East Arkansas Community College "/>
    <m/>
    <n v="106883"/>
    <x v="8"/>
    <m/>
    <m/>
    <m/>
    <m/>
    <m/>
    <m/>
    <m/>
    <m/>
    <m/>
    <m/>
    <m/>
    <m/>
    <m/>
    <m/>
    <m/>
    <m/>
    <m/>
    <m/>
    <m/>
    <m/>
    <m/>
    <m/>
    <m/>
    <m/>
    <m/>
    <m/>
    <m/>
    <m/>
    <m/>
    <m/>
    <m/>
    <m/>
    <m/>
    <m/>
    <m/>
    <m/>
    <m/>
    <m/>
    <m/>
    <m/>
    <n v="26"/>
    <n v="28"/>
    <m/>
    <m/>
    <n v="9"/>
    <n v="2"/>
    <m/>
    <n v="3"/>
    <n v="0"/>
    <m/>
    <n v="0"/>
    <m/>
    <n v="0"/>
    <m/>
    <n v="0"/>
    <m/>
    <n v="0"/>
    <m/>
    <n v="1678313.9100000001"/>
    <n v="1581417"/>
    <n v="0"/>
    <n v="0"/>
    <n v="0"/>
    <n v="0"/>
    <n v="0"/>
    <n v="0"/>
    <n v="0"/>
    <n v="0"/>
    <n v="0"/>
    <n v="0"/>
    <n v="333"/>
    <n v="310"/>
    <n v="0"/>
    <n v="0"/>
    <n v="0"/>
    <n v="0"/>
    <n v="0"/>
    <n v="0"/>
    <n v="0"/>
    <n v="0"/>
    <n v="0"/>
    <n v="0"/>
    <n v="5039.9817117117118"/>
    <n v="5101.3451612903227"/>
    <n v="0"/>
    <n v="0"/>
    <n v="0"/>
    <n v="0"/>
    <n v="0"/>
    <n v="0"/>
    <n v="0"/>
    <n v="0"/>
    <n v="0"/>
    <n v="0"/>
    <n v="45359.835405405407"/>
    <n v="45912.106451612904"/>
    <n v="45359.835405405407"/>
    <n v="45912.106451612904"/>
    <n v="0"/>
    <n v="0"/>
    <n v="0"/>
    <n v="0"/>
    <n v="0"/>
    <n v="0"/>
    <n v="0"/>
    <n v="0"/>
    <n v="0"/>
    <n v="0"/>
    <n v="35"/>
    <n v="33"/>
    <n v="35"/>
    <n v="33"/>
    <n v="0"/>
    <n v="0"/>
    <n v="0"/>
    <n v="0"/>
    <n v="0"/>
    <n v="0"/>
    <n v="0"/>
    <n v="0"/>
    <n v="0"/>
    <n v="0"/>
    <n v="1587594.2391891892"/>
    <n v="1515099.5129032258"/>
    <n v="1587594.2391891892"/>
    <n v="1515099.5129032258"/>
  </r>
  <r>
    <x v="1"/>
    <s v="Mid-South Community College "/>
    <m/>
    <n v="107318"/>
    <x v="8"/>
    <m/>
    <m/>
    <m/>
    <m/>
    <m/>
    <m/>
    <m/>
    <m/>
    <m/>
    <m/>
    <m/>
    <m/>
    <m/>
    <m/>
    <m/>
    <m/>
    <m/>
    <m/>
    <m/>
    <m/>
    <m/>
    <m/>
    <m/>
    <m/>
    <m/>
    <m/>
    <m/>
    <n v="0"/>
    <m/>
    <m/>
    <m/>
    <n v="0"/>
    <m/>
    <m/>
    <m/>
    <m/>
    <m/>
    <m/>
    <m/>
    <m/>
    <n v="27"/>
    <n v="0"/>
    <m/>
    <n v="28"/>
    <n v="13"/>
    <m/>
    <m/>
    <n v="12"/>
    <n v="0"/>
    <m/>
    <n v="0"/>
    <m/>
    <n v="0"/>
    <m/>
    <n v="0"/>
    <n v="0"/>
    <n v="0"/>
    <m/>
    <n v="1767908.8499999999"/>
    <n v="1764407"/>
    <n v="0"/>
    <n v="0"/>
    <n v="0"/>
    <n v="0"/>
    <n v="0"/>
    <n v="0"/>
    <n v="0"/>
    <n v="0"/>
    <n v="0"/>
    <n v="0"/>
    <n v="386"/>
    <n v="424"/>
    <n v="0"/>
    <n v="0"/>
    <n v="0"/>
    <n v="0"/>
    <n v="0"/>
    <n v="0"/>
    <n v="0"/>
    <n v="0"/>
    <n v="0"/>
    <n v="0"/>
    <n v="4580.0747409326423"/>
    <n v="4161.3372641509432"/>
    <n v="0"/>
    <n v="0"/>
    <n v="0"/>
    <n v="0"/>
    <n v="0"/>
    <n v="0"/>
    <n v="0"/>
    <n v="0"/>
    <n v="0"/>
    <n v="0"/>
    <n v="41220.672668393781"/>
    <n v="37452.035377358487"/>
    <n v="41220.672668393781"/>
    <n v="37452.035377358487"/>
    <n v="0"/>
    <n v="0"/>
    <n v="0"/>
    <n v="0"/>
    <n v="0"/>
    <n v="0"/>
    <n v="0"/>
    <n v="0"/>
    <n v="0"/>
    <n v="0"/>
    <n v="40"/>
    <n v="40"/>
    <n v="40"/>
    <n v="40"/>
    <n v="0"/>
    <n v="0"/>
    <n v="0"/>
    <n v="0"/>
    <n v="0"/>
    <n v="0"/>
    <n v="0"/>
    <n v="0"/>
    <n v="0"/>
    <n v="0"/>
    <n v="1648826.9067357513"/>
    <n v="1498081.4150943395"/>
    <n v="1648826.9067357513"/>
    <n v="1498081.4150943395"/>
  </r>
  <r>
    <x v="1"/>
    <s v="North Arkansas College"/>
    <m/>
    <n v="107460"/>
    <x v="8"/>
    <m/>
    <m/>
    <m/>
    <m/>
    <m/>
    <m/>
    <m/>
    <m/>
    <m/>
    <m/>
    <m/>
    <m/>
    <m/>
    <m/>
    <m/>
    <m/>
    <m/>
    <m/>
    <m/>
    <m/>
    <m/>
    <m/>
    <m/>
    <m/>
    <m/>
    <m/>
    <m/>
    <m/>
    <m/>
    <m/>
    <m/>
    <m/>
    <m/>
    <m/>
    <m/>
    <m/>
    <m/>
    <m/>
    <m/>
    <m/>
    <n v="60"/>
    <n v="53"/>
    <m/>
    <n v="3"/>
    <n v="10"/>
    <n v="9"/>
    <m/>
    <m/>
    <n v="0"/>
    <m/>
    <n v="0"/>
    <m/>
    <n v="0"/>
    <m/>
    <n v="0"/>
    <m/>
    <n v="0"/>
    <m/>
    <n v="3260911.8"/>
    <n v="3190325"/>
    <n v="0"/>
    <n v="0"/>
    <n v="0"/>
    <n v="0"/>
    <n v="0"/>
    <n v="0"/>
    <n v="0"/>
    <n v="0"/>
    <n v="0"/>
    <n v="0"/>
    <n v="650"/>
    <n v="606"/>
    <n v="0"/>
    <n v="0"/>
    <n v="0"/>
    <n v="0"/>
    <n v="0"/>
    <n v="0"/>
    <n v="0"/>
    <n v="0"/>
    <n v="0"/>
    <n v="0"/>
    <n v="5016.7873846153843"/>
    <n v="5264.5627062706271"/>
    <n v="0"/>
    <n v="0"/>
    <n v="0"/>
    <n v="0"/>
    <n v="0"/>
    <n v="0"/>
    <n v="0"/>
    <n v="0"/>
    <n v="0"/>
    <n v="0"/>
    <n v="45151.086461538456"/>
    <n v="47381.064356435643"/>
    <n v="45151.086461538456"/>
    <n v="47381.064356435643"/>
    <n v="0"/>
    <n v="0"/>
    <n v="0"/>
    <n v="0"/>
    <n v="0"/>
    <n v="0"/>
    <n v="0"/>
    <n v="0"/>
    <n v="0"/>
    <n v="0"/>
    <n v="70"/>
    <n v="65"/>
    <n v="70"/>
    <n v="65"/>
    <n v="0"/>
    <n v="0"/>
    <n v="0"/>
    <n v="0"/>
    <n v="0"/>
    <n v="0"/>
    <n v="0"/>
    <n v="0"/>
    <n v="0"/>
    <n v="0"/>
    <n v="3160576.0523076919"/>
    <n v="3079769.1831683167"/>
    <n v="3160576.0523076919"/>
    <n v="3079769.1831683167"/>
  </r>
  <r>
    <x v="1"/>
    <s v="Ozarka College "/>
    <m/>
    <n v="107549"/>
    <x v="8"/>
    <m/>
    <m/>
    <m/>
    <m/>
    <m/>
    <m/>
    <m/>
    <m/>
    <m/>
    <m/>
    <m/>
    <m/>
    <m/>
    <m/>
    <m/>
    <m/>
    <m/>
    <m/>
    <m/>
    <m/>
    <m/>
    <m/>
    <m/>
    <m/>
    <m/>
    <n v="0"/>
    <m/>
    <m/>
    <m/>
    <n v="0"/>
    <m/>
    <m/>
    <m/>
    <m/>
    <m/>
    <m/>
    <m/>
    <m/>
    <m/>
    <m/>
    <n v="31"/>
    <n v="35"/>
    <m/>
    <m/>
    <n v="6"/>
    <n v="6"/>
    <m/>
    <m/>
    <n v="0"/>
    <m/>
    <n v="0"/>
    <m/>
    <n v="0"/>
    <m/>
    <n v="0"/>
    <n v="0"/>
    <n v="0"/>
    <m/>
    <n v="1529331.97"/>
    <n v="1697914"/>
    <n v="0"/>
    <n v="0"/>
    <n v="0"/>
    <n v="0"/>
    <n v="0"/>
    <n v="0"/>
    <n v="0"/>
    <n v="0"/>
    <n v="0"/>
    <n v="0"/>
    <n v="345"/>
    <n v="381"/>
    <n v="0"/>
    <n v="0"/>
    <n v="0"/>
    <n v="0"/>
    <n v="0"/>
    <n v="0"/>
    <n v="0"/>
    <n v="0"/>
    <n v="0"/>
    <n v="0"/>
    <n v="4432.8462898550724"/>
    <n v="4456.4671916010502"/>
    <n v="0"/>
    <n v="0"/>
    <n v="0"/>
    <n v="0"/>
    <n v="0"/>
    <n v="0"/>
    <n v="0"/>
    <n v="0"/>
    <n v="0"/>
    <n v="0"/>
    <n v="39895.616608695651"/>
    <n v="40108.20472440945"/>
    <n v="39895.616608695651"/>
    <n v="40108.20472440945"/>
    <n v="0"/>
    <n v="0"/>
    <n v="0"/>
    <n v="0"/>
    <n v="0"/>
    <n v="0"/>
    <n v="0"/>
    <n v="0"/>
    <n v="0"/>
    <n v="0"/>
    <n v="37"/>
    <n v="41"/>
    <n v="37"/>
    <n v="41"/>
    <n v="0"/>
    <n v="0"/>
    <n v="0"/>
    <n v="0"/>
    <n v="0"/>
    <n v="0"/>
    <n v="0"/>
    <n v="0"/>
    <n v="0"/>
    <n v="0"/>
    <n v="1476137.814521739"/>
    <n v="1644436.3937007876"/>
    <n v="1476137.814521739"/>
    <n v="1644436.3937007876"/>
  </r>
  <r>
    <x v="1"/>
    <s v="Phillips Community College of the Univ of Arkansas"/>
    <m/>
    <n v="107619"/>
    <x v="8"/>
    <m/>
    <m/>
    <m/>
    <m/>
    <m/>
    <m/>
    <m/>
    <m/>
    <m/>
    <m/>
    <m/>
    <m/>
    <m/>
    <m/>
    <m/>
    <m/>
    <m/>
    <m/>
    <m/>
    <m/>
    <m/>
    <m/>
    <m/>
    <m/>
    <m/>
    <n v="0"/>
    <m/>
    <m/>
    <m/>
    <n v="0"/>
    <m/>
    <n v="0"/>
    <m/>
    <m/>
    <m/>
    <m/>
    <m/>
    <m/>
    <m/>
    <m/>
    <n v="66"/>
    <n v="61"/>
    <m/>
    <m/>
    <n v="13"/>
    <n v="6"/>
    <m/>
    <n v="6"/>
    <n v="0"/>
    <m/>
    <n v="0"/>
    <m/>
    <n v="0"/>
    <m/>
    <n v="0"/>
    <n v="0"/>
    <n v="0"/>
    <m/>
    <n v="3163694.33"/>
    <n v="3108138"/>
    <n v="0"/>
    <n v="0"/>
    <n v="0"/>
    <n v="0"/>
    <n v="0"/>
    <n v="0"/>
    <n v="0"/>
    <n v="0"/>
    <n v="0"/>
    <n v="0"/>
    <n v="737"/>
    <n v="687"/>
    <n v="0"/>
    <n v="0"/>
    <n v="0"/>
    <n v="0"/>
    <n v="0"/>
    <n v="0"/>
    <n v="0"/>
    <n v="0"/>
    <n v="0"/>
    <n v="0"/>
    <n v="4292.6653052917236"/>
    <n v="4524.2183406113536"/>
    <n v="0"/>
    <n v="0"/>
    <n v="0"/>
    <n v="0"/>
    <n v="0"/>
    <n v="0"/>
    <n v="0"/>
    <n v="0"/>
    <n v="0"/>
    <n v="0"/>
    <n v="38633.987747625513"/>
    <n v="40717.965065502183"/>
    <n v="38633.987747625513"/>
    <n v="40717.965065502183"/>
    <n v="0"/>
    <n v="0"/>
    <n v="0"/>
    <n v="0"/>
    <n v="0"/>
    <n v="0"/>
    <n v="0"/>
    <n v="0"/>
    <n v="0"/>
    <n v="0"/>
    <n v="79"/>
    <n v="73"/>
    <n v="79"/>
    <n v="73"/>
    <n v="0"/>
    <n v="0"/>
    <n v="0"/>
    <n v="0"/>
    <n v="0"/>
    <n v="0"/>
    <n v="0"/>
    <n v="0"/>
    <n v="0"/>
    <n v="0"/>
    <n v="3052085.0320624155"/>
    <n v="2972411.4497816595"/>
    <n v="3052085.0320624155"/>
    <n v="2972411.4497816595"/>
  </r>
  <r>
    <x v="1"/>
    <s v="Rich Mountain Community College "/>
    <m/>
    <n v="107743"/>
    <x v="8"/>
    <m/>
    <m/>
    <m/>
    <m/>
    <m/>
    <m/>
    <m/>
    <m/>
    <m/>
    <m/>
    <m/>
    <m/>
    <m/>
    <m/>
    <m/>
    <m/>
    <m/>
    <m/>
    <m/>
    <m/>
    <m/>
    <m/>
    <m/>
    <m/>
    <m/>
    <n v="0"/>
    <m/>
    <n v="0"/>
    <m/>
    <n v="0"/>
    <m/>
    <n v="0"/>
    <m/>
    <m/>
    <m/>
    <m/>
    <m/>
    <m/>
    <m/>
    <m/>
    <n v="20"/>
    <n v="15"/>
    <m/>
    <n v="1"/>
    <n v="0"/>
    <n v="2"/>
    <m/>
    <n v="1"/>
    <n v="0"/>
    <m/>
    <n v="0"/>
    <m/>
    <n v="0"/>
    <m/>
    <n v="0"/>
    <n v="0"/>
    <n v="0"/>
    <m/>
    <n v="952228"/>
    <n v="926342"/>
    <n v="0"/>
    <n v="0"/>
    <n v="0"/>
    <n v="0"/>
    <n v="0"/>
    <n v="0"/>
    <n v="0"/>
    <n v="0"/>
    <n v="0"/>
    <n v="0"/>
    <n v="180"/>
    <n v="179"/>
    <n v="0"/>
    <n v="0"/>
    <n v="0"/>
    <n v="0"/>
    <n v="0"/>
    <n v="0"/>
    <n v="0"/>
    <n v="0"/>
    <n v="0"/>
    <n v="0"/>
    <n v="5290.1555555555551"/>
    <n v="5175.0949720670387"/>
    <n v="0"/>
    <n v="0"/>
    <n v="0"/>
    <n v="0"/>
    <n v="0"/>
    <n v="0"/>
    <n v="0"/>
    <n v="0"/>
    <n v="0"/>
    <n v="0"/>
    <n v="47611.399999999994"/>
    <n v="46575.854748603349"/>
    <n v="47611.399999999994"/>
    <n v="46575.854748603349"/>
    <n v="0"/>
    <n v="0"/>
    <n v="0"/>
    <n v="0"/>
    <n v="0"/>
    <n v="0"/>
    <n v="0"/>
    <n v="0"/>
    <n v="0"/>
    <n v="0"/>
    <n v="20"/>
    <n v="19"/>
    <n v="20"/>
    <n v="19"/>
    <n v="0"/>
    <n v="0"/>
    <n v="0"/>
    <n v="0"/>
    <n v="0"/>
    <n v="0"/>
    <n v="0"/>
    <n v="0"/>
    <n v="0"/>
    <n v="0"/>
    <n v="952227.99999999988"/>
    <n v="884941.24022346362"/>
    <n v="952227.99999999988"/>
    <n v="884941.24022346362"/>
  </r>
  <r>
    <x v="1"/>
    <s v="South Arkansas Community College"/>
    <m/>
    <n v="107974"/>
    <x v="8"/>
    <n v="10"/>
    <n v="10"/>
    <m/>
    <m/>
    <n v="5"/>
    <m/>
    <m/>
    <n v="5"/>
    <n v="2"/>
    <n v="1"/>
    <m/>
    <m/>
    <n v="2"/>
    <m/>
    <m/>
    <n v="2"/>
    <n v="1"/>
    <n v="2"/>
    <m/>
    <m/>
    <n v="7"/>
    <m/>
    <m/>
    <n v="8"/>
    <n v="20"/>
    <n v="24"/>
    <m/>
    <m/>
    <n v="14"/>
    <m/>
    <m/>
    <n v="8"/>
    <m/>
    <m/>
    <m/>
    <m/>
    <m/>
    <m/>
    <m/>
    <m/>
    <m/>
    <m/>
    <m/>
    <m/>
    <m/>
    <m/>
    <m/>
    <m/>
    <n v="875255"/>
    <n v="847017"/>
    <n v="205487"/>
    <n v="162803"/>
    <n v="370010.97"/>
    <n v="431276"/>
    <n v="1414679.96"/>
    <n v="1332940"/>
    <n v="0"/>
    <m/>
    <n v="0"/>
    <m/>
    <n v="145"/>
    <n v="150"/>
    <n v="40"/>
    <n v="33"/>
    <n v="86"/>
    <n v="114"/>
    <n v="334"/>
    <n v="312"/>
    <n v="0"/>
    <n v="0"/>
    <n v="0"/>
    <n v="0"/>
    <n v="6036.2413793103451"/>
    <n v="5646.78"/>
    <n v="5137.1750000000002"/>
    <n v="4933.424242424242"/>
    <n v="4302.4531395348831"/>
    <n v="3783.1228070175439"/>
    <n v="4235.5687425149699"/>
    <n v="4272.2435897435898"/>
    <n v="0"/>
    <n v="0"/>
    <n v="0"/>
    <n v="0"/>
    <n v="54326.172413793109"/>
    <n v="50821.02"/>
    <n v="46234.575000000004"/>
    <n v="44400.818181818177"/>
    <n v="38722.078255813947"/>
    <n v="34048.105263157893"/>
    <n v="38120.118682634726"/>
    <n v="38450.192307692312"/>
    <n v="0"/>
    <n v="0"/>
    <n v="0"/>
    <n v="0"/>
    <n v="42716.254876442443"/>
    <n v="41106.749350386453"/>
    <n v="15"/>
    <n v="15"/>
    <n v="4"/>
    <n v="3"/>
    <n v="8"/>
    <n v="10"/>
    <n v="34"/>
    <n v="32"/>
    <n v="0"/>
    <n v="0"/>
    <n v="0"/>
    <n v="0"/>
    <n v="61"/>
    <n v="60"/>
    <n v="814892.58620689658"/>
    <n v="762315.29999999993"/>
    <n v="184938.30000000002"/>
    <n v="133202.45454545453"/>
    <n v="309776.62604651158"/>
    <n v="340481.05263157893"/>
    <n v="1296084.0352095808"/>
    <n v="1230406.153846154"/>
    <n v="0"/>
    <n v="0"/>
    <n v="0"/>
    <n v="0"/>
    <n v="2605691.5474629891"/>
    <n v="2466404.9610231873"/>
  </r>
  <r>
    <x v="1"/>
    <s v="Southeast Arkansas College"/>
    <m/>
    <n v="107637"/>
    <x v="8"/>
    <m/>
    <m/>
    <m/>
    <m/>
    <m/>
    <m/>
    <m/>
    <m/>
    <m/>
    <m/>
    <m/>
    <m/>
    <m/>
    <m/>
    <m/>
    <m/>
    <m/>
    <m/>
    <m/>
    <m/>
    <m/>
    <m/>
    <m/>
    <m/>
    <m/>
    <n v="0"/>
    <m/>
    <m/>
    <m/>
    <m/>
    <m/>
    <n v="0"/>
    <m/>
    <m/>
    <m/>
    <m/>
    <m/>
    <m/>
    <m/>
    <m/>
    <n v="41"/>
    <n v="41"/>
    <m/>
    <m/>
    <n v="8"/>
    <m/>
    <m/>
    <n v="1"/>
    <n v="0"/>
    <m/>
    <n v="0"/>
    <m/>
    <n v="0"/>
    <m/>
    <n v="0"/>
    <n v="0"/>
    <n v="0"/>
    <m/>
    <n v="2214929.1800000002"/>
    <n v="1735168"/>
    <n v="0"/>
    <n v="0"/>
    <n v="0"/>
    <n v="0"/>
    <n v="0"/>
    <n v="0"/>
    <n v="0"/>
    <n v="0"/>
    <n v="0"/>
    <n v="0"/>
    <n v="457"/>
    <n v="381"/>
    <n v="0"/>
    <n v="0"/>
    <n v="0"/>
    <n v="0"/>
    <n v="0"/>
    <n v="0"/>
    <n v="0"/>
    <n v="0"/>
    <n v="0"/>
    <n v="0"/>
    <n v="4846.6721663019698"/>
    <n v="4554.2467191601054"/>
    <n v="0"/>
    <n v="0"/>
    <n v="0"/>
    <n v="0"/>
    <n v="0"/>
    <n v="0"/>
    <n v="0"/>
    <n v="0"/>
    <n v="0"/>
    <n v="0"/>
    <n v="43620.049496717729"/>
    <n v="40988.220472440946"/>
    <n v="43620.049496717729"/>
    <n v="40988.220472440946"/>
    <n v="0"/>
    <n v="0"/>
    <n v="0"/>
    <n v="0"/>
    <n v="0"/>
    <n v="0"/>
    <n v="0"/>
    <n v="0"/>
    <n v="0"/>
    <n v="0"/>
    <n v="49"/>
    <n v="42"/>
    <n v="49"/>
    <n v="42"/>
    <n v="0"/>
    <n v="0"/>
    <n v="0"/>
    <n v="0"/>
    <n v="0"/>
    <n v="0"/>
    <n v="0"/>
    <n v="0"/>
    <n v="0"/>
    <n v="0"/>
    <n v="2137382.4253391689"/>
    <n v="1721505.2598425196"/>
    <n v="2137382.4253391689"/>
    <n v="1721505.2598425196"/>
  </r>
  <r>
    <x v="1"/>
    <s v="Southern Arkansas University Tech"/>
    <m/>
    <n v="107992"/>
    <x v="8"/>
    <m/>
    <m/>
    <m/>
    <m/>
    <m/>
    <m/>
    <m/>
    <m/>
    <m/>
    <m/>
    <m/>
    <m/>
    <m/>
    <m/>
    <m/>
    <m/>
    <m/>
    <m/>
    <m/>
    <m/>
    <m/>
    <m/>
    <m/>
    <m/>
    <m/>
    <m/>
    <m/>
    <m/>
    <m/>
    <m/>
    <m/>
    <m/>
    <m/>
    <m/>
    <m/>
    <m/>
    <m/>
    <m/>
    <m/>
    <m/>
    <n v="25"/>
    <n v="25"/>
    <m/>
    <n v="1"/>
    <n v="9"/>
    <n v="3"/>
    <m/>
    <n v="6"/>
    <n v="0"/>
    <m/>
    <n v="0"/>
    <m/>
    <n v="0"/>
    <m/>
    <n v="0"/>
    <m/>
    <n v="0"/>
    <m/>
    <n v="1445636.04"/>
    <n v="1539309"/>
    <n v="0"/>
    <n v="0"/>
    <n v="0"/>
    <n v="0"/>
    <n v="0"/>
    <n v="0"/>
    <n v="0"/>
    <n v="0"/>
    <n v="0"/>
    <n v="0"/>
    <n v="324"/>
    <n v="340"/>
    <n v="0"/>
    <n v="0"/>
    <n v="0"/>
    <n v="0"/>
    <n v="0"/>
    <n v="0"/>
    <n v="0"/>
    <n v="0"/>
    <n v="0"/>
    <n v="0"/>
    <n v="4461.8396296296296"/>
    <n v="4527.3794117647058"/>
    <n v="0"/>
    <n v="0"/>
    <n v="0"/>
    <n v="0"/>
    <n v="0"/>
    <n v="0"/>
    <n v="0"/>
    <n v="0"/>
    <n v="0"/>
    <n v="0"/>
    <n v="40156.556666666664"/>
    <n v="40746.414705882351"/>
    <n v="40156.556666666664"/>
    <n v="40746.414705882351"/>
    <n v="0"/>
    <n v="0"/>
    <n v="0"/>
    <n v="0"/>
    <n v="0"/>
    <n v="0"/>
    <n v="0"/>
    <n v="0"/>
    <n v="0"/>
    <n v="0"/>
    <n v="34"/>
    <n v="35"/>
    <n v="34"/>
    <n v="35"/>
    <n v="0"/>
    <n v="0"/>
    <n v="0"/>
    <n v="0"/>
    <n v="0"/>
    <n v="0"/>
    <n v="0"/>
    <n v="0"/>
    <n v="0"/>
    <n v="0"/>
    <n v="1365322.9266666665"/>
    <n v="1426124.5147058822"/>
    <n v="1365322.9266666665"/>
    <n v="1426124.5147058822"/>
  </r>
  <r>
    <x v="1"/>
    <s v="University of Arkansas Community College at Batesville"/>
    <m/>
    <n v="106999"/>
    <x v="8"/>
    <m/>
    <m/>
    <m/>
    <m/>
    <m/>
    <m/>
    <m/>
    <m/>
    <m/>
    <m/>
    <m/>
    <m/>
    <m/>
    <m/>
    <m/>
    <m/>
    <m/>
    <m/>
    <m/>
    <m/>
    <m/>
    <m/>
    <m/>
    <m/>
    <m/>
    <m/>
    <m/>
    <m/>
    <m/>
    <m/>
    <m/>
    <m/>
    <m/>
    <m/>
    <m/>
    <m/>
    <m/>
    <m/>
    <m/>
    <m/>
    <n v="29"/>
    <n v="28"/>
    <m/>
    <m/>
    <n v="18"/>
    <n v="8"/>
    <m/>
    <n v="6"/>
    <n v="0"/>
    <m/>
    <n v="0"/>
    <m/>
    <n v="0"/>
    <m/>
    <n v="0"/>
    <m/>
    <n v="0"/>
    <m/>
    <n v="2017766.93"/>
    <n v="1687867"/>
    <n v="0"/>
    <n v="0"/>
    <n v="0"/>
    <n v="0"/>
    <n v="0"/>
    <n v="0"/>
    <n v="0"/>
    <n v="0"/>
    <n v="0"/>
    <n v="0"/>
    <n v="459"/>
    <n v="412"/>
    <n v="0"/>
    <n v="0"/>
    <n v="0"/>
    <n v="0"/>
    <n v="0"/>
    <n v="0"/>
    <n v="0"/>
    <n v="0"/>
    <n v="0"/>
    <n v="0"/>
    <n v="4396.0063834422654"/>
    <n v="4096.7645631067962"/>
    <n v="0"/>
    <n v="0"/>
    <n v="0"/>
    <n v="0"/>
    <n v="0"/>
    <n v="0"/>
    <n v="0"/>
    <n v="0"/>
    <n v="0"/>
    <n v="0"/>
    <n v="39564.057450980385"/>
    <n v="36870.881067961163"/>
    <n v="39564.057450980385"/>
    <n v="36870.881067961163"/>
    <n v="0"/>
    <n v="0"/>
    <n v="0"/>
    <n v="0"/>
    <n v="0"/>
    <n v="0"/>
    <n v="0"/>
    <n v="0"/>
    <n v="0"/>
    <n v="0"/>
    <n v="47"/>
    <n v="42"/>
    <n v="47"/>
    <n v="42"/>
    <n v="0"/>
    <n v="0"/>
    <n v="0"/>
    <n v="0"/>
    <n v="0"/>
    <n v="0"/>
    <n v="0"/>
    <n v="0"/>
    <n v="0"/>
    <n v="0"/>
    <n v="1859510.700196078"/>
    <n v="1548577.004854369"/>
    <n v="1859510.700196078"/>
    <n v="1548577.004854369"/>
  </r>
  <r>
    <x v="1"/>
    <s v="University of Arkansas Community College at Hope"/>
    <m/>
    <n v="107725"/>
    <x v="8"/>
    <m/>
    <m/>
    <m/>
    <m/>
    <m/>
    <m/>
    <m/>
    <m/>
    <m/>
    <m/>
    <m/>
    <m/>
    <m/>
    <m/>
    <m/>
    <m/>
    <m/>
    <m/>
    <m/>
    <m/>
    <m/>
    <m/>
    <m/>
    <m/>
    <m/>
    <n v="0"/>
    <m/>
    <n v="0"/>
    <m/>
    <n v="0"/>
    <m/>
    <n v="0"/>
    <m/>
    <m/>
    <m/>
    <m/>
    <m/>
    <m/>
    <m/>
    <m/>
    <n v="31"/>
    <n v="30"/>
    <m/>
    <n v="2"/>
    <n v="6"/>
    <n v="2"/>
    <m/>
    <n v="6"/>
    <n v="0"/>
    <m/>
    <n v="0"/>
    <m/>
    <n v="0"/>
    <m/>
    <n v="0"/>
    <n v="0"/>
    <n v="0"/>
    <m/>
    <n v="1587418.1600000001"/>
    <n v="1773217"/>
    <n v="0"/>
    <n v="0"/>
    <n v="0"/>
    <n v="0"/>
    <n v="0"/>
    <n v="0"/>
    <n v="0"/>
    <n v="0"/>
    <n v="0"/>
    <n v="0"/>
    <n v="345"/>
    <n v="384"/>
    <n v="0"/>
    <n v="0"/>
    <n v="0"/>
    <n v="0"/>
    <n v="0"/>
    <n v="0"/>
    <n v="0"/>
    <n v="0"/>
    <n v="0"/>
    <n v="0"/>
    <n v="4601.2120579710145"/>
    <n v="4617.752604166667"/>
    <n v="0"/>
    <n v="0"/>
    <n v="0"/>
    <n v="0"/>
    <n v="0"/>
    <n v="0"/>
    <n v="0"/>
    <n v="0"/>
    <n v="0"/>
    <n v="0"/>
    <n v="41410.908521739133"/>
    <n v="41559.7734375"/>
    <n v="41410.908521739133"/>
    <n v="41559.7734375"/>
    <n v="0"/>
    <n v="0"/>
    <n v="0"/>
    <n v="0"/>
    <n v="0"/>
    <n v="0"/>
    <n v="0"/>
    <n v="0"/>
    <n v="0"/>
    <n v="0"/>
    <n v="37"/>
    <n v="40"/>
    <n v="37"/>
    <n v="40"/>
    <n v="0"/>
    <n v="0"/>
    <n v="0"/>
    <n v="0"/>
    <n v="0"/>
    <n v="0"/>
    <n v="0"/>
    <n v="0"/>
    <n v="0"/>
    <n v="0"/>
    <n v="1532203.6153043478"/>
    <n v="1662390.9375"/>
    <n v="1532203.6153043478"/>
    <n v="1662390.9375"/>
  </r>
  <r>
    <x v="1"/>
    <s v="University of Arkansas Community College at Morrilton"/>
    <m/>
    <n v="107585"/>
    <x v="8"/>
    <m/>
    <m/>
    <m/>
    <m/>
    <m/>
    <m/>
    <m/>
    <m/>
    <m/>
    <m/>
    <m/>
    <m/>
    <m/>
    <m/>
    <m/>
    <m/>
    <m/>
    <m/>
    <m/>
    <m/>
    <m/>
    <m/>
    <m/>
    <m/>
    <m/>
    <n v="0"/>
    <m/>
    <m/>
    <m/>
    <m/>
    <m/>
    <n v="0"/>
    <m/>
    <m/>
    <m/>
    <m/>
    <m/>
    <m/>
    <m/>
    <m/>
    <n v="58"/>
    <n v="56"/>
    <m/>
    <m/>
    <n v="8"/>
    <m/>
    <m/>
    <n v="8"/>
    <n v="0"/>
    <m/>
    <n v="0"/>
    <m/>
    <n v="0"/>
    <m/>
    <n v="0"/>
    <n v="0"/>
    <n v="0"/>
    <m/>
    <n v="2981740.96"/>
    <n v="2660496"/>
    <n v="0"/>
    <n v="0"/>
    <n v="0"/>
    <n v="0"/>
    <n v="0"/>
    <n v="0"/>
    <n v="0"/>
    <n v="0"/>
    <n v="0"/>
    <n v="0"/>
    <n v="610"/>
    <n v="600"/>
    <n v="0"/>
    <n v="0"/>
    <n v="0"/>
    <n v="0"/>
    <n v="0"/>
    <n v="0"/>
    <n v="0"/>
    <n v="0"/>
    <n v="0"/>
    <n v="0"/>
    <n v="4888.0999344262291"/>
    <n v="4434.16"/>
    <n v="0"/>
    <n v="0"/>
    <n v="0"/>
    <n v="0"/>
    <n v="0"/>
    <n v="0"/>
    <n v="0"/>
    <n v="0"/>
    <n v="0"/>
    <n v="0"/>
    <n v="43992.899409836064"/>
    <n v="39907.440000000002"/>
    <n v="43992.899409836064"/>
    <n v="39907.440000000002"/>
    <n v="0"/>
    <n v="0"/>
    <n v="0"/>
    <n v="0"/>
    <n v="0"/>
    <n v="0"/>
    <n v="0"/>
    <n v="0"/>
    <n v="0"/>
    <n v="0"/>
    <n v="66"/>
    <n v="64"/>
    <n v="66"/>
    <n v="64"/>
    <n v="0"/>
    <n v="0"/>
    <n v="0"/>
    <n v="0"/>
    <n v="0"/>
    <n v="0"/>
    <n v="0"/>
    <n v="0"/>
    <n v="0"/>
    <n v="0"/>
    <n v="2903531.3610491804"/>
    <n v="2554076.1600000001"/>
    <n v="2903531.3610491804"/>
    <n v="2554076.1600000001"/>
  </r>
  <r>
    <x v="2"/>
    <s v="University of Delaware"/>
    <m/>
    <n v="130943"/>
    <x v="0"/>
    <n v="359"/>
    <n v="332"/>
    <m/>
    <n v="9"/>
    <n v="36"/>
    <n v="10"/>
    <m/>
    <n v="34"/>
    <n v="317"/>
    <n v="310"/>
    <m/>
    <n v="11"/>
    <n v="17"/>
    <n v="10"/>
    <m/>
    <n v="8"/>
    <n v="285"/>
    <n v="259"/>
    <m/>
    <n v="10"/>
    <n v="15"/>
    <n v="10"/>
    <m/>
    <n v="18"/>
    <n v="90"/>
    <n v="56"/>
    <m/>
    <n v="18"/>
    <n v="12"/>
    <n v="7"/>
    <m/>
    <n v="16"/>
    <n v="0"/>
    <m/>
    <m/>
    <m/>
    <n v="0"/>
    <m/>
    <m/>
    <m/>
    <m/>
    <m/>
    <m/>
    <m/>
    <n v="0"/>
    <m/>
    <m/>
    <m/>
    <n v="55760974"/>
    <n v="56514825"/>
    <n v="31904907"/>
    <n v="34752678"/>
    <n v="24690915"/>
    <n v="25157235"/>
    <n v="6711924"/>
    <n v="6670989"/>
    <n v="0"/>
    <m/>
    <n v="0"/>
    <m/>
    <n v="3627"/>
    <n v="3596"/>
    <n v="3040"/>
    <n v="3106"/>
    <n v="2730"/>
    <n v="2757"/>
    <n v="942"/>
    <n v="953"/>
    <n v="0"/>
    <n v="0"/>
    <n v="0"/>
    <n v="0"/>
    <n v="15373.85552798456"/>
    <n v="15716.024749721913"/>
    <n v="10495.035197368421"/>
    <n v="11188.885383129427"/>
    <n v="9044.2912087912082"/>
    <n v="9124.8585418933617"/>
    <n v="7125.1847133757965"/>
    <n v="6999.9884575026235"/>
    <n v="0"/>
    <n v="0"/>
    <n v="0"/>
    <n v="0"/>
    <n v="138364.69975186104"/>
    <n v="141444.22274749723"/>
    <n v="94455.316776315783"/>
    <n v="100699.96844816484"/>
    <n v="81398.620879120877"/>
    <n v="82123.726877040259"/>
    <n v="64126.66242038217"/>
    <n v="62999.896117523611"/>
    <n v="0"/>
    <n v="0"/>
    <n v="0"/>
    <n v="0"/>
    <n v="103592.07607063644"/>
    <n v="106525.09111591688"/>
    <n v="395"/>
    <n v="385"/>
    <n v="334"/>
    <n v="339"/>
    <n v="300"/>
    <n v="297"/>
    <n v="102"/>
    <n v="97"/>
    <n v="0"/>
    <n v="0"/>
    <n v="0"/>
    <n v="0"/>
    <n v="1131"/>
    <n v="1118"/>
    <n v="54654056.401985109"/>
    <n v="54456025.75778643"/>
    <n v="31548075.803289473"/>
    <n v="34137289.303927884"/>
    <n v="24419586.263736263"/>
    <n v="24390746.882480957"/>
    <n v="6540919.566878981"/>
    <n v="6110989.9233997902"/>
    <n v="0"/>
    <n v="0"/>
    <n v="0"/>
    <n v="0"/>
    <n v="117162638.0358898"/>
    <n v="119095051.86759506"/>
  </r>
  <r>
    <x v="2"/>
    <s v="Delaware State University"/>
    <s v="Reclassified: met the criteria for Four-Year 3 in 2010-11, 2011-12 and 2012-13."/>
    <n v="130934"/>
    <x v="2"/>
    <n v="28"/>
    <n v="26"/>
    <m/>
    <n v="11"/>
    <n v="11"/>
    <m/>
    <m/>
    <m/>
    <n v="72"/>
    <n v="68"/>
    <m/>
    <n v="16"/>
    <n v="19"/>
    <m/>
    <m/>
    <m/>
    <n v="54"/>
    <n v="52"/>
    <m/>
    <n v="10"/>
    <n v="9"/>
    <m/>
    <m/>
    <m/>
    <n v="12"/>
    <m/>
    <m/>
    <m/>
    <m/>
    <m/>
    <m/>
    <m/>
    <n v="2"/>
    <m/>
    <m/>
    <m/>
    <m/>
    <m/>
    <m/>
    <m/>
    <m/>
    <m/>
    <m/>
    <m/>
    <m/>
    <m/>
    <m/>
    <m/>
    <n v="3324889"/>
    <n v="3234511"/>
    <n v="6004521"/>
    <n v="5835710"/>
    <n v="3775185"/>
    <n v="3997320"/>
    <n v="566928"/>
    <m/>
    <n v="94000"/>
    <m/>
    <n v="0"/>
    <m/>
    <n v="373"/>
    <n v="344"/>
    <n v="857"/>
    <n v="772"/>
    <n v="585"/>
    <n v="568"/>
    <n v="108"/>
    <n v="0"/>
    <n v="18"/>
    <n v="0"/>
    <n v="0"/>
    <n v="0"/>
    <n v="8913.9115281501345"/>
    <n v="9402.6482558139542"/>
    <n v="7006.4422403733952"/>
    <n v="7559.2098445595857"/>
    <n v="6453.3076923076924"/>
    <n v="7037.5352112676055"/>
    <n v="5249.333333333333"/>
    <n v="0"/>
    <n v="5222.2222222222226"/>
    <n v="0"/>
    <n v="0"/>
    <n v="0"/>
    <n v="80225.203753351205"/>
    <n v="84623.834302325587"/>
    <n v="63057.980163360553"/>
    <n v="68032.888601036277"/>
    <n v="58079.769230769234"/>
    <n v="63337.816901408449"/>
    <n v="47244"/>
    <n v="0"/>
    <n v="47000"/>
    <n v="0"/>
    <n v="0"/>
    <n v="0"/>
    <n v="63705.374892681015"/>
    <n v="69796.662074100634"/>
    <n v="39"/>
    <n v="37"/>
    <n v="91"/>
    <n v="84"/>
    <n v="63"/>
    <n v="62"/>
    <n v="12"/>
    <n v="0"/>
    <n v="2"/>
    <n v="0"/>
    <n v="0"/>
    <n v="0"/>
    <n v="207"/>
    <n v="183"/>
    <n v="3128782.9463806972"/>
    <n v="3131081.8691860465"/>
    <n v="5738276.1948658107"/>
    <n v="5714762.6424870472"/>
    <n v="3659025.461538462"/>
    <n v="3926944.647887324"/>
    <n v="566928"/>
    <n v="0"/>
    <n v="94000"/>
    <n v="0"/>
    <n v="0"/>
    <n v="0"/>
    <n v="13187012.602784971"/>
    <n v="12772789.159560416"/>
  </r>
  <r>
    <x v="2"/>
    <s v="Delaware Technical and Community College--Stanton-Wilmington"/>
    <m/>
    <n v="130916"/>
    <x v="6"/>
    <m/>
    <m/>
    <m/>
    <m/>
    <m/>
    <m/>
    <m/>
    <m/>
    <m/>
    <m/>
    <m/>
    <m/>
    <m/>
    <m/>
    <m/>
    <m/>
    <m/>
    <m/>
    <m/>
    <m/>
    <m/>
    <m/>
    <m/>
    <m/>
    <m/>
    <m/>
    <m/>
    <m/>
    <m/>
    <m/>
    <m/>
    <m/>
    <m/>
    <m/>
    <m/>
    <m/>
    <m/>
    <m/>
    <m/>
    <m/>
    <n v="125"/>
    <m/>
    <m/>
    <n v="85"/>
    <n v="51"/>
    <n v="10"/>
    <m/>
    <n v="14"/>
    <n v="0"/>
    <m/>
    <n v="0"/>
    <m/>
    <n v="0"/>
    <m/>
    <n v="0"/>
    <m/>
    <n v="0"/>
    <m/>
    <n v="12017776"/>
    <n v="10534107"/>
    <n v="0"/>
    <n v="0"/>
    <n v="0"/>
    <n v="0"/>
    <n v="0"/>
    <n v="0"/>
    <n v="0"/>
    <n v="0"/>
    <n v="0"/>
    <n v="0"/>
    <n v="1686"/>
    <n v="1128"/>
    <n v="0"/>
    <n v="0"/>
    <n v="0"/>
    <n v="0"/>
    <n v="0"/>
    <n v="0"/>
    <n v="0"/>
    <n v="0"/>
    <n v="0"/>
    <n v="0"/>
    <n v="7127.9810201660739"/>
    <n v="9338.7473404255325"/>
    <n v="0"/>
    <n v="0"/>
    <n v="0"/>
    <n v="0"/>
    <n v="0"/>
    <n v="0"/>
    <n v="0"/>
    <n v="0"/>
    <n v="0"/>
    <n v="0"/>
    <n v="64151.829181494664"/>
    <n v="84048.726063829788"/>
    <n v="64151.829181494664"/>
    <n v="84048.726063829788"/>
    <n v="0"/>
    <n v="0"/>
    <n v="0"/>
    <n v="0"/>
    <n v="0"/>
    <n v="0"/>
    <n v="0"/>
    <n v="0"/>
    <n v="0"/>
    <n v="0"/>
    <n v="176"/>
    <n v="109"/>
    <n v="176"/>
    <n v="109"/>
    <n v="0"/>
    <n v="0"/>
    <n v="0"/>
    <n v="0"/>
    <n v="0"/>
    <n v="0"/>
    <n v="0"/>
    <n v="0"/>
    <n v="0"/>
    <n v="0"/>
    <n v="11290721.935943061"/>
    <n v="9161311.1409574468"/>
    <n v="11290721.935943061"/>
    <n v="9161311.1409574468"/>
  </r>
  <r>
    <x v="2"/>
    <s v="Delaware Technical and Community College--Owens"/>
    <m/>
    <n v="130891"/>
    <x v="7"/>
    <m/>
    <m/>
    <m/>
    <m/>
    <m/>
    <m/>
    <m/>
    <m/>
    <m/>
    <m/>
    <m/>
    <m/>
    <m/>
    <m/>
    <m/>
    <m/>
    <m/>
    <m/>
    <m/>
    <m/>
    <m/>
    <m/>
    <m/>
    <m/>
    <m/>
    <m/>
    <m/>
    <m/>
    <m/>
    <m/>
    <m/>
    <m/>
    <m/>
    <m/>
    <m/>
    <m/>
    <m/>
    <m/>
    <m/>
    <m/>
    <n v="77"/>
    <m/>
    <m/>
    <n v="80"/>
    <n v="45"/>
    <n v="8"/>
    <m/>
    <n v="31"/>
    <n v="0"/>
    <m/>
    <n v="0"/>
    <m/>
    <n v="0"/>
    <m/>
    <n v="0"/>
    <m/>
    <n v="0"/>
    <m/>
    <n v="8558605"/>
    <n v="8633444"/>
    <n v="0"/>
    <n v="0"/>
    <n v="0"/>
    <n v="0"/>
    <n v="0"/>
    <n v="0"/>
    <n v="0"/>
    <n v="0"/>
    <n v="0"/>
    <n v="0"/>
    <n v="1188"/>
    <n v="1260"/>
    <n v="0"/>
    <n v="0"/>
    <n v="0"/>
    <n v="0"/>
    <n v="0"/>
    <n v="0"/>
    <n v="0"/>
    <n v="0"/>
    <n v="0"/>
    <n v="0"/>
    <n v="7204.2129629629626"/>
    <n v="6851.9396825396825"/>
    <n v="0"/>
    <n v="0"/>
    <n v="0"/>
    <n v="0"/>
    <n v="0"/>
    <n v="0"/>
    <n v="0"/>
    <n v="0"/>
    <n v="0"/>
    <n v="0"/>
    <n v="64837.916666666664"/>
    <n v="61667.457142857143"/>
    <n v="64837.916666666664"/>
    <n v="61667.457142857143"/>
    <n v="0"/>
    <n v="0"/>
    <n v="0"/>
    <n v="0"/>
    <n v="0"/>
    <n v="0"/>
    <n v="0"/>
    <n v="0"/>
    <n v="0"/>
    <n v="0"/>
    <n v="122"/>
    <n v="119"/>
    <n v="122"/>
    <n v="119"/>
    <n v="0"/>
    <n v="0"/>
    <n v="0"/>
    <n v="0"/>
    <n v="0"/>
    <n v="0"/>
    <n v="0"/>
    <n v="0"/>
    <n v="0"/>
    <n v="0"/>
    <n v="7910225.833333333"/>
    <n v="7338427.4000000004"/>
    <n v="7910225.833333333"/>
    <n v="7338427.4000000004"/>
  </r>
  <r>
    <x v="2"/>
    <s v="Delaware Technical and Community College--Terry"/>
    <m/>
    <n v="130907"/>
    <x v="7"/>
    <m/>
    <m/>
    <m/>
    <m/>
    <m/>
    <m/>
    <m/>
    <m/>
    <m/>
    <m/>
    <m/>
    <m/>
    <m/>
    <m/>
    <m/>
    <m/>
    <m/>
    <m/>
    <m/>
    <m/>
    <m/>
    <m/>
    <m/>
    <m/>
    <m/>
    <m/>
    <m/>
    <m/>
    <m/>
    <m/>
    <m/>
    <m/>
    <m/>
    <m/>
    <m/>
    <m/>
    <m/>
    <m/>
    <m/>
    <m/>
    <n v="58"/>
    <m/>
    <m/>
    <n v="60"/>
    <n v="27"/>
    <n v="7"/>
    <m/>
    <n v="21"/>
    <n v="0"/>
    <m/>
    <n v="0"/>
    <m/>
    <n v="0"/>
    <m/>
    <n v="0"/>
    <m/>
    <n v="0"/>
    <m/>
    <n v="5745672"/>
    <n v="6206367"/>
    <n v="0"/>
    <n v="0"/>
    <n v="0"/>
    <n v="0"/>
    <n v="0"/>
    <n v="0"/>
    <n v="0"/>
    <n v="0"/>
    <n v="0"/>
    <n v="0"/>
    <n v="819"/>
    <n v="929"/>
    <n v="0"/>
    <n v="0"/>
    <n v="0"/>
    <n v="0"/>
    <n v="0"/>
    <n v="0"/>
    <n v="0"/>
    <n v="0"/>
    <n v="0"/>
    <n v="0"/>
    <n v="7015.4725274725279"/>
    <n v="6680.6964477933261"/>
    <n v="0"/>
    <n v="0"/>
    <n v="0"/>
    <n v="0"/>
    <n v="0"/>
    <n v="0"/>
    <n v="0"/>
    <n v="0"/>
    <n v="0"/>
    <n v="0"/>
    <n v="63139.252747252751"/>
    <n v="60126.268030139938"/>
    <n v="63139.252747252751"/>
    <n v="60126.268030139938"/>
    <n v="0"/>
    <n v="0"/>
    <n v="0"/>
    <n v="0"/>
    <n v="0"/>
    <n v="0"/>
    <n v="0"/>
    <n v="0"/>
    <n v="0"/>
    <n v="0"/>
    <n v="85"/>
    <n v="88"/>
    <n v="85"/>
    <n v="88"/>
    <n v="0"/>
    <n v="0"/>
    <n v="0"/>
    <n v="0"/>
    <n v="0"/>
    <n v="0"/>
    <n v="0"/>
    <n v="0"/>
    <n v="0"/>
    <n v="0"/>
    <n v="5366836.4835164836"/>
    <n v="5291111.5866523143"/>
    <n v="5366836.4835164836"/>
    <n v="5291111.5866523143"/>
  </r>
  <r>
    <x v="3"/>
    <s v="Florida International University"/>
    <m/>
    <n v="133951"/>
    <x v="0"/>
    <n v="208"/>
    <n v="213"/>
    <m/>
    <m/>
    <m/>
    <m/>
    <n v="14"/>
    <n v="21"/>
    <n v="240"/>
    <n v="254"/>
    <m/>
    <m/>
    <m/>
    <m/>
    <n v="14"/>
    <n v="14"/>
    <n v="228"/>
    <n v="283"/>
    <m/>
    <m/>
    <m/>
    <m/>
    <n v="15"/>
    <n v="15"/>
    <n v="123"/>
    <n v="175"/>
    <m/>
    <m/>
    <m/>
    <m/>
    <n v="10"/>
    <n v="21"/>
    <n v="39"/>
    <n v="41"/>
    <m/>
    <m/>
    <m/>
    <m/>
    <n v="8"/>
    <n v="25"/>
    <m/>
    <m/>
    <m/>
    <m/>
    <m/>
    <m/>
    <m/>
    <m/>
    <n v="26174818.379999999"/>
    <n v="28192507"/>
    <n v="21587547.170000002"/>
    <n v="23911550"/>
    <n v="18450190.710000001"/>
    <n v="23101411"/>
    <n v="7618695.4299999997"/>
    <n v="11329310"/>
    <n v="3327759"/>
    <n v="5070987"/>
    <n v="0"/>
    <m/>
    <n v="2040"/>
    <n v="2169"/>
    <n v="2328"/>
    <n v="2454"/>
    <n v="2232"/>
    <n v="2727"/>
    <n v="1227"/>
    <n v="1827"/>
    <n v="447"/>
    <n v="669"/>
    <n v="0"/>
    <n v="0"/>
    <n v="12830.793323529411"/>
    <n v="12997.928538497003"/>
    <n v="9273.0013616838496"/>
    <n v="9743.9079054604736"/>
    <n v="8266.2144758064514"/>
    <n v="8471.3645031169781"/>
    <n v="6209.2057294213528"/>
    <n v="6201.0454296661192"/>
    <n v="7444.6510067114095"/>
    <n v="7579.9506726457403"/>
    <n v="0"/>
    <n v="0"/>
    <n v="115477.13991176471"/>
    <n v="116981.35684647302"/>
    <n v="83457.012255154652"/>
    <n v="87695.171149144269"/>
    <n v="74395.930282258065"/>
    <n v="76242.280528052797"/>
    <n v="55882.851564792174"/>
    <n v="55809.408866995072"/>
    <n v="67001.859060402683"/>
    <n v="68219.556053811655"/>
    <n v="0"/>
    <n v="0"/>
    <n v="83975.221207748662"/>
    <n v="83839.244637370692"/>
    <n v="222"/>
    <n v="234"/>
    <n v="254"/>
    <n v="268"/>
    <n v="243"/>
    <n v="298"/>
    <n v="133"/>
    <n v="196"/>
    <n v="47"/>
    <n v="66"/>
    <n v="0"/>
    <n v="0"/>
    <n v="899"/>
    <n v="1062"/>
    <n v="25635925.060411766"/>
    <n v="27373637.502074685"/>
    <n v="21198081.112809282"/>
    <n v="23502305.867970664"/>
    <n v="18078211.05858871"/>
    <n v="22720199.597359732"/>
    <n v="7432419.2581173591"/>
    <n v="10938644.137931034"/>
    <n v="3149087.3758389261"/>
    <n v="4502490.6995515693"/>
    <n v="0"/>
    <n v="0"/>
    <n v="75493723.865766048"/>
    <n v="89037277.804887667"/>
  </r>
  <r>
    <x v="3"/>
    <s v="Florida State University "/>
    <m/>
    <n v="134097"/>
    <x v="0"/>
    <n v="441"/>
    <n v="444"/>
    <m/>
    <m/>
    <m/>
    <m/>
    <n v="7"/>
    <n v="7"/>
    <n v="327"/>
    <n v="329"/>
    <m/>
    <m/>
    <m/>
    <m/>
    <n v="1"/>
    <n v="1"/>
    <n v="228"/>
    <n v="236"/>
    <m/>
    <m/>
    <m/>
    <m/>
    <n v="1"/>
    <n v="1"/>
    <n v="2"/>
    <n v="1"/>
    <m/>
    <m/>
    <m/>
    <m/>
    <n v="5"/>
    <n v="6"/>
    <n v="125"/>
    <n v="128"/>
    <m/>
    <m/>
    <m/>
    <m/>
    <n v="111"/>
    <n v="115"/>
    <m/>
    <m/>
    <m/>
    <m/>
    <m/>
    <m/>
    <m/>
    <m/>
    <n v="49055790"/>
    <n v="49559964"/>
    <n v="24779835"/>
    <n v="25321037"/>
    <n v="17420765"/>
    <n v="18296722"/>
    <n v="272892"/>
    <n v="283075"/>
    <n v="14697298"/>
    <n v="15402756"/>
    <n v="0"/>
    <m/>
    <n v="4053"/>
    <n v="4080"/>
    <n v="2955"/>
    <n v="2973"/>
    <n v="2064"/>
    <n v="2136"/>
    <n v="78"/>
    <n v="81"/>
    <n v="2457"/>
    <n v="2532"/>
    <n v="0"/>
    <n v="0"/>
    <n v="12103.57512953368"/>
    <n v="12147.05"/>
    <n v="8385.7309644670058"/>
    <n v="8516.9986545576867"/>
    <n v="8440.2931201550382"/>
    <n v="8565.8810861423226"/>
    <n v="3498.6153846153848"/>
    <n v="3494.7530864197529"/>
    <n v="5981.8062678062679"/>
    <n v="6083.2369668246447"/>
    <n v="0"/>
    <n v="0"/>
    <n v="108932.17616580312"/>
    <n v="109323.45"/>
    <n v="75471.578680203049"/>
    <n v="76652.987891019176"/>
    <n v="75962.638081395344"/>
    <n v="77092.929775280907"/>
    <n v="31487.538461538461"/>
    <n v="31452.777777777777"/>
    <n v="53836.256410256414"/>
    <n v="54749.132701421804"/>
    <n v="0"/>
    <n v="0"/>
    <n v="83235.181195574682"/>
    <n v="83908.19795084215"/>
    <n v="448"/>
    <n v="451"/>
    <n v="328"/>
    <n v="330"/>
    <n v="229"/>
    <n v="237"/>
    <n v="7"/>
    <n v="7"/>
    <n v="236"/>
    <n v="243"/>
    <n v="0"/>
    <n v="0"/>
    <n v="1248"/>
    <n v="1268"/>
    <n v="48801614.922279797"/>
    <n v="49304875.949999996"/>
    <n v="24754677.807106599"/>
    <n v="25295486.00403633"/>
    <n v="17395444.120639533"/>
    <n v="18271024.356741574"/>
    <n v="220412.76923076922"/>
    <n v="220169.44444444444"/>
    <n v="12705356.512820514"/>
    <n v="13304039.246445497"/>
    <n v="0"/>
    <n v="0"/>
    <n v="103877506.1320772"/>
    <n v="106395595.00166784"/>
  </r>
  <r>
    <x v="3"/>
    <s v="University of Central Florida "/>
    <m/>
    <n v="132903"/>
    <x v="0"/>
    <n v="193"/>
    <n v="200"/>
    <m/>
    <m/>
    <m/>
    <m/>
    <n v="36"/>
    <n v="37"/>
    <n v="305"/>
    <n v="331"/>
    <m/>
    <m/>
    <m/>
    <m/>
    <n v="18"/>
    <n v="15"/>
    <n v="214"/>
    <n v="198"/>
    <m/>
    <m/>
    <m/>
    <m/>
    <n v="0"/>
    <n v="1"/>
    <n v="267"/>
    <n v="265"/>
    <m/>
    <m/>
    <m/>
    <m/>
    <n v="53"/>
    <n v="53"/>
    <n v="69"/>
    <n v="84"/>
    <m/>
    <m/>
    <m/>
    <m/>
    <n v="3"/>
    <n v="4"/>
    <m/>
    <m/>
    <m/>
    <m/>
    <m/>
    <m/>
    <m/>
    <m/>
    <n v="28379773"/>
    <n v="29094602"/>
    <n v="26666315.999999996"/>
    <n v="28583493"/>
    <n v="13996317"/>
    <n v="13424241"/>
    <n v="15743512"/>
    <n v="15856583"/>
    <n v="4531614"/>
    <n v="5440745"/>
    <n v="0"/>
    <m/>
    <n v="2169"/>
    <n v="2244"/>
    <n v="2961"/>
    <n v="3159"/>
    <n v="1926"/>
    <n v="1794"/>
    <n v="3039"/>
    <n v="3021"/>
    <n v="657"/>
    <n v="804"/>
    <n v="0"/>
    <n v="0"/>
    <n v="13084.26602120793"/>
    <n v="12965.508912655972"/>
    <n v="9005.8480243161084"/>
    <n v="9048.2725546058882"/>
    <n v="7267.0389408099691"/>
    <n v="7482.8545150501668"/>
    <n v="5180.490950970714"/>
    <n v="5248.7861635220124"/>
    <n v="6897.433789954338"/>
    <n v="6767.0957711442788"/>
    <n v="0"/>
    <n v="0"/>
    <n v="117758.39419087138"/>
    <n v="116689.58021390376"/>
    <n v="81052.63221884497"/>
    <n v="81434.452991452999"/>
    <n v="65403.350467289725"/>
    <n v="67345.690635451494"/>
    <n v="46624.418558736426"/>
    <n v="47239.07547169811"/>
    <n v="62076.904109589042"/>
    <n v="60903.861940298506"/>
    <n v="0"/>
    <n v="0"/>
    <n v="74725.682652057469"/>
    <n v="75433.593882945323"/>
    <n v="229"/>
    <n v="237"/>
    <n v="323"/>
    <n v="346"/>
    <n v="214"/>
    <n v="199"/>
    <n v="320"/>
    <n v="318"/>
    <n v="72"/>
    <n v="88"/>
    <n v="0"/>
    <n v="0"/>
    <n v="1158"/>
    <n v="1188"/>
    <n v="26966672.269709546"/>
    <n v="27655430.510695189"/>
    <n v="26180000.206686925"/>
    <n v="28176320.735042736"/>
    <n v="13996317.000000002"/>
    <n v="13401792.436454847"/>
    <n v="14919813.938795656"/>
    <n v="15022025.999999998"/>
    <n v="4469537.0958904112"/>
    <n v="5359539.8507462684"/>
    <n v="0"/>
    <n v="0"/>
    <n v="86532340.511082545"/>
    <n v="89615109.532939047"/>
  </r>
  <r>
    <x v="3"/>
    <s v="University of Florida"/>
    <m/>
    <n v="134130"/>
    <x v="0"/>
    <n v="485"/>
    <n v="484"/>
    <m/>
    <m/>
    <m/>
    <m/>
    <n v="221"/>
    <n v="205"/>
    <n v="415"/>
    <n v="408"/>
    <m/>
    <m/>
    <m/>
    <m/>
    <n v="182"/>
    <n v="178"/>
    <n v="248"/>
    <n v="214"/>
    <m/>
    <m/>
    <m/>
    <m/>
    <n v="233"/>
    <n v="230"/>
    <n v="0"/>
    <n v="0"/>
    <m/>
    <m/>
    <m/>
    <m/>
    <n v="0"/>
    <n v="0"/>
    <n v="139"/>
    <n v="144"/>
    <m/>
    <m/>
    <m/>
    <m/>
    <n v="68"/>
    <n v="63"/>
    <m/>
    <m/>
    <m/>
    <m/>
    <m/>
    <m/>
    <m/>
    <m/>
    <n v="91545037"/>
    <n v="89738095"/>
    <n v="50960539"/>
    <n v="50674526"/>
    <n v="36369506"/>
    <n v="34789823"/>
    <n v="0"/>
    <m/>
    <n v="12998670"/>
    <n v="13117275"/>
    <n v="0"/>
    <m/>
    <n v="7017"/>
    <n v="6816"/>
    <n v="5919"/>
    <n v="5808"/>
    <n v="5028"/>
    <n v="4686"/>
    <n v="0"/>
    <n v="0"/>
    <n v="2067"/>
    <n v="2052"/>
    <n v="0"/>
    <n v="0"/>
    <n v="13046.178851360981"/>
    <n v="13165.800322769954"/>
    <n v="8609.6534887649941"/>
    <n v="8724.9528236914593"/>
    <n v="7233.3941925218778"/>
    <n v="7424.2046521553566"/>
    <n v="0"/>
    <n v="0"/>
    <n v="6288.6647314949205"/>
    <n v="6392.4342105263158"/>
    <n v="0"/>
    <n v="0"/>
    <n v="117415.60966224883"/>
    <n v="118492.20290492958"/>
    <n v="77486.881398884943"/>
    <n v="78524.575413223138"/>
    <n v="65100.547732696898"/>
    <n v="66817.841869398209"/>
    <n v="0"/>
    <n v="0"/>
    <n v="56597.982583454286"/>
    <n v="57531.90789473684"/>
    <n v="0"/>
    <n v="0"/>
    <n v="86481.283008982529"/>
    <n v="87867.47441218514"/>
    <n v="706"/>
    <n v="689"/>
    <n v="597"/>
    <n v="586"/>
    <n v="481"/>
    <n v="444"/>
    <n v="0"/>
    <n v="0"/>
    <n v="207"/>
    <n v="207"/>
    <n v="0"/>
    <n v="0"/>
    <n v="1991"/>
    <n v="1926"/>
    <n v="82895420.421547666"/>
    <n v="81641127.801496476"/>
    <n v="46259668.195134312"/>
    <n v="46015401.19214876"/>
    <n v="31313363.459427208"/>
    <n v="29667121.790012807"/>
    <n v="0"/>
    <n v="0"/>
    <n v="11715782.394775037"/>
    <n v="11909104.934210526"/>
    <n v="0"/>
    <n v="0"/>
    <n v="172184234.4708842"/>
    <n v="169232755.71786857"/>
  </r>
  <r>
    <x v="3"/>
    <s v="University of South Florida "/>
    <m/>
    <n v="137351"/>
    <x v="0"/>
    <n v="272"/>
    <n v="276"/>
    <m/>
    <m/>
    <m/>
    <m/>
    <n v="66"/>
    <n v="66"/>
    <n v="326"/>
    <n v="352"/>
    <m/>
    <m/>
    <m/>
    <m/>
    <n v="38"/>
    <n v="49"/>
    <n v="311"/>
    <n v="275"/>
    <m/>
    <m/>
    <m/>
    <m/>
    <n v="44"/>
    <n v="52"/>
    <n v="152"/>
    <n v="159"/>
    <m/>
    <m/>
    <m/>
    <m/>
    <n v="78"/>
    <n v="85"/>
    <n v="8"/>
    <n v="5"/>
    <m/>
    <m/>
    <m/>
    <m/>
    <n v="2"/>
    <n v="1"/>
    <m/>
    <m/>
    <m/>
    <m/>
    <m/>
    <m/>
    <m/>
    <m/>
    <n v="37615724"/>
    <n v="38569368"/>
    <n v="29260037.999999996"/>
    <n v="32464801"/>
    <n v="24713427"/>
    <n v="22446724"/>
    <n v="11921278"/>
    <n v="12281941"/>
    <n v="518986"/>
    <n v="282708"/>
    <n v="0"/>
    <m/>
    <n v="3240"/>
    <n v="3276"/>
    <n v="3390"/>
    <n v="3756"/>
    <n v="3327"/>
    <n v="3099"/>
    <n v="2304"/>
    <n v="2451"/>
    <n v="96"/>
    <n v="57"/>
    <n v="0"/>
    <n v="0"/>
    <n v="11609.791358024691"/>
    <n v="11773.311355311354"/>
    <n v="8631.2796460176978"/>
    <n v="8643.4507454739087"/>
    <n v="7428.1415689810638"/>
    <n v="7243.2152307195865"/>
    <n v="5174.1657986111113"/>
    <n v="5010.9918400652796"/>
    <n v="5406.104166666667"/>
    <n v="4959.7894736842109"/>
    <n v="0"/>
    <n v="0"/>
    <n v="104488.12222222223"/>
    <n v="105959.80219780219"/>
    <n v="77681.516814159288"/>
    <n v="77791.056709265176"/>
    <n v="66853.274120829577"/>
    <n v="65188.937076476279"/>
    <n v="46567.4921875"/>
    <n v="45098.926560587519"/>
    <n v="48654.9375"/>
    <n v="44638.1052631579"/>
    <n v="0"/>
    <n v="0"/>
    <n v="75962.253139926441"/>
    <n v="75773.647900328579"/>
    <n v="338"/>
    <n v="342"/>
    <n v="364"/>
    <n v="401"/>
    <n v="355"/>
    <n v="327"/>
    <n v="230"/>
    <n v="244"/>
    <n v="10"/>
    <n v="6"/>
    <n v="0"/>
    <n v="0"/>
    <n v="1297"/>
    <n v="1320"/>
    <n v="35316985.311111115"/>
    <n v="36238252.351648346"/>
    <n v="28276072.120353982"/>
    <n v="31194213.740415335"/>
    <n v="23732912.312894501"/>
    <n v="21316782.424007744"/>
    <n v="10710523.203125"/>
    <n v="11004138.080783354"/>
    <n v="486549.375"/>
    <n v="267828.63157894742"/>
    <n v="0"/>
    <n v="0"/>
    <n v="98523042.322484598"/>
    <n v="100021215.22843373"/>
  </r>
  <r>
    <x v="3"/>
    <s v="Florida Atlantic University "/>
    <s v="Met the criteria for Four-Year 1 in 2012-13."/>
    <n v="133669"/>
    <x v="1"/>
    <n v="194"/>
    <n v="193"/>
    <m/>
    <m/>
    <m/>
    <m/>
    <n v="2"/>
    <n v="2"/>
    <n v="224"/>
    <n v="227"/>
    <m/>
    <m/>
    <m/>
    <m/>
    <n v="5"/>
    <n v="5"/>
    <n v="146"/>
    <n v="126"/>
    <m/>
    <m/>
    <m/>
    <m/>
    <n v="2"/>
    <n v="2"/>
    <n v="160"/>
    <n v="145"/>
    <m/>
    <m/>
    <m/>
    <m/>
    <n v="28"/>
    <n v="28"/>
    <n v="1"/>
    <n v="1"/>
    <m/>
    <m/>
    <m/>
    <m/>
    <n v="1"/>
    <n v="1"/>
    <m/>
    <m/>
    <m/>
    <m/>
    <m/>
    <m/>
    <m/>
    <m/>
    <n v="18842958"/>
    <n v="18912383"/>
    <n v="16626568"/>
    <n v="16787377"/>
    <n v="9642891"/>
    <n v="8503344"/>
    <n v="9344060"/>
    <n v="8682565"/>
    <n v="118481"/>
    <n v="118480"/>
    <n v="0"/>
    <m/>
    <n v="1770"/>
    <n v="1761"/>
    <n v="2076"/>
    <n v="2103"/>
    <n v="1338"/>
    <n v="1158"/>
    <n v="1776"/>
    <n v="1641"/>
    <n v="21"/>
    <n v="21"/>
    <n v="0"/>
    <n v="0"/>
    <n v="10645.738983050847"/>
    <n v="10739.57013060761"/>
    <n v="8008.9441233140651"/>
    <n v="7982.5853542558252"/>
    <n v="7206.9439461883412"/>
    <n v="7343.1295336787562"/>
    <n v="5261.2950450450453"/>
    <n v="5291.0207190737356"/>
    <n v="5641.9523809523807"/>
    <n v="5641.9047619047615"/>
    <n v="0"/>
    <n v="0"/>
    <n v="95811.650847457626"/>
    <n v="96656.131175468487"/>
    <n v="72080.497109826581"/>
    <n v="71843.268188302434"/>
    <n v="64862.495515695075"/>
    <n v="66088.165803108801"/>
    <n v="47351.655405405407"/>
    <n v="47619.186471663619"/>
    <n v="50777.571428571428"/>
    <n v="50777.142857142855"/>
    <n v="0"/>
    <n v="0"/>
    <n v="70627.566316708006"/>
    <n v="71663.756941113053"/>
    <n v="196"/>
    <n v="195"/>
    <n v="229"/>
    <n v="232"/>
    <n v="148"/>
    <n v="128"/>
    <n v="188"/>
    <n v="173"/>
    <n v="2"/>
    <n v="2"/>
    <n v="0"/>
    <n v="0"/>
    <n v="763"/>
    <n v="730"/>
    <n v="18779083.566101696"/>
    <n v="18847945.579216354"/>
    <n v="16506433.838150287"/>
    <n v="16667638.219686165"/>
    <n v="9599649.3363228701"/>
    <n v="8459285.2227979265"/>
    <n v="8902111.2162162159"/>
    <n v="8238119.2595978063"/>
    <n v="101555.14285714286"/>
    <n v="101554.28571428571"/>
    <n v="0"/>
    <n v="0"/>
    <n v="53888833.099648207"/>
    <n v="52314542.567012526"/>
  </r>
  <r>
    <x v="3"/>
    <s v="Florida Agricultural &amp; Mechanical University "/>
    <s v="Met the criteria for Four-Year 2 in 2011-12 and 2012-13."/>
    <n v="133650"/>
    <x v="2"/>
    <n v="80"/>
    <n v="85"/>
    <m/>
    <m/>
    <m/>
    <m/>
    <n v="64"/>
    <n v="59"/>
    <n v="129"/>
    <n v="131"/>
    <m/>
    <m/>
    <m/>
    <m/>
    <n v="55"/>
    <n v="55"/>
    <n v="95"/>
    <n v="99"/>
    <m/>
    <m/>
    <m/>
    <m/>
    <n v="48"/>
    <n v="41"/>
    <n v="41"/>
    <n v="53"/>
    <m/>
    <m/>
    <m/>
    <m/>
    <n v="25"/>
    <n v="27"/>
    <n v="0"/>
    <n v="0"/>
    <m/>
    <m/>
    <m/>
    <m/>
    <n v="0"/>
    <n v="0"/>
    <m/>
    <m/>
    <m/>
    <m/>
    <m/>
    <m/>
    <m/>
    <m/>
    <n v="14256168"/>
    <n v="14880818"/>
    <n v="14641216"/>
    <n v="15310052"/>
    <n v="9232845"/>
    <n v="9143112"/>
    <n v="3816097"/>
    <n v="4735812"/>
    <n v="0"/>
    <m/>
    <n v="0"/>
    <m/>
    <n v="1488"/>
    <n v="1473"/>
    <n v="1821"/>
    <n v="1839"/>
    <n v="1431"/>
    <n v="1383"/>
    <n v="669"/>
    <n v="801"/>
    <n v="0"/>
    <n v="0"/>
    <n v="0"/>
    <n v="0"/>
    <n v="9580.7580645161288"/>
    <n v="10102.388323150033"/>
    <n v="8040.2064799560685"/>
    <n v="8325.2050027188689"/>
    <n v="6452.023060796646"/>
    <n v="6611.0715835141"/>
    <n v="5704.1808669656202"/>
    <n v="5912.3745318352057"/>
    <n v="0"/>
    <n v="0"/>
    <n v="0"/>
    <n v="0"/>
    <n v="86226.822580645152"/>
    <n v="90921.494908350302"/>
    <n v="72361.858319604624"/>
    <n v="74926.845024469818"/>
    <n v="58068.207547169812"/>
    <n v="59499.644251626902"/>
    <n v="51337.627802690578"/>
    <n v="53211.370786516854"/>
    <n v="0"/>
    <n v="0"/>
    <n v="0"/>
    <n v="0"/>
    <n v="69689.537237696495"/>
    <n v="72028.996908187168"/>
    <n v="144"/>
    <n v="144"/>
    <n v="184"/>
    <n v="186"/>
    <n v="143"/>
    <n v="140"/>
    <n v="66"/>
    <n v="80"/>
    <n v="0"/>
    <n v="0"/>
    <n v="0"/>
    <n v="0"/>
    <n v="537"/>
    <n v="550"/>
    <n v="12416662.451612901"/>
    <n v="13092695.266802443"/>
    <n v="13314581.930807251"/>
    <n v="13936393.174551386"/>
    <n v="8303753.6792452829"/>
    <n v="8329950.1952277664"/>
    <n v="3388283.434977578"/>
    <n v="4256909.6629213486"/>
    <n v="0"/>
    <n v="0"/>
    <n v="0"/>
    <n v="0"/>
    <n v="37423281.496643014"/>
    <n v="39615948.299502939"/>
  </r>
  <r>
    <x v="3"/>
    <s v="University of North Florida"/>
    <m/>
    <n v="136172"/>
    <x v="2"/>
    <n v="70"/>
    <n v="68"/>
    <m/>
    <m/>
    <m/>
    <m/>
    <n v="10"/>
    <n v="9"/>
    <n v="130"/>
    <n v="123"/>
    <m/>
    <m/>
    <m/>
    <m/>
    <n v="6"/>
    <n v="8"/>
    <n v="155"/>
    <n v="151"/>
    <m/>
    <m/>
    <m/>
    <m/>
    <n v="4"/>
    <n v="2"/>
    <n v="73"/>
    <n v="68"/>
    <m/>
    <m/>
    <m/>
    <m/>
    <n v="6"/>
    <n v="9"/>
    <n v="0"/>
    <n v="0"/>
    <m/>
    <m/>
    <m/>
    <m/>
    <n v="9"/>
    <n v="2"/>
    <m/>
    <m/>
    <m/>
    <m/>
    <m/>
    <m/>
    <m/>
    <m/>
    <n v="7943926"/>
    <n v="7501747"/>
    <n v="9460619"/>
    <n v="8944749"/>
    <n v="9285813"/>
    <n v="8982858"/>
    <n v="3629188"/>
    <n v="3629147"/>
    <n v="435624"/>
    <n v="94813"/>
    <n v="0"/>
    <m/>
    <n v="750"/>
    <n v="720"/>
    <n v="1242"/>
    <n v="1203"/>
    <n v="1443"/>
    <n v="1383"/>
    <n v="729"/>
    <n v="720"/>
    <n v="108"/>
    <n v="24"/>
    <n v="0"/>
    <n v="0"/>
    <n v="10591.901333333333"/>
    <n v="10419.093055555555"/>
    <n v="7617.2455716586155"/>
    <n v="7435.3690773067328"/>
    <n v="6435.0748440748439"/>
    <n v="6495.1973969631235"/>
    <n v="4978.3100137174215"/>
    <n v="5040.4819444444447"/>
    <n v="4033.5555555555557"/>
    <n v="3950.5416666666665"/>
    <n v="0"/>
    <n v="0"/>
    <n v="95327.111999999994"/>
    <n v="93771.837499999994"/>
    <n v="68555.210144927536"/>
    <n v="66918.321695760591"/>
    <n v="57915.673596673594"/>
    <n v="58456.77657266811"/>
    <n v="44804.790123456791"/>
    <n v="45364.337500000001"/>
    <n v="36302"/>
    <n v="35554.875"/>
    <n v="0"/>
    <n v="0"/>
    <n v="64847.874862493154"/>
    <n v="64760.86859718831"/>
    <n v="80"/>
    <n v="77"/>
    <n v="136"/>
    <n v="131"/>
    <n v="159"/>
    <n v="153"/>
    <n v="79"/>
    <n v="77"/>
    <n v="9"/>
    <n v="2"/>
    <n v="0"/>
    <n v="0"/>
    <n v="463"/>
    <n v="440"/>
    <n v="7626168.959999999"/>
    <n v="7220431.4874999998"/>
    <n v="9323508.5797101445"/>
    <n v="8766300.1421446372"/>
    <n v="9208592.1018711012"/>
    <n v="8943886.8156182207"/>
    <n v="3539578.4197530863"/>
    <n v="3493053.9875000003"/>
    <n v="326718"/>
    <n v="71109.75"/>
    <n v="0"/>
    <n v="0"/>
    <n v="30024566.061334331"/>
    <n v="28494782.182762858"/>
  </r>
  <r>
    <x v="3"/>
    <s v="University of West Florida"/>
    <m/>
    <n v="138354"/>
    <x v="2"/>
    <n v="58"/>
    <n v="58"/>
    <m/>
    <m/>
    <m/>
    <m/>
    <n v="16"/>
    <n v="5"/>
    <n v="75"/>
    <n v="70"/>
    <m/>
    <m/>
    <m/>
    <m/>
    <n v="10"/>
    <n v="11"/>
    <n v="74"/>
    <n v="85"/>
    <m/>
    <m/>
    <m/>
    <m/>
    <n v="2"/>
    <n v="1"/>
    <n v="26"/>
    <n v="29"/>
    <m/>
    <m/>
    <m/>
    <m/>
    <n v="9"/>
    <n v="10"/>
    <n v="13"/>
    <n v="17"/>
    <m/>
    <m/>
    <m/>
    <m/>
    <n v="16"/>
    <n v="12"/>
    <m/>
    <m/>
    <m/>
    <m/>
    <m/>
    <m/>
    <m/>
    <m/>
    <n v="6832004"/>
    <n v="5928127"/>
    <n v="5654430"/>
    <n v="5653227"/>
    <n v="4376842"/>
    <n v="5251078"/>
    <n v="1671513"/>
    <n v="1945286"/>
    <n v="1507929"/>
    <n v="1533745"/>
    <n v="0"/>
    <m/>
    <n v="714"/>
    <n v="582"/>
    <n v="795"/>
    <n v="762"/>
    <n v="690"/>
    <n v="777"/>
    <n v="342"/>
    <n v="381"/>
    <n v="309"/>
    <n v="297"/>
    <n v="0"/>
    <n v="0"/>
    <n v="9568.6330532212887"/>
    <n v="10185.785223367697"/>
    <n v="7112.4905660377362"/>
    <n v="7418.9330708661419"/>
    <n v="6343.2492753623192"/>
    <n v="6758.1441441441439"/>
    <n v="4887.4649122807014"/>
    <n v="5105.737532808399"/>
    <n v="4880.0291262135925"/>
    <n v="5164.1245791245792"/>
    <n v="0"/>
    <n v="0"/>
    <n v="86117.697478991598"/>
    <n v="91672.067010309271"/>
    <n v="64012.415094339623"/>
    <n v="66770.397637795279"/>
    <n v="57089.243478260876"/>
    <n v="60823.297297297293"/>
    <n v="43987.184210526313"/>
    <n v="45951.637795275594"/>
    <n v="43920.262135922334"/>
    <n v="46477.121212121216"/>
    <n v="0"/>
    <n v="0"/>
    <n v="63430.723913452326"/>
    <n v="65619.115392770924"/>
    <n v="74"/>
    <n v="63"/>
    <n v="85"/>
    <n v="81"/>
    <n v="76"/>
    <n v="86"/>
    <n v="35"/>
    <n v="39"/>
    <n v="29"/>
    <n v="29"/>
    <n v="0"/>
    <n v="0"/>
    <n v="299"/>
    <n v="298"/>
    <n v="6372709.6134453779"/>
    <n v="5775340.2216494838"/>
    <n v="5441055.2830188684"/>
    <n v="5408402.2086614175"/>
    <n v="4338782.5043478264"/>
    <n v="5230803.5675675673"/>
    <n v="1539551.4473684209"/>
    <n v="1792113.8740157483"/>
    <n v="1273687.6019417476"/>
    <n v="1347836.5151515151"/>
    <n v="0"/>
    <n v="0"/>
    <n v="18965786.450122245"/>
    <n v="19554496.387045734"/>
  </r>
  <r>
    <x v="3"/>
    <s v="Florida Gulf Coast University"/>
    <m/>
    <n v="433660"/>
    <x v="3"/>
    <n v="48"/>
    <n v="55"/>
    <m/>
    <m/>
    <m/>
    <m/>
    <n v="16"/>
    <n v="21"/>
    <n v="82"/>
    <n v="87"/>
    <m/>
    <m/>
    <m/>
    <m/>
    <n v="17"/>
    <n v="14"/>
    <n v="110"/>
    <n v="116"/>
    <m/>
    <m/>
    <m/>
    <m/>
    <n v="22"/>
    <n v="25"/>
    <n v="78"/>
    <n v="83"/>
    <m/>
    <m/>
    <m/>
    <m/>
    <n v="21"/>
    <n v="24"/>
    <n v="0"/>
    <n v="1"/>
    <m/>
    <m/>
    <m/>
    <m/>
    <n v="0"/>
    <n v="0"/>
    <m/>
    <m/>
    <m/>
    <m/>
    <m/>
    <m/>
    <m/>
    <m/>
    <n v="6191944"/>
    <n v="7744210"/>
    <n v="7229988.0000000009"/>
    <n v="7334403"/>
    <n v="8207844"/>
    <n v="9061406"/>
    <n v="4624265"/>
    <n v="5102162"/>
    <n v="0"/>
    <n v="44000"/>
    <n v="0"/>
    <m/>
    <n v="624"/>
    <n v="747"/>
    <n v="942"/>
    <n v="951"/>
    <n v="1254"/>
    <n v="1344"/>
    <n v="954"/>
    <n v="1035"/>
    <n v="0"/>
    <n v="9"/>
    <n v="0"/>
    <n v="0"/>
    <n v="9922.9871794871797"/>
    <n v="10367.081659973226"/>
    <n v="7675.1464968152877"/>
    <n v="7712.3059936908521"/>
    <n v="6545.3301435406702"/>
    <n v="6742.1175595238092"/>
    <n v="4847.2379454926622"/>
    <n v="4929.6251207729465"/>
    <n v="0"/>
    <n v="4888.8888888888887"/>
    <n v="0"/>
    <n v="0"/>
    <n v="89306.884615384624"/>
    <n v="93303.73493975903"/>
    <n v="69076.318471337596"/>
    <n v="69410.753943217671"/>
    <n v="58907.97129186603"/>
    <n v="60679.058035714283"/>
    <n v="43625.141509433961"/>
    <n v="44366.626086956516"/>
    <n v="0"/>
    <n v="44000"/>
    <n v="0"/>
    <n v="0"/>
    <n v="62560.754730983033"/>
    <n v="64433.206990673069"/>
    <n v="64"/>
    <n v="76"/>
    <n v="99"/>
    <n v="101"/>
    <n v="132"/>
    <n v="141"/>
    <n v="99"/>
    <n v="107"/>
    <n v="0"/>
    <n v="1"/>
    <n v="0"/>
    <n v="0"/>
    <n v="394"/>
    <n v="426"/>
    <n v="5715640.615384616"/>
    <n v="7091083.8554216865"/>
    <n v="6838555.5286624217"/>
    <n v="7010486.1482649846"/>
    <n v="7775852.2105263155"/>
    <n v="8555747.1830357146"/>
    <n v="4318889.0094339624"/>
    <n v="4747228.9913043473"/>
    <n v="0"/>
    <n v="44000"/>
    <n v="0"/>
    <n v="0"/>
    <n v="24648937.364007317"/>
    <n v="27448546.178026728"/>
  </r>
  <r>
    <x v="3"/>
    <s v="New College of Florida"/>
    <m/>
    <n v="262129"/>
    <x v="5"/>
    <n v="26"/>
    <n v="29"/>
    <m/>
    <m/>
    <m/>
    <m/>
    <n v="0"/>
    <n v="0"/>
    <n v="19"/>
    <n v="20"/>
    <m/>
    <m/>
    <m/>
    <m/>
    <n v="0"/>
    <n v="0"/>
    <n v="23"/>
    <n v="18"/>
    <m/>
    <m/>
    <m/>
    <m/>
    <n v="0"/>
    <n v="0"/>
    <n v="1"/>
    <n v="1"/>
    <m/>
    <m/>
    <m/>
    <m/>
    <n v="0"/>
    <n v="0"/>
    <n v="0"/>
    <n v="0"/>
    <m/>
    <m/>
    <m/>
    <m/>
    <n v="0"/>
    <n v="0"/>
    <m/>
    <m/>
    <m/>
    <m/>
    <m/>
    <m/>
    <m/>
    <m/>
    <n v="2130492.66"/>
    <n v="2452484"/>
    <n v="1264983.95"/>
    <n v="1343790"/>
    <n v="1261516.19"/>
    <n v="985262"/>
    <n v="42020.78"/>
    <n v="42396"/>
    <n v="0"/>
    <m/>
    <n v="0"/>
    <m/>
    <n v="234"/>
    <n v="261"/>
    <n v="171"/>
    <n v="180"/>
    <n v="207"/>
    <n v="162"/>
    <n v="9"/>
    <n v="9"/>
    <n v="0"/>
    <n v="0"/>
    <n v="0"/>
    <n v="0"/>
    <n v="9104.669487179488"/>
    <n v="9396.4904214559392"/>
    <n v="7397.5669590643274"/>
    <n v="7465.5"/>
    <n v="6094.2811111111105"/>
    <n v="6081.8641975308637"/>
    <n v="4668.9755555555557"/>
    <n v="4710.666666666667"/>
    <n v="0"/>
    <n v="0"/>
    <n v="0"/>
    <n v="0"/>
    <n v="81942.025384615394"/>
    <n v="84568.413793103449"/>
    <n v="66578.10263157895"/>
    <n v="67189.5"/>
    <n v="54848.529999999992"/>
    <n v="54736.777777777774"/>
    <n v="42020.78"/>
    <n v="42396"/>
    <n v="0"/>
    <n v="0"/>
    <n v="0"/>
    <n v="0"/>
    <n v="68101.64608695652"/>
    <n v="70940.176470588238"/>
    <n v="26"/>
    <n v="29"/>
    <n v="19"/>
    <n v="20"/>
    <n v="23"/>
    <n v="18"/>
    <n v="1"/>
    <n v="1"/>
    <n v="0"/>
    <n v="0"/>
    <n v="0"/>
    <n v="0"/>
    <n v="69"/>
    <n v="68"/>
    <n v="2130492.66"/>
    <n v="2452484"/>
    <n v="1264983.95"/>
    <n v="1343790"/>
    <n v="1261516.1899999997"/>
    <n v="985261.99999999988"/>
    <n v="42020.78"/>
    <n v="42396"/>
    <n v="0"/>
    <n v="0"/>
    <n v="0"/>
    <n v="0"/>
    <n v="4699013.58"/>
    <n v="4823932"/>
  </r>
  <r>
    <x v="3"/>
    <s v="Chipola College "/>
    <m/>
    <n v="133021"/>
    <x v="11"/>
    <m/>
    <m/>
    <m/>
    <m/>
    <m/>
    <m/>
    <m/>
    <m/>
    <m/>
    <m/>
    <m/>
    <m/>
    <m/>
    <m/>
    <m/>
    <m/>
    <m/>
    <m/>
    <m/>
    <m/>
    <m/>
    <m/>
    <m/>
    <m/>
    <m/>
    <m/>
    <m/>
    <m/>
    <m/>
    <m/>
    <m/>
    <m/>
    <m/>
    <m/>
    <m/>
    <m/>
    <m/>
    <m/>
    <m/>
    <m/>
    <n v="40"/>
    <n v="39"/>
    <m/>
    <m/>
    <m/>
    <m/>
    <m/>
    <m/>
    <n v="0"/>
    <m/>
    <n v="0"/>
    <m/>
    <n v="0"/>
    <m/>
    <n v="0"/>
    <m/>
    <n v="0"/>
    <m/>
    <n v="1768880"/>
    <n v="1817517"/>
    <n v="0"/>
    <n v="0"/>
    <n v="0"/>
    <n v="0"/>
    <n v="0"/>
    <n v="0"/>
    <n v="0"/>
    <n v="0"/>
    <n v="0"/>
    <n v="0"/>
    <n v="360"/>
    <n v="351"/>
    <n v="0"/>
    <n v="0"/>
    <n v="0"/>
    <n v="0"/>
    <n v="0"/>
    <n v="0"/>
    <n v="0"/>
    <n v="0"/>
    <n v="0"/>
    <n v="0"/>
    <n v="4913.5555555555557"/>
    <n v="5178.1111111111113"/>
    <n v="0"/>
    <n v="0"/>
    <n v="0"/>
    <n v="0"/>
    <n v="0"/>
    <n v="0"/>
    <n v="0"/>
    <n v="0"/>
    <n v="0"/>
    <n v="0"/>
    <n v="44222"/>
    <n v="46603"/>
    <n v="44222"/>
    <n v="46603"/>
    <n v="0"/>
    <n v="0"/>
    <n v="0"/>
    <n v="0"/>
    <n v="0"/>
    <n v="0"/>
    <n v="0"/>
    <n v="0"/>
    <n v="0"/>
    <n v="0"/>
    <n v="40"/>
    <n v="39"/>
    <n v="40"/>
    <n v="39"/>
    <n v="0"/>
    <n v="0"/>
    <n v="0"/>
    <n v="0"/>
    <n v="0"/>
    <n v="0"/>
    <n v="0"/>
    <n v="0"/>
    <n v="0"/>
    <n v="0"/>
    <n v="1768880"/>
    <n v="1817517"/>
    <n v="1768880"/>
    <n v="1817517"/>
  </r>
  <r>
    <x v="3"/>
    <s v="Daytona State College "/>
    <m/>
    <n v="133386"/>
    <x v="11"/>
    <m/>
    <m/>
    <m/>
    <m/>
    <m/>
    <m/>
    <m/>
    <m/>
    <m/>
    <m/>
    <m/>
    <m/>
    <m/>
    <m/>
    <m/>
    <m/>
    <m/>
    <m/>
    <m/>
    <m/>
    <m/>
    <m/>
    <m/>
    <m/>
    <m/>
    <m/>
    <m/>
    <m/>
    <m/>
    <m/>
    <m/>
    <m/>
    <m/>
    <m/>
    <m/>
    <m/>
    <m/>
    <m/>
    <m/>
    <m/>
    <n v="318"/>
    <n v="301"/>
    <m/>
    <m/>
    <m/>
    <m/>
    <m/>
    <m/>
    <n v="0"/>
    <m/>
    <n v="0"/>
    <m/>
    <n v="0"/>
    <m/>
    <n v="0"/>
    <m/>
    <n v="0"/>
    <m/>
    <n v="18119958"/>
    <n v="17734619"/>
    <n v="0"/>
    <n v="0"/>
    <n v="0"/>
    <n v="0"/>
    <n v="0"/>
    <n v="0"/>
    <n v="0"/>
    <n v="0"/>
    <n v="0"/>
    <n v="0"/>
    <n v="2862"/>
    <n v="2709"/>
    <n v="0"/>
    <n v="0"/>
    <n v="0"/>
    <n v="0"/>
    <n v="0"/>
    <n v="0"/>
    <n v="0"/>
    <n v="0"/>
    <n v="0"/>
    <n v="0"/>
    <n v="6331.2222222222226"/>
    <n v="6546.5555555555557"/>
    <n v="0"/>
    <n v="0"/>
    <n v="0"/>
    <n v="0"/>
    <n v="0"/>
    <n v="0"/>
    <n v="0"/>
    <n v="0"/>
    <n v="0"/>
    <n v="0"/>
    <n v="56981"/>
    <n v="58919"/>
    <n v="56981"/>
    <n v="58919"/>
    <n v="0"/>
    <n v="0"/>
    <n v="0"/>
    <n v="0"/>
    <n v="0"/>
    <n v="0"/>
    <n v="0"/>
    <n v="0"/>
    <n v="0"/>
    <n v="0"/>
    <n v="318"/>
    <n v="301"/>
    <n v="318"/>
    <n v="301"/>
    <n v="0"/>
    <n v="0"/>
    <n v="0"/>
    <n v="0"/>
    <n v="0"/>
    <n v="0"/>
    <n v="0"/>
    <n v="0"/>
    <n v="0"/>
    <n v="0"/>
    <n v="18119958"/>
    <n v="17734619"/>
    <n v="18119958"/>
    <n v="17734619"/>
  </r>
  <r>
    <x v="3"/>
    <s v="Edison State College "/>
    <m/>
    <n v="133508"/>
    <x v="11"/>
    <m/>
    <m/>
    <m/>
    <m/>
    <m/>
    <m/>
    <m/>
    <m/>
    <m/>
    <m/>
    <m/>
    <m/>
    <m/>
    <m/>
    <m/>
    <m/>
    <m/>
    <m/>
    <m/>
    <m/>
    <m/>
    <m/>
    <m/>
    <m/>
    <m/>
    <m/>
    <m/>
    <m/>
    <m/>
    <m/>
    <m/>
    <m/>
    <m/>
    <m/>
    <m/>
    <m/>
    <m/>
    <m/>
    <m/>
    <m/>
    <n v="161"/>
    <n v="169"/>
    <m/>
    <m/>
    <m/>
    <m/>
    <m/>
    <m/>
    <n v="0"/>
    <m/>
    <n v="0"/>
    <m/>
    <n v="0"/>
    <m/>
    <n v="0"/>
    <m/>
    <n v="0"/>
    <m/>
    <n v="8721692"/>
    <n v="9378317"/>
    <n v="0"/>
    <n v="0"/>
    <n v="0"/>
    <n v="0"/>
    <n v="0"/>
    <n v="0"/>
    <n v="0"/>
    <n v="0"/>
    <n v="0"/>
    <n v="0"/>
    <n v="1449"/>
    <n v="1521"/>
    <n v="0"/>
    <n v="0"/>
    <n v="0"/>
    <n v="0"/>
    <n v="0"/>
    <n v="0"/>
    <n v="0"/>
    <n v="0"/>
    <n v="0"/>
    <n v="0"/>
    <n v="6019.1111111111113"/>
    <n v="6165.8888888888887"/>
    <n v="0"/>
    <n v="0"/>
    <n v="0"/>
    <n v="0"/>
    <n v="0"/>
    <n v="0"/>
    <n v="0"/>
    <n v="0"/>
    <n v="0"/>
    <n v="0"/>
    <n v="54172"/>
    <n v="55493"/>
    <n v="54172"/>
    <n v="55493"/>
    <n v="0"/>
    <n v="0"/>
    <n v="0"/>
    <n v="0"/>
    <n v="0"/>
    <n v="0"/>
    <n v="0"/>
    <n v="0"/>
    <n v="0"/>
    <n v="0"/>
    <n v="161"/>
    <n v="169"/>
    <n v="161"/>
    <n v="169"/>
    <n v="0"/>
    <n v="0"/>
    <n v="0"/>
    <n v="0"/>
    <n v="0"/>
    <n v="0"/>
    <n v="0"/>
    <n v="0"/>
    <n v="0"/>
    <n v="0"/>
    <n v="8721692"/>
    <n v="9378317"/>
    <n v="8721692"/>
    <n v="9378317"/>
  </r>
  <r>
    <x v="3"/>
    <s v="Florida State College at Jacksonville"/>
    <m/>
    <n v="133702"/>
    <x v="11"/>
    <m/>
    <m/>
    <m/>
    <m/>
    <m/>
    <m/>
    <m/>
    <m/>
    <m/>
    <m/>
    <m/>
    <m/>
    <m/>
    <m/>
    <m/>
    <m/>
    <m/>
    <m/>
    <m/>
    <m/>
    <m/>
    <m/>
    <m/>
    <m/>
    <m/>
    <m/>
    <m/>
    <m/>
    <m/>
    <m/>
    <m/>
    <m/>
    <m/>
    <m/>
    <m/>
    <m/>
    <m/>
    <m/>
    <m/>
    <m/>
    <n v="407"/>
    <n v="404"/>
    <m/>
    <m/>
    <m/>
    <m/>
    <m/>
    <m/>
    <n v="0"/>
    <m/>
    <n v="0"/>
    <m/>
    <n v="0"/>
    <m/>
    <n v="0"/>
    <m/>
    <n v="0"/>
    <m/>
    <n v="40083880"/>
    <n v="20965176"/>
    <n v="0"/>
    <n v="0"/>
    <n v="0"/>
    <n v="0"/>
    <n v="0"/>
    <n v="0"/>
    <n v="0"/>
    <n v="0"/>
    <n v="0"/>
    <n v="0"/>
    <n v="3663"/>
    <n v="3636"/>
    <n v="0"/>
    <n v="0"/>
    <n v="0"/>
    <n v="0"/>
    <n v="0"/>
    <n v="0"/>
    <n v="0"/>
    <n v="0"/>
    <n v="0"/>
    <n v="0"/>
    <n v="10942.910182910184"/>
    <n v="5766"/>
    <n v="0"/>
    <n v="0"/>
    <n v="0"/>
    <n v="0"/>
    <n v="0"/>
    <n v="0"/>
    <n v="0"/>
    <n v="0"/>
    <n v="0"/>
    <n v="0"/>
    <n v="98486.191646191655"/>
    <n v="51894"/>
    <n v="98486.191646191641"/>
    <n v="51894"/>
    <n v="0"/>
    <n v="0"/>
    <n v="0"/>
    <n v="0"/>
    <n v="0"/>
    <n v="0"/>
    <n v="0"/>
    <n v="0"/>
    <n v="0"/>
    <n v="0"/>
    <n v="407"/>
    <n v="404"/>
    <n v="407"/>
    <n v="404"/>
    <n v="0"/>
    <n v="0"/>
    <n v="0"/>
    <n v="0"/>
    <n v="0"/>
    <n v="0"/>
    <n v="0"/>
    <n v="0"/>
    <n v="0"/>
    <n v="0"/>
    <n v="40083880"/>
    <n v="20965176"/>
    <n v="40083880"/>
    <n v="20965176"/>
  </r>
  <r>
    <x v="3"/>
    <s v="Indian River State College "/>
    <m/>
    <n v="134608"/>
    <x v="11"/>
    <m/>
    <m/>
    <m/>
    <m/>
    <m/>
    <m/>
    <m/>
    <m/>
    <m/>
    <m/>
    <m/>
    <m/>
    <m/>
    <m/>
    <m/>
    <m/>
    <m/>
    <m/>
    <m/>
    <m/>
    <m/>
    <m/>
    <m/>
    <m/>
    <m/>
    <m/>
    <m/>
    <m/>
    <m/>
    <m/>
    <m/>
    <m/>
    <m/>
    <m/>
    <m/>
    <m/>
    <m/>
    <m/>
    <m/>
    <m/>
    <n v="197"/>
    <n v="201"/>
    <m/>
    <m/>
    <m/>
    <m/>
    <m/>
    <m/>
    <n v="0"/>
    <m/>
    <n v="0"/>
    <m/>
    <n v="0"/>
    <m/>
    <n v="0"/>
    <m/>
    <n v="0"/>
    <m/>
    <n v="5727300"/>
    <n v="14031207"/>
    <n v="0"/>
    <n v="0"/>
    <n v="0"/>
    <n v="0"/>
    <n v="0"/>
    <n v="0"/>
    <n v="0"/>
    <n v="0"/>
    <n v="0"/>
    <n v="0"/>
    <n v="1773"/>
    <n v="1809"/>
    <n v="0"/>
    <n v="0"/>
    <n v="0"/>
    <n v="0"/>
    <n v="0"/>
    <n v="0"/>
    <n v="0"/>
    <n v="0"/>
    <n v="0"/>
    <n v="0"/>
    <n v="3230.2876480541454"/>
    <n v="7756.333333333333"/>
    <n v="0"/>
    <n v="0"/>
    <n v="0"/>
    <n v="0"/>
    <n v="0"/>
    <n v="0"/>
    <n v="0"/>
    <n v="0"/>
    <n v="0"/>
    <n v="0"/>
    <n v="29072.588832487309"/>
    <n v="69807"/>
    <n v="29072.588832487309"/>
    <n v="69807"/>
    <n v="0"/>
    <n v="0"/>
    <n v="0"/>
    <n v="0"/>
    <n v="0"/>
    <n v="0"/>
    <n v="0"/>
    <n v="0"/>
    <n v="0"/>
    <n v="0"/>
    <n v="197"/>
    <n v="201"/>
    <n v="197"/>
    <n v="201"/>
    <n v="0"/>
    <n v="0"/>
    <n v="0"/>
    <n v="0"/>
    <n v="0"/>
    <n v="0"/>
    <n v="0"/>
    <n v="0"/>
    <n v="0"/>
    <n v="0"/>
    <n v="5727300"/>
    <n v="14031207"/>
    <n v="5727300"/>
    <n v="14031207"/>
  </r>
  <r>
    <x v="3"/>
    <s v="Miami Dade College "/>
    <m/>
    <n v="135717"/>
    <x v="11"/>
    <m/>
    <m/>
    <m/>
    <m/>
    <m/>
    <m/>
    <m/>
    <m/>
    <m/>
    <m/>
    <m/>
    <m/>
    <m/>
    <m/>
    <m/>
    <m/>
    <m/>
    <m/>
    <m/>
    <m/>
    <m/>
    <m/>
    <m/>
    <m/>
    <m/>
    <m/>
    <m/>
    <m/>
    <m/>
    <m/>
    <m/>
    <m/>
    <m/>
    <m/>
    <m/>
    <m/>
    <m/>
    <m/>
    <m/>
    <m/>
    <n v="673"/>
    <n v="659"/>
    <m/>
    <m/>
    <m/>
    <m/>
    <m/>
    <m/>
    <n v="0"/>
    <m/>
    <n v="0"/>
    <m/>
    <n v="0"/>
    <m/>
    <n v="0"/>
    <m/>
    <n v="0"/>
    <m/>
    <n v="20416672"/>
    <n v="40374953"/>
    <n v="0"/>
    <n v="0"/>
    <n v="0"/>
    <n v="0"/>
    <n v="0"/>
    <n v="0"/>
    <n v="0"/>
    <n v="0"/>
    <n v="0"/>
    <n v="0"/>
    <n v="6057"/>
    <n v="5931"/>
    <n v="0"/>
    <n v="0"/>
    <n v="0"/>
    <n v="0"/>
    <n v="0"/>
    <n v="0"/>
    <n v="0"/>
    <n v="0"/>
    <n v="0"/>
    <n v="0"/>
    <n v="3370.7564801056628"/>
    <n v="6807.4444444444443"/>
    <n v="0"/>
    <n v="0"/>
    <n v="0"/>
    <n v="0"/>
    <n v="0"/>
    <n v="0"/>
    <n v="0"/>
    <n v="0"/>
    <n v="0"/>
    <n v="0"/>
    <n v="30336.808320950964"/>
    <n v="61267"/>
    <n v="30336.808320950964"/>
    <n v="61267"/>
    <n v="0"/>
    <n v="0"/>
    <n v="0"/>
    <n v="0"/>
    <n v="0"/>
    <n v="0"/>
    <n v="0"/>
    <n v="0"/>
    <n v="0"/>
    <n v="0"/>
    <n v="673"/>
    <n v="659"/>
    <n v="673"/>
    <n v="659"/>
    <n v="0"/>
    <n v="0"/>
    <n v="0"/>
    <n v="0"/>
    <n v="0"/>
    <n v="0"/>
    <n v="0"/>
    <n v="0"/>
    <n v="0"/>
    <n v="0"/>
    <n v="20416672"/>
    <n v="40374953"/>
    <n v="20416672"/>
    <n v="40374953"/>
  </r>
  <r>
    <x v="3"/>
    <s v="Northwest Florida State College"/>
    <m/>
    <n v="136233"/>
    <x v="11"/>
    <m/>
    <m/>
    <m/>
    <m/>
    <m/>
    <m/>
    <m/>
    <m/>
    <m/>
    <m/>
    <m/>
    <m/>
    <m/>
    <m/>
    <m/>
    <m/>
    <m/>
    <m/>
    <m/>
    <m/>
    <m/>
    <m/>
    <m/>
    <m/>
    <m/>
    <m/>
    <m/>
    <m/>
    <m/>
    <m/>
    <m/>
    <m/>
    <m/>
    <m/>
    <m/>
    <m/>
    <m/>
    <m/>
    <m/>
    <m/>
    <n v="102"/>
    <n v="102"/>
    <m/>
    <m/>
    <m/>
    <m/>
    <m/>
    <m/>
    <n v="0"/>
    <m/>
    <n v="0"/>
    <m/>
    <n v="0"/>
    <m/>
    <n v="0"/>
    <m/>
    <n v="0"/>
    <m/>
    <n v="13504926"/>
    <n v="5600514"/>
    <n v="0"/>
    <n v="0"/>
    <n v="0"/>
    <n v="0"/>
    <n v="0"/>
    <n v="0"/>
    <n v="0"/>
    <n v="0"/>
    <n v="0"/>
    <n v="0"/>
    <n v="918"/>
    <n v="918"/>
    <n v="0"/>
    <n v="0"/>
    <n v="0"/>
    <n v="0"/>
    <n v="0"/>
    <n v="0"/>
    <n v="0"/>
    <n v="0"/>
    <n v="0"/>
    <n v="0"/>
    <n v="14711.248366013071"/>
    <n v="6100.7777777777774"/>
    <n v="0"/>
    <n v="0"/>
    <n v="0"/>
    <n v="0"/>
    <n v="0"/>
    <n v="0"/>
    <n v="0"/>
    <n v="0"/>
    <n v="0"/>
    <n v="0"/>
    <n v="132401.23529411765"/>
    <n v="54907"/>
    <n v="132401.23529411765"/>
    <n v="54907"/>
    <n v="0"/>
    <n v="0"/>
    <n v="0"/>
    <n v="0"/>
    <n v="0"/>
    <n v="0"/>
    <n v="0"/>
    <n v="0"/>
    <n v="0"/>
    <n v="0"/>
    <n v="102"/>
    <n v="102"/>
    <n v="102"/>
    <n v="102"/>
    <n v="0"/>
    <n v="0"/>
    <n v="0"/>
    <n v="0"/>
    <n v="0"/>
    <n v="0"/>
    <n v="0"/>
    <n v="0"/>
    <n v="0"/>
    <n v="0"/>
    <n v="13504926"/>
    <n v="5600514"/>
    <n v="13504926"/>
    <n v="5600514"/>
  </r>
  <r>
    <x v="3"/>
    <s v="St. Petersburg College "/>
    <m/>
    <n v="137078"/>
    <x v="11"/>
    <m/>
    <m/>
    <m/>
    <m/>
    <m/>
    <m/>
    <m/>
    <m/>
    <m/>
    <m/>
    <m/>
    <m/>
    <m/>
    <m/>
    <m/>
    <m/>
    <m/>
    <m/>
    <m/>
    <m/>
    <m/>
    <m/>
    <m/>
    <m/>
    <m/>
    <m/>
    <m/>
    <m/>
    <m/>
    <m/>
    <m/>
    <m/>
    <m/>
    <m/>
    <m/>
    <m/>
    <m/>
    <m/>
    <m/>
    <m/>
    <n v="332"/>
    <n v="377"/>
    <m/>
    <m/>
    <m/>
    <m/>
    <m/>
    <m/>
    <n v="0"/>
    <m/>
    <n v="0"/>
    <m/>
    <n v="0"/>
    <m/>
    <n v="0"/>
    <m/>
    <n v="0"/>
    <m/>
    <n v="21553468"/>
    <n v="23425272"/>
    <n v="0"/>
    <n v="0"/>
    <n v="0"/>
    <n v="0"/>
    <n v="0"/>
    <n v="0"/>
    <n v="0"/>
    <n v="0"/>
    <n v="0"/>
    <n v="0"/>
    <n v="2988"/>
    <n v="3393"/>
    <n v="0"/>
    <n v="0"/>
    <n v="0"/>
    <n v="0"/>
    <n v="0"/>
    <n v="0"/>
    <n v="0"/>
    <n v="0"/>
    <n v="0"/>
    <n v="0"/>
    <n v="7213.3427041499326"/>
    <n v="6904"/>
    <n v="0"/>
    <n v="0"/>
    <n v="0"/>
    <n v="0"/>
    <n v="0"/>
    <n v="0"/>
    <n v="0"/>
    <n v="0"/>
    <n v="0"/>
    <n v="0"/>
    <n v="64920.084337349392"/>
    <n v="62136"/>
    <n v="64920.084337349384"/>
    <n v="62136"/>
    <n v="0"/>
    <n v="0"/>
    <n v="0"/>
    <n v="0"/>
    <n v="0"/>
    <n v="0"/>
    <n v="0"/>
    <n v="0"/>
    <n v="0"/>
    <n v="0"/>
    <n v="332"/>
    <n v="377"/>
    <n v="332"/>
    <n v="377"/>
    <n v="0"/>
    <n v="0"/>
    <n v="0"/>
    <n v="0"/>
    <n v="0"/>
    <n v="0"/>
    <n v="0"/>
    <n v="0"/>
    <n v="0"/>
    <n v="0"/>
    <n v="21553467.999999996"/>
    <n v="23425272"/>
    <n v="21553467.999999996"/>
    <n v="23425272"/>
  </r>
  <r>
    <x v="3"/>
    <s v="Brevard Community College "/>
    <m/>
    <n v="132693"/>
    <x v="6"/>
    <m/>
    <m/>
    <m/>
    <m/>
    <m/>
    <m/>
    <m/>
    <m/>
    <m/>
    <m/>
    <m/>
    <m/>
    <m/>
    <m/>
    <m/>
    <m/>
    <m/>
    <m/>
    <m/>
    <m/>
    <m/>
    <m/>
    <m/>
    <m/>
    <m/>
    <m/>
    <m/>
    <m/>
    <m/>
    <m/>
    <m/>
    <m/>
    <m/>
    <m/>
    <m/>
    <m/>
    <m/>
    <m/>
    <m/>
    <m/>
    <n v="254"/>
    <n v="239"/>
    <m/>
    <m/>
    <m/>
    <m/>
    <m/>
    <m/>
    <n v="0"/>
    <m/>
    <n v="0"/>
    <m/>
    <n v="0"/>
    <m/>
    <n v="0"/>
    <m/>
    <n v="0"/>
    <m/>
    <n v="6123988"/>
    <n v="13139264"/>
    <n v="0"/>
    <n v="0"/>
    <n v="0"/>
    <n v="0"/>
    <n v="0"/>
    <n v="0"/>
    <n v="0"/>
    <n v="0"/>
    <n v="0"/>
    <n v="0"/>
    <n v="2286"/>
    <n v="2151"/>
    <n v="0"/>
    <n v="0"/>
    <n v="0"/>
    <n v="0"/>
    <n v="0"/>
    <n v="0"/>
    <n v="0"/>
    <n v="0"/>
    <n v="0"/>
    <n v="0"/>
    <n v="2678.9098862642168"/>
    <n v="6108.4444444444443"/>
    <n v="0"/>
    <n v="0"/>
    <n v="0"/>
    <n v="0"/>
    <n v="0"/>
    <n v="0"/>
    <n v="0"/>
    <n v="0"/>
    <n v="0"/>
    <n v="0"/>
    <n v="24110.188976377951"/>
    <n v="54976"/>
    <n v="24110.188976377951"/>
    <n v="54976"/>
    <n v="0"/>
    <n v="0"/>
    <n v="0"/>
    <n v="0"/>
    <n v="0"/>
    <n v="0"/>
    <n v="0"/>
    <n v="0"/>
    <n v="0"/>
    <n v="0"/>
    <n v="254"/>
    <n v="239"/>
    <n v="254"/>
    <n v="239"/>
    <n v="0"/>
    <n v="0"/>
    <n v="0"/>
    <n v="0"/>
    <n v="0"/>
    <n v="0"/>
    <n v="0"/>
    <n v="0"/>
    <n v="0"/>
    <n v="0"/>
    <n v="6123987.9999999991"/>
    <n v="13139264"/>
    <n v="6123987.9999999991"/>
    <n v="13139264"/>
  </r>
  <r>
    <x v="3"/>
    <s v="Broward College "/>
    <s v="Met the criteria for Two-Year with Bachelor's in 2011-12 and 2012-13."/>
    <n v="132709"/>
    <x v="6"/>
    <m/>
    <m/>
    <m/>
    <m/>
    <m/>
    <m/>
    <m/>
    <m/>
    <m/>
    <m/>
    <m/>
    <m/>
    <m/>
    <m/>
    <m/>
    <m/>
    <m/>
    <m/>
    <m/>
    <m/>
    <m/>
    <m/>
    <m/>
    <m/>
    <m/>
    <m/>
    <m/>
    <m/>
    <m/>
    <m/>
    <m/>
    <m/>
    <m/>
    <m/>
    <m/>
    <m/>
    <m/>
    <m/>
    <m/>
    <m/>
    <n v="386"/>
    <n v="397"/>
    <m/>
    <m/>
    <m/>
    <m/>
    <m/>
    <m/>
    <n v="0"/>
    <m/>
    <n v="0"/>
    <m/>
    <n v="0"/>
    <m/>
    <n v="0"/>
    <m/>
    <n v="0"/>
    <m/>
    <n v="19524604"/>
    <n v="23310252"/>
    <n v="0"/>
    <n v="0"/>
    <n v="0"/>
    <n v="0"/>
    <n v="0"/>
    <n v="0"/>
    <n v="0"/>
    <n v="0"/>
    <n v="0"/>
    <n v="0"/>
    <n v="3474"/>
    <n v="3573"/>
    <n v="0"/>
    <n v="0"/>
    <n v="0"/>
    <n v="0"/>
    <n v="0"/>
    <n v="0"/>
    <n v="0"/>
    <n v="0"/>
    <n v="0"/>
    <n v="0"/>
    <n v="5620.2084052964883"/>
    <n v="6524"/>
    <n v="0"/>
    <n v="0"/>
    <n v="0"/>
    <n v="0"/>
    <n v="0"/>
    <n v="0"/>
    <n v="0"/>
    <n v="0"/>
    <n v="0"/>
    <n v="0"/>
    <n v="50581.875647668392"/>
    <n v="58716"/>
    <n v="50581.875647668392"/>
    <n v="58716"/>
    <n v="0"/>
    <n v="0"/>
    <n v="0"/>
    <n v="0"/>
    <n v="0"/>
    <n v="0"/>
    <n v="0"/>
    <n v="0"/>
    <n v="0"/>
    <n v="0"/>
    <n v="386"/>
    <n v="397"/>
    <n v="386"/>
    <n v="397"/>
    <n v="0"/>
    <n v="0"/>
    <n v="0"/>
    <n v="0"/>
    <n v="0"/>
    <n v="0"/>
    <n v="0"/>
    <n v="0"/>
    <n v="0"/>
    <n v="0"/>
    <n v="19524604"/>
    <n v="23310252"/>
    <n v="19524604"/>
    <n v="23310252"/>
  </r>
  <r>
    <x v="3"/>
    <s v="College of Central Florida"/>
    <m/>
    <n v="132851"/>
    <x v="6"/>
    <m/>
    <m/>
    <m/>
    <m/>
    <m/>
    <m/>
    <m/>
    <m/>
    <m/>
    <m/>
    <m/>
    <m/>
    <m/>
    <m/>
    <m/>
    <m/>
    <m/>
    <m/>
    <m/>
    <m/>
    <m/>
    <m/>
    <m/>
    <m/>
    <m/>
    <m/>
    <m/>
    <m/>
    <m/>
    <m/>
    <m/>
    <m/>
    <m/>
    <m/>
    <m/>
    <m/>
    <m/>
    <m/>
    <m/>
    <m/>
    <n v="124"/>
    <n v="125"/>
    <m/>
    <m/>
    <m/>
    <m/>
    <m/>
    <m/>
    <n v="0"/>
    <m/>
    <n v="0"/>
    <m/>
    <n v="0"/>
    <m/>
    <n v="0"/>
    <m/>
    <n v="0"/>
    <m/>
    <n v="15518648"/>
    <n v="6397750"/>
    <n v="0"/>
    <n v="0"/>
    <n v="0"/>
    <n v="0"/>
    <n v="0"/>
    <n v="0"/>
    <n v="0"/>
    <n v="0"/>
    <n v="0"/>
    <n v="0"/>
    <n v="1116"/>
    <n v="1125"/>
    <n v="0"/>
    <n v="0"/>
    <n v="0"/>
    <n v="0"/>
    <n v="0"/>
    <n v="0"/>
    <n v="0"/>
    <n v="0"/>
    <n v="0"/>
    <n v="0"/>
    <n v="13905.598566308243"/>
    <n v="5686.8888888888887"/>
    <n v="0"/>
    <n v="0"/>
    <n v="0"/>
    <n v="0"/>
    <n v="0"/>
    <n v="0"/>
    <n v="0"/>
    <n v="0"/>
    <n v="0"/>
    <n v="0"/>
    <n v="125150.38709677418"/>
    <n v="51182"/>
    <n v="125150.38709677418"/>
    <n v="51182"/>
    <n v="0"/>
    <n v="0"/>
    <n v="0"/>
    <n v="0"/>
    <n v="0"/>
    <n v="0"/>
    <n v="0"/>
    <n v="0"/>
    <n v="0"/>
    <n v="0"/>
    <n v="124"/>
    <n v="125"/>
    <n v="124"/>
    <n v="125"/>
    <n v="0"/>
    <n v="0"/>
    <n v="0"/>
    <n v="0"/>
    <n v="0"/>
    <n v="0"/>
    <n v="0"/>
    <n v="0"/>
    <n v="0"/>
    <n v="0"/>
    <n v="15518647.999999998"/>
    <n v="6397750"/>
    <n v="15518647.999999998"/>
    <n v="6397750"/>
  </r>
  <r>
    <x v="3"/>
    <s v="Hillsborough Community College "/>
    <m/>
    <n v="134495"/>
    <x v="6"/>
    <m/>
    <m/>
    <m/>
    <m/>
    <m/>
    <m/>
    <m/>
    <m/>
    <m/>
    <m/>
    <m/>
    <m/>
    <m/>
    <m/>
    <m/>
    <m/>
    <m/>
    <m/>
    <m/>
    <m/>
    <m/>
    <m/>
    <m/>
    <m/>
    <m/>
    <m/>
    <m/>
    <m/>
    <m/>
    <m/>
    <m/>
    <m/>
    <m/>
    <m/>
    <m/>
    <m/>
    <m/>
    <m/>
    <m/>
    <m/>
    <n v="298"/>
    <n v="298"/>
    <m/>
    <m/>
    <m/>
    <m/>
    <m/>
    <m/>
    <n v="0"/>
    <m/>
    <n v="0"/>
    <m/>
    <n v="0"/>
    <m/>
    <n v="0"/>
    <m/>
    <n v="0"/>
    <m/>
    <n v="13460813"/>
    <n v="15280248"/>
    <n v="0"/>
    <n v="0"/>
    <n v="0"/>
    <n v="0"/>
    <n v="0"/>
    <n v="0"/>
    <n v="0"/>
    <n v="0"/>
    <n v="0"/>
    <n v="0"/>
    <n v="2682"/>
    <n v="2682"/>
    <n v="0"/>
    <n v="0"/>
    <n v="0"/>
    <n v="0"/>
    <n v="0"/>
    <n v="0"/>
    <n v="0"/>
    <n v="0"/>
    <n v="0"/>
    <n v="0"/>
    <n v="5018.9459358687545"/>
    <n v="5697.333333333333"/>
    <n v="0"/>
    <n v="0"/>
    <n v="0"/>
    <n v="0"/>
    <n v="0"/>
    <n v="0"/>
    <n v="0"/>
    <n v="0"/>
    <n v="0"/>
    <n v="0"/>
    <n v="45170.513422818789"/>
    <n v="51276"/>
    <n v="45170.513422818789"/>
    <n v="51276"/>
    <n v="0"/>
    <n v="0"/>
    <n v="0"/>
    <n v="0"/>
    <n v="0"/>
    <n v="0"/>
    <n v="0"/>
    <n v="0"/>
    <n v="0"/>
    <n v="0"/>
    <n v="298"/>
    <n v="298"/>
    <n v="298"/>
    <n v="298"/>
    <n v="0"/>
    <n v="0"/>
    <n v="0"/>
    <n v="0"/>
    <n v="0"/>
    <n v="0"/>
    <n v="0"/>
    <n v="0"/>
    <n v="0"/>
    <n v="0"/>
    <n v="13460813"/>
    <n v="15280248"/>
    <n v="13460813"/>
    <n v="15280248"/>
  </r>
  <r>
    <x v="3"/>
    <s v="Palm Beach State College "/>
    <s v="Met the criteria for Two-Year with Bachelor's in 2011-12 and 2012-13."/>
    <n v="136358"/>
    <x v="6"/>
    <m/>
    <m/>
    <m/>
    <m/>
    <m/>
    <m/>
    <m/>
    <m/>
    <m/>
    <m/>
    <m/>
    <m/>
    <m/>
    <m/>
    <m/>
    <m/>
    <m/>
    <m/>
    <m/>
    <m/>
    <m/>
    <m/>
    <m/>
    <m/>
    <m/>
    <m/>
    <m/>
    <m/>
    <m/>
    <m/>
    <m/>
    <m/>
    <m/>
    <m/>
    <m/>
    <m/>
    <m/>
    <m/>
    <m/>
    <m/>
    <n v="291"/>
    <n v="297"/>
    <m/>
    <m/>
    <m/>
    <m/>
    <m/>
    <m/>
    <n v="0"/>
    <m/>
    <n v="0"/>
    <m/>
    <n v="0"/>
    <m/>
    <n v="0"/>
    <m/>
    <n v="0"/>
    <m/>
    <n v="16096956"/>
    <n v="16173432"/>
    <n v="0"/>
    <n v="0"/>
    <n v="0"/>
    <n v="0"/>
    <n v="0"/>
    <n v="0"/>
    <n v="0"/>
    <n v="0"/>
    <n v="0"/>
    <n v="0"/>
    <n v="2619"/>
    <n v="2673"/>
    <n v="0"/>
    <n v="0"/>
    <n v="0"/>
    <n v="0"/>
    <n v="0"/>
    <n v="0"/>
    <n v="0"/>
    <n v="0"/>
    <n v="0"/>
    <n v="0"/>
    <n v="6146.2222222222226"/>
    <n v="6050.666666666667"/>
    <n v="0"/>
    <n v="0"/>
    <n v="0"/>
    <n v="0"/>
    <n v="0"/>
    <n v="0"/>
    <n v="0"/>
    <n v="0"/>
    <n v="0"/>
    <n v="0"/>
    <n v="55316"/>
    <n v="54456"/>
    <n v="55316"/>
    <n v="54456"/>
    <n v="0"/>
    <n v="0"/>
    <n v="0"/>
    <n v="0"/>
    <n v="0"/>
    <n v="0"/>
    <n v="0"/>
    <n v="0"/>
    <n v="0"/>
    <n v="0"/>
    <n v="291"/>
    <n v="297"/>
    <n v="291"/>
    <n v="297"/>
    <n v="0"/>
    <n v="0"/>
    <n v="0"/>
    <n v="0"/>
    <n v="0"/>
    <n v="0"/>
    <n v="0"/>
    <n v="0"/>
    <n v="0"/>
    <n v="0"/>
    <n v="16096956"/>
    <n v="16173432"/>
    <n v="16096956"/>
    <n v="16173432"/>
  </r>
  <r>
    <x v="3"/>
    <s v="Pasco-Hernando Community College "/>
    <m/>
    <n v="136400"/>
    <x v="6"/>
    <m/>
    <m/>
    <m/>
    <m/>
    <m/>
    <m/>
    <m/>
    <m/>
    <m/>
    <m/>
    <m/>
    <m/>
    <m/>
    <m/>
    <m/>
    <m/>
    <m/>
    <m/>
    <m/>
    <m/>
    <m/>
    <m/>
    <m/>
    <m/>
    <m/>
    <m/>
    <m/>
    <m/>
    <m/>
    <m/>
    <m/>
    <m/>
    <m/>
    <m/>
    <m/>
    <m/>
    <m/>
    <m/>
    <m/>
    <m/>
    <n v="120"/>
    <n v="125"/>
    <m/>
    <m/>
    <m/>
    <m/>
    <m/>
    <m/>
    <n v="0"/>
    <m/>
    <n v="0"/>
    <m/>
    <n v="0"/>
    <m/>
    <n v="0"/>
    <m/>
    <n v="0"/>
    <m/>
    <n v="6481440"/>
    <n v="6592875"/>
    <n v="0"/>
    <n v="0"/>
    <n v="0"/>
    <n v="0"/>
    <n v="0"/>
    <n v="0"/>
    <n v="0"/>
    <n v="0"/>
    <n v="0"/>
    <n v="0"/>
    <n v="1080"/>
    <n v="1125"/>
    <n v="0"/>
    <n v="0"/>
    <n v="0"/>
    <n v="0"/>
    <n v="0"/>
    <n v="0"/>
    <n v="0"/>
    <n v="0"/>
    <n v="0"/>
    <n v="0"/>
    <n v="6001.333333333333"/>
    <n v="5860.333333333333"/>
    <n v="0"/>
    <n v="0"/>
    <n v="0"/>
    <n v="0"/>
    <n v="0"/>
    <n v="0"/>
    <n v="0"/>
    <n v="0"/>
    <n v="0"/>
    <n v="0"/>
    <n v="54012"/>
    <n v="52743"/>
    <n v="54012"/>
    <n v="52743"/>
    <n v="0"/>
    <n v="0"/>
    <n v="0"/>
    <n v="0"/>
    <n v="0"/>
    <n v="0"/>
    <n v="0"/>
    <n v="0"/>
    <n v="0"/>
    <n v="0"/>
    <n v="120"/>
    <n v="125"/>
    <n v="120"/>
    <n v="125"/>
    <n v="0"/>
    <n v="0"/>
    <n v="0"/>
    <n v="0"/>
    <n v="0"/>
    <n v="0"/>
    <n v="0"/>
    <n v="0"/>
    <n v="0"/>
    <n v="0"/>
    <n v="6481440"/>
    <n v="6592875"/>
    <n v="6481440"/>
    <n v="6592875"/>
  </r>
  <r>
    <x v="3"/>
    <s v="Pensacola State College "/>
    <s v="Met the criteria for Two-Year with Bachelor's in 2012-13."/>
    <n v="136473"/>
    <x v="6"/>
    <m/>
    <m/>
    <m/>
    <m/>
    <m/>
    <m/>
    <m/>
    <m/>
    <m/>
    <m/>
    <m/>
    <m/>
    <m/>
    <m/>
    <m/>
    <m/>
    <m/>
    <m/>
    <m/>
    <m/>
    <m/>
    <m/>
    <m/>
    <m/>
    <m/>
    <m/>
    <m/>
    <m/>
    <m/>
    <m/>
    <m/>
    <m/>
    <m/>
    <m/>
    <m/>
    <m/>
    <m/>
    <m/>
    <m/>
    <m/>
    <n v="203"/>
    <n v="187"/>
    <m/>
    <m/>
    <m/>
    <m/>
    <m/>
    <m/>
    <n v="0"/>
    <m/>
    <n v="0"/>
    <m/>
    <n v="0"/>
    <m/>
    <n v="0"/>
    <m/>
    <n v="0"/>
    <m/>
    <n v="9682085"/>
    <n v="9058280"/>
    <n v="0"/>
    <n v="0"/>
    <n v="0"/>
    <n v="0"/>
    <n v="0"/>
    <n v="0"/>
    <n v="0"/>
    <n v="0"/>
    <n v="0"/>
    <n v="0"/>
    <n v="1827"/>
    <n v="1683"/>
    <n v="0"/>
    <n v="0"/>
    <n v="0"/>
    <n v="0"/>
    <n v="0"/>
    <n v="0"/>
    <n v="0"/>
    <n v="0"/>
    <n v="0"/>
    <n v="0"/>
    <n v="5299.4444444444443"/>
    <n v="5382.2222222222226"/>
    <n v="0"/>
    <n v="0"/>
    <n v="0"/>
    <n v="0"/>
    <n v="0"/>
    <n v="0"/>
    <n v="0"/>
    <n v="0"/>
    <n v="0"/>
    <n v="0"/>
    <n v="47695"/>
    <n v="48440"/>
    <n v="47695"/>
    <n v="48440"/>
    <n v="0"/>
    <n v="0"/>
    <n v="0"/>
    <n v="0"/>
    <n v="0"/>
    <n v="0"/>
    <n v="0"/>
    <n v="0"/>
    <n v="0"/>
    <n v="0"/>
    <n v="203"/>
    <n v="187"/>
    <n v="203"/>
    <n v="187"/>
    <n v="0"/>
    <n v="0"/>
    <n v="0"/>
    <n v="0"/>
    <n v="0"/>
    <n v="0"/>
    <n v="0"/>
    <n v="0"/>
    <n v="0"/>
    <n v="0"/>
    <n v="9682085"/>
    <n v="9058280"/>
    <n v="9682085"/>
    <n v="9058280"/>
  </r>
  <r>
    <x v="3"/>
    <s v="Polk State College "/>
    <s v="Met the criteria for Two-Year with Bachelor's in 2011-12 and 2012-13."/>
    <n v="136516"/>
    <x v="6"/>
    <m/>
    <m/>
    <m/>
    <m/>
    <m/>
    <m/>
    <m/>
    <m/>
    <m/>
    <m/>
    <m/>
    <m/>
    <m/>
    <m/>
    <m/>
    <m/>
    <m/>
    <m/>
    <m/>
    <m/>
    <m/>
    <m/>
    <m/>
    <m/>
    <m/>
    <m/>
    <m/>
    <m/>
    <m/>
    <m/>
    <m/>
    <m/>
    <m/>
    <m/>
    <m/>
    <m/>
    <m/>
    <m/>
    <m/>
    <m/>
    <n v="124"/>
    <n v="149"/>
    <m/>
    <m/>
    <m/>
    <m/>
    <m/>
    <m/>
    <n v="0"/>
    <m/>
    <n v="0"/>
    <m/>
    <n v="0"/>
    <m/>
    <n v="0"/>
    <m/>
    <n v="0"/>
    <m/>
    <n v="6562204"/>
    <n v="8017988"/>
    <n v="0"/>
    <n v="0"/>
    <n v="0"/>
    <n v="0"/>
    <n v="0"/>
    <n v="0"/>
    <n v="0"/>
    <n v="0"/>
    <n v="0"/>
    <n v="0"/>
    <n v="1116"/>
    <n v="1341"/>
    <n v="0"/>
    <n v="0"/>
    <n v="0"/>
    <n v="0"/>
    <n v="0"/>
    <n v="0"/>
    <n v="0"/>
    <n v="0"/>
    <n v="0"/>
    <n v="0"/>
    <n v="5880.1111111111113"/>
    <n v="5979.1111111111113"/>
    <n v="0"/>
    <n v="0"/>
    <n v="0"/>
    <n v="0"/>
    <n v="0"/>
    <n v="0"/>
    <n v="0"/>
    <n v="0"/>
    <n v="0"/>
    <n v="0"/>
    <n v="52921"/>
    <n v="53812"/>
    <n v="52921"/>
    <n v="53812"/>
    <n v="0"/>
    <n v="0"/>
    <n v="0"/>
    <n v="0"/>
    <n v="0"/>
    <n v="0"/>
    <n v="0"/>
    <n v="0"/>
    <n v="0"/>
    <n v="0"/>
    <n v="124"/>
    <n v="149"/>
    <n v="124"/>
    <n v="149"/>
    <n v="0"/>
    <n v="0"/>
    <n v="0"/>
    <n v="0"/>
    <n v="0"/>
    <n v="0"/>
    <n v="0"/>
    <n v="0"/>
    <n v="0"/>
    <n v="0"/>
    <n v="6562204"/>
    <n v="8017988"/>
    <n v="6562204"/>
    <n v="8017988"/>
  </r>
  <r>
    <x v="3"/>
    <s v="Santa Fe College "/>
    <s v="Met the criteria for Two-Year with Bachelor's in 2012-13."/>
    <n v="137096"/>
    <x v="6"/>
    <m/>
    <m/>
    <m/>
    <m/>
    <m/>
    <m/>
    <m/>
    <m/>
    <m/>
    <m/>
    <m/>
    <m/>
    <m/>
    <m/>
    <m/>
    <m/>
    <m/>
    <m/>
    <m/>
    <m/>
    <m/>
    <m/>
    <m/>
    <m/>
    <m/>
    <m/>
    <m/>
    <m/>
    <m/>
    <m/>
    <m/>
    <m/>
    <m/>
    <m/>
    <m/>
    <m/>
    <m/>
    <m/>
    <m/>
    <m/>
    <n v="230"/>
    <n v="234"/>
    <m/>
    <m/>
    <m/>
    <m/>
    <m/>
    <m/>
    <n v="0"/>
    <m/>
    <n v="0"/>
    <m/>
    <n v="0"/>
    <m/>
    <n v="0"/>
    <m/>
    <n v="0"/>
    <m/>
    <n v="11614310"/>
    <n v="11886732"/>
    <n v="0"/>
    <n v="0"/>
    <n v="0"/>
    <n v="0"/>
    <n v="0"/>
    <n v="0"/>
    <n v="0"/>
    <n v="0"/>
    <n v="0"/>
    <n v="0"/>
    <n v="2070"/>
    <n v="2106"/>
    <n v="0"/>
    <n v="0"/>
    <n v="0"/>
    <n v="0"/>
    <n v="0"/>
    <n v="0"/>
    <n v="0"/>
    <n v="0"/>
    <n v="0"/>
    <n v="0"/>
    <n v="5610.7777777777774"/>
    <n v="5644.2222222222226"/>
    <n v="0"/>
    <n v="0"/>
    <n v="0"/>
    <n v="0"/>
    <n v="0"/>
    <n v="0"/>
    <n v="0"/>
    <n v="0"/>
    <n v="0"/>
    <n v="0"/>
    <n v="50497"/>
    <n v="50798"/>
    <n v="50497"/>
    <n v="50798"/>
    <n v="0"/>
    <n v="0"/>
    <n v="0"/>
    <n v="0"/>
    <n v="0"/>
    <n v="0"/>
    <n v="0"/>
    <n v="0"/>
    <n v="0"/>
    <n v="0"/>
    <n v="230"/>
    <n v="234"/>
    <n v="230"/>
    <n v="234"/>
    <n v="0"/>
    <n v="0"/>
    <n v="0"/>
    <n v="0"/>
    <n v="0"/>
    <n v="0"/>
    <n v="0"/>
    <n v="0"/>
    <n v="0"/>
    <n v="0"/>
    <n v="11614310"/>
    <n v="11886732"/>
    <n v="11614310"/>
    <n v="11886732"/>
  </r>
  <r>
    <x v="3"/>
    <s v="Seminole State College of Florida"/>
    <s v="Met the criteria for Two-Year with Bachelor's in 2012-13."/>
    <n v="137209"/>
    <x v="6"/>
    <m/>
    <m/>
    <m/>
    <m/>
    <m/>
    <m/>
    <m/>
    <m/>
    <m/>
    <m/>
    <m/>
    <m/>
    <m/>
    <m/>
    <m/>
    <m/>
    <m/>
    <m/>
    <m/>
    <m/>
    <m/>
    <m/>
    <m/>
    <m/>
    <m/>
    <m/>
    <m/>
    <m/>
    <m/>
    <m/>
    <m/>
    <m/>
    <m/>
    <m/>
    <m/>
    <m/>
    <m/>
    <m/>
    <m/>
    <m/>
    <n v="199"/>
    <n v="204"/>
    <m/>
    <m/>
    <m/>
    <m/>
    <m/>
    <m/>
    <n v="0"/>
    <m/>
    <n v="0"/>
    <m/>
    <n v="0"/>
    <m/>
    <n v="0"/>
    <m/>
    <n v="0"/>
    <m/>
    <n v="11222008"/>
    <n v="11078016"/>
    <n v="0"/>
    <n v="0"/>
    <n v="0"/>
    <n v="0"/>
    <n v="0"/>
    <n v="0"/>
    <n v="0"/>
    <n v="0"/>
    <n v="0"/>
    <n v="0"/>
    <n v="1791"/>
    <n v="1836"/>
    <n v="0"/>
    <n v="0"/>
    <n v="0"/>
    <n v="0"/>
    <n v="0"/>
    <n v="0"/>
    <n v="0"/>
    <n v="0"/>
    <n v="0"/>
    <n v="0"/>
    <n v="6265.7777777777774"/>
    <n v="6033.7777777777774"/>
    <n v="0"/>
    <n v="0"/>
    <n v="0"/>
    <n v="0"/>
    <n v="0"/>
    <n v="0"/>
    <n v="0"/>
    <n v="0"/>
    <n v="0"/>
    <n v="0"/>
    <n v="56392"/>
    <n v="54304"/>
    <n v="56392"/>
    <n v="54304"/>
    <n v="0"/>
    <n v="0"/>
    <n v="0"/>
    <n v="0"/>
    <n v="0"/>
    <n v="0"/>
    <n v="0"/>
    <n v="0"/>
    <n v="0"/>
    <n v="0"/>
    <n v="199"/>
    <n v="204"/>
    <n v="199"/>
    <n v="204"/>
    <n v="0"/>
    <n v="0"/>
    <n v="0"/>
    <n v="0"/>
    <n v="0"/>
    <n v="0"/>
    <n v="0"/>
    <n v="0"/>
    <n v="0"/>
    <n v="0"/>
    <n v="11222008"/>
    <n v="11078016"/>
    <n v="11222008"/>
    <n v="11078016"/>
  </r>
  <r>
    <x v="3"/>
    <s v="State College of Florida, Manatee-Sarasota"/>
    <s v="Met the criteria for Two-Year with Bachelor's in 2011-12 and 2012-13."/>
    <n v="135391"/>
    <x v="6"/>
    <m/>
    <m/>
    <m/>
    <m/>
    <m/>
    <m/>
    <m/>
    <m/>
    <m/>
    <m/>
    <m/>
    <m/>
    <m/>
    <m/>
    <m/>
    <m/>
    <m/>
    <m/>
    <m/>
    <m/>
    <m/>
    <m/>
    <m/>
    <m/>
    <m/>
    <m/>
    <m/>
    <m/>
    <m/>
    <m/>
    <m/>
    <m/>
    <m/>
    <m/>
    <m/>
    <m/>
    <m/>
    <m/>
    <m/>
    <m/>
    <n v="139"/>
    <n v="130"/>
    <m/>
    <m/>
    <m/>
    <m/>
    <m/>
    <m/>
    <n v="0"/>
    <m/>
    <n v="0"/>
    <m/>
    <n v="0"/>
    <m/>
    <n v="0"/>
    <m/>
    <n v="0"/>
    <m/>
    <n v="7487096"/>
    <n v="7116460"/>
    <n v="0"/>
    <n v="0"/>
    <n v="0"/>
    <n v="0"/>
    <n v="0"/>
    <n v="0"/>
    <n v="0"/>
    <n v="0"/>
    <n v="0"/>
    <n v="0"/>
    <n v="1251"/>
    <n v="1170"/>
    <n v="0"/>
    <n v="0"/>
    <n v="0"/>
    <n v="0"/>
    <n v="0"/>
    <n v="0"/>
    <n v="0"/>
    <n v="0"/>
    <n v="0"/>
    <n v="0"/>
    <n v="5984.8888888888887"/>
    <n v="6082.4444444444443"/>
    <n v="0"/>
    <n v="0"/>
    <n v="0"/>
    <n v="0"/>
    <n v="0"/>
    <n v="0"/>
    <n v="0"/>
    <n v="0"/>
    <n v="0"/>
    <n v="0"/>
    <n v="53864"/>
    <n v="54742"/>
    <n v="53864"/>
    <n v="54742"/>
    <n v="0"/>
    <n v="0"/>
    <n v="0"/>
    <n v="0"/>
    <n v="0"/>
    <n v="0"/>
    <n v="0"/>
    <n v="0"/>
    <n v="0"/>
    <n v="0"/>
    <n v="139"/>
    <n v="130"/>
    <n v="139"/>
    <n v="130"/>
    <n v="0"/>
    <n v="0"/>
    <n v="0"/>
    <n v="0"/>
    <n v="0"/>
    <n v="0"/>
    <n v="0"/>
    <n v="0"/>
    <n v="0"/>
    <n v="0"/>
    <n v="7487096"/>
    <n v="7116460"/>
    <n v="7487096"/>
    <n v="7116460"/>
  </r>
  <r>
    <x v="3"/>
    <s v="Tallahassee Community College "/>
    <m/>
    <n v="137759"/>
    <x v="6"/>
    <m/>
    <m/>
    <m/>
    <m/>
    <m/>
    <m/>
    <m/>
    <m/>
    <m/>
    <m/>
    <m/>
    <m/>
    <m/>
    <m/>
    <m/>
    <m/>
    <m/>
    <m/>
    <m/>
    <m/>
    <m/>
    <m/>
    <m/>
    <m/>
    <m/>
    <m/>
    <m/>
    <m/>
    <m/>
    <m/>
    <m/>
    <m/>
    <m/>
    <m/>
    <m/>
    <m/>
    <m/>
    <m/>
    <m/>
    <m/>
    <n v="187"/>
    <n v="195"/>
    <m/>
    <m/>
    <m/>
    <m/>
    <m/>
    <m/>
    <n v="0"/>
    <m/>
    <n v="0"/>
    <m/>
    <n v="0"/>
    <m/>
    <n v="0"/>
    <m/>
    <n v="0"/>
    <m/>
    <n v="10948289"/>
    <n v="10271235"/>
    <n v="0"/>
    <n v="0"/>
    <n v="0"/>
    <n v="0"/>
    <n v="0"/>
    <n v="0"/>
    <n v="0"/>
    <n v="0"/>
    <n v="0"/>
    <n v="0"/>
    <n v="1683"/>
    <n v="1755"/>
    <n v="0"/>
    <n v="0"/>
    <n v="0"/>
    <n v="0"/>
    <n v="0"/>
    <n v="0"/>
    <n v="0"/>
    <n v="0"/>
    <n v="0"/>
    <n v="0"/>
    <n v="6505.2222222222226"/>
    <n v="5852.5555555555557"/>
    <n v="0"/>
    <n v="0"/>
    <n v="0"/>
    <n v="0"/>
    <n v="0"/>
    <n v="0"/>
    <n v="0"/>
    <n v="0"/>
    <n v="0"/>
    <n v="0"/>
    <n v="58547"/>
    <n v="52673"/>
    <n v="58547"/>
    <n v="52673"/>
    <n v="0"/>
    <n v="0"/>
    <n v="0"/>
    <n v="0"/>
    <n v="0"/>
    <n v="0"/>
    <n v="0"/>
    <n v="0"/>
    <n v="0"/>
    <n v="0"/>
    <n v="187"/>
    <n v="195"/>
    <n v="187"/>
    <n v="195"/>
    <n v="0"/>
    <n v="0"/>
    <n v="0"/>
    <n v="0"/>
    <n v="0"/>
    <n v="0"/>
    <n v="0"/>
    <n v="0"/>
    <n v="0"/>
    <n v="0"/>
    <n v="10948289"/>
    <n v="10271235"/>
    <n v="10948289"/>
    <n v="10271235"/>
  </r>
  <r>
    <x v="3"/>
    <s v="Valencia Community College "/>
    <m/>
    <n v="138187"/>
    <x v="6"/>
    <m/>
    <m/>
    <m/>
    <m/>
    <m/>
    <m/>
    <m/>
    <m/>
    <m/>
    <m/>
    <m/>
    <m/>
    <m/>
    <m/>
    <m/>
    <m/>
    <m/>
    <m/>
    <m/>
    <m/>
    <m/>
    <m/>
    <m/>
    <m/>
    <m/>
    <m/>
    <m/>
    <m/>
    <m/>
    <m/>
    <m/>
    <m/>
    <m/>
    <m/>
    <m/>
    <m/>
    <m/>
    <m/>
    <m/>
    <m/>
    <n v="408"/>
    <n v="400"/>
    <m/>
    <m/>
    <m/>
    <m/>
    <m/>
    <m/>
    <n v="0"/>
    <m/>
    <n v="0"/>
    <m/>
    <n v="0"/>
    <m/>
    <n v="0"/>
    <m/>
    <n v="0"/>
    <m/>
    <n v="22257624"/>
    <n v="21653600"/>
    <n v="0"/>
    <n v="0"/>
    <n v="0"/>
    <n v="0"/>
    <n v="0"/>
    <n v="0"/>
    <n v="0"/>
    <n v="0"/>
    <n v="0"/>
    <n v="0"/>
    <n v="3672"/>
    <n v="3600"/>
    <n v="0"/>
    <n v="0"/>
    <n v="0"/>
    <n v="0"/>
    <n v="0"/>
    <n v="0"/>
    <n v="0"/>
    <n v="0"/>
    <n v="0"/>
    <n v="0"/>
    <n v="6061.4444444444443"/>
    <n v="6014.8888888888887"/>
    <n v="0"/>
    <n v="0"/>
    <n v="0"/>
    <n v="0"/>
    <n v="0"/>
    <n v="0"/>
    <n v="0"/>
    <n v="0"/>
    <n v="0"/>
    <n v="0"/>
    <n v="54553"/>
    <n v="54134"/>
    <n v="54553"/>
    <n v="54134"/>
    <n v="0"/>
    <n v="0"/>
    <n v="0"/>
    <n v="0"/>
    <n v="0"/>
    <n v="0"/>
    <n v="0"/>
    <n v="0"/>
    <n v="0"/>
    <n v="0"/>
    <n v="408"/>
    <n v="400"/>
    <n v="408"/>
    <n v="400"/>
    <n v="0"/>
    <n v="0"/>
    <n v="0"/>
    <n v="0"/>
    <n v="0"/>
    <n v="0"/>
    <n v="0"/>
    <n v="0"/>
    <n v="0"/>
    <n v="0"/>
    <n v="22257624"/>
    <n v="21653600"/>
    <n v="22257624"/>
    <n v="21653600"/>
  </r>
  <r>
    <x v="3"/>
    <s v="Florida Gateway College"/>
    <m/>
    <n v="135160"/>
    <x v="7"/>
    <m/>
    <m/>
    <m/>
    <m/>
    <m/>
    <m/>
    <m/>
    <m/>
    <m/>
    <m/>
    <m/>
    <m/>
    <m/>
    <m/>
    <m/>
    <m/>
    <m/>
    <m/>
    <m/>
    <m/>
    <m/>
    <m/>
    <m/>
    <m/>
    <m/>
    <m/>
    <m/>
    <m/>
    <m/>
    <m/>
    <m/>
    <m/>
    <m/>
    <m/>
    <m/>
    <m/>
    <m/>
    <m/>
    <m/>
    <m/>
    <n v="60"/>
    <n v="68"/>
    <m/>
    <m/>
    <m/>
    <m/>
    <m/>
    <m/>
    <n v="0"/>
    <m/>
    <n v="0"/>
    <m/>
    <n v="0"/>
    <m/>
    <n v="0"/>
    <m/>
    <n v="0"/>
    <m/>
    <n v="5614386"/>
    <n v="3272228"/>
    <n v="0"/>
    <n v="0"/>
    <n v="0"/>
    <n v="0"/>
    <n v="0"/>
    <n v="0"/>
    <n v="0"/>
    <n v="0"/>
    <n v="0"/>
    <n v="0"/>
    <n v="540"/>
    <n v="612"/>
    <n v="0"/>
    <n v="0"/>
    <n v="0"/>
    <n v="0"/>
    <n v="0"/>
    <n v="0"/>
    <n v="0"/>
    <n v="0"/>
    <n v="0"/>
    <n v="0"/>
    <n v="10397.011111111111"/>
    <n v="5346.7777777777774"/>
    <n v="0"/>
    <n v="0"/>
    <n v="0"/>
    <n v="0"/>
    <n v="0"/>
    <n v="0"/>
    <n v="0"/>
    <n v="0"/>
    <n v="0"/>
    <n v="0"/>
    <n v="93573.1"/>
    <n v="48121"/>
    <n v="93573.1"/>
    <n v="48121"/>
    <n v="0"/>
    <n v="0"/>
    <n v="0"/>
    <n v="0"/>
    <n v="0"/>
    <n v="0"/>
    <n v="0"/>
    <n v="0"/>
    <n v="0"/>
    <n v="0"/>
    <n v="60"/>
    <n v="68"/>
    <n v="60"/>
    <n v="68"/>
    <n v="0"/>
    <n v="0"/>
    <n v="0"/>
    <n v="0"/>
    <n v="0"/>
    <n v="0"/>
    <n v="0"/>
    <n v="0"/>
    <n v="0"/>
    <n v="0"/>
    <n v="5614386"/>
    <n v="3272228"/>
    <n v="5614386"/>
    <n v="3272228"/>
  </r>
  <r>
    <x v="3"/>
    <s v="Gulf Coast Community College "/>
    <s v="Met the criteria for Two-Year with Bachelor's in 2012-13."/>
    <n v="134343"/>
    <x v="7"/>
    <m/>
    <m/>
    <m/>
    <m/>
    <m/>
    <m/>
    <m/>
    <m/>
    <m/>
    <m/>
    <m/>
    <m/>
    <m/>
    <m/>
    <m/>
    <m/>
    <m/>
    <m/>
    <m/>
    <m/>
    <m/>
    <m/>
    <m/>
    <m/>
    <m/>
    <m/>
    <m/>
    <m/>
    <m/>
    <m/>
    <m/>
    <m/>
    <m/>
    <m/>
    <m/>
    <m/>
    <m/>
    <m/>
    <m/>
    <m/>
    <n v="114"/>
    <n v="82"/>
    <m/>
    <m/>
    <m/>
    <m/>
    <m/>
    <m/>
    <n v="0"/>
    <m/>
    <n v="0"/>
    <m/>
    <n v="0"/>
    <m/>
    <n v="0"/>
    <m/>
    <n v="0"/>
    <m/>
    <n v="2791800"/>
    <n v="3621694"/>
    <n v="0"/>
    <n v="0"/>
    <n v="0"/>
    <n v="0"/>
    <n v="0"/>
    <n v="0"/>
    <n v="0"/>
    <n v="0"/>
    <n v="0"/>
    <n v="0"/>
    <n v="1026"/>
    <n v="738"/>
    <n v="0"/>
    <n v="0"/>
    <n v="0"/>
    <n v="0"/>
    <n v="0"/>
    <n v="0"/>
    <n v="0"/>
    <n v="0"/>
    <n v="0"/>
    <n v="0"/>
    <n v="2721.0526315789475"/>
    <n v="4907.4444444444443"/>
    <n v="0"/>
    <n v="0"/>
    <n v="0"/>
    <n v="0"/>
    <n v="0"/>
    <n v="0"/>
    <n v="0"/>
    <n v="0"/>
    <n v="0"/>
    <n v="0"/>
    <n v="24489.473684210527"/>
    <n v="44167"/>
    <n v="24489.473684210527"/>
    <n v="44167"/>
    <n v="0"/>
    <n v="0"/>
    <n v="0"/>
    <n v="0"/>
    <n v="0"/>
    <n v="0"/>
    <n v="0"/>
    <n v="0"/>
    <n v="0"/>
    <n v="0"/>
    <n v="114"/>
    <n v="82"/>
    <n v="114"/>
    <n v="82"/>
    <n v="0"/>
    <n v="0"/>
    <n v="0"/>
    <n v="0"/>
    <n v="0"/>
    <n v="0"/>
    <n v="0"/>
    <n v="0"/>
    <n v="0"/>
    <n v="0"/>
    <n v="2791800"/>
    <n v="3621694"/>
    <n v="2791800"/>
    <n v="3621694"/>
  </r>
  <r>
    <x v="3"/>
    <s v="Lake-Sumter Community College "/>
    <m/>
    <n v="135188"/>
    <x v="7"/>
    <m/>
    <m/>
    <m/>
    <m/>
    <m/>
    <m/>
    <m/>
    <m/>
    <m/>
    <m/>
    <m/>
    <m/>
    <m/>
    <m/>
    <m/>
    <m/>
    <m/>
    <m/>
    <m/>
    <m/>
    <m/>
    <m/>
    <m/>
    <m/>
    <m/>
    <m/>
    <m/>
    <m/>
    <m/>
    <m/>
    <m/>
    <m/>
    <m/>
    <m/>
    <m/>
    <m/>
    <m/>
    <m/>
    <m/>
    <m/>
    <n v="79"/>
    <n v="80"/>
    <m/>
    <m/>
    <m/>
    <m/>
    <m/>
    <m/>
    <n v="0"/>
    <m/>
    <n v="0"/>
    <m/>
    <n v="0"/>
    <m/>
    <n v="0"/>
    <m/>
    <n v="0"/>
    <m/>
    <n v="3570168"/>
    <n v="3677680"/>
    <n v="0"/>
    <n v="0"/>
    <n v="0"/>
    <n v="0"/>
    <n v="0"/>
    <n v="0"/>
    <n v="0"/>
    <n v="0"/>
    <n v="0"/>
    <n v="0"/>
    <n v="711"/>
    <n v="720"/>
    <n v="0"/>
    <n v="0"/>
    <n v="0"/>
    <n v="0"/>
    <n v="0"/>
    <n v="0"/>
    <n v="0"/>
    <n v="0"/>
    <n v="0"/>
    <n v="0"/>
    <n v="5021.333333333333"/>
    <n v="5107.8888888888887"/>
    <n v="0"/>
    <n v="0"/>
    <n v="0"/>
    <n v="0"/>
    <n v="0"/>
    <n v="0"/>
    <n v="0"/>
    <n v="0"/>
    <n v="0"/>
    <n v="0"/>
    <n v="45192"/>
    <n v="45971"/>
    <n v="45192"/>
    <n v="45971"/>
    <n v="0"/>
    <n v="0"/>
    <n v="0"/>
    <n v="0"/>
    <n v="0"/>
    <n v="0"/>
    <n v="0"/>
    <n v="0"/>
    <n v="0"/>
    <n v="0"/>
    <n v="79"/>
    <n v="80"/>
    <n v="79"/>
    <n v="80"/>
    <n v="0"/>
    <n v="0"/>
    <n v="0"/>
    <n v="0"/>
    <n v="0"/>
    <n v="0"/>
    <n v="0"/>
    <n v="0"/>
    <n v="0"/>
    <n v="0"/>
    <n v="3570168"/>
    <n v="3677680"/>
    <n v="3570168"/>
    <n v="3677680"/>
  </r>
  <r>
    <x v="3"/>
    <s v="South Florida Community College "/>
    <m/>
    <n v="137315"/>
    <x v="7"/>
    <m/>
    <m/>
    <m/>
    <m/>
    <m/>
    <m/>
    <m/>
    <m/>
    <m/>
    <m/>
    <m/>
    <m/>
    <m/>
    <m/>
    <m/>
    <m/>
    <m/>
    <m/>
    <m/>
    <m/>
    <m/>
    <m/>
    <m/>
    <m/>
    <m/>
    <m/>
    <m/>
    <m/>
    <m/>
    <m/>
    <m/>
    <m/>
    <m/>
    <m/>
    <m/>
    <m/>
    <m/>
    <m/>
    <m/>
    <m/>
    <n v="62"/>
    <n v="66"/>
    <m/>
    <m/>
    <m/>
    <m/>
    <m/>
    <m/>
    <n v="0"/>
    <m/>
    <n v="0"/>
    <m/>
    <n v="0"/>
    <m/>
    <n v="0"/>
    <m/>
    <n v="0"/>
    <m/>
    <n v="3016672"/>
    <n v="3227730"/>
    <n v="0"/>
    <n v="0"/>
    <n v="0"/>
    <n v="0"/>
    <n v="0"/>
    <n v="0"/>
    <n v="0"/>
    <n v="0"/>
    <n v="0"/>
    <n v="0"/>
    <n v="558"/>
    <n v="594"/>
    <n v="0"/>
    <n v="0"/>
    <n v="0"/>
    <n v="0"/>
    <n v="0"/>
    <n v="0"/>
    <n v="0"/>
    <n v="0"/>
    <n v="0"/>
    <n v="0"/>
    <n v="5406.2222222222226"/>
    <n v="5433.8888888888887"/>
    <n v="0"/>
    <n v="0"/>
    <n v="0"/>
    <n v="0"/>
    <n v="0"/>
    <n v="0"/>
    <n v="0"/>
    <n v="0"/>
    <n v="0"/>
    <n v="0"/>
    <n v="48656"/>
    <n v="48905"/>
    <n v="48656"/>
    <n v="48905"/>
    <n v="0"/>
    <n v="0"/>
    <n v="0"/>
    <n v="0"/>
    <n v="0"/>
    <n v="0"/>
    <n v="0"/>
    <n v="0"/>
    <n v="0"/>
    <n v="0"/>
    <n v="62"/>
    <n v="66"/>
    <n v="62"/>
    <n v="66"/>
    <n v="0"/>
    <n v="0"/>
    <n v="0"/>
    <n v="0"/>
    <n v="0"/>
    <n v="0"/>
    <n v="0"/>
    <n v="0"/>
    <n v="0"/>
    <n v="0"/>
    <n v="3016672"/>
    <n v="3227730"/>
    <n v="3016672"/>
    <n v="3227730"/>
  </r>
  <r>
    <x v="3"/>
    <s v="St. Johns River Community College "/>
    <s v="Met the criteria for Two-Year with Bachelor's in 2011-12 and 2012-13."/>
    <n v="137281"/>
    <x v="7"/>
    <m/>
    <m/>
    <m/>
    <m/>
    <m/>
    <m/>
    <m/>
    <m/>
    <m/>
    <m/>
    <m/>
    <m/>
    <m/>
    <m/>
    <m/>
    <m/>
    <m/>
    <m/>
    <m/>
    <m/>
    <m/>
    <m/>
    <m/>
    <m/>
    <m/>
    <m/>
    <m/>
    <m/>
    <m/>
    <m/>
    <m/>
    <m/>
    <m/>
    <m/>
    <m/>
    <m/>
    <m/>
    <m/>
    <m/>
    <m/>
    <n v="126"/>
    <n v="138"/>
    <m/>
    <m/>
    <m/>
    <m/>
    <m/>
    <m/>
    <n v="0"/>
    <m/>
    <n v="0"/>
    <m/>
    <n v="0"/>
    <m/>
    <n v="0"/>
    <m/>
    <n v="0"/>
    <m/>
    <n v="5987898"/>
    <n v="6365664"/>
    <n v="0"/>
    <n v="0"/>
    <n v="0"/>
    <n v="0"/>
    <n v="0"/>
    <n v="0"/>
    <n v="0"/>
    <n v="0"/>
    <n v="0"/>
    <n v="0"/>
    <n v="1134"/>
    <n v="1242"/>
    <n v="0"/>
    <n v="0"/>
    <n v="0"/>
    <n v="0"/>
    <n v="0"/>
    <n v="0"/>
    <n v="0"/>
    <n v="0"/>
    <n v="0"/>
    <n v="0"/>
    <n v="5280.333333333333"/>
    <n v="5125.333333333333"/>
    <n v="0"/>
    <n v="0"/>
    <n v="0"/>
    <n v="0"/>
    <n v="0"/>
    <n v="0"/>
    <n v="0"/>
    <n v="0"/>
    <n v="0"/>
    <n v="0"/>
    <n v="47523"/>
    <n v="46128"/>
    <n v="47523"/>
    <n v="46128"/>
    <n v="0"/>
    <n v="0"/>
    <n v="0"/>
    <n v="0"/>
    <n v="0"/>
    <n v="0"/>
    <n v="0"/>
    <n v="0"/>
    <n v="0"/>
    <n v="0"/>
    <n v="126"/>
    <n v="138"/>
    <n v="126"/>
    <n v="138"/>
    <n v="0"/>
    <n v="0"/>
    <n v="0"/>
    <n v="0"/>
    <n v="0"/>
    <n v="0"/>
    <n v="0"/>
    <n v="0"/>
    <n v="0"/>
    <n v="0"/>
    <n v="5987898"/>
    <n v="6365664"/>
    <n v="5987898"/>
    <n v="6365664"/>
  </r>
  <r>
    <x v="3"/>
    <s v="Florida Keys Community College "/>
    <m/>
    <n v="133960"/>
    <x v="8"/>
    <m/>
    <m/>
    <m/>
    <m/>
    <m/>
    <m/>
    <m/>
    <m/>
    <m/>
    <m/>
    <m/>
    <m/>
    <m/>
    <m/>
    <m/>
    <m/>
    <m/>
    <m/>
    <m/>
    <m/>
    <m/>
    <m/>
    <m/>
    <m/>
    <m/>
    <m/>
    <m/>
    <m/>
    <m/>
    <m/>
    <m/>
    <m/>
    <m/>
    <m/>
    <m/>
    <m/>
    <m/>
    <m/>
    <m/>
    <m/>
    <n v="28"/>
    <n v="28"/>
    <m/>
    <m/>
    <m/>
    <m/>
    <m/>
    <m/>
    <n v="0"/>
    <m/>
    <n v="0"/>
    <m/>
    <n v="0"/>
    <m/>
    <n v="0"/>
    <m/>
    <n v="0"/>
    <m/>
    <n v="1549604"/>
    <n v="1600536"/>
    <n v="0"/>
    <n v="0"/>
    <n v="0"/>
    <n v="0"/>
    <n v="0"/>
    <n v="0"/>
    <n v="0"/>
    <n v="0"/>
    <n v="0"/>
    <n v="0"/>
    <n v="252"/>
    <n v="252"/>
    <n v="0"/>
    <n v="0"/>
    <n v="0"/>
    <n v="0"/>
    <n v="0"/>
    <n v="0"/>
    <n v="0"/>
    <n v="0"/>
    <n v="0"/>
    <n v="0"/>
    <n v="6149.2222222222226"/>
    <n v="6351.333333333333"/>
    <n v="0"/>
    <n v="0"/>
    <n v="0"/>
    <n v="0"/>
    <n v="0"/>
    <n v="0"/>
    <n v="0"/>
    <n v="0"/>
    <n v="0"/>
    <n v="0"/>
    <n v="55343"/>
    <n v="57162"/>
    <n v="55343"/>
    <n v="57162"/>
    <n v="0"/>
    <n v="0"/>
    <n v="0"/>
    <n v="0"/>
    <n v="0"/>
    <n v="0"/>
    <n v="0"/>
    <n v="0"/>
    <n v="0"/>
    <n v="0"/>
    <n v="28"/>
    <n v="28"/>
    <n v="28"/>
    <n v="28"/>
    <n v="0"/>
    <n v="0"/>
    <n v="0"/>
    <n v="0"/>
    <n v="0"/>
    <n v="0"/>
    <n v="0"/>
    <n v="0"/>
    <n v="0"/>
    <n v="0"/>
    <n v="1549604"/>
    <n v="1600536"/>
    <n v="1549604"/>
    <n v="1600536"/>
  </r>
  <r>
    <x v="3"/>
    <s v="North Florida Community College "/>
    <m/>
    <n v="136145"/>
    <x v="8"/>
    <m/>
    <m/>
    <m/>
    <m/>
    <m/>
    <m/>
    <m/>
    <m/>
    <m/>
    <m/>
    <m/>
    <m/>
    <m/>
    <m/>
    <m/>
    <m/>
    <m/>
    <m/>
    <m/>
    <m/>
    <m/>
    <m/>
    <m/>
    <m/>
    <m/>
    <m/>
    <m/>
    <m/>
    <m/>
    <m/>
    <m/>
    <m/>
    <m/>
    <m/>
    <m/>
    <m/>
    <m/>
    <m/>
    <m/>
    <m/>
    <n v="29"/>
    <n v="31"/>
    <m/>
    <m/>
    <m/>
    <m/>
    <m/>
    <m/>
    <n v="0"/>
    <m/>
    <n v="0"/>
    <m/>
    <n v="0"/>
    <m/>
    <n v="0"/>
    <m/>
    <n v="0"/>
    <m/>
    <n v="1240156"/>
    <n v="1355971"/>
    <n v="0"/>
    <n v="0"/>
    <n v="0"/>
    <n v="0"/>
    <n v="0"/>
    <n v="0"/>
    <n v="0"/>
    <n v="0"/>
    <n v="0"/>
    <n v="0"/>
    <n v="261"/>
    <n v="279"/>
    <n v="0"/>
    <n v="0"/>
    <n v="0"/>
    <n v="0"/>
    <n v="0"/>
    <n v="0"/>
    <n v="0"/>
    <n v="0"/>
    <n v="0"/>
    <n v="0"/>
    <n v="4751.5555555555557"/>
    <n v="4860.1111111111113"/>
    <n v="0"/>
    <n v="0"/>
    <n v="0"/>
    <n v="0"/>
    <n v="0"/>
    <n v="0"/>
    <n v="0"/>
    <n v="0"/>
    <n v="0"/>
    <n v="0"/>
    <n v="42764"/>
    <n v="43741"/>
    <n v="42764"/>
    <n v="43741"/>
    <n v="0"/>
    <n v="0"/>
    <n v="0"/>
    <n v="0"/>
    <n v="0"/>
    <n v="0"/>
    <n v="0"/>
    <n v="0"/>
    <n v="0"/>
    <n v="0"/>
    <n v="29"/>
    <n v="31"/>
    <n v="29"/>
    <n v="31"/>
    <n v="0"/>
    <n v="0"/>
    <n v="0"/>
    <n v="0"/>
    <n v="0"/>
    <n v="0"/>
    <n v="0"/>
    <n v="0"/>
    <n v="0"/>
    <n v="0"/>
    <n v="1240156"/>
    <n v="1355971"/>
    <n v="1240156"/>
    <n v="1355971"/>
  </r>
  <r>
    <x v="4"/>
    <s v="Georgia State University "/>
    <m/>
    <n v="139940"/>
    <x v="0"/>
    <n v="207"/>
    <n v="214"/>
    <m/>
    <m/>
    <n v="7"/>
    <n v="10"/>
    <m/>
    <m/>
    <n v="321"/>
    <n v="317"/>
    <m/>
    <m/>
    <n v="5"/>
    <n v="7"/>
    <m/>
    <m/>
    <n v="329"/>
    <n v="347"/>
    <m/>
    <m/>
    <n v="2"/>
    <n v="5"/>
    <m/>
    <m/>
    <n v="50"/>
    <n v="56"/>
    <m/>
    <m/>
    <n v="4"/>
    <n v="1"/>
    <m/>
    <m/>
    <n v="159"/>
    <n v="179"/>
    <m/>
    <m/>
    <n v="4"/>
    <n v="2"/>
    <m/>
    <m/>
    <m/>
    <m/>
    <m/>
    <m/>
    <m/>
    <m/>
    <m/>
    <m/>
    <n v="25873845"/>
    <n v="26993525"/>
    <n v="25531233"/>
    <n v="25876648"/>
    <n v="23037774"/>
    <n v="25513716"/>
    <n v="2942824"/>
    <n v="3039505"/>
    <n v="7409818"/>
    <n v="8587851"/>
    <n v="0"/>
    <m/>
    <n v="1940"/>
    <n v="2036"/>
    <n v="2944"/>
    <n v="2930"/>
    <n v="2983"/>
    <n v="3178"/>
    <n v="494"/>
    <n v="515"/>
    <n v="1475"/>
    <n v="1633"/>
    <n v="0"/>
    <n v="0"/>
    <n v="13337.033505154639"/>
    <n v="13258.116404715127"/>
    <n v="8672.2938179347821"/>
    <n v="8831.6204778156989"/>
    <n v="7723.0217901441501"/>
    <n v="8028.2303335431088"/>
    <n v="5957.1336032388663"/>
    <n v="5901.9514563106795"/>
    <n v="5023.6054237288135"/>
    <n v="5258.9412124923456"/>
    <n v="0"/>
    <n v="0"/>
    <n v="120033.30154639175"/>
    <n v="119323.04764243614"/>
    <n v="78050.64436141304"/>
    <n v="79484.584300341288"/>
    <n v="69507.196111297351"/>
    <n v="72254.073001887984"/>
    <n v="53614.202429149795"/>
    <n v="53117.563106796115"/>
    <n v="45212.44881355932"/>
    <n v="47330.470912431112"/>
    <n v="0"/>
    <n v="0"/>
    <n v="77576.575913025896"/>
    <n v="78654.936743513405"/>
    <n v="214"/>
    <n v="224"/>
    <n v="326"/>
    <n v="324"/>
    <n v="331"/>
    <n v="352"/>
    <n v="54"/>
    <n v="57"/>
    <n v="163"/>
    <n v="181"/>
    <n v="0"/>
    <n v="0"/>
    <n v="1088"/>
    <n v="1138"/>
    <n v="25687126.530927837"/>
    <n v="26728362.671905696"/>
    <n v="25444510.061820652"/>
    <n v="25753005.313310578"/>
    <n v="23006881.912839424"/>
    <n v="25433433.696664572"/>
    <n v="2895166.9311740887"/>
    <n v="3027701.0970873786"/>
    <n v="7369629.1566101694"/>
    <n v="8566815.2351500317"/>
    <n v="0"/>
    <n v="0"/>
    <n v="84403314.593372181"/>
    <n v="89509318.014118254"/>
  </r>
  <r>
    <x v="4"/>
    <s v="University of Georgia"/>
    <m/>
    <n v="139959"/>
    <x v="0"/>
    <n v="480"/>
    <n v="489"/>
    <m/>
    <m/>
    <n v="219"/>
    <n v="238"/>
    <m/>
    <m/>
    <n v="383"/>
    <n v="380"/>
    <m/>
    <m/>
    <n v="127"/>
    <n v="135"/>
    <m/>
    <m/>
    <n v="320"/>
    <n v="319"/>
    <m/>
    <m/>
    <n v="81"/>
    <n v="84"/>
    <m/>
    <m/>
    <n v="41"/>
    <n v="28"/>
    <m/>
    <m/>
    <n v="10"/>
    <n v="17"/>
    <m/>
    <m/>
    <n v="128"/>
    <n v="142"/>
    <m/>
    <m/>
    <n v="7"/>
    <n v="9"/>
    <m/>
    <m/>
    <m/>
    <m/>
    <m/>
    <m/>
    <m/>
    <m/>
    <m/>
    <m/>
    <n v="80191401"/>
    <n v="84572326"/>
    <n v="42549469"/>
    <n v="43822895"/>
    <n v="31462455"/>
    <n v="31876757"/>
    <n v="2798152"/>
    <n v="2510094"/>
    <n v="8135952"/>
    <n v="9051041"/>
    <n v="0"/>
    <m/>
    <n v="6729"/>
    <n v="7019"/>
    <n v="4844"/>
    <n v="4905"/>
    <n v="3771"/>
    <n v="3795"/>
    <n v="479"/>
    <n v="439"/>
    <n v="1229"/>
    <n v="1377"/>
    <n v="0"/>
    <n v="0"/>
    <n v="11917.283548818546"/>
    <n v="12049.056275822766"/>
    <n v="8783.9531379025593"/>
    <n v="8934.3312945973503"/>
    <n v="8343.2657120127278"/>
    <n v="8399.6724637681164"/>
    <n v="5841.653444676409"/>
    <n v="5717.7539863325737"/>
    <n v="6619.9772172497969"/>
    <n v="6573.0145243282495"/>
    <n v="0"/>
    <n v="0"/>
    <n v="107255.55193936692"/>
    <n v="108441.50648240489"/>
    <n v="79055.578241123032"/>
    <n v="80408.981651376147"/>
    <n v="75089.391408114549"/>
    <n v="75597.052173913049"/>
    <n v="52574.881002087684"/>
    <n v="51459.785876993163"/>
    <n v="59579.794955248173"/>
    <n v="59157.130718954242"/>
    <n v="0"/>
    <n v="0"/>
    <n v="86929.517212310209"/>
    <n v="87974.812543335589"/>
    <n v="699"/>
    <n v="727"/>
    <n v="510"/>
    <n v="515"/>
    <n v="401"/>
    <n v="403"/>
    <n v="51"/>
    <n v="45"/>
    <n v="135"/>
    <n v="151"/>
    <n v="0"/>
    <n v="0"/>
    <n v="1796"/>
    <n v="1841"/>
    <n v="74971630.805617481"/>
    <n v="78836975.212708354"/>
    <n v="40318344.902972743"/>
    <n v="41410625.550458714"/>
    <n v="30110845.954653934"/>
    <n v="30465612.02608696"/>
    <n v="2681318.9311064719"/>
    <n v="2315690.3644646923"/>
    <n v="8043272.3189585032"/>
    <n v="8932726.7385620903"/>
    <n v="0"/>
    <n v="0"/>
    <n v="156125412.91330913"/>
    <n v="161961629.89228082"/>
  </r>
  <r>
    <x v="4"/>
    <s v="Georgia Institute of Technology"/>
    <m/>
    <n v="139755"/>
    <x v="1"/>
    <n v="374"/>
    <n v="385"/>
    <m/>
    <m/>
    <n v="43"/>
    <n v="44"/>
    <m/>
    <m/>
    <n v="252"/>
    <n v="261"/>
    <m/>
    <m/>
    <n v="2"/>
    <n v="2"/>
    <m/>
    <m/>
    <n v="225"/>
    <n v="216"/>
    <m/>
    <m/>
    <m/>
    <m/>
    <m/>
    <m/>
    <n v="45"/>
    <n v="48"/>
    <m/>
    <m/>
    <m/>
    <m/>
    <m/>
    <m/>
    <n v="64"/>
    <n v="72"/>
    <m/>
    <m/>
    <n v="23"/>
    <n v="15"/>
    <m/>
    <m/>
    <m/>
    <m/>
    <m/>
    <m/>
    <m/>
    <m/>
    <m/>
    <m/>
    <n v="60520640"/>
    <n v="63082292"/>
    <n v="24166064"/>
    <n v="25269205"/>
    <n v="19505025"/>
    <n v="19339651"/>
    <n v="1566135"/>
    <n v="1744034"/>
    <n v="6145765"/>
    <n v="6174127"/>
    <n v="0"/>
    <m/>
    <n v="3839"/>
    <n v="3949"/>
    <n v="2290"/>
    <n v="2371"/>
    <n v="2025"/>
    <n v="1944"/>
    <n v="405"/>
    <n v="432"/>
    <n v="829"/>
    <n v="813"/>
    <n v="0"/>
    <n v="0"/>
    <n v="15764.688721021099"/>
    <n v="15974.244618890858"/>
    <n v="10552.866375545851"/>
    <n v="10657.61493040911"/>
    <n v="9632.1111111111113"/>
    <n v="9948.3801440329225"/>
    <n v="3867"/>
    <n v="4037.1157407407409"/>
    <n v="7413.4680337756336"/>
    <n v="7594.2521525215252"/>
    <n v="0"/>
    <n v="0"/>
    <n v="141882.1984891899"/>
    <n v="143768.20157001773"/>
    <n v="94975.797379912663"/>
    <n v="95918.534373681992"/>
    <n v="86689"/>
    <n v="89535.421296296307"/>
    <n v="34803"/>
    <n v="36334.041666666672"/>
    <n v="66721.212303980705"/>
    <n v="68348.269372693729"/>
    <n v="0"/>
    <n v="0"/>
    <n v="107164.04160986023"/>
    <n v="109235.9707087635"/>
    <n v="417"/>
    <n v="429"/>
    <n v="254"/>
    <n v="263"/>
    <n v="225"/>
    <n v="216"/>
    <n v="45"/>
    <n v="48"/>
    <n v="87"/>
    <n v="87"/>
    <n v="0"/>
    <n v="0"/>
    <n v="1028"/>
    <n v="1043"/>
    <n v="59164876.769992188"/>
    <n v="61676558.473537609"/>
    <n v="24123852.534497816"/>
    <n v="25226574.540278364"/>
    <n v="19505025"/>
    <n v="19339651.000000004"/>
    <n v="1566135"/>
    <n v="1744034.0000000002"/>
    <n v="5804745.4704463212"/>
    <n v="5946299.4354243539"/>
    <n v="0"/>
    <n v="0"/>
    <n v="110164634.77493632"/>
    <n v="113933117.44924033"/>
  </r>
  <r>
    <x v="4"/>
    <s v="Georgia Southern University"/>
    <m/>
    <n v="139931"/>
    <x v="2"/>
    <n v="145"/>
    <n v="139"/>
    <m/>
    <m/>
    <n v="7"/>
    <n v="0"/>
    <m/>
    <m/>
    <n v="191"/>
    <n v="205"/>
    <m/>
    <m/>
    <n v="16"/>
    <n v="3"/>
    <m/>
    <m/>
    <n v="244"/>
    <n v="239"/>
    <m/>
    <m/>
    <n v="8"/>
    <m/>
    <m/>
    <m/>
    <n v="106"/>
    <n v="121"/>
    <m/>
    <m/>
    <m/>
    <n v="1"/>
    <m/>
    <m/>
    <n v="45"/>
    <n v="52"/>
    <m/>
    <m/>
    <n v="3"/>
    <m/>
    <m/>
    <m/>
    <m/>
    <m/>
    <m/>
    <m/>
    <m/>
    <m/>
    <m/>
    <m/>
    <n v="12275422"/>
    <n v="11094406"/>
    <n v="14075618"/>
    <n v="13955130"/>
    <n v="14754860"/>
    <n v="14549574"/>
    <n v="4226856"/>
    <n v="4985905"/>
    <n v="2147916"/>
    <n v="2386028"/>
    <n v="0"/>
    <m/>
    <n v="1382"/>
    <n v="1251"/>
    <n v="1895"/>
    <n v="1878"/>
    <n v="2284"/>
    <n v="2151"/>
    <n v="954"/>
    <n v="1100"/>
    <n v="438"/>
    <n v="468"/>
    <n v="0"/>
    <n v="0"/>
    <n v="8882.3603473227213"/>
    <n v="8868.4300559552357"/>
    <n v="7427.7667546174143"/>
    <n v="7430.8466453674118"/>
    <n v="6460.0963222416813"/>
    <n v="6764.0976290097633"/>
    <n v="4430.666666666667"/>
    <n v="4532.6409090909092"/>
    <n v="4903.9178082191784"/>
    <n v="5098.3504273504277"/>
    <n v="0"/>
    <n v="0"/>
    <n v="79941.243125904497"/>
    <n v="79815.870503597122"/>
    <n v="66849.900791556734"/>
    <n v="66877.619808306714"/>
    <n v="58140.866900175133"/>
    <n v="60876.878661087867"/>
    <n v="39876"/>
    <n v="40793.768181818181"/>
    <n v="44135.260273972606"/>
    <n v="45885.153846153851"/>
    <n v="0"/>
    <n v="0"/>
    <n v="61419.405713705281"/>
    <n v="61733.411366196859"/>
    <n v="152"/>
    <n v="139"/>
    <n v="207"/>
    <n v="208"/>
    <n v="252"/>
    <n v="239"/>
    <n v="106"/>
    <n v="122"/>
    <n v="48"/>
    <n v="52"/>
    <n v="0"/>
    <n v="0"/>
    <n v="765"/>
    <n v="760"/>
    <n v="12151068.955137484"/>
    <n v="11094406"/>
    <n v="13837929.463852243"/>
    <n v="13910544.920127796"/>
    <n v="14651498.458844133"/>
    <n v="14549574"/>
    <n v="4226856"/>
    <n v="4976839.7181818178"/>
    <n v="2118492.493150685"/>
    <n v="2386028.0000000005"/>
    <n v="0"/>
    <n v="0"/>
    <n v="46985845.370984539"/>
    <n v="46917392.638309613"/>
  </r>
  <r>
    <x v="4"/>
    <s v="University of West Georgia"/>
    <m/>
    <n v="141334"/>
    <x v="2"/>
    <n v="81"/>
    <n v="81"/>
    <m/>
    <m/>
    <n v="18"/>
    <n v="23"/>
    <m/>
    <m/>
    <n v="90"/>
    <n v="100"/>
    <m/>
    <m/>
    <n v="8"/>
    <n v="7"/>
    <m/>
    <m/>
    <n v="138"/>
    <n v="138"/>
    <m/>
    <m/>
    <n v="6"/>
    <n v="8"/>
    <m/>
    <m/>
    <n v="63"/>
    <n v="69"/>
    <m/>
    <m/>
    <n v="5"/>
    <n v="5"/>
    <m/>
    <m/>
    <n v="39"/>
    <n v="46"/>
    <m/>
    <m/>
    <m/>
    <n v="1"/>
    <m/>
    <m/>
    <m/>
    <m/>
    <m/>
    <m/>
    <m/>
    <m/>
    <m/>
    <m/>
    <n v="8515800"/>
    <n v="10435736"/>
    <n v="6212136"/>
    <n v="6809874"/>
    <n v="7482402"/>
    <n v="8069338"/>
    <n v="2605569"/>
    <n v="2971316"/>
    <n v="1667211"/>
    <n v="2161396"/>
    <n v="0"/>
    <m/>
    <n v="927"/>
    <n v="982"/>
    <n v="898"/>
    <n v="977"/>
    <n v="1308"/>
    <n v="1330"/>
    <n v="622"/>
    <n v="676"/>
    <n v="351"/>
    <n v="425"/>
    <n v="0"/>
    <n v="0"/>
    <n v="9186.4077669902908"/>
    <n v="10627.022403258656"/>
    <n v="6917.7461024498889"/>
    <n v="6970.1883316274307"/>
    <n v="5720.4908256880735"/>
    <n v="6067.1714285714288"/>
    <n v="4189.0176848874598"/>
    <n v="4395.4378698224855"/>
    <n v="4749.8888888888887"/>
    <n v="5085.6376470588239"/>
    <n v="0"/>
    <n v="0"/>
    <n v="82677.669902912618"/>
    <n v="95643.201629327901"/>
    <n v="62259.714922049003"/>
    <n v="62731.694984646878"/>
    <n v="51484.417431192662"/>
    <n v="54604.542857142857"/>
    <n v="37701.15916398714"/>
    <n v="39558.940828402367"/>
    <n v="42749"/>
    <n v="45770.738823529413"/>
    <n v="0"/>
    <n v="0"/>
    <n v="57882.114544625045"/>
    <n v="62154.882711208847"/>
    <n v="99"/>
    <n v="104"/>
    <n v="98"/>
    <n v="107"/>
    <n v="144"/>
    <n v="146"/>
    <n v="68"/>
    <n v="74"/>
    <n v="39"/>
    <n v="47"/>
    <n v="0"/>
    <n v="0"/>
    <n v="448"/>
    <n v="478"/>
    <n v="8185089.3203883488"/>
    <n v="9946892.9694501013"/>
    <n v="6101452.0623608027"/>
    <n v="6712291.3633572161"/>
    <n v="7413756.1100917431"/>
    <n v="7972263.2571428567"/>
    <n v="2563678.8231511256"/>
    <n v="2927361.6213017753"/>
    <n v="1667211"/>
    <n v="2151224.7247058824"/>
    <n v="0"/>
    <n v="0"/>
    <n v="25931187.31599202"/>
    <n v="29710033.93595783"/>
  </r>
  <r>
    <x v="4"/>
    <s v="Valdosta State University "/>
    <m/>
    <n v="141264"/>
    <x v="2"/>
    <n v="125"/>
    <n v="128"/>
    <m/>
    <m/>
    <n v="7"/>
    <n v="9"/>
    <m/>
    <m/>
    <n v="94"/>
    <n v="86"/>
    <m/>
    <m/>
    <n v="3"/>
    <n v="1"/>
    <m/>
    <m/>
    <n v="160"/>
    <n v="147"/>
    <m/>
    <m/>
    <n v="11"/>
    <n v="16"/>
    <m/>
    <m/>
    <n v="46"/>
    <n v="29"/>
    <m/>
    <m/>
    <n v="18"/>
    <n v="12"/>
    <m/>
    <m/>
    <n v="25"/>
    <n v="22"/>
    <m/>
    <m/>
    <m/>
    <m/>
    <m/>
    <m/>
    <m/>
    <m/>
    <m/>
    <m/>
    <m/>
    <m/>
    <m/>
    <m/>
    <n v="9702386"/>
    <n v="10180140"/>
    <n v="5890248"/>
    <n v="5323990"/>
    <n v="9244728"/>
    <n v="8976722"/>
    <n v="2933534"/>
    <n v="2443946"/>
    <n v="999675"/>
    <n v="956480"/>
    <n v="0"/>
    <m/>
    <n v="1202"/>
    <n v="1251"/>
    <n v="879"/>
    <n v="785"/>
    <n v="1561"/>
    <n v="1499"/>
    <n v="612"/>
    <n v="393"/>
    <n v="225"/>
    <n v="198"/>
    <n v="0"/>
    <n v="0"/>
    <n v="8071.8685524126458"/>
    <n v="8137.6019184652278"/>
    <n v="6701.0784982935156"/>
    <n v="6782.1528662420378"/>
    <n v="5922.3113388853299"/>
    <n v="5988.4736490993992"/>
    <n v="4793.3562091503272"/>
    <n v="6218.6921119592871"/>
    <n v="4443"/>
    <n v="4830.7070707070707"/>
    <n v="0"/>
    <n v="0"/>
    <n v="72646.816971713808"/>
    <n v="73238.417266187054"/>
    <n v="60309.70648464164"/>
    <n v="61039.375796178341"/>
    <n v="53300.80204996797"/>
    <n v="53896.26284189459"/>
    <n v="43140.205882352944"/>
    <n v="55968.229007633585"/>
    <n v="39987"/>
    <n v="43476.363636363632"/>
    <n v="0"/>
    <n v="0"/>
    <n v="57902.876679532863"/>
    <n v="60845.237982837643"/>
    <n v="132"/>
    <n v="137"/>
    <n v="97"/>
    <n v="87"/>
    <n v="171"/>
    <n v="163"/>
    <n v="64"/>
    <n v="41"/>
    <n v="25"/>
    <n v="22"/>
    <n v="0"/>
    <n v="0"/>
    <n v="489"/>
    <n v="450"/>
    <n v="9589379.8402662221"/>
    <n v="10033663.165467627"/>
    <n v="5850041.5290102391"/>
    <n v="5310425.694267516"/>
    <n v="9114437.1505445223"/>
    <n v="8785090.8432288188"/>
    <n v="2760973.1764705884"/>
    <n v="2294697.389312977"/>
    <n v="999675"/>
    <n v="956479.99999999988"/>
    <n v="0"/>
    <n v="0"/>
    <n v="28314506.69629157"/>
    <n v="27380357.092276938"/>
  </r>
  <r>
    <x v="4"/>
    <s v="Albany State University "/>
    <m/>
    <n v="138716"/>
    <x v="3"/>
    <n v="25"/>
    <n v="30"/>
    <m/>
    <m/>
    <m/>
    <m/>
    <m/>
    <m/>
    <n v="44"/>
    <n v="34"/>
    <m/>
    <m/>
    <n v="1"/>
    <m/>
    <m/>
    <m/>
    <n v="73"/>
    <n v="73"/>
    <m/>
    <m/>
    <m/>
    <m/>
    <m/>
    <m/>
    <n v="9"/>
    <n v="8"/>
    <m/>
    <m/>
    <m/>
    <m/>
    <m/>
    <m/>
    <m/>
    <n v="1"/>
    <m/>
    <m/>
    <m/>
    <m/>
    <m/>
    <m/>
    <m/>
    <m/>
    <m/>
    <m/>
    <m/>
    <m/>
    <m/>
    <m/>
    <n v="1747325"/>
    <n v="2168469"/>
    <n v="2593588"/>
    <n v="1984101"/>
    <n v="3742710"/>
    <n v="3776946"/>
    <n v="426996"/>
    <n v="456446"/>
    <n v="0"/>
    <m/>
    <n v="0"/>
    <m/>
    <n v="225"/>
    <n v="270"/>
    <n v="407"/>
    <n v="306"/>
    <n v="657"/>
    <n v="657"/>
    <n v="81"/>
    <n v="72"/>
    <n v="0"/>
    <n v="9"/>
    <n v="0"/>
    <n v="0"/>
    <n v="7765.8888888888887"/>
    <n v="8031.3666666666668"/>
    <n v="6372.4520884520889"/>
    <n v="6483.9901960784309"/>
    <n v="5696.666666666667"/>
    <n v="5748.7762557077622"/>
    <n v="5271.5555555555557"/>
    <n v="6339.5277777777774"/>
    <n v="0"/>
    <n v="0"/>
    <n v="0"/>
    <n v="0"/>
    <n v="69893"/>
    <n v="72282.3"/>
    <n v="57352.068796068801"/>
    <n v="58355.911764705881"/>
    <n v="51270"/>
    <n v="51738.986301369863"/>
    <n v="47444"/>
    <n v="57055.75"/>
    <n v="0"/>
    <n v="0"/>
    <n v="0"/>
    <n v="0"/>
    <n v="55907.06641988879"/>
    <n v="57438.095890410958"/>
    <n v="25"/>
    <n v="30"/>
    <n v="45"/>
    <n v="34"/>
    <n v="73"/>
    <n v="73"/>
    <n v="9"/>
    <n v="8"/>
    <n v="0"/>
    <n v="1"/>
    <n v="0"/>
    <n v="0"/>
    <n v="152"/>
    <n v="146"/>
    <n v="1747325"/>
    <n v="2168469"/>
    <n v="2580843.0958230961"/>
    <n v="1984101"/>
    <n v="3742710"/>
    <n v="3776946"/>
    <n v="426996"/>
    <n v="456446"/>
    <n v="0"/>
    <n v="0"/>
    <n v="0"/>
    <n v="0"/>
    <n v="8497874.0958230961"/>
    <n v="8385962"/>
  </r>
  <r>
    <x v="4"/>
    <s v="Armstrong Atlantic State University"/>
    <m/>
    <n v="138789"/>
    <x v="3"/>
    <n v="43"/>
    <n v="46"/>
    <m/>
    <m/>
    <n v="1"/>
    <n v="1"/>
    <m/>
    <m/>
    <n v="50"/>
    <n v="54"/>
    <m/>
    <m/>
    <n v="1"/>
    <n v="1"/>
    <m/>
    <m/>
    <n v="83"/>
    <n v="72"/>
    <m/>
    <m/>
    <n v="6"/>
    <n v="5"/>
    <m/>
    <m/>
    <n v="67"/>
    <n v="67"/>
    <m/>
    <m/>
    <n v="7"/>
    <n v="5"/>
    <m/>
    <m/>
    <m/>
    <m/>
    <m/>
    <m/>
    <m/>
    <m/>
    <m/>
    <m/>
    <m/>
    <m/>
    <m/>
    <m/>
    <m/>
    <m/>
    <m/>
    <m/>
    <n v="3357729"/>
    <n v="3631332"/>
    <n v="3252876"/>
    <n v="3726094"/>
    <n v="4655488"/>
    <n v="3921343"/>
    <n v="3371396"/>
    <n v="3200037"/>
    <n v="0"/>
    <m/>
    <n v="0"/>
    <m/>
    <n v="398"/>
    <n v="425"/>
    <n v="461"/>
    <n v="497"/>
    <n v="813"/>
    <n v="703"/>
    <n v="680"/>
    <n v="658"/>
    <n v="0"/>
    <n v="0"/>
    <n v="0"/>
    <n v="0"/>
    <n v="8436.5050251256289"/>
    <n v="8544.3105882352938"/>
    <n v="7056.1301518438177"/>
    <n v="7497.1710261569415"/>
    <n v="5726.3075030750306"/>
    <n v="5578.01280227596"/>
    <n v="4957.9352941176467"/>
    <n v="4863.27811550152"/>
    <n v="0"/>
    <n v="0"/>
    <n v="0"/>
    <n v="0"/>
    <n v="75928.545226130664"/>
    <n v="76898.795294117648"/>
    <n v="63505.171366594361"/>
    <n v="67474.539235412478"/>
    <n v="51536.767527675278"/>
    <n v="50202.11522048364"/>
    <n v="44621.417647058821"/>
    <n v="43769.503039513678"/>
    <n v="0"/>
    <n v="0"/>
    <n v="0"/>
    <n v="0"/>
    <n v="56078.980408881835"/>
    <n v="57140.67779917705"/>
    <n v="44"/>
    <n v="47"/>
    <n v="51"/>
    <n v="55"/>
    <n v="89"/>
    <n v="77"/>
    <n v="74"/>
    <n v="72"/>
    <n v="0"/>
    <n v="0"/>
    <n v="0"/>
    <n v="0"/>
    <n v="258"/>
    <n v="251"/>
    <n v="3340855.9899497493"/>
    <n v="3614243.3788235295"/>
    <n v="3238763.7396963122"/>
    <n v="3711099.6579476865"/>
    <n v="4586772.3099630997"/>
    <n v="3865562.8719772403"/>
    <n v="3301984.905882353"/>
    <n v="3151404.2188449847"/>
    <n v="0"/>
    <n v="0"/>
    <n v="0"/>
    <n v="0"/>
    <n v="14468376.945491513"/>
    <n v="14342310.127593439"/>
  </r>
  <r>
    <x v="4"/>
    <s v="Augusta State University"/>
    <s v="Reclassified: met the criteria for Four-Year 4 in 2010-11, 2011-12, and 2012-13."/>
    <n v="138983"/>
    <x v="3"/>
    <n v="49"/>
    <n v="49"/>
    <m/>
    <m/>
    <n v="1"/>
    <n v="1"/>
    <m/>
    <m/>
    <n v="46"/>
    <n v="48"/>
    <m/>
    <m/>
    <n v="1"/>
    <n v="1"/>
    <m/>
    <m/>
    <n v="83"/>
    <n v="83"/>
    <m/>
    <m/>
    <m/>
    <n v="1"/>
    <m/>
    <m/>
    <n v="40"/>
    <n v="36"/>
    <m/>
    <m/>
    <n v="1"/>
    <n v="1"/>
    <m/>
    <m/>
    <n v="20"/>
    <n v="20"/>
    <m/>
    <m/>
    <m/>
    <m/>
    <m/>
    <m/>
    <m/>
    <m/>
    <m/>
    <m/>
    <m/>
    <m/>
    <m/>
    <m/>
    <n v="3772566"/>
    <n v="3825570"/>
    <n v="2687733"/>
    <n v="2813015"/>
    <n v="4427469"/>
    <n v="4528510"/>
    <n v="1674522"/>
    <n v="1541747"/>
    <n v="894000"/>
    <n v="881597"/>
    <n v="0"/>
    <m/>
    <n v="452"/>
    <n v="452"/>
    <n v="425"/>
    <n v="443"/>
    <n v="747"/>
    <n v="758"/>
    <n v="371"/>
    <n v="335"/>
    <n v="180"/>
    <n v="180"/>
    <n v="0"/>
    <n v="0"/>
    <n v="8346.3849557522117"/>
    <n v="8463.6504424778759"/>
    <n v="6324.0776470588235"/>
    <n v="6349.9209932279909"/>
    <n v="5927"/>
    <n v="5974.2875989445911"/>
    <n v="4513.5363881401618"/>
    <n v="4602.2298507462683"/>
    <n v="4966.666666666667"/>
    <n v="4897.7611111111109"/>
    <n v="0"/>
    <n v="0"/>
    <n v="75117.464601769898"/>
    <n v="76172.853982300876"/>
    <n v="56916.698823529412"/>
    <n v="57149.288939051919"/>
    <n v="53343"/>
    <n v="53768.588390501318"/>
    <n v="40621.827493261459"/>
    <n v="41420.068656716416"/>
    <n v="44700"/>
    <n v="44079.85"/>
    <n v="0"/>
    <n v="0"/>
    <n v="55676.024904639409"/>
    <n v="56415.245092621692"/>
    <n v="50"/>
    <n v="50"/>
    <n v="47"/>
    <n v="49"/>
    <n v="83"/>
    <n v="84"/>
    <n v="41"/>
    <n v="37"/>
    <n v="20"/>
    <n v="20"/>
    <n v="0"/>
    <n v="0"/>
    <n v="241"/>
    <n v="240"/>
    <n v="3755873.2300884947"/>
    <n v="3808642.699115044"/>
    <n v="2675084.8447058825"/>
    <n v="2800315.158013544"/>
    <n v="4427469"/>
    <n v="4516561.4248021105"/>
    <n v="1665494.9272237199"/>
    <n v="1532542.5402985073"/>
    <n v="894000"/>
    <n v="881597"/>
    <n v="0"/>
    <n v="0"/>
    <n v="13417922.002018098"/>
    <n v="13539658.822229207"/>
  </r>
  <r>
    <x v="4"/>
    <s v="Columbus State University"/>
    <m/>
    <n v="139366"/>
    <x v="3"/>
    <n v="52"/>
    <n v="44"/>
    <m/>
    <m/>
    <n v="14"/>
    <n v="18"/>
    <m/>
    <m/>
    <n v="72"/>
    <n v="61"/>
    <m/>
    <m/>
    <n v="6"/>
    <n v="8"/>
    <m/>
    <m/>
    <n v="97"/>
    <n v="106"/>
    <m/>
    <m/>
    <n v="2"/>
    <n v="5"/>
    <m/>
    <m/>
    <n v="8"/>
    <n v="13"/>
    <m/>
    <m/>
    <m/>
    <n v="2"/>
    <m/>
    <m/>
    <n v="18"/>
    <n v="29"/>
    <m/>
    <m/>
    <n v="2"/>
    <n v="3"/>
    <m/>
    <m/>
    <m/>
    <m/>
    <m/>
    <m/>
    <m/>
    <m/>
    <m/>
    <m/>
    <n v="5097432"/>
    <n v="4906245"/>
    <n v="4867650"/>
    <n v="4605254"/>
    <n v="5368447"/>
    <n v="6443006"/>
    <n v="433128"/>
    <n v="821934"/>
    <n v="855470"/>
    <n v="1481630"/>
    <n v="0"/>
    <m/>
    <n v="622"/>
    <n v="594"/>
    <n v="714"/>
    <n v="637"/>
    <n v="895"/>
    <n v="1009"/>
    <n v="72"/>
    <n v="139"/>
    <n v="184"/>
    <n v="294"/>
    <n v="0"/>
    <n v="0"/>
    <n v="8195.2282958199357"/>
    <n v="8259.6717171717173"/>
    <n v="6817.4369747899163"/>
    <n v="7229.5981161695445"/>
    <n v="5998.2648044692742"/>
    <n v="6385.536174430129"/>
    <n v="6015.666666666667"/>
    <n v="5913.1942446043167"/>
    <n v="4649.29347826087"/>
    <n v="5039.557823129252"/>
    <n v="0"/>
    <n v="0"/>
    <n v="73757.054662379422"/>
    <n v="74337.045454545456"/>
    <n v="61356.932773109249"/>
    <n v="65066.383045525901"/>
    <n v="53984.383240223469"/>
    <n v="57469.825569871158"/>
    <n v="54141"/>
    <n v="53218.748201438852"/>
    <n v="41843.641304347831"/>
    <n v="45356.020408163269"/>
    <n v="0"/>
    <n v="0"/>
    <n v="60030.483877817875"/>
    <n v="61340.144507479628"/>
    <n v="66"/>
    <n v="62"/>
    <n v="78"/>
    <n v="69"/>
    <n v="99"/>
    <n v="111"/>
    <n v="8"/>
    <n v="15"/>
    <n v="20"/>
    <n v="32"/>
    <n v="0"/>
    <n v="0"/>
    <n v="271"/>
    <n v="289"/>
    <n v="4867965.6077170419"/>
    <n v="4608896.8181818184"/>
    <n v="4785840.7563025216"/>
    <n v="4489580.4301412869"/>
    <n v="5344453.9407821232"/>
    <n v="6379150.6382556986"/>
    <n v="433128"/>
    <n v="798281.22302158282"/>
    <n v="836872.82608695666"/>
    <n v="1451392.6530612246"/>
    <n v="0"/>
    <n v="0"/>
    <n v="16268261.130888645"/>
    <n v="17727301.762661614"/>
  </r>
  <r>
    <x v="4"/>
    <s v="Georgia College and State University"/>
    <m/>
    <n v="139861"/>
    <x v="3"/>
    <n v="50"/>
    <n v="73"/>
    <m/>
    <m/>
    <n v="14"/>
    <n v="10"/>
    <m/>
    <m/>
    <n v="61"/>
    <n v="58"/>
    <m/>
    <m/>
    <n v="9"/>
    <n v="7"/>
    <m/>
    <m/>
    <n v="137"/>
    <n v="118"/>
    <m/>
    <m/>
    <n v="3"/>
    <n v="4"/>
    <m/>
    <m/>
    <n v="10"/>
    <n v="13"/>
    <m/>
    <m/>
    <m/>
    <m/>
    <m/>
    <m/>
    <n v="20"/>
    <n v="23"/>
    <m/>
    <m/>
    <n v="1"/>
    <n v="2"/>
    <m/>
    <m/>
    <m/>
    <m/>
    <m/>
    <m/>
    <m/>
    <m/>
    <m/>
    <m/>
    <n v="4921580"/>
    <n v="6667757"/>
    <n v="4595515"/>
    <n v="4501153"/>
    <n v="7164677"/>
    <n v="6910033"/>
    <n v="447000"/>
    <n v="614180"/>
    <n v="956160"/>
    <n v="1144946"/>
    <n v="0"/>
    <m/>
    <n v="604"/>
    <n v="767"/>
    <n v="648"/>
    <n v="599"/>
    <n v="1266"/>
    <n v="1106"/>
    <n v="90"/>
    <n v="117"/>
    <n v="191"/>
    <n v="229"/>
    <n v="0"/>
    <n v="0"/>
    <n v="8148.3112582781459"/>
    <n v="8693.2946544980441"/>
    <n v="7091.8441358024693"/>
    <n v="7514.4457429048416"/>
    <n v="5659.3025276461294"/>
    <n v="6247.7694394213386"/>
    <n v="4966.666666666667"/>
    <n v="5249.401709401709"/>
    <n v="5006.073298429319"/>
    <n v="4999.764192139738"/>
    <n v="0"/>
    <n v="0"/>
    <n v="73334.801324503307"/>
    <n v="78239.651890482404"/>
    <n v="63826.597222222226"/>
    <n v="67630.011686143582"/>
    <n v="50933.722748815162"/>
    <n v="56229.924954792048"/>
    <n v="44700"/>
    <n v="47244.615384615383"/>
    <n v="45054.659685863873"/>
    <n v="44997.877729257641"/>
    <n v="0"/>
    <n v="0"/>
    <n v="57984.125011675511"/>
    <n v="63276.037838394295"/>
    <n v="64"/>
    <n v="83"/>
    <n v="70"/>
    <n v="65"/>
    <n v="140"/>
    <n v="122"/>
    <n v="10"/>
    <n v="13"/>
    <n v="21"/>
    <n v="25"/>
    <n v="0"/>
    <n v="0"/>
    <n v="305"/>
    <n v="308"/>
    <n v="4693427.2847682117"/>
    <n v="6493891.1069100397"/>
    <n v="4467861.805555556"/>
    <n v="4395950.7595993327"/>
    <n v="7130721.1848341227"/>
    <n v="6860050.84448463"/>
    <n v="447000"/>
    <n v="614180"/>
    <n v="946147.85340314137"/>
    <n v="1124946.9432314411"/>
    <n v="0"/>
    <n v="0"/>
    <n v="17685158.128561031"/>
    <n v="19489019.654225443"/>
  </r>
  <r>
    <x v="4"/>
    <s v="Kennesaw State University"/>
    <s v="Met the criteria for Four-Year 3 in 2011-12 and 2012-13."/>
    <n v="140164"/>
    <x v="3"/>
    <n v="121"/>
    <n v="119"/>
    <m/>
    <m/>
    <n v="12"/>
    <n v="7"/>
    <m/>
    <m/>
    <n v="172"/>
    <n v="175"/>
    <m/>
    <m/>
    <n v="7"/>
    <n v="3"/>
    <m/>
    <m/>
    <n v="253"/>
    <n v="211"/>
    <m/>
    <m/>
    <n v="12"/>
    <n v="1"/>
    <m/>
    <m/>
    <n v="34"/>
    <n v="41"/>
    <m/>
    <m/>
    <n v="1"/>
    <n v="3"/>
    <m/>
    <m/>
    <n v="111"/>
    <n v="117"/>
    <m/>
    <m/>
    <n v="12"/>
    <n v="11"/>
    <m/>
    <m/>
    <m/>
    <m/>
    <m/>
    <m/>
    <m/>
    <m/>
    <m/>
    <m/>
    <n v="11434180"/>
    <n v="10282368"/>
    <n v="12123720"/>
    <n v="11962262"/>
    <n v="15371316"/>
    <n v="11891436"/>
    <n v="1576512"/>
    <n v="1878025"/>
    <n v="6135315"/>
    <n v="6361508"/>
    <n v="0"/>
    <m/>
    <n v="1221"/>
    <n v="1148"/>
    <n v="1625"/>
    <n v="1608"/>
    <n v="2409"/>
    <n v="1910"/>
    <n v="317"/>
    <n v="402"/>
    <n v="1131"/>
    <n v="1174"/>
    <n v="0"/>
    <n v="0"/>
    <n v="9364.6027846027846"/>
    <n v="8956.7665505226487"/>
    <n v="7460.750769230769"/>
    <n v="7439.2176616915422"/>
    <n v="6380.7870485678704"/>
    <n v="6225.882722513089"/>
    <n v="4973.2239747634067"/>
    <n v="4671.7039800995026"/>
    <n v="5424.681697612732"/>
    <n v="5418.6609880749575"/>
    <n v="0"/>
    <n v="0"/>
    <n v="84281.425061425063"/>
    <n v="80610.898954703836"/>
    <n v="67146.756923076915"/>
    <n v="66952.958955223876"/>
    <n v="57427.083437110836"/>
    <n v="56032.9445026178"/>
    <n v="44759.015772870662"/>
    <n v="42045.335820895525"/>
    <n v="48822.135278514586"/>
    <n v="48767.94889267462"/>
    <n v="0"/>
    <n v="0"/>
    <n v="62610.291598016927"/>
    <n v="61113.192487295448"/>
    <n v="133"/>
    <n v="126"/>
    <n v="179"/>
    <n v="178"/>
    <n v="265"/>
    <n v="212"/>
    <n v="35"/>
    <n v="44"/>
    <n v="123"/>
    <n v="128"/>
    <n v="0"/>
    <n v="0"/>
    <n v="735"/>
    <n v="688"/>
    <n v="11209429.533169534"/>
    <n v="10156973.268292684"/>
    <n v="12019269.489230767"/>
    <n v="11917626.694029849"/>
    <n v="15218177.110834371"/>
    <n v="11878984.234554974"/>
    <n v="1566565.5520504732"/>
    <n v="1849994.7761194031"/>
    <n v="6005122.6392572941"/>
    <n v="6242297.4582623513"/>
    <n v="0"/>
    <n v="0"/>
    <n v="46018564.32454244"/>
    <n v="42045876.431259267"/>
  </r>
  <r>
    <x v="4"/>
    <s v="North Georgia College and State University"/>
    <s v="Reclassified: met the criteria for Four-Year 4 in 2010-11, 2011-12, and 2012-13."/>
    <n v="140669"/>
    <x v="3"/>
    <n v="34"/>
    <n v="34"/>
    <m/>
    <m/>
    <n v="10"/>
    <n v="3"/>
    <m/>
    <m/>
    <n v="67"/>
    <n v="64"/>
    <m/>
    <m/>
    <n v="5"/>
    <n v="4"/>
    <m/>
    <m/>
    <n v="82"/>
    <n v="85"/>
    <m/>
    <m/>
    <n v="6"/>
    <n v="7"/>
    <m/>
    <m/>
    <n v="31"/>
    <n v="17"/>
    <m/>
    <m/>
    <n v="2"/>
    <n v="1"/>
    <m/>
    <m/>
    <n v="11"/>
    <n v="17"/>
    <m/>
    <m/>
    <m/>
    <m/>
    <m/>
    <m/>
    <m/>
    <m/>
    <m/>
    <m/>
    <m/>
    <m/>
    <m/>
    <m/>
    <n v="3455572"/>
    <n v="2826913"/>
    <n v="4728740"/>
    <n v="4590109"/>
    <n v="4583468"/>
    <n v="4816905"/>
    <n v="1507300"/>
    <n v="783851"/>
    <n v="447832"/>
    <n v="357551"/>
    <n v="0"/>
    <m/>
    <n v="416"/>
    <n v="339"/>
    <n v="658"/>
    <n v="620"/>
    <n v="804"/>
    <n v="842"/>
    <n v="301"/>
    <n v="164"/>
    <n v="99"/>
    <n v="153"/>
    <n v="0"/>
    <n v="0"/>
    <n v="8306.663461538461"/>
    <n v="8338.9764011799416"/>
    <n v="7186.5349544072951"/>
    <n v="7403.4016129032261"/>
    <n v="5700.8308457711446"/>
    <n v="5720.7897862232776"/>
    <n v="5007.6411960132891"/>
    <n v="4779.5792682926831"/>
    <n v="4523.5555555555557"/>
    <n v="2336.9346405228757"/>
    <n v="0"/>
    <n v="0"/>
    <n v="74759.971153846156"/>
    <n v="75050.787610619474"/>
    <n v="64678.814589665657"/>
    <n v="66630.614516129033"/>
    <n v="51307.477611940303"/>
    <n v="51487.108076009499"/>
    <n v="45068.770764119603"/>
    <n v="43016.213414634149"/>
    <n v="40712"/>
    <n v="21032.411764705881"/>
    <n v="0"/>
    <n v="0"/>
    <n v="58050.293735047788"/>
    <n v="56794.903935974071"/>
    <n v="44"/>
    <n v="37"/>
    <n v="72"/>
    <n v="68"/>
    <n v="88"/>
    <n v="92"/>
    <n v="33"/>
    <n v="18"/>
    <n v="11"/>
    <n v="17"/>
    <n v="0"/>
    <n v="0"/>
    <n v="248"/>
    <n v="232"/>
    <n v="3289438.730769231"/>
    <n v="2776879.1415929208"/>
    <n v="4656874.6504559275"/>
    <n v="4530881.7870967742"/>
    <n v="4515058.0298507465"/>
    <n v="4736813.9429928735"/>
    <n v="1487269.435215947"/>
    <n v="774291.84146341472"/>
    <n v="447832"/>
    <n v="357551"/>
    <n v="0"/>
    <n v="0"/>
    <n v="14396472.846291851"/>
    <n v="13176417.713145984"/>
  </r>
  <r>
    <x v="4"/>
    <s v="Clayton State University"/>
    <s v="Met the criteria for Four-Year 4 in 2012-13."/>
    <n v="139311"/>
    <x v="4"/>
    <n v="19"/>
    <n v="20"/>
    <m/>
    <m/>
    <n v="15"/>
    <n v="1"/>
    <m/>
    <m/>
    <n v="68"/>
    <n v="52"/>
    <m/>
    <m/>
    <n v="8"/>
    <n v="3"/>
    <m/>
    <m/>
    <n v="69"/>
    <n v="73"/>
    <m/>
    <m/>
    <n v="5"/>
    <n v="4"/>
    <m/>
    <m/>
    <n v="8"/>
    <n v="11"/>
    <m/>
    <m/>
    <m/>
    <m/>
    <m/>
    <m/>
    <n v="31"/>
    <n v="32"/>
    <m/>
    <m/>
    <m/>
    <m/>
    <m/>
    <m/>
    <m/>
    <m/>
    <m/>
    <m/>
    <m/>
    <m/>
    <m/>
    <m/>
    <n v="3163311"/>
    <n v="1636265"/>
    <n v="4920640"/>
    <n v="3582774"/>
    <n v="4192033"/>
    <n v="4424973"/>
    <n v="411000"/>
    <n v="594900"/>
    <n v="1548822"/>
    <n v="1566964"/>
    <n v="0"/>
    <m/>
    <n v="336"/>
    <n v="191"/>
    <n v="700"/>
    <n v="501"/>
    <n v="676"/>
    <n v="701"/>
    <n v="72"/>
    <n v="99"/>
    <n v="279"/>
    <n v="288"/>
    <n v="0"/>
    <n v="0"/>
    <n v="9414.6160714285706"/>
    <n v="8566.8324607329851"/>
    <n v="7029.4857142857145"/>
    <n v="7151.245508982036"/>
    <n v="6201.2322485207096"/>
    <n v="6312.3723252496429"/>
    <n v="5708.333333333333"/>
    <n v="6009.090909090909"/>
    <n v="5551.333333333333"/>
    <n v="5440.8472222222226"/>
    <n v="0"/>
    <n v="0"/>
    <n v="84731.54464285713"/>
    <n v="77101.492146596865"/>
    <n v="63265.37142857143"/>
    <n v="64361.209580838324"/>
    <n v="55811.090236686388"/>
    <n v="56811.350927246785"/>
    <n v="51375"/>
    <n v="54081.818181818184"/>
    <n v="49962"/>
    <n v="48967.625"/>
    <n v="0"/>
    <n v="0"/>
    <n v="61788.714905575631"/>
    <n v="59670.081037870637"/>
    <n v="34"/>
    <n v="21"/>
    <n v="76"/>
    <n v="55"/>
    <n v="74"/>
    <n v="77"/>
    <n v="8"/>
    <n v="11"/>
    <n v="31"/>
    <n v="32"/>
    <n v="0"/>
    <n v="0"/>
    <n v="223"/>
    <n v="196"/>
    <n v="2880872.5178571423"/>
    <n v="1619131.3350785342"/>
    <n v="4808168.2285714289"/>
    <n v="3539866.5269461079"/>
    <n v="4130020.6775147929"/>
    <n v="4374474.0213980023"/>
    <n v="411000"/>
    <n v="594900"/>
    <n v="1548822"/>
    <n v="1566964"/>
    <n v="0"/>
    <n v="0"/>
    <n v="13778883.423943365"/>
    <n v="11695335.883422645"/>
  </r>
  <r>
    <x v="4"/>
    <s v="Fort Valley State University"/>
    <m/>
    <n v="139719"/>
    <x v="4"/>
    <n v="19"/>
    <n v="9"/>
    <m/>
    <m/>
    <n v="28"/>
    <n v="4"/>
    <m/>
    <m/>
    <n v="28"/>
    <n v="23"/>
    <m/>
    <m/>
    <m/>
    <n v="2"/>
    <m/>
    <m/>
    <n v="52"/>
    <n v="35"/>
    <m/>
    <m/>
    <n v="11"/>
    <n v="7"/>
    <m/>
    <m/>
    <n v="5"/>
    <n v="1"/>
    <m/>
    <m/>
    <m/>
    <m/>
    <m/>
    <m/>
    <m/>
    <n v="2"/>
    <m/>
    <m/>
    <m/>
    <m/>
    <m/>
    <m/>
    <m/>
    <m/>
    <m/>
    <m/>
    <m/>
    <m/>
    <m/>
    <m/>
    <n v="3910472"/>
    <n v="1032244"/>
    <n v="1616216"/>
    <n v="1526316"/>
    <n v="3297123"/>
    <n v="2213184"/>
    <n v="217935"/>
    <n v="54665"/>
    <n v="0"/>
    <n v="89000"/>
    <n v="0"/>
    <m/>
    <n v="479"/>
    <n v="125"/>
    <n v="252"/>
    <n v="229"/>
    <n v="589"/>
    <n v="392"/>
    <n v="45"/>
    <n v="9"/>
    <n v="0"/>
    <n v="18"/>
    <n v="0"/>
    <n v="0"/>
    <n v="8163.8246346555325"/>
    <n v="8257.9519999999993"/>
    <n v="6413.5555555555557"/>
    <n v="6665.1353711790389"/>
    <n v="5597.8319185059427"/>
    <n v="5645.8775510204077"/>
    <n v="4843"/>
    <n v="6073.8888888888887"/>
    <n v="0"/>
    <n v="4944.4444444444443"/>
    <n v="0"/>
    <n v="0"/>
    <n v="73474.421711899791"/>
    <n v="74321.567999999999"/>
    <n v="57722"/>
    <n v="59986.218340611347"/>
    <n v="50380.487266553486"/>
    <n v="50812.897959183669"/>
    <n v="43587"/>
    <n v="54665"/>
    <n v="0"/>
    <n v="44500"/>
    <n v="0"/>
    <n v="0"/>
    <n v="59170.765861903223"/>
    <n v="57152.319961457804"/>
    <n v="47"/>
    <n v="13"/>
    <n v="28"/>
    <n v="25"/>
    <n v="63"/>
    <n v="42"/>
    <n v="5"/>
    <n v="1"/>
    <n v="0"/>
    <n v="2"/>
    <n v="0"/>
    <n v="0"/>
    <n v="143"/>
    <n v="83"/>
    <n v="3453297.8204592904"/>
    <n v="966180.38399999996"/>
    <n v="1616216"/>
    <n v="1499655.4585152837"/>
    <n v="3173970.6977928695"/>
    <n v="2134141.7142857141"/>
    <n v="217935"/>
    <n v="54665"/>
    <n v="0"/>
    <n v="89000"/>
    <n v="0"/>
    <n v="0"/>
    <n v="8461419.5182521604"/>
    <n v="4743642.5568009978"/>
  </r>
  <r>
    <x v="4"/>
    <s v="Georgia Southwestern State University"/>
    <m/>
    <n v="139764"/>
    <x v="4"/>
    <n v="21"/>
    <n v="23"/>
    <m/>
    <m/>
    <m/>
    <m/>
    <m/>
    <m/>
    <n v="28"/>
    <n v="29"/>
    <m/>
    <m/>
    <m/>
    <n v="1"/>
    <m/>
    <m/>
    <n v="34"/>
    <n v="26"/>
    <m/>
    <m/>
    <m/>
    <m/>
    <m/>
    <m/>
    <n v="8"/>
    <n v="23"/>
    <m/>
    <m/>
    <m/>
    <m/>
    <m/>
    <m/>
    <n v="16"/>
    <m/>
    <m/>
    <m/>
    <m/>
    <m/>
    <m/>
    <m/>
    <m/>
    <m/>
    <m/>
    <m/>
    <m/>
    <m/>
    <m/>
    <m/>
    <n v="1421994"/>
    <n v="1541490"/>
    <n v="1697052"/>
    <n v="1819305"/>
    <n v="1695818"/>
    <n v="1324021"/>
    <n v="390200"/>
    <n v="241175"/>
    <n v="711152"/>
    <n v="1021643"/>
    <n v="0"/>
    <m/>
    <n v="189"/>
    <n v="207"/>
    <n v="252"/>
    <n v="272"/>
    <n v="306"/>
    <n v="234"/>
    <n v="72"/>
    <n v="207"/>
    <n v="144"/>
    <n v="0"/>
    <n v="0"/>
    <n v="0"/>
    <n v="7523.7777777777774"/>
    <n v="7446.811594202899"/>
    <n v="6734.333333333333"/>
    <n v="6688.6213235294117"/>
    <n v="5541.8888888888887"/>
    <n v="5658.2094017094014"/>
    <n v="5419.4444444444443"/>
    <n v="1165.0966183574878"/>
    <n v="4938.5555555555557"/>
    <n v="0"/>
    <n v="0"/>
    <n v="0"/>
    <n v="67714"/>
    <n v="67021.304347826095"/>
    <n v="60609"/>
    <n v="60197.591911764706"/>
    <n v="49877"/>
    <n v="50923.88461538461"/>
    <n v="48775"/>
    <n v="10485.86956521739"/>
    <n v="44447"/>
    <n v="0"/>
    <n v="0"/>
    <n v="0"/>
    <n v="55291.738317757008"/>
    <n v="48162.879974048446"/>
    <n v="21"/>
    <n v="23"/>
    <n v="28"/>
    <n v="30"/>
    <n v="34"/>
    <n v="26"/>
    <n v="8"/>
    <n v="23"/>
    <n v="16"/>
    <n v="0"/>
    <n v="0"/>
    <n v="0"/>
    <n v="107"/>
    <n v="102"/>
    <n v="1421994"/>
    <n v="1541490.0000000002"/>
    <n v="1697052"/>
    <n v="1805927.7573529412"/>
    <n v="1695818"/>
    <n v="1324020.9999999998"/>
    <n v="390200"/>
    <n v="241174.99999999997"/>
    <n v="711152"/>
    <n v="0"/>
    <n v="0"/>
    <n v="0"/>
    <n v="5916216"/>
    <n v="4912613.7573529417"/>
  </r>
  <r>
    <x v="4"/>
    <s v="Savannah State University"/>
    <m/>
    <n v="140960"/>
    <x v="4"/>
    <n v="18"/>
    <n v="22"/>
    <m/>
    <m/>
    <m/>
    <m/>
    <m/>
    <m/>
    <n v="30"/>
    <n v="34"/>
    <m/>
    <m/>
    <n v="2"/>
    <m/>
    <m/>
    <m/>
    <n v="62"/>
    <n v="48"/>
    <m/>
    <m/>
    <n v="5"/>
    <n v="3"/>
    <m/>
    <m/>
    <n v="25"/>
    <n v="30"/>
    <m/>
    <m/>
    <n v="2"/>
    <n v="1"/>
    <m/>
    <m/>
    <n v="17"/>
    <n v="16"/>
    <m/>
    <m/>
    <n v="1"/>
    <m/>
    <m/>
    <m/>
    <m/>
    <m/>
    <m/>
    <m/>
    <m/>
    <m/>
    <m/>
    <m/>
    <n v="1302822"/>
    <n v="1580252"/>
    <n v="2051384"/>
    <n v="2167375"/>
    <n v="3589828"/>
    <n v="2749072"/>
    <n v="1081900"/>
    <n v="1239486"/>
    <n v="764476"/>
    <n v="681163"/>
    <n v="0"/>
    <m/>
    <n v="162"/>
    <n v="198"/>
    <n v="292"/>
    <n v="306"/>
    <n v="613"/>
    <n v="465"/>
    <n v="247"/>
    <n v="281"/>
    <n v="164"/>
    <n v="144"/>
    <n v="0"/>
    <n v="0"/>
    <n v="8042.1111111111113"/>
    <n v="7981.0707070707067"/>
    <n v="7025.2876712328771"/>
    <n v="7082.9248366013071"/>
    <n v="5856.1631321370314"/>
    <n v="5911.9827956989247"/>
    <n v="4380.1619433198384"/>
    <n v="4410.9822064056943"/>
    <n v="4661.4390243902435"/>
    <n v="4730.2986111111113"/>
    <n v="0"/>
    <n v="0"/>
    <n v="72379"/>
    <n v="71829.636363636353"/>
    <n v="63227.589041095896"/>
    <n v="63746.323529411762"/>
    <n v="52705.468189233281"/>
    <n v="53207.845161290323"/>
    <n v="39421.457489878543"/>
    <n v="39698.839857651248"/>
    <n v="41952.951219512193"/>
    <n v="42572.6875"/>
    <n v="0"/>
    <n v="0"/>
    <n v="53561.133902294067"/>
    <n v="54370.481420863609"/>
    <n v="18"/>
    <n v="22"/>
    <n v="32"/>
    <n v="34"/>
    <n v="67"/>
    <n v="51"/>
    <n v="27"/>
    <n v="31"/>
    <n v="18"/>
    <n v="16"/>
    <n v="0"/>
    <n v="0"/>
    <n v="162"/>
    <n v="154"/>
    <n v="1302822"/>
    <n v="1580251.9999999998"/>
    <n v="2023282.8493150687"/>
    <n v="2167375"/>
    <n v="3531266.3686786299"/>
    <n v="2713600.1032258063"/>
    <n v="1064379.3522267207"/>
    <n v="1230664.0355871888"/>
    <n v="755153.12195121951"/>
    <n v="681163"/>
    <n v="0"/>
    <n v="0"/>
    <n v="8676903.6921716388"/>
    <n v="8373054.1388129955"/>
  </r>
  <r>
    <x v="4"/>
    <s v="Georgia Gwinnett College"/>
    <m/>
    <n v="447689"/>
    <x v="5"/>
    <n v="15"/>
    <n v="17"/>
    <m/>
    <m/>
    <m/>
    <m/>
    <m/>
    <m/>
    <n v="55"/>
    <n v="61"/>
    <m/>
    <m/>
    <m/>
    <m/>
    <m/>
    <m/>
    <n v="214"/>
    <n v="242"/>
    <m/>
    <m/>
    <n v="6"/>
    <n v="22"/>
    <m/>
    <m/>
    <n v="16"/>
    <m/>
    <m/>
    <m/>
    <n v="2"/>
    <m/>
    <m/>
    <m/>
    <m/>
    <m/>
    <m/>
    <m/>
    <m/>
    <m/>
    <m/>
    <m/>
    <m/>
    <m/>
    <m/>
    <m/>
    <m/>
    <m/>
    <m/>
    <m/>
    <n v="1555575"/>
    <n v="1719120"/>
    <n v="4002020"/>
    <n v="4469759"/>
    <n v="13424372"/>
    <n v="14881967"/>
    <n v="891490"/>
    <n v="1125439"/>
    <n v="0"/>
    <m/>
    <n v="0"/>
    <m/>
    <n v="135"/>
    <n v="153"/>
    <n v="495"/>
    <n v="549"/>
    <n v="1992"/>
    <n v="2420"/>
    <n v="166"/>
    <n v="0"/>
    <n v="0"/>
    <n v="0"/>
    <n v="0"/>
    <n v="0"/>
    <n v="11522.777777777777"/>
    <n v="11236.078431372549"/>
    <n v="8084.8888888888887"/>
    <n v="8141.6375227686704"/>
    <n v="6739.1425702811248"/>
    <n v="6149.5731404958678"/>
    <n v="5370.4216867469877"/>
    <n v="0"/>
    <n v="0"/>
    <n v="0"/>
    <n v="0"/>
    <n v="0"/>
    <n v="103705"/>
    <n v="101124.70588235294"/>
    <n v="72764"/>
    <n v="73274.737704918036"/>
    <n v="60652.283132530123"/>
    <n v="55346.158264462807"/>
    <n v="48333.795180722889"/>
    <n v="0"/>
    <n v="0"/>
    <n v="0"/>
    <n v="0"/>
    <n v="0"/>
    <n v="64191.9013065248"/>
    <n v="60819.487666135035"/>
    <n v="15"/>
    <n v="17"/>
    <n v="55"/>
    <n v="61"/>
    <n v="220"/>
    <n v="264"/>
    <n v="18"/>
    <n v="0"/>
    <n v="0"/>
    <n v="0"/>
    <n v="0"/>
    <n v="0"/>
    <n v="308"/>
    <n v="342"/>
    <n v="1555575"/>
    <n v="1719120"/>
    <n v="4002020"/>
    <n v="4469759"/>
    <n v="13343502.289156627"/>
    <n v="14611385.781818181"/>
    <n v="870008.31325301202"/>
    <n v="0"/>
    <n v="0"/>
    <n v="0"/>
    <n v="0"/>
    <n v="0"/>
    <n v="19771105.602409638"/>
    <n v="20800264.781818181"/>
  </r>
  <r>
    <x v="4"/>
    <s v="Macon State College "/>
    <m/>
    <n v="140322"/>
    <x v="5"/>
    <n v="16"/>
    <n v="15"/>
    <m/>
    <m/>
    <m/>
    <m/>
    <m/>
    <m/>
    <n v="52"/>
    <n v="64"/>
    <m/>
    <m/>
    <m/>
    <n v="1"/>
    <m/>
    <m/>
    <n v="78"/>
    <n v="73"/>
    <m/>
    <m/>
    <n v="1"/>
    <m/>
    <m/>
    <m/>
    <m/>
    <n v="4"/>
    <m/>
    <m/>
    <m/>
    <m/>
    <m/>
    <m/>
    <n v="16"/>
    <n v="19"/>
    <m/>
    <m/>
    <m/>
    <m/>
    <m/>
    <m/>
    <m/>
    <m/>
    <m/>
    <m/>
    <m/>
    <m/>
    <m/>
    <m/>
    <n v="1168272"/>
    <n v="1206696"/>
    <n v="2873520"/>
    <n v="3542018"/>
    <n v="3786350"/>
    <n v="3612118"/>
    <n v="0"/>
    <n v="176509"/>
    <n v="717184"/>
    <n v="849655"/>
    <n v="0"/>
    <m/>
    <n v="144"/>
    <n v="135"/>
    <n v="468"/>
    <n v="587"/>
    <n v="713"/>
    <n v="657"/>
    <n v="0"/>
    <n v="36"/>
    <n v="144"/>
    <n v="171"/>
    <n v="0"/>
    <n v="0"/>
    <n v="8113"/>
    <n v="8938.4888888888891"/>
    <n v="6140"/>
    <n v="6034.1022146507667"/>
    <n v="5310.4488078541372"/>
    <n v="5497.8964992389647"/>
    <n v="0"/>
    <n v="4903.0277777777774"/>
    <n v="4980.4444444444443"/>
    <n v="4968.7426900584796"/>
    <n v="0"/>
    <n v="0"/>
    <n v="73017"/>
    <n v="80446.399999999994"/>
    <n v="55260"/>
    <n v="54306.919931856901"/>
    <n v="47794.039270687237"/>
    <n v="49481.068493150684"/>
    <n v="0"/>
    <n v="44127.25"/>
    <n v="44824"/>
    <n v="44718.68421052632"/>
    <n v="0"/>
    <n v="0"/>
    <n v="52360.154002357616"/>
    <n v="53266.635202106234"/>
    <n v="16"/>
    <n v="15"/>
    <n v="52"/>
    <n v="65"/>
    <n v="79"/>
    <n v="73"/>
    <n v="0"/>
    <n v="4"/>
    <n v="16"/>
    <n v="19"/>
    <n v="0"/>
    <n v="0"/>
    <n v="163"/>
    <n v="176"/>
    <n v="1168272"/>
    <n v="1206696"/>
    <n v="2873520"/>
    <n v="3529949.7955706986"/>
    <n v="3775729.1023842916"/>
    <n v="3612118"/>
    <n v="0"/>
    <n v="176509"/>
    <n v="717184"/>
    <n v="849655.00000000012"/>
    <n v="0"/>
    <n v="0"/>
    <n v="8534705.1023842916"/>
    <n v="9374927.7955706976"/>
  </r>
  <r>
    <x v="4"/>
    <s v="Dalton State College "/>
    <s v="Met the criteria for Four-Year 6 in 2011-12 and 2012-13."/>
    <n v="139463"/>
    <x v="11"/>
    <n v="14"/>
    <n v="15"/>
    <m/>
    <m/>
    <n v="1"/>
    <m/>
    <m/>
    <m/>
    <n v="55"/>
    <n v="48"/>
    <m/>
    <m/>
    <m/>
    <m/>
    <m/>
    <m/>
    <n v="56"/>
    <n v="65"/>
    <m/>
    <m/>
    <m/>
    <m/>
    <m/>
    <m/>
    <n v="15"/>
    <n v="13"/>
    <m/>
    <m/>
    <m/>
    <m/>
    <m/>
    <m/>
    <n v="9"/>
    <n v="10"/>
    <m/>
    <m/>
    <m/>
    <m/>
    <m/>
    <m/>
    <m/>
    <m/>
    <m/>
    <m/>
    <m/>
    <m/>
    <m/>
    <m/>
    <n v="1138164"/>
    <n v="1050412"/>
    <n v="3085775"/>
    <n v="2547683"/>
    <n v="2706368"/>
    <n v="3224828"/>
    <n v="639885"/>
    <n v="606082"/>
    <n v="260001"/>
    <n v="322500"/>
    <n v="0"/>
    <m/>
    <n v="137"/>
    <n v="135"/>
    <n v="495"/>
    <n v="432"/>
    <n v="504"/>
    <n v="585"/>
    <n v="135"/>
    <n v="117"/>
    <n v="81"/>
    <n v="90"/>
    <n v="0"/>
    <n v="0"/>
    <n v="8307.7664233576634"/>
    <n v="7780.8296296296294"/>
    <n v="6233.8888888888887"/>
    <n v="5897.4143518518522"/>
    <n v="5369.7777777777774"/>
    <n v="5512.5264957264953"/>
    <n v="4739.8888888888887"/>
    <n v="5180.1880341880342"/>
    <n v="3209.8888888888887"/>
    <n v="3583.3333333333335"/>
    <n v="0"/>
    <n v="0"/>
    <n v="74769.897810218972"/>
    <n v="70027.46666666666"/>
    <n v="56105"/>
    <n v="53076.729166666672"/>
    <n v="48328"/>
    <n v="49612.738461538458"/>
    <n v="42659"/>
    <n v="46621.692307692305"/>
    <n v="28889"/>
    <n v="32250"/>
    <n v="0"/>
    <n v="0"/>
    <n v="52090.516447688562"/>
    <n v="51334.470198675495"/>
    <n v="15"/>
    <n v="15"/>
    <n v="55"/>
    <n v="48"/>
    <n v="56"/>
    <n v="65"/>
    <n v="15"/>
    <n v="13"/>
    <n v="9"/>
    <n v="10"/>
    <n v="0"/>
    <n v="0"/>
    <n v="150"/>
    <n v="151"/>
    <n v="1121548.4671532847"/>
    <n v="1050412"/>
    <n v="3085775"/>
    <n v="2547683"/>
    <n v="2706368"/>
    <n v="3224828"/>
    <n v="639885"/>
    <n v="606082"/>
    <n v="260001"/>
    <n v="322500"/>
    <n v="0"/>
    <n v="0"/>
    <n v="7813577.4671532847"/>
    <n v="7751505"/>
  </r>
  <r>
    <x v="4"/>
    <s v="Gainesville State College "/>
    <m/>
    <n v="139773"/>
    <x v="11"/>
    <n v="40"/>
    <n v="23"/>
    <m/>
    <m/>
    <n v="1"/>
    <m/>
    <m/>
    <m/>
    <n v="33"/>
    <n v="31"/>
    <m/>
    <m/>
    <n v="6"/>
    <n v="1"/>
    <m/>
    <m/>
    <n v="84"/>
    <n v="76"/>
    <m/>
    <m/>
    <n v="5"/>
    <n v="4"/>
    <m/>
    <m/>
    <n v="8"/>
    <n v="29"/>
    <m/>
    <m/>
    <m/>
    <m/>
    <m/>
    <m/>
    <n v="25"/>
    <m/>
    <m/>
    <m/>
    <m/>
    <m/>
    <m/>
    <m/>
    <m/>
    <m/>
    <m/>
    <m/>
    <m/>
    <m/>
    <m/>
    <m/>
    <n v="2642962"/>
    <n v="1529220"/>
    <n v="1995396"/>
    <n v="1603555"/>
    <n v="3872250"/>
    <n v="3537005"/>
    <n v="319608"/>
    <n v="226070"/>
    <n v="941150"/>
    <n v="1130592"/>
    <n v="0"/>
    <m/>
    <n v="371"/>
    <n v="207"/>
    <n v="363"/>
    <n v="290"/>
    <n v="811"/>
    <n v="728"/>
    <n v="72"/>
    <n v="261"/>
    <n v="225"/>
    <n v="0"/>
    <n v="0"/>
    <n v="0"/>
    <n v="7123.8867924528304"/>
    <n v="7387.536231884058"/>
    <n v="5496.9586776859505"/>
    <n v="5529.5"/>
    <n v="4774.6609124537608"/>
    <n v="4858.5233516483513"/>
    <n v="4439"/>
    <n v="866.16858237547888"/>
    <n v="4182.8888888888887"/>
    <n v="0"/>
    <n v="0"/>
    <n v="0"/>
    <n v="64114.981132075474"/>
    <n v="66487.826086956527"/>
    <n v="49472.628099173555"/>
    <n v="49765.5"/>
    <n v="42971.948212083851"/>
    <n v="43726.71016483516"/>
    <n v="39951"/>
    <n v="7795.5172413793098"/>
    <n v="37646"/>
    <n v="0"/>
    <n v="0"/>
    <n v="0"/>
    <n v="47739.644124546168"/>
    <n v="41743.431787724468"/>
    <n v="41"/>
    <n v="23"/>
    <n v="39"/>
    <n v="32"/>
    <n v="89"/>
    <n v="80"/>
    <n v="8"/>
    <n v="29"/>
    <n v="25"/>
    <n v="0"/>
    <n v="0"/>
    <n v="0"/>
    <n v="202"/>
    <n v="164"/>
    <n v="2628714.2264150945"/>
    <n v="1529220.0000000002"/>
    <n v="1929432.4958677685"/>
    <n v="1592496"/>
    <n v="3824503.3908754629"/>
    <n v="3498136.8131868127"/>
    <n v="319608"/>
    <n v="226069.99999999997"/>
    <n v="941150"/>
    <n v="0"/>
    <n v="0"/>
    <n v="0"/>
    <n v="9643408.1131583266"/>
    <n v="6845922.8131868131"/>
  </r>
  <r>
    <x v="4"/>
    <s v="Gordon College "/>
    <m/>
    <n v="139968"/>
    <x v="11"/>
    <n v="26"/>
    <n v="30"/>
    <m/>
    <m/>
    <m/>
    <m/>
    <m/>
    <m/>
    <n v="39"/>
    <n v="43"/>
    <m/>
    <m/>
    <m/>
    <m/>
    <m/>
    <m/>
    <n v="39"/>
    <n v="39"/>
    <m/>
    <m/>
    <m/>
    <m/>
    <m/>
    <m/>
    <n v="11"/>
    <n v="12"/>
    <m/>
    <m/>
    <m/>
    <m/>
    <m/>
    <m/>
    <m/>
    <m/>
    <m/>
    <m/>
    <m/>
    <m/>
    <m/>
    <m/>
    <m/>
    <m/>
    <m/>
    <m/>
    <m/>
    <m/>
    <m/>
    <m/>
    <n v="1657318"/>
    <n v="1882663"/>
    <n v="2057991"/>
    <n v="2274420"/>
    <n v="1817829"/>
    <n v="1795821"/>
    <n v="435666"/>
    <n v="455980"/>
    <n v="0"/>
    <m/>
    <n v="0"/>
    <m/>
    <n v="234"/>
    <n v="270"/>
    <n v="351"/>
    <n v="387"/>
    <n v="351"/>
    <n v="351"/>
    <n v="99"/>
    <n v="108"/>
    <n v="0"/>
    <n v="0"/>
    <n v="0"/>
    <n v="0"/>
    <n v="7082.5555555555557"/>
    <n v="6972.8259259259257"/>
    <n v="5863.2222222222226"/>
    <n v="5877.0542635658912"/>
    <n v="5179"/>
    <n v="5116.2991452991455"/>
    <n v="4400.666666666667"/>
    <n v="4222.0370370370374"/>
    <n v="0"/>
    <n v="0"/>
    <n v="0"/>
    <n v="0"/>
    <n v="63743"/>
    <n v="62755.433333333334"/>
    <n v="52769"/>
    <n v="52893.488372093023"/>
    <n v="46611"/>
    <n v="46046.692307692312"/>
    <n v="39606"/>
    <n v="37998.333333333336"/>
    <n v="0"/>
    <n v="0"/>
    <n v="0"/>
    <n v="0"/>
    <n v="51902.64347826087"/>
    <n v="51684.548387096773"/>
    <n v="26"/>
    <n v="30"/>
    <n v="39"/>
    <n v="43"/>
    <n v="39"/>
    <n v="39"/>
    <n v="11"/>
    <n v="12"/>
    <n v="0"/>
    <n v="0"/>
    <n v="0"/>
    <n v="0"/>
    <n v="115"/>
    <n v="124"/>
    <n v="1657318"/>
    <n v="1882663"/>
    <n v="2057991"/>
    <n v="2274420"/>
    <n v="1817829"/>
    <n v="1795821.0000000002"/>
    <n v="435666"/>
    <n v="455980"/>
    <n v="0"/>
    <n v="0"/>
    <n v="0"/>
    <n v="0"/>
    <n v="5968804"/>
    <n v="6408884"/>
  </r>
  <r>
    <x v="4"/>
    <s v="Georgia Perimeter College "/>
    <m/>
    <n v="244437"/>
    <x v="6"/>
    <n v="30"/>
    <n v="38"/>
    <m/>
    <m/>
    <n v="1"/>
    <m/>
    <m/>
    <m/>
    <n v="128"/>
    <n v="117"/>
    <m/>
    <m/>
    <n v="6"/>
    <m/>
    <m/>
    <m/>
    <n v="113"/>
    <n v="123"/>
    <m/>
    <m/>
    <n v="3"/>
    <m/>
    <m/>
    <m/>
    <n v="266"/>
    <n v="197"/>
    <m/>
    <m/>
    <n v="6"/>
    <m/>
    <m/>
    <m/>
    <n v="15"/>
    <n v="13"/>
    <m/>
    <m/>
    <n v="5"/>
    <m/>
    <m/>
    <m/>
    <m/>
    <m/>
    <m/>
    <m/>
    <m/>
    <m/>
    <m/>
    <m/>
    <n v="1971300"/>
    <n v="2442122"/>
    <n v="7551258"/>
    <n v="6649916"/>
    <n v="5242633"/>
    <n v="5461557"/>
    <n v="10584488"/>
    <n v="7693660"/>
    <n v="792385"/>
    <n v="528632"/>
    <n v="0"/>
    <m/>
    <n v="281"/>
    <n v="342"/>
    <n v="1218"/>
    <n v="1053"/>
    <n v="1050"/>
    <n v="1107"/>
    <n v="2460"/>
    <n v="1773"/>
    <n v="190"/>
    <n v="117"/>
    <n v="0"/>
    <n v="0"/>
    <n v="7015.3024911032026"/>
    <n v="7140.707602339181"/>
    <n v="6199.7192118226603"/>
    <n v="6315.2098765432102"/>
    <n v="4992.9838095238092"/>
    <n v="4933.6558265582653"/>
    <n v="4302.6373983739841"/>
    <n v="4339.3457416807669"/>
    <n v="4170.4473684210525"/>
    <n v="4518.2222222222226"/>
    <n v="0"/>
    <n v="0"/>
    <n v="63137.722419928825"/>
    <n v="64266.368421052626"/>
    <n v="55797.472906403942"/>
    <n v="56836.888888888891"/>
    <n v="44936.854285714282"/>
    <n v="44402.902439024387"/>
    <n v="38723.736585365856"/>
    <n v="39054.1116751269"/>
    <n v="37534.026315789473"/>
    <n v="40664"/>
    <n v="0"/>
    <n v="0"/>
    <n v="45253.652249832601"/>
    <n v="46671.899590163935"/>
    <n v="31"/>
    <n v="38"/>
    <n v="134"/>
    <n v="117"/>
    <n v="116"/>
    <n v="123"/>
    <n v="272"/>
    <n v="197"/>
    <n v="20"/>
    <n v="13"/>
    <n v="0"/>
    <n v="0"/>
    <n v="573"/>
    <n v="488"/>
    <n v="1957269.3950177936"/>
    <n v="2442122"/>
    <n v="7476861.3694581278"/>
    <n v="6649916"/>
    <n v="5212675.0971428566"/>
    <n v="5461557"/>
    <n v="10532856.351219513"/>
    <n v="7693659.9999999991"/>
    <n v="750680.52631578944"/>
    <n v="528632"/>
    <n v="0"/>
    <n v="0"/>
    <n v="25930342.739154082"/>
    <n v="22775887"/>
  </r>
  <r>
    <x v="4"/>
    <s v="Abraham Baldwin Agricultural College "/>
    <s v="Met the criteria for Two-Year with Bachelor's in 2011-12 and 2012-13. "/>
    <n v="138558"/>
    <x v="7"/>
    <n v="8"/>
    <n v="8"/>
    <m/>
    <m/>
    <m/>
    <m/>
    <m/>
    <m/>
    <n v="14"/>
    <n v="14"/>
    <m/>
    <m/>
    <n v="5"/>
    <n v="5"/>
    <m/>
    <m/>
    <n v="30"/>
    <n v="33"/>
    <m/>
    <m/>
    <n v="2"/>
    <m/>
    <m/>
    <m/>
    <n v="21"/>
    <n v="13"/>
    <m/>
    <m/>
    <n v="3"/>
    <n v="1"/>
    <m/>
    <m/>
    <m/>
    <n v="4"/>
    <m/>
    <m/>
    <m/>
    <m/>
    <m/>
    <m/>
    <m/>
    <m/>
    <m/>
    <m/>
    <m/>
    <m/>
    <m/>
    <m/>
    <n v="414600"/>
    <n v="426700"/>
    <n v="1036920"/>
    <n v="1021602"/>
    <n v="1465634"/>
    <n v="1511227"/>
    <n v="1056153"/>
    <n v="2226343"/>
    <n v="0"/>
    <n v="219400"/>
    <n v="0"/>
    <m/>
    <n v="72"/>
    <n v="72"/>
    <n v="181"/>
    <n v="181"/>
    <n v="292"/>
    <n v="297"/>
    <n v="222"/>
    <n v="128"/>
    <n v="0"/>
    <n v="36"/>
    <n v="0"/>
    <n v="0"/>
    <n v="5758.333333333333"/>
    <n v="5926.3888888888887"/>
    <n v="5728.8397790055251"/>
    <n v="5644.209944751381"/>
    <n v="5019.2945205479455"/>
    <n v="5088.3063973063972"/>
    <n v="4757.4459459459458"/>
    <n v="17393.3046875"/>
    <n v="0"/>
    <n v="6094.4444444444443"/>
    <n v="0"/>
    <n v="0"/>
    <n v="51825"/>
    <n v="53337.5"/>
    <n v="51559.558011049725"/>
    <n v="50797.889502762431"/>
    <n v="45173.650684931512"/>
    <n v="45794.757575757576"/>
    <n v="42817.013513513513"/>
    <n v="156539.7421875"/>
    <n v="0"/>
    <n v="54850"/>
    <n v="0"/>
    <n v="0"/>
    <n v="46595.141547615385"/>
    <n v="68128.7601433011"/>
    <n v="8"/>
    <n v="8"/>
    <n v="19"/>
    <n v="19"/>
    <n v="32"/>
    <n v="33"/>
    <n v="24"/>
    <n v="14"/>
    <n v="0"/>
    <n v="4"/>
    <n v="0"/>
    <n v="0"/>
    <n v="83"/>
    <n v="78"/>
    <n v="414600"/>
    <n v="426700"/>
    <n v="979631.60220994474"/>
    <n v="965159.90055248619"/>
    <n v="1445556.8219178084"/>
    <n v="1511227"/>
    <n v="1027608.3243243243"/>
    <n v="2191556.390625"/>
    <n v="0"/>
    <n v="219400"/>
    <n v="0"/>
    <n v="0"/>
    <n v="3867396.7484520772"/>
    <n v="5314043.2911774861"/>
  </r>
  <r>
    <x v="4"/>
    <s v="Atlanta Metropolitan College"/>
    <m/>
    <n v="138901"/>
    <x v="7"/>
    <n v="4"/>
    <n v="3"/>
    <m/>
    <m/>
    <n v="2"/>
    <m/>
    <m/>
    <m/>
    <n v="11"/>
    <n v="11"/>
    <m/>
    <m/>
    <n v="2"/>
    <m/>
    <m/>
    <m/>
    <n v="27"/>
    <n v="26"/>
    <m/>
    <m/>
    <m/>
    <m/>
    <m/>
    <m/>
    <n v="4"/>
    <n v="2"/>
    <m/>
    <m/>
    <m/>
    <m/>
    <m/>
    <m/>
    <n v="14"/>
    <n v="14"/>
    <m/>
    <m/>
    <m/>
    <m/>
    <m/>
    <m/>
    <m/>
    <m/>
    <m/>
    <m/>
    <m/>
    <m/>
    <m/>
    <m/>
    <n v="383620"/>
    <n v="180505"/>
    <n v="741847"/>
    <n v="597348"/>
    <n v="1147743"/>
    <n v="1222729"/>
    <n v="217440"/>
    <n v="48000"/>
    <n v="368004"/>
    <n v="336000"/>
    <n v="0"/>
    <m/>
    <n v="58"/>
    <n v="27"/>
    <n v="121"/>
    <n v="99"/>
    <n v="243"/>
    <n v="234"/>
    <n v="36"/>
    <n v="18"/>
    <n v="126"/>
    <n v="126"/>
    <n v="0"/>
    <n v="0"/>
    <n v="6614.1379310344828"/>
    <n v="6685.3703703703704"/>
    <n v="6130.9669421487606"/>
    <n v="6033.818181818182"/>
    <n v="4723.2222222222226"/>
    <n v="5225.3376068376065"/>
    <n v="6040"/>
    <n v="2666.6666666666665"/>
    <n v="2920.6666666666665"/>
    <n v="2666.6666666666665"/>
    <n v="0"/>
    <n v="0"/>
    <n v="59527.241379310348"/>
    <n v="60168.333333333336"/>
    <n v="55178.702479338848"/>
    <n v="54304.36363636364"/>
    <n v="42509"/>
    <n v="47028.038461538461"/>
    <n v="54360"/>
    <n v="24000"/>
    <n v="26286"/>
    <n v="24000"/>
    <n v="0"/>
    <n v="0"/>
    <n v="43869.899695426051"/>
    <n v="42581.821428571428"/>
    <n v="6"/>
    <n v="3"/>
    <n v="13"/>
    <n v="11"/>
    <n v="27"/>
    <n v="26"/>
    <n v="4"/>
    <n v="2"/>
    <n v="14"/>
    <n v="14"/>
    <n v="0"/>
    <n v="0"/>
    <n v="64"/>
    <n v="56"/>
    <n v="357163.44827586209"/>
    <n v="180505"/>
    <n v="717323.132231405"/>
    <n v="597348"/>
    <n v="1147743"/>
    <n v="1222729"/>
    <n v="217440"/>
    <n v="48000"/>
    <n v="368004"/>
    <n v="336000"/>
    <n v="0"/>
    <n v="0"/>
    <n v="2807673.5805072673"/>
    <n v="2384582"/>
  </r>
  <r>
    <x v="4"/>
    <s v="Bainbridge College "/>
    <m/>
    <n v="139010"/>
    <x v="7"/>
    <n v="5"/>
    <n v="6"/>
    <m/>
    <m/>
    <m/>
    <m/>
    <m/>
    <m/>
    <n v="15"/>
    <n v="16"/>
    <m/>
    <m/>
    <m/>
    <m/>
    <m/>
    <m/>
    <n v="25"/>
    <n v="17"/>
    <m/>
    <m/>
    <n v="5"/>
    <n v="8"/>
    <m/>
    <m/>
    <n v="10"/>
    <n v="16"/>
    <m/>
    <m/>
    <n v="12"/>
    <n v="8"/>
    <m/>
    <m/>
    <m/>
    <m/>
    <m/>
    <m/>
    <m/>
    <m/>
    <m/>
    <m/>
    <m/>
    <m/>
    <m/>
    <m/>
    <m/>
    <m/>
    <m/>
    <m/>
    <n v="289235"/>
    <n v="332243"/>
    <n v="695100"/>
    <n v="761252"/>
    <n v="1210115"/>
    <n v="1087918"/>
    <n v="893048"/>
    <n v="670458"/>
    <n v="0"/>
    <m/>
    <n v="0"/>
    <m/>
    <n v="45"/>
    <n v="54"/>
    <n v="135"/>
    <n v="144"/>
    <n v="280"/>
    <n v="241"/>
    <n v="222"/>
    <n v="232"/>
    <n v="0"/>
    <n v="0"/>
    <n v="0"/>
    <n v="0"/>
    <n v="6427.4444444444443"/>
    <n v="6152.6481481481478"/>
    <n v="5148.8888888888887"/>
    <n v="5286.4722222222226"/>
    <n v="4321.8392857142853"/>
    <n v="4514.1825726141078"/>
    <n v="4022.7387387387389"/>
    <n v="2889.905172413793"/>
    <n v="0"/>
    <n v="0"/>
    <n v="0"/>
    <n v="0"/>
    <n v="57847"/>
    <n v="55373.833333333328"/>
    <n v="46340"/>
    <n v="47578.25"/>
    <n v="38896.553571428565"/>
    <n v="40627.643153526973"/>
    <n v="36204.648648648654"/>
    <n v="26009.146551724138"/>
    <n v="0"/>
    <n v="0"/>
    <n v="0"/>
    <n v="0"/>
    <n v="40940.748297404549"/>
    <n v="38498.670367317653"/>
    <n v="5"/>
    <n v="6"/>
    <n v="15"/>
    <n v="16"/>
    <n v="30"/>
    <n v="25"/>
    <n v="22"/>
    <n v="24"/>
    <n v="0"/>
    <n v="0"/>
    <n v="0"/>
    <n v="0"/>
    <n v="72"/>
    <n v="71"/>
    <n v="289235"/>
    <n v="332243"/>
    <n v="695100"/>
    <n v="761252"/>
    <n v="1166896.607142857"/>
    <n v="1015691.0788381743"/>
    <n v="796502.27027027041"/>
    <n v="624219.51724137925"/>
    <n v="0"/>
    <n v="0"/>
    <n v="0"/>
    <n v="0"/>
    <n v="2947733.8774131276"/>
    <n v="2733405.5960795535"/>
  </r>
  <r>
    <x v="4"/>
    <s v="College of Coastal Georgia "/>
    <s v="Met the criteria for Two-Year with Bachelor's in 2011-12 and 2012-13. "/>
    <n v="139250"/>
    <x v="7"/>
    <n v="6"/>
    <n v="6"/>
    <m/>
    <m/>
    <n v="1"/>
    <n v="1"/>
    <m/>
    <m/>
    <n v="16"/>
    <n v="21"/>
    <m/>
    <m/>
    <n v="1"/>
    <n v="2"/>
    <m/>
    <m/>
    <n v="47"/>
    <n v="39"/>
    <m/>
    <m/>
    <n v="9"/>
    <n v="8"/>
    <m/>
    <m/>
    <n v="6"/>
    <n v="5"/>
    <m/>
    <m/>
    <n v="5"/>
    <n v="3"/>
    <m/>
    <m/>
    <m/>
    <n v="3"/>
    <m/>
    <m/>
    <m/>
    <m/>
    <m/>
    <m/>
    <m/>
    <m/>
    <m/>
    <m/>
    <m/>
    <m/>
    <m/>
    <m/>
    <n v="511086"/>
    <n v="480085"/>
    <n v="982918"/>
    <n v="1362291"/>
    <n v="3043132"/>
    <n v="2637370"/>
    <n v="519654"/>
    <n v="371371"/>
    <n v="0"/>
    <n v="132451"/>
    <n v="0"/>
    <m/>
    <n v="65"/>
    <n v="65"/>
    <n v="155"/>
    <n v="211"/>
    <n v="522"/>
    <n v="439"/>
    <n v="109"/>
    <n v="78"/>
    <n v="0"/>
    <n v="27"/>
    <n v="0"/>
    <n v="0"/>
    <n v="7862.8615384615387"/>
    <n v="7385.9230769230771"/>
    <n v="6341.4064516129029"/>
    <n v="6456.355450236967"/>
    <n v="5829.7547892720304"/>
    <n v="6007.6765375854211"/>
    <n v="4767.4678899082564"/>
    <n v="4761.166666666667"/>
    <n v="0"/>
    <n v="4905.5925925925922"/>
    <n v="0"/>
    <n v="0"/>
    <n v="70765.75384615385"/>
    <n v="66473.307692307688"/>
    <n v="57072.658064516123"/>
    <n v="58107.199052132702"/>
    <n v="52467.793103448275"/>
    <n v="54069.088838268792"/>
    <n v="42907.211009174309"/>
    <n v="42850.5"/>
    <n v="0"/>
    <n v="44150.333333333328"/>
    <n v="0"/>
    <n v="0"/>
    <n v="53579.903284767825"/>
    <n v="54753.19213004363"/>
    <n v="7"/>
    <n v="7"/>
    <n v="17"/>
    <n v="23"/>
    <n v="56"/>
    <n v="47"/>
    <n v="11"/>
    <n v="8"/>
    <n v="0"/>
    <n v="3"/>
    <n v="0"/>
    <n v="0"/>
    <n v="91"/>
    <n v="88"/>
    <n v="495360.27692307695"/>
    <n v="465313.15384615381"/>
    <n v="970235.18709677411"/>
    <n v="1336465.5781990523"/>
    <n v="2938196.4137931033"/>
    <n v="2541247.1753986333"/>
    <n v="471979.32110091741"/>
    <n v="342804"/>
    <n v="0"/>
    <n v="132451"/>
    <n v="0"/>
    <n v="0"/>
    <n v="4875771.1989138722"/>
    <n v="4818280.9074438391"/>
  </r>
  <r>
    <x v="4"/>
    <s v="Darton College "/>
    <m/>
    <n v="138691"/>
    <x v="7"/>
    <n v="2"/>
    <n v="3"/>
    <m/>
    <m/>
    <n v="1"/>
    <m/>
    <m/>
    <m/>
    <n v="10"/>
    <n v="8"/>
    <m/>
    <m/>
    <n v="1"/>
    <n v="3"/>
    <m/>
    <m/>
    <n v="57"/>
    <n v="56"/>
    <m/>
    <m/>
    <n v="8"/>
    <n v="10"/>
    <m/>
    <m/>
    <n v="26"/>
    <n v="26"/>
    <m/>
    <m/>
    <n v="15"/>
    <n v="18"/>
    <m/>
    <m/>
    <m/>
    <m/>
    <m/>
    <m/>
    <m/>
    <m/>
    <m/>
    <m/>
    <m/>
    <m/>
    <m/>
    <m/>
    <m/>
    <m/>
    <m/>
    <m/>
    <n v="217335"/>
    <n v="174420"/>
    <n v="577303"/>
    <n v="622216"/>
    <n v="2996736"/>
    <n v="2980139"/>
    <n v="1921665"/>
    <n v="1950190"/>
    <n v="0"/>
    <m/>
    <n v="0"/>
    <m/>
    <n v="29"/>
    <n v="27"/>
    <n v="101"/>
    <n v="105"/>
    <n v="601"/>
    <n v="614"/>
    <n v="399"/>
    <n v="432"/>
    <n v="0"/>
    <n v="0"/>
    <n v="0"/>
    <n v="0"/>
    <n v="7494.3103448275861"/>
    <n v="6460"/>
    <n v="5715.8712871287125"/>
    <n v="5925.8666666666668"/>
    <n v="4986.249584026622"/>
    <n v="4853.6465798045601"/>
    <n v="4816.2030075187968"/>
    <n v="4514.3287037037035"/>
    <n v="0"/>
    <n v="0"/>
    <n v="0"/>
    <n v="0"/>
    <n v="67448.793103448275"/>
    <n v="58140"/>
    <n v="51442.841584158414"/>
    <n v="53332.800000000003"/>
    <n v="44876.246256239596"/>
    <n v="43682.819218241042"/>
    <n v="43345.827067669168"/>
    <n v="40628.958333333328"/>
    <n v="0"/>
    <n v="0"/>
    <n v="0"/>
    <n v="0"/>
    <n v="45519.604609717477"/>
    <n v="43805.008347343355"/>
    <n v="3"/>
    <n v="3"/>
    <n v="11"/>
    <n v="11"/>
    <n v="65"/>
    <n v="66"/>
    <n v="41"/>
    <n v="44"/>
    <n v="0"/>
    <n v="0"/>
    <n v="0"/>
    <n v="0"/>
    <n v="120"/>
    <n v="124"/>
    <n v="202346.37931034481"/>
    <n v="174420"/>
    <n v="565871.25742574257"/>
    <n v="586660.80000000005"/>
    <n v="2916956.0066555738"/>
    <n v="2883066.068403909"/>
    <n v="1777178.9097744359"/>
    <n v="1787674.1666666665"/>
    <n v="0"/>
    <n v="0"/>
    <n v="0"/>
    <n v="0"/>
    <n v="5462352.553166097"/>
    <n v="5431821.0350705758"/>
  </r>
  <r>
    <x v="4"/>
    <s v="East Georgia College"/>
    <m/>
    <n v="139621"/>
    <x v="7"/>
    <n v="1"/>
    <n v="1"/>
    <m/>
    <m/>
    <n v="1"/>
    <m/>
    <m/>
    <m/>
    <n v="13"/>
    <n v="11"/>
    <m/>
    <m/>
    <n v="2"/>
    <m/>
    <m/>
    <m/>
    <n v="28"/>
    <n v="33"/>
    <m/>
    <m/>
    <m/>
    <m/>
    <m/>
    <m/>
    <n v="19"/>
    <n v="20"/>
    <m/>
    <m/>
    <m/>
    <m/>
    <m/>
    <m/>
    <n v="2"/>
    <m/>
    <m/>
    <m/>
    <m/>
    <m/>
    <m/>
    <m/>
    <m/>
    <m/>
    <m/>
    <m/>
    <m/>
    <m/>
    <m/>
    <m/>
    <n v="153728"/>
    <n v="63384"/>
    <n v="800935"/>
    <n v="568892"/>
    <n v="1161636"/>
    <n v="1411274"/>
    <n v="703342"/>
    <n v="755033"/>
    <n v="68000"/>
    <m/>
    <n v="0"/>
    <m/>
    <n v="20"/>
    <n v="9"/>
    <n v="139"/>
    <n v="99"/>
    <n v="252"/>
    <n v="297"/>
    <n v="171"/>
    <n v="180"/>
    <n v="18"/>
    <n v="0"/>
    <n v="0"/>
    <n v="0"/>
    <n v="7686.4"/>
    <n v="7042.666666666667"/>
    <n v="5762.1223021582737"/>
    <n v="5746.3838383838383"/>
    <n v="4609.666666666667"/>
    <n v="4751.7643097643095"/>
    <n v="4113.1111111111113"/>
    <n v="4194.6277777777777"/>
    <n v="3777.7777777777778"/>
    <n v="0"/>
    <n v="0"/>
    <n v="0"/>
    <n v="69177.599999999991"/>
    <n v="63384"/>
    <n v="51859.100719424459"/>
    <n v="51717.454545454544"/>
    <n v="41487"/>
    <n v="42765.878787878784"/>
    <n v="37018"/>
    <n v="37751.65"/>
    <n v="34000"/>
    <n v="0"/>
    <n v="0"/>
    <n v="0"/>
    <n v="43169.99561805102"/>
    <n v="43055.123076923075"/>
    <n v="2"/>
    <n v="1"/>
    <n v="15"/>
    <n v="11"/>
    <n v="28"/>
    <n v="33"/>
    <n v="19"/>
    <n v="20"/>
    <n v="2"/>
    <n v="0"/>
    <n v="0"/>
    <n v="0"/>
    <n v="66"/>
    <n v="65"/>
    <n v="138355.19999999998"/>
    <n v="63384"/>
    <n v="777886.51079136692"/>
    <n v="568892"/>
    <n v="1161636"/>
    <n v="1411274"/>
    <n v="703342"/>
    <n v="755033"/>
    <n v="68000"/>
    <n v="0"/>
    <n v="0"/>
    <n v="0"/>
    <n v="2849219.7107913671"/>
    <n v="2798583"/>
  </r>
  <r>
    <x v="4"/>
    <s v="Georgia Highlands College"/>
    <m/>
    <n v="139700"/>
    <x v="7"/>
    <n v="15"/>
    <n v="15"/>
    <m/>
    <m/>
    <m/>
    <m/>
    <m/>
    <m/>
    <n v="30"/>
    <n v="34"/>
    <m/>
    <m/>
    <m/>
    <m/>
    <m/>
    <m/>
    <n v="36"/>
    <n v="42"/>
    <m/>
    <m/>
    <m/>
    <m/>
    <m/>
    <m/>
    <n v="33"/>
    <n v="20"/>
    <m/>
    <m/>
    <n v="2"/>
    <n v="2"/>
    <m/>
    <m/>
    <n v="18"/>
    <n v="21"/>
    <m/>
    <m/>
    <m/>
    <m/>
    <m/>
    <m/>
    <m/>
    <m/>
    <m/>
    <m/>
    <m/>
    <m/>
    <m/>
    <m/>
    <n v="915525"/>
    <n v="917847"/>
    <n v="1446060"/>
    <n v="1647645"/>
    <n v="1506348"/>
    <n v="1720093"/>
    <n v="1429894"/>
    <n v="895790"/>
    <n v="725310"/>
    <n v="851320"/>
    <n v="0"/>
    <m/>
    <n v="135"/>
    <n v="135"/>
    <n v="270"/>
    <n v="306"/>
    <n v="324"/>
    <n v="378"/>
    <n v="319"/>
    <n v="202"/>
    <n v="162"/>
    <n v="189"/>
    <n v="0"/>
    <n v="0"/>
    <n v="6781.666666666667"/>
    <n v="6798.8666666666668"/>
    <n v="5355.7777777777774"/>
    <n v="5384.4607843137255"/>
    <n v="4649.2222222222226"/>
    <n v="4550.5105820105819"/>
    <n v="4482.4263322884017"/>
    <n v="4434.6039603960398"/>
    <n v="4477.2222222222226"/>
    <n v="4504.338624338624"/>
    <n v="0"/>
    <n v="0"/>
    <n v="61035"/>
    <n v="61189.8"/>
    <n v="48202"/>
    <n v="48460.147058823532"/>
    <n v="41843"/>
    <n v="40954.595238095237"/>
    <n v="40341.836990595613"/>
    <n v="39911.435643564357"/>
    <n v="40295"/>
    <n v="40539.047619047618"/>
    <n v="0"/>
    <n v="0"/>
    <n v="44814.979810976467"/>
    <n v="44887.735702674749"/>
    <n v="15"/>
    <n v="15"/>
    <n v="30"/>
    <n v="34"/>
    <n v="36"/>
    <n v="42"/>
    <n v="35"/>
    <n v="22"/>
    <n v="18"/>
    <n v="21"/>
    <n v="0"/>
    <n v="0"/>
    <n v="134"/>
    <n v="134"/>
    <n v="915525"/>
    <n v="917847"/>
    <n v="1446060"/>
    <n v="1647645"/>
    <n v="1506348"/>
    <n v="1720093"/>
    <n v="1411964.2946708465"/>
    <n v="878051.58415841591"/>
    <n v="725310"/>
    <n v="851320"/>
    <n v="0"/>
    <n v="0"/>
    <n v="6005207.2946708463"/>
    <n v="6014956.5841584159"/>
  </r>
  <r>
    <x v="4"/>
    <s v="Middle Georgia College "/>
    <s v="Met the criteria for Two-Year with Bachelor's in 2011-12 and 2012-13. "/>
    <n v="140483"/>
    <x v="7"/>
    <n v="11"/>
    <n v="12"/>
    <m/>
    <m/>
    <m/>
    <m/>
    <m/>
    <m/>
    <n v="29"/>
    <n v="29"/>
    <m/>
    <m/>
    <m/>
    <n v="1"/>
    <m/>
    <m/>
    <n v="35"/>
    <n v="34"/>
    <m/>
    <m/>
    <n v="2"/>
    <m/>
    <m/>
    <m/>
    <n v="22"/>
    <n v="17"/>
    <m/>
    <m/>
    <n v="1"/>
    <n v="2"/>
    <m/>
    <m/>
    <m/>
    <n v="1"/>
    <m/>
    <m/>
    <m/>
    <m/>
    <m/>
    <m/>
    <m/>
    <m/>
    <m/>
    <m/>
    <m/>
    <m/>
    <m/>
    <m/>
    <n v="656920"/>
    <n v="700655"/>
    <n v="1429120"/>
    <n v="1478700"/>
    <n v="1682163"/>
    <n v="1502731"/>
    <n v="1038978"/>
    <n v="866861"/>
    <n v="0"/>
    <n v="40800"/>
    <n v="0"/>
    <m/>
    <n v="99"/>
    <n v="108"/>
    <n v="261"/>
    <n v="272"/>
    <n v="337"/>
    <n v="306"/>
    <n v="209"/>
    <n v="175"/>
    <n v="0"/>
    <n v="9"/>
    <n v="0"/>
    <n v="0"/>
    <n v="6635.5555555555557"/>
    <n v="6487.5462962962965"/>
    <n v="5475.5555555555557"/>
    <n v="5436.3970588235297"/>
    <n v="4991.5816023738871"/>
    <n v="4910.8856209150326"/>
    <n v="4971.1866028708137"/>
    <n v="4953.4914285714285"/>
    <n v="0"/>
    <n v="4533.333333333333"/>
    <n v="0"/>
    <n v="0"/>
    <n v="59720"/>
    <n v="58387.916666666672"/>
    <n v="49280"/>
    <n v="48927.573529411769"/>
    <n v="44924.234421364985"/>
    <n v="44197.970588235294"/>
    <n v="44740.679425837327"/>
    <n v="44581.422857142854"/>
    <n v="0"/>
    <n v="40800"/>
    <n v="0"/>
    <n v="0"/>
    <n v="47772.723003847626"/>
    <n v="47490.210835084028"/>
    <n v="11"/>
    <n v="12"/>
    <n v="29"/>
    <n v="30"/>
    <n v="37"/>
    <n v="34"/>
    <n v="23"/>
    <n v="19"/>
    <n v="0"/>
    <n v="1"/>
    <n v="0"/>
    <n v="0"/>
    <n v="100"/>
    <n v="96"/>
    <n v="656920"/>
    <n v="700655"/>
    <n v="1429120"/>
    <n v="1467827.205882353"/>
    <n v="1662196.6735905043"/>
    <n v="1502731"/>
    <n v="1029035.6267942585"/>
    <n v="847047.03428571427"/>
    <n v="0"/>
    <n v="40800"/>
    <n v="0"/>
    <n v="0"/>
    <n v="4777272.3003847627"/>
    <n v="4559060.2401680667"/>
  </r>
  <r>
    <x v="4"/>
    <s v="South Georgia College "/>
    <m/>
    <n v="140997"/>
    <x v="8"/>
    <n v="2"/>
    <n v="2"/>
    <m/>
    <m/>
    <m/>
    <m/>
    <m/>
    <m/>
    <n v="8"/>
    <n v="12"/>
    <m/>
    <m/>
    <m/>
    <m/>
    <m/>
    <m/>
    <n v="14"/>
    <n v="11"/>
    <m/>
    <m/>
    <m/>
    <m/>
    <m/>
    <m/>
    <n v="10"/>
    <n v="9"/>
    <m/>
    <m/>
    <m/>
    <m/>
    <m/>
    <m/>
    <n v="8"/>
    <n v="5"/>
    <m/>
    <m/>
    <m/>
    <m/>
    <m/>
    <m/>
    <m/>
    <m/>
    <m/>
    <m/>
    <m/>
    <m/>
    <m/>
    <m/>
    <n v="108546"/>
    <n v="97415"/>
    <n v="380000"/>
    <n v="551457"/>
    <n v="603316"/>
    <n v="488960"/>
    <n v="369760"/>
    <n v="331755"/>
    <n v="318400"/>
    <n v="179000"/>
    <n v="0"/>
    <m/>
    <n v="18"/>
    <n v="18"/>
    <n v="72"/>
    <n v="108"/>
    <n v="126"/>
    <n v="99"/>
    <n v="90"/>
    <n v="81"/>
    <n v="72"/>
    <n v="45"/>
    <n v="0"/>
    <n v="0"/>
    <n v="6030.333333333333"/>
    <n v="5411.9444444444443"/>
    <n v="5277.7777777777774"/>
    <n v="5106.083333333333"/>
    <n v="4788.2222222222226"/>
    <n v="4938.9898989898993"/>
    <n v="4108.4444444444443"/>
    <n v="4095.7407407407409"/>
    <n v="4422.2222222222226"/>
    <n v="3977.7777777777778"/>
    <n v="0"/>
    <n v="0"/>
    <n v="54273"/>
    <n v="48707.5"/>
    <n v="47500"/>
    <n v="45954.75"/>
    <n v="43094"/>
    <n v="44450.909090909096"/>
    <n v="36976"/>
    <n v="36861.666666666672"/>
    <n v="39800"/>
    <n v="35800"/>
    <n v="0"/>
    <n v="0"/>
    <n v="42381.476190476191"/>
    <n v="42271.461538461539"/>
    <n v="2"/>
    <n v="2"/>
    <n v="8"/>
    <n v="12"/>
    <n v="14"/>
    <n v="11"/>
    <n v="10"/>
    <n v="9"/>
    <n v="8"/>
    <n v="5"/>
    <n v="0"/>
    <n v="0"/>
    <n v="42"/>
    <n v="39"/>
    <n v="108546"/>
    <n v="97415"/>
    <n v="380000"/>
    <n v="551457"/>
    <n v="603316"/>
    <n v="488960.00000000006"/>
    <n v="369760"/>
    <n v="331755.00000000006"/>
    <n v="318400"/>
    <n v="179000"/>
    <n v="0"/>
    <n v="0"/>
    <n v="1780022"/>
    <n v="1648587"/>
  </r>
  <r>
    <x v="4"/>
    <s v="Waycross College "/>
    <m/>
    <n v="141307"/>
    <x v="8"/>
    <n v="2"/>
    <n v="2"/>
    <m/>
    <m/>
    <m/>
    <m/>
    <m/>
    <m/>
    <n v="4"/>
    <n v="7"/>
    <m/>
    <m/>
    <m/>
    <m/>
    <m/>
    <m/>
    <n v="7"/>
    <n v="5"/>
    <m/>
    <m/>
    <m/>
    <m/>
    <m/>
    <m/>
    <n v="9"/>
    <n v="8"/>
    <m/>
    <m/>
    <m/>
    <m/>
    <m/>
    <m/>
    <m/>
    <m/>
    <m/>
    <m/>
    <m/>
    <m/>
    <m/>
    <m/>
    <m/>
    <m/>
    <m/>
    <m/>
    <m/>
    <m/>
    <m/>
    <m/>
    <n v="122658"/>
    <n v="122657"/>
    <n v="200900"/>
    <n v="351575"/>
    <n v="290318"/>
    <n v="215465"/>
    <n v="343827"/>
    <n v="298830"/>
    <n v="0"/>
    <m/>
    <n v="0"/>
    <m/>
    <n v="18"/>
    <n v="18"/>
    <n v="36"/>
    <n v="63"/>
    <n v="63"/>
    <n v="45"/>
    <n v="81"/>
    <n v="72"/>
    <n v="0"/>
    <n v="0"/>
    <n v="0"/>
    <n v="0"/>
    <n v="6814.333333333333"/>
    <n v="6814.2777777777774"/>
    <n v="5580.5555555555557"/>
    <n v="5580.5555555555557"/>
    <n v="4608.2222222222226"/>
    <n v="4788.1111111111113"/>
    <n v="4244.7777777777774"/>
    <n v="4150.416666666667"/>
    <n v="0"/>
    <n v="0"/>
    <n v="0"/>
    <n v="0"/>
    <n v="61329"/>
    <n v="61328.5"/>
    <n v="50225"/>
    <n v="50225"/>
    <n v="41474"/>
    <n v="43093"/>
    <n v="38203"/>
    <n v="37353.75"/>
    <n v="0"/>
    <n v="0"/>
    <n v="0"/>
    <n v="0"/>
    <n v="43531.954545454544"/>
    <n v="44933.045454545456"/>
    <n v="2"/>
    <n v="2"/>
    <n v="4"/>
    <n v="7"/>
    <n v="7"/>
    <n v="5"/>
    <n v="9"/>
    <n v="8"/>
    <n v="0"/>
    <n v="0"/>
    <n v="0"/>
    <n v="0"/>
    <n v="22"/>
    <n v="22"/>
    <n v="122658"/>
    <n v="122657"/>
    <n v="200900"/>
    <n v="351575"/>
    <n v="290318"/>
    <n v="215465"/>
    <n v="343827"/>
    <n v="298830"/>
    <n v="0"/>
    <n v="0"/>
    <n v="0"/>
    <n v="0"/>
    <n v="957703"/>
    <n v="988527"/>
  </r>
  <r>
    <x v="4"/>
    <s v="Albany Technical College"/>
    <m/>
    <n v="138682"/>
    <x v="9"/>
    <m/>
    <m/>
    <m/>
    <m/>
    <m/>
    <m/>
    <m/>
    <m/>
    <m/>
    <m/>
    <m/>
    <m/>
    <m/>
    <m/>
    <m/>
    <m/>
    <m/>
    <m/>
    <m/>
    <m/>
    <m/>
    <m/>
    <m/>
    <m/>
    <m/>
    <m/>
    <m/>
    <m/>
    <m/>
    <m/>
    <m/>
    <m/>
    <m/>
    <m/>
    <m/>
    <m/>
    <m/>
    <m/>
    <m/>
    <m/>
    <m/>
    <m/>
    <m/>
    <m/>
    <n v="87"/>
    <m/>
    <m/>
    <n v="84"/>
    <n v="0"/>
    <m/>
    <n v="0"/>
    <m/>
    <n v="0"/>
    <m/>
    <n v="0"/>
    <m/>
    <n v="0"/>
    <m/>
    <n v="4491462"/>
    <n v="4467120"/>
    <n v="0"/>
    <n v="0"/>
    <n v="0"/>
    <n v="0"/>
    <n v="0"/>
    <n v="0"/>
    <n v="0"/>
    <n v="0"/>
    <n v="0"/>
    <n v="0"/>
    <n v="957"/>
    <n v="1008"/>
    <n v="0"/>
    <n v="0"/>
    <n v="0"/>
    <n v="0"/>
    <n v="0"/>
    <n v="0"/>
    <n v="0"/>
    <n v="0"/>
    <n v="0"/>
    <n v="0"/>
    <n v="4693.272727272727"/>
    <n v="4431.666666666667"/>
    <n v="0"/>
    <n v="0"/>
    <n v="0"/>
    <n v="0"/>
    <n v="0"/>
    <n v="0"/>
    <n v="0"/>
    <n v="0"/>
    <n v="0"/>
    <n v="0"/>
    <n v="42239.454545454544"/>
    <n v="39885"/>
    <n v="42239.454545454544"/>
    <n v="39885"/>
    <n v="0"/>
    <n v="0"/>
    <n v="0"/>
    <n v="0"/>
    <n v="0"/>
    <n v="0"/>
    <n v="0"/>
    <n v="0"/>
    <n v="0"/>
    <n v="0"/>
    <n v="87"/>
    <n v="84"/>
    <n v="87"/>
    <n v="84"/>
    <n v="0"/>
    <n v="0"/>
    <n v="0"/>
    <n v="0"/>
    <n v="0"/>
    <n v="0"/>
    <n v="0"/>
    <n v="0"/>
    <n v="0"/>
    <n v="0"/>
    <n v="3674832.5454545454"/>
    <n v="3350340"/>
    <n v="3674832.5454545454"/>
    <n v="3350340"/>
  </r>
  <r>
    <x v="4"/>
    <s v="Altamaha Technical College"/>
    <m/>
    <n v="366447"/>
    <x v="9"/>
    <m/>
    <m/>
    <m/>
    <m/>
    <m/>
    <m/>
    <m/>
    <m/>
    <m/>
    <m/>
    <m/>
    <m/>
    <m/>
    <m/>
    <m/>
    <m/>
    <m/>
    <m/>
    <m/>
    <m/>
    <m/>
    <m/>
    <m/>
    <m/>
    <m/>
    <m/>
    <m/>
    <m/>
    <m/>
    <m/>
    <m/>
    <m/>
    <m/>
    <m/>
    <m/>
    <m/>
    <m/>
    <m/>
    <m/>
    <m/>
    <m/>
    <m/>
    <m/>
    <m/>
    <n v="48"/>
    <m/>
    <m/>
    <n v="50"/>
    <n v="0"/>
    <m/>
    <n v="0"/>
    <m/>
    <n v="0"/>
    <m/>
    <n v="0"/>
    <m/>
    <n v="0"/>
    <m/>
    <n v="2323584"/>
    <n v="2430452"/>
    <n v="0"/>
    <n v="0"/>
    <n v="0"/>
    <n v="0"/>
    <n v="0"/>
    <n v="0"/>
    <n v="0"/>
    <n v="0"/>
    <n v="0"/>
    <n v="0"/>
    <n v="528"/>
    <n v="600"/>
    <n v="0"/>
    <n v="0"/>
    <n v="0"/>
    <n v="0"/>
    <n v="0"/>
    <n v="0"/>
    <n v="0"/>
    <n v="0"/>
    <n v="0"/>
    <n v="0"/>
    <n v="4400.727272727273"/>
    <n v="4050.7533333333336"/>
    <n v="0"/>
    <n v="0"/>
    <n v="0"/>
    <n v="0"/>
    <n v="0"/>
    <n v="0"/>
    <n v="0"/>
    <n v="0"/>
    <n v="0"/>
    <n v="0"/>
    <n v="39606.545454545456"/>
    <n v="36456.78"/>
    <n v="39606.545454545456"/>
    <n v="36456.78"/>
    <n v="0"/>
    <n v="0"/>
    <n v="0"/>
    <n v="0"/>
    <n v="0"/>
    <n v="0"/>
    <n v="0"/>
    <n v="0"/>
    <n v="0"/>
    <n v="0"/>
    <n v="48"/>
    <n v="50"/>
    <n v="48"/>
    <n v="50"/>
    <n v="0"/>
    <n v="0"/>
    <n v="0"/>
    <n v="0"/>
    <n v="0"/>
    <n v="0"/>
    <n v="0"/>
    <n v="0"/>
    <n v="0"/>
    <n v="0"/>
    <n v="1901114.1818181819"/>
    <n v="1822839"/>
    <n v="1901114.1818181819"/>
    <n v="1822839"/>
  </r>
  <r>
    <x v="4"/>
    <s v="Athens Technical College"/>
    <m/>
    <n v="246813"/>
    <x v="9"/>
    <m/>
    <m/>
    <m/>
    <m/>
    <m/>
    <m/>
    <m/>
    <m/>
    <m/>
    <m/>
    <m/>
    <m/>
    <m/>
    <m/>
    <m/>
    <m/>
    <m/>
    <m/>
    <m/>
    <m/>
    <m/>
    <m/>
    <m/>
    <m/>
    <m/>
    <m/>
    <m/>
    <m/>
    <m/>
    <m/>
    <m/>
    <m/>
    <m/>
    <m/>
    <m/>
    <m/>
    <m/>
    <m/>
    <m/>
    <m/>
    <n v="14"/>
    <n v="11"/>
    <m/>
    <m/>
    <n v="84"/>
    <m/>
    <m/>
    <n v="88"/>
    <n v="0"/>
    <m/>
    <n v="0"/>
    <m/>
    <n v="0"/>
    <m/>
    <n v="0"/>
    <m/>
    <n v="0"/>
    <m/>
    <n v="6030248"/>
    <n v="5933158"/>
    <n v="0"/>
    <n v="0"/>
    <n v="0"/>
    <n v="0"/>
    <n v="0"/>
    <n v="0"/>
    <n v="0"/>
    <n v="0"/>
    <n v="0"/>
    <n v="0"/>
    <n v="1050"/>
    <n v="1155"/>
    <n v="0"/>
    <n v="0"/>
    <n v="0"/>
    <n v="0"/>
    <n v="0"/>
    <n v="0"/>
    <n v="0"/>
    <n v="0"/>
    <n v="0"/>
    <n v="0"/>
    <n v="5743.0933333333332"/>
    <n v="5136.9333333333334"/>
    <n v="0"/>
    <n v="0"/>
    <n v="0"/>
    <n v="0"/>
    <n v="0"/>
    <n v="0"/>
    <n v="0"/>
    <n v="0"/>
    <n v="0"/>
    <n v="0"/>
    <n v="51687.839999999997"/>
    <n v="46232.4"/>
    <n v="51687.839999999997"/>
    <n v="46232.400000000009"/>
    <n v="0"/>
    <n v="0"/>
    <n v="0"/>
    <n v="0"/>
    <n v="0"/>
    <n v="0"/>
    <n v="0"/>
    <n v="0"/>
    <n v="0"/>
    <n v="0"/>
    <n v="98"/>
    <n v="99"/>
    <n v="98"/>
    <n v="99"/>
    <n v="0"/>
    <n v="0"/>
    <n v="0"/>
    <n v="0"/>
    <n v="0"/>
    <n v="0"/>
    <n v="0"/>
    <n v="0"/>
    <n v="0"/>
    <n v="0"/>
    <n v="5065408.3199999994"/>
    <n v="4577007.6000000006"/>
    <n v="5065408.3199999994"/>
    <n v="4577007.6000000006"/>
  </r>
  <r>
    <x v="4"/>
    <s v="Atlanta Technical College"/>
    <m/>
    <n v="138840"/>
    <x v="9"/>
    <m/>
    <m/>
    <m/>
    <m/>
    <m/>
    <m/>
    <m/>
    <m/>
    <m/>
    <m/>
    <m/>
    <m/>
    <m/>
    <m/>
    <m/>
    <m/>
    <m/>
    <m/>
    <m/>
    <m/>
    <m/>
    <m/>
    <m/>
    <m/>
    <m/>
    <m/>
    <m/>
    <m/>
    <m/>
    <m/>
    <m/>
    <m/>
    <m/>
    <m/>
    <m/>
    <m/>
    <m/>
    <m/>
    <m/>
    <m/>
    <m/>
    <m/>
    <m/>
    <m/>
    <n v="95"/>
    <m/>
    <m/>
    <n v="110"/>
    <n v="0"/>
    <m/>
    <n v="0"/>
    <m/>
    <n v="0"/>
    <m/>
    <n v="0"/>
    <m/>
    <n v="0"/>
    <m/>
    <n v="5038800"/>
    <n v="5827718"/>
    <n v="0"/>
    <n v="0"/>
    <n v="0"/>
    <n v="0"/>
    <n v="0"/>
    <n v="0"/>
    <n v="0"/>
    <n v="0"/>
    <n v="0"/>
    <n v="0"/>
    <n v="1045"/>
    <n v="1320"/>
    <n v="0"/>
    <n v="0"/>
    <n v="0"/>
    <n v="0"/>
    <n v="0"/>
    <n v="0"/>
    <n v="0"/>
    <n v="0"/>
    <n v="0"/>
    <n v="0"/>
    <n v="4821.818181818182"/>
    <n v="4414.9378787878786"/>
    <n v="0"/>
    <n v="0"/>
    <n v="0"/>
    <n v="0"/>
    <n v="0"/>
    <n v="0"/>
    <n v="0"/>
    <n v="0"/>
    <n v="0"/>
    <n v="0"/>
    <n v="43396.36363636364"/>
    <n v="39734.44090909091"/>
    <n v="43396.36363636364"/>
    <n v="39734.44090909091"/>
    <n v="0"/>
    <n v="0"/>
    <n v="0"/>
    <n v="0"/>
    <n v="0"/>
    <n v="0"/>
    <n v="0"/>
    <n v="0"/>
    <n v="0"/>
    <n v="0"/>
    <n v="95"/>
    <n v="110"/>
    <n v="95"/>
    <n v="110"/>
    <n v="0"/>
    <n v="0"/>
    <n v="0"/>
    <n v="0"/>
    <n v="0"/>
    <n v="0"/>
    <n v="0"/>
    <n v="0"/>
    <n v="0"/>
    <n v="0"/>
    <n v="4122654.5454545459"/>
    <n v="4370788.5"/>
    <n v="4122654.5454545459"/>
    <n v="4370788.5"/>
  </r>
  <r>
    <x v="4"/>
    <s v="Augusta Technical College"/>
    <m/>
    <n v="138956"/>
    <x v="9"/>
    <m/>
    <m/>
    <m/>
    <m/>
    <m/>
    <m/>
    <m/>
    <m/>
    <m/>
    <m/>
    <m/>
    <m/>
    <m/>
    <m/>
    <m/>
    <m/>
    <m/>
    <m/>
    <m/>
    <m/>
    <m/>
    <m/>
    <m/>
    <m/>
    <m/>
    <m/>
    <m/>
    <m/>
    <m/>
    <m/>
    <m/>
    <m/>
    <m/>
    <m/>
    <m/>
    <m/>
    <m/>
    <m/>
    <m/>
    <m/>
    <n v="2"/>
    <m/>
    <m/>
    <n v="1"/>
    <n v="131"/>
    <n v="2"/>
    <m/>
    <n v="135"/>
    <n v="0"/>
    <m/>
    <n v="0"/>
    <m/>
    <n v="0"/>
    <m/>
    <n v="0"/>
    <m/>
    <n v="0"/>
    <m/>
    <n v="7642864"/>
    <n v="8046284"/>
    <n v="0"/>
    <n v="0"/>
    <n v="0"/>
    <n v="0"/>
    <n v="0"/>
    <n v="0"/>
    <n v="0"/>
    <n v="0"/>
    <n v="0"/>
    <n v="0"/>
    <n v="1459"/>
    <n v="1652"/>
    <n v="0"/>
    <n v="0"/>
    <n v="0"/>
    <n v="0"/>
    <n v="0"/>
    <n v="0"/>
    <n v="0"/>
    <n v="0"/>
    <n v="0"/>
    <n v="0"/>
    <n v="5238.4263193968472"/>
    <n v="4870.6319612590796"/>
    <n v="0"/>
    <n v="0"/>
    <n v="0"/>
    <n v="0"/>
    <n v="0"/>
    <n v="0"/>
    <n v="0"/>
    <n v="0"/>
    <n v="0"/>
    <n v="0"/>
    <n v="47145.836874571629"/>
    <n v="43835.687651331718"/>
    <n v="47145.836874571629"/>
    <n v="43835.687651331718"/>
    <n v="0"/>
    <n v="0"/>
    <n v="0"/>
    <n v="0"/>
    <n v="0"/>
    <n v="0"/>
    <n v="0"/>
    <n v="0"/>
    <n v="0"/>
    <n v="0"/>
    <n v="133"/>
    <n v="138"/>
    <n v="133"/>
    <n v="138"/>
    <n v="0"/>
    <n v="0"/>
    <n v="0"/>
    <n v="0"/>
    <n v="0"/>
    <n v="0"/>
    <n v="0"/>
    <n v="0"/>
    <n v="0"/>
    <n v="0"/>
    <n v="6270396.3043180266"/>
    <n v="6049324.8958837772"/>
    <n v="6270396.3043180266"/>
    <n v="6049324.8958837772"/>
  </r>
  <r>
    <x v="4"/>
    <s v="Central Georgia Technical College"/>
    <m/>
    <n v="140304"/>
    <x v="9"/>
    <m/>
    <m/>
    <m/>
    <m/>
    <m/>
    <m/>
    <m/>
    <m/>
    <m/>
    <m/>
    <m/>
    <m/>
    <m/>
    <m/>
    <m/>
    <m/>
    <m/>
    <m/>
    <m/>
    <m/>
    <m/>
    <m/>
    <m/>
    <m/>
    <m/>
    <m/>
    <m/>
    <m/>
    <m/>
    <m/>
    <m/>
    <m/>
    <m/>
    <m/>
    <m/>
    <m/>
    <m/>
    <m/>
    <m/>
    <m/>
    <n v="1"/>
    <m/>
    <m/>
    <m/>
    <n v="123"/>
    <n v="1"/>
    <m/>
    <n v="120"/>
    <n v="0"/>
    <m/>
    <n v="0"/>
    <m/>
    <n v="0"/>
    <m/>
    <n v="0"/>
    <m/>
    <n v="0"/>
    <m/>
    <n v="8686121"/>
    <n v="9108977"/>
    <n v="0"/>
    <n v="0"/>
    <n v="0"/>
    <n v="0"/>
    <n v="0"/>
    <n v="0"/>
    <n v="0"/>
    <n v="0"/>
    <n v="0"/>
    <n v="0"/>
    <n v="1362"/>
    <n v="1451"/>
    <n v="0"/>
    <n v="0"/>
    <n v="0"/>
    <n v="0"/>
    <n v="0"/>
    <n v="0"/>
    <n v="0"/>
    <n v="0"/>
    <n v="0"/>
    <n v="0"/>
    <n v="6377.4750367107199"/>
    <n v="6277.7236388697447"/>
    <n v="0"/>
    <n v="0"/>
    <n v="0"/>
    <n v="0"/>
    <n v="0"/>
    <n v="0"/>
    <n v="0"/>
    <n v="0"/>
    <n v="0"/>
    <n v="0"/>
    <n v="57397.275330396478"/>
    <n v="56499.5127498277"/>
    <n v="57397.275330396478"/>
    <n v="56499.5127498277"/>
    <n v="0"/>
    <n v="0"/>
    <n v="0"/>
    <n v="0"/>
    <n v="0"/>
    <n v="0"/>
    <n v="0"/>
    <n v="0"/>
    <n v="0"/>
    <n v="0"/>
    <n v="124"/>
    <n v="121"/>
    <n v="124"/>
    <n v="121"/>
    <n v="0"/>
    <n v="0"/>
    <n v="0"/>
    <n v="0"/>
    <n v="0"/>
    <n v="0"/>
    <n v="0"/>
    <n v="0"/>
    <n v="0"/>
    <n v="0"/>
    <n v="7117262.1409691637"/>
    <n v="6836441.0427291514"/>
    <n v="7117262.1409691637"/>
    <n v="6836441.0427291514"/>
  </r>
  <r>
    <x v="4"/>
    <s v="Chattahoochee Technical College"/>
    <m/>
    <n v="140331"/>
    <x v="9"/>
    <m/>
    <m/>
    <m/>
    <m/>
    <m/>
    <m/>
    <m/>
    <m/>
    <m/>
    <m/>
    <m/>
    <m/>
    <m/>
    <m/>
    <m/>
    <m/>
    <m/>
    <m/>
    <m/>
    <m/>
    <m/>
    <m/>
    <m/>
    <m/>
    <m/>
    <m/>
    <m/>
    <m/>
    <m/>
    <m/>
    <m/>
    <m/>
    <m/>
    <m/>
    <m/>
    <m/>
    <m/>
    <m/>
    <m/>
    <m/>
    <n v="1"/>
    <m/>
    <m/>
    <m/>
    <n v="185"/>
    <m/>
    <m/>
    <n v="172"/>
    <n v="0"/>
    <m/>
    <n v="0"/>
    <m/>
    <n v="0"/>
    <m/>
    <n v="0"/>
    <m/>
    <n v="0"/>
    <m/>
    <n v="10417043"/>
    <n v="9562693"/>
    <n v="0"/>
    <n v="0"/>
    <n v="0"/>
    <n v="0"/>
    <n v="0"/>
    <n v="0"/>
    <n v="0"/>
    <n v="0"/>
    <n v="0"/>
    <n v="0"/>
    <n v="2044"/>
    <n v="2064"/>
    <n v="0"/>
    <n v="0"/>
    <n v="0"/>
    <n v="0"/>
    <n v="0"/>
    <n v="0"/>
    <n v="0"/>
    <n v="0"/>
    <n v="0"/>
    <n v="0"/>
    <n v="5096.4006849315065"/>
    <n v="4633.0876937984494"/>
    <n v="0"/>
    <n v="0"/>
    <n v="0"/>
    <n v="0"/>
    <n v="0"/>
    <n v="0"/>
    <n v="0"/>
    <n v="0"/>
    <n v="0"/>
    <n v="0"/>
    <n v="45867.606164383556"/>
    <n v="41697.789244186046"/>
    <n v="45867.606164383549"/>
    <n v="41697.789244186046"/>
    <n v="0"/>
    <n v="0"/>
    <n v="0"/>
    <n v="0"/>
    <n v="0"/>
    <n v="0"/>
    <n v="0"/>
    <n v="0"/>
    <n v="0"/>
    <n v="0"/>
    <n v="186"/>
    <n v="172"/>
    <n v="186"/>
    <n v="172"/>
    <n v="0"/>
    <n v="0"/>
    <n v="0"/>
    <n v="0"/>
    <n v="0"/>
    <n v="0"/>
    <n v="0"/>
    <n v="0"/>
    <n v="0"/>
    <n v="0"/>
    <n v="8531374.7465753406"/>
    <n v="7172019.75"/>
    <n v="8531374.7465753406"/>
    <n v="7172019.75"/>
  </r>
  <r>
    <x v="4"/>
    <s v="Columbus Technical College"/>
    <m/>
    <n v="139357"/>
    <x v="9"/>
    <m/>
    <m/>
    <m/>
    <m/>
    <m/>
    <m/>
    <m/>
    <m/>
    <m/>
    <m/>
    <m/>
    <m/>
    <m/>
    <m/>
    <m/>
    <m/>
    <m/>
    <m/>
    <m/>
    <m/>
    <m/>
    <m/>
    <m/>
    <m/>
    <m/>
    <m/>
    <m/>
    <m/>
    <m/>
    <m/>
    <m/>
    <m/>
    <m/>
    <m/>
    <m/>
    <m/>
    <m/>
    <m/>
    <m/>
    <m/>
    <m/>
    <m/>
    <m/>
    <m/>
    <n v="70"/>
    <m/>
    <m/>
    <n v="75"/>
    <n v="0"/>
    <m/>
    <n v="0"/>
    <m/>
    <n v="0"/>
    <m/>
    <n v="0"/>
    <m/>
    <n v="0"/>
    <m/>
    <n v="3593030"/>
    <n v="3938352"/>
    <n v="0"/>
    <n v="0"/>
    <n v="0"/>
    <n v="0"/>
    <n v="0"/>
    <n v="0"/>
    <n v="0"/>
    <n v="0"/>
    <n v="0"/>
    <n v="0"/>
    <n v="770"/>
    <n v="900"/>
    <n v="0"/>
    <n v="0"/>
    <n v="0"/>
    <n v="0"/>
    <n v="0"/>
    <n v="0"/>
    <n v="0"/>
    <n v="0"/>
    <n v="0"/>
    <n v="0"/>
    <n v="4666.272727272727"/>
    <n v="4375.9466666666667"/>
    <n v="0"/>
    <n v="0"/>
    <n v="0"/>
    <n v="0"/>
    <n v="0"/>
    <n v="0"/>
    <n v="0"/>
    <n v="0"/>
    <n v="0"/>
    <n v="0"/>
    <n v="41996.454545454544"/>
    <n v="39383.520000000004"/>
    <n v="41996.454545454544"/>
    <n v="39383.520000000004"/>
    <n v="0"/>
    <n v="0"/>
    <n v="0"/>
    <n v="0"/>
    <n v="0"/>
    <n v="0"/>
    <n v="0"/>
    <n v="0"/>
    <n v="0"/>
    <n v="0"/>
    <n v="70"/>
    <n v="75"/>
    <n v="70"/>
    <n v="75"/>
    <n v="0"/>
    <n v="0"/>
    <n v="0"/>
    <n v="0"/>
    <n v="0"/>
    <n v="0"/>
    <n v="0"/>
    <n v="0"/>
    <n v="0"/>
    <n v="0"/>
    <n v="2939751.8181818179"/>
    <n v="2953764.0000000005"/>
    <n v="2939751.8181818179"/>
    <n v="2953764.0000000005"/>
  </r>
  <r>
    <x v="4"/>
    <s v="Georgia Northwestern Technical College"/>
    <m/>
    <n v="139384"/>
    <x v="9"/>
    <m/>
    <m/>
    <m/>
    <m/>
    <m/>
    <m/>
    <m/>
    <m/>
    <m/>
    <m/>
    <m/>
    <m/>
    <m/>
    <m/>
    <m/>
    <m/>
    <m/>
    <m/>
    <m/>
    <m/>
    <m/>
    <m/>
    <m/>
    <m/>
    <m/>
    <m/>
    <m/>
    <m/>
    <m/>
    <m/>
    <m/>
    <m/>
    <m/>
    <m/>
    <m/>
    <m/>
    <m/>
    <m/>
    <m/>
    <m/>
    <n v="7"/>
    <n v="6"/>
    <m/>
    <n v="3"/>
    <n v="118"/>
    <n v="4"/>
    <m/>
    <n v="112"/>
    <n v="0"/>
    <m/>
    <n v="0"/>
    <m/>
    <n v="0"/>
    <m/>
    <n v="0"/>
    <m/>
    <n v="0"/>
    <m/>
    <n v="6984554"/>
    <n v="6894465"/>
    <n v="0"/>
    <n v="0"/>
    <n v="0"/>
    <n v="0"/>
    <n v="0"/>
    <n v="0"/>
    <n v="0"/>
    <n v="0"/>
    <n v="0"/>
    <n v="0"/>
    <n v="1361"/>
    <n v="1472"/>
    <n v="0"/>
    <n v="0"/>
    <n v="0"/>
    <n v="0"/>
    <n v="0"/>
    <n v="0"/>
    <n v="0"/>
    <n v="0"/>
    <n v="0"/>
    <n v="0"/>
    <n v="5131.9279941219693"/>
    <n v="4683.739809782609"/>
    <n v="0"/>
    <n v="0"/>
    <n v="0"/>
    <n v="0"/>
    <n v="0"/>
    <n v="0"/>
    <n v="0"/>
    <n v="0"/>
    <n v="0"/>
    <n v="0"/>
    <n v="46187.351947097726"/>
    <n v="42153.65828804348"/>
    <n v="46187.351947097726"/>
    <n v="42153.65828804348"/>
    <n v="0"/>
    <n v="0"/>
    <n v="0"/>
    <n v="0"/>
    <n v="0"/>
    <n v="0"/>
    <n v="0"/>
    <n v="0"/>
    <n v="0"/>
    <n v="0"/>
    <n v="125"/>
    <n v="125"/>
    <n v="125"/>
    <n v="125"/>
    <n v="0"/>
    <n v="0"/>
    <n v="0"/>
    <n v="0"/>
    <n v="0"/>
    <n v="0"/>
    <n v="0"/>
    <n v="0"/>
    <n v="0"/>
    <n v="0"/>
    <n v="5773418.9933872158"/>
    <n v="5269207.2860054346"/>
    <n v="5773418.9933872158"/>
    <n v="5269207.2860054346"/>
  </r>
  <r>
    <x v="4"/>
    <s v="Georgia Piedmont Technical College"/>
    <m/>
    <n v="244446"/>
    <x v="9"/>
    <m/>
    <m/>
    <m/>
    <m/>
    <m/>
    <m/>
    <m/>
    <m/>
    <m/>
    <m/>
    <m/>
    <m/>
    <m/>
    <m/>
    <m/>
    <m/>
    <m/>
    <m/>
    <m/>
    <m/>
    <m/>
    <m/>
    <m/>
    <m/>
    <m/>
    <m/>
    <m/>
    <m/>
    <m/>
    <m/>
    <m/>
    <m/>
    <m/>
    <m/>
    <m/>
    <m/>
    <m/>
    <m/>
    <m/>
    <m/>
    <m/>
    <m/>
    <m/>
    <m/>
    <n v="84"/>
    <m/>
    <m/>
    <n v="8"/>
    <n v="0"/>
    <m/>
    <n v="0"/>
    <m/>
    <n v="0"/>
    <m/>
    <n v="0"/>
    <m/>
    <n v="0"/>
    <m/>
    <n v="4970868"/>
    <n v="1129140"/>
    <n v="0"/>
    <n v="0"/>
    <n v="0"/>
    <n v="0"/>
    <n v="0"/>
    <n v="0"/>
    <n v="0"/>
    <n v="0"/>
    <n v="0"/>
    <n v="0"/>
    <n v="924"/>
    <n v="96"/>
    <n v="0"/>
    <n v="0"/>
    <n v="0"/>
    <n v="0"/>
    <n v="0"/>
    <n v="0"/>
    <n v="0"/>
    <n v="0"/>
    <n v="0"/>
    <n v="0"/>
    <n v="5379.727272727273"/>
    <n v="11761.875"/>
    <n v="0"/>
    <n v="0"/>
    <n v="0"/>
    <n v="0"/>
    <n v="0"/>
    <n v="0"/>
    <n v="0"/>
    <n v="0"/>
    <n v="0"/>
    <n v="0"/>
    <n v="48417.545454545456"/>
    <n v="105856.875"/>
    <n v="48417.545454545456"/>
    <n v="105856.875"/>
    <n v="0"/>
    <n v="0"/>
    <n v="0"/>
    <n v="0"/>
    <n v="0"/>
    <n v="0"/>
    <n v="0"/>
    <n v="0"/>
    <n v="0"/>
    <n v="0"/>
    <n v="84"/>
    <n v="8"/>
    <n v="84"/>
    <n v="8"/>
    <n v="0"/>
    <n v="0"/>
    <n v="0"/>
    <n v="0"/>
    <n v="0"/>
    <n v="0"/>
    <n v="0"/>
    <n v="0"/>
    <n v="0"/>
    <n v="0"/>
    <n v="4067073.8181818184"/>
    <n v="846855"/>
    <n v="4067073.8181818184"/>
    <n v="846855"/>
  </r>
  <r>
    <x v="4"/>
    <s v="Gwinnett Technical College"/>
    <m/>
    <n v="140012"/>
    <x v="9"/>
    <m/>
    <m/>
    <m/>
    <m/>
    <m/>
    <m/>
    <m/>
    <m/>
    <m/>
    <m/>
    <m/>
    <m/>
    <m/>
    <m/>
    <m/>
    <m/>
    <m/>
    <m/>
    <m/>
    <m/>
    <m/>
    <m/>
    <m/>
    <m/>
    <m/>
    <m/>
    <m/>
    <m/>
    <m/>
    <m/>
    <m/>
    <m/>
    <m/>
    <m/>
    <m/>
    <m/>
    <m/>
    <m/>
    <m/>
    <m/>
    <m/>
    <m/>
    <m/>
    <m/>
    <n v="88"/>
    <m/>
    <m/>
    <n v="96"/>
    <n v="0"/>
    <m/>
    <n v="0"/>
    <m/>
    <n v="0"/>
    <m/>
    <n v="0"/>
    <m/>
    <n v="0"/>
    <m/>
    <n v="5739536"/>
    <n v="6217669"/>
    <n v="0"/>
    <n v="0"/>
    <n v="0"/>
    <n v="0"/>
    <n v="0"/>
    <n v="0"/>
    <n v="0"/>
    <n v="0"/>
    <n v="0"/>
    <n v="0"/>
    <n v="968"/>
    <n v="1152"/>
    <n v="0"/>
    <n v="0"/>
    <n v="0"/>
    <n v="0"/>
    <n v="0"/>
    <n v="0"/>
    <n v="0"/>
    <n v="0"/>
    <n v="0"/>
    <n v="0"/>
    <n v="5929.272727272727"/>
    <n v="5397.2821180555557"/>
    <n v="0"/>
    <n v="0"/>
    <n v="0"/>
    <n v="0"/>
    <n v="0"/>
    <n v="0"/>
    <n v="0"/>
    <n v="0"/>
    <n v="0"/>
    <n v="0"/>
    <n v="53363.454545454544"/>
    <n v="48575.5390625"/>
    <n v="53363.454545454544"/>
    <n v="48575.5390625"/>
    <n v="0"/>
    <n v="0"/>
    <n v="0"/>
    <n v="0"/>
    <n v="0"/>
    <n v="0"/>
    <n v="0"/>
    <n v="0"/>
    <n v="0"/>
    <n v="0"/>
    <n v="88"/>
    <n v="96"/>
    <n v="88"/>
    <n v="96"/>
    <n v="0"/>
    <n v="0"/>
    <n v="0"/>
    <n v="0"/>
    <n v="0"/>
    <n v="0"/>
    <n v="0"/>
    <n v="0"/>
    <n v="0"/>
    <n v="0"/>
    <n v="4695984"/>
    <n v="4663251.75"/>
    <n v="4695984"/>
    <n v="4663251.75"/>
  </r>
  <r>
    <x v="4"/>
    <s v="Lanier Technical College"/>
    <m/>
    <n v="140243"/>
    <x v="9"/>
    <m/>
    <m/>
    <m/>
    <m/>
    <m/>
    <m/>
    <m/>
    <m/>
    <m/>
    <m/>
    <m/>
    <m/>
    <m/>
    <m/>
    <m/>
    <m/>
    <m/>
    <m/>
    <m/>
    <m/>
    <m/>
    <m/>
    <m/>
    <m/>
    <m/>
    <m/>
    <m/>
    <m/>
    <m/>
    <m/>
    <m/>
    <m/>
    <m/>
    <m/>
    <m/>
    <m/>
    <m/>
    <m/>
    <m/>
    <m/>
    <n v="10"/>
    <n v="11"/>
    <m/>
    <n v="1"/>
    <n v="78"/>
    <n v="3"/>
    <m/>
    <n v="66"/>
    <n v="0"/>
    <m/>
    <n v="0"/>
    <m/>
    <n v="0"/>
    <m/>
    <n v="0"/>
    <m/>
    <n v="0"/>
    <m/>
    <n v="4660836"/>
    <n v="4259746"/>
    <n v="0"/>
    <n v="0"/>
    <n v="0"/>
    <n v="0"/>
    <n v="0"/>
    <n v="0"/>
    <n v="0"/>
    <n v="0"/>
    <n v="0"/>
    <n v="0"/>
    <n v="948"/>
    <n v="934"/>
    <n v="0"/>
    <n v="0"/>
    <n v="0"/>
    <n v="0"/>
    <n v="0"/>
    <n v="0"/>
    <n v="0"/>
    <n v="0"/>
    <n v="0"/>
    <n v="0"/>
    <n v="4916.493670886076"/>
    <n v="4560.7558886509632"/>
    <n v="0"/>
    <n v="0"/>
    <n v="0"/>
    <n v="0"/>
    <n v="0"/>
    <n v="0"/>
    <n v="0"/>
    <n v="0"/>
    <n v="0"/>
    <n v="0"/>
    <n v="44248.443037974685"/>
    <n v="41046.802997858671"/>
    <n v="44248.443037974685"/>
    <n v="41046.802997858671"/>
    <n v="0"/>
    <n v="0"/>
    <n v="0"/>
    <n v="0"/>
    <n v="0"/>
    <n v="0"/>
    <n v="0"/>
    <n v="0"/>
    <n v="0"/>
    <n v="0"/>
    <n v="88"/>
    <n v="81"/>
    <n v="88"/>
    <n v="81"/>
    <n v="0"/>
    <n v="0"/>
    <n v="0"/>
    <n v="0"/>
    <n v="0"/>
    <n v="0"/>
    <n v="0"/>
    <n v="0"/>
    <n v="0"/>
    <n v="0"/>
    <n v="3893862.9873417723"/>
    <n v="3324791.0428265524"/>
    <n v="3893862.9873417723"/>
    <n v="3324791.0428265524"/>
  </r>
  <r>
    <x v="4"/>
    <s v="Middle Georgia Technical College"/>
    <m/>
    <n v="140085"/>
    <x v="9"/>
    <m/>
    <m/>
    <m/>
    <m/>
    <m/>
    <m/>
    <m/>
    <m/>
    <m/>
    <m/>
    <m/>
    <m/>
    <m/>
    <m/>
    <m/>
    <m/>
    <m/>
    <m/>
    <m/>
    <m/>
    <m/>
    <m/>
    <m/>
    <m/>
    <m/>
    <m/>
    <m/>
    <m/>
    <m/>
    <m/>
    <m/>
    <m/>
    <m/>
    <m/>
    <m/>
    <m/>
    <m/>
    <m/>
    <m/>
    <m/>
    <m/>
    <m/>
    <m/>
    <m/>
    <n v="93"/>
    <m/>
    <m/>
    <n v="82"/>
    <n v="0"/>
    <m/>
    <n v="0"/>
    <m/>
    <n v="0"/>
    <m/>
    <n v="0"/>
    <m/>
    <n v="0"/>
    <m/>
    <n v="4561092"/>
    <n v="4242304"/>
    <n v="0"/>
    <n v="0"/>
    <n v="0"/>
    <n v="0"/>
    <n v="0"/>
    <n v="0"/>
    <n v="0"/>
    <n v="0"/>
    <n v="0"/>
    <n v="0"/>
    <n v="1023"/>
    <n v="984"/>
    <n v="0"/>
    <n v="0"/>
    <n v="0"/>
    <n v="0"/>
    <n v="0"/>
    <n v="0"/>
    <n v="0"/>
    <n v="0"/>
    <n v="0"/>
    <n v="0"/>
    <n v="4458.545454545455"/>
    <n v="4311.2845528455282"/>
    <n v="0"/>
    <n v="0"/>
    <n v="0"/>
    <n v="0"/>
    <n v="0"/>
    <n v="0"/>
    <n v="0"/>
    <n v="0"/>
    <n v="0"/>
    <n v="0"/>
    <n v="40126.909090909096"/>
    <n v="38801.560975609755"/>
    <n v="40126.909090909096"/>
    <n v="38801.560975609755"/>
    <n v="0"/>
    <n v="0"/>
    <n v="0"/>
    <n v="0"/>
    <n v="0"/>
    <n v="0"/>
    <n v="0"/>
    <n v="0"/>
    <n v="0"/>
    <n v="0"/>
    <n v="93"/>
    <n v="82"/>
    <n v="93"/>
    <n v="82"/>
    <n v="0"/>
    <n v="0"/>
    <n v="0"/>
    <n v="0"/>
    <n v="0"/>
    <n v="0"/>
    <n v="0"/>
    <n v="0"/>
    <n v="0"/>
    <n v="0"/>
    <n v="3731802.5454545459"/>
    <n v="3181728"/>
    <n v="3731802.5454545459"/>
    <n v="3181728"/>
  </r>
  <r>
    <x v="4"/>
    <s v="Moultrie Technical College"/>
    <m/>
    <n v="140599"/>
    <x v="9"/>
    <m/>
    <m/>
    <m/>
    <m/>
    <m/>
    <m/>
    <m/>
    <m/>
    <m/>
    <m/>
    <m/>
    <m/>
    <m/>
    <m/>
    <m/>
    <m/>
    <m/>
    <m/>
    <m/>
    <m/>
    <m/>
    <m/>
    <m/>
    <m/>
    <m/>
    <m/>
    <m/>
    <m/>
    <m/>
    <m/>
    <m/>
    <m/>
    <m/>
    <m/>
    <m/>
    <m/>
    <m/>
    <m/>
    <m/>
    <m/>
    <n v="1"/>
    <n v="1"/>
    <m/>
    <n v="3"/>
    <n v="60"/>
    <m/>
    <m/>
    <n v="55"/>
    <n v="0"/>
    <m/>
    <n v="0"/>
    <m/>
    <n v="0"/>
    <m/>
    <n v="0"/>
    <m/>
    <n v="0"/>
    <m/>
    <n v="3108684"/>
    <n v="2945088"/>
    <n v="0"/>
    <n v="0"/>
    <n v="0"/>
    <n v="0"/>
    <n v="0"/>
    <n v="0"/>
    <n v="0"/>
    <n v="0"/>
    <n v="0"/>
    <n v="0"/>
    <n v="669"/>
    <n v="699"/>
    <n v="0"/>
    <n v="0"/>
    <n v="0"/>
    <n v="0"/>
    <n v="0"/>
    <n v="0"/>
    <n v="0"/>
    <n v="0"/>
    <n v="0"/>
    <n v="0"/>
    <n v="4646.7623318385649"/>
    <n v="4213.2875536480688"/>
    <n v="0"/>
    <n v="0"/>
    <n v="0"/>
    <n v="0"/>
    <n v="0"/>
    <n v="0"/>
    <n v="0"/>
    <n v="0"/>
    <n v="0"/>
    <n v="0"/>
    <n v="41820.860986547086"/>
    <n v="37919.587982832621"/>
    <n v="41820.860986547086"/>
    <n v="37919.587982832621"/>
    <n v="0"/>
    <n v="0"/>
    <n v="0"/>
    <n v="0"/>
    <n v="0"/>
    <n v="0"/>
    <n v="0"/>
    <n v="0"/>
    <n v="0"/>
    <n v="0"/>
    <n v="61"/>
    <n v="59"/>
    <n v="61"/>
    <n v="59"/>
    <n v="0"/>
    <n v="0"/>
    <n v="0"/>
    <n v="0"/>
    <n v="0"/>
    <n v="0"/>
    <n v="0"/>
    <n v="0"/>
    <n v="0"/>
    <n v="0"/>
    <n v="2551072.5201793723"/>
    <n v="2237255.6909871246"/>
    <n v="2551072.5201793723"/>
    <n v="2237255.6909871246"/>
  </r>
  <r>
    <x v="4"/>
    <s v="North Georgia Technical College"/>
    <m/>
    <n v="140678"/>
    <x v="9"/>
    <m/>
    <m/>
    <m/>
    <m/>
    <m/>
    <m/>
    <m/>
    <m/>
    <m/>
    <m/>
    <m/>
    <m/>
    <m/>
    <m/>
    <m/>
    <m/>
    <m/>
    <m/>
    <m/>
    <m/>
    <m/>
    <m/>
    <m/>
    <m/>
    <m/>
    <m/>
    <m/>
    <m/>
    <m/>
    <m/>
    <m/>
    <m/>
    <m/>
    <m/>
    <m/>
    <m/>
    <m/>
    <m/>
    <m/>
    <m/>
    <m/>
    <m/>
    <m/>
    <m/>
    <n v="71"/>
    <m/>
    <m/>
    <n v="71"/>
    <n v="0"/>
    <m/>
    <n v="0"/>
    <m/>
    <n v="0"/>
    <m/>
    <n v="0"/>
    <m/>
    <n v="0"/>
    <m/>
    <n v="3455570"/>
    <n v="3491801"/>
    <n v="0"/>
    <n v="0"/>
    <n v="0"/>
    <n v="0"/>
    <n v="0"/>
    <n v="0"/>
    <n v="0"/>
    <n v="0"/>
    <n v="0"/>
    <n v="0"/>
    <n v="781"/>
    <n v="852"/>
    <n v="0"/>
    <n v="0"/>
    <n v="0"/>
    <n v="0"/>
    <n v="0"/>
    <n v="0"/>
    <n v="0"/>
    <n v="0"/>
    <n v="0"/>
    <n v="0"/>
    <n v="4424.545454545455"/>
    <n v="4098.3579812206572"/>
    <n v="0"/>
    <n v="0"/>
    <n v="0"/>
    <n v="0"/>
    <n v="0"/>
    <n v="0"/>
    <n v="0"/>
    <n v="0"/>
    <n v="0"/>
    <n v="0"/>
    <n v="39820.909090909096"/>
    <n v="36885.221830985916"/>
    <n v="39820.909090909096"/>
    <n v="36885.221830985916"/>
    <n v="0"/>
    <n v="0"/>
    <n v="0"/>
    <n v="0"/>
    <n v="0"/>
    <n v="0"/>
    <n v="0"/>
    <n v="0"/>
    <n v="0"/>
    <n v="0"/>
    <n v="71"/>
    <n v="71"/>
    <n v="71"/>
    <n v="71"/>
    <n v="0"/>
    <n v="0"/>
    <n v="0"/>
    <n v="0"/>
    <n v="0"/>
    <n v="0"/>
    <n v="0"/>
    <n v="0"/>
    <n v="0"/>
    <n v="0"/>
    <n v="2827284.5454545459"/>
    <n v="2618850.75"/>
    <n v="2827284.5454545459"/>
    <n v="2618850.75"/>
  </r>
  <r>
    <x v="4"/>
    <s v="Oconee Fall Line Technical College"/>
    <m/>
    <n v="420431"/>
    <x v="9"/>
    <m/>
    <m/>
    <m/>
    <m/>
    <m/>
    <m/>
    <m/>
    <m/>
    <m/>
    <m/>
    <m/>
    <m/>
    <m/>
    <m/>
    <m/>
    <m/>
    <m/>
    <m/>
    <m/>
    <m/>
    <m/>
    <m/>
    <m/>
    <m/>
    <m/>
    <m/>
    <m/>
    <m/>
    <m/>
    <m/>
    <m/>
    <m/>
    <m/>
    <m/>
    <m/>
    <m/>
    <m/>
    <m/>
    <m/>
    <m/>
    <m/>
    <m/>
    <m/>
    <m/>
    <n v="75"/>
    <m/>
    <m/>
    <n v="65"/>
    <n v="0"/>
    <m/>
    <n v="0"/>
    <m/>
    <n v="0"/>
    <m/>
    <n v="0"/>
    <m/>
    <n v="0"/>
    <m/>
    <n v="3668325"/>
    <n v="3374462"/>
    <n v="0"/>
    <n v="0"/>
    <n v="0"/>
    <n v="0"/>
    <n v="0"/>
    <n v="0"/>
    <n v="0"/>
    <n v="0"/>
    <n v="0"/>
    <n v="0"/>
    <n v="825"/>
    <n v="780"/>
    <n v="0"/>
    <n v="0"/>
    <n v="0"/>
    <n v="0"/>
    <n v="0"/>
    <n v="0"/>
    <n v="0"/>
    <n v="0"/>
    <n v="0"/>
    <n v="0"/>
    <n v="4446.454545454545"/>
    <n v="4326.2333333333336"/>
    <n v="0"/>
    <n v="0"/>
    <n v="0"/>
    <n v="0"/>
    <n v="0"/>
    <n v="0"/>
    <n v="0"/>
    <n v="0"/>
    <n v="0"/>
    <n v="0"/>
    <n v="40018.090909090904"/>
    <n v="38936.100000000006"/>
    <n v="40018.090909090904"/>
    <n v="38936.100000000006"/>
    <n v="0"/>
    <n v="0"/>
    <n v="0"/>
    <n v="0"/>
    <n v="0"/>
    <n v="0"/>
    <n v="0"/>
    <n v="0"/>
    <n v="0"/>
    <n v="0"/>
    <n v="75"/>
    <n v="65"/>
    <n v="75"/>
    <n v="65"/>
    <n v="0"/>
    <n v="0"/>
    <n v="0"/>
    <n v="0"/>
    <n v="0"/>
    <n v="0"/>
    <n v="0"/>
    <n v="0"/>
    <n v="0"/>
    <n v="0"/>
    <n v="3001356.8181818179"/>
    <n v="2530846.5000000005"/>
    <n v="3001356.8181818179"/>
    <n v="2530846.5000000005"/>
  </r>
  <r>
    <x v="4"/>
    <s v="Ogeechee Technical College"/>
    <m/>
    <n v="366465"/>
    <x v="9"/>
    <m/>
    <m/>
    <m/>
    <m/>
    <m/>
    <m/>
    <m/>
    <m/>
    <m/>
    <m/>
    <m/>
    <m/>
    <m/>
    <m/>
    <m/>
    <m/>
    <m/>
    <m/>
    <m/>
    <m/>
    <m/>
    <m/>
    <m/>
    <m/>
    <m/>
    <m/>
    <m/>
    <m/>
    <m/>
    <m/>
    <m/>
    <m/>
    <m/>
    <m/>
    <m/>
    <m/>
    <m/>
    <m/>
    <m/>
    <m/>
    <m/>
    <m/>
    <m/>
    <m/>
    <n v="68"/>
    <m/>
    <m/>
    <n v="66"/>
    <n v="0"/>
    <m/>
    <n v="0"/>
    <m/>
    <n v="0"/>
    <m/>
    <n v="0"/>
    <m/>
    <n v="0"/>
    <m/>
    <n v="3462084"/>
    <n v="3366312"/>
    <n v="0"/>
    <n v="0"/>
    <n v="0"/>
    <n v="0"/>
    <n v="0"/>
    <n v="0"/>
    <n v="0"/>
    <n v="0"/>
    <n v="0"/>
    <n v="0"/>
    <n v="748"/>
    <n v="792"/>
    <n v="0"/>
    <n v="0"/>
    <n v="0"/>
    <n v="0"/>
    <n v="0"/>
    <n v="0"/>
    <n v="0"/>
    <n v="0"/>
    <n v="0"/>
    <n v="0"/>
    <n v="4628.454545454545"/>
    <n v="4250.393939393939"/>
    <n v="0"/>
    <n v="0"/>
    <n v="0"/>
    <n v="0"/>
    <n v="0"/>
    <n v="0"/>
    <n v="0"/>
    <n v="0"/>
    <n v="0"/>
    <n v="0"/>
    <n v="41656.090909090904"/>
    <n v="38253.545454545449"/>
    <n v="41656.090909090904"/>
    <n v="38253.545454545449"/>
    <n v="0"/>
    <n v="0"/>
    <n v="0"/>
    <n v="0"/>
    <n v="0"/>
    <n v="0"/>
    <n v="0"/>
    <n v="0"/>
    <n v="0"/>
    <n v="0"/>
    <n v="68"/>
    <n v="66"/>
    <n v="68"/>
    <n v="66"/>
    <n v="0"/>
    <n v="0"/>
    <n v="0"/>
    <n v="0"/>
    <n v="0"/>
    <n v="0"/>
    <n v="0"/>
    <n v="0"/>
    <n v="0"/>
    <n v="0"/>
    <n v="2832614.1818181816"/>
    <n v="2524733.9999999995"/>
    <n v="2832614.1818181816"/>
    <n v="2524733.9999999995"/>
  </r>
  <r>
    <x v="4"/>
    <s v="Okefenokee Technical College"/>
    <m/>
    <n v="248776"/>
    <x v="9"/>
    <m/>
    <m/>
    <m/>
    <m/>
    <m/>
    <m/>
    <m/>
    <m/>
    <m/>
    <m/>
    <m/>
    <m/>
    <m/>
    <m/>
    <m/>
    <m/>
    <m/>
    <m/>
    <m/>
    <m/>
    <m/>
    <m/>
    <m/>
    <m/>
    <m/>
    <m/>
    <m/>
    <m/>
    <m/>
    <m/>
    <m/>
    <m/>
    <m/>
    <m/>
    <m/>
    <m/>
    <m/>
    <m/>
    <m/>
    <m/>
    <n v="1"/>
    <m/>
    <m/>
    <m/>
    <n v="44"/>
    <m/>
    <m/>
    <n v="47"/>
    <n v="0"/>
    <m/>
    <n v="0"/>
    <m/>
    <n v="0"/>
    <m/>
    <n v="0"/>
    <m/>
    <n v="0"/>
    <m/>
    <n v="2172936"/>
    <n v="2261343"/>
    <n v="0"/>
    <n v="0"/>
    <n v="0"/>
    <n v="0"/>
    <n v="0"/>
    <n v="0"/>
    <n v="0"/>
    <n v="0"/>
    <n v="0"/>
    <n v="0"/>
    <n v="493"/>
    <n v="564"/>
    <n v="0"/>
    <n v="0"/>
    <n v="0"/>
    <n v="0"/>
    <n v="0"/>
    <n v="0"/>
    <n v="0"/>
    <n v="0"/>
    <n v="0"/>
    <n v="0"/>
    <n v="4407.5780933062879"/>
    <n v="4009.4734042553191"/>
    <n v="0"/>
    <n v="0"/>
    <n v="0"/>
    <n v="0"/>
    <n v="0"/>
    <n v="0"/>
    <n v="0"/>
    <n v="0"/>
    <n v="0"/>
    <n v="0"/>
    <n v="39668.202839756588"/>
    <n v="36085.26063829787"/>
    <n v="39668.202839756588"/>
    <n v="36085.26063829787"/>
    <n v="0"/>
    <n v="0"/>
    <n v="0"/>
    <n v="0"/>
    <n v="0"/>
    <n v="0"/>
    <n v="0"/>
    <n v="0"/>
    <n v="0"/>
    <n v="0"/>
    <n v="45"/>
    <n v="47"/>
    <n v="45"/>
    <n v="47"/>
    <n v="0"/>
    <n v="0"/>
    <n v="0"/>
    <n v="0"/>
    <n v="0"/>
    <n v="0"/>
    <n v="0"/>
    <n v="0"/>
    <n v="0"/>
    <n v="0"/>
    <n v="1785069.1277890464"/>
    <n v="1696007.25"/>
    <n v="1785069.1277890464"/>
    <n v="1696007.25"/>
  </r>
  <r>
    <x v="4"/>
    <s v="Savannah Technical College"/>
    <m/>
    <n v="140942"/>
    <x v="9"/>
    <m/>
    <m/>
    <m/>
    <m/>
    <m/>
    <m/>
    <m/>
    <m/>
    <m/>
    <m/>
    <m/>
    <m/>
    <m/>
    <m/>
    <m/>
    <m/>
    <m/>
    <m/>
    <m/>
    <m/>
    <m/>
    <m/>
    <m/>
    <m/>
    <m/>
    <m/>
    <m/>
    <m/>
    <m/>
    <m/>
    <m/>
    <m/>
    <m/>
    <m/>
    <m/>
    <m/>
    <m/>
    <m/>
    <m/>
    <m/>
    <n v="1"/>
    <m/>
    <m/>
    <m/>
    <n v="89"/>
    <n v="4"/>
    <m/>
    <n v="83"/>
    <n v="0"/>
    <m/>
    <n v="0"/>
    <m/>
    <n v="0"/>
    <m/>
    <n v="0"/>
    <m/>
    <n v="0"/>
    <m/>
    <n v="4841065"/>
    <n v="4726015"/>
    <n v="0"/>
    <n v="0"/>
    <n v="0"/>
    <n v="0"/>
    <n v="0"/>
    <n v="0"/>
    <n v="0"/>
    <n v="0"/>
    <n v="0"/>
    <n v="0"/>
    <n v="988"/>
    <n v="1040"/>
    <n v="0"/>
    <n v="0"/>
    <n v="0"/>
    <n v="0"/>
    <n v="0"/>
    <n v="0"/>
    <n v="0"/>
    <n v="0"/>
    <n v="0"/>
    <n v="0"/>
    <n v="4899.8633603238868"/>
    <n v="4544.2451923076924"/>
    <n v="0"/>
    <n v="0"/>
    <n v="0"/>
    <n v="0"/>
    <n v="0"/>
    <n v="0"/>
    <n v="0"/>
    <n v="0"/>
    <n v="0"/>
    <n v="0"/>
    <n v="44098.770242914979"/>
    <n v="40898.206730769234"/>
    <n v="44098.770242914979"/>
    <n v="40898.206730769234"/>
    <n v="0"/>
    <n v="0"/>
    <n v="0"/>
    <n v="0"/>
    <n v="0"/>
    <n v="0"/>
    <n v="0"/>
    <n v="0"/>
    <n v="0"/>
    <n v="0"/>
    <n v="90"/>
    <n v="87"/>
    <n v="90"/>
    <n v="87"/>
    <n v="0"/>
    <n v="0"/>
    <n v="0"/>
    <n v="0"/>
    <n v="0"/>
    <n v="0"/>
    <n v="0"/>
    <n v="0"/>
    <n v="0"/>
    <n v="0"/>
    <n v="3968889.3218623484"/>
    <n v="3558143.9855769235"/>
    <n v="3968889.3218623484"/>
    <n v="3558143.9855769235"/>
  </r>
  <r>
    <x v="4"/>
    <s v="South Georgia Technical College"/>
    <m/>
    <n v="141006"/>
    <x v="9"/>
    <m/>
    <m/>
    <m/>
    <m/>
    <m/>
    <m/>
    <m/>
    <m/>
    <m/>
    <m/>
    <m/>
    <m/>
    <m/>
    <m/>
    <m/>
    <m/>
    <m/>
    <m/>
    <m/>
    <m/>
    <m/>
    <m/>
    <m/>
    <m/>
    <m/>
    <m/>
    <m/>
    <m/>
    <m/>
    <m/>
    <m/>
    <m/>
    <m/>
    <m/>
    <m/>
    <m/>
    <m/>
    <m/>
    <m/>
    <m/>
    <m/>
    <m/>
    <m/>
    <m/>
    <n v="63"/>
    <m/>
    <m/>
    <n v="54"/>
    <n v="0"/>
    <m/>
    <n v="0"/>
    <m/>
    <n v="0"/>
    <m/>
    <n v="0"/>
    <m/>
    <n v="0"/>
    <m/>
    <n v="3349395"/>
    <n v="2747241"/>
    <n v="0"/>
    <n v="0"/>
    <n v="0"/>
    <n v="0"/>
    <n v="0"/>
    <n v="0"/>
    <n v="0"/>
    <n v="0"/>
    <n v="0"/>
    <n v="0"/>
    <n v="693"/>
    <n v="648"/>
    <n v="0"/>
    <n v="0"/>
    <n v="0"/>
    <n v="0"/>
    <n v="0"/>
    <n v="0"/>
    <n v="0"/>
    <n v="0"/>
    <n v="0"/>
    <n v="0"/>
    <n v="4833.181818181818"/>
    <n v="4239.5694444444443"/>
    <n v="0"/>
    <n v="0"/>
    <n v="0"/>
    <n v="0"/>
    <n v="0"/>
    <n v="0"/>
    <n v="0"/>
    <n v="0"/>
    <n v="0"/>
    <n v="0"/>
    <n v="43498.63636363636"/>
    <n v="38156.125"/>
    <n v="43498.63636363636"/>
    <n v="38156.125"/>
    <n v="0"/>
    <n v="0"/>
    <n v="0"/>
    <n v="0"/>
    <n v="0"/>
    <n v="0"/>
    <n v="0"/>
    <n v="0"/>
    <n v="0"/>
    <n v="0"/>
    <n v="63"/>
    <n v="54"/>
    <n v="63"/>
    <n v="54"/>
    <n v="0"/>
    <n v="0"/>
    <n v="0"/>
    <n v="0"/>
    <n v="0"/>
    <n v="0"/>
    <n v="0"/>
    <n v="0"/>
    <n v="0"/>
    <n v="0"/>
    <n v="2740414.0909090908"/>
    <n v="2060430.75"/>
    <n v="2740414.0909090908"/>
    <n v="2060430.75"/>
  </r>
  <r>
    <x v="4"/>
    <s v="Southeastern Technical College"/>
    <m/>
    <n v="368911"/>
    <x v="9"/>
    <m/>
    <m/>
    <m/>
    <m/>
    <m/>
    <m/>
    <m/>
    <m/>
    <m/>
    <m/>
    <m/>
    <m/>
    <m/>
    <m/>
    <m/>
    <m/>
    <m/>
    <m/>
    <m/>
    <m/>
    <m/>
    <m/>
    <m/>
    <m/>
    <m/>
    <m/>
    <m/>
    <m/>
    <m/>
    <m/>
    <m/>
    <m/>
    <m/>
    <m/>
    <m/>
    <m/>
    <m/>
    <m/>
    <m/>
    <m/>
    <m/>
    <m/>
    <m/>
    <m/>
    <n v="70"/>
    <m/>
    <m/>
    <n v="68"/>
    <n v="0"/>
    <m/>
    <n v="0"/>
    <m/>
    <n v="0"/>
    <m/>
    <n v="0"/>
    <m/>
    <n v="0"/>
    <m/>
    <n v="3591420"/>
    <n v="3513519"/>
    <n v="0"/>
    <n v="0"/>
    <n v="0"/>
    <n v="0"/>
    <n v="0"/>
    <n v="0"/>
    <n v="0"/>
    <n v="0"/>
    <n v="0"/>
    <n v="0"/>
    <n v="770"/>
    <n v="816"/>
    <n v="0"/>
    <n v="0"/>
    <n v="0"/>
    <n v="0"/>
    <n v="0"/>
    <n v="0"/>
    <n v="0"/>
    <n v="0"/>
    <n v="0"/>
    <n v="0"/>
    <n v="4664.181818181818"/>
    <n v="4305.7830882352937"/>
    <n v="0"/>
    <n v="0"/>
    <n v="0"/>
    <n v="0"/>
    <n v="0"/>
    <n v="0"/>
    <n v="0"/>
    <n v="0"/>
    <n v="0"/>
    <n v="0"/>
    <n v="41977.63636363636"/>
    <n v="38752.047794117643"/>
    <n v="41977.63636363636"/>
    <n v="38752.047794117643"/>
    <n v="0"/>
    <n v="0"/>
    <n v="0"/>
    <n v="0"/>
    <n v="0"/>
    <n v="0"/>
    <n v="0"/>
    <n v="0"/>
    <n v="0"/>
    <n v="0"/>
    <n v="70"/>
    <n v="68"/>
    <n v="70"/>
    <n v="68"/>
    <n v="0"/>
    <n v="0"/>
    <n v="0"/>
    <n v="0"/>
    <n v="0"/>
    <n v="0"/>
    <n v="0"/>
    <n v="0"/>
    <n v="0"/>
    <n v="0"/>
    <n v="2938434.5454545454"/>
    <n v="2635139.2499999995"/>
    <n v="2938434.5454545454"/>
    <n v="2635139.2499999995"/>
  </r>
  <r>
    <x v="4"/>
    <s v="Southern Crescent Technical College"/>
    <m/>
    <n v="139986"/>
    <x v="9"/>
    <m/>
    <m/>
    <m/>
    <m/>
    <m/>
    <m/>
    <m/>
    <m/>
    <m/>
    <m/>
    <m/>
    <m/>
    <m/>
    <m/>
    <m/>
    <m/>
    <m/>
    <m/>
    <m/>
    <m/>
    <m/>
    <m/>
    <m/>
    <m/>
    <m/>
    <m/>
    <m/>
    <m/>
    <m/>
    <m/>
    <m/>
    <m/>
    <m/>
    <m/>
    <m/>
    <m/>
    <m/>
    <m/>
    <m/>
    <m/>
    <m/>
    <m/>
    <m/>
    <m/>
    <n v="107"/>
    <m/>
    <m/>
    <n v="106"/>
    <n v="0"/>
    <m/>
    <n v="0"/>
    <m/>
    <n v="0"/>
    <m/>
    <n v="0"/>
    <m/>
    <n v="0"/>
    <m/>
    <n v="5760880"/>
    <n v="5735927"/>
    <n v="0"/>
    <n v="0"/>
    <n v="0"/>
    <n v="0"/>
    <n v="0"/>
    <n v="0"/>
    <n v="0"/>
    <n v="0"/>
    <n v="0"/>
    <n v="0"/>
    <n v="1177"/>
    <n v="1272"/>
    <n v="0"/>
    <n v="0"/>
    <n v="0"/>
    <n v="0"/>
    <n v="0"/>
    <n v="0"/>
    <n v="0"/>
    <n v="0"/>
    <n v="0"/>
    <n v="0"/>
    <n v="4894.545454545455"/>
    <n v="4509.3765723270444"/>
    <n v="0"/>
    <n v="0"/>
    <n v="0"/>
    <n v="0"/>
    <n v="0"/>
    <n v="0"/>
    <n v="0"/>
    <n v="0"/>
    <n v="0"/>
    <n v="0"/>
    <n v="44050.909090909096"/>
    <n v="40584.389150943403"/>
    <n v="44050.909090909096"/>
    <n v="40584.389150943403"/>
    <n v="0"/>
    <n v="0"/>
    <n v="0"/>
    <n v="0"/>
    <n v="0"/>
    <n v="0"/>
    <n v="0"/>
    <n v="0"/>
    <n v="0"/>
    <n v="0"/>
    <n v="107"/>
    <n v="106"/>
    <n v="107"/>
    <n v="106"/>
    <n v="0"/>
    <n v="0"/>
    <n v="0"/>
    <n v="0"/>
    <n v="0"/>
    <n v="0"/>
    <n v="0"/>
    <n v="0"/>
    <n v="0"/>
    <n v="0"/>
    <n v="4713447.2727272734"/>
    <n v="4301945.2500000009"/>
    <n v="4713447.2727272734"/>
    <n v="4301945.2500000009"/>
  </r>
  <r>
    <x v="4"/>
    <s v="Southwest Georgia Technical College"/>
    <m/>
    <n v="141158"/>
    <x v="9"/>
    <m/>
    <m/>
    <m/>
    <m/>
    <m/>
    <m/>
    <m/>
    <m/>
    <m/>
    <m/>
    <m/>
    <m/>
    <m/>
    <m/>
    <m/>
    <m/>
    <m/>
    <m/>
    <m/>
    <m/>
    <m/>
    <m/>
    <m/>
    <m/>
    <m/>
    <m/>
    <m/>
    <m/>
    <m/>
    <m/>
    <m/>
    <m/>
    <m/>
    <m/>
    <m/>
    <m/>
    <m/>
    <m/>
    <m/>
    <m/>
    <n v="1"/>
    <m/>
    <m/>
    <n v="1"/>
    <n v="54"/>
    <m/>
    <m/>
    <n v="49"/>
    <n v="0"/>
    <m/>
    <n v="0"/>
    <m/>
    <n v="0"/>
    <m/>
    <n v="0"/>
    <m/>
    <n v="0"/>
    <m/>
    <n v="3067716"/>
    <n v="2808503"/>
    <n v="0"/>
    <n v="0"/>
    <n v="0"/>
    <n v="0"/>
    <n v="0"/>
    <n v="0"/>
    <n v="0"/>
    <n v="0"/>
    <n v="0"/>
    <n v="0"/>
    <n v="603"/>
    <n v="598"/>
    <n v="0"/>
    <n v="0"/>
    <n v="0"/>
    <n v="0"/>
    <n v="0"/>
    <n v="0"/>
    <n v="0"/>
    <n v="0"/>
    <n v="0"/>
    <n v="0"/>
    <n v="5087.4228855721394"/>
    <n v="4696.4933110367892"/>
    <n v="0"/>
    <n v="0"/>
    <n v="0"/>
    <n v="0"/>
    <n v="0"/>
    <n v="0"/>
    <n v="0"/>
    <n v="0"/>
    <n v="0"/>
    <n v="0"/>
    <n v="45786.805970149253"/>
    <n v="42268.439799331099"/>
    <n v="45786.805970149253"/>
    <n v="42268.439799331099"/>
    <n v="0"/>
    <n v="0"/>
    <n v="0"/>
    <n v="0"/>
    <n v="0"/>
    <n v="0"/>
    <n v="0"/>
    <n v="0"/>
    <n v="0"/>
    <n v="0"/>
    <n v="55"/>
    <n v="50"/>
    <n v="55"/>
    <n v="50"/>
    <n v="0"/>
    <n v="0"/>
    <n v="0"/>
    <n v="0"/>
    <n v="0"/>
    <n v="0"/>
    <n v="0"/>
    <n v="0"/>
    <n v="0"/>
    <n v="0"/>
    <n v="2518274.3283582088"/>
    <n v="2113421.989966555"/>
    <n v="2518274.3283582088"/>
    <n v="2113421.989966555"/>
  </r>
  <r>
    <x v="4"/>
    <s v="West Georgia Technical College"/>
    <m/>
    <n v="139278"/>
    <x v="9"/>
    <m/>
    <m/>
    <m/>
    <m/>
    <m/>
    <m/>
    <m/>
    <m/>
    <m/>
    <m/>
    <m/>
    <m/>
    <m/>
    <m/>
    <m/>
    <m/>
    <m/>
    <m/>
    <m/>
    <m/>
    <m/>
    <m/>
    <m/>
    <m/>
    <m/>
    <m/>
    <m/>
    <m/>
    <m/>
    <m/>
    <m/>
    <m/>
    <m/>
    <m/>
    <m/>
    <m/>
    <m/>
    <m/>
    <m/>
    <m/>
    <m/>
    <m/>
    <m/>
    <m/>
    <n v="135"/>
    <m/>
    <m/>
    <n v="126"/>
    <n v="0"/>
    <m/>
    <n v="0"/>
    <m/>
    <n v="0"/>
    <m/>
    <n v="0"/>
    <m/>
    <n v="0"/>
    <m/>
    <n v="6671565"/>
    <n v="6381060"/>
    <n v="0"/>
    <n v="0"/>
    <n v="0"/>
    <n v="0"/>
    <n v="0"/>
    <n v="0"/>
    <n v="0"/>
    <n v="0"/>
    <n v="0"/>
    <n v="0"/>
    <n v="1485"/>
    <n v="1512"/>
    <n v="0"/>
    <n v="0"/>
    <n v="0"/>
    <n v="0"/>
    <n v="0"/>
    <n v="0"/>
    <n v="0"/>
    <n v="0"/>
    <n v="0"/>
    <n v="0"/>
    <n v="4492.636363636364"/>
    <n v="4220.2777777777774"/>
    <n v="0"/>
    <n v="0"/>
    <n v="0"/>
    <n v="0"/>
    <n v="0"/>
    <n v="0"/>
    <n v="0"/>
    <n v="0"/>
    <n v="0"/>
    <n v="0"/>
    <n v="40433.727272727279"/>
    <n v="37982.5"/>
    <n v="40433.727272727279"/>
    <n v="37982.5"/>
    <n v="0"/>
    <n v="0"/>
    <n v="0"/>
    <n v="0"/>
    <n v="0"/>
    <n v="0"/>
    <n v="0"/>
    <n v="0"/>
    <n v="0"/>
    <n v="0"/>
    <n v="135"/>
    <n v="126"/>
    <n v="135"/>
    <n v="126"/>
    <n v="0"/>
    <n v="0"/>
    <n v="0"/>
    <n v="0"/>
    <n v="0"/>
    <n v="0"/>
    <n v="0"/>
    <n v="0"/>
    <n v="0"/>
    <n v="0"/>
    <n v="5458553.1818181826"/>
    <n v="4785795"/>
    <n v="5458553.1818181826"/>
    <n v="4785795"/>
  </r>
  <r>
    <x v="4"/>
    <s v="Wiregrass Georgia Technical College"/>
    <m/>
    <n v="141255"/>
    <x v="9"/>
    <m/>
    <m/>
    <m/>
    <m/>
    <m/>
    <m/>
    <m/>
    <m/>
    <m/>
    <m/>
    <m/>
    <m/>
    <m/>
    <m/>
    <m/>
    <m/>
    <m/>
    <m/>
    <m/>
    <m/>
    <m/>
    <m/>
    <m/>
    <m/>
    <m/>
    <m/>
    <m/>
    <m/>
    <m/>
    <m/>
    <m/>
    <m/>
    <m/>
    <m/>
    <m/>
    <m/>
    <m/>
    <m/>
    <m/>
    <m/>
    <m/>
    <m/>
    <m/>
    <m/>
    <n v="129"/>
    <n v="6"/>
    <m/>
    <n v="121"/>
    <n v="0"/>
    <m/>
    <n v="0"/>
    <m/>
    <n v="0"/>
    <m/>
    <n v="0"/>
    <m/>
    <n v="0"/>
    <m/>
    <n v="6253275"/>
    <n v="6142107"/>
    <n v="0"/>
    <n v="0"/>
    <n v="0"/>
    <n v="0"/>
    <n v="0"/>
    <n v="0"/>
    <n v="0"/>
    <n v="0"/>
    <n v="0"/>
    <n v="0"/>
    <n v="1419"/>
    <n v="1518"/>
    <n v="0"/>
    <n v="0"/>
    <n v="0"/>
    <n v="0"/>
    <n v="0"/>
    <n v="0"/>
    <n v="0"/>
    <n v="0"/>
    <n v="0"/>
    <n v="0"/>
    <n v="4406.818181818182"/>
    <n v="4046.183794466403"/>
    <n v="0"/>
    <n v="0"/>
    <n v="0"/>
    <n v="0"/>
    <n v="0"/>
    <n v="0"/>
    <n v="0"/>
    <n v="0"/>
    <n v="0"/>
    <n v="0"/>
    <n v="39661.36363636364"/>
    <n v="36415.654150197624"/>
    <n v="39661.36363636364"/>
    <n v="36415.654150197624"/>
    <n v="0"/>
    <n v="0"/>
    <n v="0"/>
    <n v="0"/>
    <n v="0"/>
    <n v="0"/>
    <n v="0"/>
    <n v="0"/>
    <n v="0"/>
    <n v="0"/>
    <n v="129"/>
    <n v="127"/>
    <n v="129"/>
    <n v="127"/>
    <n v="0"/>
    <n v="0"/>
    <n v="0"/>
    <n v="0"/>
    <n v="0"/>
    <n v="0"/>
    <n v="0"/>
    <n v="0"/>
    <n v="0"/>
    <n v="0"/>
    <n v="5116315.9090909092"/>
    <n v="4624788.0770750986"/>
    <n v="5116315.9090909092"/>
    <n v="4624788.0770750986"/>
  </r>
  <r>
    <x v="5"/>
    <s v="University of Kentucky"/>
    <m/>
    <n v="157085"/>
    <x v="0"/>
    <n v="320"/>
    <n v="326"/>
    <m/>
    <n v="3"/>
    <n v="145"/>
    <n v="8"/>
    <m/>
    <n v="133"/>
    <n v="277"/>
    <n v="283"/>
    <m/>
    <n v="2"/>
    <n v="115"/>
    <n v="22"/>
    <m/>
    <n v="89"/>
    <n v="232"/>
    <n v="208"/>
    <m/>
    <n v="3"/>
    <n v="97"/>
    <n v="11"/>
    <m/>
    <n v="82"/>
    <n v="1"/>
    <n v="0"/>
    <m/>
    <m/>
    <m/>
    <m/>
    <m/>
    <m/>
    <n v="146"/>
    <n v="148"/>
    <m/>
    <n v="7"/>
    <n v="11"/>
    <n v="2"/>
    <m/>
    <n v="7"/>
    <m/>
    <m/>
    <m/>
    <m/>
    <m/>
    <m/>
    <m/>
    <m/>
    <n v="54692048"/>
    <n v="55625379"/>
    <n v="33097514"/>
    <n v="33167602"/>
    <n v="24782564"/>
    <n v="22992024"/>
    <n v="57801"/>
    <m/>
    <n v="7784418.0000000009"/>
    <n v="8043867"/>
    <n v="0"/>
    <m/>
    <n v="4475"/>
    <n v="4648"/>
    <n v="3758"/>
    <n v="3877"/>
    <n v="3155"/>
    <n v="3007"/>
    <n v="9"/>
    <n v="0"/>
    <n v="1435"/>
    <n v="1508"/>
    <n v="0"/>
    <n v="0"/>
    <n v="12221.686703910615"/>
    <n v="11967.594449225473"/>
    <n v="8807.2150079829698"/>
    <n v="8554.9656951250963"/>
    <n v="7855.0123613312198"/>
    <n v="7646.1669437978053"/>
    <n v="6422.333333333333"/>
    <n v="0"/>
    <n v="5424.6815331010457"/>
    <n v="5334.1293103448279"/>
    <n v="0"/>
    <n v="0"/>
    <n v="109995.18033519553"/>
    <n v="107708.35004302926"/>
    <n v="79264.935071846732"/>
    <n v="76994.691256125865"/>
    <n v="70695.111251980983"/>
    <n v="68815.502494180255"/>
    <n v="57801"/>
    <n v="0"/>
    <n v="48822.13379790941"/>
    <n v="48007.163793103449"/>
    <n v="0"/>
    <n v="0"/>
    <n v="84227.069205508451"/>
    <n v="82388.238289317364"/>
    <n v="465"/>
    <n v="470"/>
    <n v="392"/>
    <n v="396"/>
    <n v="329"/>
    <n v="304"/>
    <n v="1"/>
    <n v="0"/>
    <n v="157"/>
    <n v="164"/>
    <n v="0"/>
    <n v="0"/>
    <n v="1344"/>
    <n v="1334"/>
    <n v="51147758.855865926"/>
    <n v="50622924.520223752"/>
    <n v="31071854.548163921"/>
    <n v="30489897.737425841"/>
    <n v="23258691.601901744"/>
    <n v="20919912.758230798"/>
    <n v="57801"/>
    <n v="0"/>
    <n v="7665075.0062717777"/>
    <n v="7873174.862068966"/>
    <n v="0"/>
    <n v="0"/>
    <n v="113201181.01220337"/>
    <n v="109905909.87794936"/>
  </r>
  <r>
    <x v="5"/>
    <s v="University of Louisville"/>
    <m/>
    <n v="157289"/>
    <x v="0"/>
    <n v="185"/>
    <n v="223"/>
    <m/>
    <m/>
    <n v="124"/>
    <n v="98"/>
    <m/>
    <m/>
    <n v="156"/>
    <n v="158"/>
    <m/>
    <m/>
    <n v="61"/>
    <n v="72"/>
    <m/>
    <m/>
    <n v="173"/>
    <n v="206"/>
    <m/>
    <m/>
    <n v="93"/>
    <n v="69"/>
    <m/>
    <m/>
    <n v="63"/>
    <n v="51"/>
    <m/>
    <m/>
    <n v="38"/>
    <n v="37"/>
    <m/>
    <m/>
    <n v="2"/>
    <n v="26"/>
    <m/>
    <m/>
    <n v="22"/>
    <m/>
    <m/>
    <m/>
    <m/>
    <m/>
    <m/>
    <m/>
    <m/>
    <m/>
    <m/>
    <m/>
    <n v="34299980"/>
    <n v="38259615"/>
    <n v="17685313"/>
    <n v="18909203"/>
    <n v="17569699"/>
    <n v="18504523"/>
    <n v="5637330"/>
    <n v="4866222"/>
    <n v="497707"/>
    <n v="1081047"/>
    <n v="0"/>
    <m/>
    <n v="3029"/>
    <n v="3085"/>
    <n v="2075"/>
    <n v="2214"/>
    <n v="2580"/>
    <n v="2613"/>
    <n v="985"/>
    <n v="866"/>
    <n v="260"/>
    <n v="234"/>
    <n v="0"/>
    <n v="0"/>
    <n v="11323.862660944205"/>
    <n v="12401.820097244732"/>
    <n v="8523.0424096385541"/>
    <n v="8540.7420957542909"/>
    <n v="6809.9608527131786"/>
    <n v="7081.7156525066976"/>
    <n v="5723.1776649746189"/>
    <n v="5619.1939953810625"/>
    <n v="1914.2576923076922"/>
    <n v="4619.8589743589746"/>
    <n v="0"/>
    <n v="0"/>
    <n v="101914.76394849784"/>
    <n v="111616.38087520259"/>
    <n v="76707.381686746987"/>
    <n v="76866.67886178862"/>
    <n v="61289.647674418607"/>
    <n v="63735.440872560277"/>
    <n v="51508.598984771568"/>
    <n v="50572.745958429565"/>
    <n v="17228.31923076923"/>
    <n v="41578.730769230773"/>
    <n v="0"/>
    <n v="0"/>
    <n v="76397.010170671405"/>
    <n v="81454.137535582224"/>
    <n v="309"/>
    <n v="321"/>
    <n v="217"/>
    <n v="230"/>
    <n v="266"/>
    <n v="275"/>
    <n v="101"/>
    <n v="88"/>
    <n v="24"/>
    <n v="26"/>
    <n v="0"/>
    <n v="0"/>
    <n v="917"/>
    <n v="940"/>
    <n v="31491662.060085833"/>
    <n v="35828858.26094003"/>
    <n v="16645501.826024096"/>
    <n v="17679336.138211381"/>
    <n v="16303046.28139535"/>
    <n v="17527246.239954077"/>
    <n v="5202368.4974619281"/>
    <n v="4450401.6443418013"/>
    <n v="413479.66153846151"/>
    <n v="1081047"/>
    <n v="0"/>
    <n v="0"/>
    <n v="70056058.326505676"/>
    <n v="76566889.283447295"/>
  </r>
  <r>
    <x v="5"/>
    <s v="Eastern Kentucky University "/>
    <m/>
    <n v="156620"/>
    <x v="2"/>
    <n v="98"/>
    <n v="133"/>
    <m/>
    <m/>
    <n v="24"/>
    <m/>
    <m/>
    <n v="36"/>
    <n v="145"/>
    <n v="174"/>
    <m/>
    <m/>
    <n v="10"/>
    <m/>
    <m/>
    <n v="12"/>
    <n v="249"/>
    <n v="199"/>
    <m/>
    <m/>
    <n v="7"/>
    <m/>
    <m/>
    <n v="5"/>
    <n v="65"/>
    <n v="27"/>
    <m/>
    <m/>
    <n v="1"/>
    <m/>
    <m/>
    <m/>
    <n v="55"/>
    <n v="73"/>
    <m/>
    <m/>
    <n v="3"/>
    <m/>
    <m/>
    <m/>
    <m/>
    <m/>
    <m/>
    <m/>
    <m/>
    <m/>
    <m/>
    <m/>
    <n v="10295557"/>
    <n v="13873328"/>
    <n v="10377262"/>
    <n v="11916326"/>
    <n v="14218464"/>
    <n v="11159223"/>
    <n v="3342053"/>
    <n v="1415121"/>
    <n v="2696433"/>
    <n v="3427665"/>
    <n v="0"/>
    <m/>
    <n v="1146"/>
    <n v="1629"/>
    <n v="1415"/>
    <n v="1710"/>
    <n v="2318"/>
    <n v="1851"/>
    <n v="596"/>
    <n v="243"/>
    <n v="528"/>
    <n v="657"/>
    <n v="0"/>
    <n v="0"/>
    <n v="8983.906631762653"/>
    <n v="8516.4689993861266"/>
    <n v="7333.7540636042404"/>
    <n v="6968.6116959064329"/>
    <n v="6133.9361518550477"/>
    <n v="6028.7536466774718"/>
    <n v="5607.4714765100671"/>
    <n v="5823.5432098765432"/>
    <n v="5106.880681818182"/>
    <n v="5217.1461187214609"/>
    <n v="0"/>
    <n v="0"/>
    <n v="80855.15968586388"/>
    <n v="76648.220994475138"/>
    <n v="66003.78657243817"/>
    <n v="62717.505263157895"/>
    <n v="55205.425366695432"/>
    <n v="54258.782820097244"/>
    <n v="50467.243288590602"/>
    <n v="52411.888888888891"/>
    <n v="45961.92613636364"/>
    <n v="46954.315068493146"/>
    <n v="0"/>
    <n v="0"/>
    <n v="61223.949874023463"/>
    <n v="61503.160883632023"/>
    <n v="122"/>
    <n v="169"/>
    <n v="155"/>
    <n v="186"/>
    <n v="256"/>
    <n v="204"/>
    <n v="66"/>
    <n v="27"/>
    <n v="58"/>
    <n v="73"/>
    <n v="0"/>
    <n v="0"/>
    <n v="657"/>
    <n v="659"/>
    <n v="9864329.4816753939"/>
    <n v="12953549.348066298"/>
    <n v="10230586.918727916"/>
    <n v="11665455.978947368"/>
    <n v="14132588.893874031"/>
    <n v="11068791.695299838"/>
    <n v="3330838.0570469797"/>
    <n v="1415121"/>
    <n v="2665791.7159090913"/>
    <n v="3427664.9999999995"/>
    <n v="0"/>
    <n v="0"/>
    <n v="40224135.067233413"/>
    <n v="40530583.022313505"/>
  </r>
  <r>
    <x v="5"/>
    <s v="Morehead State University "/>
    <m/>
    <n v="157386"/>
    <x v="2"/>
    <n v="47"/>
    <n v="54"/>
    <m/>
    <n v="3"/>
    <n v="14"/>
    <m/>
    <m/>
    <n v="14"/>
    <n v="148"/>
    <n v="138"/>
    <m/>
    <n v="5"/>
    <n v="8"/>
    <m/>
    <m/>
    <n v="8"/>
    <n v="81"/>
    <n v="72"/>
    <m/>
    <n v="3"/>
    <n v="4"/>
    <n v="1"/>
    <m/>
    <n v="2"/>
    <n v="76"/>
    <n v="66"/>
    <m/>
    <n v="1"/>
    <n v="3"/>
    <m/>
    <m/>
    <n v="3"/>
    <m/>
    <m/>
    <m/>
    <m/>
    <m/>
    <m/>
    <m/>
    <m/>
    <m/>
    <m/>
    <m/>
    <m/>
    <m/>
    <m/>
    <m/>
    <m/>
    <n v="4593065"/>
    <n v="5504859"/>
    <n v="9540848"/>
    <n v="9247903"/>
    <n v="4431103"/>
    <n v="4045284"/>
    <n v="3058667"/>
    <n v="2678035"/>
    <n v="0"/>
    <m/>
    <n v="0"/>
    <m/>
    <n v="577"/>
    <n v="684"/>
    <n v="1420"/>
    <n v="1388"/>
    <n v="773"/>
    <n v="713"/>
    <n v="717"/>
    <n v="640"/>
    <n v="0"/>
    <n v="0"/>
    <n v="0"/>
    <n v="0"/>
    <n v="7960.2512998266902"/>
    <n v="8048.0394736842109"/>
    <n v="6718.9070422535215"/>
    <n v="6662.754322766571"/>
    <n v="5732.3454075032341"/>
    <n v="5673.6100981767177"/>
    <n v="4265.9232914923296"/>
    <n v="4184.4296875"/>
    <n v="0"/>
    <n v="0"/>
    <n v="0"/>
    <n v="0"/>
    <n v="71642.261698440212"/>
    <n v="72432.355263157893"/>
    <n v="60470.163380281694"/>
    <n v="59964.788904899142"/>
    <n v="51591.108667529108"/>
    <n v="51062.490883590457"/>
    <n v="38393.309623430963"/>
    <n v="37659.8671875"/>
    <n v="0"/>
    <n v="0"/>
    <n v="0"/>
    <n v="0"/>
    <n v="55700.365217637307"/>
    <n v="56260.66308207847"/>
    <n v="61"/>
    <n v="71"/>
    <n v="156"/>
    <n v="151"/>
    <n v="85"/>
    <n v="78"/>
    <n v="79"/>
    <n v="70"/>
    <n v="0"/>
    <n v="0"/>
    <n v="0"/>
    <n v="0"/>
    <n v="381"/>
    <n v="370"/>
    <n v="4370177.9636048526"/>
    <n v="5142697.2236842103"/>
    <n v="9433345.4873239435"/>
    <n v="9054683.12463977"/>
    <n v="4385244.2367399745"/>
    <n v="3982874.2889200556"/>
    <n v="3033071.4602510459"/>
    <n v="2636190.703125"/>
    <n v="0"/>
    <n v="0"/>
    <n v="0"/>
    <n v="0"/>
    <n v="21221839.147919815"/>
    <n v="20816445.340369035"/>
  </r>
  <r>
    <x v="5"/>
    <s v="Murray State University "/>
    <m/>
    <n v="157401"/>
    <x v="2"/>
    <n v="87"/>
    <n v="84"/>
    <m/>
    <m/>
    <n v="26"/>
    <m/>
    <m/>
    <n v="26"/>
    <n v="73"/>
    <n v="81"/>
    <m/>
    <m/>
    <n v="13"/>
    <m/>
    <m/>
    <n v="14"/>
    <n v="138"/>
    <n v="133"/>
    <m/>
    <m/>
    <n v="1"/>
    <m/>
    <m/>
    <n v="1"/>
    <n v="1"/>
    <m/>
    <m/>
    <m/>
    <m/>
    <m/>
    <m/>
    <m/>
    <n v="67"/>
    <n v="67"/>
    <m/>
    <m/>
    <n v="15"/>
    <m/>
    <m/>
    <n v="17"/>
    <m/>
    <m/>
    <m/>
    <m/>
    <m/>
    <m/>
    <m/>
    <m/>
    <n v="9991623"/>
    <n v="9688526"/>
    <n v="5853873"/>
    <n v="6405684"/>
    <n v="7607968"/>
    <n v="7386575"/>
    <n v="45000"/>
    <m/>
    <n v="3844502"/>
    <n v="4049990"/>
    <n v="0"/>
    <m/>
    <n v="1069"/>
    <n v="1068"/>
    <n v="800"/>
    <n v="897"/>
    <n v="1253"/>
    <n v="1209"/>
    <n v="9"/>
    <n v="0"/>
    <n v="768"/>
    <n v="807"/>
    <n v="0"/>
    <n v="0"/>
    <n v="9346.7006548175868"/>
    <n v="9071.6535580524342"/>
    <n v="7317.3412500000004"/>
    <n v="7141.2307692307695"/>
    <n v="6071.8020750199521"/>
    <n v="6109.6567411083543"/>
    <n v="5000"/>
    <n v="0"/>
    <n v="5005.861979166667"/>
    <n v="5018.574969021066"/>
    <n v="0"/>
    <n v="0"/>
    <n v="84120.30589335828"/>
    <n v="81644.882022471909"/>
    <n v="65856.071250000008"/>
    <n v="64271.076923076922"/>
    <n v="54646.218675179567"/>
    <n v="54986.910669975186"/>
    <n v="45000"/>
    <n v="0"/>
    <n v="45052.7578125"/>
    <n v="45167.174721189593"/>
    <n v="0"/>
    <n v="0"/>
    <n v="62955.741638775413"/>
    <n v="62054.321599340001"/>
    <n v="113"/>
    <n v="110"/>
    <n v="86"/>
    <n v="95"/>
    <n v="139"/>
    <n v="134"/>
    <n v="1"/>
    <n v="0"/>
    <n v="82"/>
    <n v="84"/>
    <n v="0"/>
    <n v="0"/>
    <n v="421"/>
    <n v="423"/>
    <n v="9505594.5659494847"/>
    <n v="8980937.0224719103"/>
    <n v="5663622.1275000004"/>
    <n v="6105752.307692308"/>
    <n v="7595824.3958499599"/>
    <n v="7368246.0297766747"/>
    <n v="45000"/>
    <n v="0"/>
    <n v="3694326.140625"/>
    <n v="3794042.6765799257"/>
    <n v="0"/>
    <n v="0"/>
    <n v="26504367.229924448"/>
    <n v="26248978.03652082"/>
  </r>
  <r>
    <x v="5"/>
    <s v="Western Kentucky University "/>
    <m/>
    <n v="157951"/>
    <x v="2"/>
    <n v="133"/>
    <n v="122"/>
    <m/>
    <n v="1"/>
    <n v="26"/>
    <m/>
    <m/>
    <n v="23"/>
    <n v="194"/>
    <n v="207"/>
    <m/>
    <n v="1"/>
    <n v="17"/>
    <n v="1"/>
    <m/>
    <n v="16"/>
    <n v="218"/>
    <n v="215"/>
    <m/>
    <m/>
    <n v="5"/>
    <m/>
    <m/>
    <n v="6"/>
    <n v="149"/>
    <n v="148"/>
    <m/>
    <n v="9"/>
    <n v="3"/>
    <m/>
    <m/>
    <n v="2"/>
    <n v="18"/>
    <n v="24"/>
    <m/>
    <m/>
    <m/>
    <m/>
    <m/>
    <n v="1"/>
    <m/>
    <m/>
    <m/>
    <m/>
    <m/>
    <m/>
    <m/>
    <m/>
    <n v="14059516"/>
    <n v="13069457"/>
    <n v="14210274"/>
    <n v="15491093"/>
    <n v="12176964"/>
    <n v="12173604"/>
    <n v="6337103"/>
    <n v="6728601"/>
    <n v="1016052"/>
    <n v="1432026"/>
    <n v="0"/>
    <m/>
    <n v="1483"/>
    <n v="1384"/>
    <n v="1933"/>
    <n v="2076"/>
    <n v="2017"/>
    <n v="2007"/>
    <n v="1374"/>
    <n v="1446"/>
    <n v="162"/>
    <n v="228"/>
    <n v="0"/>
    <n v="0"/>
    <n v="9480.4558327714094"/>
    <n v="9443.2492774566472"/>
    <n v="7351.4092084842214"/>
    <n v="7461.9908477842"/>
    <n v="6037.1660882498763"/>
    <n v="6065.5724962630793"/>
    <n v="4612.1564774381368"/>
    <n v="4653.2510373443984"/>
    <n v="6271.9259259259261"/>
    <n v="6280.8157894736842"/>
    <n v="0"/>
    <n v="0"/>
    <n v="85324.102494942679"/>
    <n v="84989.243497109826"/>
    <n v="66162.682876357998"/>
    <n v="67157.917630057796"/>
    <n v="54334.494794248887"/>
    <n v="54590.152466367712"/>
    <n v="41509.408296943235"/>
    <n v="41879.259336099582"/>
    <n v="56447.333333333336"/>
    <n v="56527.34210526316"/>
    <n v="0"/>
    <n v="0"/>
    <n v="61558.234316985981"/>
    <n v="61411.559922009947"/>
    <n v="159"/>
    <n v="146"/>
    <n v="211"/>
    <n v="225"/>
    <n v="223"/>
    <n v="221"/>
    <n v="152"/>
    <n v="159"/>
    <n v="18"/>
    <n v="25"/>
    <n v="0"/>
    <n v="0"/>
    <n v="763"/>
    <n v="776"/>
    <n v="13566532.296695886"/>
    <n v="12408429.550578035"/>
    <n v="13960326.086911537"/>
    <n v="15110531.466763005"/>
    <n v="12116592.339117501"/>
    <n v="12064423.695067264"/>
    <n v="6309430.0611353721"/>
    <n v="6658802.2344398331"/>
    <n v="1016052"/>
    <n v="1413183.5526315791"/>
    <n v="0"/>
    <n v="0"/>
    <n v="46968932.783860303"/>
    <n v="47655370.499479719"/>
  </r>
  <r>
    <x v="5"/>
    <s v="Kentucky State University "/>
    <m/>
    <n v="157058"/>
    <x v="3"/>
    <n v="20"/>
    <n v="22"/>
    <m/>
    <m/>
    <n v="3"/>
    <m/>
    <m/>
    <n v="2"/>
    <n v="41"/>
    <n v="39"/>
    <m/>
    <m/>
    <n v="5"/>
    <m/>
    <m/>
    <n v="4"/>
    <n v="47"/>
    <n v="45"/>
    <m/>
    <m/>
    <n v="2"/>
    <m/>
    <m/>
    <n v="2"/>
    <n v="14"/>
    <n v="18"/>
    <m/>
    <m/>
    <m/>
    <m/>
    <m/>
    <m/>
    <m/>
    <m/>
    <m/>
    <m/>
    <m/>
    <m/>
    <m/>
    <m/>
    <m/>
    <m/>
    <m/>
    <m/>
    <m/>
    <m/>
    <m/>
    <m/>
    <n v="1705650"/>
    <n v="1818776"/>
    <n v="2816786"/>
    <n v="2641271"/>
    <n v="2328622"/>
    <n v="2302536"/>
    <n v="548584"/>
    <n v="746737"/>
    <n v="0"/>
    <m/>
    <n v="0"/>
    <m/>
    <n v="213"/>
    <n v="222"/>
    <n v="424"/>
    <n v="399"/>
    <n v="445"/>
    <n v="429"/>
    <n v="126"/>
    <n v="162"/>
    <n v="0"/>
    <n v="0"/>
    <n v="0"/>
    <n v="0"/>
    <n v="8007.7464788732395"/>
    <n v="8192.6846846846838"/>
    <n v="6643.3632075471696"/>
    <n v="6619.7268170426069"/>
    <n v="5232.8584269662924"/>
    <n v="5367.2167832167834"/>
    <n v="4353.8412698412694"/>
    <n v="4609.4876543209875"/>
    <n v="0"/>
    <n v="0"/>
    <n v="0"/>
    <n v="0"/>
    <n v="72069.718309859163"/>
    <n v="73734.16216216216"/>
    <n v="59790.268867924526"/>
    <n v="59577.541353383465"/>
    <n v="47095.725842696629"/>
    <n v="48304.95104895105"/>
    <n v="39184.571428571428"/>
    <n v="41485.388888888891"/>
    <n v="0"/>
    <n v="0"/>
    <n v="0"/>
    <n v="0"/>
    <n v="55032.048904116848"/>
    <n v="55670.635374152131"/>
    <n v="23"/>
    <n v="24"/>
    <n v="46"/>
    <n v="43"/>
    <n v="49"/>
    <n v="47"/>
    <n v="14"/>
    <n v="18"/>
    <n v="0"/>
    <n v="0"/>
    <n v="0"/>
    <n v="0"/>
    <n v="132"/>
    <n v="132"/>
    <n v="1657603.5211267606"/>
    <n v="1769619.8918918918"/>
    <n v="2750352.3679245282"/>
    <n v="2561834.2781954892"/>
    <n v="2307690.566292135"/>
    <n v="2270332.6993006994"/>
    <n v="548584"/>
    <n v="746737"/>
    <n v="0"/>
    <n v="0"/>
    <n v="0"/>
    <n v="0"/>
    <n v="7264230.4553434234"/>
    <n v="7348523.8693880811"/>
  </r>
  <r>
    <x v="5"/>
    <s v="Northern Kentucky University "/>
    <s v="Met the criteria for Four-Year 3 in 2012-13."/>
    <n v="157447"/>
    <x v="3"/>
    <n v="86"/>
    <m/>
    <m/>
    <n v="87"/>
    <n v="2"/>
    <m/>
    <m/>
    <n v="2"/>
    <n v="153"/>
    <m/>
    <m/>
    <n v="158"/>
    <n v="6"/>
    <m/>
    <m/>
    <n v="4"/>
    <n v="123"/>
    <m/>
    <m/>
    <n v="123"/>
    <n v="6"/>
    <m/>
    <m/>
    <n v="5"/>
    <n v="1"/>
    <m/>
    <m/>
    <n v="2"/>
    <n v="2"/>
    <m/>
    <m/>
    <n v="1"/>
    <n v="145"/>
    <m/>
    <m/>
    <n v="141"/>
    <n v="18"/>
    <m/>
    <m/>
    <n v="19"/>
    <m/>
    <m/>
    <m/>
    <m/>
    <m/>
    <m/>
    <m/>
    <m/>
    <n v="8471712"/>
    <n v="8530418"/>
    <n v="11506261"/>
    <n v="11841106"/>
    <n v="8555846"/>
    <n v="8580612"/>
    <n v="204676"/>
    <n v="202500"/>
    <n v="7595692"/>
    <n v="7477805"/>
    <n v="0"/>
    <m/>
    <n v="796"/>
    <n v="894"/>
    <n v="1443"/>
    <n v="1628"/>
    <n v="1173"/>
    <n v="1290"/>
    <n v="31"/>
    <n v="32"/>
    <n v="1503"/>
    <n v="1638"/>
    <n v="0"/>
    <n v="0"/>
    <n v="10642.854271356784"/>
    <n v="9541.8545861297534"/>
    <n v="7973.8468468468473"/>
    <n v="7273.4066339066339"/>
    <n v="7293.9863597612957"/>
    <n v="6651.6372093023256"/>
    <n v="6602.4516129032254"/>
    <n v="6328.125"/>
    <n v="5053.6872920825017"/>
    <n v="4565.2045177045175"/>
    <n v="0"/>
    <n v="0"/>
    <n v="95785.68844221106"/>
    <n v="85876.691275167774"/>
    <n v="71764.621621621627"/>
    <n v="65460.659705159705"/>
    <n v="65645.877237851659"/>
    <n v="59864.734883720928"/>
    <n v="59422.06451612903"/>
    <n v="56953.125"/>
    <n v="45483.185628742518"/>
    <n v="41086.840659340654"/>
    <n v="0"/>
    <n v="0"/>
    <n v="66236.271283152571"/>
    <n v="60249.247862244622"/>
    <n v="88"/>
    <n v="89"/>
    <n v="159"/>
    <n v="162"/>
    <n v="129"/>
    <n v="128"/>
    <n v="3"/>
    <n v="3"/>
    <n v="163"/>
    <n v="160"/>
    <n v="0"/>
    <n v="0"/>
    <n v="542"/>
    <n v="542"/>
    <n v="8429140.5829145741"/>
    <n v="7643025.5234899316"/>
    <n v="11410574.837837839"/>
    <n v="10604626.872235872"/>
    <n v="8468318.1636828631"/>
    <n v="7662686.0651162788"/>
    <n v="178266.19354838709"/>
    <n v="170859.375"/>
    <n v="7413759.2574850302"/>
    <n v="6573894.5054945052"/>
    <n v="0"/>
    <n v="0"/>
    <n v="35900059.03546869"/>
    <n v="32655092.341336586"/>
  </r>
  <r>
    <x v="5"/>
    <s v="Bluegrass Community and Technical College"/>
    <m/>
    <n v="157173"/>
    <x v="6"/>
    <n v="54"/>
    <m/>
    <m/>
    <n v="55"/>
    <n v="4"/>
    <m/>
    <m/>
    <n v="4"/>
    <n v="112"/>
    <m/>
    <m/>
    <n v="108"/>
    <n v="2"/>
    <m/>
    <m/>
    <n v="4"/>
    <n v="28"/>
    <m/>
    <m/>
    <n v="23"/>
    <n v="5"/>
    <m/>
    <m/>
    <n v="6"/>
    <n v="27"/>
    <m/>
    <m/>
    <n v="33"/>
    <n v="4"/>
    <m/>
    <m/>
    <n v="34"/>
    <m/>
    <m/>
    <m/>
    <m/>
    <m/>
    <m/>
    <m/>
    <m/>
    <m/>
    <m/>
    <m/>
    <m/>
    <m/>
    <m/>
    <m/>
    <m/>
    <n v="3509945"/>
    <n v="3552186"/>
    <n v="5774521"/>
    <n v="5663455"/>
    <n v="1450269"/>
    <n v="1327362"/>
    <n v="1180981"/>
    <n v="2627475"/>
    <n v="0"/>
    <m/>
    <n v="0"/>
    <m/>
    <n v="530"/>
    <n v="598"/>
    <n v="1030"/>
    <n v="1128"/>
    <n v="307"/>
    <n v="302"/>
    <n v="287"/>
    <n v="738"/>
    <n v="0"/>
    <n v="0"/>
    <n v="0"/>
    <n v="0"/>
    <n v="6622.5377358490568"/>
    <n v="5940.1103678929767"/>
    <n v="5606.331067961165"/>
    <n v="5020.7934397163117"/>
    <n v="4724.00325732899"/>
    <n v="4395.2384105960264"/>
    <n v="4114.9163763066199"/>
    <n v="3560.2642276422766"/>
    <n v="0"/>
    <n v="0"/>
    <n v="0"/>
    <n v="0"/>
    <n v="59602.839622641513"/>
    <n v="53460.993311036793"/>
    <n v="50456.979611650488"/>
    <n v="45187.140957446805"/>
    <n v="42516.029315960914"/>
    <n v="39557.145695364234"/>
    <n v="37034.247386759576"/>
    <n v="32042.378048780491"/>
    <n v="0"/>
    <n v="0"/>
    <n v="0"/>
    <n v="0"/>
    <n v="49831.148348549235"/>
    <n v="43105.449239771791"/>
    <n v="58"/>
    <n v="59"/>
    <n v="114"/>
    <n v="112"/>
    <n v="33"/>
    <n v="29"/>
    <n v="31"/>
    <n v="67"/>
    <n v="0"/>
    <n v="0"/>
    <n v="0"/>
    <n v="0"/>
    <n v="236"/>
    <n v="267"/>
    <n v="3456964.6981132077"/>
    <n v="3154198.605351171"/>
    <n v="5752095.6757281553"/>
    <n v="5060959.7872340418"/>
    <n v="1403028.9674267101"/>
    <n v="1147157.2251655627"/>
    <n v="1148061.6689895468"/>
    <n v="2146839.329268293"/>
    <n v="0"/>
    <n v="0"/>
    <n v="0"/>
    <n v="0"/>
    <n v="11760151.01025762"/>
    <n v="11509154.947019069"/>
  </r>
  <r>
    <x v="5"/>
    <s v="Jefferson Community and Technical College "/>
    <m/>
    <n v="156921"/>
    <x v="6"/>
    <n v="81"/>
    <m/>
    <m/>
    <n v="85"/>
    <n v="19"/>
    <m/>
    <m/>
    <n v="18"/>
    <n v="89"/>
    <m/>
    <m/>
    <n v="83"/>
    <n v="17"/>
    <m/>
    <m/>
    <n v="16"/>
    <n v="13"/>
    <m/>
    <m/>
    <n v="19"/>
    <n v="10"/>
    <m/>
    <m/>
    <n v="9"/>
    <n v="44"/>
    <m/>
    <m/>
    <n v="39"/>
    <n v="15"/>
    <m/>
    <m/>
    <n v="13"/>
    <m/>
    <m/>
    <m/>
    <m/>
    <m/>
    <m/>
    <m/>
    <n v="21"/>
    <m/>
    <m/>
    <m/>
    <m/>
    <m/>
    <m/>
    <m/>
    <m/>
    <n v="6361066"/>
    <n v="6636274"/>
    <n v="5424755"/>
    <n v="5170720"/>
    <n v="1165821"/>
    <n v="1380285"/>
    <n v="2619022"/>
    <n v="2304801"/>
    <n v="0"/>
    <n v="340108"/>
    <n v="0"/>
    <m/>
    <n v="938"/>
    <n v="1066"/>
    <n v="988"/>
    <n v="1022"/>
    <n v="227"/>
    <n v="298"/>
    <n v="561"/>
    <n v="546"/>
    <n v="0"/>
    <n v="252"/>
    <n v="0"/>
    <n v="0"/>
    <n v="6781.5202558635392"/>
    <n v="6225.3977485928708"/>
    <n v="5490.642712550607"/>
    <n v="5059.4129158512724"/>
    <n v="5135.7753303964755"/>
    <n v="4631.8288590604025"/>
    <n v="4668.4884135472366"/>
    <n v="4221.2472527472528"/>
    <n v="0"/>
    <n v="1349.6349206349207"/>
    <n v="0"/>
    <n v="0"/>
    <n v="61033.682302771849"/>
    <n v="56028.579737335836"/>
    <n v="49415.784412955465"/>
    <n v="45534.716242661452"/>
    <n v="46221.977973568282"/>
    <n v="41686.459731543626"/>
    <n v="42016.395721925132"/>
    <n v="37991.225274725279"/>
    <n v="0"/>
    <n v="12146.714285714286"/>
    <n v="0"/>
    <n v="0"/>
    <n v="51678.868816097638"/>
    <n v="45137.710256561099"/>
    <n v="100"/>
    <n v="103"/>
    <n v="106"/>
    <n v="99"/>
    <n v="23"/>
    <n v="28"/>
    <n v="59"/>
    <n v="52"/>
    <n v="0"/>
    <n v="21"/>
    <n v="0"/>
    <n v="0"/>
    <n v="288"/>
    <n v="303"/>
    <n v="6103368.2302771853"/>
    <n v="5770943.7129455907"/>
    <n v="5238073.1477732789"/>
    <n v="4507936.9080234841"/>
    <n v="1063105.4933920705"/>
    <n v="1167220.8724832216"/>
    <n v="2478967.3475935827"/>
    <n v="1975543.7142857146"/>
    <n v="0"/>
    <n v="255081"/>
    <n v="0"/>
    <n v="0"/>
    <n v="14883514.219036119"/>
    <n v="13676726.207738012"/>
  </r>
  <r>
    <x v="5"/>
    <s v="Ashland Community and Technical College"/>
    <m/>
    <n v="156231"/>
    <x v="7"/>
    <n v="27"/>
    <m/>
    <m/>
    <n v="26"/>
    <n v="5"/>
    <m/>
    <m/>
    <n v="6"/>
    <n v="26"/>
    <m/>
    <m/>
    <n v="32"/>
    <n v="6"/>
    <m/>
    <m/>
    <n v="5"/>
    <n v="15"/>
    <m/>
    <m/>
    <n v="9"/>
    <n v="1"/>
    <m/>
    <m/>
    <n v="1"/>
    <n v="15"/>
    <m/>
    <m/>
    <n v="18"/>
    <m/>
    <m/>
    <m/>
    <m/>
    <m/>
    <m/>
    <m/>
    <m/>
    <m/>
    <m/>
    <m/>
    <n v="11"/>
    <m/>
    <m/>
    <m/>
    <m/>
    <m/>
    <m/>
    <m/>
    <m/>
    <n v="2030380"/>
    <n v="2076449"/>
    <n v="1630245"/>
    <n v="1885767"/>
    <n v="680897"/>
    <n v="438332"/>
    <n v="610290"/>
    <n v="702416"/>
    <n v="0"/>
    <n v="92340"/>
    <n v="0"/>
    <m/>
    <n v="298"/>
    <n v="332"/>
    <n v="300"/>
    <n v="380"/>
    <n v="146"/>
    <n v="102"/>
    <n v="135"/>
    <n v="180"/>
    <n v="0"/>
    <n v="132"/>
    <n v="0"/>
    <n v="0"/>
    <n v="6813.3557046979868"/>
    <n v="6254.3644578313251"/>
    <n v="5434.15"/>
    <n v="4962.5447368421055"/>
    <n v="4663.678082191781"/>
    <n v="4297.3725490196075"/>
    <n v="4520.666666666667"/>
    <n v="3902.3111111111111"/>
    <n v="0"/>
    <n v="699.5454545454545"/>
    <n v="0"/>
    <n v="0"/>
    <n v="61320.201342281878"/>
    <n v="56289.280120481926"/>
    <n v="48907.35"/>
    <n v="44662.902631578952"/>
    <n v="41973.102739726026"/>
    <n v="38676.352941176468"/>
    <n v="40686"/>
    <n v="35120.800000000003"/>
    <n v="0"/>
    <n v="6295.9090909090901"/>
    <n v="0"/>
    <n v="0"/>
    <n v="50622.539860933022"/>
    <n v="42055.345283663039"/>
    <n v="32"/>
    <n v="32"/>
    <n v="32"/>
    <n v="37"/>
    <n v="16"/>
    <n v="10"/>
    <n v="15"/>
    <n v="18"/>
    <n v="0"/>
    <n v="11"/>
    <n v="0"/>
    <n v="0"/>
    <n v="95"/>
    <n v="108"/>
    <n v="1962246.4429530201"/>
    <n v="1801256.9638554216"/>
    <n v="1565035.2"/>
    <n v="1652527.3973684213"/>
    <n v="671569.64383561641"/>
    <n v="386763.5294117647"/>
    <n v="610290"/>
    <n v="632174.4"/>
    <n v="0"/>
    <n v="69254.999999999985"/>
    <n v="0"/>
    <n v="0"/>
    <n v="4809141.2867886368"/>
    <n v="4541977.2906356081"/>
  </r>
  <r>
    <x v="5"/>
    <s v="Big Sandy Community and Technical College "/>
    <m/>
    <n v="157553"/>
    <x v="7"/>
    <n v="29"/>
    <m/>
    <m/>
    <n v="31"/>
    <n v="14"/>
    <m/>
    <m/>
    <n v="15"/>
    <n v="21"/>
    <m/>
    <m/>
    <n v="21"/>
    <n v="7"/>
    <m/>
    <m/>
    <n v="6"/>
    <n v="18"/>
    <m/>
    <m/>
    <n v="20"/>
    <m/>
    <m/>
    <m/>
    <m/>
    <n v="29"/>
    <m/>
    <m/>
    <n v="21"/>
    <n v="1"/>
    <m/>
    <m/>
    <n v="7"/>
    <m/>
    <m/>
    <m/>
    <m/>
    <m/>
    <m/>
    <m/>
    <m/>
    <m/>
    <m/>
    <m/>
    <m/>
    <m/>
    <m/>
    <m/>
    <m/>
    <n v="2646331"/>
    <n v="2881677"/>
    <n v="1412258"/>
    <n v="1375136"/>
    <n v="713718"/>
    <n v="803307"/>
    <n v="1069132"/>
    <n v="1054833"/>
    <n v="0"/>
    <m/>
    <n v="0"/>
    <m/>
    <n v="415"/>
    <n v="490"/>
    <n v="266"/>
    <n v="282"/>
    <n v="162"/>
    <n v="200"/>
    <n v="272"/>
    <n v="294"/>
    <n v="0"/>
    <n v="0"/>
    <n v="0"/>
    <n v="0"/>
    <n v="6376.7012048192773"/>
    <n v="5880.9734693877554"/>
    <n v="5309.2406015037595"/>
    <n v="4876.3687943262412"/>
    <n v="4405.666666666667"/>
    <n v="4016.5349999999999"/>
    <n v="3930.6323529411766"/>
    <n v="3587.8673469387754"/>
    <n v="0"/>
    <n v="0"/>
    <n v="0"/>
    <n v="0"/>
    <n v="57390.310843373496"/>
    <n v="52928.761224489797"/>
    <n v="47783.165413533832"/>
    <n v="43887.319148936171"/>
    <n v="39651"/>
    <n v="36148.815000000002"/>
    <n v="35375.691176470587"/>
    <n v="32290.806122448979"/>
    <n v="0"/>
    <n v="0"/>
    <n v="0"/>
    <n v="0"/>
    <n v="46896.644816286767"/>
    <n v="43361.979378317184"/>
    <n v="43"/>
    <n v="46"/>
    <n v="28"/>
    <n v="27"/>
    <n v="18"/>
    <n v="20"/>
    <n v="30"/>
    <n v="28"/>
    <n v="0"/>
    <n v="0"/>
    <n v="0"/>
    <n v="0"/>
    <n v="119"/>
    <n v="121"/>
    <n v="2467783.3662650604"/>
    <n v="2434723.0163265308"/>
    <n v="1337928.6315789474"/>
    <n v="1184957.6170212766"/>
    <n v="713718"/>
    <n v="722976.3"/>
    <n v="1061270.7352941176"/>
    <n v="904142.57142857136"/>
    <n v="0"/>
    <n v="0"/>
    <n v="0"/>
    <n v="0"/>
    <n v="5580700.7331381254"/>
    <n v="5246799.5047763791"/>
  </r>
  <r>
    <x v="5"/>
    <s v="Elizabethtown Community and Technical College "/>
    <m/>
    <n v="156648"/>
    <x v="7"/>
    <n v="37"/>
    <m/>
    <m/>
    <n v="38"/>
    <n v="3"/>
    <m/>
    <m/>
    <n v="4"/>
    <n v="40"/>
    <m/>
    <m/>
    <n v="38"/>
    <n v="2"/>
    <m/>
    <m/>
    <n v="1"/>
    <n v="10"/>
    <m/>
    <m/>
    <n v="19"/>
    <m/>
    <m/>
    <m/>
    <m/>
    <n v="32"/>
    <m/>
    <m/>
    <n v="31"/>
    <n v="1"/>
    <m/>
    <m/>
    <n v="1"/>
    <m/>
    <m/>
    <m/>
    <m/>
    <m/>
    <m/>
    <m/>
    <n v="9"/>
    <m/>
    <m/>
    <m/>
    <m/>
    <m/>
    <m/>
    <m/>
    <m/>
    <n v="2471056"/>
    <n v="2592754"/>
    <n v="1984671"/>
    <n v="1881285"/>
    <n v="411364"/>
    <n v="789586"/>
    <n v="1210242"/>
    <n v="1181902"/>
    <n v="0"/>
    <n v="122935"/>
    <n v="0"/>
    <m/>
    <n v="366"/>
    <n v="428"/>
    <n v="382"/>
    <n v="392"/>
    <n v="90"/>
    <n v="190"/>
    <n v="299"/>
    <n v="322"/>
    <n v="0"/>
    <n v="108"/>
    <n v="0"/>
    <n v="0"/>
    <n v="6751.5191256830603"/>
    <n v="6057.836448598131"/>
    <n v="5195.4738219895289"/>
    <n v="4799.1964285714284"/>
    <n v="4570.7111111111108"/>
    <n v="4155.7157894736838"/>
    <n v="4047.6321070234112"/>
    <n v="3670.5031055900622"/>
    <n v="0"/>
    <n v="1138.287037037037"/>
    <n v="0"/>
    <n v="0"/>
    <n v="60763.672131147541"/>
    <n v="54520.528037383177"/>
    <n v="46759.264397905761"/>
    <n v="43192.767857142855"/>
    <n v="41136.399999999994"/>
    <n v="37401.442105263151"/>
    <n v="36428.688963210698"/>
    <n v="33034.527950310563"/>
    <n v="0"/>
    <n v="10244.583333333332"/>
    <n v="0"/>
    <n v="0"/>
    <n v="48063.573805951171"/>
    <n v="41378.111123465264"/>
    <n v="40"/>
    <n v="42"/>
    <n v="42"/>
    <n v="39"/>
    <n v="10"/>
    <n v="19"/>
    <n v="33"/>
    <n v="32"/>
    <n v="0"/>
    <n v="9"/>
    <n v="0"/>
    <n v="0"/>
    <n v="125"/>
    <n v="141"/>
    <n v="2430546.8852459015"/>
    <n v="2289862.1775700934"/>
    <n v="1963889.104712042"/>
    <n v="1684517.9464285714"/>
    <n v="411363.99999999994"/>
    <n v="710627.39999999991"/>
    <n v="1202146.735785953"/>
    <n v="1057104.894409938"/>
    <n v="0"/>
    <n v="92201.249999999985"/>
    <n v="0"/>
    <n v="0"/>
    <n v="6007946.7257438963"/>
    <n v="5834313.6684086025"/>
  </r>
  <r>
    <x v="5"/>
    <s v="Hazard Community and Technical College"/>
    <s v="Reclassified: met the criteria for classification as a Two-Year 2 in 2010-11, 2011-12, and 2012-13."/>
    <n v="156790"/>
    <x v="7"/>
    <n v="43"/>
    <m/>
    <m/>
    <n v="43"/>
    <n v="11"/>
    <m/>
    <m/>
    <n v="10"/>
    <n v="20"/>
    <m/>
    <m/>
    <n v="18"/>
    <n v="5"/>
    <m/>
    <m/>
    <n v="4"/>
    <n v="9"/>
    <m/>
    <m/>
    <n v="8"/>
    <n v="3"/>
    <m/>
    <m/>
    <n v="7"/>
    <n v="11"/>
    <m/>
    <m/>
    <n v="11"/>
    <n v="9"/>
    <m/>
    <m/>
    <n v="5"/>
    <m/>
    <m/>
    <m/>
    <m/>
    <m/>
    <m/>
    <m/>
    <m/>
    <m/>
    <m/>
    <m/>
    <m/>
    <m/>
    <m/>
    <m/>
    <m/>
    <n v="3338837"/>
    <n v="3309349"/>
    <n v="1274578"/>
    <n v="1143405"/>
    <n v="563557"/>
    <n v="716919"/>
    <n v="834224"/>
    <n v="657157"/>
    <n v="0"/>
    <m/>
    <n v="0"/>
    <m/>
    <n v="508"/>
    <n v="550"/>
    <n v="235"/>
    <n v="228"/>
    <n v="114"/>
    <n v="164"/>
    <n v="198"/>
    <n v="170"/>
    <n v="0"/>
    <n v="0"/>
    <n v="0"/>
    <n v="0"/>
    <n v="6572.5137795275587"/>
    <n v="6016.9981818181814"/>
    <n v="5423.7361702127664"/>
    <n v="5014.9342105263158"/>
    <n v="4943.4824561403511"/>
    <n v="4371.457317073171"/>
    <n v="4213.2525252525256"/>
    <n v="3865.6294117647058"/>
    <n v="0"/>
    <n v="0"/>
    <n v="0"/>
    <n v="0"/>
    <n v="59152.624015748028"/>
    <n v="54152.983636363635"/>
    <n v="48813.625531914899"/>
    <n v="45134.40789473684"/>
    <n v="44491.34210526316"/>
    <n v="39343.115853658543"/>
    <n v="37919.272727272728"/>
    <n v="34790.664705882351"/>
    <n v="0"/>
    <n v="0"/>
    <n v="0"/>
    <n v="0"/>
    <n v="51413.188242854754"/>
    <n v="47262.853580287541"/>
    <n v="54"/>
    <n v="53"/>
    <n v="25"/>
    <n v="22"/>
    <n v="12"/>
    <n v="15"/>
    <n v="20"/>
    <n v="16"/>
    <n v="0"/>
    <n v="0"/>
    <n v="0"/>
    <n v="0"/>
    <n v="111"/>
    <n v="106"/>
    <n v="3194241.6968503934"/>
    <n v="2870108.1327272728"/>
    <n v="1220340.6382978724"/>
    <n v="992956.97368421045"/>
    <n v="533896.10526315798"/>
    <n v="590146.73780487815"/>
    <n v="758385.45454545459"/>
    <n v="556650.63529411762"/>
    <n v="0"/>
    <n v="0"/>
    <n v="0"/>
    <n v="0"/>
    <n v="5706863.8949568775"/>
    <n v="5009862.4795104796"/>
  </r>
  <r>
    <x v="5"/>
    <s v="Hopkinsville Community College "/>
    <m/>
    <n v="156860"/>
    <x v="7"/>
    <n v="20"/>
    <m/>
    <m/>
    <n v="18"/>
    <n v="3"/>
    <m/>
    <m/>
    <n v="4"/>
    <n v="14"/>
    <m/>
    <m/>
    <n v="15"/>
    <n v="4"/>
    <m/>
    <m/>
    <n v="5"/>
    <n v="10"/>
    <m/>
    <m/>
    <n v="8"/>
    <n v="1"/>
    <m/>
    <m/>
    <m/>
    <n v="17"/>
    <m/>
    <m/>
    <n v="20"/>
    <m/>
    <m/>
    <m/>
    <m/>
    <m/>
    <m/>
    <m/>
    <m/>
    <m/>
    <m/>
    <m/>
    <m/>
    <m/>
    <m/>
    <m/>
    <m/>
    <m/>
    <m/>
    <m/>
    <m/>
    <n v="1431984"/>
    <n v="1412000"/>
    <n v="892948"/>
    <n v="1008264"/>
    <n v="445449"/>
    <n v="330836"/>
    <n v="659720"/>
    <n v="775216"/>
    <n v="0"/>
    <m/>
    <n v="0"/>
    <m/>
    <n v="213"/>
    <n v="228"/>
    <n v="170"/>
    <n v="210"/>
    <n v="101"/>
    <n v="80"/>
    <n v="153"/>
    <n v="200"/>
    <n v="0"/>
    <n v="0"/>
    <n v="0"/>
    <n v="0"/>
    <n v="6722.929577464789"/>
    <n v="6192.9824561403511"/>
    <n v="5252.6352941176474"/>
    <n v="4801.2571428571428"/>
    <n v="4410.3861386138615"/>
    <n v="4135.45"/>
    <n v="4311.8954248366017"/>
    <n v="3876.08"/>
    <n v="0"/>
    <n v="0"/>
    <n v="0"/>
    <n v="0"/>
    <n v="60506.366197183102"/>
    <n v="55736.84210526316"/>
    <n v="47273.717647058824"/>
    <n v="43211.314285714281"/>
    <n v="39693.475247524751"/>
    <n v="37219.049999999996"/>
    <n v="38807.058823529413"/>
    <n v="34884.720000000001"/>
    <n v="0"/>
    <n v="0"/>
    <n v="0"/>
    <n v="0"/>
    <n v="48390.167650797717"/>
    <n v="44084.051600429644"/>
    <n v="23"/>
    <n v="22"/>
    <n v="18"/>
    <n v="20"/>
    <n v="11"/>
    <n v="8"/>
    <n v="17"/>
    <n v="20"/>
    <n v="0"/>
    <n v="0"/>
    <n v="0"/>
    <n v="0"/>
    <n v="69"/>
    <n v="70"/>
    <n v="1391646.4225352113"/>
    <n v="1226210.5263157894"/>
    <n v="850926.91764705884"/>
    <n v="864226.28571428568"/>
    <n v="436628.22772277228"/>
    <n v="297752.39999999997"/>
    <n v="659720"/>
    <n v="697694.4"/>
    <n v="0"/>
    <n v="0"/>
    <n v="0"/>
    <n v="0"/>
    <n v="3338921.5679050423"/>
    <n v="3085883.6120300749"/>
  </r>
  <r>
    <x v="5"/>
    <s v="Madisonville Community College"/>
    <m/>
    <n v="157304"/>
    <x v="7"/>
    <n v="34"/>
    <m/>
    <m/>
    <n v="33"/>
    <n v="6"/>
    <m/>
    <m/>
    <n v="7"/>
    <n v="23"/>
    <m/>
    <m/>
    <n v="21"/>
    <n v="4"/>
    <m/>
    <m/>
    <n v="2"/>
    <n v="11"/>
    <m/>
    <m/>
    <n v="15"/>
    <n v="2"/>
    <m/>
    <m/>
    <n v="3"/>
    <n v="20"/>
    <m/>
    <m/>
    <n v="18"/>
    <n v="8"/>
    <m/>
    <m/>
    <n v="8"/>
    <m/>
    <m/>
    <m/>
    <m/>
    <m/>
    <m/>
    <m/>
    <m/>
    <m/>
    <m/>
    <m/>
    <m/>
    <m/>
    <m/>
    <m/>
    <m/>
    <n v="2432501"/>
    <n v="2476801"/>
    <n v="1305185"/>
    <n v="1118700"/>
    <n v="548788"/>
    <n v="765309"/>
    <n v="1170936"/>
    <n v="1121608"/>
    <n v="0"/>
    <m/>
    <n v="0"/>
    <m/>
    <n v="372"/>
    <n v="414"/>
    <n v="251"/>
    <n v="234"/>
    <n v="121"/>
    <n v="186"/>
    <n v="268"/>
    <n v="276"/>
    <n v="0"/>
    <n v="0"/>
    <n v="0"/>
    <n v="0"/>
    <n v="6538.9811827956992"/>
    <n v="5982.6111111111113"/>
    <n v="5199.9402390438245"/>
    <n v="4780.7692307692305"/>
    <n v="4535.4380165289258"/>
    <n v="4114.5645161290322"/>
    <n v="4369.1641791044776"/>
    <n v="4063.7971014492755"/>
    <n v="0"/>
    <n v="0"/>
    <n v="0"/>
    <n v="0"/>
    <n v="58850.830645161295"/>
    <n v="53843.5"/>
    <n v="46799.462151394422"/>
    <n v="43026.923076923078"/>
    <n v="40818.942148760332"/>
    <n v="37031.080645161288"/>
    <n v="39322.477611940296"/>
    <n v="36574.17391304348"/>
    <n v="0"/>
    <n v="0"/>
    <n v="0"/>
    <n v="0"/>
    <n v="48604.577082984382"/>
    <n v="44493.899103937052"/>
    <n v="40"/>
    <n v="40"/>
    <n v="27"/>
    <n v="23"/>
    <n v="13"/>
    <n v="18"/>
    <n v="28"/>
    <n v="26"/>
    <n v="0"/>
    <n v="0"/>
    <n v="0"/>
    <n v="0"/>
    <n v="108"/>
    <n v="107"/>
    <n v="2354033.2258064519"/>
    <n v="2153740"/>
    <n v="1263585.4780876494"/>
    <n v="989619.23076923075"/>
    <n v="530646.24793388427"/>
    <n v="666559.45161290315"/>
    <n v="1101029.3731343283"/>
    <n v="950928.52173913049"/>
    <n v="0"/>
    <n v="0"/>
    <n v="0"/>
    <n v="0"/>
    <n v="5249294.3249623133"/>
    <n v="4760847.2041212646"/>
  </r>
  <r>
    <x v="5"/>
    <s v="Maysville Community and Technical College "/>
    <m/>
    <n v="157331"/>
    <x v="7"/>
    <n v="24"/>
    <m/>
    <m/>
    <n v="25"/>
    <n v="5"/>
    <m/>
    <m/>
    <n v="5"/>
    <n v="30"/>
    <m/>
    <m/>
    <n v="27"/>
    <n v="4"/>
    <m/>
    <m/>
    <n v="2"/>
    <n v="9"/>
    <m/>
    <m/>
    <n v="13"/>
    <m/>
    <m/>
    <m/>
    <m/>
    <n v="19"/>
    <m/>
    <m/>
    <n v="18"/>
    <m/>
    <m/>
    <m/>
    <m/>
    <m/>
    <m/>
    <m/>
    <m/>
    <m/>
    <m/>
    <m/>
    <n v="3"/>
    <m/>
    <m/>
    <m/>
    <m/>
    <m/>
    <m/>
    <m/>
    <m/>
    <n v="1825366"/>
    <n v="1901484"/>
    <n v="1653217"/>
    <n v="1433682"/>
    <n v="383381"/>
    <n v="560803"/>
    <n v="722523"/>
    <n v="694648"/>
    <n v="0"/>
    <n v="83667"/>
    <n v="0"/>
    <m/>
    <n v="271"/>
    <n v="310"/>
    <n v="314"/>
    <n v="294"/>
    <n v="81"/>
    <n v="130"/>
    <n v="171"/>
    <n v="180"/>
    <n v="0"/>
    <n v="36"/>
    <n v="0"/>
    <n v="0"/>
    <n v="6735.6678966789668"/>
    <n v="6133.8193548387098"/>
    <n v="5265.0222929936308"/>
    <n v="4876.4693877551017"/>
    <n v="4733.0987654320988"/>
    <n v="4313.8692307692309"/>
    <n v="4225.2807017543855"/>
    <n v="3859.1555555555556"/>
    <n v="0"/>
    <n v="2324.0833333333335"/>
    <n v="0"/>
    <n v="0"/>
    <n v="60621.011070110704"/>
    <n v="55204.374193548385"/>
    <n v="47385.200636942674"/>
    <n v="43888.224489795917"/>
    <n v="42597.888888888891"/>
    <n v="38824.823076923079"/>
    <n v="38027.526315789466"/>
    <n v="34732.400000000001"/>
    <n v="0"/>
    <n v="20916.75"/>
    <n v="0"/>
    <n v="0"/>
    <n v="49175.935633947927"/>
    <n v="44317.697699037999"/>
    <n v="29"/>
    <n v="30"/>
    <n v="34"/>
    <n v="29"/>
    <n v="9"/>
    <n v="13"/>
    <n v="19"/>
    <n v="18"/>
    <n v="0"/>
    <n v="3"/>
    <n v="0"/>
    <n v="0"/>
    <n v="91"/>
    <n v="93"/>
    <n v="1758009.3210332105"/>
    <n v="1656131.2258064516"/>
    <n v="1611096.8216560509"/>
    <n v="1272758.5102040817"/>
    <n v="383381"/>
    <n v="504722.7"/>
    <n v="722522.99999999988"/>
    <n v="625183.20000000007"/>
    <n v="0"/>
    <n v="62750.25"/>
    <n v="0"/>
    <n v="0"/>
    <n v="4475010.1426892616"/>
    <n v="4121545.8860105341"/>
  </r>
  <r>
    <x v="5"/>
    <s v="Owensboro Community and Technical College "/>
    <m/>
    <n v="247940"/>
    <x v="7"/>
    <n v="17"/>
    <m/>
    <m/>
    <n v="18"/>
    <n v="1"/>
    <m/>
    <m/>
    <n v="1"/>
    <n v="35"/>
    <m/>
    <m/>
    <n v="35"/>
    <n v="4"/>
    <m/>
    <m/>
    <n v="3"/>
    <n v="15"/>
    <m/>
    <m/>
    <n v="11"/>
    <n v="4"/>
    <m/>
    <m/>
    <n v="4"/>
    <n v="21"/>
    <m/>
    <m/>
    <n v="24"/>
    <n v="2"/>
    <m/>
    <m/>
    <n v="1"/>
    <m/>
    <m/>
    <m/>
    <m/>
    <m/>
    <m/>
    <m/>
    <m/>
    <m/>
    <m/>
    <m/>
    <m/>
    <m/>
    <m/>
    <m/>
    <m/>
    <n v="1094547"/>
    <n v="1169963"/>
    <n v="1970338"/>
    <n v="1911610"/>
    <n v="784926"/>
    <n v="647580"/>
    <n v="906863.99999999988"/>
    <n v="988260"/>
    <n v="0"/>
    <m/>
    <n v="0"/>
    <m/>
    <n v="164"/>
    <n v="192"/>
    <n v="359"/>
    <n v="386"/>
    <n v="179"/>
    <n v="158"/>
    <n v="211"/>
    <n v="252"/>
    <n v="0"/>
    <n v="0"/>
    <n v="0"/>
    <n v="0"/>
    <n v="6674.0670731707314"/>
    <n v="6093.557291666667"/>
    <n v="5488.4066852367687"/>
    <n v="4952.3575129533683"/>
    <n v="4385.0614525139663"/>
    <n v="4098.6075949367087"/>
    <n v="4297.9336492890989"/>
    <n v="3921.6666666666665"/>
    <n v="0"/>
    <n v="0"/>
    <n v="0"/>
    <n v="0"/>
    <n v="60066.60365853658"/>
    <n v="54842.015625"/>
    <n v="49395.660167130918"/>
    <n v="44571.217616580318"/>
    <n v="39465.553072625698"/>
    <n v="36887.468354430377"/>
    <n v="38681.402843601893"/>
    <n v="35295"/>
    <n v="0"/>
    <n v="0"/>
    <n v="0"/>
    <n v="0"/>
    <n v="46940.88268842925"/>
    <n v="43004.037027025857"/>
    <n v="18"/>
    <n v="19"/>
    <n v="39"/>
    <n v="38"/>
    <n v="19"/>
    <n v="15"/>
    <n v="23"/>
    <n v="25"/>
    <n v="0"/>
    <n v="0"/>
    <n v="0"/>
    <n v="0"/>
    <n v="99"/>
    <n v="97"/>
    <n v="1081198.8658536584"/>
    <n v="1041998.296875"/>
    <n v="1926430.7465181057"/>
    <n v="1693706.269430052"/>
    <n v="749845.50837988826"/>
    <n v="553312.02531645563"/>
    <n v="889672.26540284348"/>
    <n v="882375"/>
    <n v="0"/>
    <n v="0"/>
    <n v="0"/>
    <n v="0"/>
    <n v="4647147.3861544961"/>
    <n v="4171391.5916215084"/>
  </r>
  <r>
    <x v="5"/>
    <s v="Somerset Community and Technical College "/>
    <m/>
    <n v="157711"/>
    <x v="7"/>
    <n v="44"/>
    <m/>
    <m/>
    <n v="46"/>
    <n v="8"/>
    <m/>
    <m/>
    <n v="8"/>
    <n v="40"/>
    <m/>
    <m/>
    <n v="37"/>
    <n v="6"/>
    <m/>
    <m/>
    <n v="6"/>
    <n v="22"/>
    <m/>
    <m/>
    <n v="33"/>
    <n v="4"/>
    <m/>
    <m/>
    <n v="5"/>
    <n v="49"/>
    <m/>
    <m/>
    <n v="38"/>
    <n v="7"/>
    <m/>
    <m/>
    <n v="10"/>
    <m/>
    <m/>
    <m/>
    <m/>
    <m/>
    <m/>
    <m/>
    <m/>
    <m/>
    <m/>
    <m/>
    <m/>
    <m/>
    <m/>
    <m/>
    <m/>
    <n v="3169617"/>
    <n v="3359780"/>
    <n v="2351740"/>
    <n v="2184535"/>
    <n v="1110484"/>
    <n v="1635032"/>
    <n v="2072120"/>
    <n v="1824618"/>
    <n v="0"/>
    <m/>
    <n v="0"/>
    <m/>
    <n v="484"/>
    <n v="556"/>
    <n v="426"/>
    <n v="442"/>
    <n v="242"/>
    <n v="390"/>
    <n v="518"/>
    <n v="500"/>
    <n v="0"/>
    <n v="0"/>
    <n v="0"/>
    <n v="0"/>
    <n v="6548.795454545455"/>
    <n v="6042.7697841726622"/>
    <n v="5520.5164319248825"/>
    <n v="4942.3868778280539"/>
    <n v="4588.7768595041325"/>
    <n v="4192.3897435897434"/>
    <n v="4000.23166023166"/>
    <n v="3649.2359999999999"/>
    <n v="0"/>
    <n v="0"/>
    <n v="0"/>
    <n v="0"/>
    <n v="58939.159090909096"/>
    <n v="54384.92805755396"/>
    <n v="49684.647887323939"/>
    <n v="44481.481900452483"/>
    <n v="41298.991735537194"/>
    <n v="37731.507692307692"/>
    <n v="36002.084942084941"/>
    <n v="32843.123999999996"/>
    <n v="0"/>
    <n v="0"/>
    <n v="0"/>
    <n v="0"/>
    <n v="46890.11454124943"/>
    <n v="42949.492246639689"/>
    <n v="52"/>
    <n v="54"/>
    <n v="46"/>
    <n v="43"/>
    <n v="26"/>
    <n v="38"/>
    <n v="56"/>
    <n v="48"/>
    <n v="0"/>
    <n v="0"/>
    <n v="0"/>
    <n v="0"/>
    <n v="180"/>
    <n v="183"/>
    <n v="3064836.2727272729"/>
    <n v="2936786.115107914"/>
    <n v="2285493.8028169014"/>
    <n v="1912703.7217194568"/>
    <n v="1073773.7851239671"/>
    <n v="1433797.2923076923"/>
    <n v="2016116.7567567567"/>
    <n v="1576469.9519999998"/>
    <n v="0"/>
    <n v="0"/>
    <n v="0"/>
    <n v="0"/>
    <n v="8440220.6174248978"/>
    <n v="7859757.0811350634"/>
  </r>
  <r>
    <x v="5"/>
    <s v="Southeast Kentucky Community and Technical College"/>
    <m/>
    <n v="157739"/>
    <x v="7"/>
    <n v="31"/>
    <m/>
    <m/>
    <n v="30"/>
    <n v="8"/>
    <m/>
    <m/>
    <n v="8"/>
    <n v="19"/>
    <m/>
    <m/>
    <n v="19"/>
    <n v="8"/>
    <m/>
    <m/>
    <n v="8"/>
    <n v="9"/>
    <m/>
    <m/>
    <n v="12"/>
    <n v="1"/>
    <m/>
    <m/>
    <m/>
    <n v="19"/>
    <m/>
    <m/>
    <n v="19"/>
    <n v="1"/>
    <m/>
    <m/>
    <n v="4"/>
    <m/>
    <m/>
    <m/>
    <m/>
    <m/>
    <m/>
    <m/>
    <n v="2"/>
    <m/>
    <m/>
    <m/>
    <m/>
    <m/>
    <m/>
    <m/>
    <m/>
    <n v="2442199"/>
    <n v="2416700"/>
    <n v="1379047"/>
    <n v="1409107"/>
    <n v="415111"/>
    <n v="499033"/>
    <n v="749534"/>
    <n v="958302"/>
    <n v="0"/>
    <n v="50676"/>
    <n v="0"/>
    <m/>
    <n v="367"/>
    <n v="396"/>
    <n v="259"/>
    <n v="286"/>
    <n v="92"/>
    <n v="120"/>
    <n v="182"/>
    <n v="238"/>
    <n v="0"/>
    <n v="24"/>
    <n v="0"/>
    <n v="0"/>
    <n v="6654.4931880108988"/>
    <n v="6102.7777777777774"/>
    <n v="5324.5057915057914"/>
    <n v="4926.9475524475529"/>
    <n v="4512.076086956522"/>
    <n v="4158.6083333333336"/>
    <n v="4118.3186813186812"/>
    <n v="4026.4789915966385"/>
    <n v="0"/>
    <n v="2111.5"/>
    <n v="0"/>
    <n v="0"/>
    <n v="59890.438692098091"/>
    <n v="54925"/>
    <n v="47920.552123552123"/>
    <n v="44342.52797202798"/>
    <n v="40608.684782608696"/>
    <n v="37427.475000000006"/>
    <n v="37064.868131868134"/>
    <n v="36238.310924369747"/>
    <n v="0"/>
    <n v="19003.5"/>
    <n v="0"/>
    <n v="0"/>
    <n v="49760.064862408151"/>
    <n v="45147.216730443724"/>
    <n v="39"/>
    <n v="38"/>
    <n v="27"/>
    <n v="27"/>
    <n v="10"/>
    <n v="12"/>
    <n v="20"/>
    <n v="23"/>
    <n v="0"/>
    <n v="2"/>
    <n v="0"/>
    <n v="0"/>
    <n v="96"/>
    <n v="102"/>
    <n v="2335727.1089918255"/>
    <n v="2087150"/>
    <n v="1293854.9073359072"/>
    <n v="1197248.2552447554"/>
    <n v="406086.84782608697"/>
    <n v="449129.70000000007"/>
    <n v="741297.36263736268"/>
    <n v="833481.15126050415"/>
    <n v="0"/>
    <n v="38007"/>
    <n v="0"/>
    <n v="0"/>
    <n v="4776966.2267911825"/>
    <n v="4605016.1065052599"/>
  </r>
  <r>
    <x v="5"/>
    <s v="West Kentucky Community and Technical College"/>
    <m/>
    <n v="157483"/>
    <x v="7"/>
    <n v="35"/>
    <m/>
    <m/>
    <n v="36"/>
    <n v="15"/>
    <m/>
    <m/>
    <n v="14"/>
    <n v="29"/>
    <m/>
    <m/>
    <n v="26"/>
    <n v="7"/>
    <m/>
    <m/>
    <n v="8"/>
    <n v="17"/>
    <m/>
    <m/>
    <n v="15"/>
    <n v="4"/>
    <m/>
    <m/>
    <n v="9"/>
    <n v="11"/>
    <m/>
    <m/>
    <n v="12"/>
    <n v="22"/>
    <m/>
    <m/>
    <n v="23"/>
    <m/>
    <m/>
    <m/>
    <m/>
    <m/>
    <m/>
    <m/>
    <m/>
    <m/>
    <m/>
    <m/>
    <m/>
    <m/>
    <m/>
    <m/>
    <m/>
    <n v="3126486"/>
    <n v="3135912"/>
    <n v="1786032"/>
    <n v="1726634"/>
    <n v="924264"/>
    <n v="1131545"/>
    <n v="1499855"/>
    <n v="1578045"/>
    <n v="0"/>
    <m/>
    <n v="0"/>
    <m/>
    <n v="480"/>
    <n v="528"/>
    <n v="338"/>
    <n v="356"/>
    <n v="197"/>
    <n v="258"/>
    <n v="341"/>
    <n v="396"/>
    <n v="0"/>
    <n v="0"/>
    <n v="0"/>
    <n v="0"/>
    <n v="6513.5124999999998"/>
    <n v="5939.227272727273"/>
    <n v="5284.1183431952659"/>
    <n v="4850.0955056179773"/>
    <n v="4691.6954314720815"/>
    <n v="4385.833333333333"/>
    <n v="4398.4017595307914"/>
    <n v="3984.962121212121"/>
    <n v="0"/>
    <n v="0"/>
    <n v="0"/>
    <n v="0"/>
    <n v="58621.612499999996"/>
    <n v="53453.045454545456"/>
    <n v="47557.065088757394"/>
    <n v="43650.8595505618"/>
    <n v="42225.258883248731"/>
    <n v="39472.5"/>
    <n v="39585.61583577712"/>
    <n v="35864.659090909088"/>
    <n v="0"/>
    <n v="0"/>
    <n v="0"/>
    <n v="0"/>
    <n v="48829.93376660096"/>
    <n v="44471.220738658689"/>
    <n v="50"/>
    <n v="50"/>
    <n v="36"/>
    <n v="34"/>
    <n v="21"/>
    <n v="24"/>
    <n v="33"/>
    <n v="35"/>
    <n v="0"/>
    <n v="0"/>
    <n v="0"/>
    <n v="0"/>
    <n v="140"/>
    <n v="143"/>
    <n v="2931080.625"/>
    <n v="2672652.2727272729"/>
    <n v="1712054.3431952661"/>
    <n v="1484129.2247191011"/>
    <n v="886730.43654822337"/>
    <n v="947340"/>
    <n v="1306325.3225806449"/>
    <n v="1255263.0681818181"/>
    <n v="0"/>
    <n v="0"/>
    <n v="0"/>
    <n v="0"/>
    <n v="6836190.7273241347"/>
    <n v="6359384.5656281924"/>
  </r>
  <r>
    <x v="5"/>
    <s v="Henderson Community College "/>
    <m/>
    <n v="156851"/>
    <x v="8"/>
    <n v="22"/>
    <m/>
    <m/>
    <n v="22"/>
    <n v="3"/>
    <m/>
    <m/>
    <n v="3"/>
    <n v="10"/>
    <m/>
    <m/>
    <n v="11"/>
    <m/>
    <m/>
    <m/>
    <m/>
    <n v="6"/>
    <m/>
    <m/>
    <n v="4"/>
    <n v="1"/>
    <m/>
    <m/>
    <n v="1"/>
    <n v="6"/>
    <m/>
    <m/>
    <n v="9"/>
    <m/>
    <m/>
    <m/>
    <m/>
    <m/>
    <m/>
    <m/>
    <m/>
    <m/>
    <m/>
    <m/>
    <n v="1"/>
    <m/>
    <m/>
    <m/>
    <m/>
    <m/>
    <m/>
    <m/>
    <m/>
    <n v="1555847"/>
    <n v="1593022"/>
    <n v="496713"/>
    <n v="544864"/>
    <n v="309918"/>
    <n v="227878"/>
    <n v="252990"/>
    <n v="380849"/>
    <n v="0"/>
    <n v="17280"/>
    <n v="0"/>
    <m/>
    <n v="231"/>
    <n v="256"/>
    <n v="90"/>
    <n v="110"/>
    <n v="65"/>
    <n v="52"/>
    <n v="54"/>
    <n v="90"/>
    <n v="0"/>
    <n v="12"/>
    <n v="0"/>
    <n v="0"/>
    <n v="6735.2683982683984"/>
    <n v="6222.7421875"/>
    <n v="5519.0333333333338"/>
    <n v="4953.3090909090906"/>
    <n v="4767.9692307692312"/>
    <n v="4382.2692307692305"/>
    <n v="4685"/>
    <n v="4231.6555555555551"/>
    <n v="0"/>
    <n v="1440"/>
    <n v="0"/>
    <n v="0"/>
    <n v="60617.415584415583"/>
    <n v="56004.6796875"/>
    <n v="49671.3"/>
    <n v="44579.781818181815"/>
    <n v="42911.723076923081"/>
    <n v="39440.423076923078"/>
    <n v="42165"/>
    <n v="38084.899999999994"/>
    <n v="0"/>
    <n v="12960"/>
    <n v="0"/>
    <n v="0"/>
    <n v="53448.342732267723"/>
    <n v="47910.21191317874"/>
    <n v="25"/>
    <n v="25"/>
    <n v="10"/>
    <n v="11"/>
    <n v="7"/>
    <n v="5"/>
    <n v="6"/>
    <n v="9"/>
    <n v="0"/>
    <n v="1"/>
    <n v="0"/>
    <n v="0"/>
    <n v="48"/>
    <n v="51"/>
    <n v="1515435.3896103895"/>
    <n v="1400116.9921875"/>
    <n v="496713"/>
    <n v="490377.6"/>
    <n v="300382.0615384616"/>
    <n v="197202.11538461538"/>
    <n v="252990"/>
    <n v="342764.1"/>
    <n v="0"/>
    <n v="12960"/>
    <n v="0"/>
    <n v="0"/>
    <n v="2565520.4511488508"/>
    <n v="2443420.8075721157"/>
  </r>
  <r>
    <x v="5"/>
    <s v="Gateway Community and Technical College"/>
    <m/>
    <n v="157438"/>
    <x v="9"/>
    <n v="5"/>
    <m/>
    <m/>
    <n v="5"/>
    <m/>
    <m/>
    <m/>
    <m/>
    <n v="16"/>
    <m/>
    <m/>
    <n v="15"/>
    <n v="4"/>
    <m/>
    <m/>
    <n v="4"/>
    <n v="17"/>
    <m/>
    <m/>
    <n v="25"/>
    <n v="7"/>
    <m/>
    <m/>
    <n v="9"/>
    <n v="23"/>
    <m/>
    <m/>
    <n v="17"/>
    <n v="16"/>
    <m/>
    <m/>
    <n v="18"/>
    <m/>
    <m/>
    <m/>
    <m/>
    <m/>
    <m/>
    <m/>
    <m/>
    <m/>
    <m/>
    <m/>
    <m/>
    <m/>
    <m/>
    <m/>
    <m/>
    <n v="333173"/>
    <n v="341501"/>
    <n v="1062173"/>
    <n v="1043090"/>
    <n v="1196421"/>
    <n v="1693872"/>
    <n v="1758839"/>
    <n v="1608250"/>
    <n v="0"/>
    <m/>
    <n v="0"/>
    <m/>
    <n v="45"/>
    <n v="50"/>
    <n v="188"/>
    <n v="198"/>
    <n v="230"/>
    <n v="358"/>
    <n v="383"/>
    <n v="386"/>
    <n v="0"/>
    <n v="0"/>
    <n v="0"/>
    <n v="0"/>
    <n v="7403.8444444444449"/>
    <n v="6830.02"/>
    <n v="5649.8563829787236"/>
    <n v="5268.1313131313127"/>
    <n v="5201.8304347826088"/>
    <n v="4731.4860335195526"/>
    <n v="4592.2689295039163"/>
    <n v="4166.4507772020725"/>
    <n v="0"/>
    <n v="0"/>
    <n v="0"/>
    <n v="0"/>
    <n v="66634.600000000006"/>
    <n v="61470.180000000008"/>
    <n v="50848.707446808512"/>
    <n v="47413.181818181816"/>
    <n v="46816.473913043475"/>
    <n v="42583.374301675976"/>
    <n v="41330.420365535247"/>
    <n v="37498.056994818653"/>
    <n v="0"/>
    <n v="0"/>
    <n v="0"/>
    <n v="0"/>
    <n v="46427.601330739635"/>
    <n v="42671.699737861192"/>
    <n v="5"/>
    <n v="5"/>
    <n v="20"/>
    <n v="19"/>
    <n v="24"/>
    <n v="34"/>
    <n v="39"/>
    <n v="35"/>
    <n v="0"/>
    <n v="0"/>
    <n v="0"/>
    <n v="0"/>
    <n v="88"/>
    <n v="93"/>
    <n v="333173"/>
    <n v="307350.90000000002"/>
    <n v="1016974.1489361703"/>
    <n v="900850.45454545447"/>
    <n v="1123595.3739130434"/>
    <n v="1447834.7262569831"/>
    <n v="1611886.3942558747"/>
    <n v="1312431.9948186527"/>
    <n v="0"/>
    <n v="0"/>
    <n v="0"/>
    <n v="0"/>
    <n v="4085628.917105088"/>
    <n v="3968468.0756210908"/>
  </r>
  <r>
    <x v="5"/>
    <s v="Southcentral Kentucky Community and Technical College"/>
    <m/>
    <n v="156338"/>
    <x v="9"/>
    <n v="4"/>
    <m/>
    <m/>
    <n v="7"/>
    <n v="3"/>
    <m/>
    <m/>
    <n v="3"/>
    <n v="15"/>
    <m/>
    <m/>
    <n v="14"/>
    <n v="7"/>
    <m/>
    <m/>
    <n v="7"/>
    <n v="11"/>
    <m/>
    <m/>
    <n v="14"/>
    <n v="5"/>
    <m/>
    <m/>
    <n v="9"/>
    <n v="22"/>
    <m/>
    <m/>
    <n v="15"/>
    <n v="11"/>
    <m/>
    <m/>
    <n v="14"/>
    <m/>
    <m/>
    <m/>
    <m/>
    <m/>
    <m/>
    <m/>
    <m/>
    <m/>
    <m/>
    <m/>
    <m/>
    <m/>
    <m/>
    <m/>
    <m/>
    <n v="433345"/>
    <n v="606659"/>
    <n v="1124145"/>
    <n v="1088418"/>
    <n v="700486"/>
    <n v="1030560"/>
    <n v="1280455"/>
    <n v="1111126"/>
    <n v="0"/>
    <m/>
    <n v="0"/>
    <m/>
    <n v="69"/>
    <n v="106"/>
    <n v="212"/>
    <n v="224"/>
    <n v="154"/>
    <n v="248"/>
    <n v="319"/>
    <n v="318"/>
    <n v="0"/>
    <n v="0"/>
    <n v="0"/>
    <n v="0"/>
    <n v="6280.36231884058"/>
    <n v="5723.1981132075471"/>
    <n v="5302.5707547169814"/>
    <n v="4859.0089285714284"/>
    <n v="4548.6103896103896"/>
    <n v="4155.4838709677415"/>
    <n v="4013.9655172413795"/>
    <n v="3494.1069182389938"/>
    <n v="0"/>
    <n v="0"/>
    <n v="0"/>
    <n v="0"/>
    <n v="56523.260869565216"/>
    <n v="51508.783018867922"/>
    <n v="47723.136792452831"/>
    <n v="43731.080357142855"/>
    <n v="40937.493506493505"/>
    <n v="37399.354838709674"/>
    <n v="36125.689655172413"/>
    <n v="31446.962264150945"/>
    <n v="0"/>
    <n v="0"/>
    <n v="0"/>
    <n v="0"/>
    <n v="42214.352439044931"/>
    <n v="38621.537164329871"/>
    <n v="7"/>
    <n v="10"/>
    <n v="22"/>
    <n v="21"/>
    <n v="16"/>
    <n v="23"/>
    <n v="33"/>
    <n v="29"/>
    <n v="0"/>
    <n v="0"/>
    <n v="0"/>
    <n v="0"/>
    <n v="78"/>
    <n v="83"/>
    <n v="395662.82608695654"/>
    <n v="515087.83018867922"/>
    <n v="1049909.0094339624"/>
    <n v="918352.6875"/>
    <n v="654999.89610389608"/>
    <n v="860185.16129032255"/>
    <n v="1192147.7586206896"/>
    <n v="911961.90566037735"/>
    <n v="0"/>
    <n v="0"/>
    <n v="0"/>
    <n v="0"/>
    <n v="3292719.4902455048"/>
    <n v="3205587.5846393793"/>
  </r>
  <r>
    <x v="6"/>
    <s v="Louisiana State University and A&amp;M College"/>
    <m/>
    <n v="159391"/>
    <x v="0"/>
    <n v="352"/>
    <n v="360"/>
    <m/>
    <m/>
    <n v="56"/>
    <m/>
    <m/>
    <n v="58"/>
    <n v="277"/>
    <n v="289"/>
    <m/>
    <m/>
    <n v="21"/>
    <m/>
    <m/>
    <n v="23"/>
    <n v="220"/>
    <n v="228"/>
    <m/>
    <m/>
    <n v="32"/>
    <m/>
    <m/>
    <n v="36"/>
    <n v="175"/>
    <n v="201"/>
    <m/>
    <m/>
    <n v="14"/>
    <m/>
    <m/>
    <n v="14"/>
    <n v="15"/>
    <n v="16"/>
    <m/>
    <m/>
    <n v="4"/>
    <m/>
    <m/>
    <n v="5"/>
    <n v="0"/>
    <m/>
    <m/>
    <m/>
    <n v="0"/>
    <m/>
    <m/>
    <m/>
    <n v="45980352"/>
    <n v="46873584"/>
    <n v="23834709"/>
    <n v="24521013"/>
    <n v="18026796"/>
    <n v="19161214"/>
    <n v="8490811"/>
    <n v="9383323"/>
    <n v="1215043"/>
    <n v="1413269"/>
    <n v="0"/>
    <m/>
    <n v="3784"/>
    <n v="3936"/>
    <n v="2724"/>
    <n v="2877"/>
    <n v="2332"/>
    <n v="2484"/>
    <n v="1729"/>
    <n v="1977"/>
    <n v="179"/>
    <n v="204"/>
    <n v="0"/>
    <n v="0"/>
    <n v="12151.255813953489"/>
    <n v="11908.939024390244"/>
    <n v="8749.8931718061667"/>
    <n v="8523.1188738269029"/>
    <n v="7730.1869639794168"/>
    <n v="7713.8542673107886"/>
    <n v="4910.821862348178"/>
    <n v="4746.2432979261512"/>
    <n v="6787.9497206703909"/>
    <n v="6927.7892156862745"/>
    <n v="0"/>
    <n v="0"/>
    <n v="109361.3023255814"/>
    <n v="107180.45121951219"/>
    <n v="78749.038546255499"/>
    <n v="76708.069864442121"/>
    <n v="69571.682675814751"/>
    <n v="69424.688405797104"/>
    <n v="44197.396761133605"/>
    <n v="42716.18968133536"/>
    <n v="61091.547486033516"/>
    <n v="62350.102941176468"/>
    <n v="0"/>
    <n v="0"/>
    <n v="81588.967632946471"/>
    <n v="79313.656170605114"/>
    <n v="408"/>
    <n v="418"/>
    <n v="298"/>
    <n v="312"/>
    <n v="252"/>
    <n v="264"/>
    <n v="189"/>
    <n v="215"/>
    <n v="19"/>
    <n v="21"/>
    <n v="0"/>
    <n v="0"/>
    <n v="1166"/>
    <n v="1230"/>
    <n v="44619411.348837212"/>
    <n v="44801428.609756097"/>
    <n v="23467213.486784138"/>
    <n v="23932917.797705941"/>
    <n v="17532064.034305315"/>
    <n v="18328117.739130434"/>
    <n v="8353307.9878542516"/>
    <n v="9183980.7814871017"/>
    <n v="1160739.4022346367"/>
    <n v="1309352.1617647058"/>
    <n v="0"/>
    <n v="0"/>
    <n v="95132736.260015592"/>
    <n v="97555797.089844286"/>
  </r>
  <r>
    <x v="6"/>
    <s v="Louisiana Tech University "/>
    <m/>
    <n v="159647"/>
    <x v="1"/>
    <n v="45"/>
    <n v="41"/>
    <m/>
    <n v="1"/>
    <n v="30"/>
    <m/>
    <m/>
    <n v="32"/>
    <n v="85"/>
    <n v="102"/>
    <m/>
    <m/>
    <n v="11"/>
    <m/>
    <m/>
    <n v="12"/>
    <n v="118"/>
    <n v="118"/>
    <m/>
    <n v="1"/>
    <n v="8"/>
    <m/>
    <m/>
    <n v="6"/>
    <n v="45"/>
    <n v="44"/>
    <m/>
    <m/>
    <n v="8"/>
    <m/>
    <m/>
    <n v="10"/>
    <n v="16"/>
    <n v="16"/>
    <m/>
    <m/>
    <n v="0"/>
    <m/>
    <m/>
    <n v="1"/>
    <n v="0"/>
    <m/>
    <m/>
    <m/>
    <n v="0"/>
    <m/>
    <m/>
    <m/>
    <n v="6854385"/>
    <n v="6984610"/>
    <n v="6834766"/>
    <n v="7953762"/>
    <n v="7653804"/>
    <n v="7559180"/>
    <n v="2120170"/>
    <n v="2187267"/>
    <n v="996432"/>
    <n v="1034115"/>
    <n v="0"/>
    <m/>
    <n v="735"/>
    <n v="763"/>
    <n v="886"/>
    <n v="1062"/>
    <n v="1150"/>
    <n v="1144"/>
    <n v="493"/>
    <n v="516"/>
    <n v="144"/>
    <n v="156"/>
    <n v="0"/>
    <n v="0"/>
    <n v="9325.6938775510207"/>
    <n v="9154.1415465268674"/>
    <n v="7714.1828442437927"/>
    <n v="7489.4180790960454"/>
    <n v="6655.481739130435"/>
    <n v="6607.6748251748249"/>
    <n v="4300.5476673427993"/>
    <n v="4238.8895348837214"/>
    <n v="6919.666666666667"/>
    <n v="6628.9423076923076"/>
    <n v="0"/>
    <n v="0"/>
    <n v="83931.244897959186"/>
    <n v="82387.273918741805"/>
    <n v="69427.64559819414"/>
    <n v="67404.762711864401"/>
    <n v="59899.335652173919"/>
    <n v="59469.073426573421"/>
    <n v="38704.929006085193"/>
    <n v="38150.005813953496"/>
    <n v="62277"/>
    <n v="59660.480769230766"/>
    <n v="0"/>
    <n v="0"/>
    <n v="64357.94227942625"/>
    <n v="63251.989282530012"/>
    <n v="75"/>
    <n v="74"/>
    <n v="96"/>
    <n v="114"/>
    <n v="126"/>
    <n v="125"/>
    <n v="53"/>
    <n v="54"/>
    <n v="16"/>
    <n v="17"/>
    <n v="0"/>
    <n v="0"/>
    <n v="366"/>
    <n v="384"/>
    <n v="6294843.3673469387"/>
    <n v="6096658.269986894"/>
    <n v="6665053.977426637"/>
    <n v="7684142.9491525413"/>
    <n v="7547316.2921739137"/>
    <n v="7433634.1783216773"/>
    <n v="2051361.2373225151"/>
    <n v="2060100.3139534888"/>
    <n v="996432"/>
    <n v="1014228.173076923"/>
    <n v="0"/>
    <n v="0"/>
    <n v="23555006.874270007"/>
    <n v="24288763.884491526"/>
  </r>
  <r>
    <x v="6"/>
    <s v="University of Louisiana at Lafayette"/>
    <m/>
    <n v="160658"/>
    <x v="1"/>
    <n v="141"/>
    <n v="149"/>
    <m/>
    <m/>
    <n v="1"/>
    <m/>
    <m/>
    <n v="2"/>
    <n v="131"/>
    <n v="120"/>
    <m/>
    <m/>
    <n v="1"/>
    <m/>
    <m/>
    <n v="3"/>
    <n v="147"/>
    <n v="143"/>
    <m/>
    <m/>
    <n v="1"/>
    <m/>
    <m/>
    <n v="2"/>
    <n v="158"/>
    <n v="172"/>
    <m/>
    <m/>
    <n v="4"/>
    <m/>
    <m/>
    <n v="11"/>
    <n v="0"/>
    <m/>
    <m/>
    <m/>
    <n v="0"/>
    <m/>
    <m/>
    <m/>
    <n v="0"/>
    <m/>
    <m/>
    <m/>
    <n v="0"/>
    <m/>
    <m/>
    <m/>
    <n v="14418062"/>
    <n v="14959090"/>
    <n v="9854591"/>
    <n v="9072317"/>
    <n v="8828546"/>
    <n v="8797639"/>
    <n v="7287298"/>
    <n v="7649720"/>
    <n v="0"/>
    <m/>
    <n v="0"/>
    <m/>
    <n v="1280"/>
    <n v="1365"/>
    <n v="1190"/>
    <n v="1116"/>
    <n v="1334"/>
    <n v="1311"/>
    <n v="1466"/>
    <n v="1680"/>
    <n v="0"/>
    <n v="0"/>
    <n v="0"/>
    <n v="0"/>
    <n v="11264.1109375"/>
    <n v="10959.040293040292"/>
    <n v="8281.1689075630256"/>
    <n v="8129.3163082437277"/>
    <n v="6618.1004497751128"/>
    <n v="6710.6323417238746"/>
    <n v="4970.8717598908597"/>
    <n v="4553.4047619047615"/>
    <n v="0"/>
    <n v="0"/>
    <n v="0"/>
    <n v="0"/>
    <n v="101376.99843749999"/>
    <n v="98631.362637362632"/>
    <n v="74530.520168067233"/>
    <n v="73163.846774193546"/>
    <n v="59562.904047976015"/>
    <n v="60395.691075514871"/>
    <n v="44737.84583901774"/>
    <n v="40980.642857142855"/>
    <n v="0"/>
    <n v="0"/>
    <n v="0"/>
    <n v="0"/>
    <n v="69000.690522827397"/>
    <n v="66693.225515405924"/>
    <n v="142"/>
    <n v="151"/>
    <n v="132"/>
    <n v="123"/>
    <n v="148"/>
    <n v="145"/>
    <n v="162"/>
    <n v="183"/>
    <n v="0"/>
    <n v="0"/>
    <n v="0"/>
    <n v="0"/>
    <n v="584"/>
    <n v="602"/>
    <n v="14395533.778124999"/>
    <n v="14893335.758241758"/>
    <n v="9838028.6621848755"/>
    <n v="8999153.1532258056"/>
    <n v="8815309.7991004512"/>
    <n v="8757375.2059496567"/>
    <n v="7247531.0259208735"/>
    <n v="7499457.6428571427"/>
    <n v="0"/>
    <n v="0"/>
    <n v="0"/>
    <n v="0"/>
    <n v="40296403.265331201"/>
    <n v="40149321.760274366"/>
  </r>
  <r>
    <x v="6"/>
    <s v="University of New Orleans"/>
    <m/>
    <n v="159939"/>
    <x v="1"/>
    <n v="121"/>
    <n v="102"/>
    <m/>
    <m/>
    <n v="6"/>
    <m/>
    <m/>
    <n v="2"/>
    <n v="90"/>
    <n v="76"/>
    <m/>
    <m/>
    <n v="8"/>
    <m/>
    <m/>
    <n v="3"/>
    <n v="70"/>
    <n v="74"/>
    <m/>
    <m/>
    <n v="1"/>
    <m/>
    <m/>
    <n v="2"/>
    <n v="66"/>
    <n v="52"/>
    <m/>
    <m/>
    <n v="1"/>
    <m/>
    <m/>
    <n v="1"/>
    <n v="0"/>
    <m/>
    <m/>
    <m/>
    <n v="0"/>
    <m/>
    <m/>
    <m/>
    <n v="0"/>
    <m/>
    <m/>
    <m/>
    <n v="0"/>
    <m/>
    <m/>
    <m/>
    <n v="11144306"/>
    <n v="9194613"/>
    <n v="6306480"/>
    <n v="5227410"/>
    <n v="4335060"/>
    <n v="4728164"/>
    <n v="2639056"/>
    <n v="2050708"/>
    <n v="0"/>
    <m/>
    <n v="0"/>
    <m/>
    <n v="1155"/>
    <n v="942"/>
    <n v="898"/>
    <n v="720"/>
    <n v="641"/>
    <n v="690"/>
    <n v="605"/>
    <n v="480"/>
    <n v="0"/>
    <n v="0"/>
    <n v="0"/>
    <n v="0"/>
    <n v="9648.7497835497834"/>
    <n v="9760.7356687898082"/>
    <n v="7022.8062360801778"/>
    <n v="7260.291666666667"/>
    <n v="6762.9641185647424"/>
    <n v="6852.4115942028984"/>
    <n v="4362.0760330578514"/>
    <n v="4272.3083333333334"/>
    <n v="0"/>
    <n v="0"/>
    <n v="0"/>
    <n v="0"/>
    <n v="86838.748051948045"/>
    <n v="87846.621019108279"/>
    <n v="63205.2561247216"/>
    <n v="65342.625"/>
    <n v="60866.677067082681"/>
    <n v="61671.704347826089"/>
    <n v="39258.68429752066"/>
    <n v="38450.775000000001"/>
    <n v="0"/>
    <n v="0"/>
    <n v="0"/>
    <n v="0"/>
    <n v="66596.424304454194"/>
    <n v="67381.591559045002"/>
    <n v="127"/>
    <n v="104"/>
    <n v="98"/>
    <n v="79"/>
    <n v="71"/>
    <n v="76"/>
    <n v="67"/>
    <n v="53"/>
    <n v="0"/>
    <n v="0"/>
    <n v="0"/>
    <n v="0"/>
    <n v="363"/>
    <n v="312"/>
    <n v="11028521.002597401"/>
    <n v="9136048.5859872606"/>
    <n v="6194115.100222717"/>
    <n v="5162067.375"/>
    <n v="4321534.0717628701"/>
    <n v="4687049.5304347826"/>
    <n v="2630331.8479338842"/>
    <n v="2037891.0750000002"/>
    <n v="0"/>
    <n v="0"/>
    <n v="0"/>
    <n v="0"/>
    <n v="24174502.022516873"/>
    <n v="21023056.566422042"/>
  </r>
  <r>
    <x v="6"/>
    <s v="Southeastern Louisiana University "/>
    <m/>
    <n v="160612"/>
    <x v="2"/>
    <n v="91"/>
    <n v="90"/>
    <m/>
    <m/>
    <n v="12"/>
    <m/>
    <m/>
    <m/>
    <n v="101"/>
    <n v="98"/>
    <m/>
    <m/>
    <n v="5"/>
    <m/>
    <m/>
    <m/>
    <n v="74"/>
    <n v="66"/>
    <m/>
    <m/>
    <n v="1"/>
    <m/>
    <m/>
    <m/>
    <n v="215"/>
    <n v="213"/>
    <m/>
    <m/>
    <n v="1"/>
    <m/>
    <m/>
    <m/>
    <n v="0"/>
    <m/>
    <m/>
    <m/>
    <n v="0"/>
    <m/>
    <m/>
    <m/>
    <n v="0"/>
    <m/>
    <m/>
    <m/>
    <n v="0"/>
    <m/>
    <m/>
    <m/>
    <n v="8308702"/>
    <n v="6931881"/>
    <n v="7139712"/>
    <n v="6416986"/>
    <n v="4368507"/>
    <n v="3778691"/>
    <n v="9680244"/>
    <n v="9310924"/>
    <n v="0"/>
    <m/>
    <n v="0"/>
    <m/>
    <n v="951"/>
    <n v="810"/>
    <n v="964"/>
    <n v="882"/>
    <n v="677"/>
    <n v="594"/>
    <n v="1946"/>
    <n v="1917"/>
    <n v="0"/>
    <n v="0"/>
    <n v="0"/>
    <n v="0"/>
    <n v="8736.805467928496"/>
    <n v="8557.8777777777777"/>
    <n v="7406.340248962656"/>
    <n v="7275.49433106576"/>
    <n v="6452.7429837518466"/>
    <n v="6361.4326599326596"/>
    <n v="4974.4316546762593"/>
    <n v="4857.0286906624933"/>
    <n v="0"/>
    <n v="0"/>
    <n v="0"/>
    <n v="0"/>
    <n v="78631.249211356466"/>
    <n v="77020.899999999994"/>
    <n v="66657.062240663901"/>
    <n v="65479.448979591842"/>
    <n v="58074.686853766616"/>
    <n v="57252.893939393936"/>
    <n v="44769.884892086331"/>
    <n v="43713.258215962444"/>
    <n v="0"/>
    <n v="0"/>
    <n v="0"/>
    <n v="0"/>
    <n v="58381.12783400646"/>
    <n v="56613.451820128481"/>
    <n v="103"/>
    <n v="90"/>
    <n v="106"/>
    <n v="98"/>
    <n v="75"/>
    <n v="66"/>
    <n v="216"/>
    <n v="213"/>
    <n v="0"/>
    <n v="0"/>
    <n v="0"/>
    <n v="0"/>
    <n v="500"/>
    <n v="467"/>
    <n v="8099018.6687697163"/>
    <n v="6931880.9999999991"/>
    <n v="7065648.5975103732"/>
    <n v="6416986.0000000009"/>
    <n v="4355601.5140324961"/>
    <n v="3778691"/>
    <n v="9670295.1366906483"/>
    <n v="9310924"/>
    <n v="0"/>
    <n v="0"/>
    <n v="0"/>
    <n v="0"/>
    <n v="29190563.917003229"/>
    <n v="26438482"/>
  </r>
  <r>
    <x v="6"/>
    <s v="Southern University and A&amp;M College at Baton Rouge "/>
    <s v="Met the criteria for Four-Year 2 in 2012-13."/>
    <n v="160621"/>
    <x v="2"/>
    <n v="127"/>
    <m/>
    <m/>
    <n v="96"/>
    <n v="6"/>
    <m/>
    <m/>
    <n v="8"/>
    <n v="79"/>
    <m/>
    <m/>
    <n v="57"/>
    <n v="3"/>
    <m/>
    <m/>
    <n v="2"/>
    <n v="98"/>
    <m/>
    <m/>
    <n v="80"/>
    <n v="3"/>
    <m/>
    <m/>
    <n v="4"/>
    <n v="48"/>
    <m/>
    <m/>
    <n v="1"/>
    <n v="4"/>
    <m/>
    <m/>
    <n v="2"/>
    <n v="3"/>
    <m/>
    <m/>
    <n v="49"/>
    <n v="1"/>
    <m/>
    <m/>
    <n v="46"/>
    <n v="0"/>
    <m/>
    <m/>
    <m/>
    <n v="0"/>
    <m/>
    <m/>
    <m/>
    <n v="10537017"/>
    <n v="7996774"/>
    <n v="5243159"/>
    <n v="3555700"/>
    <n v="5415941"/>
    <n v="4668217"/>
    <n v="2704268"/>
    <n v="155623"/>
    <n v="193988"/>
    <n v="4613207"/>
    <n v="0"/>
    <m/>
    <n v="1209"/>
    <n v="1056"/>
    <n v="744"/>
    <n v="594"/>
    <n v="915"/>
    <n v="848"/>
    <n v="476"/>
    <n v="34"/>
    <n v="38"/>
    <n v="1042"/>
    <n v="0"/>
    <n v="0"/>
    <n v="8715.4813895781645"/>
    <n v="7572.702651515152"/>
    <n v="7047.2567204301076"/>
    <n v="5986.0269360269358"/>
    <n v="5919.0612021857924"/>
    <n v="5504.9728773584902"/>
    <n v="5681.2352941176468"/>
    <n v="4577.1470588235297"/>
    <n v="5104.9473684210525"/>
    <n v="4427.2619961612281"/>
    <n v="0"/>
    <n v="0"/>
    <n v="78439.332506203486"/>
    <n v="68154.323863636368"/>
    <n v="63425.31048387097"/>
    <n v="53874.242424242424"/>
    <n v="53271.550819672135"/>
    <n v="49544.755896226416"/>
    <n v="51131.117647058825"/>
    <n v="41194.323529411769"/>
    <n v="45944.526315789473"/>
    <n v="39845.357965451054"/>
    <n v="0"/>
    <n v="0"/>
    <n v="64129.918114783832"/>
    <n v="53151.540456340837"/>
    <n v="133"/>
    <n v="104"/>
    <n v="82"/>
    <n v="59"/>
    <n v="101"/>
    <n v="84"/>
    <n v="52"/>
    <n v="3"/>
    <n v="4"/>
    <n v="95"/>
    <n v="0"/>
    <n v="0"/>
    <n v="372"/>
    <n v="345"/>
    <n v="10432431.223325064"/>
    <n v="7088049.6818181826"/>
    <n v="5200875.4596774196"/>
    <n v="3178580.3030303032"/>
    <n v="5380426.6327868858"/>
    <n v="4161759.4952830188"/>
    <n v="2658818.1176470588"/>
    <n v="123582.9705882353"/>
    <n v="183778.10526315789"/>
    <n v="3785309.00671785"/>
    <n v="0"/>
    <n v="0"/>
    <n v="23856329.538699586"/>
    <n v="18337281.45743759"/>
  </r>
  <r>
    <x v="6"/>
    <s v="University of Louisiana at Monroe"/>
    <m/>
    <n v="159993"/>
    <x v="2"/>
    <n v="50"/>
    <n v="40"/>
    <m/>
    <m/>
    <n v="6"/>
    <n v="10"/>
    <m/>
    <m/>
    <n v="91"/>
    <n v="78"/>
    <m/>
    <m/>
    <n v="5"/>
    <n v="22"/>
    <m/>
    <m/>
    <n v="125"/>
    <n v="79"/>
    <m/>
    <m/>
    <n v="3"/>
    <n v="29"/>
    <m/>
    <m/>
    <n v="56"/>
    <n v="47"/>
    <m/>
    <m/>
    <n v="2"/>
    <n v="3"/>
    <m/>
    <m/>
    <n v="0"/>
    <m/>
    <m/>
    <m/>
    <n v="0"/>
    <m/>
    <m/>
    <m/>
    <n v="0"/>
    <m/>
    <m/>
    <m/>
    <n v="0"/>
    <m/>
    <m/>
    <m/>
    <n v="4601178"/>
    <n v="4073815"/>
    <n v="6750096"/>
    <n v="6857808"/>
    <n v="7848472"/>
    <n v="6754454"/>
    <n v="2366608"/>
    <n v="2082031"/>
    <n v="0"/>
    <m/>
    <n v="0"/>
    <m/>
    <n v="516"/>
    <n v="470"/>
    <n v="874"/>
    <n v="944"/>
    <n v="1158"/>
    <n v="1030"/>
    <n v="526"/>
    <n v="456"/>
    <n v="0"/>
    <n v="0"/>
    <n v="0"/>
    <n v="0"/>
    <n v="8917.0116279069771"/>
    <n v="8667.6914893617013"/>
    <n v="7723.2219679633863"/>
    <n v="7264.6271186440681"/>
    <n v="6777.6096718480139"/>
    <n v="6557.7223300970873"/>
    <n v="4499.2547528517107"/>
    <n v="4565.8574561403511"/>
    <n v="0"/>
    <n v="0"/>
    <n v="0"/>
    <n v="0"/>
    <n v="80253.104651162794"/>
    <n v="78009.223404255317"/>
    <n v="69508.997711670483"/>
    <n v="65381.644067796617"/>
    <n v="60998.487046632123"/>
    <n v="59019.500970873785"/>
    <n v="40493.292775665395"/>
    <n v="41092.71710526316"/>
    <n v="0"/>
    <n v="0"/>
    <n v="0"/>
    <n v="0"/>
    <n v="63087.144863144931"/>
    <n v="61257.686808798557"/>
    <n v="56"/>
    <n v="50"/>
    <n v="96"/>
    <n v="100"/>
    <n v="128"/>
    <n v="108"/>
    <n v="58"/>
    <n v="50"/>
    <n v="0"/>
    <n v="0"/>
    <n v="0"/>
    <n v="0"/>
    <n v="338"/>
    <n v="308"/>
    <n v="4494173.8604651168"/>
    <n v="3900461.1702127657"/>
    <n v="6672863.7803203668"/>
    <n v="6538164.4067796618"/>
    <n v="7807806.3419689117"/>
    <n v="6374106.1048543686"/>
    <n v="2348610.9809885928"/>
    <n v="2054635.855263158"/>
    <n v="0"/>
    <n v="0"/>
    <n v="0"/>
    <n v="0"/>
    <n v="21323454.963742986"/>
    <n v="18867367.537109956"/>
  </r>
  <r>
    <x v="6"/>
    <s v="Grambling State University"/>
    <m/>
    <n v="159009"/>
    <x v="3"/>
    <n v="43"/>
    <n v="43"/>
    <m/>
    <m/>
    <n v="7"/>
    <m/>
    <m/>
    <m/>
    <n v="37"/>
    <n v="41"/>
    <m/>
    <m/>
    <n v="6"/>
    <m/>
    <m/>
    <m/>
    <n v="72"/>
    <n v="81"/>
    <m/>
    <m/>
    <n v="17"/>
    <m/>
    <m/>
    <m/>
    <n v="17"/>
    <n v="21"/>
    <m/>
    <m/>
    <n v="7"/>
    <m/>
    <m/>
    <m/>
    <n v="22"/>
    <n v="33"/>
    <m/>
    <m/>
    <n v="1"/>
    <m/>
    <m/>
    <m/>
    <n v="0"/>
    <m/>
    <m/>
    <m/>
    <n v="0"/>
    <m/>
    <m/>
    <m/>
    <n v="3543018"/>
    <n v="2957760"/>
    <n v="2608617"/>
    <n v="2416264"/>
    <n v="5025941"/>
    <n v="4366710"/>
    <n v="980702"/>
    <n v="806004"/>
    <n v="990410"/>
    <n v="1368841"/>
    <n v="0"/>
    <m/>
    <n v="464"/>
    <n v="387"/>
    <n v="399"/>
    <n v="369"/>
    <n v="835"/>
    <n v="729"/>
    <n v="230"/>
    <n v="189"/>
    <n v="209"/>
    <n v="297"/>
    <n v="0"/>
    <n v="0"/>
    <n v="7635.8146551724139"/>
    <n v="7642.7906976744189"/>
    <n v="6537.8872180451126"/>
    <n v="6548.1409214092137"/>
    <n v="6019.0910179640723"/>
    <n v="5990"/>
    <n v="4263.9217391304346"/>
    <n v="4264.5714285714284"/>
    <n v="4738.803827751196"/>
    <n v="4608.8922558922559"/>
    <n v="0"/>
    <n v="0"/>
    <n v="68722.331896551725"/>
    <n v="68785.116279069771"/>
    <n v="58840.984962406015"/>
    <n v="58933.268292682922"/>
    <n v="54171.819161676649"/>
    <n v="53910"/>
    <n v="38375.295652173911"/>
    <n v="38381.142857142855"/>
    <n v="42649.234449760763"/>
    <n v="41480.030303030304"/>
    <n v="0"/>
    <n v="0"/>
    <n v="55412.708915270472"/>
    <n v="54409.036529680365"/>
    <n v="50"/>
    <n v="43"/>
    <n v="43"/>
    <n v="41"/>
    <n v="89"/>
    <n v="81"/>
    <n v="24"/>
    <n v="21"/>
    <n v="23"/>
    <n v="33"/>
    <n v="0"/>
    <n v="0"/>
    <n v="229"/>
    <n v="219"/>
    <n v="3436116.5948275863"/>
    <n v="2957760"/>
    <n v="2530162.3533834587"/>
    <n v="2416264"/>
    <n v="4821291.9053892214"/>
    <n v="4366710"/>
    <n v="921007.09565217386"/>
    <n v="806004"/>
    <n v="980932.39234449749"/>
    <n v="1368841"/>
    <n v="0"/>
    <n v="0"/>
    <n v="12689510.341596939"/>
    <n v="11915579"/>
  </r>
  <r>
    <x v="6"/>
    <s v="Louisiana State University in Shreveport"/>
    <m/>
    <n v="159416"/>
    <x v="3"/>
    <n v="26"/>
    <n v="34"/>
    <m/>
    <m/>
    <n v="2"/>
    <m/>
    <m/>
    <n v="3"/>
    <n v="35"/>
    <n v="40"/>
    <m/>
    <m/>
    <n v="0"/>
    <m/>
    <m/>
    <n v="1"/>
    <n v="21"/>
    <n v="25"/>
    <m/>
    <m/>
    <n v="0"/>
    <m/>
    <m/>
    <n v="1"/>
    <n v="17"/>
    <n v="16"/>
    <m/>
    <m/>
    <n v="5"/>
    <m/>
    <m/>
    <n v="3"/>
    <n v="1"/>
    <m/>
    <m/>
    <m/>
    <n v="0"/>
    <m/>
    <m/>
    <n v="5"/>
    <m/>
    <m/>
    <m/>
    <m/>
    <n v="0"/>
    <m/>
    <m/>
    <m/>
    <n v="1761638"/>
    <n v="2440138"/>
    <n v="2037525"/>
    <n v="2489569"/>
    <n v="1085112"/>
    <n v="1402923"/>
    <n v="975921"/>
    <n v="800183"/>
    <n v="19846"/>
    <n v="263840"/>
    <n v="0"/>
    <m/>
    <n v="256"/>
    <n v="342"/>
    <n v="315"/>
    <n v="372"/>
    <n v="189"/>
    <n v="237"/>
    <n v="208"/>
    <n v="180"/>
    <n v="9"/>
    <n v="60"/>
    <n v="0"/>
    <n v="0"/>
    <n v="6881.3984375"/>
    <n v="7134.9064327485385"/>
    <n v="6468.333333333333"/>
    <n v="6692.3897849462364"/>
    <n v="5741.333333333333"/>
    <n v="5919.506329113924"/>
    <n v="4691.9278846153848"/>
    <n v="4445.4611111111108"/>
    <n v="2205.1111111111113"/>
    <n v="4397.333333333333"/>
    <n v="0"/>
    <n v="0"/>
    <n v="61932.5859375"/>
    <n v="64214.157894736847"/>
    <n v="58215"/>
    <n v="60231.508064516129"/>
    <n v="51672"/>
    <n v="53275.556962025315"/>
    <n v="42227.350961538461"/>
    <n v="40009.149999999994"/>
    <n v="19846"/>
    <n v="39576"/>
    <n v="0"/>
    <n v="0"/>
    <n v="54257.917078540617"/>
    <n v="56161.203154399082"/>
    <n v="28"/>
    <n v="37"/>
    <n v="35"/>
    <n v="41"/>
    <n v="21"/>
    <n v="26"/>
    <n v="22"/>
    <n v="19"/>
    <n v="1"/>
    <n v="5"/>
    <n v="0"/>
    <n v="0"/>
    <n v="107"/>
    <n v="128"/>
    <n v="1734112.40625"/>
    <n v="2375923.8421052634"/>
    <n v="2037525"/>
    <n v="2469491.8306451612"/>
    <n v="1085112"/>
    <n v="1385164.4810126582"/>
    <n v="929001.72115384613"/>
    <n v="760173.84999999986"/>
    <n v="19846"/>
    <n v="197880"/>
    <n v="0"/>
    <n v="0"/>
    <n v="5805597.127403846"/>
    <n v="7188634.0037630824"/>
  </r>
  <r>
    <x v="6"/>
    <s v="McNeese State University"/>
    <m/>
    <n v="159717"/>
    <x v="3"/>
    <n v="53"/>
    <n v="55"/>
    <m/>
    <n v="1"/>
    <n v="0"/>
    <m/>
    <m/>
    <m/>
    <n v="53"/>
    <n v="52"/>
    <m/>
    <n v="1"/>
    <n v="0"/>
    <m/>
    <m/>
    <m/>
    <n v="122"/>
    <n v="111"/>
    <m/>
    <m/>
    <n v="14"/>
    <m/>
    <m/>
    <n v="13"/>
    <n v="56"/>
    <n v="53"/>
    <m/>
    <n v="1"/>
    <n v="0"/>
    <m/>
    <m/>
    <n v="1"/>
    <n v="0"/>
    <m/>
    <m/>
    <m/>
    <n v="0"/>
    <m/>
    <m/>
    <m/>
    <n v="0"/>
    <m/>
    <m/>
    <m/>
    <n v="0"/>
    <m/>
    <m/>
    <m/>
    <n v="4362165"/>
    <n v="4542544"/>
    <n v="3393484"/>
    <n v="3343004"/>
    <n v="7569368"/>
    <n v="6876109"/>
    <n v="2379160"/>
    <n v="2319835"/>
    <n v="0"/>
    <m/>
    <n v="0"/>
    <m/>
    <n v="477"/>
    <n v="505"/>
    <n v="477"/>
    <n v="478"/>
    <n v="1252"/>
    <n v="1155"/>
    <n v="504"/>
    <n v="499"/>
    <n v="0"/>
    <n v="0"/>
    <n v="0"/>
    <n v="0"/>
    <n v="9145"/>
    <n v="8995.1366336633655"/>
    <n v="7114.2222222222226"/>
    <n v="6993.7322175732215"/>
    <n v="6045.8210862619808"/>
    <n v="5953.3411255411256"/>
    <n v="4720.5555555555557"/>
    <n v="4648.9679358717431"/>
    <n v="0"/>
    <n v="0"/>
    <n v="0"/>
    <n v="0"/>
    <n v="82305"/>
    <n v="80956.22970297029"/>
    <n v="64028"/>
    <n v="62943.589958158991"/>
    <n v="54412.389776357828"/>
    <n v="53580.070129870131"/>
    <n v="42485"/>
    <n v="41840.711422845685"/>
    <n v="0"/>
    <n v="0"/>
    <n v="0"/>
    <n v="0"/>
    <n v="58841.926206659948"/>
    <n v="58384.468595517952"/>
    <n v="53"/>
    <n v="56"/>
    <n v="53"/>
    <n v="53"/>
    <n v="136"/>
    <n v="124"/>
    <n v="56"/>
    <n v="55"/>
    <n v="0"/>
    <n v="0"/>
    <n v="0"/>
    <n v="0"/>
    <n v="298"/>
    <n v="288"/>
    <n v="4362165"/>
    <n v="4533548.8633663366"/>
    <n v="3393484"/>
    <n v="3336010.2677824264"/>
    <n v="7400085.0095846644"/>
    <n v="6643928.696103896"/>
    <n v="2379160"/>
    <n v="2301239.1282565128"/>
    <n v="0"/>
    <n v="0"/>
    <n v="0"/>
    <n v="0"/>
    <n v="17534894.009584665"/>
    <n v="16814726.955509171"/>
  </r>
  <r>
    <x v="6"/>
    <s v="Nicholls State University "/>
    <m/>
    <n v="159966"/>
    <x v="3"/>
    <n v="29"/>
    <n v="24"/>
    <m/>
    <n v="10"/>
    <n v="3"/>
    <m/>
    <m/>
    <n v="1"/>
    <n v="60"/>
    <n v="54"/>
    <m/>
    <n v="7"/>
    <n v="8"/>
    <m/>
    <m/>
    <n v="1"/>
    <n v="71"/>
    <n v="59"/>
    <m/>
    <n v="8"/>
    <n v="8"/>
    <m/>
    <m/>
    <m/>
    <n v="80"/>
    <n v="71"/>
    <m/>
    <n v="1"/>
    <n v="1"/>
    <m/>
    <m/>
    <n v="1"/>
    <n v="0"/>
    <n v="2"/>
    <m/>
    <m/>
    <n v="0"/>
    <m/>
    <m/>
    <m/>
    <n v="0"/>
    <m/>
    <m/>
    <m/>
    <n v="0"/>
    <m/>
    <m/>
    <m/>
    <n v="2337076"/>
    <n v="2482231"/>
    <n v="4027672"/>
    <n v="3666504"/>
    <n v="4068920"/>
    <n v="3491080"/>
    <n v="3232360"/>
    <n v="2974888"/>
    <n v="0"/>
    <n v="79000"/>
    <n v="0"/>
    <m/>
    <n v="294"/>
    <n v="328"/>
    <n v="628"/>
    <n v="568"/>
    <n v="727"/>
    <n v="611"/>
    <n v="731"/>
    <n v="661"/>
    <n v="0"/>
    <n v="18"/>
    <n v="0"/>
    <n v="0"/>
    <n v="7949.2380952380954"/>
    <n v="7567.7774390243903"/>
    <n v="6413.490445859873"/>
    <n v="6455.1126760563384"/>
    <n v="5596.8638239339753"/>
    <n v="5713.7152209492633"/>
    <n v="4421.8331053351576"/>
    <n v="4500.5869894099851"/>
    <n v="0"/>
    <n v="4388.8888888888887"/>
    <n v="0"/>
    <n v="0"/>
    <n v="71543.142857142855"/>
    <n v="68109.996951219509"/>
    <n v="57721.41401273886"/>
    <n v="58096.014084507042"/>
    <n v="50371.77441540578"/>
    <n v="51423.43698854337"/>
    <n v="39796.497948016418"/>
    <n v="40505.28290468987"/>
    <n v="0"/>
    <n v="39500"/>
    <n v="0"/>
    <n v="0"/>
    <n v="51605.089372696923"/>
    <n v="52163.425509652247"/>
    <n v="32"/>
    <n v="35"/>
    <n v="68"/>
    <n v="62"/>
    <n v="79"/>
    <n v="67"/>
    <n v="81"/>
    <n v="73"/>
    <n v="0"/>
    <n v="2"/>
    <n v="0"/>
    <n v="0"/>
    <n v="260"/>
    <n v="239"/>
    <n v="2289380.5714285714"/>
    <n v="2383849.8932926827"/>
    <n v="3925056.1528662425"/>
    <n v="3601952.8732394367"/>
    <n v="3979370.1788170566"/>
    <n v="3445370.2782324059"/>
    <n v="3223516.33378933"/>
    <n v="2956885.6520423605"/>
    <n v="0"/>
    <n v="79000"/>
    <n v="0"/>
    <n v="0"/>
    <n v="13417323.236901199"/>
    <n v="12467058.696806887"/>
  </r>
  <r>
    <x v="6"/>
    <s v="Northwestern State University"/>
    <m/>
    <n v="160038"/>
    <x v="3"/>
    <n v="47"/>
    <n v="44"/>
    <m/>
    <m/>
    <n v="3"/>
    <m/>
    <m/>
    <n v="5"/>
    <n v="55"/>
    <n v="59"/>
    <m/>
    <n v="0"/>
    <n v="9"/>
    <m/>
    <m/>
    <n v="11"/>
    <n v="85"/>
    <n v="71"/>
    <m/>
    <m/>
    <n v="11"/>
    <m/>
    <m/>
    <n v="12"/>
    <n v="48"/>
    <n v="45"/>
    <m/>
    <m/>
    <n v="4"/>
    <m/>
    <m/>
    <n v="5"/>
    <n v="0"/>
    <m/>
    <m/>
    <m/>
    <n v="0"/>
    <m/>
    <m/>
    <m/>
    <n v="0"/>
    <m/>
    <m/>
    <m/>
    <n v="0"/>
    <m/>
    <m/>
    <m/>
    <n v="3621070"/>
    <n v="3598422"/>
    <n v="3714541"/>
    <n v="4008300"/>
    <n v="4755463"/>
    <n v="4153389"/>
    <n v="2182220"/>
    <n v="2125312"/>
    <n v="0"/>
    <m/>
    <n v="0"/>
    <m/>
    <n v="456"/>
    <n v="456"/>
    <n v="594"/>
    <n v="663"/>
    <n v="886"/>
    <n v="783"/>
    <n v="476"/>
    <n v="465"/>
    <n v="0"/>
    <n v="0"/>
    <n v="0"/>
    <n v="0"/>
    <n v="7940.9429824561403"/>
    <n v="7891.2763157894733"/>
    <n v="6253.4360269360268"/>
    <n v="6045.7013574660632"/>
    <n v="5367.3397291196388"/>
    <n v="5304.4559386973178"/>
    <n v="4584.4957983193281"/>
    <n v="4570.5634408602155"/>
    <n v="0"/>
    <n v="0"/>
    <n v="0"/>
    <n v="0"/>
    <n v="71468.486842105267"/>
    <n v="71021.486842105252"/>
    <n v="56280.92424242424"/>
    <n v="54411.312217194572"/>
    <n v="48306.057562076749"/>
    <n v="47740.103448275862"/>
    <n v="41260.462184873955"/>
    <n v="41135.070967741936"/>
    <n v="0"/>
    <n v="0"/>
    <n v="0"/>
    <n v="0"/>
    <n v="53276.06508852377"/>
    <n v="52809.630337542745"/>
    <n v="50"/>
    <n v="49"/>
    <n v="64"/>
    <n v="70"/>
    <n v="96"/>
    <n v="83"/>
    <n v="52"/>
    <n v="50"/>
    <n v="0"/>
    <n v="0"/>
    <n v="0"/>
    <n v="0"/>
    <n v="262"/>
    <n v="252"/>
    <n v="3573424.3421052634"/>
    <n v="3480052.8552631573"/>
    <n v="3601979.1515151514"/>
    <n v="3808791.8552036202"/>
    <n v="4637381.5259593679"/>
    <n v="3962428.5862068967"/>
    <n v="2145544.0336134457"/>
    <n v="2056753.5483870967"/>
    <n v="0"/>
    <n v="0"/>
    <n v="0"/>
    <n v="0"/>
    <n v="13958329.053193228"/>
    <n v="13308026.845060771"/>
  </r>
  <r>
    <x v="6"/>
    <s v="Southern University at New Orleans"/>
    <s v="Met the criteria for Four-Year 5 in 2012-13."/>
    <n v="160630"/>
    <x v="3"/>
    <n v="15"/>
    <n v="9"/>
    <m/>
    <m/>
    <n v="1"/>
    <n v="11"/>
    <m/>
    <n v="5"/>
    <n v="22"/>
    <n v="6"/>
    <m/>
    <m/>
    <n v="0"/>
    <n v="20"/>
    <m/>
    <n v="3"/>
    <n v="60"/>
    <n v="7"/>
    <m/>
    <m/>
    <n v="4"/>
    <n v="44"/>
    <m/>
    <n v="10"/>
    <n v="7"/>
    <n v="3"/>
    <m/>
    <m/>
    <n v="1"/>
    <m/>
    <m/>
    <n v="1"/>
    <n v="0"/>
    <n v="6"/>
    <m/>
    <m/>
    <n v="0"/>
    <m/>
    <m/>
    <m/>
    <n v="0"/>
    <m/>
    <m/>
    <m/>
    <n v="0"/>
    <m/>
    <m/>
    <m/>
    <n v="1002002"/>
    <n v="1600712"/>
    <n v="1186372"/>
    <n v="1614534"/>
    <n v="3246304"/>
    <n v="1788551"/>
    <n v="327497"/>
    <n v="159363"/>
    <n v="0"/>
    <n v="133000"/>
    <n v="0"/>
    <m/>
    <n v="146"/>
    <n v="262"/>
    <n v="198"/>
    <n v="310"/>
    <n v="584"/>
    <n v="667"/>
    <n v="74"/>
    <n v="39"/>
    <n v="0"/>
    <n v="54"/>
    <n v="0"/>
    <n v="0"/>
    <n v="6863.0273972602736"/>
    <n v="6109.5877862595416"/>
    <n v="5991.7777777777774"/>
    <n v="5208.1741935483869"/>
    <n v="5558.7397260273974"/>
    <n v="2681.4857571214393"/>
    <n v="4425.635135135135"/>
    <n v="4086.2307692307691"/>
    <n v="0"/>
    <n v="2462.962962962963"/>
    <n v="0"/>
    <n v="0"/>
    <n v="61767.246575342462"/>
    <n v="54986.290076335878"/>
    <n v="53926"/>
    <n v="46873.567741935483"/>
    <n v="50028.65753424658"/>
    <n v="24133.371814092952"/>
    <n v="39830.716216216213"/>
    <n v="36776.076923076922"/>
    <n v="0"/>
    <n v="22166.666666666668"/>
    <n v="0"/>
    <n v="0"/>
    <n v="51773.88870115445"/>
    <n v="35889.845638212035"/>
    <n v="16"/>
    <n v="25"/>
    <n v="22"/>
    <n v="29"/>
    <n v="64"/>
    <n v="61"/>
    <n v="8"/>
    <n v="4"/>
    <n v="0"/>
    <n v="6"/>
    <n v="0"/>
    <n v="0"/>
    <n v="110"/>
    <n v="125"/>
    <n v="988275.94520547939"/>
    <n v="1374657.2519083968"/>
    <n v="1186372"/>
    <n v="1359333.4645161291"/>
    <n v="3201834.0821917811"/>
    <n v="1472135.6806596701"/>
    <n v="318645.7297297297"/>
    <n v="147104.30769230769"/>
    <n v="0"/>
    <n v="133000"/>
    <n v="0"/>
    <n v="0"/>
    <n v="5695127.7571269898"/>
    <n v="4486230.7047765041"/>
  </r>
  <r>
    <x v="6"/>
    <s v="Louisiana State University at Alexandria"/>
    <m/>
    <n v="159382"/>
    <x v="5"/>
    <n v="12"/>
    <n v="11"/>
    <m/>
    <m/>
    <n v="5"/>
    <m/>
    <m/>
    <n v="5"/>
    <n v="28"/>
    <n v="27"/>
    <m/>
    <m/>
    <n v="5"/>
    <m/>
    <m/>
    <n v="5"/>
    <n v="34"/>
    <n v="26"/>
    <m/>
    <m/>
    <n v="1"/>
    <m/>
    <m/>
    <n v="1"/>
    <n v="10"/>
    <n v="11"/>
    <m/>
    <m/>
    <n v="0"/>
    <m/>
    <m/>
    <m/>
    <n v="0"/>
    <m/>
    <m/>
    <m/>
    <n v="0"/>
    <m/>
    <m/>
    <m/>
    <n v="0"/>
    <m/>
    <m/>
    <m/>
    <n v="0"/>
    <m/>
    <m/>
    <m/>
    <n v="1132072"/>
    <n v="1073793"/>
    <n v="1649611"/>
    <n v="1588270"/>
    <n v="1620280"/>
    <n v="1211876"/>
    <n v="392240"/>
    <n v="472241"/>
    <n v="0"/>
    <m/>
    <n v="0"/>
    <m/>
    <n v="163"/>
    <n v="159"/>
    <n v="307"/>
    <n v="303"/>
    <n v="317"/>
    <n v="246"/>
    <n v="90"/>
    <n v="99"/>
    <n v="0"/>
    <n v="0"/>
    <n v="0"/>
    <n v="0"/>
    <n v="6945.2269938650306"/>
    <n v="6753.4150943396226"/>
    <n v="5373.325732899023"/>
    <n v="5241.8151815181518"/>
    <n v="5111.2933753943216"/>
    <n v="4926.3252032520322"/>
    <n v="4358.2222222222226"/>
    <n v="4770.1111111111113"/>
    <n v="0"/>
    <n v="0"/>
    <n v="0"/>
    <n v="0"/>
    <n v="62507.042944785273"/>
    <n v="60780.735849056604"/>
    <n v="48359.931596091206"/>
    <n v="47176.336633663363"/>
    <n v="46001.640378548895"/>
    <n v="44336.92682926829"/>
    <n v="39224"/>
    <n v="42931"/>
    <n v="0"/>
    <n v="0"/>
    <n v="0"/>
    <n v="0"/>
    <n v="49060.99879980601"/>
    <n v="48272.936863399736"/>
    <n v="17"/>
    <n v="16"/>
    <n v="33"/>
    <n v="32"/>
    <n v="35"/>
    <n v="27"/>
    <n v="10"/>
    <n v="11"/>
    <n v="0"/>
    <n v="0"/>
    <n v="0"/>
    <n v="0"/>
    <n v="95"/>
    <n v="86"/>
    <n v="1062619.7300613497"/>
    <n v="972491.77358490566"/>
    <n v="1595877.7426710099"/>
    <n v="1509642.7722772276"/>
    <n v="1610057.4132492114"/>
    <n v="1197097.0243902439"/>
    <n v="392240"/>
    <n v="472241"/>
    <n v="0"/>
    <n v="0"/>
    <n v="0"/>
    <n v="0"/>
    <n v="4660794.8859815709"/>
    <n v="4151472.5702523775"/>
  </r>
  <r>
    <x v="6"/>
    <s v="Baton Rouge Community College"/>
    <m/>
    <n v="437103"/>
    <x v="6"/>
    <n v="3"/>
    <n v="7"/>
    <m/>
    <m/>
    <n v="0"/>
    <m/>
    <m/>
    <n v="7"/>
    <n v="40"/>
    <n v="36"/>
    <m/>
    <m/>
    <n v="6"/>
    <m/>
    <m/>
    <m/>
    <n v="40"/>
    <n v="40"/>
    <m/>
    <m/>
    <n v="0"/>
    <m/>
    <m/>
    <n v="3"/>
    <n v="58"/>
    <n v="49"/>
    <m/>
    <m/>
    <n v="0"/>
    <m/>
    <m/>
    <n v="6"/>
    <n v="0"/>
    <n v="1"/>
    <m/>
    <m/>
    <n v="0"/>
    <m/>
    <m/>
    <m/>
    <n v="0"/>
    <m/>
    <m/>
    <m/>
    <n v="0"/>
    <m/>
    <m/>
    <m/>
    <n v="172005"/>
    <n v="910285"/>
    <n v="2373014"/>
    <n v="1760500"/>
    <n v="1777480"/>
    <n v="2045458"/>
    <n v="2458156"/>
    <n v="2438018"/>
    <n v="0"/>
    <n v="67651"/>
    <n v="0"/>
    <m/>
    <n v="27"/>
    <n v="147"/>
    <n v="426"/>
    <n v="324"/>
    <n v="360"/>
    <n v="396"/>
    <n v="522"/>
    <n v="513"/>
    <n v="0"/>
    <n v="9"/>
    <n v="0"/>
    <n v="0"/>
    <n v="6370.5555555555557"/>
    <n v="6192.4149659863942"/>
    <n v="5570.4553990610329"/>
    <n v="5433.641975308642"/>
    <n v="4937.4444444444443"/>
    <n v="5165.2979797979797"/>
    <n v="4709.1111111111113"/>
    <n v="4752.4717348927879"/>
    <n v="0"/>
    <n v="7516.7777777777774"/>
    <n v="0"/>
    <n v="0"/>
    <n v="57335"/>
    <n v="55731.734693877544"/>
    <n v="50134.098591549293"/>
    <n v="48902.777777777781"/>
    <n v="44437"/>
    <n v="46487.681818181816"/>
    <n v="42382"/>
    <n v="42772.245614035091"/>
    <n v="0"/>
    <n v="67651"/>
    <n v="0"/>
    <n v="0"/>
    <n v="45672.173708920185"/>
    <n v="46710.329615221701"/>
    <n v="3"/>
    <n v="14"/>
    <n v="46"/>
    <n v="36"/>
    <n v="40"/>
    <n v="43"/>
    <n v="58"/>
    <n v="55"/>
    <n v="0"/>
    <n v="1"/>
    <n v="0"/>
    <n v="0"/>
    <n v="147"/>
    <n v="149"/>
    <n v="172005"/>
    <n v="780244.28571428568"/>
    <n v="2306168.5352112674"/>
    <n v="1760500"/>
    <n v="1777480"/>
    <n v="1998970.3181818181"/>
    <n v="2458156"/>
    <n v="2352473.5087719299"/>
    <n v="0"/>
    <n v="67651"/>
    <n v="0"/>
    <n v="0"/>
    <n v="6713809.5352112669"/>
    <n v="6959839.1126680337"/>
  </r>
  <r>
    <x v="6"/>
    <s v="Bossier Parish Community College"/>
    <s v="Reclassified: met the criteria for Two-Year 1 in 2010-11, 2011-12, and 2012-13."/>
    <n v="158431"/>
    <x v="6"/>
    <n v="23"/>
    <n v="25"/>
    <m/>
    <m/>
    <n v="0"/>
    <m/>
    <m/>
    <m/>
    <n v="19"/>
    <n v="17"/>
    <m/>
    <m/>
    <n v="0"/>
    <m/>
    <m/>
    <m/>
    <n v="26"/>
    <n v="28"/>
    <m/>
    <m/>
    <n v="0"/>
    <m/>
    <m/>
    <m/>
    <n v="63"/>
    <n v="61"/>
    <m/>
    <m/>
    <n v="1"/>
    <m/>
    <m/>
    <m/>
    <n v="0"/>
    <m/>
    <m/>
    <m/>
    <n v="0"/>
    <m/>
    <m/>
    <m/>
    <n v="0"/>
    <m/>
    <m/>
    <m/>
    <n v="0"/>
    <m/>
    <m/>
    <m/>
    <n v="1595050"/>
    <n v="1418983"/>
    <n v="1201199"/>
    <n v="818740"/>
    <n v="1356342"/>
    <n v="1121912"/>
    <n v="3319417"/>
    <n v="2597362"/>
    <n v="0"/>
    <m/>
    <n v="0"/>
    <m/>
    <n v="207"/>
    <n v="225"/>
    <n v="171"/>
    <n v="153"/>
    <n v="234"/>
    <n v="252"/>
    <n v="578"/>
    <n v="549"/>
    <n v="0"/>
    <n v="0"/>
    <n v="0"/>
    <n v="0"/>
    <n v="7705.5555555555557"/>
    <n v="6306.5911111111109"/>
    <n v="7024.5555555555557"/>
    <n v="5351.2418300653599"/>
    <n v="5796.333333333333"/>
    <n v="4452.0317460317465"/>
    <n v="5742.9359861591693"/>
    <n v="4731.0783242258649"/>
    <n v="0"/>
    <n v="0"/>
    <n v="0"/>
    <n v="0"/>
    <n v="69350"/>
    <n v="56759.32"/>
    <n v="63221"/>
    <n v="48161.176470588238"/>
    <n v="52167"/>
    <n v="40068.285714285717"/>
    <n v="51686.42387543252"/>
    <n v="42579.704918032781"/>
    <n v="0"/>
    <n v="0"/>
    <n v="0"/>
    <n v="0"/>
    <n v="56519.107030512736"/>
    <n v="45473.259541984735"/>
    <n v="23"/>
    <n v="25"/>
    <n v="19"/>
    <n v="17"/>
    <n v="26"/>
    <n v="28"/>
    <n v="64"/>
    <n v="61"/>
    <n v="0"/>
    <n v="0"/>
    <n v="0"/>
    <n v="0"/>
    <n v="132"/>
    <n v="131"/>
    <n v="1595050"/>
    <n v="1418983"/>
    <n v="1201199"/>
    <n v="818740"/>
    <n v="1356342"/>
    <n v="1121912"/>
    <n v="3307931.1280276813"/>
    <n v="2597361.9999999995"/>
    <n v="0"/>
    <n v="0"/>
    <n v="0"/>
    <n v="0"/>
    <n v="7460522.1280276813"/>
    <n v="5956997"/>
  </r>
  <r>
    <x v="6"/>
    <s v="Delgado Community College "/>
    <m/>
    <n v="158662"/>
    <x v="6"/>
    <n v="63"/>
    <n v="66"/>
    <m/>
    <m/>
    <n v="5"/>
    <m/>
    <m/>
    <m/>
    <n v="55"/>
    <n v="63"/>
    <m/>
    <m/>
    <n v="1"/>
    <m/>
    <m/>
    <m/>
    <n v="94"/>
    <n v="89"/>
    <m/>
    <m/>
    <n v="6"/>
    <m/>
    <m/>
    <m/>
    <n v="165"/>
    <n v="283"/>
    <m/>
    <m/>
    <n v="8"/>
    <m/>
    <m/>
    <n v="1"/>
    <n v="115"/>
    <n v="2"/>
    <m/>
    <m/>
    <n v="6"/>
    <m/>
    <m/>
    <m/>
    <m/>
    <m/>
    <m/>
    <m/>
    <m/>
    <m/>
    <m/>
    <m/>
    <n v="5493095"/>
    <n v="4596355"/>
    <n v="4003976"/>
    <n v="3614547"/>
    <n v="6268562"/>
    <n v="4154058"/>
    <n v="8544996"/>
    <n v="9969959"/>
    <n v="0"/>
    <n v="87565"/>
    <n v="4788915"/>
    <m/>
    <n v="622"/>
    <n v="594"/>
    <n v="506"/>
    <n v="567"/>
    <n v="912"/>
    <n v="801"/>
    <n v="1573"/>
    <n v="2559"/>
    <n v="1101"/>
    <n v="18"/>
    <n v="0"/>
    <n v="0"/>
    <n v="8831.3424437299036"/>
    <n v="7737.9713804713801"/>
    <n v="7912.99604743083"/>
    <n v="6374.862433862434"/>
    <n v="6873.4232456140353"/>
    <n v="5186.0898876404499"/>
    <n v="5432.2924348378892"/>
    <n v="3896.0371238765142"/>
    <n v="0"/>
    <n v="4864.7222222222226"/>
    <n v="0"/>
    <n v="0"/>
    <n v="79482.081993569125"/>
    <n v="69641.742424242417"/>
    <n v="71216.964426877472"/>
    <n v="57373.761904761908"/>
    <n v="61860.80921052632"/>
    <n v="46674.808988764053"/>
    <n v="48890.631913541001"/>
    <n v="35064.334114888625"/>
    <n v="0"/>
    <n v="43782.5"/>
    <n v="0"/>
    <n v="0"/>
    <n v="46403.652172901668"/>
    <n v="44465.864858389628"/>
    <n v="68"/>
    <n v="66"/>
    <n v="56"/>
    <n v="63"/>
    <n v="100"/>
    <n v="89"/>
    <n v="173"/>
    <n v="284"/>
    <n v="121"/>
    <n v="2"/>
    <n v="0"/>
    <n v="0"/>
    <n v="518"/>
    <n v="504"/>
    <n v="5404781.5755627006"/>
    <n v="4596354.9999999991"/>
    <n v="3988150.0079051387"/>
    <n v="3614547"/>
    <n v="6186080.9210526319"/>
    <n v="4154058.0000000005"/>
    <n v="8458079.3210425936"/>
    <n v="9958270.8886283692"/>
    <n v="0"/>
    <n v="87565"/>
    <n v="0"/>
    <n v="0"/>
    <n v="24037091.825563066"/>
    <n v="22410795.888628371"/>
  </r>
  <r>
    <x v="6"/>
    <s v="Louisiana State University at Eunice"/>
    <m/>
    <n v="159407"/>
    <x v="7"/>
    <n v="14"/>
    <n v="12"/>
    <m/>
    <m/>
    <n v="2"/>
    <m/>
    <m/>
    <n v="1"/>
    <n v="13"/>
    <n v="13"/>
    <m/>
    <m/>
    <n v="4"/>
    <m/>
    <m/>
    <n v="3"/>
    <n v="6"/>
    <n v="6"/>
    <m/>
    <m/>
    <n v="0"/>
    <m/>
    <m/>
    <n v="1"/>
    <n v="24"/>
    <n v="22"/>
    <m/>
    <m/>
    <n v="3"/>
    <m/>
    <m/>
    <n v="3"/>
    <n v="0"/>
    <m/>
    <m/>
    <m/>
    <n v="0"/>
    <m/>
    <m/>
    <m/>
    <n v="0"/>
    <m/>
    <m/>
    <m/>
    <n v="0"/>
    <m/>
    <m/>
    <m/>
    <n v="963496"/>
    <n v="745245"/>
    <n v="892960"/>
    <n v="791237"/>
    <n v="248796"/>
    <n v="301635"/>
    <n v="1107321"/>
    <n v="1011825"/>
    <n v="0"/>
    <m/>
    <n v="0"/>
    <m/>
    <n v="148"/>
    <n v="120"/>
    <n v="161"/>
    <n v="153"/>
    <n v="54"/>
    <n v="66"/>
    <n v="249"/>
    <n v="234"/>
    <n v="0"/>
    <n v="0"/>
    <n v="0"/>
    <n v="0"/>
    <n v="6510.1081081081084"/>
    <n v="6210.375"/>
    <n v="5546.3354037267081"/>
    <n v="5171.4836601307188"/>
    <n v="4607.333333333333"/>
    <n v="4570.227272727273"/>
    <n v="4447.0722891566265"/>
    <n v="4324.0384615384619"/>
    <n v="0"/>
    <n v="0"/>
    <n v="0"/>
    <n v="0"/>
    <n v="58590.972972972973"/>
    <n v="55893.375"/>
    <n v="49917.018633540371"/>
    <n v="46543.352941176468"/>
    <n v="41466"/>
    <n v="41132.045454545456"/>
    <n v="40023.650602409638"/>
    <n v="38916.346153846156"/>
    <n v="0"/>
    <n v="0"/>
    <n v="0"/>
    <n v="0"/>
    <n v="47204.234100042646"/>
    <n v="44789.188427652385"/>
    <n v="16"/>
    <n v="13"/>
    <n v="17"/>
    <n v="16"/>
    <n v="6"/>
    <n v="7"/>
    <n v="27"/>
    <n v="25"/>
    <n v="0"/>
    <n v="0"/>
    <n v="0"/>
    <n v="0"/>
    <n v="66"/>
    <n v="61"/>
    <n v="937455.56756756757"/>
    <n v="726613.875"/>
    <n v="848589.3167701863"/>
    <n v="744693.6470588235"/>
    <n v="248796"/>
    <n v="287924.31818181818"/>
    <n v="1080638.5662650603"/>
    <n v="972908.65384615387"/>
    <n v="0"/>
    <n v="0"/>
    <n v="0"/>
    <n v="0"/>
    <n v="3115479.4506028146"/>
    <n v="2732140.4940867955"/>
  </r>
  <r>
    <x v="6"/>
    <s v="South Louisiana Community College"/>
    <s v="Met the criteria for Two-Year 1 in 2012-13."/>
    <n v="434061"/>
    <x v="7"/>
    <n v="0"/>
    <m/>
    <m/>
    <m/>
    <n v="0"/>
    <m/>
    <m/>
    <n v="16"/>
    <n v="0"/>
    <m/>
    <m/>
    <m/>
    <n v="0"/>
    <m/>
    <m/>
    <n v="4"/>
    <n v="4"/>
    <n v="6"/>
    <m/>
    <m/>
    <n v="0"/>
    <m/>
    <m/>
    <n v="3"/>
    <n v="54"/>
    <n v="59"/>
    <m/>
    <m/>
    <n v="0"/>
    <m/>
    <m/>
    <n v="57"/>
    <n v="0"/>
    <m/>
    <m/>
    <m/>
    <n v="0"/>
    <m/>
    <m/>
    <n v="2"/>
    <n v="0"/>
    <m/>
    <m/>
    <m/>
    <n v="0"/>
    <m/>
    <m/>
    <m/>
    <n v="0"/>
    <n v="1449116"/>
    <n v="0"/>
    <n v="251377"/>
    <n v="198788"/>
    <n v="592150"/>
    <n v="1986336"/>
    <n v="4788356"/>
    <n v="0"/>
    <n v="84435"/>
    <n v="0"/>
    <m/>
    <n v="0"/>
    <n v="192"/>
    <n v="0"/>
    <n v="48"/>
    <n v="36"/>
    <n v="90"/>
    <n v="486"/>
    <n v="1215"/>
    <n v="0"/>
    <n v="24"/>
    <n v="0"/>
    <n v="0"/>
    <n v="0"/>
    <n v="7547.479166666667"/>
    <n v="0"/>
    <n v="5237.020833333333"/>
    <n v="5521.8888888888887"/>
    <n v="6579.4444444444443"/>
    <n v="4087.1111111111113"/>
    <n v="3941.0337448559671"/>
    <n v="0"/>
    <n v="3518.125"/>
    <n v="0"/>
    <n v="0"/>
    <n v="0"/>
    <n v="67927.3125"/>
    <n v="0"/>
    <n v="47133.1875"/>
    <n v="49697"/>
    <n v="59215"/>
    <n v="36784"/>
    <n v="35469.303703703707"/>
    <n v="0"/>
    <n v="31663.125"/>
    <n v="0"/>
    <n v="0"/>
    <n v="37674.551724137928"/>
    <n v="40721.566187956669"/>
    <n v="0"/>
    <n v="16"/>
    <n v="0"/>
    <n v="4"/>
    <n v="4"/>
    <n v="9"/>
    <n v="54"/>
    <n v="116"/>
    <n v="0"/>
    <n v="2"/>
    <n v="0"/>
    <n v="0"/>
    <n v="58"/>
    <n v="147"/>
    <n v="0"/>
    <n v="1086837"/>
    <n v="0"/>
    <n v="188532.75"/>
    <n v="198788"/>
    <n v="532935"/>
    <n v="1986336"/>
    <n v="4114439.2296296298"/>
    <n v="0"/>
    <n v="63326.25"/>
    <n v="0"/>
    <n v="0"/>
    <n v="2185124"/>
    <n v="5986070.2296296302"/>
  </r>
  <r>
    <x v="6"/>
    <s v="Louisiana Delta Community College"/>
    <s v="Met the criteria for Two-Year 2 in 2011-12 and 2012-13."/>
    <n v="440624"/>
    <x v="8"/>
    <n v="1"/>
    <n v="5"/>
    <m/>
    <m/>
    <n v="3"/>
    <m/>
    <m/>
    <m/>
    <n v="10"/>
    <n v="9"/>
    <m/>
    <m/>
    <n v="0"/>
    <m/>
    <m/>
    <m/>
    <n v="12"/>
    <n v="17"/>
    <m/>
    <m/>
    <n v="1"/>
    <m/>
    <m/>
    <m/>
    <n v="20"/>
    <n v="70"/>
    <m/>
    <m/>
    <n v="12"/>
    <m/>
    <m/>
    <n v="8"/>
    <n v="0"/>
    <n v="2"/>
    <m/>
    <m/>
    <n v="0"/>
    <m/>
    <m/>
    <m/>
    <n v="0"/>
    <m/>
    <m/>
    <m/>
    <n v="0"/>
    <m/>
    <m/>
    <m/>
    <n v="218638"/>
    <n v="202283"/>
    <n v="437040"/>
    <n v="409261"/>
    <n v="589777"/>
    <n v="2533806"/>
    <n v="1275776"/>
    <n v="3157855"/>
    <n v="0"/>
    <n v="95685"/>
    <n v="0"/>
    <m/>
    <n v="42"/>
    <n v="45"/>
    <n v="90"/>
    <n v="81"/>
    <n v="119"/>
    <n v="153"/>
    <n v="312"/>
    <n v="726"/>
    <n v="0"/>
    <n v="18"/>
    <n v="0"/>
    <n v="0"/>
    <n v="5205.666666666667"/>
    <n v="4495.1777777777779"/>
    <n v="4856"/>
    <n v="5052.6049382716046"/>
    <n v="4956.1092436974786"/>
    <n v="16560.823529411766"/>
    <n v="4089.0256410256411"/>
    <n v="4349.6625344352615"/>
    <n v="0"/>
    <n v="5315.833333333333"/>
    <n v="0"/>
    <n v="0"/>
    <n v="46851"/>
    <n v="40456.6"/>
    <n v="43704"/>
    <n v="45473.444444444438"/>
    <n v="44604.983193277309"/>
    <n v="149047.4117647059"/>
    <n v="36801.230769230773"/>
    <n v="39146.962809917357"/>
    <n v="0"/>
    <n v="47842.5"/>
    <n v="0"/>
    <n v="0"/>
    <n v="40372.002815728643"/>
    <n v="56707.190082644629"/>
    <n v="4"/>
    <n v="5"/>
    <n v="10"/>
    <n v="9"/>
    <n v="13"/>
    <n v="17"/>
    <n v="32"/>
    <n v="78"/>
    <n v="0"/>
    <n v="2"/>
    <n v="0"/>
    <n v="0"/>
    <n v="59"/>
    <n v="111"/>
    <n v="187404"/>
    <n v="202283"/>
    <n v="437040"/>
    <n v="409260.99999999994"/>
    <n v="579864.78151260503"/>
    <n v="2533806.0000000005"/>
    <n v="1177639.3846153847"/>
    <n v="3053463.0991735538"/>
    <n v="0"/>
    <n v="95685"/>
    <n v="0"/>
    <n v="0"/>
    <n v="2381948.16612799"/>
    <n v="6294498.0991735542"/>
  </r>
  <r>
    <x v="6"/>
    <s v="Nunez Community College"/>
    <m/>
    <n v="158884"/>
    <x v="8"/>
    <n v="5"/>
    <n v="9"/>
    <m/>
    <m/>
    <n v="0"/>
    <m/>
    <m/>
    <m/>
    <n v="15"/>
    <n v="12"/>
    <m/>
    <m/>
    <n v="0"/>
    <m/>
    <m/>
    <m/>
    <n v="6"/>
    <n v="4"/>
    <m/>
    <m/>
    <n v="1"/>
    <m/>
    <m/>
    <n v="1"/>
    <n v="10"/>
    <n v="15"/>
    <m/>
    <m/>
    <n v="1"/>
    <m/>
    <m/>
    <m/>
    <n v="0"/>
    <n v="1"/>
    <m/>
    <m/>
    <n v="0"/>
    <m/>
    <m/>
    <m/>
    <n v="0"/>
    <m/>
    <m/>
    <m/>
    <n v="0"/>
    <m/>
    <m/>
    <m/>
    <n v="264600"/>
    <n v="458100"/>
    <n v="727620"/>
    <n v="556118"/>
    <n v="320300"/>
    <n v="265800"/>
    <n v="552000"/>
    <n v="618333"/>
    <n v="0"/>
    <n v="38000"/>
    <n v="0"/>
    <m/>
    <n v="45"/>
    <n v="81"/>
    <n v="135"/>
    <n v="108"/>
    <n v="65"/>
    <n v="48"/>
    <n v="101"/>
    <n v="135"/>
    <n v="0"/>
    <n v="9"/>
    <n v="0"/>
    <n v="0"/>
    <n v="5880"/>
    <n v="5655.5555555555557"/>
    <n v="5389.7777777777774"/>
    <n v="5149.2407407407409"/>
    <n v="4927.6923076923076"/>
    <n v="5537.5"/>
    <n v="5465.3465346534649"/>
    <n v="4580.2444444444445"/>
    <n v="0"/>
    <n v="4222.2222222222226"/>
    <n v="0"/>
    <n v="0"/>
    <n v="52920"/>
    <n v="50900"/>
    <n v="48508"/>
    <n v="46343.166666666672"/>
    <n v="44349.230769230766"/>
    <n v="49837.5"/>
    <n v="49188.118811881184"/>
    <n v="41222.199999999997"/>
    <n v="0"/>
    <n v="38000"/>
    <n v="0"/>
    <n v="0"/>
    <n v="48519.313745139691"/>
    <n v="45708.059523809527"/>
    <n v="5"/>
    <n v="9"/>
    <n v="15"/>
    <n v="12"/>
    <n v="7"/>
    <n v="5"/>
    <n v="11"/>
    <n v="15"/>
    <n v="0"/>
    <n v="1"/>
    <n v="0"/>
    <n v="0"/>
    <n v="38"/>
    <n v="42"/>
    <n v="264600"/>
    <n v="458100"/>
    <n v="727620"/>
    <n v="556118"/>
    <n v="310444.61538461538"/>
    <n v="249187.5"/>
    <n v="541069.30693069298"/>
    <n v="618333"/>
    <n v="0"/>
    <n v="38000"/>
    <n v="0"/>
    <n v="0"/>
    <n v="1843733.9223153084"/>
    <n v="1919738.5"/>
  </r>
  <r>
    <x v="6"/>
    <s v="River Parishes Community College"/>
    <m/>
    <n v="436304"/>
    <x v="8"/>
    <n v="0"/>
    <n v="1"/>
    <m/>
    <m/>
    <n v="0"/>
    <m/>
    <m/>
    <n v="1"/>
    <n v="4"/>
    <n v="6"/>
    <m/>
    <m/>
    <n v="1"/>
    <m/>
    <m/>
    <m/>
    <n v="14"/>
    <n v="13"/>
    <m/>
    <m/>
    <n v="1"/>
    <m/>
    <m/>
    <m/>
    <n v="25"/>
    <n v="23"/>
    <m/>
    <m/>
    <n v="3"/>
    <m/>
    <m/>
    <n v="2"/>
    <n v="0"/>
    <n v="1"/>
    <m/>
    <m/>
    <n v="0"/>
    <m/>
    <m/>
    <m/>
    <n v="0"/>
    <m/>
    <m/>
    <m/>
    <n v="0"/>
    <m/>
    <m/>
    <m/>
    <n v="0"/>
    <n v="104280"/>
    <n v="243481"/>
    <n v="269777"/>
    <n v="605578"/>
    <n v="566503"/>
    <n v="1038069"/>
    <n v="926015"/>
    <n v="0"/>
    <n v="40000"/>
    <n v="0"/>
    <m/>
    <n v="0"/>
    <n v="21"/>
    <n v="47"/>
    <n v="54"/>
    <n v="137"/>
    <n v="117"/>
    <n v="258"/>
    <n v="231"/>
    <n v="0"/>
    <n v="9"/>
    <n v="0"/>
    <n v="0"/>
    <n v="0"/>
    <n v="4965.7142857142853"/>
    <n v="5180.4468085106382"/>
    <n v="4995.8703703703704"/>
    <n v="4420.2773722627735"/>
    <n v="4841.9059829059825"/>
    <n v="4023.5232558139537"/>
    <n v="4008.7229437229439"/>
    <n v="0"/>
    <n v="4444.4444444444443"/>
    <n v="0"/>
    <n v="0"/>
    <n v="0"/>
    <n v="44691.428571428565"/>
    <n v="46624.02127659574"/>
    <n v="44962.833333333336"/>
    <n v="39782.496350364963"/>
    <n v="43577.153846153844"/>
    <n v="36211.70930232558"/>
    <n v="36078.506493506495"/>
    <n v="0"/>
    <n v="40000"/>
    <n v="0"/>
    <n v="0"/>
    <n v="38412.196085491028"/>
    <n v="39736.713180436585"/>
    <n v="0"/>
    <n v="2"/>
    <n v="5"/>
    <n v="6"/>
    <n v="15"/>
    <n v="13"/>
    <n v="28"/>
    <n v="25"/>
    <n v="0"/>
    <n v="1"/>
    <n v="0"/>
    <n v="0"/>
    <n v="48"/>
    <n v="47"/>
    <n v="0"/>
    <n v="89382.85714285713"/>
    <n v="233120.1063829787"/>
    <n v="269777"/>
    <n v="596737.44525547442"/>
    <n v="566503"/>
    <n v="1013927.8604651162"/>
    <n v="901962.66233766242"/>
    <n v="0"/>
    <n v="40000"/>
    <n v="0"/>
    <n v="0"/>
    <n v="1843785.4121035694"/>
    <n v="1867625.5194805195"/>
  </r>
  <r>
    <x v="6"/>
    <s v="Southern University in Shreveport"/>
    <s v="Met the criteria for Two-Year 2 in 2011-12 and 2012-13."/>
    <n v="160649"/>
    <x v="8"/>
    <n v="5"/>
    <n v="4"/>
    <m/>
    <m/>
    <n v="0"/>
    <m/>
    <m/>
    <m/>
    <n v="15"/>
    <n v="11"/>
    <m/>
    <m/>
    <n v="1"/>
    <m/>
    <m/>
    <m/>
    <n v="26"/>
    <n v="25"/>
    <m/>
    <m/>
    <n v="9"/>
    <m/>
    <m/>
    <m/>
    <n v="12"/>
    <n v="16"/>
    <m/>
    <m/>
    <n v="24"/>
    <n v="19"/>
    <m/>
    <m/>
    <n v="0"/>
    <m/>
    <m/>
    <m/>
    <n v="0"/>
    <m/>
    <m/>
    <m/>
    <n v="0"/>
    <m/>
    <m/>
    <m/>
    <n v="0"/>
    <m/>
    <m/>
    <m/>
    <n v="238975"/>
    <n v="232936"/>
    <n v="774084"/>
    <n v="513717"/>
    <n v="1634219"/>
    <n v="1078267"/>
    <n v="1435536"/>
    <n v="1492818"/>
    <n v="0"/>
    <m/>
    <n v="0"/>
    <m/>
    <n v="45"/>
    <n v="36"/>
    <n v="146"/>
    <n v="99"/>
    <n v="333"/>
    <n v="225"/>
    <n v="372"/>
    <n v="353"/>
    <n v="0"/>
    <n v="0"/>
    <n v="0"/>
    <n v="0"/>
    <n v="5310.5555555555557"/>
    <n v="6470.4444444444443"/>
    <n v="5301.9452054794519"/>
    <n v="5189.060606060606"/>
    <n v="4907.5645645645645"/>
    <n v="4792.2977777777778"/>
    <n v="3858.9677419354839"/>
    <n v="4228.9461756373939"/>
    <n v="0"/>
    <n v="0"/>
    <n v="0"/>
    <n v="0"/>
    <n v="47795"/>
    <n v="58234"/>
    <n v="47717.506849315068"/>
    <n v="46701.545454545456"/>
    <n v="44168.08108108108"/>
    <n v="43130.68"/>
    <n v="34730.709677419356"/>
    <n v="38060.515580736545"/>
    <n v="0"/>
    <n v="0"/>
    <n v="0"/>
    <n v="0"/>
    <n v="41289.603215369301"/>
    <n v="42093.840604343728"/>
    <n v="5"/>
    <n v="4"/>
    <n v="16"/>
    <n v="11"/>
    <n v="35"/>
    <n v="25"/>
    <n v="36"/>
    <n v="35"/>
    <n v="0"/>
    <n v="0"/>
    <n v="0"/>
    <n v="0"/>
    <n v="92"/>
    <n v="75"/>
    <n v="238975"/>
    <n v="232936"/>
    <n v="763480.10958904109"/>
    <n v="513717"/>
    <n v="1545882.8378378379"/>
    <n v="1078267"/>
    <n v="1250305.5483870967"/>
    <n v="1332118.0453257791"/>
    <n v="0"/>
    <n v="0"/>
    <n v="0"/>
    <n v="0"/>
    <n v="3798643.4958139756"/>
    <n v="3157038.0453257798"/>
  </r>
  <r>
    <x v="6"/>
    <s v="Acadiana Technical College"/>
    <m/>
    <n v="159443"/>
    <x v="9"/>
    <n v="1"/>
    <m/>
    <m/>
    <m/>
    <n v="30"/>
    <m/>
    <m/>
    <m/>
    <n v="0"/>
    <m/>
    <m/>
    <m/>
    <n v="6"/>
    <m/>
    <m/>
    <m/>
    <n v="1"/>
    <m/>
    <m/>
    <m/>
    <n v="10"/>
    <m/>
    <m/>
    <m/>
    <n v="19"/>
    <m/>
    <m/>
    <m/>
    <n v="62"/>
    <m/>
    <m/>
    <m/>
    <n v="0"/>
    <m/>
    <m/>
    <m/>
    <n v="0"/>
    <m/>
    <m/>
    <m/>
    <n v="0"/>
    <m/>
    <m/>
    <m/>
    <n v="0"/>
    <m/>
    <m/>
    <m/>
    <n v="1431010"/>
    <m/>
    <n v="293646"/>
    <m/>
    <n v="531305"/>
    <m/>
    <n v="3392751"/>
    <m/>
    <n v="0"/>
    <m/>
    <n v="0"/>
    <m/>
    <n v="339"/>
    <n v="0"/>
    <n v="66"/>
    <n v="0"/>
    <n v="119"/>
    <n v="0"/>
    <n v="853"/>
    <n v="0"/>
    <n v="0"/>
    <n v="0"/>
    <n v="0"/>
    <n v="0"/>
    <n v="4221.2684365781715"/>
    <n v="0"/>
    <n v="4449.181818181818"/>
    <n v="0"/>
    <n v="4464.7478991596636"/>
    <n v="0"/>
    <n v="3977.4337631887456"/>
    <n v="0"/>
    <n v="0"/>
    <n v="0"/>
    <n v="0"/>
    <n v="0"/>
    <n v="37991.415929203547"/>
    <n v="0"/>
    <n v="40042.63636363636"/>
    <n v="0"/>
    <n v="40182.731092436974"/>
    <n v="0"/>
    <n v="35796.903868698711"/>
    <n v="0"/>
    <n v="0"/>
    <n v="0"/>
    <n v="0"/>
    <n v="0"/>
    <n v="36895.728429213414"/>
    <n v="0"/>
    <n v="31"/>
    <n v="0"/>
    <n v="6"/>
    <n v="0"/>
    <n v="11"/>
    <n v="0"/>
    <n v="81"/>
    <n v="0"/>
    <n v="0"/>
    <n v="0"/>
    <n v="0"/>
    <n v="0"/>
    <n v="129"/>
    <n v="0"/>
    <n v="1177733.8938053099"/>
    <n v="0"/>
    <n v="240255.81818181818"/>
    <n v="0"/>
    <n v="442010.04201680672"/>
    <n v="0"/>
    <n v="2899549.2133645955"/>
    <n v="0"/>
    <n v="0"/>
    <n v="0"/>
    <n v="0"/>
    <n v="0"/>
    <n v="4759548.9673685301"/>
    <n v="0"/>
  </r>
  <r>
    <x v="6"/>
    <s v="Capital Area Technical College"/>
    <m/>
    <n v="158352"/>
    <x v="9"/>
    <m/>
    <n v="1"/>
    <m/>
    <m/>
    <n v="1"/>
    <m/>
    <m/>
    <n v="7"/>
    <n v="0"/>
    <m/>
    <m/>
    <m/>
    <n v="0"/>
    <m/>
    <m/>
    <m/>
    <n v="0"/>
    <n v="1"/>
    <m/>
    <m/>
    <n v="6"/>
    <m/>
    <m/>
    <m/>
    <n v="2"/>
    <n v="5"/>
    <m/>
    <m/>
    <n v="60"/>
    <m/>
    <m/>
    <n v="11"/>
    <n v="0"/>
    <m/>
    <m/>
    <m/>
    <n v="0"/>
    <m/>
    <m/>
    <m/>
    <n v="0"/>
    <m/>
    <m/>
    <m/>
    <n v="0"/>
    <m/>
    <m/>
    <m/>
    <n v="56886"/>
    <n v="56886"/>
    <n v="0"/>
    <m/>
    <n v="325242"/>
    <n v="54111"/>
    <n v="3064450"/>
    <n v="725885"/>
    <n v="0"/>
    <m/>
    <n v="0"/>
    <m/>
    <n v="11"/>
    <n v="93"/>
    <n v="0"/>
    <n v="0"/>
    <n v="66"/>
    <n v="9"/>
    <n v="678"/>
    <n v="177"/>
    <n v="0"/>
    <n v="0"/>
    <n v="0"/>
    <n v="0"/>
    <n v="5171.454545454545"/>
    <n v="611.67741935483866"/>
    <n v="0"/>
    <n v="0"/>
    <n v="4927.909090909091"/>
    <n v="6012.333333333333"/>
    <n v="4519.837758112094"/>
    <n v="4101.0451977401126"/>
    <n v="0"/>
    <n v="0"/>
    <n v="0"/>
    <n v="0"/>
    <n v="46543.090909090904"/>
    <n v="5505.0967741935483"/>
    <n v="0"/>
    <n v="0"/>
    <n v="44351.181818181816"/>
    <n v="54111"/>
    <n v="40678.539823008847"/>
    <n v="36909.406779661011"/>
    <n v="0"/>
    <n v="0"/>
    <n v="0"/>
    <n v="0"/>
    <n v="41082.893490503331"/>
    <n v="27548.091306724982"/>
    <n v="1"/>
    <n v="8"/>
    <n v="0"/>
    <n v="0"/>
    <n v="6"/>
    <n v="1"/>
    <n v="62"/>
    <n v="16"/>
    <n v="0"/>
    <n v="0"/>
    <n v="0"/>
    <n v="0"/>
    <n v="69"/>
    <n v="25"/>
    <n v="46543.090909090904"/>
    <n v="44040.774193548386"/>
    <n v="0"/>
    <n v="0"/>
    <n v="266107.09090909088"/>
    <n v="54111"/>
    <n v="2522069.4690265483"/>
    <n v="590550.50847457617"/>
    <n v="0"/>
    <n v="0"/>
    <n v="0"/>
    <n v="0"/>
    <n v="2834719.65084473"/>
    <n v="688702.28266812454"/>
  </r>
  <r>
    <x v="6"/>
    <s v="Central LA Technical College"/>
    <m/>
    <n v="158088"/>
    <x v="9"/>
    <n v="1"/>
    <n v="4"/>
    <m/>
    <m/>
    <n v="13"/>
    <m/>
    <m/>
    <m/>
    <n v="2"/>
    <n v="1"/>
    <m/>
    <m/>
    <n v="0"/>
    <m/>
    <m/>
    <m/>
    <n v="0"/>
    <m/>
    <m/>
    <m/>
    <n v="0"/>
    <m/>
    <m/>
    <m/>
    <n v="32"/>
    <n v="1"/>
    <m/>
    <m/>
    <n v="36"/>
    <m/>
    <m/>
    <m/>
    <n v="0"/>
    <n v="34"/>
    <m/>
    <m/>
    <n v="0"/>
    <m/>
    <m/>
    <n v="38"/>
    <n v="0"/>
    <m/>
    <m/>
    <m/>
    <n v="0"/>
    <m/>
    <m/>
    <m/>
    <n v="741013"/>
    <n v="554396"/>
    <n v="69704"/>
    <n v="35205"/>
    <n v="0"/>
    <m/>
    <n v="2800544"/>
    <n v="39282"/>
    <n v="0"/>
    <n v="2910381"/>
    <n v="0"/>
    <m/>
    <n v="152"/>
    <n v="36"/>
    <n v="18"/>
    <n v="9"/>
    <n v="0"/>
    <n v="0"/>
    <n v="684"/>
    <n v="9"/>
    <n v="0"/>
    <n v="762"/>
    <n v="0"/>
    <n v="0"/>
    <n v="4875.0855263157891"/>
    <n v="15399.888888888889"/>
    <n v="3872.4444444444443"/>
    <n v="3911.6666666666665"/>
    <n v="0"/>
    <n v="0"/>
    <n v="4094.3625730994154"/>
    <n v="4364.666666666667"/>
    <n v="0"/>
    <n v="3819.3976377952754"/>
    <n v="0"/>
    <n v="0"/>
    <n v="43875.7697368421"/>
    <n v="138599"/>
    <n v="34852"/>
    <n v="35205"/>
    <n v="0"/>
    <n v="0"/>
    <n v="36849.26315789474"/>
    <n v="39282"/>
    <n v="0"/>
    <n v="34374.578740157478"/>
    <n v="0"/>
    <n v="0"/>
    <n v="37972.793703007526"/>
    <n v="39792.982939632544"/>
    <n v="14"/>
    <n v="4"/>
    <n v="2"/>
    <n v="1"/>
    <n v="0"/>
    <n v="0"/>
    <n v="68"/>
    <n v="1"/>
    <n v="0"/>
    <n v="72"/>
    <n v="0"/>
    <n v="0"/>
    <n v="84"/>
    <n v="78"/>
    <n v="614260.77631578944"/>
    <n v="554396"/>
    <n v="69704"/>
    <n v="35205"/>
    <n v="0"/>
    <n v="0"/>
    <n v="2505749.8947368423"/>
    <n v="39282"/>
    <n v="0"/>
    <n v="2474969.6692913384"/>
    <n v="0"/>
    <n v="0"/>
    <n v="3189714.6710526324"/>
    <n v="3103852.6692913384"/>
  </r>
  <r>
    <x v="6"/>
    <s v="L.E. Fletcher Technical Community College"/>
    <m/>
    <n v="160481"/>
    <x v="9"/>
    <m/>
    <m/>
    <m/>
    <m/>
    <n v="0"/>
    <m/>
    <m/>
    <m/>
    <n v="0"/>
    <m/>
    <m/>
    <m/>
    <n v="0"/>
    <m/>
    <m/>
    <m/>
    <n v="1"/>
    <n v="1"/>
    <m/>
    <m/>
    <n v="1"/>
    <m/>
    <m/>
    <n v="1"/>
    <n v="30"/>
    <n v="29"/>
    <m/>
    <m/>
    <n v="19"/>
    <m/>
    <m/>
    <n v="20"/>
    <n v="6"/>
    <n v="6"/>
    <m/>
    <m/>
    <n v="0"/>
    <m/>
    <m/>
    <m/>
    <m/>
    <m/>
    <m/>
    <m/>
    <n v="0"/>
    <m/>
    <m/>
    <m/>
    <n v="0"/>
    <m/>
    <n v="0"/>
    <m/>
    <n v="103424"/>
    <n v="107561"/>
    <n v="1852345"/>
    <n v="2153175"/>
    <n v="157998"/>
    <n v="169093"/>
    <n v="0"/>
    <m/>
    <n v="0"/>
    <n v="0"/>
    <n v="0"/>
    <n v="0"/>
    <n v="20"/>
    <n v="21"/>
    <n v="479"/>
    <n v="501"/>
    <n v="54"/>
    <n v="54"/>
    <n v="0"/>
    <n v="0"/>
    <n v="0"/>
    <n v="0"/>
    <n v="0"/>
    <n v="0"/>
    <n v="5171.2"/>
    <n v="5121.9523809523807"/>
    <n v="3867.1085594989563"/>
    <n v="4297.754491017964"/>
    <n v="2925.8888888888887"/>
    <n v="3131.3518518518517"/>
    <n v="0"/>
    <n v="0"/>
    <n v="0"/>
    <n v="0"/>
    <n v="0"/>
    <n v="0"/>
    <n v="46540.799999999996"/>
    <n v="46097.571428571428"/>
    <n v="34803.977035490607"/>
    <n v="38679.790419161676"/>
    <n v="26333"/>
    <n v="28182.166666666664"/>
    <n v="0"/>
    <n v="0"/>
    <n v="34324.113591912981"/>
    <n v="37835.050410457283"/>
    <n v="0"/>
    <n v="0"/>
    <n v="0"/>
    <n v="0"/>
    <n v="2"/>
    <n v="2"/>
    <n v="49"/>
    <n v="49"/>
    <n v="6"/>
    <n v="6"/>
    <n v="0"/>
    <n v="0"/>
    <n v="57"/>
    <n v="57"/>
    <n v="0"/>
    <n v="0"/>
    <n v="0"/>
    <n v="0"/>
    <n v="93081.599999999991"/>
    <n v="92195.142857142855"/>
    <n v="1705394.8747390397"/>
    <n v="1895309.7305389221"/>
    <n v="157998"/>
    <n v="169093"/>
    <n v="0"/>
    <n v="0"/>
    <n v="1956474.47473904"/>
    <n v="2156597.8733960651"/>
  </r>
  <r>
    <x v="6"/>
    <s v="Northeast Technical College"/>
    <m/>
    <n v="158769"/>
    <x v="9"/>
    <m/>
    <m/>
    <m/>
    <m/>
    <n v="8"/>
    <m/>
    <m/>
    <n v="16"/>
    <n v="0"/>
    <m/>
    <m/>
    <m/>
    <n v="0"/>
    <m/>
    <m/>
    <m/>
    <n v="0"/>
    <m/>
    <m/>
    <m/>
    <n v="1"/>
    <m/>
    <m/>
    <n v="38"/>
    <n v="6"/>
    <m/>
    <m/>
    <m/>
    <n v="34"/>
    <m/>
    <m/>
    <n v="11"/>
    <n v="0"/>
    <m/>
    <m/>
    <m/>
    <n v="0"/>
    <m/>
    <m/>
    <m/>
    <n v="0"/>
    <m/>
    <m/>
    <m/>
    <n v="0"/>
    <m/>
    <m/>
    <m/>
    <n v="462104"/>
    <m/>
    <n v="0"/>
    <m/>
    <n v="46629"/>
    <m/>
    <n v="1795882"/>
    <m/>
    <n v="0"/>
    <m/>
    <n v="0"/>
    <m/>
    <n v="88"/>
    <n v="192"/>
    <n v="0"/>
    <n v="0"/>
    <n v="11"/>
    <n v="456"/>
    <n v="428"/>
    <n v="132"/>
    <n v="0"/>
    <n v="0"/>
    <n v="0"/>
    <n v="0"/>
    <n v="5251.181818181818"/>
    <n v="0"/>
    <n v="0"/>
    <n v="0"/>
    <n v="4239"/>
    <n v="0"/>
    <n v="4195.9859813084113"/>
    <n v="0"/>
    <n v="0"/>
    <n v="0"/>
    <n v="0"/>
    <n v="0"/>
    <n v="47260.63636363636"/>
    <n v="0"/>
    <n v="0"/>
    <n v="0"/>
    <n v="38151"/>
    <n v="0"/>
    <n v="37763.873831775702"/>
    <n v="0"/>
    <n v="0"/>
    <n v="0"/>
    <n v="0"/>
    <n v="0"/>
    <n v="39322.26620775753"/>
    <n v="0"/>
    <n v="8"/>
    <n v="16"/>
    <n v="0"/>
    <n v="0"/>
    <n v="1"/>
    <n v="38"/>
    <n v="40"/>
    <n v="11"/>
    <n v="0"/>
    <n v="0"/>
    <n v="0"/>
    <n v="0"/>
    <n v="49"/>
    <n v="65"/>
    <n v="378085.09090909088"/>
    <n v="0"/>
    <n v="0"/>
    <n v="0"/>
    <n v="38151"/>
    <n v="0"/>
    <n v="1510554.9532710281"/>
    <n v="0"/>
    <n v="0"/>
    <n v="0"/>
    <n v="0"/>
    <n v="0"/>
    <n v="1926791.0441801189"/>
    <n v="0"/>
  </r>
  <r>
    <x v="6"/>
    <s v="Northshore Technical College"/>
    <m/>
    <n v="160667"/>
    <x v="9"/>
    <n v="1"/>
    <m/>
    <m/>
    <m/>
    <n v="2"/>
    <m/>
    <m/>
    <n v="5"/>
    <n v="3"/>
    <n v="2"/>
    <m/>
    <m/>
    <n v="2"/>
    <m/>
    <m/>
    <n v="2"/>
    <n v="7"/>
    <n v="5"/>
    <m/>
    <m/>
    <n v="2"/>
    <m/>
    <m/>
    <n v="2"/>
    <n v="33"/>
    <n v="43"/>
    <m/>
    <m/>
    <n v="16"/>
    <m/>
    <m/>
    <n v="16"/>
    <n v="0"/>
    <m/>
    <m/>
    <m/>
    <n v="0"/>
    <m/>
    <m/>
    <m/>
    <n v="0"/>
    <m/>
    <m/>
    <m/>
    <n v="0"/>
    <m/>
    <m/>
    <m/>
    <n v="187928"/>
    <m/>
    <n v="236967"/>
    <n v="191429"/>
    <n v="373906"/>
    <n v="291927"/>
    <n v="1931735"/>
    <n v="2339605"/>
    <n v="0"/>
    <m/>
    <n v="0"/>
    <m/>
    <n v="31"/>
    <n v="60"/>
    <n v="49"/>
    <n v="42"/>
    <n v="85"/>
    <n v="69"/>
    <n v="473"/>
    <n v="579"/>
    <n v="0"/>
    <n v="0"/>
    <n v="0"/>
    <n v="0"/>
    <n v="6062.1935483870966"/>
    <n v="0"/>
    <n v="4836.0612244897957"/>
    <n v="4557.833333333333"/>
    <n v="4398.8941176470589"/>
    <n v="4230.826086956522"/>
    <n v="4084.0063424947148"/>
    <n v="4040.7685664939549"/>
    <n v="0"/>
    <n v="0"/>
    <n v="0"/>
    <n v="0"/>
    <n v="54559.741935483871"/>
    <n v="0"/>
    <n v="43524.551020408158"/>
    <n v="41020.5"/>
    <n v="39590.047058823533"/>
    <n v="38077.434782608696"/>
    <n v="36756.057082452433"/>
    <n v="36366.917098445592"/>
    <n v="0"/>
    <n v="0"/>
    <n v="0"/>
    <n v="0"/>
    <n v="38464.533355728381"/>
    <n v="34350.295363820675"/>
    <n v="3"/>
    <n v="5"/>
    <n v="5"/>
    <n v="4"/>
    <n v="9"/>
    <n v="7"/>
    <n v="49"/>
    <n v="59"/>
    <n v="0"/>
    <n v="0"/>
    <n v="0"/>
    <n v="0"/>
    <n v="66"/>
    <n v="75"/>
    <n v="163679.22580645161"/>
    <n v="0"/>
    <n v="217622.7551020408"/>
    <n v="164082"/>
    <n v="356310.42352941178"/>
    <n v="266542.04347826086"/>
    <n v="1801046.7970401691"/>
    <n v="2145648.1088082897"/>
    <n v="0"/>
    <n v="0"/>
    <n v="0"/>
    <n v="0"/>
    <n v="2538659.2014780734"/>
    <n v="2576272.1522865505"/>
  </r>
  <r>
    <x v="6"/>
    <s v="Northwest LA Technical College"/>
    <m/>
    <n v="160010"/>
    <x v="9"/>
    <n v="3"/>
    <n v="2"/>
    <m/>
    <m/>
    <n v="19"/>
    <m/>
    <m/>
    <m/>
    <n v="1"/>
    <n v="3"/>
    <m/>
    <m/>
    <n v="3"/>
    <m/>
    <m/>
    <n v="2"/>
    <n v="0"/>
    <m/>
    <m/>
    <m/>
    <n v="4"/>
    <m/>
    <m/>
    <n v="2"/>
    <n v="11"/>
    <n v="2"/>
    <m/>
    <m/>
    <n v="58"/>
    <m/>
    <m/>
    <m/>
    <n v="0"/>
    <n v="11"/>
    <m/>
    <m/>
    <n v="0"/>
    <m/>
    <m/>
    <n v="43"/>
    <n v="0"/>
    <m/>
    <m/>
    <m/>
    <n v="0"/>
    <m/>
    <m/>
    <m/>
    <n v="1180523"/>
    <n v="932490"/>
    <n v="166767"/>
    <n v="199354"/>
    <n v="205488"/>
    <n v="114727"/>
    <n v="2716289"/>
    <n v="73526"/>
    <n v="0"/>
    <n v="2350462"/>
    <n v="0"/>
    <m/>
    <n v="236"/>
    <n v="18"/>
    <n v="42"/>
    <n v="51"/>
    <n v="44"/>
    <n v="24"/>
    <n v="737"/>
    <n v="18"/>
    <n v="0"/>
    <n v="615"/>
    <n v="0"/>
    <n v="0"/>
    <n v="5002.2161016949149"/>
    <n v="51805"/>
    <n v="3970.6428571428573"/>
    <n v="3908.9019607843138"/>
    <n v="4670.181818181818"/>
    <n v="4780.291666666667"/>
    <n v="3685.6024423337858"/>
    <n v="4084.7777777777778"/>
    <n v="0"/>
    <n v="3821.889430894309"/>
    <n v="0"/>
    <n v="0"/>
    <n v="45019.944915254237"/>
    <n v="466245"/>
    <n v="35735.785714285717"/>
    <n v="35180.117647058825"/>
    <n v="42031.63636363636"/>
    <n v="43022.625"/>
    <n v="33170.421981004074"/>
    <n v="36763"/>
    <n v="0"/>
    <n v="34397.004878048785"/>
    <n v="0"/>
    <n v="0"/>
    <n v="36265.329223601642"/>
    <n v="48083.078486921979"/>
    <n v="22"/>
    <n v="2"/>
    <n v="4"/>
    <n v="5"/>
    <n v="4"/>
    <n v="2"/>
    <n v="69"/>
    <n v="2"/>
    <n v="0"/>
    <n v="54"/>
    <n v="0"/>
    <n v="0"/>
    <n v="99"/>
    <n v="65"/>
    <n v="990438.78813559317"/>
    <n v="932490"/>
    <n v="142943.14285714287"/>
    <n v="175900.58823529413"/>
    <n v="168126.54545454544"/>
    <n v="86045.25"/>
    <n v="2288759.1166892811"/>
    <n v="73526"/>
    <n v="0"/>
    <n v="1857438.2634146344"/>
    <n v="0"/>
    <n v="0"/>
    <n v="3590267.5931365625"/>
    <n v="3125400.1016499288"/>
  </r>
  <r>
    <x v="6"/>
    <s v="South Central LA Technical College"/>
    <m/>
    <n v="160913"/>
    <x v="9"/>
    <m/>
    <m/>
    <m/>
    <m/>
    <n v="6"/>
    <m/>
    <m/>
    <m/>
    <n v="0"/>
    <m/>
    <m/>
    <m/>
    <n v="1"/>
    <m/>
    <m/>
    <n v="1"/>
    <n v="0"/>
    <m/>
    <m/>
    <m/>
    <n v="3"/>
    <m/>
    <m/>
    <n v="2"/>
    <n v="5"/>
    <n v="7"/>
    <m/>
    <m/>
    <n v="41"/>
    <m/>
    <m/>
    <n v="38"/>
    <n v="0"/>
    <m/>
    <m/>
    <m/>
    <n v="0"/>
    <m/>
    <m/>
    <m/>
    <n v="0"/>
    <m/>
    <m/>
    <m/>
    <n v="0"/>
    <m/>
    <m/>
    <m/>
    <n v="353736"/>
    <n v="290566"/>
    <n v="56784"/>
    <n v="56784"/>
    <n v="151626"/>
    <n v="110289"/>
    <n v="2156567"/>
    <n v="2089893"/>
    <n v="0"/>
    <m/>
    <n v="0"/>
    <m/>
    <n v="66"/>
    <n v="0"/>
    <n v="11"/>
    <n v="12"/>
    <n v="33"/>
    <n v="24"/>
    <n v="496"/>
    <n v="519"/>
    <n v="0"/>
    <n v="0"/>
    <n v="0"/>
    <n v="0"/>
    <n v="5359.636363636364"/>
    <n v="0"/>
    <n v="5162.181818181818"/>
    <n v="4732"/>
    <n v="4594.727272727273"/>
    <n v="4595.375"/>
    <n v="4347.9173387096771"/>
    <n v="4026.7687861271675"/>
    <n v="0"/>
    <n v="0"/>
    <n v="0"/>
    <n v="0"/>
    <n v="48236.727272727279"/>
    <n v="0"/>
    <n v="46459.63636363636"/>
    <n v="42588"/>
    <n v="41352.545454545456"/>
    <n v="41358.375"/>
    <n v="39131.256048387091"/>
    <n v="36240.919075144506"/>
    <n v="0"/>
    <n v="0"/>
    <n v="0"/>
    <n v="0"/>
    <n v="40356.703831954328"/>
    <n v="36586.377257947977"/>
    <n v="6"/>
    <n v="0"/>
    <n v="1"/>
    <n v="1"/>
    <n v="3"/>
    <n v="2"/>
    <n v="46"/>
    <n v="45"/>
    <n v="0"/>
    <n v="0"/>
    <n v="0"/>
    <n v="0"/>
    <n v="56"/>
    <n v="48"/>
    <n v="289420.36363636365"/>
    <n v="0"/>
    <n v="46459.63636363636"/>
    <n v="42588"/>
    <n v="124057.63636363637"/>
    <n v="82716.75"/>
    <n v="1800037.7782258061"/>
    <n v="1630841.3583815028"/>
    <n v="0"/>
    <n v="0"/>
    <n v="0"/>
    <n v="0"/>
    <n v="2259975.4145894423"/>
    <n v="1756146.1083815028"/>
  </r>
  <r>
    <x v="6"/>
    <s v="Sowela Technical Community College"/>
    <m/>
    <n v="160579"/>
    <x v="9"/>
    <m/>
    <m/>
    <m/>
    <m/>
    <n v="0"/>
    <m/>
    <m/>
    <m/>
    <n v="0"/>
    <m/>
    <m/>
    <m/>
    <n v="0"/>
    <m/>
    <m/>
    <m/>
    <n v="0"/>
    <m/>
    <m/>
    <m/>
    <n v="0"/>
    <m/>
    <m/>
    <m/>
    <m/>
    <n v="42"/>
    <m/>
    <m/>
    <m/>
    <m/>
    <m/>
    <n v="30"/>
    <n v="38"/>
    <m/>
    <m/>
    <m/>
    <n v="36"/>
    <m/>
    <m/>
    <m/>
    <m/>
    <m/>
    <m/>
    <m/>
    <m/>
    <m/>
    <m/>
    <m/>
    <n v="0"/>
    <m/>
    <n v="0"/>
    <m/>
    <n v="0"/>
    <m/>
    <n v="0"/>
    <n v="3236507"/>
    <n v="0"/>
    <m/>
    <n v="3325714"/>
    <m/>
    <n v="0"/>
    <n v="0"/>
    <n v="0"/>
    <n v="0"/>
    <n v="0"/>
    <n v="0"/>
    <n v="0"/>
    <n v="738"/>
    <n v="738"/>
    <n v="0"/>
    <n v="0"/>
    <n v="0"/>
    <n v="0"/>
    <n v="0"/>
    <n v="0"/>
    <n v="0"/>
    <n v="0"/>
    <n v="0"/>
    <n v="0"/>
    <n v="4385.5108401084008"/>
    <n v="0"/>
    <n v="0"/>
    <n v="0"/>
    <n v="0"/>
    <n v="0"/>
    <n v="0"/>
    <n v="0"/>
    <n v="0"/>
    <n v="0"/>
    <n v="0"/>
    <n v="0"/>
    <n v="39469.597560975606"/>
    <n v="0"/>
    <n v="0"/>
    <n v="0"/>
    <n v="0"/>
    <n v="0"/>
    <n v="39469.597560975606"/>
    <n v="0"/>
    <n v="0"/>
    <n v="0"/>
    <n v="0"/>
    <n v="0"/>
    <n v="0"/>
    <n v="0"/>
    <n v="72"/>
    <n v="74"/>
    <n v="0"/>
    <n v="0"/>
    <n v="0"/>
    <n v="74"/>
    <n v="72"/>
    <n v="0"/>
    <n v="0"/>
    <n v="0"/>
    <n v="0"/>
    <n v="0"/>
    <n v="0"/>
    <n v="0"/>
    <n v="2841811.0243902435"/>
    <n v="0"/>
    <n v="0"/>
    <n v="0"/>
    <n v="0"/>
    <n v="0"/>
    <n v="2841811.0243902435"/>
  </r>
  <r>
    <x v="7"/>
    <s v="University of Maryland College Park"/>
    <m/>
    <n v="163286"/>
    <x v="0"/>
    <n v="375"/>
    <n v="364"/>
    <m/>
    <n v="11"/>
    <n v="282"/>
    <m/>
    <m/>
    <n v="278"/>
    <n v="326"/>
    <n v="321"/>
    <m/>
    <n v="6"/>
    <n v="97"/>
    <n v="0"/>
    <m/>
    <n v="104"/>
    <n v="276"/>
    <n v="282"/>
    <m/>
    <m/>
    <n v="40"/>
    <m/>
    <m/>
    <n v="35"/>
    <n v="6"/>
    <n v="6"/>
    <m/>
    <m/>
    <n v="6"/>
    <m/>
    <m/>
    <n v="6"/>
    <n v="209"/>
    <n v="214"/>
    <m/>
    <m/>
    <n v="51"/>
    <m/>
    <m/>
    <n v="49"/>
    <m/>
    <m/>
    <m/>
    <m/>
    <m/>
    <m/>
    <m/>
    <m/>
    <n v="98521864.967999995"/>
    <n v="99272860"/>
    <n v="42653496.912999995"/>
    <n v="44122082"/>
    <n v="27270689.068"/>
    <n v="27688736"/>
    <n v="806473.99800000002"/>
    <n v="815467"/>
    <n v="16643647.999"/>
    <n v="16876872"/>
    <n v="0"/>
    <m/>
    <n v="6477"/>
    <n v="6722"/>
    <n v="4001"/>
    <n v="4197"/>
    <n v="2924"/>
    <n v="2958"/>
    <n v="120"/>
    <n v="126"/>
    <n v="2442"/>
    <n v="2514"/>
    <n v="0"/>
    <n v="0"/>
    <n v="15211.033652616952"/>
    <n v="14768.351681047307"/>
    <n v="10660.709050987252"/>
    <n v="10512.766738146294"/>
    <n v="9326.5010492476067"/>
    <n v="9360.6274509803916"/>
    <n v="6720.6166499999999"/>
    <n v="6471.9603174603171"/>
    <n v="6815.5806711711712"/>
    <n v="6713.1551312649162"/>
    <n v="0"/>
    <n v="0"/>
    <n v="136899.30287355257"/>
    <n v="132915.16512942576"/>
    <n v="95946.381458885269"/>
    <n v="94614.900643316651"/>
    <n v="83938.509443228453"/>
    <n v="84245.647058823524"/>
    <n v="60485.549849999996"/>
    <n v="58247.642857142855"/>
    <n v="61340.22604054054"/>
    <n v="60418.396181384247"/>
    <n v="0"/>
    <n v="0"/>
    <n v="104152.88710901274"/>
    <n v="101949.58534273348"/>
    <n v="657"/>
    <n v="653"/>
    <n v="423"/>
    <n v="431"/>
    <n v="316"/>
    <n v="317"/>
    <n v="12"/>
    <n v="12"/>
    <n v="260"/>
    <n v="263"/>
    <n v="0"/>
    <n v="0"/>
    <n v="1668"/>
    <n v="1676"/>
    <n v="89942841.987924039"/>
    <n v="86793602.829515025"/>
    <n v="40585319.357108466"/>
    <n v="40779022.177269474"/>
    <n v="26524568.984060191"/>
    <n v="26705870.117647056"/>
    <n v="725826.59819999989"/>
    <n v="698971.71428571432"/>
    <n v="15948458.770540541"/>
    <n v="15890038.195704058"/>
    <n v="0"/>
    <n v="0"/>
    <n v="173727015.69783324"/>
    <n v="170867505.03442132"/>
  </r>
  <r>
    <x v="7"/>
    <s v="Morgan State University"/>
    <m/>
    <n v="163453"/>
    <x v="1"/>
    <n v="24"/>
    <n v="28"/>
    <m/>
    <m/>
    <n v="26"/>
    <m/>
    <m/>
    <n v="22"/>
    <n v="114"/>
    <n v="120"/>
    <m/>
    <m/>
    <n v="23"/>
    <m/>
    <m/>
    <n v="21"/>
    <n v="83"/>
    <n v="85"/>
    <m/>
    <m/>
    <n v="5"/>
    <m/>
    <m/>
    <n v="3"/>
    <n v="4"/>
    <n v="4"/>
    <m/>
    <m/>
    <m/>
    <m/>
    <m/>
    <m/>
    <n v="173"/>
    <n v="158"/>
    <m/>
    <m/>
    <n v="3"/>
    <m/>
    <m/>
    <m/>
    <m/>
    <m/>
    <m/>
    <m/>
    <m/>
    <m/>
    <m/>
    <m/>
    <n v="5828601.9900000002"/>
    <n v="5611724"/>
    <n v="11246719.976"/>
    <n v="11531766"/>
    <n v="6035162.9970000004"/>
    <n v="6113138"/>
    <n v="178890"/>
    <n v="178890"/>
    <n v="7983882.9939999999"/>
    <n v="7127363"/>
    <n v="0"/>
    <m/>
    <n v="502"/>
    <n v="516"/>
    <n v="1279"/>
    <n v="1332"/>
    <n v="802"/>
    <n v="801"/>
    <n v="36"/>
    <n v="36"/>
    <n v="1590"/>
    <n v="1422"/>
    <n v="0"/>
    <n v="0"/>
    <n v="11610.760936254981"/>
    <n v="10875.434108527132"/>
    <n v="8793.3698014073489"/>
    <n v="8657.4819819819822"/>
    <n v="7525.1408940149631"/>
    <n v="7631.8826466916353"/>
    <n v="4969.166666666667"/>
    <n v="4969.166666666667"/>
    <n v="5021.3100591194971"/>
    <n v="5012.2102672292549"/>
    <n v="0"/>
    <n v="0"/>
    <n v="104496.84842629483"/>
    <n v="97878.906976744183"/>
    <n v="79140.328212666136"/>
    <n v="77917.33783783784"/>
    <n v="67726.268046134675"/>
    <n v="68686.943820224711"/>
    <n v="44722.5"/>
    <n v="44722.5"/>
    <n v="45191.790532075473"/>
    <n v="45109.892405063292"/>
    <n v="0"/>
    <n v="0"/>
    <n v="66284.888149791514"/>
    <n v="66283.433197623846"/>
    <n v="50"/>
    <n v="50"/>
    <n v="137"/>
    <n v="141"/>
    <n v="88"/>
    <n v="88"/>
    <n v="4"/>
    <n v="4"/>
    <n v="176"/>
    <n v="158"/>
    <n v="0"/>
    <n v="0"/>
    <n v="455"/>
    <n v="441"/>
    <n v="5224842.4213147415"/>
    <n v="4893945.3488372089"/>
    <n v="10842224.965135261"/>
    <n v="10986344.635135135"/>
    <n v="5959911.5880598519"/>
    <n v="6044451.0561797749"/>
    <n v="178890"/>
    <n v="178890"/>
    <n v="7953755.1336452831"/>
    <n v="7127363"/>
    <n v="0"/>
    <n v="0"/>
    <n v="30159624.108155139"/>
    <n v="29230994.040152118"/>
  </r>
  <r>
    <x v="7"/>
    <s v="University of Maryland, Baltimore County"/>
    <m/>
    <n v="163268"/>
    <x v="1"/>
    <n v="100"/>
    <n v="105"/>
    <m/>
    <m/>
    <n v="45"/>
    <m/>
    <m/>
    <n v="50"/>
    <n v="135"/>
    <n v="124"/>
    <m/>
    <m/>
    <n v="20"/>
    <m/>
    <m/>
    <n v="24"/>
    <n v="84"/>
    <n v="96"/>
    <m/>
    <m/>
    <n v="6"/>
    <m/>
    <m/>
    <n v="4"/>
    <n v="7"/>
    <n v="7"/>
    <m/>
    <m/>
    <n v="5"/>
    <m/>
    <m/>
    <n v="5"/>
    <n v="70"/>
    <n v="76"/>
    <m/>
    <m/>
    <n v="10"/>
    <m/>
    <m/>
    <n v="10"/>
    <m/>
    <m/>
    <m/>
    <m/>
    <m/>
    <m/>
    <m/>
    <m/>
    <n v="17514787.004999999"/>
    <n v="18649389"/>
    <n v="12282156.98"/>
    <n v="11652891"/>
    <n v="6174518.0099999998"/>
    <n v="6806053"/>
    <n v="694236"/>
    <n v="689977"/>
    <n v="4235743.99"/>
    <n v="4464482"/>
    <n v="0"/>
    <m/>
    <n v="1395"/>
    <n v="1545"/>
    <n v="1435"/>
    <n v="1404"/>
    <n v="822"/>
    <n v="912"/>
    <n v="118"/>
    <n v="123"/>
    <n v="740"/>
    <n v="804"/>
    <n v="0"/>
    <n v="0"/>
    <n v="12555.40287096774"/>
    <n v="12070.801941747573"/>
    <n v="8558.9944111498262"/>
    <n v="8299.7799145299141"/>
    <n v="7511.5790875912408"/>
    <n v="7462.7774122807014"/>
    <n v="5883.3559322033898"/>
    <n v="5609.5691056910573"/>
    <n v="5723.9783648648654"/>
    <n v="5552.8383084577117"/>
    <n v="0"/>
    <n v="0"/>
    <n v="112998.62583870966"/>
    <n v="108637.21747572816"/>
    <n v="77030.949700348428"/>
    <n v="74698.01923076922"/>
    <n v="67604.211788321161"/>
    <n v="67164.996710526306"/>
    <n v="52950.203389830509"/>
    <n v="50486.121951219517"/>
    <n v="51515.805283783789"/>
    <n v="49975.544776119408"/>
    <n v="0"/>
    <n v="0"/>
    <n v="81256.522561196005"/>
    <n v="78870.869341527417"/>
    <n v="145"/>
    <n v="155"/>
    <n v="155"/>
    <n v="148"/>
    <n v="90"/>
    <n v="100"/>
    <n v="12"/>
    <n v="12"/>
    <n v="80"/>
    <n v="86"/>
    <n v="0"/>
    <n v="0"/>
    <n v="482"/>
    <n v="501"/>
    <n v="16384800.746612901"/>
    <n v="16838768.708737865"/>
    <n v="11939797.203554006"/>
    <n v="11055306.846153844"/>
    <n v="6084379.0609489046"/>
    <n v="6716499.671052631"/>
    <n v="635402.44067796611"/>
    <n v="605833.46341463423"/>
    <n v="4121264.4227027032"/>
    <n v="4297896.8507462693"/>
    <n v="0"/>
    <n v="0"/>
    <n v="39165643.874496475"/>
    <n v="39514305.540105239"/>
  </r>
  <r>
    <x v="7"/>
    <s v="Towson University "/>
    <m/>
    <n v="164076"/>
    <x v="2"/>
    <n v="159"/>
    <m/>
    <m/>
    <n v="172"/>
    <n v="28"/>
    <m/>
    <m/>
    <n v="25"/>
    <n v="163"/>
    <m/>
    <m/>
    <n v="162"/>
    <n v="11"/>
    <m/>
    <m/>
    <n v="16"/>
    <n v="285"/>
    <m/>
    <m/>
    <n v="271"/>
    <n v="3"/>
    <m/>
    <m/>
    <n v="3"/>
    <n v="22"/>
    <m/>
    <m/>
    <n v="25"/>
    <m/>
    <m/>
    <m/>
    <m/>
    <n v="170"/>
    <m/>
    <m/>
    <n v="174"/>
    <m/>
    <m/>
    <m/>
    <m/>
    <m/>
    <m/>
    <m/>
    <m/>
    <m/>
    <m/>
    <m/>
    <m/>
    <n v="17305917.052000001"/>
    <n v="17808053"/>
    <n v="12619875.060999999"/>
    <n v="12886247"/>
    <n v="17860528.025999997"/>
    <n v="17140742"/>
    <n v="1112694.99"/>
    <n v="1329932"/>
    <n v="6745765.9200000009"/>
    <n v="6918982"/>
    <n v="0"/>
    <m/>
    <n v="1739"/>
    <n v="2020"/>
    <n v="1588"/>
    <n v="1812"/>
    <n v="2598"/>
    <n v="2746"/>
    <n v="198"/>
    <n v="250"/>
    <n v="1530"/>
    <n v="1740"/>
    <n v="0"/>
    <n v="0"/>
    <n v="9951.6486785508914"/>
    <n v="8815.867821782178"/>
    <n v="7947.0245976070519"/>
    <n v="7111.6153421633553"/>
    <n v="6874.7221039260958"/>
    <n v="6242.0764748725414"/>
    <n v="5619.6716666666662"/>
    <n v="5319.7280000000001"/>
    <n v="4408.9973333333337"/>
    <n v="3976.426436781609"/>
    <n v="0"/>
    <n v="0"/>
    <n v="89564.838106958021"/>
    <n v="79342.810396039597"/>
    <n v="71523.221378463466"/>
    <n v="64004.5380794702"/>
    <n v="61872.498935334865"/>
    <n v="56178.688273852873"/>
    <n v="50577.044999999998"/>
    <n v="47877.552000000003"/>
    <n v="39680.976000000002"/>
    <n v="35787.837931034483"/>
    <n v="0"/>
    <n v="0"/>
    <n v="65245.429071617407"/>
    <n v="58773.967704246672"/>
    <n v="187"/>
    <n v="197"/>
    <n v="174"/>
    <n v="178"/>
    <n v="288"/>
    <n v="274"/>
    <n v="22"/>
    <n v="25"/>
    <n v="170"/>
    <n v="174"/>
    <n v="0"/>
    <n v="0"/>
    <n v="841"/>
    <n v="848"/>
    <n v="16748624.726001149"/>
    <n v="15630533.6480198"/>
    <n v="12445040.519852644"/>
    <n v="11392807.778145695"/>
    <n v="17819279.693376441"/>
    <n v="15392960.587035688"/>
    <n v="1112694.99"/>
    <n v="1196938.8"/>
    <n v="6745765.9200000009"/>
    <n v="6227083.7999999998"/>
    <n v="0"/>
    <n v="0"/>
    <n v="54871405.849230237"/>
    <n v="49840324.613201179"/>
  </r>
  <r>
    <x v="7"/>
    <s v="Bowie State University "/>
    <m/>
    <n v="162007"/>
    <x v="3"/>
    <n v="27"/>
    <n v="30"/>
    <m/>
    <m/>
    <n v="9"/>
    <m/>
    <m/>
    <n v="7"/>
    <n v="35"/>
    <n v="37"/>
    <m/>
    <m/>
    <n v="6"/>
    <m/>
    <m/>
    <n v="7"/>
    <n v="88"/>
    <n v="78"/>
    <m/>
    <m/>
    <n v="2"/>
    <m/>
    <m/>
    <n v="3"/>
    <n v="5"/>
    <n v="7"/>
    <m/>
    <m/>
    <m/>
    <m/>
    <m/>
    <m/>
    <n v="53"/>
    <n v="46"/>
    <m/>
    <m/>
    <n v="1"/>
    <m/>
    <m/>
    <n v="1"/>
    <m/>
    <m/>
    <m/>
    <m/>
    <m/>
    <m/>
    <m/>
    <m/>
    <n v="3279078.9989999998"/>
    <n v="3304659"/>
    <n v="2958958.9849999999"/>
    <n v="3132935"/>
    <n v="5635079.0159999998"/>
    <n v="5060822"/>
    <n v="294795"/>
    <n v="425523"/>
    <n v="2897391.9939999999"/>
    <n v="2560981"/>
    <n v="0"/>
    <m/>
    <n v="342"/>
    <n v="354"/>
    <n v="381"/>
    <n v="417"/>
    <n v="814"/>
    <n v="738"/>
    <n v="45"/>
    <n v="63"/>
    <n v="488"/>
    <n v="426"/>
    <n v="0"/>
    <n v="0"/>
    <n v="9587.9502894736834"/>
    <n v="9335.1949152542365"/>
    <n v="7766.29654855643"/>
    <n v="7513.0335731414871"/>
    <n v="6922.7014938574939"/>
    <n v="6857.4823848238484"/>
    <n v="6551"/>
    <n v="6754.333333333333"/>
    <n v="5937.2786762295082"/>
    <n v="6011.692488262911"/>
    <n v="0"/>
    <n v="0"/>
    <n v="86291.552605263147"/>
    <n v="84016.754237288129"/>
    <n v="69896.668937007867"/>
    <n v="67617.302158273378"/>
    <n v="62304.313444717445"/>
    <n v="61717.341463414632"/>
    <n v="58959"/>
    <n v="60789"/>
    <n v="53435.508086065573"/>
    <n v="54105.232394366198"/>
    <n v="0"/>
    <n v="0"/>
    <n v="65309.557375570381"/>
    <n v="65052.568438960581"/>
    <n v="36"/>
    <n v="37"/>
    <n v="41"/>
    <n v="44"/>
    <n v="90"/>
    <n v="81"/>
    <n v="5"/>
    <n v="7"/>
    <n v="54"/>
    <n v="47"/>
    <n v="0"/>
    <n v="0"/>
    <n v="226"/>
    <n v="216"/>
    <n v="3106495.8937894735"/>
    <n v="3108619.9067796608"/>
    <n v="2865763.4264173224"/>
    <n v="2975161.2949640285"/>
    <n v="5607388.2100245701"/>
    <n v="4999104.658536585"/>
    <n v="294795"/>
    <n v="425523"/>
    <n v="2885517.4366475409"/>
    <n v="2542945.9225352113"/>
    <n v="0"/>
    <n v="0"/>
    <n v="14759959.966878906"/>
    <n v="14051354.782815486"/>
  </r>
  <r>
    <x v="7"/>
    <s v="Frostburg State University "/>
    <m/>
    <n v="162584"/>
    <x v="3"/>
    <n v="77"/>
    <m/>
    <m/>
    <n v="78"/>
    <m/>
    <m/>
    <m/>
    <m/>
    <n v="60"/>
    <m/>
    <m/>
    <n v="58"/>
    <m/>
    <m/>
    <m/>
    <m/>
    <n v="70"/>
    <m/>
    <m/>
    <n v="73"/>
    <m/>
    <m/>
    <m/>
    <m/>
    <n v="5"/>
    <m/>
    <m/>
    <n v="3"/>
    <m/>
    <m/>
    <m/>
    <m/>
    <n v="17"/>
    <m/>
    <m/>
    <n v="15"/>
    <n v="16"/>
    <m/>
    <m/>
    <n v="17"/>
    <m/>
    <m/>
    <m/>
    <m/>
    <m/>
    <m/>
    <m/>
    <m/>
    <n v="6304768.0080000004"/>
    <n v="6369441"/>
    <n v="4048936.0200000005"/>
    <n v="3793166"/>
    <n v="4116535.01"/>
    <n v="4297431"/>
    <n v="293503"/>
    <n v="188000"/>
    <n v="1270520.9920000001"/>
    <n v="1241235"/>
    <n v="0"/>
    <m/>
    <n v="693"/>
    <n v="780"/>
    <n v="540"/>
    <n v="580"/>
    <n v="630"/>
    <n v="730"/>
    <n v="45"/>
    <n v="30"/>
    <n v="329"/>
    <n v="354"/>
    <n v="0"/>
    <n v="0"/>
    <n v="9097.7893333333341"/>
    <n v="8165.95"/>
    <n v="7498.0296666666673"/>
    <n v="6539.9413793103449"/>
    <n v="6534.1825555555552"/>
    <n v="5886.8917808219176"/>
    <n v="6522.2888888888892"/>
    <n v="6266.666666666667"/>
    <n v="3861.7659331306995"/>
    <n v="3506.3135593220341"/>
    <n v="0"/>
    <n v="0"/>
    <n v="81880.104000000007"/>
    <n v="73493.55"/>
    <n v="67482.267000000007"/>
    <n v="58859.472413793104"/>
    <n v="58807.642999999996"/>
    <n v="52982.02602739726"/>
    <n v="58700.600000000006"/>
    <n v="56400"/>
    <n v="34755.893398176297"/>
    <n v="31556.822033898308"/>
    <n v="0"/>
    <n v="0"/>
    <n v="64941.577633223751"/>
    <n v="58168.247971658799"/>
    <n v="77"/>
    <n v="78"/>
    <n v="60"/>
    <n v="58"/>
    <n v="70"/>
    <n v="73"/>
    <n v="5"/>
    <n v="3"/>
    <n v="33"/>
    <n v="32"/>
    <n v="0"/>
    <n v="0"/>
    <n v="245"/>
    <n v="244"/>
    <n v="6304768.0080000004"/>
    <n v="5732496.9000000004"/>
    <n v="4048936.0200000005"/>
    <n v="3413849.4"/>
    <n v="4116535.01"/>
    <n v="3867687.9"/>
    <n v="293503"/>
    <n v="169200"/>
    <n v="1146944.4821398179"/>
    <n v="1009818.3050847459"/>
    <n v="0"/>
    <n v="0"/>
    <n v="15910686.520139819"/>
    <n v="14193052.505084747"/>
  </r>
  <r>
    <x v="7"/>
    <s v="Salisbury University "/>
    <m/>
    <n v="163851"/>
    <x v="3"/>
    <n v="95"/>
    <m/>
    <m/>
    <n v="94"/>
    <n v="2"/>
    <m/>
    <m/>
    <n v="5"/>
    <n v="102"/>
    <m/>
    <m/>
    <n v="111"/>
    <n v="2"/>
    <m/>
    <m/>
    <n v="2"/>
    <n v="97"/>
    <m/>
    <m/>
    <n v="91"/>
    <n v="2"/>
    <m/>
    <m/>
    <n v="1"/>
    <n v="5"/>
    <m/>
    <m/>
    <n v="8"/>
    <m/>
    <m/>
    <m/>
    <m/>
    <n v="82"/>
    <m/>
    <m/>
    <n v="87"/>
    <n v="3"/>
    <m/>
    <m/>
    <n v="4"/>
    <m/>
    <m/>
    <m/>
    <m/>
    <m/>
    <m/>
    <m/>
    <m/>
    <n v="8191803.0099999998"/>
    <n v="8506977"/>
    <n v="6949510.9720000001"/>
    <n v="7740751"/>
    <n v="6358389"/>
    <n v="5770111"/>
    <n v="321281"/>
    <n v="503281"/>
    <n v="3715684.9859999996"/>
    <n v="4068337"/>
    <n v="0"/>
    <m/>
    <n v="877"/>
    <n v="1000"/>
    <n v="940"/>
    <n v="1134"/>
    <n v="895"/>
    <n v="922"/>
    <n v="45"/>
    <n v="80"/>
    <n v="771"/>
    <n v="918"/>
    <n v="0"/>
    <n v="0"/>
    <n v="9340.7103876852907"/>
    <n v="8506.9770000000008"/>
    <n v="7393.096778723404"/>
    <n v="6826.059082892416"/>
    <n v="7104.3452513966477"/>
    <n v="6258.2548806941431"/>
    <n v="7139.5777777777776"/>
    <n v="6291.0124999999998"/>
    <n v="4819.3060778210111"/>
    <n v="4431.7396514161219"/>
    <n v="0"/>
    <n v="0"/>
    <n v="84066.393489167618"/>
    <n v="76562.793000000005"/>
    <n v="66537.871008510643"/>
    <n v="61434.531746031746"/>
    <n v="63939.107262569829"/>
    <n v="56324.293926247286"/>
    <n v="64256.2"/>
    <n v="56619.112499999996"/>
    <n v="43373.754700389101"/>
    <n v="39885.656862745098"/>
    <n v="0"/>
    <n v="0"/>
    <n v="65160.001338107322"/>
    <n v="59022.832034804313"/>
    <n v="97"/>
    <n v="99"/>
    <n v="104"/>
    <n v="113"/>
    <n v="99"/>
    <n v="92"/>
    <n v="5"/>
    <n v="8"/>
    <n v="85"/>
    <n v="91"/>
    <n v="0"/>
    <n v="0"/>
    <n v="390"/>
    <n v="403"/>
    <n v="8154440.1684492594"/>
    <n v="7579716.5070000002"/>
    <n v="6919938.5848851074"/>
    <n v="6942102.0873015877"/>
    <n v="6329971.6189944129"/>
    <n v="5181835.0412147501"/>
    <n v="321281"/>
    <n v="452952.89999999997"/>
    <n v="3686769.1495330734"/>
    <n v="3629594.7745098039"/>
    <n v="0"/>
    <n v="0"/>
    <n v="25412400.521861855"/>
    <n v="23786201.310026139"/>
  </r>
  <r>
    <x v="7"/>
    <s v="University of Baltimore"/>
    <s v="Met the criteria for Four-Year 3 in 2012-13."/>
    <n v="161873"/>
    <x v="3"/>
    <n v="47"/>
    <m/>
    <m/>
    <n v="65"/>
    <n v="6"/>
    <m/>
    <m/>
    <n v="2"/>
    <n v="52"/>
    <m/>
    <m/>
    <n v="45"/>
    <n v="2"/>
    <m/>
    <m/>
    <n v="2"/>
    <n v="51"/>
    <m/>
    <m/>
    <n v="54"/>
    <n v="1"/>
    <m/>
    <m/>
    <m/>
    <n v="8"/>
    <m/>
    <m/>
    <m/>
    <n v="6"/>
    <m/>
    <m/>
    <n v="1"/>
    <n v="9"/>
    <m/>
    <m/>
    <n v="19"/>
    <m/>
    <m/>
    <m/>
    <n v="8"/>
    <m/>
    <m/>
    <m/>
    <m/>
    <m/>
    <m/>
    <m/>
    <m/>
    <n v="7222958.9969999995"/>
    <n v="8683874"/>
    <n v="5364301.0040000007"/>
    <n v="4648899"/>
    <n v="4316241.01"/>
    <n v="4162583"/>
    <n v="965730.99800000002"/>
    <n v="55000"/>
    <n v="496504.99800000002"/>
    <n v="1907513"/>
    <n v="0"/>
    <m/>
    <n v="489"/>
    <n v="674"/>
    <n v="490"/>
    <n v="474"/>
    <n v="470"/>
    <n v="540"/>
    <n v="138"/>
    <n v="12"/>
    <n v="81"/>
    <n v="286"/>
    <n v="0"/>
    <n v="0"/>
    <n v="14770.877294478527"/>
    <n v="12884.086053412462"/>
    <n v="10947.553069387757"/>
    <n v="9807.8037974683539"/>
    <n v="9183.4915106382978"/>
    <n v="7708.4870370370372"/>
    <n v="6998.0507101449275"/>
    <n v="4583.333333333333"/>
    <n v="6129.6913333333332"/>
    <n v="6669.6258741258744"/>
    <n v="0"/>
    <n v="0"/>
    <n v="132937.89565030675"/>
    <n v="115956.77448071216"/>
    <n v="98527.977624489809"/>
    <n v="88270.234177215185"/>
    <n v="82651.42359574468"/>
    <n v="69376.383333333331"/>
    <n v="62982.456391304346"/>
    <n v="41250"/>
    <n v="55167.222000000002"/>
    <n v="60026.632867132867"/>
    <n v="0"/>
    <n v="0"/>
    <n v="99133.805910141178"/>
    <n v="88398.462673211296"/>
    <n v="53"/>
    <n v="67"/>
    <n v="54"/>
    <n v="47"/>
    <n v="52"/>
    <n v="54"/>
    <n v="14"/>
    <n v="1"/>
    <n v="9"/>
    <n v="27"/>
    <n v="0"/>
    <n v="0"/>
    <n v="182"/>
    <n v="196"/>
    <n v="7045708.4694662578"/>
    <n v="7769103.8902077153"/>
    <n v="5320510.7917224495"/>
    <n v="4148701.0063291136"/>
    <n v="4297874.0269787237"/>
    <n v="3746324.6999999997"/>
    <n v="881754.38947826088"/>
    <n v="41250"/>
    <n v="496504.99800000002"/>
    <n v="1620719.0874125874"/>
    <n v="0"/>
    <n v="0"/>
    <n v="18042352.675645694"/>
    <n v="17326098.683949415"/>
  </r>
  <r>
    <x v="7"/>
    <s v="University of Maryland Eastern Shore "/>
    <m/>
    <n v="163338"/>
    <x v="3"/>
    <n v="18"/>
    <n v="17"/>
    <m/>
    <m/>
    <n v="12"/>
    <m/>
    <m/>
    <n v="14"/>
    <n v="43"/>
    <n v="50"/>
    <m/>
    <m/>
    <n v="13"/>
    <m/>
    <m/>
    <n v="14"/>
    <n v="34"/>
    <n v="39"/>
    <m/>
    <m/>
    <n v="23"/>
    <m/>
    <m/>
    <n v="25"/>
    <n v="3"/>
    <n v="2"/>
    <m/>
    <m/>
    <n v="1"/>
    <m/>
    <m/>
    <n v="1"/>
    <n v="28"/>
    <n v="45"/>
    <m/>
    <m/>
    <n v="10"/>
    <m/>
    <m/>
    <n v="10"/>
    <m/>
    <m/>
    <m/>
    <m/>
    <m/>
    <m/>
    <m/>
    <m/>
    <n v="2812785"/>
    <n v="2852586"/>
    <n v="4128110.0130000003"/>
    <n v="4784604"/>
    <n v="4191117.9939999999"/>
    <n v="4558231"/>
    <n v="267214.99900000001"/>
    <n v="177215"/>
    <n v="1991088.996"/>
    <n v="2788974"/>
    <n v="0"/>
    <m/>
    <n v="294"/>
    <n v="321"/>
    <n v="530"/>
    <n v="618"/>
    <n v="559"/>
    <n v="651"/>
    <n v="38"/>
    <n v="30"/>
    <n v="362"/>
    <n v="525"/>
    <n v="0"/>
    <n v="0"/>
    <n v="9567.2959183673465"/>
    <n v="8886.5607476635505"/>
    <n v="7788.8868169811321"/>
    <n v="7742.0776699029129"/>
    <n v="7497.5277173524146"/>
    <n v="7001.890937019969"/>
    <n v="7031.9736578947368"/>
    <n v="5907.166666666667"/>
    <n v="5500.2458453038671"/>
    <n v="5312.3314285714287"/>
    <n v="0"/>
    <n v="0"/>
    <n v="86105.663265306124"/>
    <n v="79979.046728971953"/>
    <n v="70099.981352830189"/>
    <n v="69678.699029126219"/>
    <n v="67477.749456171732"/>
    <n v="63017.018433179721"/>
    <n v="63287.762921052628"/>
    <n v="53164.5"/>
    <n v="49502.212607734808"/>
    <n v="47810.982857142859"/>
    <n v="0"/>
    <n v="0"/>
    <n v="67509.382181068082"/>
    <n v="63414.626374786021"/>
    <n v="30"/>
    <n v="31"/>
    <n v="56"/>
    <n v="64"/>
    <n v="57"/>
    <n v="64"/>
    <n v="4"/>
    <n v="3"/>
    <n v="38"/>
    <n v="55"/>
    <n v="0"/>
    <n v="0"/>
    <n v="185"/>
    <n v="217"/>
    <n v="2583169.8979591839"/>
    <n v="2479350.4485981306"/>
    <n v="3925598.9557584906"/>
    <n v="4459436.737864078"/>
    <n v="3846231.7190017886"/>
    <n v="4033089.1797235021"/>
    <n v="253151.05168421051"/>
    <n v="159493.5"/>
    <n v="1881084.0790939226"/>
    <n v="2629604.0571428575"/>
    <n v="0"/>
    <n v="0"/>
    <n v="12489235.703497596"/>
    <n v="13760973.923328567"/>
  </r>
  <r>
    <x v="7"/>
    <s v="Coppin State University"/>
    <s v="Reclassified: met the criteria for Four-Year 5 in 2010-11, 2011-12, and 2012-13."/>
    <n v="162283"/>
    <x v="4"/>
    <n v="22"/>
    <m/>
    <m/>
    <n v="22"/>
    <n v="3"/>
    <m/>
    <m/>
    <n v="2"/>
    <n v="24"/>
    <m/>
    <m/>
    <n v="30"/>
    <n v="1"/>
    <m/>
    <m/>
    <n v="3"/>
    <n v="73"/>
    <m/>
    <m/>
    <n v="70"/>
    <n v="8"/>
    <m/>
    <m/>
    <n v="6"/>
    <n v="2"/>
    <m/>
    <m/>
    <n v="2"/>
    <n v="1"/>
    <m/>
    <m/>
    <n v="1"/>
    <n v="18"/>
    <m/>
    <m/>
    <n v="16"/>
    <m/>
    <m/>
    <m/>
    <n v="2"/>
    <m/>
    <m/>
    <m/>
    <m/>
    <m/>
    <m/>
    <m/>
    <m/>
    <n v="2247920.0070000002"/>
    <n v="2115303"/>
    <n v="1702329.0079999999"/>
    <n v="2218335"/>
    <n v="5024254.9879999999"/>
    <n v="4838545"/>
    <n v="161191"/>
    <n v="182602"/>
    <n v="765019.00799999991"/>
    <n v="731016"/>
    <n v="0"/>
    <m/>
    <n v="231"/>
    <n v="244"/>
    <n v="227"/>
    <n v="336"/>
    <n v="745"/>
    <n v="772"/>
    <n v="29"/>
    <n v="32"/>
    <n v="162"/>
    <n v="184"/>
    <n v="0"/>
    <n v="0"/>
    <n v="9731.2554415584418"/>
    <n v="8669.2745901639337"/>
    <n v="7499.2467312775325"/>
    <n v="6602.1875"/>
    <n v="6743.9664268456372"/>
    <n v="6267.5453367875643"/>
    <n v="5558.3103448275861"/>
    <n v="5706.3125"/>
    <n v="4722.3395555555553"/>
    <n v="3972.913043478261"/>
    <n v="0"/>
    <n v="0"/>
    <n v="87581.29897402598"/>
    <n v="78023.471311475398"/>
    <n v="67493.220581497793"/>
    <n v="59419.6875"/>
    <n v="60695.697841610738"/>
    <n v="56407.908031088082"/>
    <n v="50024.793103448275"/>
    <n v="51356.8125"/>
    <n v="42501.055999999997"/>
    <n v="35756.217391304352"/>
    <n v="0"/>
    <n v="0"/>
    <n v="63870.446719532294"/>
    <n v="57909.716622607673"/>
    <n v="25"/>
    <n v="24"/>
    <n v="25"/>
    <n v="33"/>
    <n v="81"/>
    <n v="76"/>
    <n v="3"/>
    <n v="3"/>
    <n v="18"/>
    <n v="18"/>
    <n v="0"/>
    <n v="0"/>
    <n v="152"/>
    <n v="154"/>
    <n v="2189532.4743506494"/>
    <n v="1872563.3114754097"/>
    <n v="1687330.5145374448"/>
    <n v="1960849.6875"/>
    <n v="4916351.5251704697"/>
    <n v="4287001.010362694"/>
    <n v="150074.37931034481"/>
    <n v="154070.4375"/>
    <n v="765019.00799999991"/>
    <n v="643611.91304347827"/>
    <n v="0"/>
    <n v="0"/>
    <n v="9708307.9013689086"/>
    <n v="8918096.3598815817"/>
  </r>
  <r>
    <x v="7"/>
    <s v="Saint Mary's College of Maryland"/>
    <m/>
    <n v="163912"/>
    <x v="5"/>
    <n v="42"/>
    <m/>
    <m/>
    <n v="11"/>
    <n v="3"/>
    <n v="2"/>
    <m/>
    <n v="31"/>
    <n v="51"/>
    <m/>
    <m/>
    <n v="39"/>
    <m/>
    <n v="2"/>
    <m/>
    <n v="13"/>
    <n v="42"/>
    <m/>
    <m/>
    <n v="43"/>
    <m/>
    <n v="3"/>
    <m/>
    <n v="2"/>
    <n v="3"/>
    <m/>
    <m/>
    <n v="3"/>
    <m/>
    <m/>
    <m/>
    <m/>
    <m/>
    <m/>
    <m/>
    <n v="1"/>
    <m/>
    <m/>
    <m/>
    <m/>
    <m/>
    <m/>
    <m/>
    <m/>
    <m/>
    <m/>
    <m/>
    <m/>
    <n v="4222353.9840000002"/>
    <n v="4047199"/>
    <n v="3274894.977"/>
    <n v="3557890"/>
    <n v="2384442.9839999997"/>
    <n v="2744401"/>
    <n v="149000.00099999999"/>
    <n v="135000"/>
    <n v="0"/>
    <n v="40000"/>
    <n v="0"/>
    <m/>
    <n v="411"/>
    <n v="504"/>
    <n v="459"/>
    <n v="568"/>
    <n v="378"/>
    <n v="487"/>
    <n v="27"/>
    <n v="30"/>
    <n v="0"/>
    <n v="10"/>
    <n v="0"/>
    <n v="0"/>
    <n v="10273.367357664234"/>
    <n v="8030.1567460317465"/>
    <n v="7134.8474444444446"/>
    <n v="6263.890845070423"/>
    <n v="6308.0502222222212"/>
    <n v="5635.3203285420941"/>
    <n v="5518.5185555555554"/>
    <n v="4500"/>
    <n v="0"/>
    <n v="4000"/>
    <n v="0"/>
    <n v="0"/>
    <n v="92460.306218978105"/>
    <n v="72271.410714285725"/>
    <n v="64213.627"/>
    <n v="56375.01760563381"/>
    <n v="56772.45199999999"/>
    <n v="50717.88295687885"/>
    <n v="49666.667000000001"/>
    <n v="40500"/>
    <n v="0"/>
    <n v="36000"/>
    <n v="0"/>
    <n v="0"/>
    <n v="70702.494623078106"/>
    <n v="58774.34269375322"/>
    <n v="45"/>
    <n v="44"/>
    <n v="51"/>
    <n v="54"/>
    <n v="42"/>
    <n v="48"/>
    <n v="3"/>
    <n v="3"/>
    <n v="0"/>
    <n v="1"/>
    <n v="0"/>
    <n v="0"/>
    <n v="141"/>
    <n v="150"/>
    <n v="4160713.7798540145"/>
    <n v="3179942.0714285718"/>
    <n v="3274894.977"/>
    <n v="3044250.9507042258"/>
    <n v="2384442.9839999997"/>
    <n v="2434458.3819301846"/>
    <n v="149000.00099999999"/>
    <n v="121500"/>
    <n v="0"/>
    <n v="36000"/>
    <n v="0"/>
    <n v="0"/>
    <n v="9969051.7418540139"/>
    <n v="8816151.4040629826"/>
  </r>
  <r>
    <x v="7"/>
    <s v="Anne Arundel Community College "/>
    <m/>
    <n v="161767"/>
    <x v="6"/>
    <n v="73"/>
    <m/>
    <m/>
    <n v="77"/>
    <n v="3"/>
    <m/>
    <m/>
    <n v="5"/>
    <n v="91"/>
    <m/>
    <m/>
    <n v="86"/>
    <n v="7"/>
    <m/>
    <m/>
    <n v="5"/>
    <n v="71"/>
    <m/>
    <m/>
    <n v="69"/>
    <n v="1"/>
    <m/>
    <m/>
    <n v="2"/>
    <n v="17"/>
    <m/>
    <m/>
    <n v="13"/>
    <n v="1"/>
    <m/>
    <m/>
    <n v="1"/>
    <m/>
    <m/>
    <m/>
    <m/>
    <m/>
    <m/>
    <m/>
    <n v="3"/>
    <m/>
    <m/>
    <m/>
    <m/>
    <m/>
    <m/>
    <m/>
    <m/>
    <n v="6307863.9909999995"/>
    <n v="6587229"/>
    <n v="6527433.0380000006"/>
    <n v="5956464"/>
    <n v="4156272.0330000003"/>
    <n v="4097055"/>
    <n v="912499.99899999995"/>
    <n v="735219"/>
    <n v="0"/>
    <n v="142090"/>
    <n v="0"/>
    <m/>
    <n v="690"/>
    <n v="830"/>
    <n v="896"/>
    <n v="920"/>
    <n v="650"/>
    <n v="714"/>
    <n v="164"/>
    <n v="142"/>
    <n v="0"/>
    <n v="36"/>
    <n v="0"/>
    <n v="0"/>
    <n v="9141.8318710144922"/>
    <n v="7936.4204819277111"/>
    <n v="7285.081515625001"/>
    <n v="6474.4173913043478"/>
    <n v="6394.2646661538465"/>
    <n v="5738.1722689075632"/>
    <n v="5564.0243841463416"/>
    <n v="5177.5985915492956"/>
    <n v="0"/>
    <n v="3946.9444444444443"/>
    <n v="0"/>
    <n v="0"/>
    <n v="82276.486839130434"/>
    <n v="71427.784337349396"/>
    <n v="65565.733640625011"/>
    <n v="58269.756521739131"/>
    <n v="57548.381995384618"/>
    <n v="51643.550420168067"/>
    <n v="50076.219457317071"/>
    <n v="46598.387323943658"/>
    <n v="0"/>
    <n v="35522.5"/>
    <n v="0"/>
    <n v="0"/>
    <n v="67133.751327479418"/>
    <n v="59713.651959800969"/>
    <n v="76"/>
    <n v="82"/>
    <n v="98"/>
    <n v="91"/>
    <n v="72"/>
    <n v="71"/>
    <n v="18"/>
    <n v="14"/>
    <n v="0"/>
    <n v="3"/>
    <n v="0"/>
    <n v="0"/>
    <n v="264"/>
    <n v="261"/>
    <n v="6253012.9997739131"/>
    <n v="5857078.3156626504"/>
    <n v="6425441.8967812508"/>
    <n v="5302547.8434782606"/>
    <n v="4143483.5036676927"/>
    <n v="3666692.0798319327"/>
    <n v="901371.95023170731"/>
    <n v="652377.4225352112"/>
    <n v="0"/>
    <n v="106567.5"/>
    <n v="0"/>
    <n v="0"/>
    <n v="17723310.350454565"/>
    <n v="15585263.161508054"/>
  </r>
  <r>
    <x v="7"/>
    <s v="College of Southern Maryland"/>
    <m/>
    <n v="162122"/>
    <x v="6"/>
    <n v="71"/>
    <m/>
    <m/>
    <n v="71"/>
    <n v="14"/>
    <m/>
    <m/>
    <n v="15"/>
    <n v="10"/>
    <m/>
    <m/>
    <n v="14"/>
    <n v="4"/>
    <m/>
    <m/>
    <n v="3"/>
    <n v="22"/>
    <m/>
    <m/>
    <n v="17"/>
    <n v="3"/>
    <m/>
    <m/>
    <n v="5"/>
    <m/>
    <m/>
    <m/>
    <m/>
    <m/>
    <m/>
    <m/>
    <m/>
    <m/>
    <m/>
    <m/>
    <m/>
    <m/>
    <m/>
    <m/>
    <m/>
    <m/>
    <m/>
    <m/>
    <m/>
    <m/>
    <m/>
    <m/>
    <m/>
    <n v="7238568.9869999997"/>
    <n v="7359206"/>
    <n v="971006"/>
    <n v="1160690"/>
    <n v="1579154.9910000002"/>
    <n v="1443011"/>
    <n v="0"/>
    <m/>
    <n v="0"/>
    <m/>
    <n v="0"/>
    <m/>
    <n v="793"/>
    <n v="890"/>
    <n v="134"/>
    <n v="176"/>
    <n v="231"/>
    <n v="230"/>
    <n v="0"/>
    <n v="0"/>
    <n v="0"/>
    <n v="0"/>
    <n v="0"/>
    <n v="0"/>
    <n v="9128.081950819671"/>
    <n v="8268.7707865168541"/>
    <n v="7246.313432835821"/>
    <n v="6594.829545454545"/>
    <n v="6836.1687922077926"/>
    <n v="6273.9608695652178"/>
    <n v="0"/>
    <n v="0"/>
    <n v="0"/>
    <n v="0"/>
    <n v="0"/>
    <n v="0"/>
    <n v="82152.737557377041"/>
    <n v="74418.937078651681"/>
    <n v="65216.820895522389"/>
    <n v="59353.465909090904"/>
    <n v="61525.519129870132"/>
    <n v="56465.647826086963"/>
    <n v="0"/>
    <n v="0"/>
    <n v="0"/>
    <n v="0"/>
    <n v="0"/>
    <n v="0"/>
    <n v="76081.904541621901"/>
    <n v="69210.254091140028"/>
    <n v="85"/>
    <n v="86"/>
    <n v="14"/>
    <n v="17"/>
    <n v="25"/>
    <n v="22"/>
    <n v="0"/>
    <n v="0"/>
    <n v="0"/>
    <n v="0"/>
    <n v="0"/>
    <n v="0"/>
    <n v="124"/>
    <n v="125"/>
    <n v="6982982.6923770485"/>
    <n v="6400028.5887640445"/>
    <n v="913035.49253731349"/>
    <n v="1009008.9204545454"/>
    <n v="1538137.9782467533"/>
    <n v="1242244.2521739132"/>
    <n v="0"/>
    <n v="0"/>
    <n v="0"/>
    <n v="0"/>
    <n v="0"/>
    <n v="0"/>
    <n v="9434156.1631611157"/>
    <n v="8651281.761392504"/>
  </r>
  <r>
    <x v="7"/>
    <s v="Community College of Baltimore County (all campuses)"/>
    <m/>
    <n v="434672"/>
    <x v="6"/>
    <n v="49"/>
    <m/>
    <m/>
    <n v="49"/>
    <n v="17"/>
    <m/>
    <m/>
    <n v="14"/>
    <n v="101"/>
    <m/>
    <m/>
    <n v="90"/>
    <n v="14"/>
    <m/>
    <m/>
    <n v="17"/>
    <n v="155"/>
    <m/>
    <m/>
    <n v="165"/>
    <n v="30"/>
    <m/>
    <m/>
    <n v="33"/>
    <n v="39"/>
    <m/>
    <m/>
    <n v="39"/>
    <n v="21"/>
    <m/>
    <m/>
    <n v="20"/>
    <m/>
    <m/>
    <m/>
    <m/>
    <m/>
    <m/>
    <m/>
    <m/>
    <m/>
    <m/>
    <m/>
    <m/>
    <m/>
    <m/>
    <m/>
    <m/>
    <n v="5930024.0050000008"/>
    <n v="5639984"/>
    <n v="7930315.966"/>
    <n v="7632336"/>
    <n v="11086267.939999999"/>
    <n v="12221160"/>
    <n v="3297068.9850000003"/>
    <n v="3283520"/>
    <n v="0"/>
    <m/>
    <n v="0"/>
    <m/>
    <n v="628"/>
    <n v="658"/>
    <n v="1063"/>
    <n v="1104"/>
    <n v="1725"/>
    <n v="2046"/>
    <n v="582"/>
    <n v="630"/>
    <n v="0"/>
    <n v="0"/>
    <n v="0"/>
    <n v="0"/>
    <n v="9442.7133837579622"/>
    <n v="8571.4042553191484"/>
    <n v="7460.3160545625587"/>
    <n v="6913.347826086957"/>
    <n v="6426.8219942028982"/>
    <n v="5973.1964809384162"/>
    <n v="5665.0669845360826"/>
    <n v="5211.936507936508"/>
    <n v="0"/>
    <n v="0"/>
    <n v="0"/>
    <n v="0"/>
    <n v="84984.420453821658"/>
    <n v="77142.638297872341"/>
    <n v="67142.844491063035"/>
    <n v="62220.130434782615"/>
    <n v="57841.397947826081"/>
    <n v="53758.768328445745"/>
    <n v="50985.602860824743"/>
    <n v="46907.428571428572"/>
    <n v="0"/>
    <n v="0"/>
    <n v="0"/>
    <n v="0"/>
    <n v="63592.003893008899"/>
    <n v="58382.46975183663"/>
    <n v="66"/>
    <n v="63"/>
    <n v="115"/>
    <n v="107"/>
    <n v="185"/>
    <n v="198"/>
    <n v="60"/>
    <n v="59"/>
    <n v="0"/>
    <n v="0"/>
    <n v="0"/>
    <n v="0"/>
    <n v="426"/>
    <n v="427"/>
    <n v="5608971.7499522297"/>
    <n v="4859986.2127659572"/>
    <n v="7721427.1164722489"/>
    <n v="6657553.9565217402"/>
    <n v="10700658.620347826"/>
    <n v="10644236.129032258"/>
    <n v="3059136.1716494844"/>
    <n v="2767538.2857142859"/>
    <n v="0"/>
    <n v="0"/>
    <n v="0"/>
    <n v="0"/>
    <n v="27090193.658421792"/>
    <n v="24929314.584034242"/>
  </r>
  <r>
    <x v="7"/>
    <s v="Howard Community College "/>
    <m/>
    <n v="162779"/>
    <x v="6"/>
    <n v="35"/>
    <m/>
    <m/>
    <n v="34"/>
    <n v="16"/>
    <m/>
    <m/>
    <n v="16"/>
    <n v="28"/>
    <m/>
    <m/>
    <n v="31"/>
    <n v="11"/>
    <m/>
    <m/>
    <n v="12"/>
    <n v="52"/>
    <m/>
    <m/>
    <n v="53"/>
    <n v="5"/>
    <m/>
    <m/>
    <n v="5"/>
    <n v="20"/>
    <m/>
    <m/>
    <n v="21"/>
    <n v="4"/>
    <m/>
    <m/>
    <n v="3"/>
    <n v="1"/>
    <m/>
    <m/>
    <n v="1"/>
    <n v="1"/>
    <m/>
    <m/>
    <n v="1"/>
    <m/>
    <m/>
    <m/>
    <m/>
    <m/>
    <m/>
    <m/>
    <m/>
    <n v="4516251.023"/>
    <n v="4424208"/>
    <n v="2786941.9920000001"/>
    <n v="3058954"/>
    <n v="3391923.9960000003"/>
    <n v="3505186"/>
    <n v="1301685"/>
    <n v="1318793"/>
    <n v="108765"/>
    <n v="110069"/>
    <n v="0"/>
    <m/>
    <n v="491"/>
    <n v="532"/>
    <n v="373"/>
    <n v="454"/>
    <n v="523"/>
    <n v="590"/>
    <n v="224"/>
    <n v="246"/>
    <n v="20"/>
    <n v="22"/>
    <n v="0"/>
    <n v="0"/>
    <n v="9198.0672566191442"/>
    <n v="8316.1804511278187"/>
    <n v="7471.6943485254696"/>
    <n v="6737.7841409691628"/>
    <n v="6485.5143326959851"/>
    <n v="5940.9932203389826"/>
    <n v="5811.09375"/>
    <n v="5360.9471544715443"/>
    <n v="5438.25"/>
    <n v="5003.136363636364"/>
    <n v="0"/>
    <n v="0"/>
    <n v="82782.605309572304"/>
    <n v="74845.624060150367"/>
    <n v="67245.249136729224"/>
    <n v="60640.057268722463"/>
    <n v="58369.628994263869"/>
    <n v="53468.938983050844"/>
    <n v="52299.84375"/>
    <n v="48248.524390243896"/>
    <n v="48944.25"/>
    <n v="45028.227272727279"/>
    <n v="0"/>
    <n v="0"/>
    <n v="66616.365258922946"/>
    <n v="60446.45856774487"/>
    <n v="51"/>
    <n v="50"/>
    <n v="39"/>
    <n v="43"/>
    <n v="57"/>
    <n v="58"/>
    <n v="24"/>
    <n v="24"/>
    <n v="2"/>
    <n v="2"/>
    <n v="0"/>
    <n v="0"/>
    <n v="173"/>
    <n v="177"/>
    <n v="4221912.8707881877"/>
    <n v="3742281.2030075183"/>
    <n v="2622564.7163324398"/>
    <n v="2607522.4625550658"/>
    <n v="3327068.8526730407"/>
    <n v="3101198.4610169488"/>
    <n v="1255196.25"/>
    <n v="1157964.5853658535"/>
    <n v="97888.5"/>
    <n v="90056.454545454559"/>
    <n v="0"/>
    <n v="0"/>
    <n v="11524631.189793671"/>
    <n v="10699023.166490842"/>
  </r>
  <r>
    <x v="7"/>
    <s v="Montgomery College (all campuses)"/>
    <m/>
    <n v="163426"/>
    <x v="6"/>
    <n v="286"/>
    <n v="310"/>
    <m/>
    <m/>
    <m/>
    <m/>
    <m/>
    <m/>
    <n v="134"/>
    <n v="135"/>
    <m/>
    <m/>
    <m/>
    <m/>
    <m/>
    <m/>
    <n v="99"/>
    <n v="83"/>
    <m/>
    <m/>
    <m/>
    <m/>
    <m/>
    <m/>
    <n v="3"/>
    <n v="7"/>
    <m/>
    <m/>
    <m/>
    <m/>
    <m/>
    <m/>
    <m/>
    <n v="8"/>
    <m/>
    <m/>
    <m/>
    <m/>
    <m/>
    <m/>
    <m/>
    <m/>
    <m/>
    <m/>
    <m/>
    <m/>
    <m/>
    <m/>
    <n v="24859716.881999999"/>
    <n v="26161631"/>
    <n v="9437503.9560000002"/>
    <n v="9019827"/>
    <n v="5929093.9620000003"/>
    <n v="4946611"/>
    <n v="175203.99900000001"/>
    <n v="394288"/>
    <n v="0"/>
    <n v="47614"/>
    <n v="0"/>
    <m/>
    <n v="2574"/>
    <n v="2790"/>
    <n v="1206"/>
    <n v="1215"/>
    <n v="891"/>
    <n v="747"/>
    <n v="27"/>
    <n v="63"/>
    <n v="0"/>
    <n v="72"/>
    <n v="0"/>
    <n v="0"/>
    <n v="9658.0096666666668"/>
    <n v="9376.9286738351257"/>
    <n v="7825.4593333333332"/>
    <n v="7423.7259259259263"/>
    <n v="6654.4264444444452"/>
    <n v="6621.9692101740293"/>
    <n v="6489.0370000000003"/>
    <n v="6258.5396825396829"/>
    <n v="0"/>
    <n v="661.30555555555554"/>
    <n v="0"/>
    <n v="0"/>
    <n v="86922.087"/>
    <n v="84392.358064516127"/>
    <n v="70429.134000000005"/>
    <n v="66813.53333333334"/>
    <n v="59889.838000000003"/>
    <n v="59597.722891566264"/>
    <n v="58401.332999999999"/>
    <n v="56326.857142857145"/>
    <n v="0"/>
    <n v="5951.75"/>
    <n v="0"/>
    <n v="0"/>
    <n v="77397.545591954011"/>
    <n v="74714.495395948441"/>
    <n v="286"/>
    <n v="310"/>
    <n v="134"/>
    <n v="135"/>
    <n v="99"/>
    <n v="83"/>
    <n v="3"/>
    <n v="7"/>
    <n v="0"/>
    <n v="8"/>
    <n v="0"/>
    <n v="0"/>
    <n v="522"/>
    <n v="543"/>
    <n v="24859716.881999999"/>
    <n v="26161631"/>
    <n v="9437503.9560000002"/>
    <n v="9019827"/>
    <n v="5929093.9620000003"/>
    <n v="4946611"/>
    <n v="175203.99900000001"/>
    <n v="394288"/>
    <n v="0"/>
    <n v="47614"/>
    <n v="0"/>
    <n v="0"/>
    <n v="40401518.798999995"/>
    <n v="40569971"/>
  </r>
  <r>
    <x v="7"/>
    <s v="Prince George's Community College "/>
    <m/>
    <n v="163657"/>
    <x v="6"/>
    <n v="92"/>
    <m/>
    <m/>
    <n v="90"/>
    <n v="2"/>
    <m/>
    <m/>
    <n v="2"/>
    <n v="100"/>
    <m/>
    <m/>
    <n v="102"/>
    <n v="2"/>
    <m/>
    <m/>
    <n v="2"/>
    <n v="44"/>
    <m/>
    <m/>
    <n v="38"/>
    <n v="2"/>
    <m/>
    <m/>
    <n v="3"/>
    <n v="1"/>
    <m/>
    <m/>
    <n v="1"/>
    <m/>
    <m/>
    <m/>
    <m/>
    <m/>
    <m/>
    <m/>
    <m/>
    <m/>
    <m/>
    <m/>
    <m/>
    <m/>
    <m/>
    <m/>
    <m/>
    <m/>
    <m/>
    <m/>
    <m/>
    <n v="6672960.9560000002"/>
    <n v="6680192"/>
    <n v="6019122"/>
    <n v="6263843"/>
    <n v="2354113.0040000002"/>
    <n v="2194461"/>
    <n v="48997"/>
    <n v="50681"/>
    <n v="0"/>
    <m/>
    <n v="0"/>
    <m/>
    <n v="850"/>
    <n v="924"/>
    <n v="922"/>
    <n v="1044"/>
    <n v="418"/>
    <n v="416"/>
    <n v="9"/>
    <n v="10"/>
    <n v="0"/>
    <n v="0"/>
    <n v="0"/>
    <n v="0"/>
    <n v="7850.5423011764706"/>
    <n v="7229.6450216450221"/>
    <n v="6528.3318872017353"/>
    <n v="5999.8496168582378"/>
    <n v="5631.8492918660295"/>
    <n v="5275.1466346153848"/>
    <n v="5444.1111111111113"/>
    <n v="5068.1000000000004"/>
    <n v="0"/>
    <n v="0"/>
    <n v="0"/>
    <n v="0"/>
    <n v="70654.88071058823"/>
    <n v="65066.805194805202"/>
    <n v="58754.986984815616"/>
    <n v="53998.646551724138"/>
    <n v="50686.643626794263"/>
    <n v="47476.319711538461"/>
    <n v="48997"/>
    <n v="45612.9"/>
    <n v="0"/>
    <n v="0"/>
    <n v="0"/>
    <n v="0"/>
    <n v="61790.741012670871"/>
    <n v="57118.266081825488"/>
    <n v="94"/>
    <n v="92"/>
    <n v="102"/>
    <n v="104"/>
    <n v="46"/>
    <n v="41"/>
    <n v="1"/>
    <n v="1"/>
    <n v="0"/>
    <n v="0"/>
    <n v="0"/>
    <n v="0"/>
    <n v="243"/>
    <n v="238"/>
    <n v="6641558.7867952939"/>
    <n v="5986146.0779220788"/>
    <n v="5993008.6724511925"/>
    <n v="5615859.2413793104"/>
    <n v="2331585.6068325359"/>
    <n v="1946529.108173077"/>
    <n v="48997"/>
    <n v="45612.9"/>
    <n v="0"/>
    <n v="0"/>
    <n v="0"/>
    <n v="0"/>
    <n v="15015150.066079022"/>
    <n v="13594147.327474466"/>
  </r>
  <r>
    <x v="7"/>
    <s v="Allegany College of Maryland"/>
    <m/>
    <n v="161688"/>
    <x v="7"/>
    <n v="27"/>
    <n v="22"/>
    <m/>
    <n v="2"/>
    <n v="9"/>
    <n v="4"/>
    <m/>
    <n v="5"/>
    <n v="23"/>
    <n v="20"/>
    <m/>
    <n v="5"/>
    <n v="11"/>
    <n v="4"/>
    <m/>
    <n v="6"/>
    <n v="23"/>
    <n v="13"/>
    <m/>
    <n v="5"/>
    <n v="7"/>
    <n v="1"/>
    <m/>
    <n v="6"/>
    <n v="7"/>
    <n v="5"/>
    <m/>
    <m/>
    <n v="5"/>
    <n v="1"/>
    <m/>
    <n v="4"/>
    <m/>
    <n v="4"/>
    <m/>
    <m/>
    <n v="1"/>
    <m/>
    <m/>
    <n v="1"/>
    <m/>
    <m/>
    <m/>
    <m/>
    <m/>
    <m/>
    <m/>
    <m/>
    <n v="2368807.0020000003"/>
    <n v="2119452"/>
    <n v="1792764.9980000001"/>
    <n v="1821264"/>
    <n v="1414966.0079999999"/>
    <n v="1217479"/>
    <n v="538537.00199999998"/>
    <n v="561218"/>
    <n v="48990"/>
    <n v="89560"/>
    <n v="0"/>
    <m/>
    <n v="342"/>
    <n v="322"/>
    <n v="328"/>
    <n v="346"/>
    <n v="284"/>
    <n v="250"/>
    <n v="118"/>
    <n v="104"/>
    <n v="11"/>
    <n v="48"/>
    <n v="0"/>
    <n v="0"/>
    <n v="6926.3362631578957"/>
    <n v="6582.1490683229813"/>
    <n v="5465.7469451219513"/>
    <n v="5263.7687861271679"/>
    <n v="4982.2746760563377"/>
    <n v="4869.9160000000002"/>
    <n v="4563.8728983050842"/>
    <n v="5396.3269230769229"/>
    <n v="4453.636363636364"/>
    <n v="1865.8333333333333"/>
    <n v="0"/>
    <n v="0"/>
    <n v="62337.026368421059"/>
    <n v="59239.341614906829"/>
    <n v="49191.722506097562"/>
    <n v="47373.919075144513"/>
    <n v="44840.472084507041"/>
    <n v="43829.243999999999"/>
    <n v="41074.856084745756"/>
    <n v="48566.942307692305"/>
    <n v="40082.727272727279"/>
    <n v="16792.5"/>
    <n v="0"/>
    <n v="0"/>
    <n v="51281.829002613835"/>
    <n v="48873.596888878761"/>
    <n v="36"/>
    <n v="33"/>
    <n v="34"/>
    <n v="35"/>
    <n v="30"/>
    <n v="25"/>
    <n v="12"/>
    <n v="10"/>
    <n v="1"/>
    <n v="5"/>
    <n v="0"/>
    <n v="0"/>
    <n v="113"/>
    <n v="108"/>
    <n v="2244132.9492631583"/>
    <n v="1954898.2732919254"/>
    <n v="1672518.565207317"/>
    <n v="1658087.167630058"/>
    <n v="1345214.1625352113"/>
    <n v="1095731.0999999999"/>
    <n v="492898.27301694907"/>
    <n v="485669.42307692306"/>
    <n v="40082.727272727279"/>
    <n v="83962.5"/>
    <n v="0"/>
    <n v="0"/>
    <n v="5794846.6772953635"/>
    <n v="5278348.4639989063"/>
  </r>
  <r>
    <x v="7"/>
    <s v="Baltimore City Community College"/>
    <m/>
    <n v="161864"/>
    <x v="7"/>
    <n v="20"/>
    <m/>
    <m/>
    <n v="20"/>
    <m/>
    <m/>
    <m/>
    <m/>
    <n v="21"/>
    <m/>
    <m/>
    <n v="18"/>
    <m/>
    <m/>
    <m/>
    <m/>
    <n v="71"/>
    <m/>
    <m/>
    <n v="70"/>
    <m/>
    <m/>
    <m/>
    <m/>
    <n v="3"/>
    <m/>
    <m/>
    <n v="4"/>
    <m/>
    <m/>
    <m/>
    <m/>
    <m/>
    <m/>
    <m/>
    <m/>
    <m/>
    <m/>
    <m/>
    <m/>
    <m/>
    <m/>
    <m/>
    <m/>
    <m/>
    <m/>
    <m/>
    <m/>
    <n v="1555399"/>
    <n v="1598341"/>
    <n v="1352501.997"/>
    <n v="1147927"/>
    <n v="3918999.9929999998"/>
    <n v="4081838"/>
    <n v="136599.99900000001"/>
    <n v="189654"/>
    <n v="0"/>
    <m/>
    <n v="0"/>
    <m/>
    <n v="180"/>
    <n v="200"/>
    <n v="189"/>
    <n v="180"/>
    <n v="639"/>
    <n v="700"/>
    <n v="27"/>
    <n v="40"/>
    <n v="0"/>
    <n v="0"/>
    <n v="0"/>
    <n v="0"/>
    <n v="8641.1055555555558"/>
    <n v="7991.7049999999999"/>
    <n v="7156.0952222222222"/>
    <n v="6377.3722222222223"/>
    <n v="6133.0203333333329"/>
    <n v="5831.1971428571433"/>
    <n v="5059.2592222222229"/>
    <n v="4741.3500000000004"/>
    <n v="0"/>
    <n v="0"/>
    <n v="0"/>
    <n v="0"/>
    <n v="77769.95"/>
    <n v="71925.345000000001"/>
    <n v="64404.857000000004"/>
    <n v="57396.35"/>
    <n v="55197.182999999997"/>
    <n v="52480.774285714288"/>
    <n v="45533.333000000006"/>
    <n v="42672.15"/>
    <n v="0"/>
    <n v="0"/>
    <n v="0"/>
    <n v="0"/>
    <n v="60552.182513043481"/>
    <n v="56392.714285714283"/>
    <n v="20"/>
    <n v="20"/>
    <n v="21"/>
    <n v="18"/>
    <n v="71"/>
    <n v="70"/>
    <n v="3"/>
    <n v="4"/>
    <n v="0"/>
    <n v="0"/>
    <n v="0"/>
    <n v="0"/>
    <n v="115"/>
    <n v="112"/>
    <n v="1555399"/>
    <n v="1438506.9"/>
    <n v="1352501.997"/>
    <n v="1033134.2999999999"/>
    <n v="3918999.9929999998"/>
    <n v="3673654.2"/>
    <n v="136599.99900000001"/>
    <n v="170688.6"/>
    <n v="0"/>
    <n v="0"/>
    <n v="0"/>
    <n v="0"/>
    <n v="6963500.9890000001"/>
    <n v="6315984"/>
  </r>
  <r>
    <x v="7"/>
    <s v="Carroll Community College"/>
    <m/>
    <n v="405872"/>
    <x v="7"/>
    <n v="6"/>
    <m/>
    <m/>
    <n v="7"/>
    <m/>
    <m/>
    <m/>
    <n v="1"/>
    <n v="19"/>
    <m/>
    <m/>
    <n v="20"/>
    <n v="4"/>
    <m/>
    <m/>
    <n v="3"/>
    <n v="37"/>
    <m/>
    <m/>
    <n v="36"/>
    <n v="3"/>
    <m/>
    <m/>
    <n v="3"/>
    <n v="6"/>
    <m/>
    <m/>
    <n v="7"/>
    <m/>
    <m/>
    <m/>
    <m/>
    <m/>
    <m/>
    <m/>
    <m/>
    <m/>
    <m/>
    <m/>
    <m/>
    <m/>
    <m/>
    <m/>
    <m/>
    <m/>
    <m/>
    <m/>
    <m/>
    <n v="376672.00199999998"/>
    <n v="533629"/>
    <n v="1468073.003"/>
    <n v="1454968"/>
    <n v="1990980.0180000002"/>
    <n v="1970576"/>
    <n v="299392.99800000002"/>
    <n v="304880"/>
    <n v="0"/>
    <m/>
    <n v="0"/>
    <m/>
    <n v="54"/>
    <n v="82"/>
    <n v="215"/>
    <n v="236"/>
    <n v="366"/>
    <n v="396"/>
    <n v="54"/>
    <n v="70"/>
    <n v="0"/>
    <n v="0"/>
    <n v="0"/>
    <n v="0"/>
    <n v="6975.4074444444441"/>
    <n v="6507.6707317073169"/>
    <n v="6828.2465255813959"/>
    <n v="6165.1186440677966"/>
    <n v="5439.8361147540991"/>
    <n v="4976.2020202020203"/>
    <n v="5544.3147777777785"/>
    <n v="4355.4285714285716"/>
    <n v="0"/>
    <n v="0"/>
    <n v="0"/>
    <n v="0"/>
    <n v="62778.666999999994"/>
    <n v="58569.036585365851"/>
    <n v="61454.218730232562"/>
    <n v="55486.067796610172"/>
    <n v="48958.525032786893"/>
    <n v="44785.818181818184"/>
    <n v="49898.833000000006"/>
    <n v="39198.857142857145"/>
    <n v="0"/>
    <n v="0"/>
    <n v="0"/>
    <n v="0"/>
    <n v="53971.373761424329"/>
    <n v="48906.11378046585"/>
    <n v="6"/>
    <n v="8"/>
    <n v="23"/>
    <n v="23"/>
    <n v="40"/>
    <n v="39"/>
    <n v="6"/>
    <n v="7"/>
    <n v="0"/>
    <n v="0"/>
    <n v="0"/>
    <n v="0"/>
    <n v="75"/>
    <n v="77"/>
    <n v="376672.00199999998"/>
    <n v="468552.29268292681"/>
    <n v="1413447.0307953488"/>
    <n v="1276179.559322034"/>
    <n v="1958341.0013114756"/>
    <n v="1746646.9090909092"/>
    <n v="299392.99800000002"/>
    <n v="274392"/>
    <n v="0"/>
    <n v="0"/>
    <n v="0"/>
    <n v="0"/>
    <n v="4047853.0321068247"/>
    <n v="3765770.7610958703"/>
  </r>
  <r>
    <x v="7"/>
    <s v="Frederick Community College "/>
    <m/>
    <n v="162557"/>
    <x v="7"/>
    <n v="22"/>
    <m/>
    <m/>
    <n v="24"/>
    <n v="1"/>
    <m/>
    <m/>
    <n v="3"/>
    <n v="17"/>
    <m/>
    <m/>
    <n v="19"/>
    <n v="1"/>
    <m/>
    <m/>
    <m/>
    <n v="55"/>
    <m/>
    <m/>
    <n v="51"/>
    <n v="1"/>
    <m/>
    <m/>
    <m/>
    <m/>
    <m/>
    <m/>
    <m/>
    <m/>
    <m/>
    <m/>
    <m/>
    <m/>
    <m/>
    <m/>
    <m/>
    <m/>
    <m/>
    <m/>
    <m/>
    <m/>
    <m/>
    <m/>
    <m/>
    <m/>
    <m/>
    <m/>
    <m/>
    <n v="1926023.99"/>
    <n v="2349043"/>
    <n v="1332163.993"/>
    <n v="1374176"/>
    <n v="3279928"/>
    <n v="3075398"/>
    <n v="0"/>
    <m/>
    <n v="0"/>
    <m/>
    <n v="0"/>
    <m/>
    <n v="209"/>
    <n v="276"/>
    <n v="164"/>
    <n v="190"/>
    <n v="506"/>
    <n v="510"/>
    <n v="0"/>
    <n v="0"/>
    <n v="0"/>
    <n v="0"/>
    <n v="0"/>
    <n v="0"/>
    <n v="9215.4257894736838"/>
    <n v="8511.0253623188401"/>
    <n v="8122.9511768292687"/>
    <n v="7232.5052631578947"/>
    <n v="6482.071146245059"/>
    <n v="6030.1921568627449"/>
    <n v="0"/>
    <n v="0"/>
    <n v="0"/>
    <n v="0"/>
    <n v="0"/>
    <n v="0"/>
    <n v="82938.832105263151"/>
    <n v="76599.228260869568"/>
    <n v="73106.560591463422"/>
    <n v="65092.547368421052"/>
    <n v="58338.640316205529"/>
    <n v="54271.729411764703"/>
    <n v="0"/>
    <n v="0"/>
    <n v="0"/>
    <n v="0"/>
    <n v="0"/>
    <n v="0"/>
    <n v="66912.114296648491"/>
    <n v="62606.141887046164"/>
    <n v="23"/>
    <n v="27"/>
    <n v="18"/>
    <n v="19"/>
    <n v="56"/>
    <n v="51"/>
    <n v="0"/>
    <n v="0"/>
    <n v="0"/>
    <n v="0"/>
    <n v="0"/>
    <n v="0"/>
    <n v="97"/>
    <n v="97"/>
    <n v="1907593.1384210524"/>
    <n v="2068179.1630434783"/>
    <n v="1315918.0906463417"/>
    <n v="1236758.3999999999"/>
    <n v="3266963.8577075098"/>
    <n v="2767858.1999999997"/>
    <n v="0"/>
    <n v="0"/>
    <n v="0"/>
    <n v="0"/>
    <n v="0"/>
    <n v="0"/>
    <n v="6490475.0867749033"/>
    <n v="6072795.7630434781"/>
  </r>
  <r>
    <x v="7"/>
    <s v="Hagerstown Community College "/>
    <m/>
    <n v="162690"/>
    <x v="7"/>
    <n v="13"/>
    <m/>
    <m/>
    <n v="11"/>
    <n v="2"/>
    <n v="1"/>
    <m/>
    <m/>
    <n v="12"/>
    <m/>
    <m/>
    <n v="11"/>
    <n v="1"/>
    <m/>
    <m/>
    <m/>
    <n v="23"/>
    <m/>
    <m/>
    <n v="21"/>
    <n v="2"/>
    <n v="3"/>
    <m/>
    <m/>
    <n v="14"/>
    <m/>
    <m/>
    <n v="23"/>
    <n v="9"/>
    <n v="10"/>
    <m/>
    <m/>
    <m/>
    <m/>
    <m/>
    <m/>
    <m/>
    <m/>
    <m/>
    <m/>
    <m/>
    <m/>
    <m/>
    <m/>
    <m/>
    <m/>
    <m/>
    <m/>
    <n v="1167565.0049999999"/>
    <n v="909791"/>
    <n v="755457"/>
    <n v="641771"/>
    <n v="1347187.9890000001"/>
    <n v="1326816"/>
    <n v="1129542.9990000001"/>
    <n v="1635020"/>
    <n v="0"/>
    <m/>
    <n v="0"/>
    <m/>
    <n v="139"/>
    <n v="121"/>
    <n v="119"/>
    <n v="110"/>
    <n v="229"/>
    <n v="243"/>
    <n v="225"/>
    <n v="340"/>
    <n v="0"/>
    <n v="0"/>
    <n v="0"/>
    <n v="0"/>
    <n v="8399.7482374100709"/>
    <n v="7518.9338842975203"/>
    <n v="6348.3781512605046"/>
    <n v="5834.2818181818184"/>
    <n v="5882.9169825327517"/>
    <n v="5460.1481481481478"/>
    <n v="5020.1911066666671"/>
    <n v="4808.8823529411766"/>
    <n v="0"/>
    <n v="0"/>
    <n v="0"/>
    <n v="0"/>
    <n v="75597.734136690633"/>
    <n v="67670.404958677682"/>
    <n v="57135.403361344543"/>
    <n v="52508.536363636362"/>
    <n v="52946.252842794769"/>
    <n v="49141.333333333328"/>
    <n v="45181.719960000002"/>
    <n v="43279.941176470587"/>
    <n v="0"/>
    <n v="0"/>
    <n v="0"/>
    <n v="0"/>
    <n v="55783.712314443517"/>
    <n v="49965.860229095772"/>
    <n v="15"/>
    <n v="12"/>
    <n v="13"/>
    <n v="11"/>
    <n v="25"/>
    <n v="24"/>
    <n v="23"/>
    <n v="33"/>
    <n v="0"/>
    <n v="0"/>
    <n v="0"/>
    <n v="0"/>
    <n v="76"/>
    <n v="80"/>
    <n v="1133966.0120503595"/>
    <n v="812044.85950413218"/>
    <n v="742760.24369747902"/>
    <n v="577593.9"/>
    <n v="1323656.3210698692"/>
    <n v="1179392"/>
    <n v="1039179.55908"/>
    <n v="1428238.0588235294"/>
    <n v="0"/>
    <n v="0"/>
    <n v="0"/>
    <n v="0"/>
    <n v="4239562.1358977072"/>
    <n v="3997268.8183276616"/>
  </r>
  <r>
    <x v="7"/>
    <s v="Harford Community College "/>
    <m/>
    <n v="162706"/>
    <x v="7"/>
    <n v="17"/>
    <m/>
    <m/>
    <n v="19"/>
    <m/>
    <m/>
    <m/>
    <m/>
    <n v="26"/>
    <m/>
    <m/>
    <n v="25"/>
    <n v="1"/>
    <m/>
    <m/>
    <n v="1"/>
    <n v="18"/>
    <m/>
    <m/>
    <n v="21"/>
    <m/>
    <m/>
    <m/>
    <m/>
    <m/>
    <m/>
    <m/>
    <m/>
    <m/>
    <m/>
    <m/>
    <m/>
    <m/>
    <n v="37"/>
    <m/>
    <m/>
    <n v="1"/>
    <m/>
    <m/>
    <n v="3"/>
    <m/>
    <m/>
    <m/>
    <m/>
    <m/>
    <m/>
    <m/>
    <m/>
    <n v="1421361.007"/>
    <n v="1583283"/>
    <n v="1802500.0020000001"/>
    <n v="1764078"/>
    <n v="943342.00200000009"/>
    <n v="1103768"/>
    <n v="0"/>
    <m/>
    <n v="53040"/>
    <n v="1912423"/>
    <n v="0"/>
    <m/>
    <n v="153"/>
    <n v="190"/>
    <n v="245"/>
    <n v="262"/>
    <n v="162"/>
    <n v="210"/>
    <n v="0"/>
    <n v="0"/>
    <n v="11"/>
    <n v="369"/>
    <n v="0"/>
    <n v="0"/>
    <n v="9289.9412222222218"/>
    <n v="8333.0684210526324"/>
    <n v="7357.142865306123"/>
    <n v="6733.1221374045799"/>
    <n v="5823.0987777777782"/>
    <n v="5256.0380952380956"/>
    <n v="0"/>
    <n v="0"/>
    <n v="4821.818181818182"/>
    <n v="5182.7181571815718"/>
    <n v="0"/>
    <n v="0"/>
    <n v="83609.47099999999"/>
    <n v="74997.615789473697"/>
    <n v="66214.2857877551"/>
    <n v="60598.099236641217"/>
    <n v="52407.889000000003"/>
    <n v="47304.342857142859"/>
    <n v="0"/>
    <n v="0"/>
    <n v="43396.36363636364"/>
    <n v="46644.463414634149"/>
    <n v="0"/>
    <n v="0"/>
    <n v="66601.350617551594"/>
    <n v="55279.952988094701"/>
    <n v="17"/>
    <n v="19"/>
    <n v="27"/>
    <n v="26"/>
    <n v="18"/>
    <n v="21"/>
    <n v="0"/>
    <n v="0"/>
    <n v="1"/>
    <n v="40"/>
    <n v="0"/>
    <n v="0"/>
    <n v="63"/>
    <n v="106"/>
    <n v="1421361.0069999998"/>
    <n v="1424954.7000000002"/>
    <n v="1787785.7162693876"/>
    <n v="1575550.5801526716"/>
    <n v="943342.00200000009"/>
    <n v="993391.20000000007"/>
    <n v="0"/>
    <n v="0"/>
    <n v="43396.36363636364"/>
    <n v="1865778.5365853659"/>
    <n v="0"/>
    <n v="0"/>
    <n v="4195885.0889057508"/>
    <n v="5859675.0167380385"/>
  </r>
  <r>
    <x v="7"/>
    <s v="Wor-Wic Community College "/>
    <m/>
    <n v="164313"/>
    <x v="7"/>
    <n v="5"/>
    <m/>
    <m/>
    <n v="5"/>
    <n v="5"/>
    <m/>
    <m/>
    <n v="4"/>
    <n v="8"/>
    <m/>
    <m/>
    <n v="9"/>
    <n v="5"/>
    <m/>
    <m/>
    <n v="5"/>
    <n v="19"/>
    <m/>
    <m/>
    <n v="23"/>
    <n v="4"/>
    <m/>
    <m/>
    <n v="6"/>
    <n v="20"/>
    <m/>
    <m/>
    <n v="15"/>
    <n v="2"/>
    <m/>
    <m/>
    <n v="1"/>
    <m/>
    <m/>
    <m/>
    <m/>
    <m/>
    <m/>
    <m/>
    <m/>
    <m/>
    <m/>
    <m/>
    <m/>
    <m/>
    <m/>
    <m/>
    <m/>
    <n v="842645"/>
    <n v="741756"/>
    <n v="882803"/>
    <n v="950966"/>
    <n v="1254821.9950000001"/>
    <n v="1590919"/>
    <n v="1000372"/>
    <n v="734589"/>
    <n v="0"/>
    <m/>
    <n v="0"/>
    <m/>
    <n v="100"/>
    <n v="98"/>
    <n v="127"/>
    <n v="150"/>
    <n v="215"/>
    <n v="302"/>
    <n v="202"/>
    <n v="162"/>
    <n v="0"/>
    <n v="0"/>
    <n v="0"/>
    <n v="0"/>
    <n v="8426.4500000000007"/>
    <n v="7568.9387755102043"/>
    <n v="6951.2047244094492"/>
    <n v="6339.7733333333335"/>
    <n v="5836.3813720930239"/>
    <n v="5267.9437086092712"/>
    <n v="4952.3366336633662"/>
    <n v="4534.5"/>
    <n v="0"/>
    <n v="0"/>
    <n v="0"/>
    <n v="0"/>
    <n v="75838.05"/>
    <n v="68120.448979591834"/>
    <n v="62560.842519685044"/>
    <n v="57057.96"/>
    <n v="52527.432348837217"/>
    <n v="47411.493377483443"/>
    <n v="44571.029702970292"/>
    <n v="40810.5"/>
    <n v="0"/>
    <n v="0"/>
    <n v="0"/>
    <n v="0"/>
    <n v="55299.486033007473"/>
    <n v="50585.246893578616"/>
    <n v="10"/>
    <n v="9"/>
    <n v="13"/>
    <n v="14"/>
    <n v="23"/>
    <n v="29"/>
    <n v="22"/>
    <n v="16"/>
    <n v="0"/>
    <n v="0"/>
    <n v="0"/>
    <n v="0"/>
    <n v="68"/>
    <n v="68"/>
    <n v="758380.5"/>
    <n v="613084.04081632651"/>
    <n v="813290.95275590557"/>
    <n v="798811.44"/>
    <n v="1208130.944023256"/>
    <n v="1374933.3079470198"/>
    <n v="980562.65346534643"/>
    <n v="652968"/>
    <n v="0"/>
    <n v="0"/>
    <n v="0"/>
    <n v="0"/>
    <n v="3760365.0502445083"/>
    <n v="3439796.7887633462"/>
  </r>
  <r>
    <x v="7"/>
    <s v="Cecil Community College "/>
    <m/>
    <n v="162104"/>
    <x v="8"/>
    <n v="10"/>
    <m/>
    <m/>
    <n v="11"/>
    <n v="2"/>
    <m/>
    <m/>
    <n v="1"/>
    <n v="13"/>
    <m/>
    <m/>
    <n v="15"/>
    <m/>
    <m/>
    <m/>
    <m/>
    <n v="18"/>
    <m/>
    <m/>
    <n v="16"/>
    <n v="2"/>
    <m/>
    <m/>
    <n v="2"/>
    <n v="2"/>
    <m/>
    <m/>
    <n v="2"/>
    <m/>
    <m/>
    <m/>
    <m/>
    <m/>
    <m/>
    <m/>
    <m/>
    <m/>
    <m/>
    <m/>
    <m/>
    <m/>
    <m/>
    <m/>
    <m/>
    <m/>
    <m/>
    <m/>
    <m/>
    <n v="864668"/>
    <n v="874045"/>
    <n v="769390.99900000007"/>
    <n v="903186"/>
    <n v="964412.99799999991"/>
    <n v="894305"/>
    <n v="84271"/>
    <n v="86588"/>
    <n v="0"/>
    <m/>
    <n v="0"/>
    <m/>
    <n v="112"/>
    <n v="122"/>
    <n v="117"/>
    <n v="150"/>
    <n v="184"/>
    <n v="184"/>
    <n v="18"/>
    <n v="20"/>
    <n v="0"/>
    <n v="0"/>
    <n v="0"/>
    <n v="0"/>
    <n v="7720.25"/>
    <n v="7164.3032786885242"/>
    <n v="6575.9914444444448"/>
    <n v="6021.24"/>
    <n v="5241.3749891304342"/>
    <n v="4860.353260869565"/>
    <n v="4681.7222222222226"/>
    <n v="4329.3999999999996"/>
    <n v="0"/>
    <n v="0"/>
    <n v="0"/>
    <n v="0"/>
    <n v="69482.25"/>
    <n v="64478.729508196717"/>
    <n v="59183.923000000003"/>
    <n v="54191.159999999996"/>
    <n v="47172.374902173906"/>
    <n v="43743.179347826088"/>
    <n v="42135.5"/>
    <n v="38964.6"/>
    <n v="0"/>
    <n v="0"/>
    <n v="0"/>
    <n v="0"/>
    <n v="55976.521213691027"/>
    <n v="52168.480475728298"/>
    <n v="12"/>
    <n v="12"/>
    <n v="13"/>
    <n v="15"/>
    <n v="20"/>
    <n v="18"/>
    <n v="2"/>
    <n v="2"/>
    <n v="0"/>
    <n v="0"/>
    <n v="0"/>
    <n v="0"/>
    <n v="47"/>
    <n v="47"/>
    <n v="833787"/>
    <n v="773744.75409836066"/>
    <n v="769390.99900000007"/>
    <n v="812867.39999999991"/>
    <n v="943447.49804347812"/>
    <n v="787377.22826086963"/>
    <n v="84271"/>
    <n v="77929.2"/>
    <n v="0"/>
    <n v="0"/>
    <n v="0"/>
    <n v="0"/>
    <n v="2630896.4970434783"/>
    <n v="2451918.5823592301"/>
  </r>
  <r>
    <x v="7"/>
    <s v="Chesapeake College "/>
    <m/>
    <n v="162168"/>
    <x v="8"/>
    <n v="13"/>
    <m/>
    <m/>
    <n v="9"/>
    <n v="2"/>
    <m/>
    <m/>
    <m/>
    <n v="18"/>
    <m/>
    <m/>
    <n v="17"/>
    <n v="1"/>
    <m/>
    <m/>
    <n v="1"/>
    <n v="14"/>
    <m/>
    <m/>
    <n v="14"/>
    <n v="1"/>
    <m/>
    <m/>
    <n v="1"/>
    <n v="11"/>
    <m/>
    <m/>
    <n v="11"/>
    <m/>
    <m/>
    <m/>
    <m/>
    <m/>
    <m/>
    <m/>
    <m/>
    <n v="1"/>
    <m/>
    <m/>
    <n v="2"/>
    <m/>
    <m/>
    <m/>
    <m/>
    <m/>
    <m/>
    <m/>
    <m/>
    <n v="1157718.0010000002"/>
    <n v="670397"/>
    <n v="1305019.9920000001"/>
    <n v="1226448"/>
    <n v="878796.00599999994"/>
    <n v="874373"/>
    <n v="592411.99600000004"/>
    <n v="585712"/>
    <n v="46798"/>
    <n v="121482"/>
    <n v="0"/>
    <m/>
    <n v="139"/>
    <n v="90"/>
    <n v="173"/>
    <n v="182"/>
    <n v="137"/>
    <n v="152"/>
    <n v="99"/>
    <n v="110"/>
    <n v="11"/>
    <n v="24"/>
    <n v="0"/>
    <n v="0"/>
    <n v="8328.9064820143903"/>
    <n v="7448.8555555555558"/>
    <n v="7543.4681618497116"/>
    <n v="6738.7252747252751"/>
    <n v="6414.5693868613134"/>
    <n v="5752.4539473684208"/>
    <n v="5983.9595555555561"/>
    <n v="5324.6545454545458"/>
    <n v="4254.363636363636"/>
    <n v="5061.75"/>
    <n v="0"/>
    <n v="0"/>
    <n v="74960.15833812952"/>
    <n v="67039.7"/>
    <n v="67891.213456647398"/>
    <n v="60648.527472527479"/>
    <n v="57731.124481751824"/>
    <n v="51772.085526315786"/>
    <n v="53855.636000000006"/>
    <n v="47921.890909090915"/>
    <n v="38289.272727272721"/>
    <n v="45555.75"/>
    <n v="0"/>
    <n v="0"/>
    <n v="64114.812568881862"/>
    <n v="56179.352316367847"/>
    <n v="15"/>
    <n v="9"/>
    <n v="19"/>
    <n v="18"/>
    <n v="15"/>
    <n v="15"/>
    <n v="11"/>
    <n v="11"/>
    <n v="1"/>
    <n v="2"/>
    <n v="0"/>
    <n v="0"/>
    <n v="61"/>
    <n v="55"/>
    <n v="1124402.3750719428"/>
    <n v="603357.29999999993"/>
    <n v="1289933.0556763005"/>
    <n v="1091673.4945054946"/>
    <n v="865966.86722627736"/>
    <n v="776581.28289473685"/>
    <n v="592411.99600000004"/>
    <n v="527140.80000000005"/>
    <n v="38289.272727272721"/>
    <n v="91111.5"/>
    <n v="0"/>
    <n v="0"/>
    <n v="3911003.5667017936"/>
    <n v="3089864.3774002315"/>
  </r>
  <r>
    <x v="7"/>
    <s v="Garrett College "/>
    <m/>
    <n v="162609"/>
    <x v="8"/>
    <n v="10"/>
    <m/>
    <m/>
    <n v="9"/>
    <n v="1"/>
    <n v="1"/>
    <m/>
    <n v="1"/>
    <n v="3"/>
    <m/>
    <m/>
    <n v="4"/>
    <n v="4"/>
    <n v="1"/>
    <m/>
    <n v="2"/>
    <m/>
    <m/>
    <m/>
    <n v="4"/>
    <n v="1"/>
    <m/>
    <m/>
    <n v="1"/>
    <n v="2"/>
    <m/>
    <m/>
    <m/>
    <m/>
    <m/>
    <m/>
    <m/>
    <m/>
    <m/>
    <m/>
    <m/>
    <m/>
    <m/>
    <m/>
    <m/>
    <m/>
    <m/>
    <m/>
    <m/>
    <m/>
    <m/>
    <m/>
    <m/>
    <n v="726926"/>
    <n v="778895"/>
    <n v="414189.99900000001"/>
    <n v="420941"/>
    <n v="54649"/>
    <n v="273411"/>
    <n v="87840"/>
    <m/>
    <n v="0"/>
    <m/>
    <n v="0"/>
    <m/>
    <n v="101"/>
    <n v="113"/>
    <n v="71"/>
    <n v="75"/>
    <n v="11"/>
    <n v="52"/>
    <n v="18"/>
    <n v="0"/>
    <n v="0"/>
    <n v="0"/>
    <n v="0"/>
    <n v="0"/>
    <n v="7197.287128712871"/>
    <n v="6892.8761061946907"/>
    <n v="5833.6619577464789"/>
    <n v="5612.5466666666671"/>
    <n v="4968.090909090909"/>
    <n v="5257.9038461538457"/>
    <n v="4880"/>
    <n v="0"/>
    <n v="0"/>
    <n v="0"/>
    <n v="0"/>
    <n v="0"/>
    <n v="64775.584158415841"/>
    <n v="62035.884955752219"/>
    <n v="52502.957619718312"/>
    <n v="50512.920000000006"/>
    <n v="44712.818181818184"/>
    <n v="47321.13461538461"/>
    <n v="43920"/>
    <n v="0"/>
    <n v="0"/>
    <n v="0"/>
    <n v="0"/>
    <n v="0"/>
    <n v="57743.092726781928"/>
    <n v="55330.036851747718"/>
    <n v="11"/>
    <n v="11"/>
    <n v="7"/>
    <n v="7"/>
    <n v="1"/>
    <n v="5"/>
    <n v="2"/>
    <n v="0"/>
    <n v="0"/>
    <n v="0"/>
    <n v="0"/>
    <n v="0"/>
    <n v="21"/>
    <n v="23"/>
    <n v="712531.42574257427"/>
    <n v="682394.73451327439"/>
    <n v="367520.70333802816"/>
    <n v="353590.44000000006"/>
    <n v="44712.818181818184"/>
    <n v="236605.67307692306"/>
    <n v="87840"/>
    <n v="0"/>
    <n v="0"/>
    <n v="0"/>
    <n v="0"/>
    <n v="0"/>
    <n v="1212604.9472624206"/>
    <n v="1272590.8475901976"/>
  </r>
  <r>
    <x v="8"/>
    <s v="Mississippi State University"/>
    <m/>
    <n v="176080"/>
    <x v="0"/>
    <n v="115"/>
    <n v="120"/>
    <m/>
    <m/>
    <n v="116"/>
    <m/>
    <m/>
    <n v="116"/>
    <n v="153"/>
    <n v="171"/>
    <m/>
    <m/>
    <n v="54"/>
    <m/>
    <m/>
    <n v="53"/>
    <n v="237"/>
    <n v="229"/>
    <m/>
    <m/>
    <n v="44"/>
    <m/>
    <m/>
    <n v="44"/>
    <n v="115"/>
    <n v="128"/>
    <m/>
    <m/>
    <n v="16"/>
    <m/>
    <m/>
    <n v="18"/>
    <n v="58"/>
    <n v="51"/>
    <m/>
    <m/>
    <m/>
    <m/>
    <m/>
    <n v="1"/>
    <m/>
    <m/>
    <m/>
    <m/>
    <m/>
    <m/>
    <m/>
    <m/>
    <n v="24734100"/>
    <n v="25313884"/>
    <n v="15934815"/>
    <n v="17610922"/>
    <n v="18350258"/>
    <n v="18333355"/>
    <n v="5553978"/>
    <n v="6319574"/>
    <n v="1772016"/>
    <n v="1486692"/>
    <n v="0"/>
    <m/>
    <n v="2311"/>
    <n v="2472"/>
    <n v="1971"/>
    <n v="2175"/>
    <n v="2617"/>
    <n v="2589"/>
    <n v="1211"/>
    <n v="1368"/>
    <n v="522"/>
    <n v="471"/>
    <n v="0"/>
    <n v="0"/>
    <n v="10702.769363911726"/>
    <n v="10240.24433656958"/>
    <n v="8084.6347031963469"/>
    <n v="8096.9756321839077"/>
    <n v="7011.9442109285437"/>
    <n v="7081.2495171881037"/>
    <n v="4586.2741535920723"/>
    <n v="4619.5716374269005"/>
    <n v="3394.6666666666665"/>
    <n v="3156.4585987261148"/>
    <n v="0"/>
    <n v="0"/>
    <n v="96324.924275205529"/>
    <n v="92162.199029126219"/>
    <n v="72761.712328767127"/>
    <n v="72872.780689655163"/>
    <n v="63107.497898356894"/>
    <n v="63731.245654692932"/>
    <n v="41276.46738232865"/>
    <n v="41576.144736842107"/>
    <n v="30552"/>
    <n v="28408.127388535035"/>
    <n v="0"/>
    <n v="0"/>
    <n v="68529.925216024902"/>
    <n v="67690.388469248646"/>
    <n v="231"/>
    <n v="236"/>
    <n v="207"/>
    <n v="224"/>
    <n v="281"/>
    <n v="273"/>
    <n v="131"/>
    <n v="146"/>
    <n v="58"/>
    <n v="52"/>
    <n v="0"/>
    <n v="0"/>
    <n v="908"/>
    <n v="931"/>
    <n v="22251057.507572476"/>
    <n v="21750278.970873788"/>
    <n v="15061674.452054795"/>
    <n v="16323502.874482756"/>
    <n v="17733206.909438286"/>
    <n v="17398630.063731171"/>
    <n v="5407217.227085053"/>
    <n v="6070117.1315789474"/>
    <n v="1772016"/>
    <n v="1477222.6242038219"/>
    <n v="0"/>
    <n v="0"/>
    <n v="62225172.096150614"/>
    <n v="63019751.664870493"/>
  </r>
  <r>
    <x v="8"/>
    <s v="University of Southern Mississippi"/>
    <s v="Met the criteria for Four-Year 2 in 2012-13."/>
    <n v="176372"/>
    <x v="0"/>
    <n v="97"/>
    <n v="95"/>
    <m/>
    <m/>
    <n v="30"/>
    <m/>
    <m/>
    <n v="33"/>
    <n v="175"/>
    <n v="188"/>
    <m/>
    <m/>
    <n v="22"/>
    <m/>
    <m/>
    <n v="20"/>
    <n v="186"/>
    <n v="186"/>
    <m/>
    <m/>
    <n v="7"/>
    <m/>
    <m/>
    <n v="11"/>
    <n v="140"/>
    <n v="138"/>
    <m/>
    <m/>
    <n v="10"/>
    <m/>
    <m/>
    <n v="11"/>
    <n v="3"/>
    <n v="2"/>
    <m/>
    <m/>
    <n v="1"/>
    <m/>
    <m/>
    <n v="3"/>
    <m/>
    <m/>
    <m/>
    <m/>
    <m/>
    <m/>
    <m/>
    <m/>
    <n v="11727736"/>
    <n v="11985137"/>
    <n v="13284563"/>
    <n v="14089402"/>
    <n v="11311704"/>
    <n v="11959056"/>
    <n v="7193530"/>
    <n v="7031505"/>
    <n v="226323"/>
    <n v="366095"/>
    <n v="0"/>
    <m/>
    <n v="1203"/>
    <n v="1251"/>
    <n v="1817"/>
    <n v="1932"/>
    <n v="1751"/>
    <n v="1806"/>
    <n v="1370"/>
    <n v="1374"/>
    <n v="38"/>
    <n v="54"/>
    <n v="0"/>
    <n v="0"/>
    <n v="9748.7414796342473"/>
    <n v="9580.4452438049557"/>
    <n v="7311.2619702806824"/>
    <n v="7292.6511387163564"/>
    <n v="6460.1393489434613"/>
    <n v="6621.8471760797338"/>
    <n v="5250.7518248175184"/>
    <n v="5117.5436681222709"/>
    <n v="5955.8684210526317"/>
    <n v="6779.5370370370374"/>
    <n v="0"/>
    <n v="0"/>
    <n v="87738.673316708228"/>
    <n v="86224.007194244594"/>
    <n v="65801.357732526143"/>
    <n v="65633.860248447207"/>
    <n v="58141.254140491154"/>
    <n v="59596.624584717603"/>
    <n v="47256.766423357665"/>
    <n v="46057.893013100438"/>
    <n v="53602.815789473687"/>
    <n v="61015.833333333336"/>
    <n v="0"/>
    <n v="0"/>
    <n v="63531.843905075919"/>
    <n v="63459.615897159143"/>
    <n v="127"/>
    <n v="128"/>
    <n v="197"/>
    <n v="208"/>
    <n v="193"/>
    <n v="197"/>
    <n v="150"/>
    <n v="149"/>
    <n v="4"/>
    <n v="5"/>
    <n v="0"/>
    <n v="0"/>
    <n v="671"/>
    <n v="687"/>
    <n v="11142811.511221945"/>
    <n v="11036672.920863308"/>
    <n v="12962867.473307651"/>
    <n v="13651842.931677019"/>
    <n v="11221262.049114794"/>
    <n v="11740535.043189367"/>
    <n v="7088514.9635036495"/>
    <n v="6862626.0589519655"/>
    <n v="214411.26315789475"/>
    <n v="305079.16666666669"/>
    <n v="0"/>
    <n v="0"/>
    <n v="42629867.260305941"/>
    <n v="43596756.121348329"/>
  </r>
  <r>
    <x v="8"/>
    <s v="Jackson State University "/>
    <m/>
    <n v="175856"/>
    <x v="1"/>
    <n v="50"/>
    <n v="52"/>
    <m/>
    <n v="2"/>
    <n v="31"/>
    <m/>
    <m/>
    <n v="27"/>
    <n v="91"/>
    <n v="81"/>
    <m/>
    <n v="8"/>
    <n v="16"/>
    <m/>
    <m/>
    <n v="16"/>
    <n v="114"/>
    <n v="108"/>
    <m/>
    <n v="11"/>
    <n v="10"/>
    <m/>
    <m/>
    <n v="9"/>
    <n v="64"/>
    <n v="52"/>
    <m/>
    <n v="16"/>
    <n v="1"/>
    <m/>
    <m/>
    <n v="2"/>
    <n v="1"/>
    <n v="2"/>
    <m/>
    <n v="1"/>
    <m/>
    <m/>
    <m/>
    <m/>
    <m/>
    <m/>
    <m/>
    <m/>
    <m/>
    <m/>
    <m/>
    <m/>
    <n v="6584743"/>
    <n v="6640164"/>
    <n v="7077019"/>
    <n v="7039321"/>
    <n v="7072844"/>
    <n v="7268104"/>
    <n v="2703553"/>
    <n v="2941932"/>
    <n v="34747"/>
    <n v="112075"/>
    <n v="0"/>
    <m/>
    <n v="791"/>
    <n v="812"/>
    <n v="995"/>
    <n v="1001"/>
    <n v="1136"/>
    <n v="1190"/>
    <n v="587"/>
    <n v="652"/>
    <n v="9"/>
    <n v="28"/>
    <n v="0"/>
    <n v="0"/>
    <n v="8324.5802781289512"/>
    <n v="8177.5418719211821"/>
    <n v="7112.5819095477391"/>
    <n v="7032.2887112887111"/>
    <n v="6226.0950704225352"/>
    <n v="6107.6504201680673"/>
    <n v="4605.7120954003403"/>
    <n v="4512.1656441717787"/>
    <n v="3860.7777777777778"/>
    <n v="4002.6785714285716"/>
    <n v="0"/>
    <n v="0"/>
    <n v="74921.222503160563"/>
    <n v="73597.876847290638"/>
    <n v="64013.237185929655"/>
    <n v="63290.5984015984"/>
    <n v="56034.855633802814"/>
    <n v="54968.853781512604"/>
    <n v="41451.408858603063"/>
    <n v="40609.490797546008"/>
    <n v="34747"/>
    <n v="36024.107142857145"/>
    <n v="0"/>
    <n v="0"/>
    <n v="59776.312370505897"/>
    <n v="58381.630020901233"/>
    <n v="81"/>
    <n v="81"/>
    <n v="107"/>
    <n v="105"/>
    <n v="124"/>
    <n v="128"/>
    <n v="65"/>
    <n v="70"/>
    <n v="1"/>
    <n v="3"/>
    <n v="0"/>
    <n v="0"/>
    <n v="378"/>
    <n v="387"/>
    <n v="6068619.0227560056"/>
    <n v="5961428.0246305419"/>
    <n v="6849416.3788944734"/>
    <n v="6645512.8321678322"/>
    <n v="6948322.0985915493"/>
    <n v="7036013.2840336133"/>
    <n v="2694341.5758091989"/>
    <n v="2842664.3558282205"/>
    <n v="34747"/>
    <n v="108072.32142857143"/>
    <n v="0"/>
    <n v="0"/>
    <n v="22595446.076051228"/>
    <n v="22593690.818088777"/>
  </r>
  <r>
    <x v="8"/>
    <s v="University of Mississippi"/>
    <m/>
    <n v="176017"/>
    <x v="1"/>
    <n v="116"/>
    <n v="115"/>
    <m/>
    <m/>
    <n v="50"/>
    <m/>
    <m/>
    <n v="51"/>
    <n v="172"/>
    <n v="174"/>
    <m/>
    <m/>
    <n v="50"/>
    <m/>
    <m/>
    <n v="46"/>
    <n v="177"/>
    <n v="204"/>
    <m/>
    <m/>
    <n v="34"/>
    <m/>
    <m/>
    <n v="33"/>
    <n v="124"/>
    <n v="113"/>
    <m/>
    <m/>
    <n v="26"/>
    <m/>
    <m/>
    <n v="32"/>
    <n v="13"/>
    <n v="17"/>
    <m/>
    <m/>
    <n v="2"/>
    <m/>
    <m/>
    <n v="3"/>
    <m/>
    <m/>
    <m/>
    <m/>
    <m/>
    <m/>
    <m/>
    <m/>
    <n v="19258524"/>
    <n v="19951796"/>
    <n v="18453622"/>
    <n v="18595511"/>
    <n v="14536757"/>
    <n v="16599388"/>
    <n v="6235184"/>
    <n v="6147789"/>
    <n v="711926"/>
    <n v="962176"/>
    <n v="0"/>
    <m/>
    <n v="1594"/>
    <n v="1647"/>
    <n v="2098"/>
    <n v="2118"/>
    <n v="1967"/>
    <n v="2232"/>
    <n v="1402"/>
    <n v="1401"/>
    <n v="139"/>
    <n v="189"/>
    <n v="0"/>
    <n v="0"/>
    <n v="12081.884567126725"/>
    <n v="12114.023072252581"/>
    <n v="8795.8160152526216"/>
    <n v="8779.7502360717663"/>
    <n v="7390.3187595322825"/>
    <n v="7437.0017921146955"/>
    <n v="4447.3495007132669"/>
    <n v="4388.1434689507496"/>
    <n v="5121.7697841726622"/>
    <n v="5090.8783068783068"/>
    <n v="0"/>
    <n v="0"/>
    <n v="108736.96110414052"/>
    <n v="109026.20765027322"/>
    <n v="79162.344137273598"/>
    <n v="79017.752124645893"/>
    <n v="66512.868835790548"/>
    <n v="66933.016129032258"/>
    <n v="40026.145506419401"/>
    <n v="39493.291220556748"/>
    <n v="46095.92805755396"/>
    <n v="45817.904761904763"/>
    <n v="0"/>
    <n v="0"/>
    <n v="73761.71729442419"/>
    <n v="73589.170155034168"/>
    <n v="166"/>
    <n v="166"/>
    <n v="222"/>
    <n v="220"/>
    <n v="211"/>
    <n v="237"/>
    <n v="150"/>
    <n v="145"/>
    <n v="15"/>
    <n v="20"/>
    <n v="0"/>
    <n v="0"/>
    <n v="764"/>
    <n v="788"/>
    <n v="18050335.543287326"/>
    <n v="18098350.469945356"/>
    <n v="17574040.398474738"/>
    <n v="17383905.467422098"/>
    <n v="14034215.324351806"/>
    <n v="15863124.822580645"/>
    <n v="6003921.8259629104"/>
    <n v="5726527.2269807281"/>
    <n v="691438.92086330941"/>
    <n v="916358.09523809527"/>
    <n v="0"/>
    <n v="0"/>
    <n v="56353952.012940079"/>
    <n v="57988266.082166925"/>
  </r>
  <r>
    <x v="8"/>
    <s v="Alcorn State University"/>
    <m/>
    <n v="175342"/>
    <x v="3"/>
    <n v="29"/>
    <n v="28"/>
    <m/>
    <m/>
    <n v="6"/>
    <m/>
    <m/>
    <n v="5"/>
    <n v="27"/>
    <n v="26"/>
    <m/>
    <m/>
    <n v="7"/>
    <m/>
    <m/>
    <n v="6"/>
    <n v="41"/>
    <n v="48"/>
    <m/>
    <m/>
    <n v="8"/>
    <m/>
    <m/>
    <n v="10"/>
    <n v="39"/>
    <n v="40"/>
    <m/>
    <m/>
    <n v="7"/>
    <m/>
    <m/>
    <n v="6"/>
    <m/>
    <m/>
    <m/>
    <m/>
    <m/>
    <m/>
    <m/>
    <m/>
    <m/>
    <m/>
    <m/>
    <m/>
    <m/>
    <m/>
    <m/>
    <m/>
    <n v="2489287.8499999996"/>
    <n v="2433932"/>
    <n v="2148955"/>
    <n v="2111339"/>
    <n v="2824400.9989999998"/>
    <n v="3487093"/>
    <n v="1901506.8399999999"/>
    <n v="1961900"/>
    <n v="0"/>
    <m/>
    <n v="0"/>
    <m/>
    <n v="327"/>
    <n v="312"/>
    <n v="320"/>
    <n v="306"/>
    <n v="457"/>
    <n v="552"/>
    <n v="428"/>
    <n v="432"/>
    <n v="0"/>
    <n v="0"/>
    <n v="0"/>
    <n v="0"/>
    <n v="7612.5010703363905"/>
    <n v="7801.0641025641025"/>
    <n v="6715.484375"/>
    <n v="6899.8006535947716"/>
    <n v="6180.308531728665"/>
    <n v="6317.197463768116"/>
    <n v="4442.7729906542054"/>
    <n v="4541.4351851851852"/>
    <n v="0"/>
    <n v="0"/>
    <n v="0"/>
    <n v="0"/>
    <n v="68512.509633027512"/>
    <n v="70209.576923076922"/>
    <n v="60439.359375"/>
    <n v="62098.205882352944"/>
    <n v="55622.776785557988"/>
    <n v="56854.77717391304"/>
    <n v="39984.956915887851"/>
    <n v="40872.916666666664"/>
    <n v="0"/>
    <n v="0"/>
    <n v="0"/>
    <n v="0"/>
    <n v="54985.976442250874"/>
    <n v="56105.265499706838"/>
    <n v="35"/>
    <n v="33"/>
    <n v="34"/>
    <n v="32"/>
    <n v="49"/>
    <n v="58"/>
    <n v="46"/>
    <n v="46"/>
    <n v="0"/>
    <n v="0"/>
    <n v="0"/>
    <n v="0"/>
    <n v="164"/>
    <n v="169"/>
    <n v="2397937.8371559628"/>
    <n v="2316916.0384615385"/>
    <n v="2054938.21875"/>
    <n v="1987142.5882352942"/>
    <n v="2725516.0624923413"/>
    <n v="3297577.0760869565"/>
    <n v="1839308.0181308412"/>
    <n v="1880154.1666666665"/>
    <n v="0"/>
    <n v="0"/>
    <n v="0"/>
    <n v="0"/>
    <n v="9017700.1365291439"/>
    <n v="9481789.8694504555"/>
  </r>
  <r>
    <x v="8"/>
    <s v="Delta State University"/>
    <m/>
    <n v="175616"/>
    <x v="3"/>
    <n v="20"/>
    <n v="21"/>
    <m/>
    <m/>
    <n v="11"/>
    <m/>
    <m/>
    <n v="11"/>
    <n v="35"/>
    <n v="35"/>
    <m/>
    <m/>
    <n v="10"/>
    <m/>
    <m/>
    <n v="12"/>
    <n v="46"/>
    <n v="51"/>
    <m/>
    <m/>
    <n v="10"/>
    <m/>
    <m/>
    <n v="7"/>
    <n v="42"/>
    <n v="35"/>
    <m/>
    <m/>
    <n v="9"/>
    <n v="1"/>
    <m/>
    <n v="9"/>
    <m/>
    <m/>
    <m/>
    <m/>
    <m/>
    <m/>
    <m/>
    <m/>
    <m/>
    <m/>
    <m/>
    <m/>
    <m/>
    <m/>
    <m/>
    <m/>
    <n v="2237708"/>
    <n v="2299009"/>
    <n v="2645745"/>
    <n v="2682885"/>
    <n v="2868992"/>
    <n v="3064801"/>
    <n v="2519319"/>
    <n v="2184377"/>
    <n v="0"/>
    <m/>
    <n v="0"/>
    <m/>
    <n v="301"/>
    <n v="321"/>
    <n v="425"/>
    <n v="459"/>
    <n v="524"/>
    <n v="543"/>
    <n v="477"/>
    <n v="434"/>
    <n v="0"/>
    <n v="0"/>
    <n v="0"/>
    <n v="0"/>
    <n v="7434.2458471760801"/>
    <n v="7162.0218068535823"/>
    <n v="6225.2823529411762"/>
    <n v="5845.0653594771238"/>
    <n v="5475.1755725190842"/>
    <n v="5644.2007366482503"/>
    <n v="5281.5911949685533"/>
    <n v="5033.1267281105993"/>
    <n v="0"/>
    <n v="0"/>
    <n v="0"/>
    <n v="0"/>
    <n v="66908.212624584718"/>
    <n v="64458.196261682242"/>
    <n v="56027.541176470586"/>
    <n v="52605.588235294112"/>
    <n v="49276.580152671755"/>
    <n v="50797.806629834253"/>
    <n v="47534.32075471698"/>
    <n v="45298.140552995392"/>
    <n v="0"/>
    <n v="0"/>
    <n v="0"/>
    <n v="0"/>
    <n v="53437.884105702105"/>
    <n v="52306.670532130956"/>
    <n v="31"/>
    <n v="32"/>
    <n v="45"/>
    <n v="47"/>
    <n v="56"/>
    <n v="58"/>
    <n v="51"/>
    <n v="45"/>
    <n v="0"/>
    <n v="0"/>
    <n v="0"/>
    <n v="0"/>
    <n v="183"/>
    <n v="182"/>
    <n v="2074154.5913621262"/>
    <n v="2062662.2803738317"/>
    <n v="2521239.3529411764"/>
    <n v="2472462.6470588231"/>
    <n v="2759488.4885496181"/>
    <n v="2946272.7845303868"/>
    <n v="2424250.3584905658"/>
    <n v="2038416.3248847926"/>
    <n v="0"/>
    <n v="0"/>
    <n v="0"/>
    <n v="0"/>
    <n v="9779132.7913434859"/>
    <n v="9519814.0368478335"/>
  </r>
  <r>
    <x v="8"/>
    <s v="Mississippi Valley State University"/>
    <m/>
    <n v="176044"/>
    <x v="3"/>
    <n v="15"/>
    <n v="15"/>
    <m/>
    <m/>
    <n v="5"/>
    <m/>
    <m/>
    <n v="2"/>
    <n v="24"/>
    <n v="22"/>
    <m/>
    <m/>
    <n v="9"/>
    <m/>
    <m/>
    <n v="14"/>
    <n v="48"/>
    <n v="45"/>
    <m/>
    <n v="3"/>
    <n v="6"/>
    <m/>
    <m/>
    <n v="5"/>
    <n v="18"/>
    <n v="20"/>
    <m/>
    <n v="1"/>
    <n v="5"/>
    <m/>
    <m/>
    <n v="7"/>
    <m/>
    <m/>
    <m/>
    <m/>
    <m/>
    <m/>
    <m/>
    <m/>
    <m/>
    <m/>
    <m/>
    <m/>
    <m/>
    <m/>
    <m/>
    <m/>
    <n v="1382809"/>
    <n v="1129280"/>
    <n v="1954458"/>
    <n v="2124871"/>
    <n v="2674158"/>
    <n v="2631623"/>
    <n v="947658.08"/>
    <n v="1108397"/>
    <n v="0"/>
    <m/>
    <n v="0"/>
    <m/>
    <n v="190"/>
    <n v="159"/>
    <n v="315"/>
    <n v="366"/>
    <n v="498"/>
    <n v="495"/>
    <n v="217"/>
    <n v="274"/>
    <n v="0"/>
    <n v="0"/>
    <n v="0"/>
    <n v="0"/>
    <n v="7277.9421052631578"/>
    <n v="7102.3899371069183"/>
    <n v="6204.6285714285714"/>
    <n v="5805.6584699453551"/>
    <n v="5369.7951807228919"/>
    <n v="5316.4101010101012"/>
    <n v="4367.0879262672806"/>
    <n v="4045.2445255474454"/>
    <n v="0"/>
    <n v="0"/>
    <n v="0"/>
    <n v="0"/>
    <n v="65501.478947368421"/>
    <n v="63921.509433962266"/>
    <n v="55841.657142857141"/>
    <n v="52250.926229508194"/>
    <n v="48328.156626506025"/>
    <n v="47847.69090909091"/>
    <n v="39303.791336405528"/>
    <n v="36407.200729927012"/>
    <n v="0"/>
    <n v="0"/>
    <n v="0"/>
    <n v="0"/>
    <n v="51280.860947925437"/>
    <n v="48679.315248204686"/>
    <n v="20"/>
    <n v="17"/>
    <n v="33"/>
    <n v="36"/>
    <n v="54"/>
    <n v="53"/>
    <n v="23"/>
    <n v="28"/>
    <n v="0"/>
    <n v="0"/>
    <n v="0"/>
    <n v="0"/>
    <n v="130"/>
    <n v="134"/>
    <n v="1310029.5789473685"/>
    <n v="1086665.6603773586"/>
    <n v="1842774.6857142856"/>
    <n v="1881033.3442622949"/>
    <n v="2609720.4578313255"/>
    <n v="2535927.6181818182"/>
    <n v="903987.2007373271"/>
    <n v="1019401.6204379563"/>
    <n v="0"/>
    <n v="0"/>
    <n v="0"/>
    <n v="0"/>
    <n v="6666511.9232303072"/>
    <n v="6523028.2432594281"/>
  </r>
  <r>
    <x v="8"/>
    <s v="Mississippi University for Women"/>
    <m/>
    <n v="176035"/>
    <x v="4"/>
    <n v="21"/>
    <n v="20"/>
    <n v="0"/>
    <n v="3"/>
    <n v="9"/>
    <n v="8"/>
    <n v="0"/>
    <n v="2"/>
    <n v="22"/>
    <n v="17"/>
    <m/>
    <n v="1"/>
    <n v="1"/>
    <m/>
    <m/>
    <m/>
    <n v="28"/>
    <n v="18"/>
    <m/>
    <n v="4"/>
    <n v="3"/>
    <n v="2"/>
    <m/>
    <n v="7"/>
    <n v="39"/>
    <n v="28"/>
    <m/>
    <n v="9"/>
    <n v="14"/>
    <n v="1"/>
    <m/>
    <n v="10"/>
    <m/>
    <m/>
    <m/>
    <m/>
    <m/>
    <m/>
    <m/>
    <m/>
    <m/>
    <m/>
    <m/>
    <m/>
    <m/>
    <m/>
    <m/>
    <m/>
    <n v="1803846"/>
    <n v="2058237"/>
    <n v="1110047"/>
    <n v="899689"/>
    <n v="1534713"/>
    <n v="1741812"/>
    <n v="2682276"/>
    <n v="2491052"/>
    <n v="0"/>
    <m/>
    <n v="0"/>
    <m/>
    <n v="288"/>
    <n v="322"/>
    <n v="209"/>
    <n v="163"/>
    <n v="285"/>
    <n v="308"/>
    <n v="505"/>
    <n v="473"/>
    <n v="0"/>
    <n v="0"/>
    <n v="0"/>
    <n v="0"/>
    <n v="6263.354166666667"/>
    <n v="6392.0403726708073"/>
    <n v="5311.2296650717699"/>
    <n v="5519.564417177914"/>
    <n v="5384.9578947368418"/>
    <n v="5655.2337662337659"/>
    <n v="5311.4376237623765"/>
    <n v="5266.4947145877377"/>
    <n v="0"/>
    <n v="0"/>
    <n v="0"/>
    <n v="0"/>
    <n v="56370.1875"/>
    <n v="57528.363354037268"/>
    <n v="47801.066985645928"/>
    <n v="49676.079754601225"/>
    <n v="48464.621052631577"/>
    <n v="50897.103896103894"/>
    <n v="47802.938613861392"/>
    <n v="47398.452431289639"/>
    <n v="0"/>
    <n v="0"/>
    <n v="0"/>
    <n v="0"/>
    <n v="49828.388064496998"/>
    <n v="51119.548951901343"/>
    <n v="30"/>
    <n v="33"/>
    <n v="23"/>
    <n v="18"/>
    <n v="31"/>
    <n v="31"/>
    <n v="53"/>
    <n v="48"/>
    <n v="0"/>
    <n v="0"/>
    <n v="0"/>
    <n v="0"/>
    <n v="137"/>
    <n v="130"/>
    <n v="1691105.625"/>
    <n v="1898435.9906832299"/>
    <n v="1099424.5406698564"/>
    <n v="894169.43558282207"/>
    <n v="1502403.2526315788"/>
    <n v="1577810.2207792208"/>
    <n v="2533555.7465346539"/>
    <n v="2275125.7167019024"/>
    <n v="0"/>
    <n v="0"/>
    <n v="0"/>
    <n v="0"/>
    <n v="6826489.1648360891"/>
    <n v="6645541.3637471749"/>
  </r>
  <r>
    <x v="8"/>
    <s v="Hinds Community College "/>
    <m/>
    <n v="175786"/>
    <x v="6"/>
    <m/>
    <m/>
    <m/>
    <m/>
    <m/>
    <m/>
    <m/>
    <m/>
    <m/>
    <m/>
    <m/>
    <m/>
    <m/>
    <m/>
    <m/>
    <m/>
    <m/>
    <m/>
    <m/>
    <m/>
    <m/>
    <m/>
    <m/>
    <m/>
    <m/>
    <m/>
    <m/>
    <m/>
    <m/>
    <m/>
    <m/>
    <m/>
    <m/>
    <m/>
    <m/>
    <m/>
    <m/>
    <m/>
    <m/>
    <m/>
    <n v="313"/>
    <n v="292"/>
    <m/>
    <m/>
    <n v="107"/>
    <m/>
    <m/>
    <n v="127"/>
    <n v="0"/>
    <m/>
    <n v="0"/>
    <m/>
    <n v="0"/>
    <m/>
    <n v="0"/>
    <m/>
    <n v="0"/>
    <m/>
    <n v="20325436.799999997"/>
    <n v="20324358"/>
    <n v="0"/>
    <n v="0"/>
    <n v="0"/>
    <n v="0"/>
    <n v="0"/>
    <n v="0"/>
    <n v="0"/>
    <n v="0"/>
    <n v="0"/>
    <n v="0"/>
    <n v="3994"/>
    <n v="4152"/>
    <n v="0"/>
    <n v="0"/>
    <n v="0"/>
    <n v="0"/>
    <n v="0"/>
    <n v="0"/>
    <n v="0"/>
    <n v="0"/>
    <n v="0"/>
    <n v="0"/>
    <n v="5088.9926890335491"/>
    <n v="4895.0765895953755"/>
    <n v="0"/>
    <n v="0"/>
    <n v="0"/>
    <n v="0"/>
    <n v="0"/>
    <n v="0"/>
    <n v="0"/>
    <n v="0"/>
    <n v="0"/>
    <n v="0"/>
    <n v="45800.934201301941"/>
    <n v="44055.689306358378"/>
    <n v="45800.934201301941"/>
    <n v="44055.689306358378"/>
    <n v="0"/>
    <n v="0"/>
    <n v="0"/>
    <n v="0"/>
    <n v="0"/>
    <n v="0"/>
    <n v="0"/>
    <n v="0"/>
    <n v="0"/>
    <n v="0"/>
    <n v="420"/>
    <n v="419"/>
    <n v="420"/>
    <n v="419"/>
    <n v="0"/>
    <n v="0"/>
    <n v="0"/>
    <n v="0"/>
    <n v="0"/>
    <n v="0"/>
    <n v="0"/>
    <n v="0"/>
    <n v="0"/>
    <n v="0"/>
    <n v="19236392.364546817"/>
    <n v="18459333.81936416"/>
    <n v="19236392.364546817"/>
    <n v="18459333.81936416"/>
  </r>
  <r>
    <x v="8"/>
    <s v="Itawamba Community College "/>
    <m/>
    <n v="175829"/>
    <x v="6"/>
    <m/>
    <m/>
    <m/>
    <m/>
    <m/>
    <m/>
    <m/>
    <m/>
    <m/>
    <m/>
    <m/>
    <m/>
    <m/>
    <m/>
    <m/>
    <m/>
    <m/>
    <m/>
    <m/>
    <m/>
    <m/>
    <m/>
    <m/>
    <m/>
    <m/>
    <m/>
    <m/>
    <m/>
    <m/>
    <m/>
    <m/>
    <m/>
    <m/>
    <m/>
    <m/>
    <m/>
    <m/>
    <m/>
    <m/>
    <m/>
    <n v="148"/>
    <n v="99"/>
    <m/>
    <n v="45"/>
    <n v="60"/>
    <n v="49"/>
    <m/>
    <n v="17"/>
    <n v="0"/>
    <m/>
    <n v="0"/>
    <m/>
    <n v="0"/>
    <m/>
    <n v="0"/>
    <m/>
    <n v="0"/>
    <m/>
    <n v="13499616"/>
    <n v="13035824"/>
    <n v="0"/>
    <n v="0"/>
    <n v="0"/>
    <n v="0"/>
    <n v="0"/>
    <n v="0"/>
    <n v="0"/>
    <n v="0"/>
    <n v="0"/>
    <n v="0"/>
    <n v="1992"/>
    <n v="2084"/>
    <n v="0"/>
    <n v="0"/>
    <n v="0"/>
    <n v="0"/>
    <n v="0"/>
    <n v="0"/>
    <n v="0"/>
    <n v="0"/>
    <n v="0"/>
    <n v="0"/>
    <n v="6776.9156626506028"/>
    <n v="6255.1938579654507"/>
    <n v="0"/>
    <n v="0"/>
    <n v="0"/>
    <n v="0"/>
    <n v="0"/>
    <n v="0"/>
    <n v="0"/>
    <n v="0"/>
    <n v="0"/>
    <n v="0"/>
    <n v="60992.240963855424"/>
    <n v="56296.744721689058"/>
    <n v="60992.240963855424"/>
    <n v="56296.744721689058"/>
    <n v="0"/>
    <n v="0"/>
    <n v="0"/>
    <n v="0"/>
    <n v="0"/>
    <n v="0"/>
    <n v="0"/>
    <n v="0"/>
    <n v="0"/>
    <n v="0"/>
    <n v="208"/>
    <n v="210"/>
    <n v="208"/>
    <n v="210"/>
    <n v="0"/>
    <n v="0"/>
    <n v="0"/>
    <n v="0"/>
    <n v="0"/>
    <n v="0"/>
    <n v="0"/>
    <n v="0"/>
    <n v="0"/>
    <n v="0"/>
    <n v="12686386.120481929"/>
    <n v="11822316.391554702"/>
    <n v="12686386.120481929"/>
    <n v="11822316.391554702"/>
  </r>
  <r>
    <x v="8"/>
    <s v="Mississippi Gulf Coast Community College "/>
    <m/>
    <n v="176071"/>
    <x v="6"/>
    <m/>
    <m/>
    <m/>
    <m/>
    <m/>
    <m/>
    <m/>
    <m/>
    <m/>
    <m/>
    <m/>
    <m/>
    <m/>
    <m/>
    <m/>
    <m/>
    <m/>
    <m/>
    <m/>
    <m/>
    <m/>
    <m/>
    <m/>
    <m/>
    <m/>
    <m/>
    <m/>
    <m/>
    <m/>
    <m/>
    <m/>
    <m/>
    <m/>
    <m/>
    <m/>
    <m/>
    <m/>
    <m/>
    <m/>
    <m/>
    <n v="251.2"/>
    <n v="210"/>
    <m/>
    <n v="34"/>
    <n v="73.7"/>
    <m/>
    <m/>
    <n v="63"/>
    <n v="0"/>
    <m/>
    <n v="0"/>
    <m/>
    <n v="0"/>
    <m/>
    <n v="0"/>
    <m/>
    <n v="0"/>
    <m/>
    <n v="15701288.199999999"/>
    <n v="15470352"/>
    <n v="0"/>
    <n v="0"/>
    <n v="0"/>
    <n v="0"/>
    <n v="0"/>
    <n v="0"/>
    <n v="0"/>
    <n v="0"/>
    <n v="0"/>
    <n v="0"/>
    <n v="3071.5"/>
    <n v="2986"/>
    <n v="0"/>
    <n v="0"/>
    <n v="0"/>
    <n v="0"/>
    <n v="0"/>
    <n v="0"/>
    <n v="0"/>
    <n v="0"/>
    <n v="0"/>
    <n v="0"/>
    <n v="5111.9284388735141"/>
    <n v="5180.9618218352307"/>
    <n v="0"/>
    <n v="0"/>
    <n v="0"/>
    <n v="0"/>
    <n v="0"/>
    <n v="0"/>
    <n v="0"/>
    <n v="0"/>
    <n v="0"/>
    <n v="0"/>
    <n v="46007.355949861623"/>
    <n v="46628.656396517079"/>
    <n v="46007.355949861623"/>
    <n v="46628.656396517079"/>
    <n v="0"/>
    <n v="0"/>
    <n v="0"/>
    <n v="0"/>
    <n v="0"/>
    <n v="0"/>
    <n v="0"/>
    <n v="0"/>
    <n v="0"/>
    <n v="0"/>
    <n v="324.89999999999998"/>
    <n v="307"/>
    <n v="324.89999999999998"/>
    <n v="307"/>
    <n v="0"/>
    <n v="0"/>
    <n v="0"/>
    <n v="0"/>
    <n v="0"/>
    <n v="0"/>
    <n v="0"/>
    <n v="0"/>
    <n v="0"/>
    <n v="0"/>
    <n v="14947789.94811004"/>
    <n v="14314997.513730744"/>
    <n v="14947789.94811004"/>
    <n v="14314997.513730744"/>
  </r>
  <r>
    <x v="8"/>
    <s v="Northwest Mississippi Community College "/>
    <m/>
    <n v="176178"/>
    <x v="6"/>
    <m/>
    <m/>
    <m/>
    <m/>
    <m/>
    <m/>
    <m/>
    <m/>
    <m/>
    <m/>
    <m/>
    <m/>
    <m/>
    <m/>
    <m/>
    <m/>
    <m/>
    <m/>
    <m/>
    <m/>
    <m/>
    <m/>
    <m/>
    <m/>
    <m/>
    <m/>
    <m/>
    <m/>
    <m/>
    <m/>
    <m/>
    <m/>
    <m/>
    <m/>
    <m/>
    <m/>
    <m/>
    <m/>
    <m/>
    <m/>
    <n v="183"/>
    <n v="142"/>
    <m/>
    <n v="42"/>
    <n v="38"/>
    <n v="0"/>
    <m/>
    <n v="37"/>
    <n v="0"/>
    <m/>
    <n v="0"/>
    <m/>
    <n v="0"/>
    <m/>
    <n v="0"/>
    <m/>
    <n v="0"/>
    <m/>
    <n v="11890219.1"/>
    <n v="12234204"/>
    <n v="0"/>
    <n v="0"/>
    <n v="0"/>
    <n v="0"/>
    <n v="0"/>
    <n v="0"/>
    <n v="0"/>
    <n v="0"/>
    <n v="0"/>
    <n v="0"/>
    <n v="2065"/>
    <n v="2142"/>
    <n v="0"/>
    <n v="0"/>
    <n v="0"/>
    <n v="0"/>
    <n v="0"/>
    <n v="0"/>
    <n v="0"/>
    <n v="0"/>
    <n v="0"/>
    <n v="0"/>
    <n v="5757.975351089588"/>
    <n v="5711.5798319327732"/>
    <n v="0"/>
    <n v="0"/>
    <n v="0"/>
    <n v="0"/>
    <n v="0"/>
    <n v="0"/>
    <n v="0"/>
    <n v="0"/>
    <n v="0"/>
    <n v="0"/>
    <n v="51821.778159806294"/>
    <n v="51404.218487394959"/>
    <n v="51821.778159806294"/>
    <n v="51404.218487394959"/>
    <n v="0"/>
    <n v="0"/>
    <n v="0"/>
    <n v="0"/>
    <n v="0"/>
    <n v="0"/>
    <n v="0"/>
    <n v="0"/>
    <n v="0"/>
    <n v="0"/>
    <n v="221"/>
    <n v="221"/>
    <n v="221"/>
    <n v="221"/>
    <n v="0"/>
    <n v="0"/>
    <n v="0"/>
    <n v="0"/>
    <n v="0"/>
    <n v="0"/>
    <n v="0"/>
    <n v="0"/>
    <n v="0"/>
    <n v="0"/>
    <n v="11452612.973317191"/>
    <n v="11360332.285714285"/>
    <n v="11452612.973317191"/>
    <n v="11360332.285714285"/>
  </r>
  <r>
    <x v="8"/>
    <s v="Copiah-Lincoln Community College "/>
    <m/>
    <n v="175573"/>
    <x v="7"/>
    <m/>
    <m/>
    <m/>
    <m/>
    <m/>
    <m/>
    <m/>
    <m/>
    <m/>
    <m/>
    <m/>
    <m/>
    <m/>
    <m/>
    <m/>
    <m/>
    <m/>
    <m/>
    <m/>
    <m/>
    <m/>
    <m/>
    <m/>
    <m/>
    <m/>
    <m/>
    <m/>
    <m/>
    <m/>
    <m/>
    <m/>
    <m/>
    <m/>
    <m/>
    <m/>
    <m/>
    <m/>
    <m/>
    <m/>
    <m/>
    <n v="117"/>
    <n v="0"/>
    <m/>
    <n v="113.6"/>
    <m/>
    <n v="0"/>
    <m/>
    <n v="1"/>
    <n v="0"/>
    <m/>
    <n v="0"/>
    <m/>
    <n v="0"/>
    <m/>
    <n v="0"/>
    <m/>
    <n v="0"/>
    <m/>
    <n v="5500556.1000000006"/>
    <n v="5424693"/>
    <n v="0"/>
    <n v="0"/>
    <n v="0"/>
    <n v="0"/>
    <n v="0"/>
    <n v="0"/>
    <n v="0"/>
    <n v="0"/>
    <n v="0"/>
    <n v="0"/>
    <n v="1053"/>
    <n v="1148"/>
    <n v="0"/>
    <n v="0"/>
    <n v="0"/>
    <n v="0"/>
    <n v="0"/>
    <n v="0"/>
    <n v="0"/>
    <n v="0"/>
    <n v="0"/>
    <n v="0"/>
    <n v="5223.7000000000007"/>
    <n v="4725.3423344947732"/>
    <n v="0"/>
    <n v="0"/>
    <n v="0"/>
    <n v="0"/>
    <n v="0"/>
    <n v="0"/>
    <n v="0"/>
    <n v="0"/>
    <n v="0"/>
    <n v="0"/>
    <n v="47013.3"/>
    <n v="42528.081010452959"/>
    <n v="47013.3"/>
    <n v="42528.081010452966"/>
    <n v="0"/>
    <n v="0"/>
    <n v="0"/>
    <n v="0"/>
    <n v="0"/>
    <n v="0"/>
    <n v="0"/>
    <n v="0"/>
    <n v="0"/>
    <n v="0"/>
    <n v="117"/>
    <n v="114.6"/>
    <n v="117"/>
    <n v="114.6"/>
    <n v="0"/>
    <n v="0"/>
    <n v="0"/>
    <n v="0"/>
    <n v="0"/>
    <n v="0"/>
    <n v="0"/>
    <n v="0"/>
    <n v="0"/>
    <n v="0"/>
    <n v="5500556.1000000006"/>
    <n v="4873718.0837979093"/>
    <n v="5500556.1000000006"/>
    <n v="4873718.0837979093"/>
  </r>
  <r>
    <x v="8"/>
    <s v="East Central Community College "/>
    <m/>
    <n v="175643"/>
    <x v="7"/>
    <m/>
    <m/>
    <m/>
    <m/>
    <m/>
    <m/>
    <m/>
    <m/>
    <m/>
    <m/>
    <m/>
    <m/>
    <m/>
    <m/>
    <m/>
    <m/>
    <m/>
    <m/>
    <m/>
    <m/>
    <m/>
    <m/>
    <m/>
    <m/>
    <m/>
    <m/>
    <m/>
    <m/>
    <m/>
    <m/>
    <m/>
    <m/>
    <m/>
    <m/>
    <m/>
    <m/>
    <m/>
    <m/>
    <m/>
    <m/>
    <n v="73"/>
    <n v="75"/>
    <m/>
    <m/>
    <n v="9"/>
    <m/>
    <m/>
    <n v="7"/>
    <n v="0"/>
    <m/>
    <n v="0"/>
    <m/>
    <n v="0"/>
    <m/>
    <n v="0"/>
    <m/>
    <n v="0"/>
    <m/>
    <n v="3922662.3"/>
    <n v="3845787"/>
    <n v="0"/>
    <n v="0"/>
    <n v="0"/>
    <n v="0"/>
    <n v="0"/>
    <n v="0"/>
    <n v="0"/>
    <n v="0"/>
    <n v="0"/>
    <n v="0"/>
    <n v="756"/>
    <n v="759"/>
    <n v="0"/>
    <n v="0"/>
    <n v="0"/>
    <n v="0"/>
    <n v="0"/>
    <n v="0"/>
    <n v="0"/>
    <n v="0"/>
    <n v="0"/>
    <n v="0"/>
    <n v="5188.7067460317458"/>
    <n v="5066.913043478261"/>
    <n v="0"/>
    <n v="0"/>
    <n v="0"/>
    <n v="0"/>
    <n v="0"/>
    <n v="0"/>
    <n v="0"/>
    <n v="0"/>
    <n v="0"/>
    <n v="0"/>
    <n v="46698.360714285714"/>
    <n v="45602.217391304352"/>
    <n v="46698.360714285714"/>
    <n v="45602.217391304352"/>
    <n v="0"/>
    <n v="0"/>
    <n v="0"/>
    <n v="0"/>
    <n v="0"/>
    <n v="0"/>
    <n v="0"/>
    <n v="0"/>
    <n v="0"/>
    <n v="0"/>
    <n v="82"/>
    <n v="82"/>
    <n v="82"/>
    <n v="82"/>
    <n v="0"/>
    <n v="0"/>
    <n v="0"/>
    <n v="0"/>
    <n v="0"/>
    <n v="0"/>
    <n v="0"/>
    <n v="0"/>
    <n v="0"/>
    <n v="0"/>
    <n v="3829265.5785714285"/>
    <n v="3739381.826086957"/>
    <n v="3829265.5785714285"/>
    <n v="3739381.826086957"/>
  </r>
  <r>
    <x v="8"/>
    <s v="East Mississippi Community College "/>
    <m/>
    <n v="175652"/>
    <x v="7"/>
    <m/>
    <m/>
    <m/>
    <m/>
    <m/>
    <m/>
    <m/>
    <m/>
    <m/>
    <m/>
    <m/>
    <m/>
    <m/>
    <m/>
    <m/>
    <m/>
    <m/>
    <m/>
    <m/>
    <m/>
    <m/>
    <m/>
    <m/>
    <m/>
    <m/>
    <m/>
    <m/>
    <m/>
    <m/>
    <m/>
    <m/>
    <m/>
    <m/>
    <m/>
    <m/>
    <m/>
    <m/>
    <m/>
    <m/>
    <m/>
    <n v="88.7"/>
    <n v="81.7"/>
    <m/>
    <n v="6"/>
    <n v="17.3"/>
    <n v="12.3"/>
    <m/>
    <n v="4"/>
    <n v="0"/>
    <m/>
    <n v="0"/>
    <m/>
    <n v="0"/>
    <m/>
    <n v="0"/>
    <m/>
    <n v="0"/>
    <m/>
    <n v="5832721.7800000003"/>
    <n v="5903423"/>
    <n v="0"/>
    <n v="0"/>
    <n v="0"/>
    <n v="0"/>
    <n v="0"/>
    <n v="0"/>
    <n v="0"/>
    <n v="0"/>
    <n v="0"/>
    <n v="0"/>
    <n v="988.60000000000014"/>
    <n v="978.60000000000014"/>
    <n v="0"/>
    <n v="0"/>
    <n v="0"/>
    <n v="0"/>
    <n v="0"/>
    <n v="0"/>
    <n v="0"/>
    <n v="0"/>
    <n v="0"/>
    <n v="0"/>
    <n v="5899.9815698968232"/>
    <n v="6032.5189045575307"/>
    <n v="0"/>
    <n v="0"/>
    <n v="0"/>
    <n v="0"/>
    <n v="0"/>
    <n v="0"/>
    <n v="0"/>
    <n v="0"/>
    <n v="0"/>
    <n v="0"/>
    <n v="53099.834129071409"/>
    <n v="54292.670141017777"/>
    <n v="53099.834129071409"/>
    <n v="54292.670141017777"/>
    <n v="0"/>
    <n v="0"/>
    <n v="0"/>
    <n v="0"/>
    <n v="0"/>
    <n v="0"/>
    <n v="0"/>
    <n v="0"/>
    <n v="0"/>
    <n v="0"/>
    <n v="106"/>
    <n v="104"/>
    <n v="106"/>
    <n v="104"/>
    <n v="0"/>
    <n v="0"/>
    <n v="0"/>
    <n v="0"/>
    <n v="0"/>
    <n v="0"/>
    <n v="0"/>
    <n v="0"/>
    <n v="0"/>
    <n v="0"/>
    <n v="5628582.4176815692"/>
    <n v="5646437.6946658492"/>
    <n v="5628582.4176815692"/>
    <n v="5646437.6946658492"/>
  </r>
  <r>
    <x v="8"/>
    <s v="Holmes Community College "/>
    <s v="Met criteria for Two-Year 1 in 2012-13."/>
    <n v="175810"/>
    <x v="7"/>
    <m/>
    <m/>
    <m/>
    <m/>
    <m/>
    <m/>
    <m/>
    <m/>
    <m/>
    <m/>
    <m/>
    <m/>
    <m/>
    <m/>
    <m/>
    <m/>
    <m/>
    <m/>
    <m/>
    <m/>
    <m/>
    <m/>
    <m/>
    <m/>
    <m/>
    <m/>
    <m/>
    <m/>
    <m/>
    <m/>
    <m/>
    <m/>
    <m/>
    <m/>
    <m/>
    <m/>
    <m/>
    <m/>
    <m/>
    <m/>
    <n v="139"/>
    <n v="100"/>
    <m/>
    <n v="42"/>
    <n v="29"/>
    <n v="0"/>
    <m/>
    <n v="26"/>
    <n v="0"/>
    <m/>
    <n v="0"/>
    <m/>
    <n v="0"/>
    <m/>
    <n v="0"/>
    <m/>
    <n v="0"/>
    <m/>
    <n v="9287364.6999999993"/>
    <n v="9294352"/>
    <n v="0"/>
    <n v="0"/>
    <n v="0"/>
    <n v="0"/>
    <n v="0"/>
    <n v="0"/>
    <n v="0"/>
    <n v="0"/>
    <n v="0"/>
    <n v="0"/>
    <n v="1570"/>
    <n v="1632"/>
    <n v="0"/>
    <n v="0"/>
    <n v="0"/>
    <n v="0"/>
    <n v="0"/>
    <n v="0"/>
    <n v="0"/>
    <n v="0"/>
    <n v="0"/>
    <n v="0"/>
    <n v="5915.5189171974516"/>
    <n v="5695.0686274509808"/>
    <n v="0"/>
    <n v="0"/>
    <n v="0"/>
    <n v="0"/>
    <n v="0"/>
    <n v="0"/>
    <n v="0"/>
    <n v="0"/>
    <n v="0"/>
    <n v="0"/>
    <n v="53239.670254777062"/>
    <n v="51255.617647058825"/>
    <n v="53239.670254777062"/>
    <n v="51255.617647058833"/>
    <n v="0"/>
    <n v="0"/>
    <n v="0"/>
    <n v="0"/>
    <n v="0"/>
    <n v="0"/>
    <n v="0"/>
    <n v="0"/>
    <n v="0"/>
    <n v="0"/>
    <n v="168"/>
    <n v="168"/>
    <n v="168"/>
    <n v="168"/>
    <n v="0"/>
    <n v="0"/>
    <n v="0"/>
    <n v="0"/>
    <n v="0"/>
    <n v="0"/>
    <n v="0"/>
    <n v="0"/>
    <n v="0"/>
    <n v="0"/>
    <n v="8944264.6028025467"/>
    <n v="8610943.7647058833"/>
    <n v="8944264.6028025467"/>
    <n v="8610943.7647058833"/>
  </r>
  <r>
    <x v="8"/>
    <s v="Jones County Junior College "/>
    <m/>
    <n v="175883"/>
    <x v="7"/>
    <m/>
    <m/>
    <m/>
    <m/>
    <m/>
    <m/>
    <m/>
    <m/>
    <m/>
    <m/>
    <m/>
    <m/>
    <m/>
    <m/>
    <m/>
    <m/>
    <m/>
    <m/>
    <m/>
    <m/>
    <m/>
    <m/>
    <m/>
    <m/>
    <m/>
    <m/>
    <m/>
    <m/>
    <m/>
    <m/>
    <m/>
    <m/>
    <m/>
    <m/>
    <m/>
    <m/>
    <m/>
    <m/>
    <m/>
    <m/>
    <n v="127"/>
    <n v="125"/>
    <m/>
    <m/>
    <n v="16"/>
    <m/>
    <m/>
    <n v="17.5"/>
    <n v="0"/>
    <m/>
    <n v="0"/>
    <m/>
    <n v="0"/>
    <m/>
    <n v="0"/>
    <m/>
    <n v="0"/>
    <m/>
    <n v="7500056.7000000002"/>
    <n v="7492114"/>
    <n v="0"/>
    <n v="0"/>
    <n v="0"/>
    <n v="0"/>
    <n v="0"/>
    <n v="0"/>
    <n v="0"/>
    <n v="0"/>
    <n v="0"/>
    <n v="0"/>
    <n v="1319"/>
    <n v="1335"/>
    <n v="0"/>
    <n v="0"/>
    <n v="0"/>
    <n v="0"/>
    <n v="0"/>
    <n v="0"/>
    <n v="0"/>
    <n v="0"/>
    <n v="0"/>
    <n v="0"/>
    <n v="5686.1688400303265"/>
    <n v="5612.0704119850188"/>
    <n v="0"/>
    <n v="0"/>
    <n v="0"/>
    <n v="0"/>
    <n v="0"/>
    <n v="0"/>
    <n v="0"/>
    <n v="0"/>
    <n v="0"/>
    <n v="0"/>
    <n v="51175.519560272936"/>
    <n v="50508.63370786517"/>
    <n v="51175.519560272936"/>
    <n v="50508.63370786517"/>
    <n v="0"/>
    <n v="0"/>
    <n v="0"/>
    <n v="0"/>
    <n v="0"/>
    <n v="0"/>
    <n v="0"/>
    <n v="0"/>
    <n v="0"/>
    <n v="0"/>
    <n v="143"/>
    <n v="142.5"/>
    <n v="143"/>
    <n v="142.5"/>
    <n v="0"/>
    <n v="0"/>
    <n v="0"/>
    <n v="0"/>
    <n v="0"/>
    <n v="0"/>
    <n v="0"/>
    <n v="0"/>
    <n v="0"/>
    <n v="0"/>
    <n v="7318099.2971190298"/>
    <n v="7197480.3033707868"/>
    <n v="7318099.2971190298"/>
    <n v="7197480.3033707868"/>
  </r>
  <r>
    <x v="8"/>
    <s v="Meridian Community College "/>
    <m/>
    <n v="175935"/>
    <x v="7"/>
    <m/>
    <m/>
    <m/>
    <m/>
    <m/>
    <m/>
    <m/>
    <m/>
    <m/>
    <m/>
    <m/>
    <m/>
    <m/>
    <m/>
    <m/>
    <m/>
    <m/>
    <m/>
    <m/>
    <m/>
    <m/>
    <m/>
    <m/>
    <m/>
    <m/>
    <m/>
    <m/>
    <m/>
    <m/>
    <m/>
    <m/>
    <m/>
    <m/>
    <m/>
    <m/>
    <m/>
    <m/>
    <m/>
    <m/>
    <m/>
    <n v="95.8"/>
    <n v="0"/>
    <m/>
    <n v="96"/>
    <n v="63.9"/>
    <n v="0"/>
    <m/>
    <n v="63"/>
    <n v="0"/>
    <m/>
    <n v="0"/>
    <m/>
    <n v="0"/>
    <m/>
    <n v="0"/>
    <m/>
    <n v="0"/>
    <m/>
    <n v="7236973.2400000002"/>
    <n v="7458650"/>
    <n v="0"/>
    <n v="0"/>
    <n v="0"/>
    <n v="0"/>
    <n v="0"/>
    <n v="0"/>
    <n v="0"/>
    <n v="0"/>
    <n v="0"/>
    <n v="0"/>
    <n v="1565.1"/>
    <n v="1716"/>
    <n v="0"/>
    <n v="0"/>
    <n v="0"/>
    <n v="0"/>
    <n v="0"/>
    <n v="0"/>
    <n v="0"/>
    <n v="0"/>
    <n v="0"/>
    <n v="0"/>
    <n v="4623.9685898664629"/>
    <n v="4346.5326340326337"/>
    <n v="0"/>
    <n v="0"/>
    <n v="0"/>
    <n v="0"/>
    <n v="0"/>
    <n v="0"/>
    <n v="0"/>
    <n v="0"/>
    <n v="0"/>
    <n v="0"/>
    <n v="41615.717308798165"/>
    <n v="39118.793706293705"/>
    <n v="41615.717308798165"/>
    <n v="39118.793706293705"/>
    <n v="0"/>
    <n v="0"/>
    <n v="0"/>
    <n v="0"/>
    <n v="0"/>
    <n v="0"/>
    <n v="0"/>
    <n v="0"/>
    <n v="0"/>
    <n v="0"/>
    <n v="159.69999999999999"/>
    <n v="159"/>
    <n v="159.69999999999999"/>
    <n v="159"/>
    <n v="0"/>
    <n v="0"/>
    <n v="0"/>
    <n v="0"/>
    <n v="0"/>
    <n v="0"/>
    <n v="0"/>
    <n v="0"/>
    <n v="0"/>
    <n v="0"/>
    <n v="6646030.0542150661"/>
    <n v="6219888.1993006989"/>
    <n v="6646030.0542150661"/>
    <n v="6219888.1993006989"/>
  </r>
  <r>
    <x v="8"/>
    <s v="Mississippi Delta Community College "/>
    <m/>
    <n v="176008"/>
    <x v="7"/>
    <m/>
    <m/>
    <m/>
    <m/>
    <m/>
    <m/>
    <m/>
    <m/>
    <m/>
    <m/>
    <m/>
    <m/>
    <m/>
    <m/>
    <m/>
    <m/>
    <m/>
    <m/>
    <m/>
    <m/>
    <m/>
    <m/>
    <m/>
    <m/>
    <m/>
    <m/>
    <m/>
    <m/>
    <m/>
    <m/>
    <m/>
    <m/>
    <m/>
    <m/>
    <m/>
    <m/>
    <m/>
    <m/>
    <m/>
    <m/>
    <n v="104.3"/>
    <n v="81"/>
    <m/>
    <n v="20.5"/>
    <n v="8"/>
    <n v="3"/>
    <m/>
    <n v="14.5"/>
    <n v="0"/>
    <m/>
    <n v="0"/>
    <m/>
    <n v="0"/>
    <m/>
    <n v="0"/>
    <m/>
    <n v="0"/>
    <m/>
    <n v="5718960.6799999997"/>
    <n v="6068155"/>
    <n v="0"/>
    <n v="0"/>
    <n v="0"/>
    <n v="0"/>
    <n v="0"/>
    <n v="0"/>
    <n v="0"/>
    <n v="0"/>
    <n v="0"/>
    <n v="0"/>
    <n v="1026.6999999999998"/>
    <n v="1141"/>
    <n v="0"/>
    <n v="0"/>
    <n v="0"/>
    <n v="0"/>
    <n v="0"/>
    <n v="0"/>
    <n v="0"/>
    <n v="0"/>
    <n v="0"/>
    <n v="0"/>
    <n v="5570.2353949547096"/>
    <n v="5318.277826468011"/>
    <n v="0"/>
    <n v="0"/>
    <n v="0"/>
    <n v="0"/>
    <n v="0"/>
    <n v="0"/>
    <n v="0"/>
    <n v="0"/>
    <n v="0"/>
    <n v="0"/>
    <n v="50132.118554592387"/>
    <n v="47864.500438212097"/>
    <n v="50132.118554592387"/>
    <n v="47864.500438212097"/>
    <n v="0"/>
    <n v="0"/>
    <n v="0"/>
    <n v="0"/>
    <n v="0"/>
    <n v="0"/>
    <n v="0"/>
    <n v="0"/>
    <n v="0"/>
    <n v="0"/>
    <n v="112.3"/>
    <n v="119"/>
    <n v="112.3"/>
    <n v="119"/>
    <n v="0"/>
    <n v="0"/>
    <n v="0"/>
    <n v="0"/>
    <n v="0"/>
    <n v="0"/>
    <n v="0"/>
    <n v="0"/>
    <n v="0"/>
    <n v="0"/>
    <n v="5629836.9136807248"/>
    <n v="5695875.5521472394"/>
    <n v="5629836.9136807248"/>
    <n v="5695875.5521472394"/>
  </r>
  <r>
    <x v="8"/>
    <s v="Northeast Mississippi Community College "/>
    <m/>
    <n v="176169"/>
    <x v="7"/>
    <m/>
    <m/>
    <m/>
    <m/>
    <m/>
    <m/>
    <m/>
    <m/>
    <m/>
    <m/>
    <m/>
    <m/>
    <m/>
    <m/>
    <m/>
    <m/>
    <m/>
    <m/>
    <m/>
    <m/>
    <m/>
    <m/>
    <m/>
    <m/>
    <m/>
    <m/>
    <m/>
    <m/>
    <m/>
    <m/>
    <m/>
    <m/>
    <m/>
    <m/>
    <m/>
    <m/>
    <m/>
    <m/>
    <m/>
    <m/>
    <n v="102"/>
    <n v="61"/>
    <m/>
    <n v="40"/>
    <n v="22"/>
    <n v="3"/>
    <m/>
    <n v="18"/>
    <n v="0"/>
    <m/>
    <n v="0"/>
    <m/>
    <n v="0"/>
    <m/>
    <n v="0"/>
    <m/>
    <n v="0"/>
    <m/>
    <n v="6698973"/>
    <n v="6568552"/>
    <n v="0"/>
    <n v="0"/>
    <n v="0"/>
    <n v="0"/>
    <n v="0"/>
    <n v="0"/>
    <n v="0"/>
    <n v="0"/>
    <n v="0"/>
    <n v="0"/>
    <n v="1160"/>
    <n v="1198"/>
    <n v="0"/>
    <n v="0"/>
    <n v="0"/>
    <n v="0"/>
    <n v="0"/>
    <n v="0"/>
    <n v="0"/>
    <n v="0"/>
    <n v="0"/>
    <n v="0"/>
    <n v="5774.9767241379313"/>
    <n v="5482.9315525876464"/>
    <n v="0"/>
    <n v="0"/>
    <n v="0"/>
    <n v="0"/>
    <n v="0"/>
    <n v="0"/>
    <n v="0"/>
    <n v="0"/>
    <n v="0"/>
    <n v="0"/>
    <n v="51974.790517241381"/>
    <n v="49346.383973288815"/>
    <n v="51974.790517241381"/>
    <n v="49346.383973288815"/>
    <n v="0"/>
    <n v="0"/>
    <n v="0"/>
    <n v="0"/>
    <n v="0"/>
    <n v="0"/>
    <n v="0"/>
    <n v="0"/>
    <n v="0"/>
    <n v="0"/>
    <n v="124"/>
    <n v="122"/>
    <n v="124"/>
    <n v="122"/>
    <n v="0"/>
    <n v="0"/>
    <n v="0"/>
    <n v="0"/>
    <n v="0"/>
    <n v="0"/>
    <n v="0"/>
    <n v="0"/>
    <n v="0"/>
    <n v="0"/>
    <n v="6444874.0241379309"/>
    <n v="6020258.8447412355"/>
    <n v="6444874.0241379309"/>
    <n v="6020258.8447412355"/>
  </r>
  <r>
    <x v="8"/>
    <s v="Pearl River Community College "/>
    <m/>
    <n v="176239"/>
    <x v="7"/>
    <m/>
    <m/>
    <m/>
    <m/>
    <m/>
    <m/>
    <m/>
    <m/>
    <m/>
    <m/>
    <m/>
    <m/>
    <m/>
    <m/>
    <m/>
    <m/>
    <m/>
    <m/>
    <m/>
    <m/>
    <m/>
    <m/>
    <m/>
    <m/>
    <m/>
    <m/>
    <m/>
    <m/>
    <m/>
    <m/>
    <m/>
    <m/>
    <m/>
    <m/>
    <m/>
    <m/>
    <m/>
    <m/>
    <m/>
    <m/>
    <n v="187"/>
    <n v="188"/>
    <m/>
    <m/>
    <m/>
    <m/>
    <m/>
    <n v="0"/>
    <n v="0"/>
    <m/>
    <n v="0"/>
    <m/>
    <n v="0"/>
    <m/>
    <n v="0"/>
    <m/>
    <n v="0"/>
    <m/>
    <n v="10603835"/>
    <n v="10865917"/>
    <n v="0"/>
    <n v="0"/>
    <n v="0"/>
    <n v="0"/>
    <n v="0"/>
    <n v="0"/>
    <n v="0"/>
    <n v="0"/>
    <n v="0"/>
    <n v="0"/>
    <n v="1683"/>
    <n v="1692"/>
    <n v="0"/>
    <n v="0"/>
    <n v="0"/>
    <n v="0"/>
    <n v="0"/>
    <n v="0"/>
    <n v="0"/>
    <n v="0"/>
    <n v="0"/>
    <n v="0"/>
    <n v="6300.5555555555557"/>
    <n v="6421.9367612293145"/>
    <n v="0"/>
    <n v="0"/>
    <n v="0"/>
    <n v="0"/>
    <n v="0"/>
    <n v="0"/>
    <n v="0"/>
    <n v="0"/>
    <n v="0"/>
    <n v="0"/>
    <n v="56705"/>
    <n v="57797.430851063829"/>
    <n v="56705"/>
    <n v="57797.430851063829"/>
    <n v="0"/>
    <n v="0"/>
    <n v="0"/>
    <n v="0"/>
    <n v="0"/>
    <n v="0"/>
    <n v="0"/>
    <n v="0"/>
    <n v="0"/>
    <n v="0"/>
    <n v="187"/>
    <n v="188"/>
    <n v="187"/>
    <n v="188"/>
    <n v="0"/>
    <n v="0"/>
    <n v="0"/>
    <n v="0"/>
    <n v="0"/>
    <n v="0"/>
    <n v="0"/>
    <n v="0"/>
    <n v="0"/>
    <n v="0"/>
    <n v="10603835"/>
    <n v="10865917"/>
    <n v="10603835"/>
    <n v="10865917"/>
  </r>
  <r>
    <x v="8"/>
    <s v="Coahoma Community College "/>
    <m/>
    <n v="175519"/>
    <x v="8"/>
    <m/>
    <m/>
    <m/>
    <m/>
    <m/>
    <m/>
    <m/>
    <m/>
    <m/>
    <m/>
    <m/>
    <m/>
    <m/>
    <m/>
    <m/>
    <m/>
    <m/>
    <m/>
    <m/>
    <m/>
    <m/>
    <m/>
    <m/>
    <m/>
    <m/>
    <m/>
    <m/>
    <m/>
    <m/>
    <m/>
    <m/>
    <m/>
    <m/>
    <m/>
    <m/>
    <m/>
    <m/>
    <m/>
    <m/>
    <m/>
    <n v="57"/>
    <n v="35"/>
    <m/>
    <n v="0"/>
    <n v="24"/>
    <n v="0"/>
    <m/>
    <n v="41"/>
    <n v="0"/>
    <m/>
    <n v="0"/>
    <m/>
    <n v="0"/>
    <m/>
    <n v="0"/>
    <m/>
    <n v="0"/>
    <m/>
    <n v="3481999.3000000003"/>
    <n v="3511931"/>
    <n v="0"/>
    <n v="0"/>
    <n v="0"/>
    <n v="0"/>
    <n v="0"/>
    <n v="0"/>
    <n v="0"/>
    <n v="0"/>
    <n v="0"/>
    <n v="0"/>
    <n v="777"/>
    <n v="807"/>
    <n v="0"/>
    <n v="0"/>
    <n v="0"/>
    <n v="0"/>
    <n v="0"/>
    <n v="0"/>
    <n v="0"/>
    <n v="0"/>
    <n v="0"/>
    <n v="0"/>
    <n v="4481.337580437581"/>
    <n v="4351.8351920693931"/>
    <n v="0"/>
    <n v="0"/>
    <n v="0"/>
    <n v="0"/>
    <n v="0"/>
    <n v="0"/>
    <n v="0"/>
    <n v="0"/>
    <n v="0"/>
    <n v="0"/>
    <n v="40332.038223938231"/>
    <n v="39166.516728624541"/>
    <n v="40332.038223938231"/>
    <n v="39166.516728624541"/>
    <n v="0"/>
    <n v="0"/>
    <n v="0"/>
    <n v="0"/>
    <n v="0"/>
    <n v="0"/>
    <n v="0"/>
    <n v="0"/>
    <n v="0"/>
    <n v="0"/>
    <n v="81"/>
    <n v="76"/>
    <n v="81"/>
    <n v="76"/>
    <n v="0"/>
    <n v="0"/>
    <n v="0"/>
    <n v="0"/>
    <n v="0"/>
    <n v="0"/>
    <n v="0"/>
    <n v="0"/>
    <n v="0"/>
    <n v="0"/>
    <n v="3266895.0961389965"/>
    <n v="2976655.2713754652"/>
    <n v="3266895.0961389965"/>
    <n v="2976655.2713754652"/>
  </r>
  <r>
    <x v="8"/>
    <s v="Southwest Mississippi Community College"/>
    <m/>
    <n v="176354"/>
    <x v="8"/>
    <m/>
    <m/>
    <m/>
    <m/>
    <m/>
    <m/>
    <m/>
    <m/>
    <m/>
    <m/>
    <m/>
    <m/>
    <m/>
    <m/>
    <m/>
    <m/>
    <m/>
    <m/>
    <m/>
    <m/>
    <m/>
    <m/>
    <m/>
    <m/>
    <m/>
    <m/>
    <m/>
    <m/>
    <m/>
    <m/>
    <m/>
    <m/>
    <m/>
    <m/>
    <m/>
    <m/>
    <m/>
    <m/>
    <m/>
    <m/>
    <n v="59"/>
    <n v="63"/>
    <m/>
    <n v="2"/>
    <n v="9"/>
    <n v="8"/>
    <m/>
    <n v="0"/>
    <n v="0"/>
    <m/>
    <n v="0"/>
    <m/>
    <n v="0"/>
    <m/>
    <n v="0"/>
    <m/>
    <n v="0"/>
    <m/>
    <n v="3721317.4"/>
    <n v="4208404"/>
    <n v="0"/>
    <n v="0"/>
    <n v="0"/>
    <n v="0"/>
    <n v="0"/>
    <n v="0"/>
    <n v="0"/>
    <n v="0"/>
    <n v="0"/>
    <n v="0"/>
    <n v="630"/>
    <n v="675"/>
    <n v="0"/>
    <n v="0"/>
    <n v="0"/>
    <n v="0"/>
    <n v="0"/>
    <n v="0"/>
    <n v="0"/>
    <n v="0"/>
    <n v="0"/>
    <n v="0"/>
    <n v="5906.8530158730155"/>
    <n v="6234.672592592593"/>
    <n v="0"/>
    <n v="0"/>
    <n v="0"/>
    <n v="0"/>
    <n v="0"/>
    <n v="0"/>
    <n v="0"/>
    <n v="0"/>
    <n v="0"/>
    <n v="0"/>
    <n v="53161.677142857137"/>
    <n v="56112.053333333337"/>
    <n v="53161.677142857137"/>
    <n v="56112.053333333337"/>
    <n v="0"/>
    <n v="0"/>
    <n v="0"/>
    <n v="0"/>
    <n v="0"/>
    <n v="0"/>
    <n v="0"/>
    <n v="0"/>
    <n v="0"/>
    <n v="0"/>
    <n v="68"/>
    <n v="73"/>
    <n v="68"/>
    <n v="73"/>
    <n v="0"/>
    <n v="0"/>
    <n v="0"/>
    <n v="0"/>
    <n v="0"/>
    <n v="0"/>
    <n v="0"/>
    <n v="0"/>
    <n v="0"/>
    <n v="0"/>
    <n v="3614994.0457142852"/>
    <n v="4096179.8933333335"/>
    <n v="3614994.0457142852"/>
    <n v="4096179.8933333335"/>
  </r>
  <r>
    <x v="9"/>
    <s v="North Carolina State University "/>
    <m/>
    <n v="199193"/>
    <x v="0"/>
    <n v="397"/>
    <n v="353"/>
    <m/>
    <m/>
    <n v="261"/>
    <n v="96"/>
    <m/>
    <m/>
    <n v="318"/>
    <n v="297"/>
    <m/>
    <m/>
    <n v="128"/>
    <n v="61"/>
    <m/>
    <m/>
    <n v="209"/>
    <n v="202"/>
    <m/>
    <m/>
    <n v="124"/>
    <n v="35"/>
    <m/>
    <m/>
    <n v="4"/>
    <n v="1"/>
    <m/>
    <m/>
    <n v="1"/>
    <m/>
    <m/>
    <m/>
    <n v="220"/>
    <n v="229"/>
    <m/>
    <m/>
    <n v="74"/>
    <n v="73"/>
    <m/>
    <m/>
    <m/>
    <m/>
    <m/>
    <m/>
    <m/>
    <m/>
    <m/>
    <m/>
    <n v="82933769"/>
    <n v="54130517.366400003"/>
    <n v="39593902"/>
    <n v="31255683.692200001"/>
    <n v="25337884"/>
    <n v="18790867.833000001"/>
    <n v="352500"/>
    <n v="53130"/>
    <n v="17679960"/>
    <n v="17639706.525200002"/>
    <n v="0"/>
    <m/>
    <n v="6444"/>
    <n v="4233"/>
    <n v="4270"/>
    <n v="3344"/>
    <n v="3245"/>
    <n v="2203"/>
    <n v="47"/>
    <n v="9"/>
    <n v="2794"/>
    <n v="2864"/>
    <n v="0"/>
    <n v="0"/>
    <n v="12869.920701427685"/>
    <n v="12787.743294684622"/>
    <n v="9272.5765807962525"/>
    <n v="9346.7953625000009"/>
    <n v="7808.2847457627122"/>
    <n v="8529.6721892873356"/>
    <n v="7500"/>
    <n v="5903.333333333333"/>
    <n v="6327.8310665712243"/>
    <n v="6159.1154068435762"/>
    <n v="0"/>
    <n v="0"/>
    <n v="115829.28631284917"/>
    <n v="115089.6896521616"/>
    <n v="83453.189227166265"/>
    <n v="84121.158262500016"/>
    <n v="70274.562711864404"/>
    <n v="76767.049703586017"/>
    <n v="67500"/>
    <n v="53130"/>
    <n v="56950.479599141021"/>
    <n v="55432.038661592189"/>
    <n v="0"/>
    <n v="0"/>
    <n v="88662.536390765672"/>
    <n v="86694.908513248913"/>
    <n v="658"/>
    <n v="449"/>
    <n v="446"/>
    <n v="358"/>
    <n v="333"/>
    <n v="237"/>
    <n v="5"/>
    <n v="1"/>
    <n v="294"/>
    <n v="302"/>
    <n v="0"/>
    <n v="0"/>
    <n v="1736"/>
    <n v="1347"/>
    <n v="76215670.393854752"/>
    <n v="51675270.653820559"/>
    <n v="37220122.395316154"/>
    <n v="30115374.657975007"/>
    <n v="23401429.383050848"/>
    <n v="18193790.779749885"/>
    <n v="337500"/>
    <n v="53130"/>
    <n v="16743441.00214746"/>
    <n v="16740475.675800841"/>
    <n v="0"/>
    <n v="0"/>
    <n v="153918163.17436922"/>
    <n v="116778041.76734629"/>
  </r>
  <r>
    <x v="9"/>
    <s v="University of North Carolina at Chapel Hill "/>
    <m/>
    <n v="199120"/>
    <x v="0"/>
    <n v="487"/>
    <n v="490"/>
    <m/>
    <m/>
    <n v="128"/>
    <n v="106"/>
    <m/>
    <m/>
    <n v="274"/>
    <n v="277"/>
    <m/>
    <m/>
    <n v="92"/>
    <n v="73"/>
    <m/>
    <m/>
    <n v="266"/>
    <n v="265"/>
    <m/>
    <m/>
    <n v="95"/>
    <n v="56"/>
    <m/>
    <m/>
    <n v="4"/>
    <n v="2"/>
    <m/>
    <m/>
    <n v="2"/>
    <m/>
    <m/>
    <m/>
    <n v="210"/>
    <n v="222"/>
    <m/>
    <m/>
    <n v="128"/>
    <n v="170"/>
    <m/>
    <m/>
    <m/>
    <m/>
    <m/>
    <m/>
    <m/>
    <m/>
    <m/>
    <m/>
    <n v="92901678"/>
    <n v="88141171.498799995"/>
    <n v="36709920"/>
    <n v="33804944.949000001"/>
    <n v="30531290"/>
    <n v="27083439.966400001"/>
    <n v="631492"/>
    <n v="176400"/>
    <n v="26003040"/>
    <n v="28668292.708000001"/>
    <n v="0"/>
    <m/>
    <n v="5791"/>
    <n v="5576"/>
    <n v="3478"/>
    <n v="3296"/>
    <n v="3439"/>
    <n v="3001"/>
    <n v="58"/>
    <n v="18"/>
    <n v="3298"/>
    <n v="3868"/>
    <n v="0"/>
    <n v="0"/>
    <n v="16042.424106371956"/>
    <n v="15807.240225753227"/>
    <n v="10554.893617021276"/>
    <n v="10256.354656856796"/>
    <n v="8877.9558011049721"/>
    <n v="9024.8050537820727"/>
    <n v="10887.793103448275"/>
    <n v="9800"/>
    <n v="7884.4875682231659"/>
    <n v="7411.6578872802484"/>
    <n v="0"/>
    <n v="0"/>
    <n v="144381.81695734762"/>
    <n v="142265.16203177904"/>
    <n v="94994.042553191481"/>
    <n v="92307.191911711168"/>
    <n v="79901.602209944744"/>
    <n v="81223.245484038649"/>
    <n v="97990.137931034478"/>
    <n v="88200"/>
    <n v="70960.3881140085"/>
    <n v="66704.920985522229"/>
    <n v="0"/>
    <n v="0"/>
    <n v="104970.14674445313"/>
    <n v="102043.91605462994"/>
    <n v="615"/>
    <n v="596"/>
    <n v="366"/>
    <n v="350"/>
    <n v="361"/>
    <n v="321"/>
    <n v="6"/>
    <n v="2"/>
    <n v="338"/>
    <n v="392"/>
    <n v="0"/>
    <n v="0"/>
    <n v="1686"/>
    <n v="1661"/>
    <n v="88794817.428768784"/>
    <n v="84790036.570940301"/>
    <n v="34767819.574468084"/>
    <n v="32307517.16909891"/>
    <n v="28844478.397790052"/>
    <n v="26072661.800376408"/>
    <n v="587940.82758620684"/>
    <n v="176400"/>
    <n v="23984611.182534873"/>
    <n v="26148329.026324715"/>
    <n v="0"/>
    <n v="0"/>
    <n v="176979667.41114798"/>
    <n v="169494944.56674033"/>
  </r>
  <r>
    <x v="9"/>
    <s v="University of North Carolina at Greensboro"/>
    <m/>
    <n v="199148"/>
    <x v="0"/>
    <n v="177"/>
    <n v="150"/>
    <m/>
    <m/>
    <n v="18"/>
    <n v="11"/>
    <m/>
    <m/>
    <n v="240"/>
    <n v="245"/>
    <m/>
    <m/>
    <n v="8"/>
    <n v="4"/>
    <m/>
    <m/>
    <n v="133"/>
    <n v="118"/>
    <m/>
    <m/>
    <n v="2"/>
    <n v="1"/>
    <m/>
    <m/>
    <n v="43"/>
    <n v="54"/>
    <m/>
    <m/>
    <n v="12"/>
    <n v="12"/>
    <m/>
    <m/>
    <n v="154"/>
    <n v="162"/>
    <m/>
    <m/>
    <n v="19"/>
    <n v="26"/>
    <m/>
    <m/>
    <m/>
    <m/>
    <m/>
    <m/>
    <m/>
    <m/>
    <m/>
    <m/>
    <n v="21618096"/>
    <n v="17796833.224599998"/>
    <n v="18824952"/>
    <n v="19281521.557599999"/>
    <n v="8555642"/>
    <n v="7892846.7407999998"/>
    <n v="3206099"/>
    <n v="3735822.6384000001"/>
    <n v="7618612"/>
    <n v="8483091.9944000002"/>
    <n v="0"/>
    <m/>
    <n v="1791"/>
    <n v="1471"/>
    <n v="2248"/>
    <n v="2249"/>
    <n v="1219"/>
    <n v="1073"/>
    <n v="519"/>
    <n v="618"/>
    <n v="1595"/>
    <n v="1744"/>
    <n v="0"/>
    <n v="0"/>
    <n v="12070.405360134004"/>
    <n v="12098.459024201222"/>
    <n v="8374.088967971531"/>
    <n v="8573.3755258337042"/>
    <n v="7018.5742411812962"/>
    <n v="7355.8683511649579"/>
    <n v="6177.4547206165707"/>
    <n v="6045.0204504854373"/>
    <n v="4776.5592476489028"/>
    <n v="4864.1582536697251"/>
    <n v="0"/>
    <n v="0"/>
    <n v="108633.64824120603"/>
    <n v="108886.13121781099"/>
    <n v="75366.800711743781"/>
    <n v="77160.379732503337"/>
    <n v="63167.168170631667"/>
    <n v="66202.815160484621"/>
    <n v="55597.092485549139"/>
    <n v="54405.184054368932"/>
    <n v="42989.033228840126"/>
    <n v="43777.424283027525"/>
    <n v="0"/>
    <n v="0"/>
    <n v="73073.248786448443"/>
    <n v="72085.101655627193"/>
    <n v="195"/>
    <n v="161"/>
    <n v="248"/>
    <n v="249"/>
    <n v="135"/>
    <n v="119"/>
    <n v="55"/>
    <n v="66"/>
    <n v="173"/>
    <n v="188"/>
    <n v="0"/>
    <n v="0"/>
    <n v="806"/>
    <n v="783"/>
    <n v="21183561.407035176"/>
    <n v="17530667.126067571"/>
    <n v="18690966.576512456"/>
    <n v="19212934.55339333"/>
    <n v="8527567.7030352745"/>
    <n v="7878135.0040976703"/>
    <n v="3057840.0867052027"/>
    <n v="3590742.1475883494"/>
    <n v="7437102.7485893415"/>
    <n v="8230155.7652091747"/>
    <n v="0"/>
    <n v="0"/>
    <n v="58897038.521877445"/>
    <n v="56442634.596356094"/>
  </r>
  <r>
    <x v="9"/>
    <s v="East Carolina University "/>
    <s v="Reclassified: met the criteria for Four-Year 2 in 2010-11, 2011-12, and 2012-13."/>
    <n v="198464"/>
    <x v="1"/>
    <n v="170"/>
    <n v="159"/>
    <m/>
    <m/>
    <n v="56"/>
    <n v="54"/>
    <m/>
    <m/>
    <n v="346"/>
    <n v="342"/>
    <m/>
    <m/>
    <n v="53"/>
    <n v="64"/>
    <m/>
    <m/>
    <n v="250"/>
    <n v="238"/>
    <m/>
    <m/>
    <n v="24"/>
    <n v="33"/>
    <m/>
    <m/>
    <n v="7"/>
    <n v="7"/>
    <m/>
    <m/>
    <n v="1"/>
    <n v="1"/>
    <m/>
    <m/>
    <n v="246"/>
    <n v="249"/>
    <m/>
    <m/>
    <n v="44"/>
    <n v="51"/>
    <m/>
    <m/>
    <m/>
    <m/>
    <m/>
    <m/>
    <m/>
    <m/>
    <m/>
    <m/>
    <n v="22907604"/>
    <n v="20664138.573600002"/>
    <n v="30801228"/>
    <n v="30776239.500799999"/>
    <n v="18616576"/>
    <n v="18111409.856400002"/>
    <n v="543479"/>
    <n v="508113.9056"/>
    <n v="15406254"/>
    <n v="15811814.046"/>
    <n v="0"/>
    <m/>
    <n v="2146"/>
    <n v="2025"/>
    <n v="3697"/>
    <n v="3782"/>
    <n v="2514"/>
    <n v="2505"/>
    <n v="74"/>
    <n v="74"/>
    <n v="2698"/>
    <n v="2802"/>
    <n v="0"/>
    <n v="0"/>
    <n v="10674.559179869524"/>
    <n v="10204.512875851853"/>
    <n v="8331.4114146605352"/>
    <n v="8137.5567162347961"/>
    <n v="7405.161495624503"/>
    <n v="7230.1037350898214"/>
    <n v="7344.3108108108108"/>
    <n v="6866.4041297297299"/>
    <n v="5710.2498146775388"/>
    <n v="5643.045698072805"/>
    <n v="0"/>
    <n v="0"/>
    <n v="96071.032618825717"/>
    <n v="91840.61588266668"/>
    <n v="74982.702731944824"/>
    <n v="73238.01044611317"/>
    <n v="66646.453460620527"/>
    <n v="65070.93361580839"/>
    <n v="66098.797297297293"/>
    <n v="61797.637167567569"/>
    <n v="51392.24833209785"/>
    <n v="50787.411282655245"/>
    <n v="0"/>
    <n v="0"/>
    <n v="71281.388809354539"/>
    <n v="68999.591749708794"/>
    <n v="226"/>
    <n v="213"/>
    <n v="399"/>
    <n v="406"/>
    <n v="274"/>
    <n v="271"/>
    <n v="8"/>
    <n v="8"/>
    <n v="290"/>
    <n v="300"/>
    <n v="0"/>
    <n v="0"/>
    <n v="1197"/>
    <n v="1198"/>
    <n v="21712053.371854611"/>
    <n v="19562051.183008004"/>
    <n v="29918098.390045986"/>
    <n v="29734632.241121948"/>
    <n v="18261128.248210024"/>
    <n v="17634223.009884074"/>
    <n v="528790.37837837834"/>
    <n v="494381.09734054055"/>
    <n v="14903752.016308377"/>
    <n v="15236223.384796573"/>
    <n v="0"/>
    <n v="0"/>
    <n v="85323822.40479739"/>
    <n v="82661510.916151136"/>
  </r>
  <r>
    <x v="9"/>
    <s v="University of North Carolina at Charlotte"/>
    <s v="Met the criteria for Four-Year 1 in 2012-13."/>
    <n v="199139"/>
    <x v="1"/>
    <n v="190"/>
    <n v="185"/>
    <m/>
    <m/>
    <n v="24"/>
    <n v="7"/>
    <m/>
    <m/>
    <n v="294"/>
    <n v="307"/>
    <m/>
    <m/>
    <n v="10"/>
    <n v="3"/>
    <m/>
    <m/>
    <n v="214"/>
    <n v="182"/>
    <m/>
    <m/>
    <n v="0"/>
    <m/>
    <m/>
    <m/>
    <n v="0"/>
    <m/>
    <m/>
    <m/>
    <n v="0"/>
    <m/>
    <m/>
    <m/>
    <n v="200"/>
    <n v="214"/>
    <m/>
    <m/>
    <n v="39"/>
    <n v="54"/>
    <m/>
    <m/>
    <m/>
    <m/>
    <m/>
    <m/>
    <m/>
    <m/>
    <m/>
    <m/>
    <n v="24694522"/>
    <n v="22209823.797200002"/>
    <n v="24332430"/>
    <n v="24955822.353399999"/>
    <n v="14954962"/>
    <n v="13290732"/>
    <m/>
    <n v="0"/>
    <n v="12429283"/>
    <n v="13669047.7664"/>
    <n v="0"/>
    <m/>
    <n v="1974"/>
    <n v="1742"/>
    <n v="2756"/>
    <n v="2796"/>
    <n v="1926"/>
    <n v="1638"/>
    <n v="0"/>
    <n v="0"/>
    <n v="2229"/>
    <n v="2520"/>
    <n v="0"/>
    <n v="0"/>
    <n v="12509.889564336372"/>
    <n v="12749.611823880598"/>
    <n v="8828.893323657474"/>
    <n v="8925.5444754649488"/>
    <n v="7764.7777777777774"/>
    <n v="8114"/>
    <n v="0"/>
    <n v="0"/>
    <n v="5576.1700314042173"/>
    <n v="5424.2253041269842"/>
    <n v="0"/>
    <n v="0"/>
    <n v="112589.00607902734"/>
    <n v="114746.50641492537"/>
    <n v="79460.039912917273"/>
    <n v="80329.900279184541"/>
    <n v="69883"/>
    <n v="73026"/>
    <n v="0"/>
    <n v="0"/>
    <n v="50185.530282637956"/>
    <n v="48818.02773714286"/>
    <n v="0"/>
    <n v="0"/>
    <n v="77445.111402666502"/>
    <n v="77003.741335889892"/>
    <n v="214"/>
    <n v="192"/>
    <n v="304"/>
    <n v="310"/>
    <n v="214"/>
    <n v="182"/>
    <n v="0"/>
    <n v="0"/>
    <n v="239"/>
    <n v="268"/>
    <n v="0"/>
    <n v="0"/>
    <n v="971"/>
    <n v="952"/>
    <n v="24094047.300911851"/>
    <n v="22031329.231665671"/>
    <n v="24155852.13352685"/>
    <n v="24902269.086547207"/>
    <n v="14954962"/>
    <n v="13290732"/>
    <n v="0"/>
    <n v="0"/>
    <n v="11994341.737550471"/>
    <n v="13083231.433554286"/>
    <n v="0"/>
    <n v="0"/>
    <n v="75199203.171989173"/>
    <n v="73307561.751767173"/>
  </r>
  <r>
    <x v="9"/>
    <s v="Appalachian State University "/>
    <m/>
    <n v="197869"/>
    <x v="2"/>
    <n v="267"/>
    <n v="273"/>
    <m/>
    <m/>
    <n v="4"/>
    <n v="4"/>
    <m/>
    <m/>
    <n v="205"/>
    <n v="202"/>
    <m/>
    <m/>
    <n v="2"/>
    <n v="1"/>
    <m/>
    <m/>
    <n v="219"/>
    <n v="217"/>
    <m/>
    <m/>
    <n v="1"/>
    <n v="1"/>
    <m/>
    <m/>
    <n v="12"/>
    <n v="7"/>
    <m/>
    <m/>
    <n v="0"/>
    <m/>
    <m/>
    <m/>
    <n v="153"/>
    <n v="188"/>
    <m/>
    <m/>
    <n v="8"/>
    <n v="8"/>
    <m/>
    <m/>
    <m/>
    <m/>
    <m/>
    <m/>
    <m/>
    <m/>
    <m/>
    <m/>
    <n v="24277160"/>
    <n v="25076820.835200001"/>
    <n v="14562275"/>
    <n v="14567935.462200001"/>
    <n v="13311874"/>
    <n v="13561595.1138"/>
    <n v="696792"/>
    <n v="427371"/>
    <n v="6740895"/>
    <n v="8534191.0304000005"/>
    <n v="0"/>
    <m/>
    <n v="2447"/>
    <n v="2501"/>
    <n v="1867"/>
    <n v="1829"/>
    <n v="1982"/>
    <n v="1964"/>
    <n v="108"/>
    <n v="63"/>
    <n v="1465"/>
    <n v="1780"/>
    <n v="0"/>
    <n v="0"/>
    <n v="9921.1932979158155"/>
    <n v="10026.717647021193"/>
    <n v="7799.8259239421532"/>
    <n v="7964.9729153635872"/>
    <n v="6716.3844601412711"/>
    <n v="6905.0891618126279"/>
    <n v="6451.7777777777774"/>
    <n v="6783.666666666667"/>
    <n v="4601.2935153583621"/>
    <n v="4794.4893429213489"/>
    <n v="0"/>
    <n v="0"/>
    <n v="89290.739681242339"/>
    <n v="90240.45882319074"/>
    <n v="70198.433315479371"/>
    <n v="71684.756238272283"/>
    <n v="60447.46014127144"/>
    <n v="62145.80245631365"/>
    <n v="58066"/>
    <n v="61053"/>
    <n v="41411.641638225257"/>
    <n v="43150.404086292139"/>
    <n v="0"/>
    <n v="0"/>
    <n v="68187.570246561299"/>
    <n v="68791.617920957535"/>
    <n v="271"/>
    <n v="277"/>
    <n v="207"/>
    <n v="203"/>
    <n v="220"/>
    <n v="218"/>
    <n v="12"/>
    <n v="7"/>
    <n v="161"/>
    <n v="196"/>
    <n v="0"/>
    <n v="0"/>
    <n v="871"/>
    <n v="901"/>
    <n v="24197790.453616675"/>
    <n v="24996607.094023835"/>
    <n v="14531075.69630423"/>
    <n v="14552005.516369274"/>
    <n v="13298441.231079716"/>
    <n v="13547784.935476376"/>
    <n v="696792"/>
    <n v="427371"/>
    <n v="6667274.3037542664"/>
    <n v="8457479.2009132598"/>
    <n v="0"/>
    <n v="0"/>
    <n v="59391373.684754893"/>
    <n v="61981247.746782742"/>
  </r>
  <r>
    <x v="9"/>
    <s v="North Carolina A&amp;T State University"/>
    <m/>
    <n v="199102"/>
    <x v="2"/>
    <n v="77"/>
    <n v="80"/>
    <m/>
    <m/>
    <n v="25"/>
    <n v="6"/>
    <m/>
    <m/>
    <n v="161"/>
    <n v="174"/>
    <m/>
    <m/>
    <n v="24"/>
    <n v="5"/>
    <m/>
    <m/>
    <n v="107"/>
    <n v="100"/>
    <m/>
    <m/>
    <n v="6"/>
    <n v="6"/>
    <m/>
    <m/>
    <n v="2"/>
    <n v="1"/>
    <m/>
    <m/>
    <n v="1"/>
    <n v="2"/>
    <m/>
    <m/>
    <n v="79"/>
    <n v="76"/>
    <m/>
    <m/>
    <n v="26"/>
    <n v="20"/>
    <m/>
    <m/>
    <m/>
    <m/>
    <m/>
    <m/>
    <m/>
    <m/>
    <m/>
    <m/>
    <n v="9942687"/>
    <n v="7991518.1972000003"/>
    <n v="14462442"/>
    <n v="13483373.301000001"/>
    <n v="7756028"/>
    <n v="7261974.3956000004"/>
    <n v="160440"/>
    <n v="141327.54999999999"/>
    <n v="5944253"/>
    <n v="5310256.068"/>
    <n v="0"/>
    <m/>
    <n v="968"/>
    <n v="786"/>
    <n v="1713"/>
    <n v="1621"/>
    <n v="1029"/>
    <n v="966"/>
    <n v="29"/>
    <n v="31"/>
    <n v="997"/>
    <n v="904"/>
    <n v="0"/>
    <n v="0"/>
    <n v="10271.370867768595"/>
    <n v="10167.325950636132"/>
    <n v="8442.7565674255693"/>
    <n v="8317.9354108574953"/>
    <n v="7537.442176870748"/>
    <n v="7517.5718380952385"/>
    <n v="5532.4137931034484"/>
    <n v="4558.953225806451"/>
    <n v="5962.1394182547647"/>
    <n v="5874.1770663716816"/>
    <n v="0"/>
    <n v="0"/>
    <n v="92442.337809917357"/>
    <n v="91505.933555725191"/>
    <n v="75984.809106830129"/>
    <n v="74861.418697717454"/>
    <n v="67836.979591836731"/>
    <n v="67658.146542857139"/>
    <n v="49791.724137931036"/>
    <n v="41030.579032258058"/>
    <n v="53659.254764292884"/>
    <n v="52867.593597345134"/>
    <n v="0"/>
    <n v="0"/>
    <n v="72707.645192750468"/>
    <n v="71574.14572057141"/>
    <n v="102"/>
    <n v="86"/>
    <n v="185"/>
    <n v="179"/>
    <n v="113"/>
    <n v="106"/>
    <n v="3"/>
    <n v="3"/>
    <n v="105"/>
    <n v="96"/>
    <n v="0"/>
    <n v="0"/>
    <n v="508"/>
    <n v="470"/>
    <n v="9429118.45661157"/>
    <n v="7869510.2857923666"/>
    <n v="14057189.684763573"/>
    <n v="13400193.946891425"/>
    <n v="7665578.6938775508"/>
    <n v="7171763.5335428566"/>
    <n v="149375.1724137931"/>
    <n v="123091.73709677417"/>
    <n v="5634221.750250753"/>
    <n v="5075288.9853451326"/>
    <n v="0"/>
    <n v="0"/>
    <n v="36935483.75791724"/>
    <n v="33639848.488668561"/>
  </r>
  <r>
    <x v="9"/>
    <s v="North Carolina Central University "/>
    <m/>
    <n v="199157"/>
    <x v="2"/>
    <n v="31"/>
    <n v="42"/>
    <m/>
    <m/>
    <n v="34"/>
    <n v="14"/>
    <m/>
    <m/>
    <n v="61"/>
    <n v="80"/>
    <m/>
    <m/>
    <n v="32"/>
    <n v="16"/>
    <m/>
    <m/>
    <n v="111"/>
    <n v="101"/>
    <m/>
    <m/>
    <n v="33"/>
    <n v="9"/>
    <m/>
    <m/>
    <n v="2"/>
    <n v="9"/>
    <m/>
    <m/>
    <n v="2"/>
    <n v="2"/>
    <m/>
    <m/>
    <n v="84"/>
    <n v="95"/>
    <m/>
    <m/>
    <n v="35"/>
    <n v="18"/>
    <m/>
    <m/>
    <m/>
    <m/>
    <m/>
    <m/>
    <m/>
    <m/>
    <m/>
    <m/>
    <n v="6892293"/>
    <n v="5681113.0600000005"/>
    <n v="7611090"/>
    <n v="7497132.7423999999"/>
    <n v="10112544"/>
    <n v="7773720.4620000003"/>
    <n v="209200"/>
    <n v="635394.72"/>
    <n v="6518799"/>
    <n v="6177413.4024"/>
    <n v="0"/>
    <m/>
    <n v="653"/>
    <n v="532"/>
    <n v="901"/>
    <n v="896"/>
    <n v="1362"/>
    <n v="1008"/>
    <n v="40"/>
    <n v="103"/>
    <n v="1141"/>
    <n v="1053"/>
    <n v="0"/>
    <n v="0"/>
    <n v="10554.813169984685"/>
    <n v="10678.783947368422"/>
    <n v="8447.3806881243072"/>
    <n v="8367.3356499999991"/>
    <n v="7424.7753303964755"/>
    <n v="7712.0242678571431"/>
    <n v="5230"/>
    <n v="6168.8807766990285"/>
    <n v="5713.2331288343557"/>
    <n v="5866.4894609686608"/>
    <n v="0"/>
    <n v="0"/>
    <n v="94993.318529862168"/>
    <n v="96109.055526315788"/>
    <n v="76026.426193118765"/>
    <n v="75306.020849999986"/>
    <n v="66822.977973568282"/>
    <n v="69408.218410714282"/>
    <n v="47070"/>
    <n v="55519.926990291257"/>
    <n v="51419.098159509202"/>
    <n v="52798.405148717946"/>
    <n v="0"/>
    <n v="0"/>
    <n v="68646.317293121203"/>
    <n v="69490.487344431574"/>
    <n v="65"/>
    <n v="56"/>
    <n v="93"/>
    <n v="96"/>
    <n v="144"/>
    <n v="110"/>
    <n v="4"/>
    <n v="11"/>
    <n v="119"/>
    <n v="113"/>
    <n v="0"/>
    <n v="0"/>
    <n v="425"/>
    <n v="386"/>
    <n v="6174565.7044410408"/>
    <n v="5382107.1094736839"/>
    <n v="7070457.6359600453"/>
    <n v="7229378.0015999991"/>
    <n v="9622508.8281938322"/>
    <n v="7634904.0251785712"/>
    <n v="188280"/>
    <n v="610719.19689320377"/>
    <n v="6118872.6809815951"/>
    <n v="5966219.7818051279"/>
    <n v="0"/>
    <n v="0"/>
    <n v="29174684.84957651"/>
    <n v="26823328.114950586"/>
  </r>
  <r>
    <x v="9"/>
    <s v="University of North Carolina at Wilmington"/>
    <m/>
    <n v="199218"/>
    <x v="2"/>
    <n v="148"/>
    <n v="150"/>
    <m/>
    <m/>
    <n v="27"/>
    <n v="22"/>
    <m/>
    <m/>
    <n v="184"/>
    <n v="189"/>
    <m/>
    <m/>
    <n v="21"/>
    <n v="13"/>
    <m/>
    <m/>
    <n v="133"/>
    <n v="125"/>
    <m/>
    <m/>
    <n v="3"/>
    <m/>
    <m/>
    <m/>
    <n v="0"/>
    <m/>
    <m/>
    <m/>
    <n v="0"/>
    <m/>
    <m/>
    <m/>
    <n v="89"/>
    <n v="108"/>
    <m/>
    <m/>
    <n v="19"/>
    <n v="8"/>
    <m/>
    <m/>
    <m/>
    <m/>
    <m/>
    <m/>
    <m/>
    <m/>
    <m/>
    <m/>
    <n v="16947198"/>
    <n v="16525128.984000001"/>
    <n v="15175957"/>
    <n v="14612375.2322"/>
    <n v="8095572"/>
    <n v="7830500"/>
    <m/>
    <n v="0"/>
    <n v="5050350"/>
    <n v="5309006.6847999999"/>
    <n v="0"/>
    <m/>
    <n v="1629"/>
    <n v="1592"/>
    <n v="1887"/>
    <n v="1844"/>
    <n v="1230"/>
    <n v="1125"/>
    <n v="0"/>
    <n v="0"/>
    <n v="1010"/>
    <n v="1060"/>
    <n v="0"/>
    <n v="0"/>
    <n v="10403.436464088398"/>
    <n v="10380.106145728643"/>
    <n v="8042.3725490196075"/>
    <n v="7924.2815792841648"/>
    <n v="6581.7658536585368"/>
    <n v="6960.4444444444443"/>
    <n v="0"/>
    <n v="0"/>
    <n v="5000.3465346534649"/>
    <n v="5008.4968724528298"/>
    <n v="0"/>
    <n v="0"/>
    <n v="93630.928176795584"/>
    <n v="93420.955311557787"/>
    <n v="72381.352941176461"/>
    <n v="71318.53421355749"/>
    <n v="59235.892682926831"/>
    <n v="62644"/>
    <n v="0"/>
    <n v="0"/>
    <n v="45003.118811881184"/>
    <n v="45076.471852075469"/>
    <n v="0"/>
    <n v="0"/>
    <n v="70737.192340451307"/>
    <n v="70787.185300109442"/>
    <n v="175"/>
    <n v="172"/>
    <n v="205"/>
    <n v="202"/>
    <n v="136"/>
    <n v="125"/>
    <n v="0"/>
    <n v="0"/>
    <n v="108"/>
    <n v="116"/>
    <n v="0"/>
    <n v="0"/>
    <n v="624"/>
    <n v="615"/>
    <n v="16385412.430939227"/>
    <n v="16068404.313587939"/>
    <n v="14838177.352941174"/>
    <n v="14406343.911138613"/>
    <n v="8056081.4048780492"/>
    <n v="7830500"/>
    <n v="0"/>
    <n v="0"/>
    <n v="4860336.8316831682"/>
    <n v="5228870.7348407544"/>
    <n v="0"/>
    <n v="0"/>
    <n v="44140008.020441614"/>
    <n v="43534118.959567308"/>
  </r>
  <r>
    <x v="9"/>
    <s v="Western Carolina University "/>
    <m/>
    <n v="200004"/>
    <x v="2"/>
    <n v="58"/>
    <n v="59"/>
    <m/>
    <m/>
    <n v="15"/>
    <n v="13"/>
    <m/>
    <m/>
    <n v="136"/>
    <n v="138"/>
    <m/>
    <m/>
    <n v="16"/>
    <n v="17"/>
    <m/>
    <m/>
    <n v="104"/>
    <n v="100"/>
    <m/>
    <m/>
    <n v="4"/>
    <n v="3"/>
    <m/>
    <m/>
    <n v="13"/>
    <n v="8"/>
    <m/>
    <m/>
    <n v="3"/>
    <n v="3"/>
    <m/>
    <m/>
    <n v="74"/>
    <n v="82"/>
    <m/>
    <m/>
    <n v="16"/>
    <n v="13"/>
    <m/>
    <m/>
    <m/>
    <m/>
    <m/>
    <m/>
    <m/>
    <m/>
    <m/>
    <m/>
    <n v="6778331"/>
    <n v="6542841.9514000006"/>
    <n v="11266632"/>
    <n v="11179189.663799999"/>
    <n v="6271336"/>
    <n v="6025387.5779999997"/>
    <n v="776845"/>
    <n v="441768.08260000002"/>
    <n v="5516348"/>
    <n v="5343478.2325999998"/>
    <n v="0"/>
    <m/>
    <n v="687"/>
    <n v="674"/>
    <n v="1400"/>
    <n v="1429"/>
    <n v="980"/>
    <n v="933"/>
    <n v="150"/>
    <n v="105"/>
    <n v="842"/>
    <n v="881"/>
    <n v="0"/>
    <n v="0"/>
    <n v="9866.5662299854448"/>
    <n v="9707.4806400593479"/>
    <n v="8047.5942857142854"/>
    <n v="7823.0858389083269"/>
    <n v="6399.3224489795921"/>
    <n v="6458.0788617363341"/>
    <n v="5178.9666666666662"/>
    <n v="4207.3150723809522"/>
    <n v="6551.4821852731593"/>
    <n v="6065.2420347332572"/>
    <n v="0"/>
    <n v="0"/>
    <n v="88799.096069869003"/>
    <n v="87367.325760534135"/>
    <n v="72428.348571428563"/>
    <n v="70407.772550174937"/>
    <n v="57593.902040816327"/>
    <n v="58122.709755627009"/>
    <n v="46610.7"/>
    <n v="37865.83565142857"/>
    <n v="58963.339667458436"/>
    <n v="54587.178312599317"/>
    <n v="0"/>
    <n v="0"/>
    <n v="67799.672406462429"/>
    <n v="66038.067515430739"/>
    <n v="73"/>
    <n v="72"/>
    <n v="152"/>
    <n v="155"/>
    <n v="108"/>
    <n v="103"/>
    <n v="16"/>
    <n v="11"/>
    <n v="90"/>
    <n v="95"/>
    <n v="0"/>
    <n v="0"/>
    <n v="439"/>
    <n v="436"/>
    <n v="6482334.0131004369"/>
    <n v="6290447.4547584578"/>
    <n v="11009108.982857142"/>
    <n v="10913204.745277116"/>
    <n v="6220141.4204081632"/>
    <n v="5986639.1048295824"/>
    <n v="745771.2"/>
    <n v="416524.19216571428"/>
    <n v="5306700.5700712595"/>
    <n v="5185781.939696935"/>
    <n v="0"/>
    <n v="0"/>
    <n v="29764056.186437007"/>
    <n v="28792597.436727803"/>
  </r>
  <r>
    <x v="9"/>
    <s v="Fayetteville State University "/>
    <m/>
    <n v="198543"/>
    <x v="3"/>
    <n v="38"/>
    <n v="38"/>
    <m/>
    <m/>
    <n v="12"/>
    <n v="18"/>
    <m/>
    <m/>
    <n v="81"/>
    <n v="89"/>
    <m/>
    <m/>
    <n v="8"/>
    <n v="11"/>
    <m/>
    <m/>
    <n v="100"/>
    <n v="82"/>
    <m/>
    <m/>
    <n v="1"/>
    <n v="5"/>
    <m/>
    <m/>
    <n v="7"/>
    <n v="4"/>
    <m/>
    <m/>
    <n v="0"/>
    <m/>
    <m/>
    <m/>
    <n v="33"/>
    <n v="23"/>
    <m/>
    <m/>
    <n v="0"/>
    <n v="7"/>
    <m/>
    <m/>
    <m/>
    <m/>
    <m/>
    <m/>
    <m/>
    <m/>
    <m/>
    <m/>
    <n v="4606002"/>
    <n v="4920206.3552000001"/>
    <n v="6735663"/>
    <n v="7344336.9084000001"/>
    <n v="6399838"/>
    <n v="5540234.4000000004"/>
    <n v="425894"/>
    <n v="238016"/>
    <n v="1817805"/>
    <n v="1612944.5888"/>
    <n v="0"/>
    <m/>
    <n v="474"/>
    <n v="540"/>
    <n v="817"/>
    <n v="922"/>
    <n v="911"/>
    <n v="793"/>
    <n v="63"/>
    <n v="36"/>
    <n v="297"/>
    <n v="284"/>
    <n v="0"/>
    <n v="0"/>
    <n v="9717.3037974683539"/>
    <n v="9111.4932503703712"/>
    <n v="8244.3855569155439"/>
    <n v="7965.6582520607381"/>
    <n v="7025.069154774973"/>
    <n v="6986.4242118537204"/>
    <n v="6760.2222222222226"/>
    <n v="6611.5555555555557"/>
    <n v="6120.5555555555557"/>
    <n v="5679.3823549295776"/>
    <n v="0"/>
    <n v="0"/>
    <n v="87455.734177215185"/>
    <n v="82003.439253333345"/>
    <n v="74199.470012239894"/>
    <n v="71690.924268546645"/>
    <n v="63225.622392974758"/>
    <n v="62877.817906683485"/>
    <n v="60842"/>
    <n v="59504"/>
    <n v="55085"/>
    <n v="51114.441194366198"/>
    <n v="0"/>
    <n v="0"/>
    <n v="70021.522863001999"/>
    <n v="68603.265049652633"/>
    <n v="50"/>
    <n v="56"/>
    <n v="89"/>
    <n v="100"/>
    <n v="101"/>
    <n v="87"/>
    <n v="7"/>
    <n v="4"/>
    <n v="33"/>
    <n v="30"/>
    <n v="0"/>
    <n v="0"/>
    <n v="280"/>
    <n v="277"/>
    <n v="4372786.7088607596"/>
    <n v="4592192.5981866671"/>
    <n v="6603752.8310893504"/>
    <n v="7169092.4268546645"/>
    <n v="6385787.8616904505"/>
    <n v="5470370.1578814629"/>
    <n v="425894"/>
    <n v="238016"/>
    <n v="1817805"/>
    <n v="1533433.2358309859"/>
    <n v="0"/>
    <n v="0"/>
    <n v="19606026.40164056"/>
    <n v="19003104.41875378"/>
  </r>
  <r>
    <x v="9"/>
    <s v="University of North Carolina at Pembroke"/>
    <m/>
    <n v="199281"/>
    <x v="4"/>
    <n v="60"/>
    <n v="58"/>
    <m/>
    <m/>
    <n v="3"/>
    <n v="2"/>
    <m/>
    <m/>
    <n v="61"/>
    <n v="68"/>
    <m/>
    <m/>
    <n v="3"/>
    <n v="4"/>
    <m/>
    <m/>
    <n v="105"/>
    <n v="98"/>
    <m/>
    <m/>
    <n v="2"/>
    <n v="2"/>
    <m/>
    <m/>
    <n v="2"/>
    <n v="3"/>
    <m/>
    <m/>
    <n v="0"/>
    <m/>
    <m/>
    <m/>
    <n v="77"/>
    <n v="84"/>
    <m/>
    <m/>
    <n v="5"/>
    <n v="5"/>
    <m/>
    <m/>
    <m/>
    <m/>
    <m/>
    <m/>
    <m/>
    <m/>
    <m/>
    <m/>
    <n v="5200479"/>
    <n v="4852618.2611999996"/>
    <n v="4146653"/>
    <n v="4499556.6440000003"/>
    <n v="6153237"/>
    <n v="5912944.6376"/>
    <n v="95000"/>
    <n v="148764"/>
    <n v="4019381"/>
    <n v="4295630.2949999999"/>
    <n v="0"/>
    <m/>
    <n v="573"/>
    <n v="544"/>
    <n v="582"/>
    <n v="656"/>
    <n v="967"/>
    <n v="904"/>
    <n v="18"/>
    <n v="27"/>
    <n v="748"/>
    <n v="811"/>
    <n v="0"/>
    <n v="0"/>
    <n v="9075.8795811518321"/>
    <n v="8920.254156617646"/>
    <n v="7124.833333333333"/>
    <n v="6859.0802500000009"/>
    <n v="6363.2233712512925"/>
    <n v="6540.8679619469031"/>
    <n v="5277.7777777777774"/>
    <n v="5509.7777777777774"/>
    <n v="5373.5040106951874"/>
    <n v="5296.7081319358813"/>
    <n v="0"/>
    <n v="0"/>
    <n v="81682.916230366493"/>
    <n v="80282.287409558819"/>
    <n v="64123.5"/>
    <n v="61731.722250000006"/>
    <n v="57269.01034126163"/>
    <n v="58867.811657522128"/>
    <n v="47500"/>
    <n v="49588"/>
    <n v="48361.536096256685"/>
    <n v="47670.373187422934"/>
    <n v="0"/>
    <n v="0"/>
    <n v="61126.911285915514"/>
    <n v="60308.11612964933"/>
    <n v="63"/>
    <n v="60"/>
    <n v="64"/>
    <n v="72"/>
    <n v="107"/>
    <n v="100"/>
    <n v="2"/>
    <n v="3"/>
    <n v="82"/>
    <n v="89"/>
    <n v="0"/>
    <n v="0"/>
    <n v="318"/>
    <n v="324"/>
    <n v="5146023.722513089"/>
    <n v="4816937.2445735289"/>
    <n v="4103904"/>
    <n v="4444684.0020000003"/>
    <n v="6127784.1065149941"/>
    <n v="5886781.1657522125"/>
    <n v="95000"/>
    <n v="148764"/>
    <n v="3965645.9598930483"/>
    <n v="4242663.2136806408"/>
    <n v="0"/>
    <n v="0"/>
    <n v="19438357.788921133"/>
    <n v="19539829.626006383"/>
  </r>
  <r>
    <x v="9"/>
    <s v="Winston-Salem State University "/>
    <m/>
    <n v="199999"/>
    <x v="4"/>
    <n v="19"/>
    <n v="33"/>
    <m/>
    <m/>
    <n v="17"/>
    <n v="25"/>
    <m/>
    <m/>
    <n v="82"/>
    <n v="78"/>
    <m/>
    <m/>
    <n v="42"/>
    <n v="25"/>
    <m/>
    <m/>
    <n v="91"/>
    <n v="94"/>
    <m/>
    <m/>
    <n v="24"/>
    <n v="19"/>
    <m/>
    <m/>
    <n v="34"/>
    <n v="33"/>
    <m/>
    <m/>
    <n v="17"/>
    <n v="20"/>
    <m/>
    <m/>
    <n v="15"/>
    <n v="7"/>
    <m/>
    <m/>
    <n v="13"/>
    <n v="17"/>
    <m/>
    <m/>
    <m/>
    <m/>
    <m/>
    <m/>
    <m/>
    <m/>
    <m/>
    <m/>
    <n v="3510402"/>
    <n v="5184008.01"/>
    <n v="10074232"/>
    <n v="7905987.7300000004"/>
    <n v="8104753"/>
    <n v="7795207.2684000004"/>
    <n v="3231122"/>
    <n v="3132465.4879999999"/>
    <n v="1671212"/>
    <n v="1348004.0776"/>
    <n v="0"/>
    <m/>
    <n v="358"/>
    <n v="572"/>
    <n v="1200"/>
    <n v="977"/>
    <n v="1083"/>
    <n v="1055"/>
    <n v="493"/>
    <n v="517"/>
    <n v="278"/>
    <n v="250"/>
    <n v="0"/>
    <n v="0"/>
    <n v="9805.5921787709503"/>
    <n v="9062.9510664335667"/>
    <n v="8395.1933333333327"/>
    <n v="8092.1061719549643"/>
    <n v="7483.613111726685"/>
    <n v="7388.8220553554502"/>
    <n v="6554"/>
    <n v="6058.9274429400384"/>
    <n v="6011.5539568345321"/>
    <n v="5392.0163104000003"/>
    <n v="0"/>
    <n v="0"/>
    <n v="88250.329608938555"/>
    <n v="81566.559597902102"/>
    <n v="75556.739999999991"/>
    <n v="72828.955547594684"/>
    <n v="67352.518005540158"/>
    <n v="66499.398498199051"/>
    <n v="58986"/>
    <n v="54530.346986460347"/>
    <n v="54103.98561151079"/>
    <n v="48528.146793600004"/>
    <n v="0"/>
    <n v="0"/>
    <n v="70098.262129042952"/>
    <n v="67810.423993464006"/>
    <n v="36"/>
    <n v="58"/>
    <n v="124"/>
    <n v="103"/>
    <n v="115"/>
    <n v="113"/>
    <n v="51"/>
    <n v="53"/>
    <n v="28"/>
    <n v="24"/>
    <n v="0"/>
    <n v="0"/>
    <n v="354"/>
    <n v="351"/>
    <n v="3177011.8659217879"/>
    <n v="4730860.4566783216"/>
    <n v="9369035.7599999979"/>
    <n v="7501382.4214022523"/>
    <n v="7745539.5706371181"/>
    <n v="7514432.0302964924"/>
    <n v="3008286"/>
    <n v="2890108.3902823986"/>
    <n v="1514911.597122302"/>
    <n v="1164675.5230464002"/>
    <n v="0"/>
    <n v="0"/>
    <n v="24814784.793681204"/>
    <n v="23801458.821705867"/>
  </r>
  <r>
    <x v="9"/>
    <s v="Elizabeth City State University "/>
    <m/>
    <n v="198507"/>
    <x v="5"/>
    <n v="49"/>
    <n v="47"/>
    <m/>
    <m/>
    <n v="2"/>
    <n v="3"/>
    <m/>
    <m/>
    <n v="33"/>
    <n v="38"/>
    <m/>
    <m/>
    <n v="1"/>
    <m/>
    <m/>
    <m/>
    <n v="38"/>
    <n v="33"/>
    <m/>
    <m/>
    <n v="4"/>
    <m/>
    <m/>
    <m/>
    <n v="4"/>
    <n v="1"/>
    <m/>
    <m/>
    <n v="0"/>
    <m/>
    <m/>
    <m/>
    <n v="26"/>
    <n v="25"/>
    <m/>
    <m/>
    <n v="4"/>
    <n v="6"/>
    <m/>
    <m/>
    <m/>
    <m/>
    <m/>
    <m/>
    <m/>
    <m/>
    <m/>
    <m/>
    <n v="3946904"/>
    <n v="3961688.4315999998"/>
    <n v="2282205"/>
    <n v="2510584"/>
    <n v="2747292"/>
    <n v="2143152"/>
    <n v="218572"/>
    <n v="50000"/>
    <n v="1904804"/>
    <n v="1835580.0520000001"/>
    <n v="0"/>
    <m/>
    <n v="463"/>
    <n v="456"/>
    <n v="308"/>
    <n v="342"/>
    <n v="386"/>
    <n v="297"/>
    <n v="36"/>
    <n v="9"/>
    <n v="278"/>
    <n v="291"/>
    <n v="0"/>
    <n v="0"/>
    <n v="8524.6306695464355"/>
    <n v="8687.9132271929811"/>
    <n v="7409.7564935064938"/>
    <n v="7340.8888888888887"/>
    <n v="7117.3367875647673"/>
    <n v="7216"/>
    <n v="6071.4444444444443"/>
    <n v="5555.5555555555557"/>
    <n v="6851.812949640288"/>
    <n v="6307.8352302405501"/>
    <n v="0"/>
    <n v="0"/>
    <n v="76721.676025917914"/>
    <n v="78191.219044736834"/>
    <n v="66687.808441558445"/>
    <n v="66068"/>
    <n v="64056.031088082906"/>
    <n v="64944"/>
    <n v="54643"/>
    <n v="50000"/>
    <n v="61666.316546762595"/>
    <n v="56770.517072164948"/>
    <n v="0"/>
    <n v="0"/>
    <n v="67944.756313274294"/>
    <n v="67798.581578261146"/>
    <n v="51"/>
    <n v="50"/>
    <n v="34"/>
    <n v="38"/>
    <n v="42"/>
    <n v="33"/>
    <n v="4"/>
    <n v="1"/>
    <n v="30"/>
    <n v="31"/>
    <n v="0"/>
    <n v="0"/>
    <n v="161"/>
    <n v="153"/>
    <n v="3912805.4773218138"/>
    <n v="3909560.9522368419"/>
    <n v="2267385.487012987"/>
    <n v="2510584"/>
    <n v="2690353.3056994821"/>
    <n v="2143152"/>
    <n v="218572"/>
    <n v="50000"/>
    <n v="1849989.4964028778"/>
    <n v="1759886.0292371134"/>
    <n v="0"/>
    <n v="0"/>
    <n v="10939105.766437162"/>
    <n v="10373182.981473956"/>
  </r>
  <r>
    <x v="9"/>
    <s v="University of North Carolina at Asheville"/>
    <m/>
    <n v="199111"/>
    <x v="5"/>
    <n v="61"/>
    <n v="60"/>
    <m/>
    <m/>
    <n v="0"/>
    <m/>
    <m/>
    <m/>
    <n v="66"/>
    <n v="64"/>
    <m/>
    <m/>
    <n v="0"/>
    <m/>
    <m/>
    <m/>
    <n v="42"/>
    <n v="40"/>
    <m/>
    <m/>
    <n v="0"/>
    <m/>
    <m/>
    <m/>
    <n v="1"/>
    <m/>
    <m/>
    <m/>
    <n v="0"/>
    <m/>
    <m/>
    <m/>
    <n v="41"/>
    <n v="49"/>
    <m/>
    <m/>
    <n v="0"/>
    <m/>
    <m/>
    <m/>
    <m/>
    <m/>
    <m/>
    <m/>
    <m/>
    <m/>
    <m/>
    <m/>
    <n v="5163406"/>
    <n v="5130180"/>
    <n v="4455660"/>
    <n v="4457728"/>
    <n v="2593206"/>
    <n v="2555080"/>
    <n v="56000"/>
    <n v="0"/>
    <n v="2039996"/>
    <n v="2442601"/>
    <n v="0"/>
    <m/>
    <n v="549"/>
    <n v="540"/>
    <n v="594"/>
    <n v="576"/>
    <n v="378"/>
    <n v="360"/>
    <n v="9"/>
    <n v="0"/>
    <n v="369"/>
    <n v="441"/>
    <n v="0"/>
    <n v="0"/>
    <n v="9405.1111111111113"/>
    <n v="9500.3333333333339"/>
    <n v="7501.1111111111113"/>
    <n v="7739.1111111111113"/>
    <n v="6860.333333333333"/>
    <n v="7097.4444444444443"/>
    <n v="6222.2222222222226"/>
    <n v="0"/>
    <n v="5528.4444444444443"/>
    <n v="5538.7777777777774"/>
    <n v="0"/>
    <n v="0"/>
    <n v="84646"/>
    <n v="85503"/>
    <n v="67510"/>
    <n v="69652"/>
    <n v="61743"/>
    <n v="63877"/>
    <n v="56000"/>
    <n v="0"/>
    <n v="49756"/>
    <n v="49849"/>
    <n v="0"/>
    <n v="0"/>
    <n v="67811.696682464448"/>
    <n v="68476.943661971833"/>
    <n v="61"/>
    <n v="60"/>
    <n v="66"/>
    <n v="64"/>
    <n v="42"/>
    <n v="40"/>
    <n v="1"/>
    <n v="0"/>
    <n v="41"/>
    <n v="49"/>
    <n v="0"/>
    <n v="0"/>
    <n v="211"/>
    <n v="213"/>
    <n v="5163406"/>
    <n v="5130180"/>
    <n v="4455660"/>
    <n v="4457728"/>
    <n v="2593206"/>
    <n v="2555080"/>
    <n v="56000"/>
    <n v="0"/>
    <n v="2039996"/>
    <n v="2442601"/>
    <n v="0"/>
    <n v="0"/>
    <n v="14308267.999999998"/>
    <n v="14585589"/>
  </r>
  <r>
    <x v="9"/>
    <s v="Asheville-Buncombe Technical Community College"/>
    <m/>
    <n v="197887"/>
    <x v="6"/>
    <m/>
    <m/>
    <m/>
    <m/>
    <m/>
    <m/>
    <m/>
    <m/>
    <m/>
    <m/>
    <m/>
    <m/>
    <m/>
    <m/>
    <m/>
    <m/>
    <m/>
    <m/>
    <m/>
    <m/>
    <m/>
    <m/>
    <m/>
    <m/>
    <m/>
    <m/>
    <m/>
    <m/>
    <m/>
    <m/>
    <m/>
    <m/>
    <m/>
    <n v="60"/>
    <m/>
    <n v="1"/>
    <m/>
    <m/>
    <m/>
    <n v="62"/>
    <n v="166"/>
    <m/>
    <m/>
    <m/>
    <m/>
    <m/>
    <m/>
    <m/>
    <n v="0"/>
    <m/>
    <n v="0"/>
    <m/>
    <n v="0"/>
    <m/>
    <n v="0"/>
    <m/>
    <n v="0"/>
    <n v="6009276"/>
    <n v="7611362.2800000003"/>
    <m/>
    <n v="0"/>
    <n v="0"/>
    <n v="0"/>
    <n v="0"/>
    <n v="0"/>
    <n v="0"/>
    <n v="0"/>
    <n v="0"/>
    <n v="0"/>
    <n v="1294"/>
    <n v="1494"/>
    <n v="0"/>
    <n v="0"/>
    <n v="0"/>
    <n v="0"/>
    <n v="0"/>
    <n v="0"/>
    <n v="0"/>
    <n v="0"/>
    <n v="0"/>
    <n v="0"/>
    <n v="4643.9536321483774"/>
    <n v="5094.62"/>
    <n v="0"/>
    <n v="0"/>
    <n v="0"/>
    <n v="0"/>
    <n v="0"/>
    <n v="0"/>
    <n v="0"/>
    <n v="0"/>
    <n v="0"/>
    <n v="0"/>
    <n v="41795.582689335395"/>
    <n v="45851.58"/>
    <n v="0"/>
    <n v="45851.58"/>
    <n v="41795.582689335395"/>
    <n v="0"/>
    <n v="0"/>
    <n v="0"/>
    <n v="0"/>
    <n v="0"/>
    <n v="0"/>
    <n v="0"/>
    <n v="0"/>
    <n v="0"/>
    <n v="123"/>
    <n v="166"/>
    <n v="0"/>
    <n v="166"/>
    <n v="123"/>
    <n v="0"/>
    <n v="0"/>
    <n v="0"/>
    <n v="0"/>
    <n v="0"/>
    <n v="0"/>
    <n v="0"/>
    <n v="0"/>
    <n v="0"/>
    <n v="5140856.6707882537"/>
    <n v="7611362.2800000003"/>
    <n v="0"/>
    <n v="7611362.2800000003"/>
    <n v="5140856.6707882537"/>
  </r>
  <r>
    <x v="9"/>
    <s v="Cape Fear Community College"/>
    <m/>
    <n v="198154"/>
    <x v="6"/>
    <m/>
    <m/>
    <m/>
    <m/>
    <m/>
    <m/>
    <m/>
    <m/>
    <m/>
    <m/>
    <m/>
    <m/>
    <m/>
    <m/>
    <m/>
    <m/>
    <m/>
    <m/>
    <m/>
    <m/>
    <m/>
    <m/>
    <m/>
    <m/>
    <m/>
    <m/>
    <m/>
    <m/>
    <m/>
    <m/>
    <m/>
    <m/>
    <m/>
    <n v="290"/>
    <m/>
    <m/>
    <m/>
    <m/>
    <m/>
    <m/>
    <n v="276"/>
    <m/>
    <m/>
    <m/>
    <m/>
    <m/>
    <m/>
    <m/>
    <n v="0"/>
    <m/>
    <n v="0"/>
    <m/>
    <n v="0"/>
    <m/>
    <n v="0"/>
    <m/>
    <n v="0"/>
    <n v="14068053"/>
    <n v="13214432.879999999"/>
    <m/>
    <n v="0"/>
    <n v="0"/>
    <n v="0"/>
    <n v="0"/>
    <n v="0"/>
    <n v="0"/>
    <n v="0"/>
    <n v="0"/>
    <n v="0"/>
    <n v="2610"/>
    <n v="2484"/>
    <n v="0"/>
    <n v="0"/>
    <n v="0"/>
    <n v="0"/>
    <n v="0"/>
    <n v="0"/>
    <n v="0"/>
    <n v="0"/>
    <n v="0"/>
    <n v="0"/>
    <n v="5390.0586206896551"/>
    <n v="5319.82"/>
    <n v="0"/>
    <n v="0"/>
    <n v="0"/>
    <n v="0"/>
    <n v="0"/>
    <n v="0"/>
    <n v="0"/>
    <n v="0"/>
    <n v="0"/>
    <n v="0"/>
    <n v="48510.527586206896"/>
    <n v="47878.38"/>
    <n v="0"/>
    <n v="47878.38"/>
    <n v="48510.527586206896"/>
    <n v="0"/>
    <n v="0"/>
    <n v="0"/>
    <n v="0"/>
    <n v="0"/>
    <n v="0"/>
    <n v="0"/>
    <n v="0"/>
    <n v="0"/>
    <n v="290"/>
    <n v="276"/>
    <n v="0"/>
    <n v="276"/>
    <n v="290"/>
    <n v="0"/>
    <n v="0"/>
    <n v="0"/>
    <n v="0"/>
    <n v="0"/>
    <n v="0"/>
    <n v="0"/>
    <n v="0"/>
    <n v="0"/>
    <n v="14068053"/>
    <n v="13214432.879999999"/>
    <n v="0"/>
    <n v="13214432.879999999"/>
    <n v="14068053"/>
  </r>
  <r>
    <x v="9"/>
    <s v="Central Piedmont Community College "/>
    <m/>
    <n v="198260"/>
    <x v="6"/>
    <m/>
    <m/>
    <m/>
    <m/>
    <m/>
    <m/>
    <m/>
    <m/>
    <m/>
    <m/>
    <m/>
    <m/>
    <m/>
    <m/>
    <m/>
    <m/>
    <m/>
    <m/>
    <m/>
    <m/>
    <m/>
    <m/>
    <m/>
    <m/>
    <m/>
    <m/>
    <m/>
    <m/>
    <m/>
    <m/>
    <m/>
    <m/>
    <m/>
    <m/>
    <m/>
    <n v="346"/>
    <m/>
    <m/>
    <m/>
    <n v="31"/>
    <n v="321"/>
    <m/>
    <m/>
    <m/>
    <m/>
    <m/>
    <m/>
    <m/>
    <n v="0"/>
    <m/>
    <n v="0"/>
    <m/>
    <n v="0"/>
    <m/>
    <n v="0"/>
    <m/>
    <n v="0"/>
    <n v="22014974"/>
    <n v="16888227.299999997"/>
    <m/>
    <n v="0"/>
    <n v="0"/>
    <n v="0"/>
    <n v="0"/>
    <n v="0"/>
    <n v="0"/>
    <n v="0"/>
    <n v="0"/>
    <n v="0"/>
    <n v="3832"/>
    <n v="2889"/>
    <n v="0"/>
    <n v="0"/>
    <n v="0"/>
    <n v="0"/>
    <n v="0"/>
    <n v="0"/>
    <n v="0"/>
    <n v="0"/>
    <n v="0"/>
    <n v="0"/>
    <n v="5745.0349686847603"/>
    <n v="5845.6999999999989"/>
    <n v="0"/>
    <n v="0"/>
    <n v="0"/>
    <n v="0"/>
    <n v="0"/>
    <n v="0"/>
    <n v="0"/>
    <n v="0"/>
    <n v="0"/>
    <n v="0"/>
    <n v="51705.314718162845"/>
    <n v="52611.299999999988"/>
    <n v="0"/>
    <n v="52611.299999999988"/>
    <n v="51705.314718162845"/>
    <n v="0"/>
    <n v="0"/>
    <n v="0"/>
    <n v="0"/>
    <n v="0"/>
    <n v="0"/>
    <n v="0"/>
    <n v="0"/>
    <n v="0"/>
    <n v="377"/>
    <n v="321"/>
    <n v="0"/>
    <n v="321"/>
    <n v="377"/>
    <n v="0"/>
    <n v="0"/>
    <n v="0"/>
    <n v="0"/>
    <n v="0"/>
    <n v="0"/>
    <n v="0"/>
    <n v="0"/>
    <n v="0"/>
    <n v="19492903.648747392"/>
    <n v="16888227.299999997"/>
    <n v="0"/>
    <n v="16888227.299999997"/>
    <n v="19492903.648747392"/>
  </r>
  <r>
    <x v="9"/>
    <s v="Fayetteville Technical Community College"/>
    <m/>
    <n v="198534"/>
    <x v="6"/>
    <m/>
    <m/>
    <m/>
    <m/>
    <m/>
    <m/>
    <m/>
    <m/>
    <m/>
    <m/>
    <m/>
    <m/>
    <m/>
    <m/>
    <m/>
    <m/>
    <m/>
    <m/>
    <m/>
    <m/>
    <m/>
    <m/>
    <m/>
    <m/>
    <m/>
    <m/>
    <m/>
    <m/>
    <m/>
    <m/>
    <m/>
    <m/>
    <m/>
    <m/>
    <m/>
    <m/>
    <m/>
    <m/>
    <m/>
    <m/>
    <n v="263"/>
    <m/>
    <m/>
    <n v="158"/>
    <m/>
    <m/>
    <m/>
    <n v="138"/>
    <n v="0"/>
    <m/>
    <n v="0"/>
    <m/>
    <n v="0"/>
    <m/>
    <n v="0"/>
    <n v="16964236"/>
    <n v="0"/>
    <m/>
    <n v="12485711.970000001"/>
    <m/>
    <n v="0"/>
    <n v="0"/>
    <n v="0"/>
    <n v="0"/>
    <n v="0"/>
    <n v="0"/>
    <n v="0"/>
    <n v="0"/>
    <n v="0"/>
    <n v="0"/>
    <n v="2367"/>
    <n v="3236"/>
    <n v="0"/>
    <n v="0"/>
    <n v="0"/>
    <n v="0"/>
    <n v="0"/>
    <n v="0"/>
    <n v="0"/>
    <n v="0"/>
    <n v="0"/>
    <n v="0"/>
    <n v="5274.91"/>
    <n v="0"/>
    <n v="0"/>
    <n v="0"/>
    <n v="0"/>
    <n v="0"/>
    <n v="0"/>
    <n v="0"/>
    <n v="0"/>
    <n v="0"/>
    <n v="0"/>
    <n v="0"/>
    <n v="47474.19"/>
    <n v="0"/>
    <n v="47474.19"/>
    <n v="0"/>
    <n v="0"/>
    <n v="0"/>
    <n v="0"/>
    <n v="0"/>
    <n v="0"/>
    <n v="0"/>
    <n v="0"/>
    <n v="0"/>
    <n v="0"/>
    <n v="0"/>
    <n v="263"/>
    <n v="296"/>
    <n v="263"/>
    <n v="296"/>
    <n v="0"/>
    <n v="0"/>
    <n v="0"/>
    <n v="0"/>
    <n v="0"/>
    <n v="0"/>
    <n v="0"/>
    <n v="0"/>
    <n v="0"/>
    <n v="0"/>
    <n v="12485711.970000001"/>
    <n v="0"/>
    <n v="12485711.970000001"/>
    <n v="0"/>
  </r>
  <r>
    <x v="9"/>
    <s v="Forsyth Technical Community College"/>
    <m/>
    <n v="198552"/>
    <x v="6"/>
    <m/>
    <m/>
    <m/>
    <m/>
    <m/>
    <m/>
    <m/>
    <m/>
    <m/>
    <m/>
    <m/>
    <m/>
    <m/>
    <m/>
    <m/>
    <m/>
    <m/>
    <m/>
    <m/>
    <m/>
    <m/>
    <m/>
    <m/>
    <m/>
    <m/>
    <m/>
    <m/>
    <m/>
    <m/>
    <m/>
    <m/>
    <m/>
    <m/>
    <m/>
    <m/>
    <m/>
    <m/>
    <m/>
    <m/>
    <m/>
    <n v="225"/>
    <n v="236"/>
    <m/>
    <m/>
    <m/>
    <m/>
    <m/>
    <n v="6"/>
    <n v="0"/>
    <m/>
    <n v="0"/>
    <m/>
    <n v="0"/>
    <m/>
    <n v="0"/>
    <n v="10474077"/>
    <n v="0"/>
    <m/>
    <n v="9628490.25"/>
    <m/>
    <n v="0"/>
    <n v="0"/>
    <n v="0"/>
    <n v="0"/>
    <n v="0"/>
    <n v="0"/>
    <n v="0"/>
    <n v="0"/>
    <n v="0"/>
    <n v="0"/>
    <n v="2025"/>
    <n v="2196"/>
    <n v="0"/>
    <n v="0"/>
    <n v="0"/>
    <n v="0"/>
    <n v="0"/>
    <n v="0"/>
    <n v="0"/>
    <n v="0"/>
    <n v="0"/>
    <n v="0"/>
    <n v="4754.8100000000004"/>
    <n v="0"/>
    <n v="0"/>
    <n v="0"/>
    <n v="0"/>
    <n v="0"/>
    <n v="0"/>
    <n v="0"/>
    <n v="0"/>
    <n v="0"/>
    <n v="0"/>
    <n v="0"/>
    <n v="42793.29"/>
    <n v="0"/>
    <n v="42793.29"/>
    <n v="0"/>
    <n v="0"/>
    <n v="0"/>
    <n v="0"/>
    <n v="0"/>
    <n v="0"/>
    <n v="0"/>
    <n v="0"/>
    <n v="0"/>
    <n v="0"/>
    <n v="0"/>
    <n v="225"/>
    <n v="242"/>
    <n v="225"/>
    <n v="242"/>
    <n v="0"/>
    <n v="0"/>
    <n v="0"/>
    <n v="0"/>
    <n v="0"/>
    <n v="0"/>
    <n v="0"/>
    <n v="0"/>
    <n v="0"/>
    <n v="0"/>
    <n v="9628490.25"/>
    <n v="0"/>
    <n v="9628490.25"/>
    <n v="0"/>
  </r>
  <r>
    <x v="9"/>
    <s v="Gaston College "/>
    <s v="Met the criteria for Two-Year 2 in 2011-12 and 2012-13."/>
    <n v="198570"/>
    <x v="6"/>
    <m/>
    <m/>
    <m/>
    <m/>
    <m/>
    <m/>
    <m/>
    <m/>
    <m/>
    <m/>
    <m/>
    <m/>
    <m/>
    <m/>
    <m/>
    <m/>
    <m/>
    <m/>
    <m/>
    <m/>
    <m/>
    <m/>
    <m/>
    <m/>
    <m/>
    <m/>
    <m/>
    <m/>
    <m/>
    <m/>
    <m/>
    <m/>
    <m/>
    <n v="167"/>
    <m/>
    <m/>
    <m/>
    <m/>
    <m/>
    <m/>
    <n v="161"/>
    <m/>
    <m/>
    <m/>
    <m/>
    <m/>
    <m/>
    <m/>
    <n v="0"/>
    <m/>
    <n v="0"/>
    <m/>
    <n v="0"/>
    <m/>
    <n v="0"/>
    <m/>
    <n v="0"/>
    <n v="9081990"/>
    <n v="8057802.0599999996"/>
    <m/>
    <n v="0"/>
    <n v="0"/>
    <n v="0"/>
    <n v="0"/>
    <n v="0"/>
    <n v="0"/>
    <n v="0"/>
    <n v="0"/>
    <n v="0"/>
    <n v="1503"/>
    <n v="1449"/>
    <n v="0"/>
    <n v="0"/>
    <n v="0"/>
    <n v="0"/>
    <n v="0"/>
    <n v="0"/>
    <n v="0"/>
    <n v="0"/>
    <n v="0"/>
    <n v="0"/>
    <n v="6042.5748502994011"/>
    <n v="5560.94"/>
    <n v="0"/>
    <n v="0"/>
    <n v="0"/>
    <n v="0"/>
    <n v="0"/>
    <n v="0"/>
    <n v="0"/>
    <n v="0"/>
    <n v="0"/>
    <n v="0"/>
    <n v="54383.173652694612"/>
    <n v="50048.46"/>
    <n v="0"/>
    <n v="50048.46"/>
    <n v="54383.173652694612"/>
    <n v="0"/>
    <n v="0"/>
    <n v="0"/>
    <n v="0"/>
    <n v="0"/>
    <n v="0"/>
    <n v="0"/>
    <n v="0"/>
    <n v="0"/>
    <n v="167"/>
    <n v="161"/>
    <n v="0"/>
    <n v="161"/>
    <n v="167"/>
    <n v="0"/>
    <n v="0"/>
    <n v="0"/>
    <n v="0"/>
    <n v="0"/>
    <n v="0"/>
    <n v="0"/>
    <n v="0"/>
    <n v="0"/>
    <n v="9081990"/>
    <n v="8057802.0599999996"/>
    <n v="0"/>
    <n v="8057802.0599999996"/>
    <n v="9081990"/>
  </r>
  <r>
    <x v="9"/>
    <s v="Guilford Technical Community College"/>
    <m/>
    <n v="198622"/>
    <x v="6"/>
    <m/>
    <m/>
    <m/>
    <m/>
    <m/>
    <m/>
    <m/>
    <m/>
    <m/>
    <m/>
    <m/>
    <m/>
    <m/>
    <m/>
    <m/>
    <m/>
    <m/>
    <m/>
    <m/>
    <m/>
    <m/>
    <m/>
    <m/>
    <m/>
    <m/>
    <m/>
    <m/>
    <m/>
    <m/>
    <m/>
    <m/>
    <m/>
    <m/>
    <n v="336"/>
    <m/>
    <m/>
    <m/>
    <m/>
    <m/>
    <m/>
    <n v="342"/>
    <m/>
    <m/>
    <m/>
    <m/>
    <m/>
    <m/>
    <m/>
    <n v="0"/>
    <m/>
    <n v="0"/>
    <m/>
    <n v="0"/>
    <m/>
    <n v="0"/>
    <m/>
    <n v="0"/>
    <n v="19221035"/>
    <n v="16817299.379999999"/>
    <m/>
    <n v="0"/>
    <n v="0"/>
    <n v="0"/>
    <n v="0"/>
    <n v="0"/>
    <n v="0"/>
    <n v="0"/>
    <n v="0"/>
    <n v="0"/>
    <n v="3024"/>
    <n v="3078"/>
    <n v="0"/>
    <n v="0"/>
    <n v="0"/>
    <n v="0"/>
    <n v="0"/>
    <n v="0"/>
    <n v="0"/>
    <n v="0"/>
    <n v="0"/>
    <n v="0"/>
    <n v="6356.1623677248681"/>
    <n v="5463.71"/>
    <n v="0"/>
    <n v="0"/>
    <n v="0"/>
    <n v="0"/>
    <n v="0"/>
    <n v="0"/>
    <n v="0"/>
    <n v="0"/>
    <n v="0"/>
    <n v="0"/>
    <n v="57205.461309523816"/>
    <n v="49173.39"/>
    <n v="0"/>
    <n v="49173.39"/>
    <n v="57205.461309523824"/>
    <n v="0"/>
    <n v="0"/>
    <n v="0"/>
    <n v="0"/>
    <n v="0"/>
    <n v="0"/>
    <n v="0"/>
    <n v="0"/>
    <n v="0"/>
    <n v="336"/>
    <n v="342"/>
    <n v="0"/>
    <n v="342"/>
    <n v="336"/>
    <n v="0"/>
    <n v="0"/>
    <n v="0"/>
    <n v="0"/>
    <n v="0"/>
    <n v="0"/>
    <n v="0"/>
    <n v="0"/>
    <n v="0"/>
    <n v="19221035.000000004"/>
    <n v="16817299.379999999"/>
    <n v="0"/>
    <n v="16817299.379999999"/>
    <n v="19221035.000000004"/>
  </r>
  <r>
    <x v="9"/>
    <s v="Pitt Community College"/>
    <m/>
    <n v="199333"/>
    <x v="6"/>
    <m/>
    <m/>
    <m/>
    <m/>
    <m/>
    <m/>
    <m/>
    <m/>
    <m/>
    <m/>
    <m/>
    <m/>
    <m/>
    <m/>
    <m/>
    <m/>
    <m/>
    <m/>
    <m/>
    <m/>
    <m/>
    <m/>
    <m/>
    <m/>
    <m/>
    <m/>
    <m/>
    <m/>
    <m/>
    <m/>
    <m/>
    <m/>
    <m/>
    <n v="178"/>
    <m/>
    <m/>
    <m/>
    <m/>
    <m/>
    <m/>
    <n v="222"/>
    <m/>
    <m/>
    <m/>
    <m/>
    <m/>
    <m/>
    <m/>
    <n v="0"/>
    <m/>
    <n v="0"/>
    <m/>
    <n v="0"/>
    <m/>
    <n v="0"/>
    <m/>
    <n v="0"/>
    <n v="9726319"/>
    <n v="10385024.58"/>
    <m/>
    <n v="0"/>
    <n v="0"/>
    <n v="0"/>
    <n v="0"/>
    <n v="0"/>
    <n v="0"/>
    <n v="0"/>
    <n v="0"/>
    <n v="0"/>
    <n v="1602"/>
    <n v="1998"/>
    <n v="0"/>
    <n v="0"/>
    <n v="0"/>
    <n v="0"/>
    <n v="0"/>
    <n v="0"/>
    <n v="0"/>
    <n v="0"/>
    <n v="0"/>
    <n v="0"/>
    <n v="6071.3601747815228"/>
    <n v="5197.71"/>
    <n v="0"/>
    <n v="0"/>
    <n v="0"/>
    <n v="0"/>
    <n v="0"/>
    <n v="0"/>
    <n v="0"/>
    <n v="0"/>
    <n v="0"/>
    <n v="0"/>
    <n v="54642.241573033709"/>
    <n v="46779.39"/>
    <n v="0"/>
    <n v="46779.39"/>
    <n v="54642.241573033709"/>
    <n v="0"/>
    <n v="0"/>
    <n v="0"/>
    <n v="0"/>
    <n v="0"/>
    <n v="0"/>
    <n v="0"/>
    <n v="0"/>
    <n v="0"/>
    <n v="178"/>
    <n v="222"/>
    <n v="0"/>
    <n v="222"/>
    <n v="178"/>
    <n v="0"/>
    <n v="0"/>
    <n v="0"/>
    <n v="0"/>
    <n v="0"/>
    <n v="0"/>
    <n v="0"/>
    <n v="0"/>
    <n v="0"/>
    <n v="9726319"/>
    <n v="10385024.58"/>
    <n v="0"/>
    <n v="10385024.58"/>
    <n v="9726319"/>
  </r>
  <r>
    <x v="9"/>
    <s v="Rowan-Cabarrus Community College"/>
    <m/>
    <n v="199494"/>
    <x v="6"/>
    <m/>
    <m/>
    <m/>
    <m/>
    <m/>
    <m/>
    <m/>
    <m/>
    <m/>
    <m/>
    <m/>
    <m/>
    <m/>
    <m/>
    <m/>
    <m/>
    <m/>
    <m/>
    <m/>
    <m/>
    <m/>
    <m/>
    <m/>
    <m/>
    <m/>
    <m/>
    <m/>
    <m/>
    <m/>
    <m/>
    <m/>
    <m/>
    <m/>
    <n v="181"/>
    <m/>
    <m/>
    <m/>
    <m/>
    <m/>
    <m/>
    <n v="160"/>
    <m/>
    <m/>
    <m/>
    <m/>
    <m/>
    <m/>
    <m/>
    <n v="0"/>
    <m/>
    <n v="0"/>
    <m/>
    <n v="0"/>
    <m/>
    <n v="0"/>
    <m/>
    <n v="0"/>
    <n v="9773544"/>
    <n v="7852017.5999999996"/>
    <m/>
    <n v="0"/>
    <n v="0"/>
    <n v="0"/>
    <n v="0"/>
    <n v="0"/>
    <n v="0"/>
    <n v="0"/>
    <n v="0"/>
    <n v="0"/>
    <n v="1629"/>
    <n v="1440"/>
    <n v="0"/>
    <n v="0"/>
    <n v="0"/>
    <n v="0"/>
    <n v="0"/>
    <n v="0"/>
    <n v="0"/>
    <n v="0"/>
    <n v="0"/>
    <n v="0"/>
    <n v="5999.7200736648247"/>
    <n v="5452.79"/>
    <n v="0"/>
    <n v="0"/>
    <n v="0"/>
    <n v="0"/>
    <n v="0"/>
    <n v="0"/>
    <n v="0"/>
    <n v="0"/>
    <n v="0"/>
    <n v="0"/>
    <n v="53997.48066298342"/>
    <n v="49075.11"/>
    <n v="0"/>
    <n v="49075.11"/>
    <n v="53997.480662983413"/>
    <n v="0"/>
    <n v="0"/>
    <n v="0"/>
    <n v="0"/>
    <n v="0"/>
    <n v="0"/>
    <n v="0"/>
    <n v="0"/>
    <n v="0"/>
    <n v="181"/>
    <n v="160"/>
    <n v="0"/>
    <n v="160"/>
    <n v="181"/>
    <n v="0"/>
    <n v="0"/>
    <n v="0"/>
    <n v="0"/>
    <n v="0"/>
    <n v="0"/>
    <n v="0"/>
    <n v="0"/>
    <n v="0"/>
    <n v="9773543.9999999981"/>
    <n v="7852017.5999999996"/>
    <n v="0"/>
    <n v="7852017.5999999996"/>
    <n v="9773543.9999999981"/>
  </r>
  <r>
    <x v="9"/>
    <s v="Wake Technical Community College"/>
    <m/>
    <n v="199856"/>
    <x v="6"/>
    <m/>
    <m/>
    <m/>
    <m/>
    <m/>
    <m/>
    <m/>
    <m/>
    <m/>
    <m/>
    <m/>
    <m/>
    <m/>
    <m/>
    <m/>
    <m/>
    <m/>
    <m/>
    <m/>
    <m/>
    <m/>
    <m/>
    <m/>
    <m/>
    <m/>
    <m/>
    <m/>
    <m/>
    <m/>
    <m/>
    <m/>
    <m/>
    <m/>
    <n v="319"/>
    <m/>
    <m/>
    <m/>
    <m/>
    <m/>
    <n v="173"/>
    <n v="437"/>
    <m/>
    <m/>
    <m/>
    <m/>
    <m/>
    <m/>
    <m/>
    <n v="0"/>
    <m/>
    <n v="0"/>
    <m/>
    <n v="0"/>
    <m/>
    <n v="0"/>
    <m/>
    <n v="0"/>
    <n v="25210031"/>
    <n v="19466934.120000001"/>
    <m/>
    <n v="0"/>
    <n v="0"/>
    <n v="0"/>
    <n v="0"/>
    <n v="0"/>
    <n v="0"/>
    <n v="0"/>
    <n v="0"/>
    <n v="0"/>
    <n v="4947"/>
    <n v="3933"/>
    <n v="0"/>
    <n v="0"/>
    <n v="0"/>
    <n v="0"/>
    <n v="0"/>
    <n v="0"/>
    <n v="0"/>
    <n v="0"/>
    <n v="0"/>
    <n v="0"/>
    <n v="5096.0240549828177"/>
    <n v="4949.6400000000003"/>
    <n v="0"/>
    <n v="0"/>
    <n v="0"/>
    <n v="0"/>
    <n v="0"/>
    <n v="0"/>
    <n v="0"/>
    <n v="0"/>
    <n v="0"/>
    <n v="0"/>
    <n v="45864.216494845357"/>
    <n v="44546.76"/>
    <n v="0"/>
    <n v="44546.76"/>
    <n v="45864.216494845357"/>
    <n v="0"/>
    <n v="0"/>
    <n v="0"/>
    <n v="0"/>
    <n v="0"/>
    <n v="0"/>
    <n v="0"/>
    <n v="0"/>
    <n v="0"/>
    <n v="492"/>
    <n v="437"/>
    <n v="0"/>
    <n v="437"/>
    <n v="492"/>
    <n v="0"/>
    <n v="0"/>
    <n v="0"/>
    <n v="0"/>
    <n v="0"/>
    <n v="0"/>
    <n v="0"/>
    <n v="0"/>
    <n v="0"/>
    <n v="22565194.515463915"/>
    <n v="19466934.120000001"/>
    <n v="0"/>
    <n v="19466934.120000001"/>
    <n v="22565194.515463915"/>
  </r>
  <r>
    <x v="9"/>
    <s v="Alamance Community College"/>
    <m/>
    <n v="199786"/>
    <x v="7"/>
    <m/>
    <m/>
    <m/>
    <m/>
    <m/>
    <m/>
    <m/>
    <m/>
    <m/>
    <m/>
    <m/>
    <m/>
    <m/>
    <m/>
    <m/>
    <m/>
    <m/>
    <m/>
    <m/>
    <m/>
    <m/>
    <m/>
    <m/>
    <m/>
    <m/>
    <m/>
    <m/>
    <m/>
    <m/>
    <m/>
    <m/>
    <m/>
    <m/>
    <n v="102"/>
    <m/>
    <n v="2"/>
    <m/>
    <m/>
    <m/>
    <n v="8"/>
    <n v="119"/>
    <m/>
    <m/>
    <m/>
    <m/>
    <m/>
    <m/>
    <m/>
    <n v="0"/>
    <m/>
    <n v="0"/>
    <m/>
    <n v="0"/>
    <m/>
    <n v="0"/>
    <m/>
    <n v="0"/>
    <n v="6497262"/>
    <n v="5614974.5399999991"/>
    <m/>
    <n v="0"/>
    <n v="0"/>
    <n v="0"/>
    <n v="0"/>
    <n v="0"/>
    <n v="0"/>
    <n v="0"/>
    <n v="0"/>
    <n v="0"/>
    <n v="1034"/>
    <n v="1071"/>
    <n v="0"/>
    <n v="0"/>
    <n v="0"/>
    <n v="0"/>
    <n v="0"/>
    <n v="0"/>
    <n v="0"/>
    <n v="0"/>
    <n v="0"/>
    <n v="0"/>
    <n v="6283.6189555125729"/>
    <n v="5242.7399999999989"/>
    <n v="0"/>
    <n v="0"/>
    <n v="0"/>
    <n v="0"/>
    <n v="0"/>
    <n v="0"/>
    <n v="0"/>
    <n v="0"/>
    <n v="0"/>
    <n v="0"/>
    <n v="56552.570599613158"/>
    <n v="47184.659999999989"/>
    <n v="0"/>
    <n v="47184.659999999989"/>
    <n v="56552.570599613166"/>
    <n v="0"/>
    <n v="0"/>
    <n v="0"/>
    <n v="0"/>
    <n v="0"/>
    <n v="0"/>
    <n v="0"/>
    <n v="0"/>
    <n v="0"/>
    <n v="112"/>
    <n v="119"/>
    <n v="0"/>
    <n v="119"/>
    <n v="112"/>
    <n v="0"/>
    <n v="0"/>
    <n v="0"/>
    <n v="0"/>
    <n v="0"/>
    <n v="0"/>
    <n v="0"/>
    <n v="0"/>
    <n v="0"/>
    <n v="6333887.9071566742"/>
    <n v="5614974.5399999991"/>
    <n v="0"/>
    <n v="5614974.5399999991"/>
    <n v="6333887.9071566742"/>
  </r>
  <r>
    <x v="9"/>
    <s v="Caldwell Community College &amp; Technical Institute"/>
    <m/>
    <n v="198118"/>
    <x v="7"/>
    <m/>
    <m/>
    <m/>
    <m/>
    <m/>
    <m/>
    <m/>
    <m/>
    <m/>
    <m/>
    <m/>
    <m/>
    <m/>
    <m/>
    <m/>
    <m/>
    <m/>
    <m/>
    <m/>
    <m/>
    <m/>
    <m/>
    <m/>
    <m/>
    <m/>
    <n v="44"/>
    <m/>
    <n v="2"/>
    <m/>
    <n v="13"/>
    <m/>
    <n v="39"/>
    <m/>
    <m/>
    <m/>
    <m/>
    <m/>
    <m/>
    <m/>
    <m/>
    <n v="125"/>
    <m/>
    <m/>
    <m/>
    <m/>
    <m/>
    <m/>
    <m/>
    <n v="0"/>
    <m/>
    <n v="0"/>
    <m/>
    <n v="0"/>
    <m/>
    <n v="0"/>
    <n v="4781779"/>
    <n v="0"/>
    <m/>
    <n v="5512038.75"/>
    <m/>
    <n v="0"/>
    <n v="0"/>
    <n v="0"/>
    <n v="0"/>
    <n v="0"/>
    <n v="0"/>
    <n v="0"/>
    <n v="1027"/>
    <n v="0"/>
    <n v="0"/>
    <n v="1125"/>
    <n v="0"/>
    <n v="0"/>
    <n v="0"/>
    <n v="0"/>
    <n v="0"/>
    <n v="0"/>
    <n v="0"/>
    <n v="0"/>
    <n v="4656.0652385589092"/>
    <n v="0"/>
    <n v="0"/>
    <n v="4899.59"/>
    <n v="0"/>
    <n v="0"/>
    <n v="0"/>
    <n v="0"/>
    <n v="0"/>
    <n v="0"/>
    <n v="0"/>
    <n v="0"/>
    <n v="41904.587147030179"/>
    <n v="0"/>
    <n v="0"/>
    <n v="44096.31"/>
    <n v="0"/>
    <n v="44096.31"/>
    <n v="41904.587147030179"/>
    <n v="0"/>
    <n v="0"/>
    <n v="0"/>
    <n v="0"/>
    <n v="0"/>
    <n v="0"/>
    <n v="0"/>
    <n v="98"/>
    <n v="0"/>
    <n v="0"/>
    <n v="125"/>
    <n v="0"/>
    <n v="125"/>
    <n v="98"/>
    <n v="0"/>
    <n v="0"/>
    <n v="0"/>
    <n v="0"/>
    <n v="0"/>
    <n v="0"/>
    <n v="0"/>
    <n v="4106649.5404089577"/>
    <n v="0"/>
    <n v="0"/>
    <n v="5512038.75"/>
    <n v="0"/>
    <n v="5512038.75"/>
    <n v="4106649.5404089577"/>
  </r>
  <r>
    <x v="9"/>
    <s v="Catawba Valley Community College"/>
    <m/>
    <n v="198233"/>
    <x v="7"/>
    <m/>
    <m/>
    <m/>
    <m/>
    <m/>
    <m/>
    <m/>
    <m/>
    <m/>
    <m/>
    <m/>
    <m/>
    <m/>
    <m/>
    <m/>
    <m/>
    <m/>
    <m/>
    <m/>
    <m/>
    <m/>
    <m/>
    <m/>
    <m/>
    <m/>
    <m/>
    <m/>
    <m/>
    <m/>
    <m/>
    <m/>
    <m/>
    <m/>
    <n v="127"/>
    <m/>
    <m/>
    <m/>
    <m/>
    <m/>
    <n v="18"/>
    <n v="132"/>
    <m/>
    <m/>
    <m/>
    <m/>
    <m/>
    <m/>
    <m/>
    <n v="0"/>
    <m/>
    <n v="0"/>
    <m/>
    <n v="0"/>
    <m/>
    <n v="0"/>
    <m/>
    <n v="0"/>
    <n v="7882577"/>
    <n v="6849889.2000000002"/>
    <m/>
    <n v="0"/>
    <n v="0"/>
    <n v="0"/>
    <n v="0"/>
    <n v="0"/>
    <n v="0"/>
    <n v="0"/>
    <n v="0"/>
    <n v="0"/>
    <n v="1359"/>
    <n v="1188"/>
    <n v="0"/>
    <n v="0"/>
    <n v="0"/>
    <n v="0"/>
    <n v="0"/>
    <n v="0"/>
    <n v="0"/>
    <n v="0"/>
    <n v="0"/>
    <n v="0"/>
    <n v="5800.2774098601913"/>
    <n v="5765.9000000000005"/>
    <n v="0"/>
    <n v="0"/>
    <n v="0"/>
    <n v="0"/>
    <n v="0"/>
    <n v="0"/>
    <n v="0"/>
    <n v="0"/>
    <n v="0"/>
    <n v="0"/>
    <n v="52202.496688741725"/>
    <n v="51893.100000000006"/>
    <n v="0"/>
    <n v="51893.100000000006"/>
    <n v="52202.496688741725"/>
    <n v="0"/>
    <n v="0"/>
    <n v="0"/>
    <n v="0"/>
    <n v="0"/>
    <n v="0"/>
    <n v="0"/>
    <n v="0"/>
    <n v="0"/>
    <n v="145"/>
    <n v="132"/>
    <n v="0"/>
    <n v="132"/>
    <n v="145"/>
    <n v="0"/>
    <n v="0"/>
    <n v="0"/>
    <n v="0"/>
    <n v="0"/>
    <n v="0"/>
    <n v="0"/>
    <n v="0"/>
    <n v="0"/>
    <n v="7569362.0198675506"/>
    <n v="6849889.2000000011"/>
    <n v="0"/>
    <n v="6849889.2000000011"/>
    <n v="7569362.0198675506"/>
  </r>
  <r>
    <x v="9"/>
    <s v="Central Carolina Commuity College"/>
    <m/>
    <n v="198251"/>
    <x v="7"/>
    <m/>
    <m/>
    <m/>
    <m/>
    <m/>
    <m/>
    <m/>
    <m/>
    <m/>
    <m/>
    <m/>
    <m/>
    <m/>
    <m/>
    <m/>
    <m/>
    <m/>
    <m/>
    <m/>
    <m/>
    <m/>
    <m/>
    <m/>
    <m/>
    <m/>
    <m/>
    <m/>
    <m/>
    <m/>
    <m/>
    <m/>
    <m/>
    <m/>
    <n v="89"/>
    <m/>
    <m/>
    <m/>
    <m/>
    <m/>
    <n v="77"/>
    <n v="141"/>
    <m/>
    <m/>
    <m/>
    <m/>
    <m/>
    <m/>
    <m/>
    <n v="0"/>
    <m/>
    <n v="0"/>
    <m/>
    <n v="0"/>
    <m/>
    <n v="0"/>
    <m/>
    <n v="0"/>
    <n v="8198422"/>
    <n v="5893578.6300000008"/>
    <m/>
    <n v="0"/>
    <n v="0"/>
    <n v="0"/>
    <n v="0"/>
    <n v="0"/>
    <n v="0"/>
    <n v="0"/>
    <n v="0"/>
    <n v="0"/>
    <n v="1725"/>
    <n v="1269"/>
    <n v="0"/>
    <n v="0"/>
    <n v="0"/>
    <n v="0"/>
    <n v="0"/>
    <n v="0"/>
    <n v="0"/>
    <n v="0"/>
    <n v="0"/>
    <n v="0"/>
    <n v="4752.7084057971015"/>
    <n v="4644.2700000000004"/>
    <n v="0"/>
    <n v="0"/>
    <n v="0"/>
    <n v="0"/>
    <n v="0"/>
    <n v="0"/>
    <n v="0"/>
    <n v="0"/>
    <n v="0"/>
    <n v="0"/>
    <n v="42774.375652173912"/>
    <n v="41798.430000000008"/>
    <n v="0"/>
    <n v="41798.430000000008"/>
    <n v="42774.375652173912"/>
    <n v="0"/>
    <n v="0"/>
    <n v="0"/>
    <n v="0"/>
    <n v="0"/>
    <n v="0"/>
    <n v="0"/>
    <n v="0"/>
    <n v="0"/>
    <n v="166"/>
    <n v="141"/>
    <n v="0"/>
    <n v="141"/>
    <n v="166"/>
    <n v="0"/>
    <n v="0"/>
    <n v="0"/>
    <n v="0"/>
    <n v="0"/>
    <n v="0"/>
    <n v="0"/>
    <n v="0"/>
    <n v="0"/>
    <n v="7100546.358260869"/>
    <n v="5893578.6300000008"/>
    <n v="0"/>
    <n v="5893578.6300000008"/>
    <n v="7100546.358260869"/>
  </r>
  <r>
    <x v="9"/>
    <s v="Cleveland Community College"/>
    <m/>
    <n v="198321"/>
    <x v="7"/>
    <m/>
    <m/>
    <m/>
    <m/>
    <m/>
    <m/>
    <m/>
    <m/>
    <m/>
    <m/>
    <m/>
    <m/>
    <m/>
    <m/>
    <m/>
    <m/>
    <m/>
    <m/>
    <m/>
    <m/>
    <m/>
    <m/>
    <m/>
    <m/>
    <m/>
    <m/>
    <m/>
    <m/>
    <m/>
    <m/>
    <m/>
    <m/>
    <m/>
    <n v="72"/>
    <m/>
    <m/>
    <m/>
    <m/>
    <m/>
    <m/>
    <n v="78"/>
    <m/>
    <m/>
    <m/>
    <m/>
    <m/>
    <m/>
    <m/>
    <n v="0"/>
    <m/>
    <n v="0"/>
    <m/>
    <n v="0"/>
    <m/>
    <n v="0"/>
    <m/>
    <n v="0"/>
    <n v="3931501"/>
    <n v="3570877.4400000004"/>
    <m/>
    <n v="0"/>
    <n v="0"/>
    <n v="0"/>
    <n v="0"/>
    <n v="0"/>
    <n v="0"/>
    <n v="0"/>
    <n v="0"/>
    <n v="0"/>
    <n v="648"/>
    <n v="702"/>
    <n v="0"/>
    <n v="0"/>
    <n v="0"/>
    <n v="0"/>
    <n v="0"/>
    <n v="0"/>
    <n v="0"/>
    <n v="0"/>
    <n v="0"/>
    <n v="0"/>
    <n v="6067.1311728395058"/>
    <n v="5086.72"/>
    <n v="0"/>
    <n v="0"/>
    <n v="0"/>
    <n v="0"/>
    <n v="0"/>
    <n v="0"/>
    <n v="0"/>
    <n v="0"/>
    <n v="0"/>
    <n v="0"/>
    <n v="54604.180555555555"/>
    <n v="45780.480000000003"/>
    <n v="0"/>
    <n v="45780.480000000003"/>
    <n v="54604.180555555555"/>
    <n v="0"/>
    <n v="0"/>
    <n v="0"/>
    <n v="0"/>
    <n v="0"/>
    <n v="0"/>
    <n v="0"/>
    <n v="0"/>
    <n v="0"/>
    <n v="72"/>
    <n v="78"/>
    <n v="0"/>
    <n v="78"/>
    <n v="72"/>
    <n v="0"/>
    <n v="0"/>
    <n v="0"/>
    <n v="0"/>
    <n v="0"/>
    <n v="0"/>
    <n v="0"/>
    <n v="0"/>
    <n v="0"/>
    <n v="3931501"/>
    <n v="3570877.4400000004"/>
    <n v="0"/>
    <n v="3570877.4400000004"/>
    <n v="3931501"/>
  </r>
  <r>
    <x v="9"/>
    <s v="Coastal Carolina Community College "/>
    <m/>
    <n v="198330"/>
    <x v="7"/>
    <m/>
    <m/>
    <m/>
    <m/>
    <m/>
    <m/>
    <m/>
    <m/>
    <m/>
    <m/>
    <m/>
    <m/>
    <m/>
    <m/>
    <m/>
    <m/>
    <m/>
    <m/>
    <m/>
    <m/>
    <m/>
    <m/>
    <m/>
    <m/>
    <m/>
    <m/>
    <m/>
    <m/>
    <m/>
    <m/>
    <m/>
    <m/>
    <m/>
    <n v="135"/>
    <m/>
    <n v="7"/>
    <m/>
    <m/>
    <m/>
    <m/>
    <n v="131"/>
    <m/>
    <m/>
    <m/>
    <m/>
    <m/>
    <m/>
    <m/>
    <n v="0"/>
    <m/>
    <n v="0"/>
    <m/>
    <n v="0"/>
    <m/>
    <n v="0"/>
    <m/>
    <n v="0"/>
    <n v="6568354"/>
    <n v="5560788.8699999992"/>
    <m/>
    <n v="0"/>
    <n v="0"/>
    <n v="0"/>
    <n v="0"/>
    <n v="0"/>
    <n v="0"/>
    <n v="0"/>
    <n v="0"/>
    <n v="0"/>
    <n v="1285"/>
    <n v="1179"/>
    <n v="0"/>
    <n v="0"/>
    <n v="0"/>
    <n v="0"/>
    <n v="0"/>
    <n v="0"/>
    <n v="0"/>
    <n v="0"/>
    <n v="0"/>
    <n v="0"/>
    <n v="5111.5595330739297"/>
    <n v="4716.53"/>
    <n v="0"/>
    <n v="0"/>
    <n v="0"/>
    <n v="0"/>
    <n v="0"/>
    <n v="0"/>
    <n v="0"/>
    <n v="0"/>
    <n v="0"/>
    <n v="0"/>
    <n v="46004.035797665369"/>
    <n v="42448.77"/>
    <n v="0"/>
    <n v="42448.77"/>
    <n v="46004.035797665369"/>
    <n v="0"/>
    <n v="0"/>
    <n v="0"/>
    <n v="0"/>
    <n v="0"/>
    <n v="0"/>
    <n v="0"/>
    <n v="0"/>
    <n v="0"/>
    <n v="142"/>
    <n v="131"/>
    <n v="0"/>
    <n v="131"/>
    <n v="142"/>
    <n v="0"/>
    <n v="0"/>
    <n v="0"/>
    <n v="0"/>
    <n v="0"/>
    <n v="0"/>
    <n v="0"/>
    <n v="0"/>
    <n v="0"/>
    <n v="6532573.0832684822"/>
    <n v="5560788.8699999992"/>
    <n v="0"/>
    <n v="5560788.8699999992"/>
    <n v="6532573.0832684822"/>
  </r>
  <r>
    <x v="9"/>
    <s v="Craven Community College "/>
    <m/>
    <n v="198367"/>
    <x v="7"/>
    <m/>
    <m/>
    <m/>
    <m/>
    <m/>
    <m/>
    <m/>
    <m/>
    <m/>
    <m/>
    <m/>
    <m/>
    <m/>
    <m/>
    <m/>
    <m/>
    <m/>
    <m/>
    <m/>
    <m/>
    <m/>
    <m/>
    <m/>
    <m/>
    <m/>
    <m/>
    <m/>
    <m/>
    <m/>
    <m/>
    <m/>
    <n v="65"/>
    <m/>
    <m/>
    <m/>
    <m/>
    <m/>
    <m/>
    <m/>
    <m/>
    <n v="79"/>
    <m/>
    <m/>
    <m/>
    <m/>
    <m/>
    <m/>
    <m/>
    <n v="0"/>
    <m/>
    <n v="0"/>
    <m/>
    <n v="0"/>
    <m/>
    <n v="0"/>
    <n v="3390054"/>
    <n v="0"/>
    <m/>
    <n v="4089579.5700000003"/>
    <m/>
    <n v="0"/>
    <n v="0"/>
    <n v="0"/>
    <n v="0"/>
    <n v="0"/>
    <n v="0"/>
    <n v="0"/>
    <n v="780"/>
    <n v="0"/>
    <n v="0"/>
    <n v="711"/>
    <n v="0"/>
    <n v="0"/>
    <n v="0"/>
    <n v="0"/>
    <n v="0"/>
    <n v="0"/>
    <n v="0"/>
    <n v="0"/>
    <n v="4346.2230769230773"/>
    <n v="0"/>
    <n v="0"/>
    <n v="5751.8700000000008"/>
    <n v="0"/>
    <n v="0"/>
    <n v="0"/>
    <n v="0"/>
    <n v="0"/>
    <n v="0"/>
    <n v="0"/>
    <n v="0"/>
    <n v="39116.007692307699"/>
    <n v="0"/>
    <n v="0"/>
    <n v="51766.830000000009"/>
    <n v="0"/>
    <n v="51766.830000000009"/>
    <n v="39116.007692307699"/>
    <n v="0"/>
    <n v="0"/>
    <n v="0"/>
    <n v="0"/>
    <n v="0"/>
    <n v="0"/>
    <n v="0"/>
    <n v="65"/>
    <n v="0"/>
    <n v="0"/>
    <n v="79"/>
    <n v="0"/>
    <n v="79"/>
    <n v="65"/>
    <n v="0"/>
    <n v="0"/>
    <n v="0"/>
    <n v="0"/>
    <n v="0"/>
    <n v="0"/>
    <n v="0"/>
    <n v="2542540.5000000005"/>
    <n v="0"/>
    <n v="0"/>
    <n v="4089579.5700000008"/>
    <n v="0"/>
    <n v="4089579.5700000008"/>
    <n v="2542540.5000000005"/>
  </r>
  <r>
    <x v="9"/>
    <s v="Davidson County Community College "/>
    <m/>
    <n v="198376"/>
    <x v="7"/>
    <m/>
    <m/>
    <m/>
    <m/>
    <m/>
    <m/>
    <m/>
    <m/>
    <m/>
    <m/>
    <m/>
    <m/>
    <m/>
    <m/>
    <m/>
    <m/>
    <m/>
    <m/>
    <m/>
    <m/>
    <m/>
    <m/>
    <m/>
    <m/>
    <m/>
    <n v="96"/>
    <m/>
    <m/>
    <m/>
    <m/>
    <m/>
    <m/>
    <m/>
    <m/>
    <m/>
    <m/>
    <m/>
    <m/>
    <m/>
    <m/>
    <n v="89"/>
    <m/>
    <m/>
    <m/>
    <m/>
    <m/>
    <m/>
    <m/>
    <n v="0"/>
    <m/>
    <n v="0"/>
    <m/>
    <n v="0"/>
    <m/>
    <n v="0"/>
    <n v="4631580"/>
    <n v="0"/>
    <m/>
    <n v="4183598.97"/>
    <m/>
    <n v="0"/>
    <n v="0"/>
    <n v="0"/>
    <n v="0"/>
    <n v="0"/>
    <n v="0"/>
    <n v="0"/>
    <n v="864"/>
    <n v="0"/>
    <n v="0"/>
    <n v="801"/>
    <n v="0"/>
    <n v="0"/>
    <n v="0"/>
    <n v="0"/>
    <n v="0"/>
    <n v="0"/>
    <n v="0"/>
    <n v="0"/>
    <n v="5360.625"/>
    <n v="0"/>
    <n v="0"/>
    <n v="5222.97"/>
    <n v="0"/>
    <n v="0"/>
    <n v="0"/>
    <n v="0"/>
    <n v="0"/>
    <n v="0"/>
    <n v="0"/>
    <n v="0"/>
    <n v="48245.625"/>
    <n v="0"/>
    <n v="0"/>
    <n v="47006.73"/>
    <n v="0"/>
    <n v="47006.73"/>
    <n v="48245.625"/>
    <n v="0"/>
    <n v="0"/>
    <n v="0"/>
    <n v="0"/>
    <n v="0"/>
    <n v="0"/>
    <n v="0"/>
    <n v="96"/>
    <n v="0"/>
    <n v="0"/>
    <n v="89"/>
    <n v="0"/>
    <n v="89"/>
    <n v="96"/>
    <n v="0"/>
    <n v="0"/>
    <n v="0"/>
    <n v="0"/>
    <n v="0"/>
    <n v="0"/>
    <n v="0"/>
    <n v="4631580"/>
    <n v="0"/>
    <n v="0"/>
    <n v="4183598.97"/>
    <n v="0"/>
    <n v="4183598.97"/>
    <n v="4631580"/>
  </r>
  <r>
    <x v="9"/>
    <s v="Durham Technical Community College"/>
    <m/>
    <n v="198455"/>
    <x v="7"/>
    <m/>
    <m/>
    <m/>
    <m/>
    <m/>
    <m/>
    <m/>
    <m/>
    <m/>
    <m/>
    <m/>
    <m/>
    <m/>
    <m/>
    <m/>
    <m/>
    <m/>
    <m/>
    <m/>
    <m/>
    <m/>
    <m/>
    <m/>
    <m/>
    <m/>
    <m/>
    <m/>
    <m/>
    <m/>
    <m/>
    <m/>
    <m/>
    <m/>
    <m/>
    <m/>
    <m/>
    <m/>
    <m/>
    <m/>
    <m/>
    <n v="149"/>
    <m/>
    <m/>
    <m/>
    <m/>
    <m/>
    <m/>
    <m/>
    <n v="0"/>
    <m/>
    <n v="0"/>
    <m/>
    <n v="0"/>
    <m/>
    <n v="0"/>
    <m/>
    <n v="0"/>
    <m/>
    <n v="7627192.29"/>
    <m/>
    <n v="0"/>
    <n v="0"/>
    <n v="0"/>
    <n v="0"/>
    <n v="0"/>
    <n v="0"/>
    <n v="0"/>
    <n v="0"/>
    <n v="0"/>
    <n v="0"/>
    <n v="1341"/>
    <n v="0"/>
    <n v="0"/>
    <n v="0"/>
    <n v="0"/>
    <n v="0"/>
    <n v="0"/>
    <n v="0"/>
    <n v="0"/>
    <n v="0"/>
    <n v="0"/>
    <n v="0"/>
    <n v="5687.69"/>
    <n v="0"/>
    <n v="0"/>
    <n v="0"/>
    <n v="0"/>
    <n v="0"/>
    <n v="0"/>
    <n v="0"/>
    <n v="0"/>
    <n v="0"/>
    <n v="0"/>
    <n v="0"/>
    <n v="51189.21"/>
    <n v="0"/>
    <n v="51189.21"/>
    <n v="0"/>
    <n v="0"/>
    <n v="0"/>
    <n v="0"/>
    <n v="0"/>
    <n v="0"/>
    <n v="0"/>
    <n v="0"/>
    <n v="0"/>
    <n v="0"/>
    <n v="0"/>
    <n v="149"/>
    <n v="0"/>
    <n v="149"/>
    <n v="0"/>
    <n v="0"/>
    <n v="0"/>
    <n v="0"/>
    <n v="0"/>
    <n v="0"/>
    <n v="0"/>
    <n v="0"/>
    <n v="0"/>
    <n v="0"/>
    <n v="0"/>
    <n v="7627192.29"/>
    <n v="0"/>
    <n v="7627192.29"/>
    <n v="0"/>
  </r>
  <r>
    <x v="9"/>
    <s v="Edgecombe Community College"/>
    <m/>
    <n v="198491"/>
    <x v="7"/>
    <m/>
    <m/>
    <m/>
    <m/>
    <m/>
    <m/>
    <m/>
    <m/>
    <m/>
    <m/>
    <m/>
    <m/>
    <m/>
    <m/>
    <m/>
    <m/>
    <m/>
    <m/>
    <m/>
    <m/>
    <m/>
    <m/>
    <m/>
    <m/>
    <m/>
    <n v="49"/>
    <m/>
    <m/>
    <m/>
    <m/>
    <m/>
    <m/>
    <m/>
    <n v="12"/>
    <m/>
    <m/>
    <m/>
    <m/>
    <m/>
    <m/>
    <n v="75"/>
    <m/>
    <m/>
    <m/>
    <m/>
    <m/>
    <m/>
    <m/>
    <n v="0"/>
    <m/>
    <n v="0"/>
    <m/>
    <n v="0"/>
    <m/>
    <n v="0"/>
    <n v="2273874"/>
    <n v="0"/>
    <n v="546570"/>
    <n v="3423147.75"/>
    <m/>
    <n v="0"/>
    <n v="0"/>
    <n v="0"/>
    <n v="0"/>
    <n v="0"/>
    <n v="0"/>
    <n v="0"/>
    <n v="441"/>
    <n v="0"/>
    <n v="108"/>
    <n v="675"/>
    <n v="0"/>
    <n v="0"/>
    <n v="0"/>
    <n v="0"/>
    <n v="0"/>
    <n v="0"/>
    <n v="0"/>
    <n v="0"/>
    <n v="5156.1768707482997"/>
    <n v="0"/>
    <n v="5060.833333333333"/>
    <n v="5071.33"/>
    <n v="0"/>
    <n v="0"/>
    <n v="0"/>
    <n v="0"/>
    <n v="0"/>
    <n v="0"/>
    <n v="0"/>
    <n v="0"/>
    <n v="46405.591836734697"/>
    <n v="0"/>
    <n v="45547.5"/>
    <n v="45641.97"/>
    <n v="0"/>
    <n v="45641.97"/>
    <n v="46236.7868852459"/>
    <n v="0"/>
    <n v="0"/>
    <n v="0"/>
    <n v="0"/>
    <n v="0"/>
    <n v="0"/>
    <n v="0"/>
    <n v="49"/>
    <n v="0"/>
    <n v="12"/>
    <n v="75"/>
    <n v="0"/>
    <n v="75"/>
    <n v="61"/>
    <n v="0"/>
    <n v="0"/>
    <n v="0"/>
    <n v="0"/>
    <n v="0"/>
    <n v="0"/>
    <n v="0"/>
    <n v="2273874"/>
    <n v="0"/>
    <n v="546570"/>
    <n v="3423147.75"/>
    <n v="0"/>
    <n v="3423147.75"/>
    <n v="2820444"/>
  </r>
  <r>
    <x v="9"/>
    <s v="Haywood Community College"/>
    <s v="Met the criteria for Two-Year 3 in 2011-12 and 2012-13."/>
    <n v="198668"/>
    <x v="7"/>
    <m/>
    <m/>
    <m/>
    <m/>
    <m/>
    <m/>
    <m/>
    <m/>
    <m/>
    <m/>
    <m/>
    <m/>
    <m/>
    <m/>
    <m/>
    <m/>
    <m/>
    <m/>
    <m/>
    <m/>
    <m/>
    <m/>
    <m/>
    <m/>
    <m/>
    <m/>
    <m/>
    <m/>
    <m/>
    <m/>
    <m/>
    <m/>
    <m/>
    <n v="68"/>
    <m/>
    <m/>
    <m/>
    <m/>
    <m/>
    <n v="1"/>
    <n v="81"/>
    <m/>
    <m/>
    <m/>
    <m/>
    <m/>
    <m/>
    <m/>
    <n v="0"/>
    <m/>
    <n v="0"/>
    <m/>
    <n v="0"/>
    <m/>
    <n v="0"/>
    <m/>
    <n v="0"/>
    <n v="3257761"/>
    <n v="3805307.1"/>
    <m/>
    <n v="0"/>
    <n v="0"/>
    <n v="0"/>
    <n v="0"/>
    <n v="0"/>
    <n v="0"/>
    <n v="0"/>
    <n v="0"/>
    <n v="0"/>
    <n v="624"/>
    <n v="729"/>
    <n v="0"/>
    <n v="0"/>
    <n v="0"/>
    <n v="0"/>
    <n v="0"/>
    <n v="0"/>
    <n v="0"/>
    <n v="0"/>
    <n v="0"/>
    <n v="0"/>
    <n v="5220.770833333333"/>
    <n v="5219.9000000000005"/>
    <n v="0"/>
    <n v="0"/>
    <n v="0"/>
    <n v="0"/>
    <n v="0"/>
    <n v="0"/>
    <n v="0"/>
    <n v="0"/>
    <n v="0"/>
    <n v="0"/>
    <n v="46986.9375"/>
    <n v="46979.100000000006"/>
    <n v="0"/>
    <n v="46979.100000000006"/>
    <n v="46986.9375"/>
    <n v="0"/>
    <n v="0"/>
    <n v="0"/>
    <n v="0"/>
    <n v="0"/>
    <n v="0"/>
    <n v="0"/>
    <n v="0"/>
    <n v="0"/>
    <n v="69"/>
    <n v="81"/>
    <n v="0"/>
    <n v="81"/>
    <n v="69"/>
    <n v="0"/>
    <n v="0"/>
    <n v="0"/>
    <n v="0"/>
    <n v="0"/>
    <n v="0"/>
    <n v="0"/>
    <n v="0"/>
    <n v="0"/>
    <n v="3242098.6875"/>
    <n v="3805307.1000000006"/>
    <n v="0"/>
    <n v="3805307.1000000006"/>
    <n v="3242098.6875"/>
  </r>
  <r>
    <x v="9"/>
    <s v="Isothermal Community College "/>
    <s v="Met the criteria for Two-Year 3 in 2012-13."/>
    <n v="198710"/>
    <x v="7"/>
    <m/>
    <m/>
    <m/>
    <m/>
    <m/>
    <m/>
    <m/>
    <m/>
    <m/>
    <m/>
    <m/>
    <m/>
    <m/>
    <m/>
    <m/>
    <m/>
    <m/>
    <m/>
    <m/>
    <m/>
    <m/>
    <m/>
    <m/>
    <m/>
    <m/>
    <m/>
    <m/>
    <m/>
    <m/>
    <m/>
    <m/>
    <m/>
    <m/>
    <n v="66"/>
    <m/>
    <m/>
    <m/>
    <m/>
    <m/>
    <m/>
    <n v="68"/>
    <m/>
    <m/>
    <m/>
    <m/>
    <m/>
    <m/>
    <m/>
    <n v="0"/>
    <m/>
    <n v="0"/>
    <m/>
    <n v="0"/>
    <m/>
    <n v="0"/>
    <m/>
    <n v="0"/>
    <n v="3360249"/>
    <n v="3485774.52"/>
    <m/>
    <n v="0"/>
    <n v="0"/>
    <n v="0"/>
    <n v="0"/>
    <n v="0"/>
    <n v="0"/>
    <n v="0"/>
    <n v="0"/>
    <n v="0"/>
    <n v="594"/>
    <n v="612"/>
    <n v="0"/>
    <n v="0"/>
    <n v="0"/>
    <n v="0"/>
    <n v="0"/>
    <n v="0"/>
    <n v="0"/>
    <n v="0"/>
    <n v="0"/>
    <n v="0"/>
    <n v="5656.984848484848"/>
    <n v="5695.71"/>
    <n v="0"/>
    <n v="0"/>
    <n v="0"/>
    <n v="0"/>
    <n v="0"/>
    <n v="0"/>
    <n v="0"/>
    <n v="0"/>
    <n v="0"/>
    <n v="0"/>
    <n v="50912.863636363632"/>
    <n v="51261.39"/>
    <n v="0"/>
    <n v="51261.39"/>
    <n v="50912.863636363632"/>
    <n v="0"/>
    <n v="0"/>
    <n v="0"/>
    <n v="0"/>
    <n v="0"/>
    <n v="0"/>
    <n v="0"/>
    <n v="0"/>
    <n v="0"/>
    <n v="66"/>
    <n v="68"/>
    <n v="0"/>
    <n v="68"/>
    <n v="66"/>
    <n v="0"/>
    <n v="0"/>
    <n v="0"/>
    <n v="0"/>
    <n v="0"/>
    <n v="0"/>
    <n v="0"/>
    <n v="0"/>
    <n v="0"/>
    <n v="3360248.9999999995"/>
    <n v="3485774.52"/>
    <n v="0"/>
    <n v="3485774.52"/>
    <n v="3360248.9999999995"/>
  </r>
  <r>
    <x v="9"/>
    <s v="Johnston Community College"/>
    <m/>
    <n v="198774"/>
    <x v="7"/>
    <m/>
    <m/>
    <m/>
    <m/>
    <m/>
    <m/>
    <m/>
    <m/>
    <m/>
    <m/>
    <m/>
    <m/>
    <m/>
    <m/>
    <m/>
    <m/>
    <m/>
    <m/>
    <m/>
    <m/>
    <m/>
    <m/>
    <m/>
    <m/>
    <m/>
    <n v="138"/>
    <m/>
    <m/>
    <m/>
    <m/>
    <m/>
    <m/>
    <m/>
    <m/>
    <m/>
    <m/>
    <m/>
    <m/>
    <m/>
    <m/>
    <n v="110"/>
    <m/>
    <m/>
    <m/>
    <m/>
    <m/>
    <m/>
    <m/>
    <n v="0"/>
    <m/>
    <n v="0"/>
    <m/>
    <n v="0"/>
    <m/>
    <n v="0"/>
    <n v="4412392"/>
    <n v="0"/>
    <m/>
    <n v="6033941.1000000006"/>
    <m/>
    <n v="0"/>
    <n v="0"/>
    <n v="0"/>
    <n v="0"/>
    <n v="0"/>
    <n v="0"/>
    <n v="0"/>
    <n v="1242"/>
    <n v="0"/>
    <n v="0"/>
    <n v="990"/>
    <n v="0"/>
    <n v="0"/>
    <n v="0"/>
    <n v="0"/>
    <n v="0"/>
    <n v="0"/>
    <n v="0"/>
    <n v="0"/>
    <n v="3552.6505636070851"/>
    <n v="0"/>
    <n v="0"/>
    <n v="6094.89"/>
    <n v="0"/>
    <n v="0"/>
    <n v="0"/>
    <n v="0"/>
    <n v="0"/>
    <n v="0"/>
    <n v="0"/>
    <n v="0"/>
    <n v="31973.855072463768"/>
    <n v="0"/>
    <n v="0"/>
    <n v="54854.01"/>
    <n v="0"/>
    <n v="54854.01"/>
    <n v="31973.855072463768"/>
    <n v="0"/>
    <n v="0"/>
    <n v="0"/>
    <n v="0"/>
    <n v="0"/>
    <n v="0"/>
    <n v="0"/>
    <n v="138"/>
    <n v="0"/>
    <n v="0"/>
    <n v="110"/>
    <n v="0"/>
    <n v="110"/>
    <n v="138"/>
    <n v="0"/>
    <n v="0"/>
    <n v="0"/>
    <n v="0"/>
    <n v="0"/>
    <n v="0"/>
    <n v="0"/>
    <n v="4412392"/>
    <n v="0"/>
    <n v="0"/>
    <n v="6033941.1000000006"/>
    <n v="0"/>
    <n v="6033941.1000000006"/>
    <n v="4412392"/>
  </r>
  <r>
    <x v="9"/>
    <s v="Lenoir Community College "/>
    <m/>
    <n v="198817"/>
    <x v="7"/>
    <m/>
    <m/>
    <m/>
    <m/>
    <m/>
    <m/>
    <m/>
    <m/>
    <m/>
    <m/>
    <m/>
    <m/>
    <m/>
    <m/>
    <m/>
    <m/>
    <m/>
    <m/>
    <m/>
    <m/>
    <m/>
    <m/>
    <m/>
    <m/>
    <m/>
    <m/>
    <m/>
    <m/>
    <m/>
    <m/>
    <m/>
    <m/>
    <m/>
    <n v="108"/>
    <m/>
    <m/>
    <m/>
    <m/>
    <m/>
    <m/>
    <n v="91"/>
    <m/>
    <m/>
    <m/>
    <m/>
    <m/>
    <m/>
    <m/>
    <n v="0"/>
    <m/>
    <n v="0"/>
    <m/>
    <n v="0"/>
    <m/>
    <n v="0"/>
    <m/>
    <n v="0"/>
    <n v="4581414"/>
    <n v="4071470.1300000008"/>
    <m/>
    <n v="0"/>
    <n v="0"/>
    <n v="0"/>
    <n v="0"/>
    <n v="0"/>
    <n v="0"/>
    <n v="0"/>
    <n v="0"/>
    <n v="0"/>
    <n v="972"/>
    <n v="819"/>
    <n v="0"/>
    <n v="0"/>
    <n v="0"/>
    <n v="0"/>
    <n v="0"/>
    <n v="0"/>
    <n v="0"/>
    <n v="0"/>
    <n v="0"/>
    <n v="0"/>
    <n v="4713.3888888888887"/>
    <n v="4971.2700000000013"/>
    <n v="0"/>
    <n v="0"/>
    <n v="0"/>
    <n v="0"/>
    <n v="0"/>
    <n v="0"/>
    <n v="0"/>
    <n v="0"/>
    <n v="0"/>
    <n v="0"/>
    <n v="42420.5"/>
    <n v="44741.430000000015"/>
    <n v="0"/>
    <n v="44741.430000000015"/>
    <n v="42420.5"/>
    <n v="0"/>
    <n v="0"/>
    <n v="0"/>
    <n v="0"/>
    <n v="0"/>
    <n v="0"/>
    <n v="0"/>
    <n v="0"/>
    <n v="0"/>
    <n v="108"/>
    <n v="91"/>
    <n v="0"/>
    <n v="91"/>
    <n v="108"/>
    <n v="0"/>
    <n v="0"/>
    <n v="0"/>
    <n v="0"/>
    <n v="0"/>
    <n v="0"/>
    <n v="0"/>
    <n v="0"/>
    <n v="0"/>
    <n v="4581414"/>
    <n v="4071470.1300000013"/>
    <n v="0"/>
    <n v="4071470.1300000013"/>
    <n v="4581414"/>
  </r>
  <r>
    <x v="9"/>
    <s v="Mitchell Community College "/>
    <m/>
    <n v="198987"/>
    <x v="7"/>
    <m/>
    <m/>
    <m/>
    <m/>
    <m/>
    <m/>
    <m/>
    <m/>
    <m/>
    <m/>
    <m/>
    <m/>
    <m/>
    <m/>
    <m/>
    <m/>
    <m/>
    <m/>
    <m/>
    <m/>
    <m/>
    <m/>
    <m/>
    <m/>
    <m/>
    <n v="97"/>
    <m/>
    <m/>
    <m/>
    <m/>
    <m/>
    <m/>
    <m/>
    <m/>
    <m/>
    <m/>
    <m/>
    <m/>
    <m/>
    <m/>
    <n v="91"/>
    <m/>
    <m/>
    <m/>
    <m/>
    <m/>
    <m/>
    <m/>
    <n v="0"/>
    <m/>
    <n v="0"/>
    <m/>
    <n v="0"/>
    <m/>
    <n v="0"/>
    <n v="4949394"/>
    <n v="0"/>
    <m/>
    <n v="4181994.18"/>
    <m/>
    <n v="0"/>
    <n v="0"/>
    <n v="0"/>
    <n v="0"/>
    <n v="0"/>
    <n v="0"/>
    <n v="0"/>
    <n v="873"/>
    <n v="0"/>
    <n v="0"/>
    <n v="819"/>
    <n v="0"/>
    <n v="0"/>
    <n v="0"/>
    <n v="0"/>
    <n v="0"/>
    <n v="0"/>
    <n v="0"/>
    <n v="0"/>
    <n v="5669.4089347079034"/>
    <n v="0"/>
    <n v="0"/>
    <n v="5106.22"/>
    <n v="0"/>
    <n v="0"/>
    <n v="0"/>
    <n v="0"/>
    <n v="0"/>
    <n v="0"/>
    <n v="0"/>
    <n v="0"/>
    <n v="51024.680412371134"/>
    <n v="0"/>
    <n v="0"/>
    <n v="45955.98"/>
    <n v="0"/>
    <n v="45955.98"/>
    <n v="51024.680412371134"/>
    <n v="0"/>
    <n v="0"/>
    <n v="0"/>
    <n v="0"/>
    <n v="0"/>
    <n v="0"/>
    <n v="0"/>
    <n v="97"/>
    <n v="0"/>
    <n v="0"/>
    <n v="91"/>
    <n v="0"/>
    <n v="91"/>
    <n v="97"/>
    <n v="0"/>
    <n v="0"/>
    <n v="0"/>
    <n v="0"/>
    <n v="0"/>
    <n v="0"/>
    <n v="0"/>
    <n v="4949394"/>
    <n v="0"/>
    <n v="0"/>
    <n v="4181994.18"/>
    <n v="0"/>
    <n v="4181994.18"/>
    <n v="4949394"/>
  </r>
  <r>
    <x v="9"/>
    <s v="Nash Community College"/>
    <m/>
    <n v="199087"/>
    <x v="7"/>
    <m/>
    <m/>
    <m/>
    <m/>
    <m/>
    <m/>
    <m/>
    <m/>
    <m/>
    <m/>
    <m/>
    <m/>
    <m/>
    <m/>
    <m/>
    <m/>
    <m/>
    <m/>
    <m/>
    <m/>
    <m/>
    <m/>
    <m/>
    <m/>
    <m/>
    <n v="83"/>
    <m/>
    <m/>
    <m/>
    <m/>
    <m/>
    <m/>
    <m/>
    <m/>
    <m/>
    <m/>
    <m/>
    <m/>
    <m/>
    <m/>
    <n v="88"/>
    <m/>
    <m/>
    <m/>
    <m/>
    <m/>
    <m/>
    <m/>
    <n v="0"/>
    <m/>
    <n v="0"/>
    <m/>
    <n v="0"/>
    <m/>
    <n v="0"/>
    <n v="3816600"/>
    <n v="0"/>
    <m/>
    <n v="4099542.48"/>
    <m/>
    <n v="0"/>
    <n v="0"/>
    <n v="0"/>
    <n v="0"/>
    <n v="0"/>
    <n v="0"/>
    <n v="0"/>
    <n v="747"/>
    <n v="0"/>
    <n v="0"/>
    <n v="792"/>
    <n v="0"/>
    <n v="0"/>
    <n v="0"/>
    <n v="0"/>
    <n v="0"/>
    <n v="0"/>
    <n v="0"/>
    <n v="0"/>
    <n v="5109.2369477911643"/>
    <n v="0"/>
    <n v="0"/>
    <n v="5176.1899999999996"/>
    <n v="0"/>
    <n v="0"/>
    <n v="0"/>
    <n v="0"/>
    <n v="0"/>
    <n v="0"/>
    <n v="0"/>
    <n v="0"/>
    <n v="45983.132530120478"/>
    <n v="0"/>
    <n v="0"/>
    <n v="46585.71"/>
    <n v="0"/>
    <n v="46585.71"/>
    <n v="45983.132530120478"/>
    <n v="0"/>
    <n v="0"/>
    <n v="0"/>
    <n v="0"/>
    <n v="0"/>
    <n v="0"/>
    <n v="0"/>
    <n v="83"/>
    <n v="0"/>
    <n v="0"/>
    <n v="88"/>
    <n v="0"/>
    <n v="88"/>
    <n v="83"/>
    <n v="0"/>
    <n v="0"/>
    <n v="0"/>
    <n v="0"/>
    <n v="0"/>
    <n v="0"/>
    <n v="0"/>
    <n v="3816599.9999999995"/>
    <n v="0"/>
    <n v="0"/>
    <n v="4099542.48"/>
    <n v="0"/>
    <n v="4099542.48"/>
    <n v="3816599.9999999995"/>
  </r>
  <r>
    <x v="9"/>
    <s v="Randolph Community College"/>
    <m/>
    <n v="199421"/>
    <x v="7"/>
    <m/>
    <m/>
    <m/>
    <m/>
    <m/>
    <m/>
    <m/>
    <m/>
    <m/>
    <m/>
    <m/>
    <m/>
    <m/>
    <m/>
    <m/>
    <m/>
    <m/>
    <m/>
    <m/>
    <m/>
    <m/>
    <m/>
    <m/>
    <m/>
    <m/>
    <n v="25"/>
    <m/>
    <n v="18"/>
    <m/>
    <m/>
    <m/>
    <n v="39"/>
    <m/>
    <m/>
    <m/>
    <m/>
    <m/>
    <m/>
    <m/>
    <m/>
    <n v="84"/>
    <m/>
    <m/>
    <m/>
    <m/>
    <m/>
    <m/>
    <m/>
    <n v="0"/>
    <m/>
    <n v="0"/>
    <m/>
    <n v="0"/>
    <m/>
    <n v="0"/>
    <n v="4299322"/>
    <n v="0"/>
    <m/>
    <n v="4305971.879999999"/>
    <m/>
    <n v="0"/>
    <n v="0"/>
    <n v="0"/>
    <n v="0"/>
    <n v="0"/>
    <n v="0"/>
    <n v="0"/>
    <n v="873"/>
    <n v="0"/>
    <n v="0"/>
    <n v="756"/>
    <n v="0"/>
    <n v="0"/>
    <n v="0"/>
    <n v="0"/>
    <n v="0"/>
    <n v="0"/>
    <n v="0"/>
    <n v="0"/>
    <n v="4924.7674684994272"/>
    <n v="0"/>
    <n v="0"/>
    <n v="5695.7299999999987"/>
    <n v="0"/>
    <n v="0"/>
    <n v="0"/>
    <n v="0"/>
    <n v="0"/>
    <n v="0"/>
    <n v="0"/>
    <n v="0"/>
    <n v="44322.907216494845"/>
    <n v="0"/>
    <n v="0"/>
    <n v="51261.569999999985"/>
    <n v="0"/>
    <n v="51261.569999999985"/>
    <n v="44322.907216494845"/>
    <n v="0"/>
    <n v="0"/>
    <n v="0"/>
    <n v="0"/>
    <n v="0"/>
    <n v="0"/>
    <n v="0"/>
    <n v="82"/>
    <n v="0"/>
    <n v="0"/>
    <n v="84"/>
    <n v="0"/>
    <n v="84"/>
    <n v="82"/>
    <n v="0"/>
    <n v="0"/>
    <n v="0"/>
    <n v="0"/>
    <n v="0"/>
    <n v="0"/>
    <n v="0"/>
    <n v="3634478.3917525774"/>
    <n v="0"/>
    <n v="0"/>
    <n v="4305971.879999999"/>
    <n v="0"/>
    <n v="4305971.879999999"/>
    <n v="3634478.3917525774"/>
  </r>
  <r>
    <x v="9"/>
    <s v="Robeson Community College"/>
    <m/>
    <n v="199476"/>
    <x v="7"/>
    <m/>
    <m/>
    <m/>
    <m/>
    <m/>
    <m/>
    <m/>
    <m/>
    <m/>
    <m/>
    <m/>
    <m/>
    <m/>
    <m/>
    <m/>
    <m/>
    <m/>
    <m/>
    <m/>
    <m/>
    <m/>
    <m/>
    <m/>
    <m/>
    <m/>
    <m/>
    <m/>
    <m/>
    <m/>
    <m/>
    <m/>
    <m/>
    <m/>
    <n v="48"/>
    <m/>
    <m/>
    <m/>
    <m/>
    <m/>
    <n v="45"/>
    <n v="74"/>
    <m/>
    <m/>
    <m/>
    <m/>
    <m/>
    <m/>
    <m/>
    <n v="0"/>
    <m/>
    <n v="0"/>
    <m/>
    <n v="0"/>
    <m/>
    <n v="0"/>
    <m/>
    <n v="0"/>
    <n v="5403882"/>
    <n v="3701594.6999999997"/>
    <m/>
    <n v="0"/>
    <n v="0"/>
    <n v="0"/>
    <n v="0"/>
    <n v="0"/>
    <n v="0"/>
    <n v="0"/>
    <n v="0"/>
    <n v="0"/>
    <n v="972"/>
    <n v="666"/>
    <n v="0"/>
    <n v="0"/>
    <n v="0"/>
    <n v="0"/>
    <n v="0"/>
    <n v="0"/>
    <n v="0"/>
    <n v="0"/>
    <n v="0"/>
    <n v="0"/>
    <n v="5559.549382716049"/>
    <n v="5557.95"/>
    <n v="0"/>
    <n v="0"/>
    <n v="0"/>
    <n v="0"/>
    <n v="0"/>
    <n v="0"/>
    <n v="0"/>
    <n v="0"/>
    <n v="0"/>
    <n v="0"/>
    <n v="50035.944444444438"/>
    <n v="50021.549999999996"/>
    <n v="0"/>
    <n v="50021.549999999996"/>
    <n v="50035.944444444438"/>
    <n v="0"/>
    <n v="0"/>
    <n v="0"/>
    <n v="0"/>
    <n v="0"/>
    <n v="0"/>
    <n v="0"/>
    <n v="0"/>
    <n v="0"/>
    <n v="93"/>
    <n v="74"/>
    <n v="0"/>
    <n v="74"/>
    <n v="93"/>
    <n v="0"/>
    <n v="0"/>
    <n v="0"/>
    <n v="0"/>
    <n v="0"/>
    <n v="0"/>
    <n v="0"/>
    <n v="0"/>
    <n v="0"/>
    <n v="4653342.833333333"/>
    <n v="3701594.6999999997"/>
    <n v="0"/>
    <n v="3701594.6999999997"/>
    <n v="4653342.833333333"/>
  </r>
  <r>
    <x v="9"/>
    <s v="Sandhills Community College "/>
    <m/>
    <n v="199634"/>
    <x v="7"/>
    <m/>
    <m/>
    <m/>
    <m/>
    <m/>
    <m/>
    <m/>
    <m/>
    <m/>
    <m/>
    <m/>
    <m/>
    <m/>
    <m/>
    <m/>
    <m/>
    <m/>
    <m/>
    <m/>
    <m/>
    <m/>
    <m/>
    <m/>
    <m/>
    <m/>
    <m/>
    <m/>
    <m/>
    <m/>
    <m/>
    <m/>
    <m/>
    <m/>
    <n v="134"/>
    <m/>
    <m/>
    <m/>
    <m/>
    <m/>
    <m/>
    <n v="116"/>
    <m/>
    <m/>
    <m/>
    <m/>
    <m/>
    <m/>
    <m/>
    <n v="0"/>
    <m/>
    <n v="0"/>
    <m/>
    <n v="0"/>
    <m/>
    <n v="0"/>
    <m/>
    <n v="0"/>
    <n v="6516340"/>
    <n v="5737771.7999999998"/>
    <m/>
    <n v="0"/>
    <n v="0"/>
    <n v="0"/>
    <n v="0"/>
    <n v="0"/>
    <n v="0"/>
    <n v="0"/>
    <n v="0"/>
    <n v="0"/>
    <n v="1206"/>
    <n v="1044"/>
    <n v="0"/>
    <n v="0"/>
    <n v="0"/>
    <n v="0"/>
    <n v="0"/>
    <n v="0"/>
    <n v="0"/>
    <n v="0"/>
    <n v="0"/>
    <n v="0"/>
    <n v="5403.2669983416254"/>
    <n v="5495.95"/>
    <n v="0"/>
    <n v="0"/>
    <n v="0"/>
    <n v="0"/>
    <n v="0"/>
    <n v="0"/>
    <n v="0"/>
    <n v="0"/>
    <n v="0"/>
    <n v="0"/>
    <n v="48629.40298507463"/>
    <n v="49463.549999999996"/>
    <n v="0"/>
    <n v="49463.549999999996"/>
    <n v="48629.40298507463"/>
    <n v="0"/>
    <n v="0"/>
    <n v="0"/>
    <n v="0"/>
    <n v="0"/>
    <n v="0"/>
    <n v="0"/>
    <n v="0"/>
    <n v="0"/>
    <n v="134"/>
    <n v="116"/>
    <n v="0"/>
    <n v="116"/>
    <n v="134"/>
    <n v="0"/>
    <n v="0"/>
    <n v="0"/>
    <n v="0"/>
    <n v="0"/>
    <n v="0"/>
    <n v="0"/>
    <n v="0"/>
    <n v="0"/>
    <n v="6516340"/>
    <n v="5737771.7999999998"/>
    <n v="0"/>
    <n v="5737771.7999999998"/>
    <n v="6516340"/>
  </r>
  <r>
    <x v="9"/>
    <s v="Stanly Community College"/>
    <m/>
    <n v="199740"/>
    <x v="7"/>
    <m/>
    <m/>
    <m/>
    <m/>
    <m/>
    <m/>
    <m/>
    <m/>
    <m/>
    <m/>
    <m/>
    <m/>
    <m/>
    <m/>
    <m/>
    <m/>
    <m/>
    <m/>
    <m/>
    <m/>
    <m/>
    <m/>
    <m/>
    <m/>
    <m/>
    <m/>
    <m/>
    <m/>
    <m/>
    <m/>
    <m/>
    <m/>
    <m/>
    <n v="94"/>
    <m/>
    <m/>
    <m/>
    <m/>
    <m/>
    <m/>
    <n v="81"/>
    <m/>
    <m/>
    <m/>
    <m/>
    <m/>
    <m/>
    <m/>
    <n v="0"/>
    <m/>
    <n v="0"/>
    <m/>
    <n v="0"/>
    <m/>
    <n v="0"/>
    <m/>
    <n v="0"/>
    <n v="3832083"/>
    <n v="3616714.8"/>
    <m/>
    <n v="0"/>
    <n v="0"/>
    <n v="0"/>
    <n v="0"/>
    <n v="0"/>
    <n v="0"/>
    <n v="0"/>
    <n v="0"/>
    <n v="0"/>
    <n v="846"/>
    <n v="729"/>
    <n v="0"/>
    <n v="0"/>
    <n v="0"/>
    <n v="0"/>
    <n v="0"/>
    <n v="0"/>
    <n v="0"/>
    <n v="0"/>
    <n v="0"/>
    <n v="0"/>
    <n v="4529.6489361702124"/>
    <n v="4961.2"/>
    <n v="0"/>
    <n v="0"/>
    <n v="0"/>
    <n v="0"/>
    <n v="0"/>
    <n v="0"/>
    <n v="0"/>
    <n v="0"/>
    <n v="0"/>
    <n v="0"/>
    <n v="40766.840425531911"/>
    <n v="44650.799999999996"/>
    <n v="0"/>
    <n v="44650.799999999996"/>
    <n v="40766.840425531911"/>
    <n v="0"/>
    <n v="0"/>
    <n v="0"/>
    <n v="0"/>
    <n v="0"/>
    <n v="0"/>
    <n v="0"/>
    <n v="0"/>
    <n v="0"/>
    <n v="94"/>
    <n v="81"/>
    <n v="0"/>
    <n v="81"/>
    <n v="94"/>
    <n v="0"/>
    <n v="0"/>
    <n v="0"/>
    <n v="0"/>
    <n v="0"/>
    <n v="0"/>
    <n v="0"/>
    <n v="0"/>
    <n v="0"/>
    <n v="3832082.9999999995"/>
    <n v="3616714.8"/>
    <n v="0"/>
    <n v="3616714.8"/>
    <n v="3832082.9999999995"/>
  </r>
  <r>
    <x v="9"/>
    <s v="Surry Community College "/>
    <m/>
    <n v="199768"/>
    <x v="7"/>
    <m/>
    <m/>
    <m/>
    <m/>
    <m/>
    <m/>
    <m/>
    <m/>
    <m/>
    <m/>
    <m/>
    <m/>
    <m/>
    <m/>
    <m/>
    <m/>
    <m/>
    <m/>
    <m/>
    <m/>
    <m/>
    <m/>
    <m/>
    <m/>
    <m/>
    <m/>
    <m/>
    <m/>
    <m/>
    <m/>
    <m/>
    <m/>
    <m/>
    <n v="90"/>
    <m/>
    <m/>
    <m/>
    <m/>
    <m/>
    <n v="13"/>
    <n v="92"/>
    <m/>
    <m/>
    <m/>
    <m/>
    <m/>
    <m/>
    <m/>
    <n v="0"/>
    <m/>
    <n v="0"/>
    <m/>
    <n v="0"/>
    <m/>
    <n v="0"/>
    <m/>
    <n v="0"/>
    <n v="4989403"/>
    <n v="4274831.5199999996"/>
    <m/>
    <n v="0"/>
    <n v="0"/>
    <n v="0"/>
    <n v="0"/>
    <n v="0"/>
    <n v="0"/>
    <n v="0"/>
    <n v="0"/>
    <n v="0"/>
    <n v="966"/>
    <n v="828"/>
    <n v="0"/>
    <n v="0"/>
    <n v="0"/>
    <n v="0"/>
    <n v="0"/>
    <n v="0"/>
    <n v="0"/>
    <n v="0"/>
    <n v="0"/>
    <n v="0"/>
    <n v="5165.0134575569355"/>
    <n v="5162.8399999999992"/>
    <n v="0"/>
    <n v="0"/>
    <n v="0"/>
    <n v="0"/>
    <n v="0"/>
    <n v="0"/>
    <n v="0"/>
    <n v="0"/>
    <n v="0"/>
    <n v="0"/>
    <n v="46485.121118012423"/>
    <n v="46465.55999999999"/>
    <n v="0"/>
    <n v="46465.56"/>
    <n v="46485.12111801243"/>
    <n v="0"/>
    <n v="0"/>
    <n v="0"/>
    <n v="0"/>
    <n v="0"/>
    <n v="0"/>
    <n v="0"/>
    <n v="0"/>
    <n v="0"/>
    <n v="103"/>
    <n v="92"/>
    <n v="0"/>
    <n v="92"/>
    <n v="103"/>
    <n v="0"/>
    <n v="0"/>
    <n v="0"/>
    <n v="0"/>
    <n v="0"/>
    <n v="0"/>
    <n v="0"/>
    <n v="0"/>
    <n v="0"/>
    <n v="4787967.47515528"/>
    <n v="4274831.5199999996"/>
    <n v="0"/>
    <n v="4274831.5199999996"/>
    <n v="4787967.47515528"/>
  </r>
  <r>
    <x v="9"/>
    <s v="Vance-Granville Community College "/>
    <m/>
    <n v="199838"/>
    <x v="7"/>
    <m/>
    <m/>
    <m/>
    <m/>
    <m/>
    <m/>
    <m/>
    <m/>
    <m/>
    <m/>
    <m/>
    <m/>
    <m/>
    <m/>
    <m/>
    <m/>
    <m/>
    <m/>
    <m/>
    <m/>
    <m/>
    <m/>
    <m/>
    <m/>
    <m/>
    <m/>
    <m/>
    <m/>
    <m/>
    <m/>
    <m/>
    <m/>
    <m/>
    <n v="62"/>
    <m/>
    <n v="6"/>
    <m/>
    <n v="7"/>
    <m/>
    <n v="44"/>
    <n v="114"/>
    <m/>
    <m/>
    <m/>
    <m/>
    <m/>
    <m/>
    <m/>
    <n v="0"/>
    <m/>
    <n v="0"/>
    <m/>
    <n v="0"/>
    <m/>
    <n v="0"/>
    <m/>
    <n v="0"/>
    <n v="6005718"/>
    <n v="5102062.0200000005"/>
    <m/>
    <n v="0"/>
    <n v="0"/>
    <n v="0"/>
    <n v="0"/>
    <n v="0"/>
    <n v="0"/>
    <n v="0"/>
    <n v="0"/>
    <n v="0"/>
    <n v="1223"/>
    <n v="1026"/>
    <n v="0"/>
    <n v="0"/>
    <n v="0"/>
    <n v="0"/>
    <n v="0"/>
    <n v="0"/>
    <n v="0"/>
    <n v="0"/>
    <n v="0"/>
    <n v="0"/>
    <n v="4910.6443172526569"/>
    <n v="4972.7700000000004"/>
    <n v="0"/>
    <n v="0"/>
    <n v="0"/>
    <n v="0"/>
    <n v="0"/>
    <n v="0"/>
    <n v="0"/>
    <n v="0"/>
    <n v="0"/>
    <n v="0"/>
    <n v="44195.798855273912"/>
    <n v="44754.930000000008"/>
    <n v="0"/>
    <n v="44754.930000000008"/>
    <n v="44195.798855273912"/>
    <n v="0"/>
    <n v="0"/>
    <n v="0"/>
    <n v="0"/>
    <n v="0"/>
    <n v="0"/>
    <n v="0"/>
    <n v="0"/>
    <n v="0"/>
    <n v="119"/>
    <n v="114"/>
    <n v="0"/>
    <n v="114"/>
    <n v="119"/>
    <n v="0"/>
    <n v="0"/>
    <n v="0"/>
    <n v="0"/>
    <n v="0"/>
    <n v="0"/>
    <n v="0"/>
    <n v="0"/>
    <n v="0"/>
    <n v="5259300.0637775958"/>
    <n v="5102062.0200000005"/>
    <n v="0"/>
    <n v="5102062.0200000005"/>
    <n v="5259300.0637775958"/>
  </r>
  <r>
    <x v="9"/>
    <s v="Wayne Community College"/>
    <m/>
    <n v="199892"/>
    <x v="7"/>
    <m/>
    <m/>
    <m/>
    <m/>
    <m/>
    <m/>
    <m/>
    <m/>
    <m/>
    <m/>
    <m/>
    <m/>
    <m/>
    <m/>
    <m/>
    <m/>
    <m/>
    <m/>
    <m/>
    <m/>
    <m/>
    <m/>
    <m/>
    <m/>
    <m/>
    <m/>
    <m/>
    <m/>
    <m/>
    <m/>
    <m/>
    <n v="2"/>
    <m/>
    <n v="48"/>
    <m/>
    <n v="2"/>
    <m/>
    <m/>
    <m/>
    <n v="85"/>
    <n v="114"/>
    <m/>
    <m/>
    <m/>
    <m/>
    <m/>
    <m/>
    <m/>
    <n v="0"/>
    <m/>
    <n v="0"/>
    <m/>
    <n v="0"/>
    <m/>
    <n v="0"/>
    <n v="106320"/>
    <n v="0"/>
    <n v="6903422"/>
    <n v="5058682.7399999993"/>
    <m/>
    <n v="0"/>
    <n v="0"/>
    <n v="0"/>
    <n v="0"/>
    <n v="0"/>
    <n v="0"/>
    <n v="0"/>
    <n v="24"/>
    <n v="0"/>
    <n v="1472"/>
    <n v="1026"/>
    <n v="0"/>
    <n v="0"/>
    <n v="0"/>
    <n v="0"/>
    <n v="0"/>
    <n v="0"/>
    <n v="0"/>
    <n v="0"/>
    <n v="4430"/>
    <n v="0"/>
    <n v="4689.82472826087"/>
    <n v="4930.4899999999989"/>
    <n v="0"/>
    <n v="0"/>
    <n v="0"/>
    <n v="0"/>
    <n v="0"/>
    <n v="0"/>
    <n v="0"/>
    <n v="0"/>
    <n v="39870"/>
    <n v="0"/>
    <n v="42208.422554347831"/>
    <n v="44374.409999999989"/>
    <n v="0"/>
    <n v="44374.409999999989"/>
    <n v="42174.284998809904"/>
    <n v="0"/>
    <n v="0"/>
    <n v="0"/>
    <n v="0"/>
    <n v="0"/>
    <n v="0"/>
    <n v="0"/>
    <n v="2"/>
    <n v="0"/>
    <n v="135"/>
    <n v="114"/>
    <n v="0"/>
    <n v="114"/>
    <n v="137"/>
    <n v="0"/>
    <n v="0"/>
    <n v="0"/>
    <n v="0"/>
    <n v="0"/>
    <n v="0"/>
    <n v="0"/>
    <n v="79740"/>
    <n v="0"/>
    <n v="5698137.044836957"/>
    <n v="5058682.7399999984"/>
    <n v="0"/>
    <n v="5058682.7399999984"/>
    <n v="5777877.044836957"/>
  </r>
  <r>
    <x v="9"/>
    <s v="Western Piedmont Community College "/>
    <m/>
    <n v="199908"/>
    <x v="7"/>
    <m/>
    <m/>
    <m/>
    <m/>
    <m/>
    <m/>
    <m/>
    <m/>
    <m/>
    <m/>
    <m/>
    <m/>
    <m/>
    <m/>
    <m/>
    <m/>
    <m/>
    <m/>
    <m/>
    <m/>
    <m/>
    <m/>
    <m/>
    <m/>
    <m/>
    <m/>
    <m/>
    <m/>
    <m/>
    <m/>
    <m/>
    <m/>
    <m/>
    <n v="79"/>
    <m/>
    <m/>
    <m/>
    <m/>
    <m/>
    <m/>
    <n v="85"/>
    <m/>
    <m/>
    <m/>
    <m/>
    <m/>
    <m/>
    <m/>
    <n v="0"/>
    <m/>
    <n v="0"/>
    <m/>
    <n v="0"/>
    <m/>
    <n v="0"/>
    <m/>
    <n v="0"/>
    <n v="3872205"/>
    <n v="4167567.0000000005"/>
    <m/>
    <n v="0"/>
    <n v="0"/>
    <n v="0"/>
    <n v="0"/>
    <n v="0"/>
    <n v="0"/>
    <n v="0"/>
    <n v="0"/>
    <n v="0"/>
    <n v="711"/>
    <n v="765"/>
    <n v="0"/>
    <n v="0"/>
    <n v="0"/>
    <n v="0"/>
    <n v="0"/>
    <n v="0"/>
    <n v="0"/>
    <n v="0"/>
    <n v="0"/>
    <n v="0"/>
    <n v="5446.1392405063289"/>
    <n v="5447.8"/>
    <n v="0"/>
    <n v="0"/>
    <n v="0"/>
    <n v="0"/>
    <n v="0"/>
    <n v="0"/>
    <n v="0"/>
    <n v="0"/>
    <n v="0"/>
    <n v="0"/>
    <n v="49015.253164556962"/>
    <n v="49030.200000000004"/>
    <n v="0"/>
    <n v="49030.200000000004"/>
    <n v="49015.253164556962"/>
    <n v="0"/>
    <n v="0"/>
    <n v="0"/>
    <n v="0"/>
    <n v="0"/>
    <n v="0"/>
    <n v="0"/>
    <n v="0"/>
    <n v="0"/>
    <n v="79"/>
    <n v="85"/>
    <n v="0"/>
    <n v="85"/>
    <n v="79"/>
    <n v="0"/>
    <n v="0"/>
    <n v="0"/>
    <n v="0"/>
    <n v="0"/>
    <n v="0"/>
    <n v="0"/>
    <n v="0"/>
    <n v="0"/>
    <n v="3872205"/>
    <n v="4167567.0000000005"/>
    <n v="0"/>
    <n v="4167567.0000000005"/>
    <n v="3872205"/>
  </r>
  <r>
    <x v="9"/>
    <s v="Wilkes Community College "/>
    <m/>
    <n v="199926"/>
    <x v="7"/>
    <m/>
    <m/>
    <m/>
    <m/>
    <m/>
    <m/>
    <m/>
    <m/>
    <m/>
    <m/>
    <m/>
    <m/>
    <m/>
    <m/>
    <m/>
    <m/>
    <m/>
    <m/>
    <m/>
    <m/>
    <m/>
    <m/>
    <m/>
    <m/>
    <m/>
    <n v="84"/>
    <m/>
    <m/>
    <m/>
    <m/>
    <m/>
    <m/>
    <m/>
    <m/>
    <m/>
    <m/>
    <m/>
    <m/>
    <m/>
    <m/>
    <n v="78"/>
    <m/>
    <m/>
    <m/>
    <m/>
    <m/>
    <m/>
    <m/>
    <n v="0"/>
    <m/>
    <n v="0"/>
    <m/>
    <n v="0"/>
    <m/>
    <n v="0"/>
    <n v="3825927"/>
    <n v="0"/>
    <m/>
    <n v="3625794.8999999994"/>
    <m/>
    <n v="0"/>
    <n v="0"/>
    <n v="0"/>
    <n v="0"/>
    <n v="0"/>
    <n v="0"/>
    <n v="0"/>
    <n v="756"/>
    <n v="0"/>
    <n v="0"/>
    <n v="702"/>
    <n v="0"/>
    <n v="0"/>
    <n v="0"/>
    <n v="0"/>
    <n v="0"/>
    <n v="0"/>
    <n v="0"/>
    <n v="0"/>
    <n v="5060.75"/>
    <n v="0"/>
    <n v="0"/>
    <n v="5164.9499999999989"/>
    <n v="0"/>
    <n v="0"/>
    <n v="0"/>
    <n v="0"/>
    <n v="0"/>
    <n v="0"/>
    <n v="0"/>
    <n v="0"/>
    <n v="45546.75"/>
    <n v="0"/>
    <n v="0"/>
    <n v="46484.549999999988"/>
    <n v="0"/>
    <n v="46484.549999999988"/>
    <n v="45546.75"/>
    <n v="0"/>
    <n v="0"/>
    <n v="0"/>
    <n v="0"/>
    <n v="0"/>
    <n v="0"/>
    <n v="0"/>
    <n v="84"/>
    <n v="0"/>
    <n v="0"/>
    <n v="78"/>
    <n v="0"/>
    <n v="78"/>
    <n v="84"/>
    <n v="0"/>
    <n v="0"/>
    <n v="0"/>
    <n v="0"/>
    <n v="0"/>
    <n v="0"/>
    <n v="0"/>
    <n v="3825927"/>
    <n v="0"/>
    <n v="0"/>
    <n v="3625794.899999999"/>
    <n v="0"/>
    <n v="3625794.899999999"/>
    <n v="3825927"/>
  </r>
  <r>
    <x v="9"/>
    <s v="Beaufort County Community College "/>
    <m/>
    <n v="197966"/>
    <x v="8"/>
    <m/>
    <m/>
    <m/>
    <m/>
    <m/>
    <m/>
    <m/>
    <m/>
    <m/>
    <m/>
    <m/>
    <m/>
    <m/>
    <m/>
    <m/>
    <m/>
    <m/>
    <m/>
    <m/>
    <m/>
    <m/>
    <m/>
    <m/>
    <m/>
    <m/>
    <n v="37"/>
    <m/>
    <m/>
    <m/>
    <n v="24"/>
    <m/>
    <n v="5"/>
    <m/>
    <m/>
    <m/>
    <m/>
    <m/>
    <m/>
    <m/>
    <m/>
    <n v="58"/>
    <m/>
    <m/>
    <m/>
    <m/>
    <m/>
    <m/>
    <m/>
    <n v="0"/>
    <m/>
    <n v="0"/>
    <m/>
    <n v="0"/>
    <m/>
    <n v="0"/>
    <n v="3298955"/>
    <n v="0"/>
    <m/>
    <n v="2652443.8199999998"/>
    <m/>
    <n v="0"/>
    <n v="0"/>
    <n v="0"/>
    <n v="0"/>
    <n v="0"/>
    <n v="0"/>
    <n v="0"/>
    <n v="657"/>
    <n v="0"/>
    <n v="0"/>
    <n v="522"/>
    <n v="0"/>
    <n v="0"/>
    <n v="0"/>
    <n v="0"/>
    <n v="0"/>
    <n v="0"/>
    <n v="0"/>
    <n v="0"/>
    <n v="5021.240487062405"/>
    <n v="0"/>
    <n v="0"/>
    <n v="5081.3099999999995"/>
    <n v="0"/>
    <n v="0"/>
    <n v="0"/>
    <n v="0"/>
    <n v="0"/>
    <n v="0"/>
    <n v="0"/>
    <n v="0"/>
    <n v="45191.164383561641"/>
    <n v="0"/>
    <n v="0"/>
    <n v="45731.789999999994"/>
    <n v="0"/>
    <n v="45731.789999999994"/>
    <n v="45191.164383561641"/>
    <n v="0"/>
    <n v="0"/>
    <n v="0"/>
    <n v="0"/>
    <n v="0"/>
    <n v="0"/>
    <n v="0"/>
    <n v="66"/>
    <n v="0"/>
    <n v="0"/>
    <n v="58"/>
    <n v="0"/>
    <n v="58"/>
    <n v="66"/>
    <n v="0"/>
    <n v="0"/>
    <n v="0"/>
    <n v="0"/>
    <n v="0"/>
    <n v="0"/>
    <n v="0"/>
    <n v="2982616.8493150682"/>
    <n v="0"/>
    <n v="0"/>
    <n v="2652443.8199999998"/>
    <n v="0"/>
    <n v="2652443.8199999998"/>
    <n v="2982616.8493150682"/>
  </r>
  <r>
    <x v="9"/>
    <s v="Bladen Community College"/>
    <m/>
    <n v="198011"/>
    <x v="8"/>
    <m/>
    <m/>
    <m/>
    <m/>
    <m/>
    <m/>
    <m/>
    <m/>
    <m/>
    <m/>
    <m/>
    <m/>
    <m/>
    <m/>
    <m/>
    <m/>
    <m/>
    <m/>
    <m/>
    <m/>
    <m/>
    <m/>
    <m/>
    <m/>
    <m/>
    <m/>
    <m/>
    <m/>
    <m/>
    <m/>
    <m/>
    <m/>
    <m/>
    <m/>
    <m/>
    <n v="55"/>
    <m/>
    <m/>
    <m/>
    <m/>
    <n v="54"/>
    <m/>
    <m/>
    <m/>
    <m/>
    <m/>
    <m/>
    <m/>
    <n v="0"/>
    <m/>
    <n v="0"/>
    <m/>
    <n v="0"/>
    <m/>
    <n v="0"/>
    <m/>
    <n v="0"/>
    <n v="3095522"/>
    <n v="2828374.1999999997"/>
    <m/>
    <n v="0"/>
    <n v="0"/>
    <n v="0"/>
    <n v="0"/>
    <n v="0"/>
    <n v="0"/>
    <n v="0"/>
    <n v="0"/>
    <n v="0"/>
    <n v="550"/>
    <n v="486"/>
    <n v="0"/>
    <n v="0"/>
    <n v="0"/>
    <n v="0"/>
    <n v="0"/>
    <n v="0"/>
    <n v="0"/>
    <n v="0"/>
    <n v="0"/>
    <n v="0"/>
    <n v="5628.221818181818"/>
    <n v="5819.7"/>
    <n v="0"/>
    <n v="0"/>
    <n v="0"/>
    <n v="0"/>
    <n v="0"/>
    <n v="0"/>
    <n v="0"/>
    <n v="0"/>
    <n v="0"/>
    <n v="0"/>
    <n v="50653.996363636361"/>
    <n v="52377.299999999996"/>
    <n v="0"/>
    <n v="52377.299999999996"/>
    <n v="50653.996363636361"/>
    <n v="0"/>
    <n v="0"/>
    <n v="0"/>
    <n v="0"/>
    <n v="0"/>
    <n v="0"/>
    <n v="0"/>
    <n v="0"/>
    <n v="0"/>
    <n v="55"/>
    <n v="54"/>
    <n v="0"/>
    <n v="54"/>
    <n v="55"/>
    <n v="0"/>
    <n v="0"/>
    <n v="0"/>
    <n v="0"/>
    <n v="0"/>
    <n v="0"/>
    <n v="0"/>
    <n v="0"/>
    <n v="0"/>
    <n v="2785969.8"/>
    <n v="2828374.1999999997"/>
    <n v="0"/>
    <n v="2828374.1999999997"/>
    <n v="2785969.8"/>
  </r>
  <r>
    <x v="9"/>
    <s v="Blue Ridge Community College"/>
    <m/>
    <n v="198039"/>
    <x v="8"/>
    <m/>
    <m/>
    <m/>
    <m/>
    <m/>
    <m/>
    <m/>
    <m/>
    <m/>
    <m/>
    <m/>
    <m/>
    <m/>
    <m/>
    <m/>
    <m/>
    <m/>
    <m/>
    <m/>
    <m/>
    <m/>
    <m/>
    <m/>
    <m/>
    <m/>
    <m/>
    <m/>
    <m/>
    <m/>
    <m/>
    <m/>
    <m/>
    <m/>
    <n v="55"/>
    <m/>
    <m/>
    <m/>
    <m/>
    <m/>
    <n v="10"/>
    <n v="63"/>
    <m/>
    <m/>
    <m/>
    <m/>
    <m/>
    <m/>
    <m/>
    <n v="0"/>
    <m/>
    <n v="0"/>
    <m/>
    <n v="0"/>
    <m/>
    <n v="0"/>
    <m/>
    <n v="0"/>
    <n v="3168734"/>
    <n v="2814865.8299999996"/>
    <m/>
    <n v="0"/>
    <n v="0"/>
    <n v="0"/>
    <n v="0"/>
    <n v="0"/>
    <n v="0"/>
    <n v="0"/>
    <n v="0"/>
    <n v="0"/>
    <n v="615"/>
    <n v="567"/>
    <n v="0"/>
    <n v="0"/>
    <n v="0"/>
    <n v="0"/>
    <n v="0"/>
    <n v="0"/>
    <n v="0"/>
    <n v="0"/>
    <n v="0"/>
    <n v="0"/>
    <n v="5152.4130081300809"/>
    <n v="4964.4899999999989"/>
    <n v="0"/>
    <n v="0"/>
    <n v="0"/>
    <n v="0"/>
    <n v="0"/>
    <n v="0"/>
    <n v="0"/>
    <n v="0"/>
    <n v="0"/>
    <n v="0"/>
    <n v="46371.71707317073"/>
    <n v="44680.409999999989"/>
    <n v="0"/>
    <n v="44680.409999999989"/>
    <n v="46371.71707317073"/>
    <n v="0"/>
    <n v="0"/>
    <n v="0"/>
    <n v="0"/>
    <n v="0"/>
    <n v="0"/>
    <n v="0"/>
    <n v="0"/>
    <n v="0"/>
    <n v="65"/>
    <n v="63"/>
    <n v="0"/>
    <n v="63"/>
    <n v="65"/>
    <n v="0"/>
    <n v="0"/>
    <n v="0"/>
    <n v="0"/>
    <n v="0"/>
    <n v="0"/>
    <n v="0"/>
    <n v="0"/>
    <n v="0"/>
    <n v="3014161.6097560977"/>
    <n v="2814865.8299999991"/>
    <n v="0"/>
    <n v="2814865.8299999991"/>
    <n v="3014161.6097560977"/>
  </r>
  <r>
    <x v="9"/>
    <s v="Brunswick Community College"/>
    <m/>
    <n v="198084"/>
    <x v="8"/>
    <m/>
    <m/>
    <m/>
    <m/>
    <m/>
    <m/>
    <m/>
    <m/>
    <m/>
    <m/>
    <m/>
    <m/>
    <m/>
    <m/>
    <m/>
    <m/>
    <m/>
    <m/>
    <m/>
    <m/>
    <m/>
    <m/>
    <m/>
    <m/>
    <m/>
    <n v="16"/>
    <m/>
    <n v="4"/>
    <m/>
    <n v="1"/>
    <m/>
    <n v="18"/>
    <m/>
    <m/>
    <m/>
    <m/>
    <m/>
    <m/>
    <m/>
    <m/>
    <n v="43"/>
    <m/>
    <m/>
    <m/>
    <m/>
    <m/>
    <m/>
    <m/>
    <n v="0"/>
    <m/>
    <n v="0"/>
    <m/>
    <n v="0"/>
    <m/>
    <n v="0"/>
    <n v="2016840"/>
    <n v="0"/>
    <m/>
    <n v="1877302.1700000002"/>
    <m/>
    <n v="0"/>
    <n v="0"/>
    <n v="0"/>
    <n v="0"/>
    <n v="0"/>
    <n v="0"/>
    <n v="0"/>
    <n v="411"/>
    <n v="0"/>
    <n v="0"/>
    <n v="387"/>
    <n v="0"/>
    <n v="0"/>
    <n v="0"/>
    <n v="0"/>
    <n v="0"/>
    <n v="0"/>
    <n v="0"/>
    <n v="0"/>
    <n v="4907.1532846715327"/>
    <n v="0"/>
    <n v="0"/>
    <n v="4850.9100000000008"/>
    <n v="0"/>
    <n v="0"/>
    <n v="0"/>
    <n v="0"/>
    <n v="0"/>
    <n v="0"/>
    <n v="0"/>
    <n v="0"/>
    <n v="44164.379562043796"/>
    <n v="0"/>
    <n v="0"/>
    <n v="43658.19000000001"/>
    <n v="0"/>
    <n v="43658.19000000001"/>
    <n v="44164.379562043796"/>
    <n v="0"/>
    <n v="0"/>
    <n v="0"/>
    <n v="0"/>
    <n v="0"/>
    <n v="0"/>
    <n v="0"/>
    <n v="39"/>
    <n v="0"/>
    <n v="0"/>
    <n v="43"/>
    <n v="0"/>
    <n v="43"/>
    <n v="39"/>
    <n v="0"/>
    <n v="0"/>
    <n v="0"/>
    <n v="0"/>
    <n v="0"/>
    <n v="0"/>
    <n v="0"/>
    <n v="1722410.802919708"/>
    <n v="0"/>
    <n v="0"/>
    <n v="1877302.1700000004"/>
    <n v="0"/>
    <n v="1877302.1700000004"/>
    <n v="1722410.802919708"/>
  </r>
  <r>
    <x v="9"/>
    <s v="Carteret Community College"/>
    <m/>
    <n v="198206"/>
    <x v="8"/>
    <m/>
    <m/>
    <m/>
    <m/>
    <m/>
    <m/>
    <m/>
    <m/>
    <m/>
    <m/>
    <m/>
    <m/>
    <m/>
    <m/>
    <m/>
    <m/>
    <m/>
    <m/>
    <m/>
    <m/>
    <m/>
    <m/>
    <m/>
    <m/>
    <m/>
    <m/>
    <m/>
    <m/>
    <m/>
    <m/>
    <m/>
    <m/>
    <m/>
    <m/>
    <m/>
    <m/>
    <m/>
    <m/>
    <m/>
    <m/>
    <n v="58"/>
    <m/>
    <m/>
    <m/>
    <m/>
    <m/>
    <m/>
    <m/>
    <n v="0"/>
    <m/>
    <n v="0"/>
    <m/>
    <n v="0"/>
    <m/>
    <n v="0"/>
    <m/>
    <n v="0"/>
    <m/>
    <n v="2652130.62"/>
    <m/>
    <n v="0"/>
    <n v="0"/>
    <n v="0"/>
    <n v="0"/>
    <n v="0"/>
    <n v="0"/>
    <n v="0"/>
    <n v="0"/>
    <n v="0"/>
    <n v="0"/>
    <n v="522"/>
    <n v="0"/>
    <n v="0"/>
    <n v="0"/>
    <n v="0"/>
    <n v="0"/>
    <n v="0"/>
    <n v="0"/>
    <n v="0"/>
    <n v="0"/>
    <n v="0"/>
    <n v="0"/>
    <n v="5080.71"/>
    <n v="0"/>
    <n v="0"/>
    <n v="0"/>
    <n v="0"/>
    <n v="0"/>
    <n v="0"/>
    <n v="0"/>
    <n v="0"/>
    <n v="0"/>
    <n v="0"/>
    <n v="0"/>
    <n v="45726.39"/>
    <n v="0"/>
    <n v="45726.39"/>
    <n v="0"/>
    <n v="0"/>
    <n v="0"/>
    <n v="0"/>
    <n v="0"/>
    <n v="0"/>
    <n v="0"/>
    <n v="0"/>
    <n v="0"/>
    <n v="0"/>
    <n v="0"/>
    <n v="58"/>
    <n v="0"/>
    <n v="58"/>
    <n v="0"/>
    <n v="0"/>
    <n v="0"/>
    <n v="0"/>
    <n v="0"/>
    <n v="0"/>
    <n v="0"/>
    <n v="0"/>
    <n v="0"/>
    <n v="0"/>
    <n v="0"/>
    <n v="2652130.62"/>
    <n v="0"/>
    <n v="2652130.62"/>
    <n v="0"/>
  </r>
  <r>
    <x v="9"/>
    <s v="College of the Albemarle"/>
    <s v="Met the criteria for Two-Year 2 in 2012-13."/>
    <n v="197814"/>
    <x v="8"/>
    <m/>
    <m/>
    <m/>
    <m/>
    <m/>
    <m/>
    <m/>
    <m/>
    <m/>
    <m/>
    <m/>
    <m/>
    <m/>
    <m/>
    <m/>
    <m/>
    <m/>
    <m/>
    <m/>
    <m/>
    <m/>
    <m/>
    <m/>
    <m/>
    <m/>
    <m/>
    <m/>
    <m/>
    <m/>
    <m/>
    <m/>
    <m/>
    <m/>
    <n v="75"/>
    <m/>
    <m/>
    <m/>
    <m/>
    <m/>
    <n v="5"/>
    <n v="76"/>
    <m/>
    <m/>
    <m/>
    <m/>
    <m/>
    <m/>
    <m/>
    <n v="0"/>
    <m/>
    <n v="0"/>
    <m/>
    <n v="0"/>
    <m/>
    <n v="0"/>
    <m/>
    <n v="0"/>
    <n v="3684942"/>
    <n v="3331770.8400000003"/>
    <m/>
    <n v="0"/>
    <n v="0"/>
    <n v="0"/>
    <n v="0"/>
    <n v="0"/>
    <n v="0"/>
    <n v="0"/>
    <n v="0"/>
    <n v="0"/>
    <n v="735"/>
    <n v="684"/>
    <n v="0"/>
    <n v="0"/>
    <n v="0"/>
    <n v="0"/>
    <n v="0"/>
    <n v="0"/>
    <n v="0"/>
    <n v="0"/>
    <n v="0"/>
    <n v="0"/>
    <n v="5013.5265306122446"/>
    <n v="4871.01"/>
    <n v="0"/>
    <n v="0"/>
    <n v="0"/>
    <n v="0"/>
    <n v="0"/>
    <n v="0"/>
    <n v="0"/>
    <n v="0"/>
    <n v="0"/>
    <n v="0"/>
    <n v="45121.738775510203"/>
    <n v="43839.090000000004"/>
    <n v="0"/>
    <n v="43839.090000000004"/>
    <n v="45121.738775510203"/>
    <n v="0"/>
    <n v="0"/>
    <n v="0"/>
    <n v="0"/>
    <n v="0"/>
    <n v="0"/>
    <n v="0"/>
    <n v="0"/>
    <n v="0"/>
    <n v="80"/>
    <n v="76"/>
    <n v="0"/>
    <n v="76"/>
    <n v="80"/>
    <n v="0"/>
    <n v="0"/>
    <n v="0"/>
    <n v="0"/>
    <n v="0"/>
    <n v="0"/>
    <n v="0"/>
    <n v="0"/>
    <n v="0"/>
    <n v="3609739.1020408161"/>
    <n v="3331770.8400000003"/>
    <n v="0"/>
    <n v="3331770.8400000003"/>
    <n v="3609739.1020408161"/>
  </r>
  <r>
    <x v="9"/>
    <s v="Halifax Community College "/>
    <m/>
    <n v="198640"/>
    <x v="8"/>
    <m/>
    <m/>
    <m/>
    <m/>
    <m/>
    <m/>
    <m/>
    <m/>
    <m/>
    <m/>
    <m/>
    <m/>
    <m/>
    <m/>
    <m/>
    <m/>
    <m/>
    <m/>
    <m/>
    <m/>
    <m/>
    <m/>
    <m/>
    <m/>
    <m/>
    <m/>
    <m/>
    <m/>
    <m/>
    <m/>
    <m/>
    <m/>
    <m/>
    <m/>
    <m/>
    <n v="16"/>
    <m/>
    <m/>
    <m/>
    <n v="1"/>
    <n v="55"/>
    <m/>
    <m/>
    <m/>
    <m/>
    <m/>
    <m/>
    <m/>
    <n v="0"/>
    <m/>
    <n v="0"/>
    <m/>
    <n v="0"/>
    <m/>
    <n v="0"/>
    <m/>
    <n v="0"/>
    <n v="822325"/>
    <n v="2393839.7999999998"/>
    <m/>
    <n v="0"/>
    <n v="0"/>
    <n v="0"/>
    <n v="0"/>
    <n v="0"/>
    <n v="0"/>
    <n v="0"/>
    <n v="0"/>
    <n v="0"/>
    <n v="172"/>
    <n v="495"/>
    <n v="0"/>
    <n v="0"/>
    <n v="0"/>
    <n v="0"/>
    <n v="0"/>
    <n v="0"/>
    <n v="0"/>
    <n v="0"/>
    <n v="0"/>
    <n v="0"/>
    <n v="4780.9593023255811"/>
    <n v="4836.04"/>
    <n v="0"/>
    <n v="0"/>
    <n v="0"/>
    <n v="0"/>
    <n v="0"/>
    <n v="0"/>
    <n v="0"/>
    <n v="0"/>
    <n v="0"/>
    <n v="0"/>
    <n v="43028.633720930229"/>
    <n v="43524.36"/>
    <n v="0"/>
    <n v="43524.359999999993"/>
    <n v="43028.633720930229"/>
    <n v="0"/>
    <n v="0"/>
    <n v="0"/>
    <n v="0"/>
    <n v="0"/>
    <n v="0"/>
    <n v="0"/>
    <n v="0"/>
    <n v="0"/>
    <n v="17"/>
    <n v="55"/>
    <n v="0"/>
    <n v="55"/>
    <n v="17"/>
    <n v="0"/>
    <n v="0"/>
    <n v="0"/>
    <n v="0"/>
    <n v="0"/>
    <n v="0"/>
    <n v="0"/>
    <n v="0"/>
    <n v="0"/>
    <n v="731486.77325581387"/>
    <n v="2393839.7999999998"/>
    <n v="0"/>
    <n v="2393839.7999999998"/>
    <n v="731486.77325581387"/>
  </r>
  <r>
    <x v="9"/>
    <s v="James Sprunt Community College"/>
    <m/>
    <n v="198729"/>
    <x v="8"/>
    <m/>
    <m/>
    <m/>
    <m/>
    <m/>
    <m/>
    <m/>
    <m/>
    <m/>
    <m/>
    <m/>
    <m/>
    <m/>
    <m/>
    <m/>
    <m/>
    <m/>
    <m/>
    <m/>
    <m/>
    <m/>
    <m/>
    <m/>
    <m/>
    <m/>
    <m/>
    <m/>
    <m/>
    <m/>
    <m/>
    <m/>
    <m/>
    <m/>
    <n v="4"/>
    <m/>
    <m/>
    <m/>
    <m/>
    <m/>
    <n v="36"/>
    <n v="46"/>
    <m/>
    <m/>
    <m/>
    <m/>
    <m/>
    <m/>
    <m/>
    <n v="0"/>
    <m/>
    <n v="0"/>
    <m/>
    <n v="0"/>
    <m/>
    <n v="0"/>
    <m/>
    <n v="0"/>
    <n v="1890435"/>
    <n v="2038184.0999999999"/>
    <m/>
    <n v="0"/>
    <n v="0"/>
    <n v="0"/>
    <n v="0"/>
    <n v="0"/>
    <n v="0"/>
    <n v="0"/>
    <n v="0"/>
    <n v="0"/>
    <n v="468"/>
    <n v="414"/>
    <n v="0"/>
    <n v="0"/>
    <n v="0"/>
    <n v="0"/>
    <n v="0"/>
    <n v="0"/>
    <n v="0"/>
    <n v="0"/>
    <n v="0"/>
    <n v="0"/>
    <n v="4039.3910256410259"/>
    <n v="4923.1499999999996"/>
    <n v="0"/>
    <n v="0"/>
    <n v="0"/>
    <n v="0"/>
    <n v="0"/>
    <n v="0"/>
    <n v="0"/>
    <n v="0"/>
    <n v="0"/>
    <n v="0"/>
    <n v="36354.519230769234"/>
    <n v="44308.35"/>
    <n v="0"/>
    <n v="44308.35"/>
    <n v="36354.519230769234"/>
    <n v="0"/>
    <n v="0"/>
    <n v="0"/>
    <n v="0"/>
    <n v="0"/>
    <n v="0"/>
    <n v="0"/>
    <n v="0"/>
    <n v="0"/>
    <n v="40"/>
    <n v="46"/>
    <n v="0"/>
    <n v="46"/>
    <n v="40"/>
    <n v="0"/>
    <n v="0"/>
    <n v="0"/>
    <n v="0"/>
    <n v="0"/>
    <n v="0"/>
    <n v="0"/>
    <n v="0"/>
    <n v="0"/>
    <n v="1454180.7692307695"/>
    <n v="2038184.0999999999"/>
    <n v="0"/>
    <n v="2038184.0999999999"/>
    <n v="1454180.7692307695"/>
  </r>
  <r>
    <x v="9"/>
    <s v="Martin Community College "/>
    <m/>
    <n v="198905"/>
    <x v="8"/>
    <m/>
    <m/>
    <m/>
    <m/>
    <m/>
    <m/>
    <m/>
    <m/>
    <m/>
    <m/>
    <m/>
    <m/>
    <m/>
    <m/>
    <m/>
    <m/>
    <m/>
    <m/>
    <m/>
    <m/>
    <m/>
    <m/>
    <m/>
    <m/>
    <m/>
    <m/>
    <m/>
    <m/>
    <m/>
    <m/>
    <m/>
    <m/>
    <m/>
    <n v="15"/>
    <m/>
    <m/>
    <m/>
    <m/>
    <m/>
    <n v="1"/>
    <n v="22"/>
    <m/>
    <m/>
    <m/>
    <m/>
    <m/>
    <m/>
    <m/>
    <n v="0"/>
    <m/>
    <n v="0"/>
    <m/>
    <n v="0"/>
    <m/>
    <n v="0"/>
    <m/>
    <n v="0"/>
    <n v="700209"/>
    <n v="965366.82"/>
    <m/>
    <n v="0"/>
    <n v="0"/>
    <n v="0"/>
    <n v="0"/>
    <n v="0"/>
    <n v="0"/>
    <n v="0"/>
    <n v="0"/>
    <n v="0"/>
    <n v="147"/>
    <n v="198"/>
    <n v="0"/>
    <n v="0"/>
    <n v="0"/>
    <n v="0"/>
    <n v="0"/>
    <n v="0"/>
    <n v="0"/>
    <n v="0"/>
    <n v="0"/>
    <n v="0"/>
    <n v="4763.3265306122448"/>
    <n v="4875.59"/>
    <n v="0"/>
    <n v="0"/>
    <n v="0"/>
    <n v="0"/>
    <n v="0"/>
    <n v="0"/>
    <n v="0"/>
    <n v="0"/>
    <n v="0"/>
    <n v="0"/>
    <n v="42869.938775510207"/>
    <n v="43880.31"/>
    <n v="0"/>
    <n v="43880.31"/>
    <n v="42869.938775510207"/>
    <n v="0"/>
    <n v="0"/>
    <n v="0"/>
    <n v="0"/>
    <n v="0"/>
    <n v="0"/>
    <n v="0"/>
    <n v="0"/>
    <n v="0"/>
    <n v="16"/>
    <n v="22"/>
    <n v="0"/>
    <n v="22"/>
    <n v="16"/>
    <n v="0"/>
    <n v="0"/>
    <n v="0"/>
    <n v="0"/>
    <n v="0"/>
    <n v="0"/>
    <n v="0"/>
    <n v="0"/>
    <n v="0"/>
    <n v="685919.02040816331"/>
    <n v="965366.82"/>
    <n v="0"/>
    <n v="965366.82"/>
    <n v="685919.02040816331"/>
  </r>
  <r>
    <x v="9"/>
    <s v="Mayland Community College"/>
    <m/>
    <n v="198914"/>
    <x v="8"/>
    <m/>
    <m/>
    <m/>
    <m/>
    <m/>
    <m/>
    <m/>
    <m/>
    <m/>
    <m/>
    <m/>
    <m/>
    <m/>
    <m/>
    <m/>
    <m/>
    <m/>
    <m/>
    <m/>
    <m/>
    <m/>
    <m/>
    <m/>
    <m/>
    <m/>
    <n v="35"/>
    <m/>
    <m/>
    <m/>
    <m/>
    <m/>
    <n v="8"/>
    <m/>
    <m/>
    <m/>
    <m/>
    <m/>
    <m/>
    <m/>
    <m/>
    <n v="39"/>
    <m/>
    <m/>
    <m/>
    <m/>
    <m/>
    <m/>
    <m/>
    <n v="0"/>
    <m/>
    <n v="0"/>
    <m/>
    <n v="0"/>
    <m/>
    <n v="0"/>
    <n v="2222652"/>
    <n v="0"/>
    <m/>
    <n v="1711430.37"/>
    <m/>
    <n v="0"/>
    <n v="0"/>
    <n v="0"/>
    <n v="0"/>
    <n v="0"/>
    <n v="0"/>
    <n v="0"/>
    <n v="411"/>
    <n v="0"/>
    <n v="0"/>
    <n v="351"/>
    <n v="0"/>
    <n v="0"/>
    <n v="0"/>
    <n v="0"/>
    <n v="0"/>
    <n v="0"/>
    <n v="0"/>
    <n v="0"/>
    <n v="5407.9124087591244"/>
    <n v="0"/>
    <n v="0"/>
    <n v="4875.87"/>
    <n v="0"/>
    <n v="0"/>
    <n v="0"/>
    <n v="0"/>
    <n v="0"/>
    <n v="0"/>
    <n v="0"/>
    <n v="0"/>
    <n v="48671.211678832122"/>
    <n v="0"/>
    <n v="0"/>
    <n v="43882.83"/>
    <n v="0"/>
    <n v="43882.83"/>
    <n v="48671.211678832122"/>
    <n v="0"/>
    <n v="0"/>
    <n v="0"/>
    <n v="0"/>
    <n v="0"/>
    <n v="0"/>
    <n v="0"/>
    <n v="43"/>
    <n v="0"/>
    <n v="0"/>
    <n v="39"/>
    <n v="0"/>
    <n v="39"/>
    <n v="43"/>
    <n v="0"/>
    <n v="0"/>
    <n v="0"/>
    <n v="0"/>
    <n v="0"/>
    <n v="0"/>
    <n v="0"/>
    <n v="2092862.1021897811"/>
    <n v="0"/>
    <n v="0"/>
    <n v="1711430.37"/>
    <n v="0"/>
    <n v="1711430.37"/>
    <n v="2092862.1021897811"/>
  </r>
  <r>
    <x v="9"/>
    <s v="McDowell Technical Community College"/>
    <m/>
    <n v="198923"/>
    <x v="8"/>
    <m/>
    <m/>
    <m/>
    <m/>
    <m/>
    <m/>
    <m/>
    <m/>
    <m/>
    <m/>
    <m/>
    <m/>
    <m/>
    <m/>
    <m/>
    <m/>
    <m/>
    <m/>
    <m/>
    <m/>
    <m/>
    <m/>
    <m/>
    <m/>
    <m/>
    <n v="48"/>
    <m/>
    <m/>
    <m/>
    <m/>
    <m/>
    <m/>
    <m/>
    <m/>
    <m/>
    <m/>
    <m/>
    <m/>
    <m/>
    <m/>
    <n v="45"/>
    <m/>
    <m/>
    <m/>
    <m/>
    <m/>
    <m/>
    <m/>
    <n v="0"/>
    <m/>
    <n v="0"/>
    <m/>
    <n v="0"/>
    <m/>
    <n v="0"/>
    <n v="2133692"/>
    <n v="0"/>
    <m/>
    <n v="2115549.9"/>
    <m/>
    <n v="0"/>
    <n v="0"/>
    <n v="0"/>
    <n v="0"/>
    <n v="0"/>
    <n v="0"/>
    <n v="0"/>
    <n v="432"/>
    <n v="0"/>
    <n v="0"/>
    <n v="405"/>
    <n v="0"/>
    <n v="0"/>
    <n v="0"/>
    <n v="0"/>
    <n v="0"/>
    <n v="0"/>
    <n v="0"/>
    <n v="0"/>
    <n v="4939.1018518518522"/>
    <n v="0"/>
    <n v="0"/>
    <n v="5223.58"/>
    <n v="0"/>
    <n v="0"/>
    <n v="0"/>
    <n v="0"/>
    <n v="0"/>
    <n v="0"/>
    <n v="0"/>
    <n v="0"/>
    <n v="44451.916666666672"/>
    <n v="0"/>
    <n v="0"/>
    <n v="47012.22"/>
    <n v="0"/>
    <n v="47012.22"/>
    <n v="44451.916666666664"/>
    <n v="0"/>
    <n v="0"/>
    <n v="0"/>
    <n v="0"/>
    <n v="0"/>
    <n v="0"/>
    <n v="0"/>
    <n v="48"/>
    <n v="0"/>
    <n v="0"/>
    <n v="45"/>
    <n v="0"/>
    <n v="45"/>
    <n v="48"/>
    <n v="0"/>
    <n v="0"/>
    <n v="0"/>
    <n v="0"/>
    <n v="0"/>
    <n v="0"/>
    <n v="0"/>
    <n v="2133692"/>
    <n v="0"/>
    <n v="0"/>
    <n v="2115549.9"/>
    <n v="0"/>
    <n v="2115549.9"/>
    <n v="2133692"/>
  </r>
  <r>
    <x v="9"/>
    <s v="Montgomery Community College"/>
    <m/>
    <n v="199023"/>
    <x v="8"/>
    <m/>
    <m/>
    <m/>
    <m/>
    <m/>
    <m/>
    <m/>
    <m/>
    <m/>
    <m/>
    <m/>
    <m/>
    <m/>
    <m/>
    <m/>
    <m/>
    <m/>
    <m/>
    <m/>
    <m/>
    <m/>
    <m/>
    <m/>
    <m/>
    <m/>
    <m/>
    <m/>
    <m/>
    <m/>
    <m/>
    <m/>
    <m/>
    <m/>
    <n v="10"/>
    <m/>
    <n v="10"/>
    <m/>
    <m/>
    <m/>
    <n v="18"/>
    <n v="34"/>
    <m/>
    <m/>
    <m/>
    <m/>
    <m/>
    <m/>
    <m/>
    <n v="0"/>
    <m/>
    <n v="0"/>
    <m/>
    <n v="0"/>
    <m/>
    <n v="0"/>
    <m/>
    <n v="0"/>
    <n v="1892018"/>
    <n v="1433628.36"/>
    <m/>
    <n v="0"/>
    <n v="0"/>
    <n v="0"/>
    <n v="0"/>
    <n v="0"/>
    <n v="0"/>
    <n v="0"/>
    <n v="0"/>
    <n v="0"/>
    <n v="406"/>
    <n v="306"/>
    <n v="0"/>
    <n v="0"/>
    <n v="0"/>
    <n v="0"/>
    <n v="0"/>
    <n v="0"/>
    <n v="0"/>
    <n v="0"/>
    <n v="0"/>
    <n v="0"/>
    <n v="4660.1428571428569"/>
    <n v="4685.0600000000004"/>
    <n v="0"/>
    <n v="0"/>
    <n v="0"/>
    <n v="0"/>
    <n v="0"/>
    <n v="0"/>
    <n v="0"/>
    <n v="0"/>
    <n v="0"/>
    <n v="0"/>
    <n v="41941.28571428571"/>
    <n v="42165.54"/>
    <n v="0"/>
    <n v="42165.54"/>
    <n v="41941.28571428571"/>
    <n v="0"/>
    <n v="0"/>
    <n v="0"/>
    <n v="0"/>
    <n v="0"/>
    <n v="0"/>
    <n v="0"/>
    <n v="0"/>
    <n v="0"/>
    <n v="38"/>
    <n v="34"/>
    <n v="0"/>
    <n v="34"/>
    <n v="38"/>
    <n v="0"/>
    <n v="0"/>
    <n v="0"/>
    <n v="0"/>
    <n v="0"/>
    <n v="0"/>
    <n v="0"/>
    <n v="0"/>
    <n v="0"/>
    <n v="1593768.857142857"/>
    <n v="1433628.36"/>
    <n v="0"/>
    <n v="1433628.36"/>
    <n v="1593768.857142857"/>
  </r>
  <r>
    <x v="9"/>
    <s v="Pamlico Community College"/>
    <m/>
    <n v="199263"/>
    <x v="8"/>
    <m/>
    <m/>
    <m/>
    <m/>
    <m/>
    <m/>
    <m/>
    <m/>
    <m/>
    <m/>
    <m/>
    <m/>
    <m/>
    <m/>
    <m/>
    <m/>
    <m/>
    <m/>
    <m/>
    <m/>
    <m/>
    <m/>
    <m/>
    <m/>
    <m/>
    <n v="10"/>
    <m/>
    <m/>
    <m/>
    <n v="5"/>
    <m/>
    <n v="13"/>
    <m/>
    <m/>
    <m/>
    <m/>
    <m/>
    <m/>
    <m/>
    <m/>
    <n v="18"/>
    <m/>
    <m/>
    <m/>
    <m/>
    <m/>
    <m/>
    <m/>
    <n v="0"/>
    <m/>
    <n v="0"/>
    <m/>
    <n v="0"/>
    <m/>
    <n v="0"/>
    <n v="1431971"/>
    <n v="0"/>
    <m/>
    <n v="817056.72"/>
    <m/>
    <n v="0"/>
    <n v="0"/>
    <n v="0"/>
    <n v="0"/>
    <n v="0"/>
    <n v="0"/>
    <n v="0"/>
    <n v="301"/>
    <n v="0"/>
    <n v="0"/>
    <n v="162"/>
    <n v="0"/>
    <n v="0"/>
    <n v="0"/>
    <n v="0"/>
    <n v="0"/>
    <n v="0"/>
    <n v="0"/>
    <n v="0"/>
    <n v="4757.3787375415286"/>
    <n v="0"/>
    <n v="0"/>
    <n v="5043.5599999999995"/>
    <n v="0"/>
    <n v="0"/>
    <n v="0"/>
    <n v="0"/>
    <n v="0"/>
    <n v="0"/>
    <n v="0"/>
    <n v="0"/>
    <n v="42816.408637873756"/>
    <n v="0"/>
    <n v="0"/>
    <n v="45392.039999999994"/>
    <n v="0"/>
    <n v="45392.039999999994"/>
    <n v="42816.408637873756"/>
    <n v="0"/>
    <n v="0"/>
    <n v="0"/>
    <n v="0"/>
    <n v="0"/>
    <n v="0"/>
    <n v="0"/>
    <n v="28"/>
    <n v="0"/>
    <n v="0"/>
    <n v="18"/>
    <n v="0"/>
    <n v="18"/>
    <n v="28"/>
    <n v="0"/>
    <n v="0"/>
    <n v="0"/>
    <n v="0"/>
    <n v="0"/>
    <n v="0"/>
    <n v="0"/>
    <n v="1198859.4418604651"/>
    <n v="0"/>
    <n v="0"/>
    <n v="817056.71999999986"/>
    <n v="0"/>
    <n v="817056.71999999986"/>
    <n v="1198859.4418604651"/>
  </r>
  <r>
    <x v="9"/>
    <s v="Piedmont Community College"/>
    <m/>
    <n v="199324"/>
    <x v="8"/>
    <m/>
    <m/>
    <m/>
    <m/>
    <m/>
    <m/>
    <m/>
    <m/>
    <m/>
    <m/>
    <m/>
    <m/>
    <m/>
    <m/>
    <m/>
    <m/>
    <m/>
    <m/>
    <m/>
    <m/>
    <m/>
    <m/>
    <m/>
    <m/>
    <m/>
    <m/>
    <m/>
    <m/>
    <m/>
    <m/>
    <m/>
    <m/>
    <m/>
    <n v="81"/>
    <m/>
    <n v="2"/>
    <m/>
    <m/>
    <m/>
    <n v="3"/>
    <n v="71"/>
    <m/>
    <m/>
    <m/>
    <m/>
    <m/>
    <m/>
    <m/>
    <n v="0"/>
    <m/>
    <n v="0"/>
    <m/>
    <n v="0"/>
    <m/>
    <n v="0"/>
    <m/>
    <n v="0"/>
    <n v="3960626"/>
    <n v="3364373.34"/>
    <m/>
    <n v="0"/>
    <n v="0"/>
    <n v="0"/>
    <n v="0"/>
    <n v="0"/>
    <n v="0"/>
    <n v="0"/>
    <n v="0"/>
    <n v="0"/>
    <n v="785"/>
    <n v="639"/>
    <n v="0"/>
    <n v="0"/>
    <n v="0"/>
    <n v="0"/>
    <n v="0"/>
    <n v="0"/>
    <n v="0"/>
    <n v="0"/>
    <n v="0"/>
    <n v="0"/>
    <n v="5045.3834394904461"/>
    <n v="5265.0599999999995"/>
    <n v="0"/>
    <n v="0"/>
    <n v="0"/>
    <n v="0"/>
    <n v="0"/>
    <n v="0"/>
    <n v="0"/>
    <n v="0"/>
    <n v="0"/>
    <n v="0"/>
    <n v="45408.450955414017"/>
    <n v="47385.539999999994"/>
    <n v="0"/>
    <n v="47385.539999999994"/>
    <n v="45408.450955414017"/>
    <n v="0"/>
    <n v="0"/>
    <n v="0"/>
    <n v="0"/>
    <n v="0"/>
    <n v="0"/>
    <n v="0"/>
    <n v="0"/>
    <n v="0"/>
    <n v="86"/>
    <n v="71"/>
    <n v="0"/>
    <n v="71"/>
    <n v="86"/>
    <n v="0"/>
    <n v="0"/>
    <n v="0"/>
    <n v="0"/>
    <n v="0"/>
    <n v="0"/>
    <n v="0"/>
    <n v="0"/>
    <n v="0"/>
    <n v="3905126.7821656056"/>
    <n v="3364373.3399999994"/>
    <n v="0"/>
    <n v="3364373.3399999994"/>
    <n v="3905126.7821656056"/>
  </r>
  <r>
    <x v="9"/>
    <s v="Richmond Community College"/>
    <s v="Met the criteria for Two-Year 2 in 2012-13."/>
    <n v="199449"/>
    <x v="8"/>
    <m/>
    <m/>
    <m/>
    <m/>
    <m/>
    <m/>
    <m/>
    <m/>
    <m/>
    <m/>
    <m/>
    <m/>
    <m/>
    <m/>
    <m/>
    <m/>
    <m/>
    <m/>
    <m/>
    <m/>
    <m/>
    <m/>
    <m/>
    <m/>
    <m/>
    <m/>
    <m/>
    <m/>
    <m/>
    <m/>
    <m/>
    <m/>
    <m/>
    <n v="56"/>
    <m/>
    <m/>
    <m/>
    <m/>
    <m/>
    <n v="21"/>
    <n v="62"/>
    <m/>
    <m/>
    <m/>
    <m/>
    <m/>
    <m/>
    <m/>
    <n v="0"/>
    <m/>
    <n v="0"/>
    <m/>
    <n v="0"/>
    <m/>
    <n v="0"/>
    <m/>
    <n v="0"/>
    <n v="4356434"/>
    <n v="3285682.56"/>
    <m/>
    <n v="0"/>
    <n v="0"/>
    <n v="0"/>
    <n v="0"/>
    <n v="0"/>
    <n v="0"/>
    <n v="0"/>
    <n v="0"/>
    <n v="0"/>
    <n v="756"/>
    <n v="558"/>
    <n v="0"/>
    <n v="0"/>
    <n v="0"/>
    <n v="0"/>
    <n v="0"/>
    <n v="0"/>
    <n v="0"/>
    <n v="0"/>
    <n v="0"/>
    <n v="0"/>
    <n v="5762.4788359788363"/>
    <n v="5888.32"/>
    <n v="0"/>
    <n v="0"/>
    <n v="0"/>
    <n v="0"/>
    <n v="0"/>
    <n v="0"/>
    <n v="0"/>
    <n v="0"/>
    <n v="0"/>
    <n v="0"/>
    <n v="51862.309523809527"/>
    <n v="52994.879999999997"/>
    <n v="0"/>
    <n v="52994.879999999997"/>
    <n v="51862.309523809527"/>
    <n v="0"/>
    <n v="0"/>
    <n v="0"/>
    <n v="0"/>
    <n v="0"/>
    <n v="0"/>
    <n v="0"/>
    <n v="0"/>
    <n v="0"/>
    <n v="77"/>
    <n v="62"/>
    <n v="0"/>
    <n v="62"/>
    <n v="77"/>
    <n v="0"/>
    <n v="0"/>
    <n v="0"/>
    <n v="0"/>
    <n v="0"/>
    <n v="0"/>
    <n v="0"/>
    <n v="0"/>
    <n v="0"/>
    <n v="3993397.8333333335"/>
    <n v="3285682.56"/>
    <n v="0"/>
    <n v="3285682.56"/>
    <n v="3993397.8333333335"/>
  </r>
  <r>
    <x v="9"/>
    <s v="Roanoke-Chowan Community College"/>
    <m/>
    <n v="199467"/>
    <x v="8"/>
    <m/>
    <m/>
    <m/>
    <m/>
    <m/>
    <m/>
    <m/>
    <m/>
    <m/>
    <m/>
    <m/>
    <m/>
    <m/>
    <m/>
    <m/>
    <m/>
    <m/>
    <m/>
    <m/>
    <m/>
    <m/>
    <m/>
    <m/>
    <m/>
    <m/>
    <m/>
    <m/>
    <m/>
    <m/>
    <m/>
    <m/>
    <m/>
    <m/>
    <m/>
    <m/>
    <m/>
    <m/>
    <m/>
    <m/>
    <n v="31"/>
    <n v="33"/>
    <m/>
    <m/>
    <m/>
    <m/>
    <m/>
    <m/>
    <m/>
    <n v="0"/>
    <m/>
    <n v="0"/>
    <m/>
    <n v="0"/>
    <m/>
    <n v="0"/>
    <m/>
    <n v="0"/>
    <n v="1620856"/>
    <n v="1674126.6300000001"/>
    <m/>
    <n v="0"/>
    <n v="0"/>
    <n v="0"/>
    <n v="0"/>
    <n v="0"/>
    <n v="0"/>
    <n v="0"/>
    <n v="0"/>
    <n v="0"/>
    <n v="372"/>
    <n v="297"/>
    <n v="0"/>
    <n v="0"/>
    <n v="0"/>
    <n v="0"/>
    <n v="0"/>
    <n v="0"/>
    <n v="0"/>
    <n v="0"/>
    <n v="0"/>
    <n v="0"/>
    <n v="4357.1397849462364"/>
    <n v="5636.79"/>
    <n v="0"/>
    <n v="0"/>
    <n v="0"/>
    <n v="0"/>
    <n v="0"/>
    <n v="0"/>
    <n v="0"/>
    <n v="0"/>
    <n v="0"/>
    <n v="0"/>
    <n v="39214.258064516129"/>
    <n v="50731.11"/>
    <n v="0"/>
    <n v="50731.11"/>
    <n v="39214.258064516129"/>
    <n v="0"/>
    <n v="0"/>
    <n v="0"/>
    <n v="0"/>
    <n v="0"/>
    <n v="0"/>
    <n v="0"/>
    <n v="0"/>
    <n v="0"/>
    <n v="31"/>
    <n v="33"/>
    <n v="0"/>
    <n v="33"/>
    <n v="31"/>
    <n v="0"/>
    <n v="0"/>
    <n v="0"/>
    <n v="0"/>
    <n v="0"/>
    <n v="0"/>
    <n v="0"/>
    <n v="0"/>
    <n v="0"/>
    <n v="1215642"/>
    <n v="1674126.6300000001"/>
    <n v="0"/>
    <n v="1674126.6300000001"/>
    <n v="1215642"/>
  </r>
  <r>
    <x v="9"/>
    <s v="Rockingham Community College "/>
    <m/>
    <n v="199485"/>
    <x v="8"/>
    <m/>
    <m/>
    <m/>
    <m/>
    <m/>
    <m/>
    <m/>
    <m/>
    <m/>
    <m/>
    <m/>
    <m/>
    <m/>
    <m/>
    <m/>
    <m/>
    <m/>
    <m/>
    <m/>
    <m/>
    <m/>
    <m/>
    <m/>
    <m/>
    <m/>
    <m/>
    <m/>
    <m/>
    <m/>
    <m/>
    <m/>
    <m/>
    <m/>
    <n v="59"/>
    <m/>
    <m/>
    <m/>
    <m/>
    <m/>
    <n v="2"/>
    <n v="66"/>
    <m/>
    <m/>
    <m/>
    <m/>
    <m/>
    <m/>
    <m/>
    <n v="0"/>
    <m/>
    <n v="0"/>
    <m/>
    <n v="0"/>
    <m/>
    <n v="0"/>
    <m/>
    <n v="0"/>
    <n v="3122844"/>
    <n v="2964861.9"/>
    <m/>
    <n v="0"/>
    <n v="0"/>
    <n v="0"/>
    <n v="0"/>
    <n v="0"/>
    <n v="0"/>
    <n v="0"/>
    <n v="0"/>
    <n v="0"/>
    <n v="555"/>
    <n v="594"/>
    <n v="0"/>
    <n v="0"/>
    <n v="0"/>
    <n v="0"/>
    <n v="0"/>
    <n v="0"/>
    <n v="0"/>
    <n v="0"/>
    <n v="0"/>
    <n v="0"/>
    <n v="5626.745945945946"/>
    <n v="4991.3499999999995"/>
    <n v="0"/>
    <n v="0"/>
    <n v="0"/>
    <n v="0"/>
    <n v="0"/>
    <n v="0"/>
    <n v="0"/>
    <n v="0"/>
    <n v="0"/>
    <n v="0"/>
    <n v="50640.713513513518"/>
    <n v="44922.149999999994"/>
    <n v="0"/>
    <n v="44922.149999999994"/>
    <n v="50640.713513513518"/>
    <n v="0"/>
    <n v="0"/>
    <n v="0"/>
    <n v="0"/>
    <n v="0"/>
    <n v="0"/>
    <n v="0"/>
    <n v="0"/>
    <n v="0"/>
    <n v="61"/>
    <n v="66"/>
    <n v="0"/>
    <n v="66"/>
    <n v="61"/>
    <n v="0"/>
    <n v="0"/>
    <n v="0"/>
    <n v="0"/>
    <n v="0"/>
    <n v="0"/>
    <n v="0"/>
    <n v="0"/>
    <n v="0"/>
    <n v="3089083.5243243244"/>
    <n v="2964861.8999999994"/>
    <n v="0"/>
    <n v="2964861.8999999994"/>
    <n v="3089083.5243243244"/>
  </r>
  <r>
    <x v="9"/>
    <s v="Sampson Community College"/>
    <m/>
    <n v="199625"/>
    <x v="8"/>
    <m/>
    <m/>
    <m/>
    <m/>
    <m/>
    <m/>
    <m/>
    <m/>
    <m/>
    <m/>
    <m/>
    <m/>
    <m/>
    <m/>
    <m/>
    <m/>
    <m/>
    <m/>
    <m/>
    <m/>
    <m/>
    <m/>
    <m/>
    <m/>
    <m/>
    <m/>
    <m/>
    <m/>
    <m/>
    <m/>
    <m/>
    <m/>
    <m/>
    <n v="24"/>
    <m/>
    <m/>
    <m/>
    <n v="5"/>
    <m/>
    <n v="37"/>
    <n v="52"/>
    <m/>
    <m/>
    <m/>
    <m/>
    <m/>
    <m/>
    <m/>
    <n v="0"/>
    <m/>
    <n v="0"/>
    <m/>
    <n v="0"/>
    <m/>
    <n v="0"/>
    <m/>
    <n v="0"/>
    <n v="3448907"/>
    <n v="2380599"/>
    <m/>
    <n v="0"/>
    <n v="0"/>
    <n v="0"/>
    <n v="0"/>
    <n v="0"/>
    <n v="0"/>
    <n v="0"/>
    <n v="0"/>
    <n v="0"/>
    <n v="715"/>
    <n v="468"/>
    <n v="0"/>
    <n v="0"/>
    <n v="0"/>
    <n v="0"/>
    <n v="0"/>
    <n v="0"/>
    <n v="0"/>
    <n v="0"/>
    <n v="0"/>
    <n v="0"/>
    <n v="4823.6461538461535"/>
    <n v="5086.75"/>
    <n v="0"/>
    <n v="0"/>
    <n v="0"/>
    <n v="0"/>
    <n v="0"/>
    <n v="0"/>
    <n v="0"/>
    <n v="0"/>
    <n v="0"/>
    <n v="0"/>
    <n v="43412.81538461538"/>
    <n v="45780.75"/>
    <n v="0"/>
    <n v="45780.75"/>
    <n v="43412.81538461538"/>
    <n v="0"/>
    <n v="0"/>
    <n v="0"/>
    <n v="0"/>
    <n v="0"/>
    <n v="0"/>
    <n v="0"/>
    <n v="0"/>
    <n v="0"/>
    <n v="66"/>
    <n v="52"/>
    <n v="0"/>
    <n v="52"/>
    <n v="66"/>
    <n v="0"/>
    <n v="0"/>
    <n v="0"/>
    <n v="0"/>
    <n v="0"/>
    <n v="0"/>
    <n v="0"/>
    <n v="0"/>
    <n v="0"/>
    <n v="2865245.8153846152"/>
    <n v="2380599"/>
    <n v="0"/>
    <n v="2380599"/>
    <n v="2865245.8153846152"/>
  </r>
  <r>
    <x v="9"/>
    <s v="South Piedmont Community College"/>
    <s v="Met the criteria for Two-Year 2 in 2012-13."/>
    <n v="197850"/>
    <x v="8"/>
    <m/>
    <m/>
    <m/>
    <m/>
    <m/>
    <m/>
    <m/>
    <m/>
    <m/>
    <m/>
    <m/>
    <m/>
    <m/>
    <m/>
    <m/>
    <m/>
    <m/>
    <m/>
    <m/>
    <m/>
    <m/>
    <m/>
    <m/>
    <m/>
    <m/>
    <m/>
    <m/>
    <m/>
    <m/>
    <m/>
    <m/>
    <m/>
    <m/>
    <n v="49"/>
    <m/>
    <m/>
    <m/>
    <m/>
    <m/>
    <n v="36"/>
    <n v="56"/>
    <m/>
    <m/>
    <m/>
    <m/>
    <m/>
    <m/>
    <m/>
    <n v="0"/>
    <m/>
    <n v="0"/>
    <m/>
    <n v="0"/>
    <m/>
    <n v="0"/>
    <m/>
    <n v="0"/>
    <n v="3925368"/>
    <n v="2991376.0800000005"/>
    <m/>
    <n v="0"/>
    <n v="0"/>
    <n v="0"/>
    <n v="0"/>
    <n v="0"/>
    <n v="0"/>
    <n v="0"/>
    <n v="0"/>
    <n v="0"/>
    <n v="873"/>
    <n v="504"/>
    <n v="0"/>
    <n v="0"/>
    <n v="0"/>
    <n v="0"/>
    <n v="0"/>
    <n v="0"/>
    <n v="0"/>
    <n v="0"/>
    <n v="0"/>
    <n v="0"/>
    <n v="4496.4123711340208"/>
    <n v="5935.2700000000013"/>
    <n v="0"/>
    <n v="0"/>
    <n v="0"/>
    <n v="0"/>
    <n v="0"/>
    <n v="0"/>
    <n v="0"/>
    <n v="0"/>
    <n v="0"/>
    <n v="0"/>
    <n v="40467.711340206188"/>
    <n v="53417.430000000015"/>
    <n v="0"/>
    <n v="53417.430000000015"/>
    <n v="40467.711340206188"/>
    <n v="0"/>
    <n v="0"/>
    <n v="0"/>
    <n v="0"/>
    <n v="0"/>
    <n v="0"/>
    <n v="0"/>
    <n v="0"/>
    <n v="0"/>
    <n v="85"/>
    <n v="56"/>
    <n v="0"/>
    <n v="56"/>
    <n v="85"/>
    <n v="0"/>
    <n v="0"/>
    <n v="0"/>
    <n v="0"/>
    <n v="0"/>
    <n v="0"/>
    <n v="0"/>
    <n v="0"/>
    <n v="0"/>
    <n v="3439755.463917526"/>
    <n v="2991376.080000001"/>
    <n v="0"/>
    <n v="2991376.080000001"/>
    <n v="3439755.463917526"/>
  </r>
  <r>
    <x v="9"/>
    <s v="Southeastern Community College "/>
    <s v="Met the criteria for Two-Year 2 in 2012-13."/>
    <n v="199722"/>
    <x v="8"/>
    <m/>
    <m/>
    <m/>
    <m/>
    <m/>
    <m/>
    <m/>
    <m/>
    <m/>
    <m/>
    <m/>
    <m/>
    <m/>
    <m/>
    <m/>
    <m/>
    <m/>
    <m/>
    <m/>
    <m/>
    <m/>
    <m/>
    <m/>
    <m/>
    <m/>
    <n v="52"/>
    <m/>
    <m/>
    <m/>
    <m/>
    <m/>
    <n v="5"/>
    <m/>
    <n v="8"/>
    <m/>
    <m/>
    <m/>
    <m/>
    <m/>
    <n v="1"/>
    <n v="57"/>
    <m/>
    <m/>
    <m/>
    <m/>
    <m/>
    <m/>
    <m/>
    <n v="0"/>
    <m/>
    <n v="0"/>
    <m/>
    <n v="0"/>
    <m/>
    <n v="0"/>
    <n v="2992209"/>
    <n v="0"/>
    <n v="517881"/>
    <n v="2562219.54"/>
    <m/>
    <n v="0"/>
    <n v="0"/>
    <n v="0"/>
    <n v="0"/>
    <n v="0"/>
    <n v="0"/>
    <n v="0"/>
    <n v="528"/>
    <n v="0"/>
    <n v="84"/>
    <n v="513"/>
    <n v="0"/>
    <n v="0"/>
    <n v="0"/>
    <n v="0"/>
    <n v="0"/>
    <n v="0"/>
    <n v="0"/>
    <n v="0"/>
    <n v="5667.0625"/>
    <n v="0"/>
    <n v="6165.25"/>
    <n v="4994.58"/>
    <n v="0"/>
    <n v="0"/>
    <n v="0"/>
    <n v="0"/>
    <n v="0"/>
    <n v="0"/>
    <n v="0"/>
    <n v="0"/>
    <n v="51003.5625"/>
    <n v="0"/>
    <n v="55487.25"/>
    <n v="44951.22"/>
    <n v="0"/>
    <n v="44951.22"/>
    <n v="51614.974431818184"/>
    <n v="0"/>
    <n v="0"/>
    <n v="0"/>
    <n v="0"/>
    <n v="0"/>
    <n v="0"/>
    <n v="0"/>
    <n v="57"/>
    <n v="0"/>
    <n v="9"/>
    <n v="57"/>
    <n v="0"/>
    <n v="57"/>
    <n v="66"/>
    <n v="0"/>
    <n v="0"/>
    <n v="0"/>
    <n v="0"/>
    <n v="0"/>
    <n v="0"/>
    <n v="0"/>
    <n v="2907203.0625"/>
    <n v="0"/>
    <n v="499385.25"/>
    <n v="2562219.54"/>
    <n v="0"/>
    <n v="2562219.54"/>
    <n v="3406588.3125"/>
  </r>
  <r>
    <x v="9"/>
    <s v="Southwestern Community College "/>
    <s v="Met the criteria for Two-Year 2 in 2012-13."/>
    <n v="199731"/>
    <x v="8"/>
    <m/>
    <m/>
    <m/>
    <m/>
    <m/>
    <m/>
    <m/>
    <m/>
    <m/>
    <m/>
    <m/>
    <m/>
    <m/>
    <m/>
    <m/>
    <m/>
    <m/>
    <m/>
    <m/>
    <m/>
    <m/>
    <m/>
    <m/>
    <m/>
    <m/>
    <m/>
    <m/>
    <m/>
    <m/>
    <m/>
    <m/>
    <m/>
    <m/>
    <n v="68"/>
    <m/>
    <n v="3"/>
    <m/>
    <m/>
    <m/>
    <n v="12"/>
    <n v="72"/>
    <m/>
    <m/>
    <m/>
    <m/>
    <m/>
    <m/>
    <m/>
    <n v="0"/>
    <m/>
    <n v="0"/>
    <m/>
    <n v="0"/>
    <m/>
    <n v="0"/>
    <m/>
    <n v="0"/>
    <n v="3905940"/>
    <n v="3343965.12"/>
    <m/>
    <n v="0"/>
    <n v="0"/>
    <n v="0"/>
    <n v="0"/>
    <n v="0"/>
    <n v="0"/>
    <n v="0"/>
    <n v="0"/>
    <n v="0"/>
    <n v="786"/>
    <n v="648"/>
    <n v="0"/>
    <n v="0"/>
    <n v="0"/>
    <n v="0"/>
    <n v="0"/>
    <n v="0"/>
    <n v="0"/>
    <n v="0"/>
    <n v="0"/>
    <n v="0"/>
    <n v="4969.3893129770995"/>
    <n v="5160.4400000000005"/>
    <n v="0"/>
    <n v="0"/>
    <n v="0"/>
    <n v="0"/>
    <n v="0"/>
    <n v="0"/>
    <n v="0"/>
    <n v="0"/>
    <n v="0"/>
    <n v="0"/>
    <n v="44724.503816793898"/>
    <n v="46443.960000000006"/>
    <n v="0"/>
    <n v="46443.960000000006"/>
    <n v="44724.503816793898"/>
    <n v="0"/>
    <n v="0"/>
    <n v="0"/>
    <n v="0"/>
    <n v="0"/>
    <n v="0"/>
    <n v="0"/>
    <n v="0"/>
    <n v="0"/>
    <n v="83"/>
    <n v="72"/>
    <n v="0"/>
    <n v="72"/>
    <n v="83"/>
    <n v="0"/>
    <n v="0"/>
    <n v="0"/>
    <n v="0"/>
    <n v="0"/>
    <n v="0"/>
    <n v="0"/>
    <n v="0"/>
    <n v="0"/>
    <n v="3712133.8167938935"/>
    <n v="3343965.1200000006"/>
    <n v="0"/>
    <n v="3343965.1200000006"/>
    <n v="3712133.8167938935"/>
  </r>
  <r>
    <x v="9"/>
    <s v="Tri-County Community College "/>
    <m/>
    <n v="199795"/>
    <x v="8"/>
    <m/>
    <m/>
    <m/>
    <m/>
    <m/>
    <m/>
    <m/>
    <m/>
    <m/>
    <m/>
    <m/>
    <m/>
    <m/>
    <m/>
    <m/>
    <m/>
    <m/>
    <m/>
    <m/>
    <m/>
    <m/>
    <m/>
    <m/>
    <m/>
    <m/>
    <n v="4"/>
    <m/>
    <n v="26"/>
    <m/>
    <m/>
    <m/>
    <m/>
    <m/>
    <m/>
    <m/>
    <m/>
    <m/>
    <m/>
    <m/>
    <m/>
    <n v="28"/>
    <m/>
    <m/>
    <m/>
    <m/>
    <m/>
    <m/>
    <m/>
    <n v="0"/>
    <m/>
    <n v="0"/>
    <m/>
    <n v="0"/>
    <m/>
    <n v="0"/>
    <n v="1571738"/>
    <n v="0"/>
    <m/>
    <n v="1270384.92"/>
    <m/>
    <n v="0"/>
    <n v="0"/>
    <n v="0"/>
    <n v="0"/>
    <n v="0"/>
    <n v="0"/>
    <n v="0"/>
    <n v="296"/>
    <n v="0"/>
    <n v="0"/>
    <n v="252"/>
    <n v="0"/>
    <n v="0"/>
    <n v="0"/>
    <n v="0"/>
    <n v="0"/>
    <n v="0"/>
    <n v="0"/>
    <n v="0"/>
    <n v="5309.9256756756758"/>
    <n v="0"/>
    <n v="0"/>
    <n v="5041.21"/>
    <n v="0"/>
    <n v="0"/>
    <n v="0"/>
    <n v="0"/>
    <n v="0"/>
    <n v="0"/>
    <n v="0"/>
    <n v="0"/>
    <n v="47789.33108108108"/>
    <n v="0"/>
    <n v="0"/>
    <n v="45370.89"/>
    <n v="0"/>
    <n v="45370.89"/>
    <n v="47789.33108108108"/>
    <n v="0"/>
    <n v="0"/>
    <n v="0"/>
    <n v="0"/>
    <n v="0"/>
    <n v="0"/>
    <n v="0"/>
    <n v="30"/>
    <n v="0"/>
    <n v="0"/>
    <n v="28"/>
    <n v="0"/>
    <n v="28"/>
    <n v="30"/>
    <n v="0"/>
    <n v="0"/>
    <n v="0"/>
    <n v="0"/>
    <n v="0"/>
    <n v="0"/>
    <n v="0"/>
    <n v="1433679.9324324324"/>
    <n v="0"/>
    <n v="0"/>
    <n v="1270384.92"/>
    <n v="0"/>
    <n v="1270384.92"/>
    <n v="1433679.9324324324"/>
  </r>
  <r>
    <x v="9"/>
    <s v="Wilson Community College"/>
    <m/>
    <n v="199953"/>
    <x v="8"/>
    <m/>
    <m/>
    <m/>
    <m/>
    <m/>
    <m/>
    <m/>
    <m/>
    <m/>
    <m/>
    <m/>
    <m/>
    <m/>
    <m/>
    <m/>
    <m/>
    <m/>
    <m/>
    <m/>
    <m/>
    <m/>
    <m/>
    <m/>
    <m/>
    <m/>
    <m/>
    <m/>
    <m/>
    <m/>
    <m/>
    <m/>
    <m/>
    <m/>
    <n v="52"/>
    <m/>
    <m/>
    <m/>
    <m/>
    <m/>
    <m/>
    <n v="50"/>
    <m/>
    <m/>
    <m/>
    <m/>
    <m/>
    <m/>
    <m/>
    <n v="0"/>
    <m/>
    <n v="0"/>
    <m/>
    <n v="0"/>
    <m/>
    <n v="0"/>
    <m/>
    <n v="0"/>
    <n v="2448369"/>
    <n v="2372615.9999999995"/>
    <m/>
    <n v="0"/>
    <n v="0"/>
    <n v="0"/>
    <n v="0"/>
    <n v="0"/>
    <n v="0"/>
    <n v="0"/>
    <n v="0"/>
    <n v="0"/>
    <n v="468"/>
    <n v="450"/>
    <n v="0"/>
    <n v="0"/>
    <n v="0"/>
    <n v="0"/>
    <n v="0"/>
    <n v="0"/>
    <n v="0"/>
    <n v="0"/>
    <n v="0"/>
    <n v="0"/>
    <n v="5231.5576923076924"/>
    <n v="5272.4799999999987"/>
    <n v="0"/>
    <n v="0"/>
    <n v="0"/>
    <n v="0"/>
    <n v="0"/>
    <n v="0"/>
    <n v="0"/>
    <n v="0"/>
    <n v="0"/>
    <n v="0"/>
    <n v="47084.019230769234"/>
    <n v="47452.319999999985"/>
    <n v="0"/>
    <n v="47452.319999999978"/>
    <n v="47084.019230769234"/>
    <n v="0"/>
    <n v="0"/>
    <n v="0"/>
    <n v="0"/>
    <n v="0"/>
    <n v="0"/>
    <n v="0"/>
    <n v="0"/>
    <n v="0"/>
    <n v="52"/>
    <n v="50"/>
    <n v="0"/>
    <n v="50"/>
    <n v="52"/>
    <n v="0"/>
    <n v="0"/>
    <n v="0"/>
    <n v="0"/>
    <n v="0"/>
    <n v="0"/>
    <n v="0"/>
    <n v="0"/>
    <n v="0"/>
    <n v="2448369"/>
    <n v="2372615.9999999991"/>
    <n v="0"/>
    <n v="2372615.9999999991"/>
    <n v="2448369"/>
  </r>
  <r>
    <x v="10"/>
    <s v="Oklahoma State University Main Campus"/>
    <m/>
    <n v="207388"/>
    <x v="0"/>
    <n v="225"/>
    <n v="233"/>
    <m/>
    <m/>
    <n v="58"/>
    <n v="60"/>
    <m/>
    <m/>
    <n v="248"/>
    <n v="253"/>
    <m/>
    <m/>
    <n v="31"/>
    <n v="30"/>
    <m/>
    <m/>
    <n v="198"/>
    <n v="188"/>
    <m/>
    <m/>
    <n v="26"/>
    <n v="23"/>
    <m/>
    <m/>
    <n v="65"/>
    <n v="78"/>
    <m/>
    <m/>
    <n v="70"/>
    <n v="85"/>
    <m/>
    <m/>
    <m/>
    <m/>
    <m/>
    <m/>
    <m/>
    <m/>
    <m/>
    <m/>
    <m/>
    <m/>
    <m/>
    <m/>
    <m/>
    <m/>
    <m/>
    <m/>
    <n v="32606770"/>
    <n v="33928128"/>
    <n v="21146836"/>
    <n v="21512979"/>
    <n v="15110350"/>
    <n v="14518082"/>
    <n v="6370985"/>
    <n v="7822220"/>
    <n v="0"/>
    <m/>
    <n v="0"/>
    <m/>
    <n v="2663"/>
    <n v="2757"/>
    <n v="2573"/>
    <n v="2607"/>
    <n v="2068"/>
    <n v="1945"/>
    <n v="1355"/>
    <n v="1637"/>
    <n v="0"/>
    <n v="0"/>
    <n v="0"/>
    <n v="0"/>
    <n v="12244.374765302291"/>
    <n v="12306.176278563657"/>
    <n v="8218.7469879518067"/>
    <n v="8252.0057537399316"/>
    <n v="7306.7456479690518"/>
    <n v="7464.3095115681235"/>
    <n v="4701.833948339483"/>
    <n v="4778.3872938301774"/>
    <n v="0"/>
    <n v="0"/>
    <n v="0"/>
    <n v="0"/>
    <n v="110199.37288772062"/>
    <n v="110755.58650707291"/>
    <n v="73968.722891566256"/>
    <n v="74268.051783659379"/>
    <n v="65760.710831721459"/>
    <n v="67178.785604113116"/>
    <n v="42316.505535055345"/>
    <n v="43005.485644471599"/>
    <n v="0"/>
    <n v="0"/>
    <n v="0"/>
    <n v="0"/>
    <n v="78465.606609674272"/>
    <n v="78583.014130383905"/>
    <n v="283"/>
    <n v="293"/>
    <n v="279"/>
    <n v="283"/>
    <n v="224"/>
    <n v="211"/>
    <n v="135"/>
    <n v="163"/>
    <n v="0"/>
    <n v="0"/>
    <n v="0"/>
    <n v="0"/>
    <n v="921"/>
    <n v="950"/>
    <n v="31186422.527224936"/>
    <n v="32451386.846572362"/>
    <n v="20637273.686746985"/>
    <n v="21017858.654775605"/>
    <n v="14730399.226305608"/>
    <n v="14174723.762467867"/>
    <n v="5712728.2472324716"/>
    <n v="7009894.1600488704"/>
    <n v="0"/>
    <n v="0"/>
    <n v="0"/>
    <n v="0"/>
    <n v="72266823.687509999"/>
    <n v="74653863.423864707"/>
  </r>
  <r>
    <x v="10"/>
    <s v="University of Oklahoma Norman Campus"/>
    <m/>
    <n v="207500"/>
    <x v="0"/>
    <n v="341"/>
    <n v="341"/>
    <m/>
    <m/>
    <n v="87"/>
    <n v="86"/>
    <m/>
    <m/>
    <n v="269"/>
    <n v="269"/>
    <m/>
    <m/>
    <n v="27"/>
    <n v="36"/>
    <m/>
    <m/>
    <n v="249"/>
    <n v="232"/>
    <m/>
    <m/>
    <n v="13"/>
    <n v="13"/>
    <m/>
    <m/>
    <n v="143"/>
    <n v="145"/>
    <m/>
    <m/>
    <n v="10"/>
    <n v="9"/>
    <m/>
    <m/>
    <m/>
    <m/>
    <m/>
    <m/>
    <m/>
    <m/>
    <m/>
    <m/>
    <m/>
    <m/>
    <m/>
    <m/>
    <m/>
    <m/>
    <m/>
    <m/>
    <n v="50302996"/>
    <n v="49693049"/>
    <n v="21891938"/>
    <n v="23087695"/>
    <n v="17281412"/>
    <n v="16406366"/>
    <n v="6464255"/>
    <n v="6427314"/>
    <n v="0"/>
    <m/>
    <n v="0"/>
    <m/>
    <n v="4026"/>
    <n v="4015"/>
    <n v="2718"/>
    <n v="2817"/>
    <n v="2384"/>
    <n v="2231"/>
    <n v="1397"/>
    <n v="1404"/>
    <n v="0"/>
    <n v="0"/>
    <n v="0"/>
    <n v="0"/>
    <n v="12494.534525583706"/>
    <n v="12376.849066002491"/>
    <n v="8054.4289919058128"/>
    <n v="8195.8448704295351"/>
    <n v="7248.9144295302012"/>
    <n v="7353.8171223666513"/>
    <n v="4627.2405153901218"/>
    <n v="4577.8589743589746"/>
    <n v="0"/>
    <n v="0"/>
    <n v="0"/>
    <n v="0"/>
    <n v="112450.81073025335"/>
    <n v="111391.64159402243"/>
    <n v="72489.860927152316"/>
    <n v="73762.603833865811"/>
    <n v="65240.229865771813"/>
    <n v="66184.354101299861"/>
    <n v="41645.164638511094"/>
    <n v="41200.730769230773"/>
    <n v="0"/>
    <n v="0"/>
    <n v="0"/>
    <n v="0"/>
    <n v="81694.992310368689"/>
    <n v="81893.814697839654"/>
    <n v="428"/>
    <n v="427"/>
    <n v="296"/>
    <n v="305"/>
    <n v="262"/>
    <n v="245"/>
    <n v="153"/>
    <n v="154"/>
    <n v="0"/>
    <n v="0"/>
    <n v="0"/>
    <n v="0"/>
    <n v="1139"/>
    <n v="1131"/>
    <n v="48128946.992548436"/>
    <n v="47564230.960647576"/>
    <n v="21456998.834437087"/>
    <n v="22497594.169329073"/>
    <n v="17092940.224832214"/>
    <n v="16215166.754818466"/>
    <n v="6371710.1896921974"/>
    <n v="6344912.538461539"/>
    <n v="0"/>
    <n v="0"/>
    <n v="0"/>
    <n v="0"/>
    <n v="93050596.241509929"/>
    <n v="92621904.423256651"/>
  </r>
  <r>
    <x v="10"/>
    <s v="Northeastern State University"/>
    <m/>
    <n v="207263"/>
    <x v="2"/>
    <n v="56"/>
    <n v="59"/>
    <m/>
    <m/>
    <n v="10"/>
    <n v="11"/>
    <m/>
    <m/>
    <n v="67"/>
    <n v="58"/>
    <m/>
    <m/>
    <n v="5"/>
    <n v="8"/>
    <m/>
    <m/>
    <n v="96"/>
    <n v="100"/>
    <m/>
    <m/>
    <n v="10"/>
    <n v="11"/>
    <m/>
    <m/>
    <n v="74"/>
    <n v="74"/>
    <m/>
    <m/>
    <n v="7"/>
    <n v="5"/>
    <m/>
    <m/>
    <m/>
    <m/>
    <m/>
    <m/>
    <m/>
    <m/>
    <m/>
    <m/>
    <m/>
    <m/>
    <m/>
    <m/>
    <m/>
    <m/>
    <m/>
    <m/>
    <n v="4865982"/>
    <n v="5327066"/>
    <n v="4136575"/>
    <n v="3996294"/>
    <n v="5548370"/>
    <n v="5845993"/>
    <n v="3156926"/>
    <n v="3455978"/>
    <n v="0"/>
    <m/>
    <n v="0"/>
    <m/>
    <n v="614"/>
    <n v="652"/>
    <n v="658"/>
    <n v="610"/>
    <n v="974"/>
    <n v="1021"/>
    <n v="743"/>
    <n v="721"/>
    <n v="0"/>
    <n v="0"/>
    <n v="0"/>
    <n v="0"/>
    <n v="7925.0521172638437"/>
    <n v="8170.3466257668715"/>
    <n v="6286.5881458966569"/>
    <n v="6551.3016393442622"/>
    <n v="5696.478439425051"/>
    <n v="5725.7522037218414"/>
    <n v="4248.8909825033643"/>
    <n v="4793.3120665742026"/>
    <n v="0"/>
    <n v="0"/>
    <n v="0"/>
    <n v="0"/>
    <n v="71325.46905537459"/>
    <n v="73533.119631901849"/>
    <n v="56579.293313069909"/>
    <n v="58961.714754098357"/>
    <n v="51268.305954825461"/>
    <n v="51531.769833496575"/>
    <n v="38240.018842530277"/>
    <n v="43139.808599167824"/>
    <n v="0"/>
    <n v="0"/>
    <n v="0"/>
    <n v="0"/>
    <n v="53270.990872776027"/>
    <n v="55726.573248024535"/>
    <n v="66"/>
    <n v="70"/>
    <n v="72"/>
    <n v="66"/>
    <n v="106"/>
    <n v="111"/>
    <n v="81"/>
    <n v="79"/>
    <n v="0"/>
    <n v="0"/>
    <n v="0"/>
    <n v="0"/>
    <n v="325"/>
    <n v="326"/>
    <n v="4707480.957654723"/>
    <n v="5147318.3742331294"/>
    <n v="4073709.1185410335"/>
    <n v="3891473.1737704915"/>
    <n v="5434440.4312114986"/>
    <n v="5720026.4515181202"/>
    <n v="3097441.5262449523"/>
    <n v="3408044.8793342579"/>
    <n v="0"/>
    <n v="0"/>
    <n v="0"/>
    <n v="0"/>
    <n v="17313072.033652209"/>
    <n v="18166862.878856"/>
  </r>
  <r>
    <x v="10"/>
    <s v="University of Central Oklahoma"/>
    <m/>
    <n v="206941"/>
    <x v="2"/>
    <n v="157"/>
    <n v="158"/>
    <m/>
    <m/>
    <n v="0"/>
    <m/>
    <m/>
    <m/>
    <n v="81"/>
    <n v="98"/>
    <m/>
    <m/>
    <n v="0"/>
    <m/>
    <m/>
    <m/>
    <n v="114"/>
    <n v="113"/>
    <m/>
    <m/>
    <n v="0"/>
    <m/>
    <m/>
    <m/>
    <n v="98"/>
    <n v="87"/>
    <m/>
    <m/>
    <n v="0"/>
    <m/>
    <m/>
    <m/>
    <m/>
    <m/>
    <m/>
    <m/>
    <m/>
    <m/>
    <m/>
    <m/>
    <m/>
    <m/>
    <m/>
    <m/>
    <m/>
    <m/>
    <m/>
    <m/>
    <n v="12117574"/>
    <n v="12628466"/>
    <n v="5134104"/>
    <n v="6575702"/>
    <n v="6842622"/>
    <n v="6792204"/>
    <n v="4233796"/>
    <n v="3872283"/>
    <n v="0"/>
    <m/>
    <n v="0"/>
    <m/>
    <n v="1413"/>
    <n v="1422"/>
    <n v="729"/>
    <n v="882"/>
    <n v="1026"/>
    <n v="1017"/>
    <n v="882"/>
    <n v="783"/>
    <n v="0"/>
    <n v="0"/>
    <n v="0"/>
    <n v="0"/>
    <n v="8575.7777777777774"/>
    <n v="8880.7777777777774"/>
    <n v="7042.666666666667"/>
    <n v="7455.4444444444443"/>
    <n v="6669.2222222222226"/>
    <n v="6678.666666666667"/>
    <n v="4800.2222222222226"/>
    <n v="4945.4444444444443"/>
    <n v="0"/>
    <n v="0"/>
    <n v="0"/>
    <n v="0"/>
    <n v="77182"/>
    <n v="79927"/>
    <n v="63384"/>
    <n v="67099"/>
    <n v="60023"/>
    <n v="60108"/>
    <n v="43202"/>
    <n v="44509"/>
    <n v="0"/>
    <n v="0"/>
    <n v="0"/>
    <n v="0"/>
    <n v="62951.324444444443"/>
    <n v="65501.436403508771"/>
    <n v="157"/>
    <n v="158"/>
    <n v="81"/>
    <n v="98"/>
    <n v="114"/>
    <n v="113"/>
    <n v="98"/>
    <n v="87"/>
    <n v="0"/>
    <n v="0"/>
    <n v="0"/>
    <n v="0"/>
    <n v="450"/>
    <n v="456"/>
    <n v="12117574"/>
    <n v="12628466"/>
    <n v="5134104"/>
    <n v="6575702"/>
    <n v="6842622"/>
    <n v="6792204"/>
    <n v="4233796"/>
    <n v="3872283"/>
    <n v="0"/>
    <n v="0"/>
    <n v="0"/>
    <n v="0"/>
    <n v="28328096"/>
    <n v="29868655"/>
  </r>
  <r>
    <x v="10"/>
    <s v="Southeastern Oklahoma State University "/>
    <s v="Reclassified: met the criteria for Four-Year 4 in 2010-11, 2011-12, and 2012-13."/>
    <n v="207847"/>
    <x v="3"/>
    <n v="43"/>
    <n v="48"/>
    <m/>
    <m/>
    <n v="4"/>
    <n v="5"/>
    <m/>
    <m/>
    <n v="35"/>
    <n v="24"/>
    <m/>
    <m/>
    <n v="0"/>
    <n v="1"/>
    <m/>
    <m/>
    <n v="28"/>
    <n v="28"/>
    <m/>
    <m/>
    <n v="1"/>
    <n v="5"/>
    <m/>
    <m/>
    <n v="12"/>
    <n v="8"/>
    <m/>
    <m/>
    <n v="5"/>
    <n v="6"/>
    <m/>
    <m/>
    <m/>
    <m/>
    <m/>
    <m/>
    <m/>
    <m/>
    <m/>
    <m/>
    <m/>
    <m/>
    <m/>
    <m/>
    <m/>
    <m/>
    <m/>
    <m/>
    <n v="3473555"/>
    <n v="4029668"/>
    <n v="2146480"/>
    <n v="1528486"/>
    <n v="1553288"/>
    <n v="1820678"/>
    <n v="763936"/>
    <n v="539452"/>
    <n v="0"/>
    <m/>
    <n v="0"/>
    <m/>
    <n v="431"/>
    <n v="487"/>
    <n v="315"/>
    <n v="227"/>
    <n v="263"/>
    <n v="307"/>
    <n v="163"/>
    <n v="138"/>
    <n v="0"/>
    <n v="0"/>
    <n v="0"/>
    <n v="0"/>
    <n v="8059.2923433874712"/>
    <n v="8274.4722792607809"/>
    <n v="6814.2222222222226"/>
    <n v="6733.4185022026431"/>
    <n v="5906.0380228136883"/>
    <n v="5930.5472312703587"/>
    <n v="4686.7239263803685"/>
    <n v="3909.072463768116"/>
    <n v="0"/>
    <n v="0"/>
    <n v="0"/>
    <n v="0"/>
    <n v="72533.631090487237"/>
    <n v="74470.250513347026"/>
    <n v="61328"/>
    <n v="60600.766519823788"/>
    <n v="53154.342205323192"/>
    <n v="53374.925081433226"/>
    <n v="42180.51533742332"/>
    <n v="35181.65217391304"/>
    <n v="0"/>
    <n v="0"/>
    <n v="0"/>
    <n v="0"/>
    <n v="61047.698015183349"/>
    <n v="61726.864786600519"/>
    <n v="47"/>
    <n v="53"/>
    <n v="35"/>
    <n v="25"/>
    <n v="29"/>
    <n v="33"/>
    <n v="17"/>
    <n v="14"/>
    <n v="0"/>
    <n v="0"/>
    <n v="0"/>
    <n v="0"/>
    <n v="128"/>
    <n v="125"/>
    <n v="3409080.6612529"/>
    <n v="3946923.2772073923"/>
    <n v="2146480"/>
    <n v="1515019.1629955948"/>
    <n v="1541475.9239543725"/>
    <n v="1761372.5276872965"/>
    <n v="717068.76073619642"/>
    <n v="492543.13043478259"/>
    <n v="0"/>
    <n v="0"/>
    <n v="0"/>
    <n v="0"/>
    <n v="7814105.3459434686"/>
    <n v="7715858.0983250653"/>
  </r>
  <r>
    <x v="10"/>
    <s v="Cameron University "/>
    <m/>
    <n v="206914"/>
    <x v="4"/>
    <n v="34"/>
    <n v="36"/>
    <m/>
    <m/>
    <n v="0"/>
    <m/>
    <m/>
    <m/>
    <n v="39"/>
    <n v="36"/>
    <m/>
    <m/>
    <n v="2"/>
    <n v="2"/>
    <m/>
    <m/>
    <n v="56"/>
    <n v="61"/>
    <m/>
    <m/>
    <n v="1"/>
    <n v="1"/>
    <m/>
    <m/>
    <n v="45"/>
    <n v="47"/>
    <m/>
    <m/>
    <n v="2"/>
    <n v="2"/>
    <m/>
    <m/>
    <m/>
    <m/>
    <m/>
    <m/>
    <m/>
    <m/>
    <m/>
    <m/>
    <m/>
    <m/>
    <m/>
    <m/>
    <m/>
    <m/>
    <m/>
    <m/>
    <n v="2342294"/>
    <n v="2539512"/>
    <n v="2495179"/>
    <n v="2360000"/>
    <n v="2995402"/>
    <n v="3217920"/>
    <n v="1821075"/>
    <n v="1923321"/>
    <n v="0"/>
    <m/>
    <n v="0"/>
    <m/>
    <n v="306"/>
    <n v="324"/>
    <n v="373"/>
    <n v="346"/>
    <n v="515"/>
    <n v="560"/>
    <n v="427"/>
    <n v="445"/>
    <n v="0"/>
    <n v="0"/>
    <n v="0"/>
    <n v="0"/>
    <n v="7654.5555555555557"/>
    <n v="7838"/>
    <n v="6689.4879356568363"/>
    <n v="6820.8092485549132"/>
    <n v="5816.3145631067964"/>
    <n v="5746.2857142857147"/>
    <n v="4264.8126463700237"/>
    <n v="4322.069662921348"/>
    <n v="0"/>
    <n v="0"/>
    <n v="0"/>
    <n v="0"/>
    <n v="68891"/>
    <n v="70542"/>
    <n v="60205.391420911525"/>
    <n v="61387.283236994219"/>
    <n v="52346.831067961168"/>
    <n v="51716.571428571435"/>
    <n v="38383.313817330214"/>
    <n v="38898.626966292133"/>
    <n v="0"/>
    <n v="0"/>
    <n v="0"/>
    <n v="0"/>
    <n v="53622.905969528925"/>
    <n v="53971.291421219044"/>
    <n v="34"/>
    <n v="36"/>
    <n v="41"/>
    <n v="38"/>
    <n v="57"/>
    <n v="62"/>
    <n v="47"/>
    <n v="49"/>
    <n v="0"/>
    <n v="0"/>
    <n v="0"/>
    <n v="0"/>
    <n v="179"/>
    <n v="185"/>
    <n v="2342294"/>
    <n v="2539512"/>
    <n v="2468421.0482573723"/>
    <n v="2332716.7630057805"/>
    <n v="2983769.3708737865"/>
    <n v="3206427.4285714291"/>
    <n v="1804015.7494145201"/>
    <n v="1906032.7213483145"/>
    <n v="0"/>
    <n v="0"/>
    <n v="0"/>
    <n v="0"/>
    <n v="9598500.1685456783"/>
    <n v="9984688.9129255228"/>
  </r>
  <r>
    <x v="10"/>
    <s v="East Central University "/>
    <m/>
    <n v="207041"/>
    <x v="4"/>
    <n v="53"/>
    <n v="52"/>
    <m/>
    <m/>
    <n v="3"/>
    <n v="3"/>
    <m/>
    <m/>
    <n v="18"/>
    <n v="19"/>
    <m/>
    <m/>
    <n v="1"/>
    <n v="1"/>
    <m/>
    <m/>
    <n v="45"/>
    <n v="41"/>
    <m/>
    <m/>
    <n v="1"/>
    <n v="0"/>
    <m/>
    <m/>
    <n v="44"/>
    <n v="43"/>
    <m/>
    <m/>
    <n v="5"/>
    <n v="8"/>
    <m/>
    <m/>
    <m/>
    <m/>
    <m/>
    <m/>
    <m/>
    <m/>
    <m/>
    <m/>
    <m/>
    <m/>
    <m/>
    <m/>
    <m/>
    <m/>
    <m/>
    <m/>
    <n v="3832164"/>
    <n v="3911254"/>
    <n v="1069198"/>
    <n v="1136692"/>
    <n v="2102677"/>
    <n v="2049426"/>
    <n v="2187730"/>
    <n v="2401114"/>
    <n v="0"/>
    <m/>
    <n v="0"/>
    <m/>
    <n v="510"/>
    <n v="501"/>
    <n v="173"/>
    <n v="182"/>
    <n v="416"/>
    <n v="369"/>
    <n v="451"/>
    <n v="475"/>
    <n v="0"/>
    <n v="0"/>
    <n v="0"/>
    <n v="0"/>
    <n v="7514.0470588235294"/>
    <n v="7806.8942115768459"/>
    <n v="6180.3352601156066"/>
    <n v="6245.5604395604396"/>
    <n v="5054.5120192307695"/>
    <n v="5554"/>
    <n v="4850.8425720620844"/>
    <n v="5054.9768421052631"/>
    <n v="0"/>
    <n v="0"/>
    <n v="0"/>
    <n v="0"/>
    <n v="67626.423529411768"/>
    <n v="70262.047904191611"/>
    <n v="55623.01734104046"/>
    <n v="56210.043956043955"/>
    <n v="45490.608173076922"/>
    <n v="49986"/>
    <n v="43657.583148558762"/>
    <n v="45494.79157894737"/>
    <n v="0"/>
    <n v="0"/>
    <n v="0"/>
    <n v="0"/>
    <n v="53386.509396280853"/>
    <n v="56037.568169926541"/>
    <n v="56"/>
    <n v="55"/>
    <n v="19"/>
    <n v="20"/>
    <n v="46"/>
    <n v="41"/>
    <n v="49"/>
    <n v="51"/>
    <n v="0"/>
    <n v="0"/>
    <n v="0"/>
    <n v="0"/>
    <n v="170"/>
    <n v="167"/>
    <n v="3787079.7176470589"/>
    <n v="3864412.6347305388"/>
    <n v="1056837.3294797686"/>
    <n v="1124200.8791208791"/>
    <n v="2092567.9759615385"/>
    <n v="2049426"/>
    <n v="2139221.5742793796"/>
    <n v="2320234.3705263156"/>
    <n v="0"/>
    <n v="0"/>
    <n v="0"/>
    <n v="0"/>
    <n v="9075706.5973677449"/>
    <n v="9358273.8843777329"/>
  </r>
  <r>
    <x v="10"/>
    <s v="Langston University"/>
    <m/>
    <n v="207209"/>
    <x v="4"/>
    <n v="4"/>
    <n v="4"/>
    <m/>
    <m/>
    <n v="3"/>
    <n v="3"/>
    <m/>
    <m/>
    <n v="22"/>
    <n v="21"/>
    <m/>
    <m/>
    <n v="17"/>
    <n v="19"/>
    <m/>
    <m/>
    <n v="36"/>
    <n v="33"/>
    <m/>
    <m/>
    <n v="16"/>
    <n v="16"/>
    <m/>
    <m/>
    <n v="32"/>
    <n v="29"/>
    <m/>
    <m/>
    <n v="10"/>
    <n v="8"/>
    <m/>
    <m/>
    <m/>
    <m/>
    <m/>
    <m/>
    <m/>
    <m/>
    <m/>
    <m/>
    <m/>
    <m/>
    <m/>
    <m/>
    <m/>
    <m/>
    <m/>
    <m/>
    <n v="540924"/>
    <n v="529956"/>
    <n v="2441695"/>
    <n v="2507693"/>
    <n v="2752288"/>
    <n v="2495411"/>
    <n v="1882794"/>
    <n v="1700068"/>
    <n v="0"/>
    <m/>
    <n v="0"/>
    <m/>
    <n v="69"/>
    <n v="69"/>
    <n v="385"/>
    <n v="398"/>
    <n v="500"/>
    <n v="473"/>
    <n v="398"/>
    <n v="349"/>
    <n v="0"/>
    <n v="0"/>
    <n v="0"/>
    <n v="0"/>
    <n v="7839.478260869565"/>
    <n v="7680.521739130435"/>
    <n v="6342.0649350649346"/>
    <n v="6300.7361809045224"/>
    <n v="5504.576"/>
    <n v="5275.7103594080336"/>
    <n v="4730.6381909547736"/>
    <n v="4871.2550143266471"/>
    <n v="0"/>
    <n v="0"/>
    <n v="0"/>
    <n v="0"/>
    <n v="70555.304347826081"/>
    <n v="69124.695652173919"/>
    <n v="57078.58441558441"/>
    <n v="56706.625628140704"/>
    <n v="49541.184000000001"/>
    <n v="47481.393234672301"/>
    <n v="42575.743718592959"/>
    <n v="43841.295128939826"/>
    <n v="0"/>
    <n v="0"/>
    <n v="0"/>
    <n v="0"/>
    <n v="50601.962334453419"/>
    <n v="50382.36152601926"/>
    <n v="7"/>
    <n v="7"/>
    <n v="39"/>
    <n v="40"/>
    <n v="52"/>
    <n v="49"/>
    <n v="42"/>
    <n v="37"/>
    <n v="0"/>
    <n v="0"/>
    <n v="0"/>
    <n v="0"/>
    <n v="140"/>
    <n v="133"/>
    <n v="493887.13043478259"/>
    <n v="483872.86956521741"/>
    <n v="2226064.7922077919"/>
    <n v="2268265.0251256283"/>
    <n v="2576141.568"/>
    <n v="2326588.2684989427"/>
    <n v="1788181.2361809043"/>
    <n v="1622127.9197707735"/>
    <n v="0"/>
    <n v="0"/>
    <n v="0"/>
    <n v="0"/>
    <n v="7084274.7268234789"/>
    <n v="6700854.0829605618"/>
  </r>
  <r>
    <x v="10"/>
    <s v="Northwestern Oklahoma State University "/>
    <m/>
    <n v="207306"/>
    <x v="4"/>
    <n v="15"/>
    <n v="12"/>
    <m/>
    <m/>
    <n v="0"/>
    <n v="1"/>
    <m/>
    <m/>
    <n v="15"/>
    <n v="15"/>
    <m/>
    <m/>
    <n v="2"/>
    <n v="1"/>
    <m/>
    <m/>
    <n v="17"/>
    <n v="22"/>
    <m/>
    <m/>
    <n v="1"/>
    <n v="1"/>
    <m/>
    <m/>
    <n v="31"/>
    <n v="27"/>
    <m/>
    <m/>
    <n v="4"/>
    <n v="3"/>
    <m/>
    <m/>
    <m/>
    <m/>
    <m/>
    <m/>
    <m/>
    <m/>
    <m/>
    <m/>
    <m/>
    <m/>
    <m/>
    <m/>
    <m/>
    <m/>
    <m/>
    <m/>
    <n v="983625"/>
    <n v="871444"/>
    <n v="1019465"/>
    <n v="984680"/>
    <n v="908574"/>
    <n v="1246546"/>
    <n v="1498065"/>
    <n v="1282077"/>
    <n v="0"/>
    <m/>
    <n v="0"/>
    <m/>
    <n v="135"/>
    <n v="119"/>
    <n v="157"/>
    <n v="146"/>
    <n v="164"/>
    <n v="209"/>
    <n v="323"/>
    <n v="276"/>
    <n v="0"/>
    <n v="0"/>
    <n v="0"/>
    <n v="0"/>
    <n v="7286.1111111111113"/>
    <n v="7323.0588235294117"/>
    <n v="6493.4076433121018"/>
    <n v="6744.3835616438355"/>
    <n v="5540.0853658536589"/>
    <n v="5964.3349282296649"/>
    <n v="4637.9721362229102"/>
    <n v="4645.20652173913"/>
    <n v="0"/>
    <n v="0"/>
    <n v="0"/>
    <n v="0"/>
    <n v="65575"/>
    <n v="65907.529411764699"/>
    <n v="58440.668789808915"/>
    <n v="60699.452054794521"/>
    <n v="49860.768292682929"/>
    <n v="53679.014354066981"/>
    <n v="41741.749226006192"/>
    <n v="41806.858695652169"/>
    <n v="0"/>
    <n v="0"/>
    <n v="0"/>
    <n v="0"/>
    <n v="51006.722607120719"/>
    <n v="52644.051295643403"/>
    <n v="15"/>
    <n v="13"/>
    <n v="17"/>
    <n v="16"/>
    <n v="18"/>
    <n v="23"/>
    <n v="35"/>
    <n v="30"/>
    <n v="0"/>
    <n v="0"/>
    <n v="0"/>
    <n v="0"/>
    <n v="85"/>
    <n v="82"/>
    <n v="983625"/>
    <n v="856797.88235294109"/>
    <n v="993491.36942675151"/>
    <n v="971191.23287671234"/>
    <n v="897493.82926829276"/>
    <n v="1234617.3301435406"/>
    <n v="1460961.2229102168"/>
    <n v="1254205.760869565"/>
    <n v="0"/>
    <n v="0"/>
    <n v="0"/>
    <n v="0"/>
    <n v="4335571.421605261"/>
    <n v="4316812.2062427588"/>
  </r>
  <r>
    <x v="10"/>
    <s v="Southwestern Oklahoma State University"/>
    <m/>
    <n v="207865"/>
    <x v="4"/>
    <n v="34"/>
    <n v="33"/>
    <m/>
    <m/>
    <n v="4"/>
    <n v="4"/>
    <m/>
    <m/>
    <n v="28"/>
    <n v="30"/>
    <m/>
    <m/>
    <n v="10"/>
    <n v="8"/>
    <m/>
    <m/>
    <n v="49"/>
    <n v="50"/>
    <m/>
    <m/>
    <n v="9"/>
    <n v="11"/>
    <m/>
    <m/>
    <n v="74"/>
    <n v="76"/>
    <m/>
    <m/>
    <n v="3"/>
    <n v="3"/>
    <m/>
    <m/>
    <m/>
    <m/>
    <m/>
    <m/>
    <m/>
    <m/>
    <m/>
    <m/>
    <m/>
    <m/>
    <m/>
    <m/>
    <m/>
    <m/>
    <m/>
    <m/>
    <n v="3005372"/>
    <n v="2982496"/>
    <n v="2618280"/>
    <n v="2628222"/>
    <n v="3126660"/>
    <n v="3389308"/>
    <n v="3550054"/>
    <n v="3671121"/>
    <n v="0"/>
    <m/>
    <n v="0"/>
    <m/>
    <n v="350"/>
    <n v="341"/>
    <n v="362"/>
    <n v="358"/>
    <n v="540"/>
    <n v="571"/>
    <n v="699"/>
    <n v="717"/>
    <n v="0"/>
    <n v="0"/>
    <n v="0"/>
    <n v="0"/>
    <n v="8586.7771428571432"/>
    <n v="8746.322580645161"/>
    <n v="7232.8176795580112"/>
    <n v="7341.4022346368711"/>
    <n v="5790.1111111111113"/>
    <n v="5935.7408056042032"/>
    <n v="5078.761087267525"/>
    <n v="5120.1129707112968"/>
    <n v="0"/>
    <n v="0"/>
    <n v="0"/>
    <n v="0"/>
    <n v="77280.994285714289"/>
    <n v="78716.903225806454"/>
    <n v="65095.359116022097"/>
    <n v="66072.620111731841"/>
    <n v="52111"/>
    <n v="53421.667250437829"/>
    <n v="45708.849785407729"/>
    <n v="46081.016736401674"/>
    <n v="0"/>
    <n v="0"/>
    <n v="0"/>
    <n v="0"/>
    <n v="56646.07043953734"/>
    <n v="57313.520967688783"/>
    <n v="38"/>
    <n v="37"/>
    <n v="38"/>
    <n v="38"/>
    <n v="58"/>
    <n v="61"/>
    <n v="77"/>
    <n v="79"/>
    <n v="0"/>
    <n v="0"/>
    <n v="0"/>
    <n v="0"/>
    <n v="211"/>
    <n v="215"/>
    <n v="2936677.7828571429"/>
    <n v="2912525.4193548388"/>
    <n v="2473623.6464088396"/>
    <n v="2510759.5642458098"/>
    <n v="3022438"/>
    <n v="3258721.7022767076"/>
    <n v="3519581.433476395"/>
    <n v="3640400.3221757323"/>
    <n v="0"/>
    <n v="0"/>
    <n v="0"/>
    <n v="0"/>
    <n v="11952320.862742379"/>
    <n v="12322407.008053089"/>
  </r>
  <r>
    <x v="10"/>
    <s v="Oklahoma Panhandle State University "/>
    <m/>
    <n v="207351"/>
    <x v="5"/>
    <n v="6"/>
    <n v="3"/>
    <m/>
    <m/>
    <n v="0"/>
    <m/>
    <m/>
    <m/>
    <n v="12"/>
    <n v="10"/>
    <m/>
    <m/>
    <n v="0"/>
    <n v="1"/>
    <m/>
    <m/>
    <n v="14"/>
    <n v="18"/>
    <m/>
    <m/>
    <n v="4"/>
    <n v="3"/>
    <m/>
    <m/>
    <n v="12"/>
    <n v="13"/>
    <m/>
    <m/>
    <n v="4"/>
    <n v="3"/>
    <m/>
    <m/>
    <m/>
    <m/>
    <m/>
    <m/>
    <m/>
    <m/>
    <m/>
    <m/>
    <m/>
    <m/>
    <m/>
    <m/>
    <m/>
    <m/>
    <m/>
    <m/>
    <n v="266892"/>
    <n v="148431"/>
    <n v="596916"/>
    <n v="473000"/>
    <n v="845658"/>
    <n v="813825"/>
    <n v="553544"/>
    <n v="535224"/>
    <n v="0"/>
    <m/>
    <n v="0"/>
    <m/>
    <n v="54"/>
    <n v="27"/>
    <n v="108"/>
    <n v="101"/>
    <n v="170"/>
    <n v="195"/>
    <n v="152"/>
    <n v="150"/>
    <n v="0"/>
    <n v="0"/>
    <n v="0"/>
    <n v="0"/>
    <n v="4942.4444444444443"/>
    <n v="5497.4444444444443"/>
    <n v="5527"/>
    <n v="4683.1683168316831"/>
    <n v="4974.4588235294113"/>
    <n v="4173.4615384615381"/>
    <n v="3641.7368421052633"/>
    <n v="3568.16"/>
    <n v="0"/>
    <n v="0"/>
    <n v="0"/>
    <n v="0"/>
    <n v="44482"/>
    <n v="49477"/>
    <n v="49743"/>
    <n v="42148.514851485146"/>
    <n v="44770.129411764705"/>
    <n v="37561.153846153844"/>
    <n v="32775.631578947374"/>
    <n v="32113.439999999999"/>
    <n v="0"/>
    <n v="0"/>
    <n v="0"/>
    <n v="0"/>
    <n v="42193.854512979276"/>
    <n v="37542.430081089558"/>
    <n v="6"/>
    <n v="3"/>
    <n v="12"/>
    <n v="11"/>
    <n v="18"/>
    <n v="21"/>
    <n v="16"/>
    <n v="16"/>
    <n v="0"/>
    <n v="0"/>
    <n v="0"/>
    <n v="0"/>
    <n v="52"/>
    <n v="51"/>
    <n v="266892"/>
    <n v="148431"/>
    <n v="596916"/>
    <n v="463633.66336633661"/>
    <n v="805862.32941176463"/>
    <n v="788784.23076923075"/>
    <n v="524410.10526315798"/>
    <n v="513815.03999999998"/>
    <n v="0"/>
    <n v="0"/>
    <n v="0"/>
    <n v="0"/>
    <n v="2194080.4346749224"/>
    <n v="1914663.9341355674"/>
  </r>
  <r>
    <x v="10"/>
    <s v="Rogers State University"/>
    <m/>
    <n v="207661"/>
    <x v="5"/>
    <n v="12"/>
    <n v="16"/>
    <m/>
    <m/>
    <n v="4"/>
    <n v="4"/>
    <m/>
    <m/>
    <n v="27"/>
    <n v="22"/>
    <m/>
    <m/>
    <n v="4"/>
    <n v="3"/>
    <m/>
    <m/>
    <n v="26"/>
    <n v="27"/>
    <m/>
    <m/>
    <n v="3"/>
    <n v="2"/>
    <m/>
    <m/>
    <n v="25"/>
    <n v="26"/>
    <m/>
    <m/>
    <n v="1"/>
    <n v="2"/>
    <m/>
    <m/>
    <m/>
    <m/>
    <m/>
    <m/>
    <m/>
    <m/>
    <m/>
    <m/>
    <m/>
    <m/>
    <m/>
    <m/>
    <m/>
    <m/>
    <m/>
    <m/>
    <n v="1141668"/>
    <n v="1392232"/>
    <n v="1843327"/>
    <n v="1462761"/>
    <n v="1466946"/>
    <n v="1420827"/>
    <n v="1107150"/>
    <n v="1242278"/>
    <n v="0"/>
    <m/>
    <n v="0"/>
    <m/>
    <n v="152"/>
    <n v="188"/>
    <n v="287"/>
    <n v="231"/>
    <n v="267"/>
    <n v="265"/>
    <n v="236"/>
    <n v="256"/>
    <n v="0"/>
    <n v="0"/>
    <n v="0"/>
    <n v="0"/>
    <n v="7510.9736842105267"/>
    <n v="7405.489361702128"/>
    <n v="6422.7421602787454"/>
    <n v="6332.2987012987014"/>
    <n v="5494.1797752808989"/>
    <n v="5361.6113207547169"/>
    <n v="4691.3135593220341"/>
    <n v="4852.6484375"/>
    <n v="0"/>
    <n v="0"/>
    <n v="0"/>
    <n v="0"/>
    <n v="67598.763157894748"/>
    <n v="66649.404255319154"/>
    <n v="57804.679442508706"/>
    <n v="56990.688311688311"/>
    <n v="49447.617977528091"/>
    <n v="48254.501886792452"/>
    <n v="42221.822033898308"/>
    <n v="43673.8359375"/>
    <n v="0"/>
    <n v="0"/>
    <n v="0"/>
    <n v="0"/>
    <n v="52992.878112487808"/>
    <n v="52745.129939858547"/>
    <n v="16"/>
    <n v="20"/>
    <n v="31"/>
    <n v="25"/>
    <n v="29"/>
    <n v="29"/>
    <n v="26"/>
    <n v="28"/>
    <n v="0"/>
    <n v="0"/>
    <n v="0"/>
    <n v="0"/>
    <n v="102"/>
    <n v="102"/>
    <n v="1081580.210526316"/>
    <n v="1332988.0851063831"/>
    <n v="1791945.06271777"/>
    <n v="1424767.2077922078"/>
    <n v="1433980.9213483147"/>
    <n v="1399380.554716981"/>
    <n v="1097767.3728813559"/>
    <n v="1222867.40625"/>
    <n v="0"/>
    <n v="0"/>
    <n v="0"/>
    <n v="0"/>
    <n v="5405273.5674737561"/>
    <n v="5380003.2538655717"/>
  </r>
  <r>
    <x v="10"/>
    <s v="University of Science and Arts of Oklahoma"/>
    <m/>
    <n v="207722"/>
    <x v="5"/>
    <n v="13"/>
    <n v="14"/>
    <m/>
    <m/>
    <n v="3"/>
    <n v="3"/>
    <m/>
    <m/>
    <n v="13"/>
    <n v="14"/>
    <m/>
    <m/>
    <n v="2"/>
    <n v="1"/>
    <m/>
    <m/>
    <n v="14"/>
    <n v="14"/>
    <m/>
    <m/>
    <n v="0"/>
    <m/>
    <m/>
    <m/>
    <n v="8"/>
    <n v="7"/>
    <m/>
    <m/>
    <n v="0"/>
    <m/>
    <m/>
    <m/>
    <m/>
    <m/>
    <m/>
    <m/>
    <m/>
    <m/>
    <m/>
    <m/>
    <m/>
    <m/>
    <m/>
    <m/>
    <m/>
    <m/>
    <m/>
    <m/>
    <n v="1023866"/>
    <n v="1071850"/>
    <n v="784260"/>
    <n v="745260"/>
    <n v="624106"/>
    <n v="631064"/>
    <n v="327120"/>
    <n v="286020"/>
    <n v="0"/>
    <m/>
    <n v="0"/>
    <m/>
    <n v="150"/>
    <n v="159"/>
    <n v="139"/>
    <n v="137"/>
    <n v="126"/>
    <n v="126"/>
    <n v="72"/>
    <n v="63"/>
    <n v="0"/>
    <n v="0"/>
    <n v="0"/>
    <n v="0"/>
    <n v="6825.7733333333335"/>
    <n v="6741.1949685534591"/>
    <n v="5642.1582733812947"/>
    <n v="5439.8540145985398"/>
    <n v="4953.2222222222226"/>
    <n v="5008.4444444444443"/>
    <n v="4543.333333333333"/>
    <n v="4540"/>
    <n v="0"/>
    <n v="0"/>
    <n v="0"/>
    <n v="0"/>
    <n v="61431.96"/>
    <n v="60670.75471698113"/>
    <n v="50779.424460431655"/>
    <n v="48958.686131386858"/>
    <n v="44579"/>
    <n v="45076"/>
    <n v="40890"/>
    <n v="40860"/>
    <n v="0"/>
    <n v="0"/>
    <n v="0"/>
    <n v="0"/>
    <n v="50864.692960499524"/>
    <n v="50620.134380367585"/>
    <n v="16"/>
    <n v="17"/>
    <n v="15"/>
    <n v="15"/>
    <n v="14"/>
    <n v="14"/>
    <n v="8"/>
    <n v="7"/>
    <n v="0"/>
    <n v="0"/>
    <n v="0"/>
    <n v="0"/>
    <n v="53"/>
    <n v="53"/>
    <n v="982911.36"/>
    <n v="1031402.8301886792"/>
    <n v="761691.36690647481"/>
    <n v="734380.29197080282"/>
    <n v="624106"/>
    <n v="631064"/>
    <n v="327120"/>
    <n v="286020"/>
    <n v="0"/>
    <n v="0"/>
    <n v="0"/>
    <n v="0"/>
    <n v="2695828.7269064747"/>
    <n v="2682867.122159482"/>
  </r>
  <r>
    <x v="10"/>
    <s v="Oklahoma State University Technical Branch-Okmulgee "/>
    <s v="Met the criteria for Two-Year 2 institution in 2012-13."/>
    <n v="207564"/>
    <x v="11"/>
    <m/>
    <m/>
    <m/>
    <m/>
    <m/>
    <m/>
    <m/>
    <m/>
    <m/>
    <m/>
    <m/>
    <m/>
    <m/>
    <m/>
    <m/>
    <m/>
    <m/>
    <m/>
    <m/>
    <m/>
    <m/>
    <m/>
    <m/>
    <m/>
    <m/>
    <m/>
    <m/>
    <m/>
    <m/>
    <m/>
    <m/>
    <m/>
    <m/>
    <m/>
    <m/>
    <m/>
    <m/>
    <m/>
    <m/>
    <m/>
    <n v="128"/>
    <n v="125"/>
    <m/>
    <m/>
    <m/>
    <m/>
    <m/>
    <m/>
    <n v="0"/>
    <m/>
    <n v="0"/>
    <m/>
    <n v="0"/>
    <m/>
    <n v="0"/>
    <m/>
    <n v="0"/>
    <m/>
    <n v="7531904"/>
    <n v="6688125"/>
    <n v="0"/>
    <n v="0"/>
    <n v="0"/>
    <n v="0"/>
    <n v="0"/>
    <n v="0"/>
    <n v="0"/>
    <n v="0"/>
    <n v="0"/>
    <n v="0"/>
    <n v="1152"/>
    <n v="1125"/>
    <n v="0"/>
    <n v="0"/>
    <n v="0"/>
    <n v="0"/>
    <n v="0"/>
    <n v="0"/>
    <n v="0"/>
    <n v="0"/>
    <n v="0"/>
    <n v="0"/>
    <n v="6538.1111111111113"/>
    <n v="5945"/>
    <n v="0"/>
    <n v="0"/>
    <n v="0"/>
    <n v="0"/>
    <n v="0"/>
    <n v="0"/>
    <n v="0"/>
    <n v="0"/>
    <n v="0"/>
    <n v="0"/>
    <n v="58843"/>
    <n v="53505"/>
    <n v="58843"/>
    <n v="53505"/>
    <n v="0"/>
    <n v="0"/>
    <n v="0"/>
    <n v="0"/>
    <n v="0"/>
    <n v="0"/>
    <n v="0"/>
    <n v="0"/>
    <n v="0"/>
    <n v="0"/>
    <n v="128"/>
    <n v="125"/>
    <n v="128"/>
    <n v="125"/>
    <n v="0"/>
    <n v="0"/>
    <n v="0"/>
    <n v="0"/>
    <n v="0"/>
    <n v="0"/>
    <n v="0"/>
    <n v="0"/>
    <n v="0"/>
    <n v="0"/>
    <n v="7531904"/>
    <n v="6688125"/>
    <n v="7531904"/>
    <n v="6688125"/>
  </r>
  <r>
    <x v="10"/>
    <s v="Oklahoma State University-Oklahoma City "/>
    <s v="Met the criteria for Two-Year 1 institution in 2012-13."/>
    <n v="207397"/>
    <x v="11"/>
    <m/>
    <m/>
    <m/>
    <m/>
    <m/>
    <m/>
    <m/>
    <m/>
    <m/>
    <m/>
    <m/>
    <m/>
    <m/>
    <m/>
    <m/>
    <m/>
    <m/>
    <m/>
    <m/>
    <m/>
    <m/>
    <m/>
    <m/>
    <m/>
    <m/>
    <m/>
    <m/>
    <m/>
    <m/>
    <m/>
    <m/>
    <m/>
    <m/>
    <m/>
    <m/>
    <m/>
    <m/>
    <m/>
    <m/>
    <m/>
    <n v="84"/>
    <n v="85"/>
    <m/>
    <m/>
    <n v="0"/>
    <m/>
    <m/>
    <m/>
    <n v="0"/>
    <m/>
    <n v="0"/>
    <m/>
    <n v="0"/>
    <m/>
    <n v="0"/>
    <m/>
    <n v="0"/>
    <m/>
    <n v="4301556"/>
    <n v="4727127"/>
    <n v="0"/>
    <n v="0"/>
    <n v="0"/>
    <n v="0"/>
    <n v="0"/>
    <n v="0"/>
    <n v="0"/>
    <n v="0"/>
    <n v="0"/>
    <n v="0"/>
    <n v="756"/>
    <n v="765"/>
    <n v="0"/>
    <n v="0"/>
    <n v="0"/>
    <n v="0"/>
    <n v="0"/>
    <n v="0"/>
    <n v="0"/>
    <n v="0"/>
    <n v="0"/>
    <n v="0"/>
    <n v="5689.8888888888887"/>
    <n v="6179.2509803921566"/>
    <n v="0"/>
    <n v="0"/>
    <n v="0"/>
    <n v="0"/>
    <n v="0"/>
    <n v="0"/>
    <n v="0"/>
    <n v="0"/>
    <n v="0"/>
    <n v="0"/>
    <n v="51209"/>
    <n v="55613.25882352941"/>
    <n v="51209"/>
    <n v="55613.25882352941"/>
    <n v="0"/>
    <n v="0"/>
    <n v="0"/>
    <n v="0"/>
    <n v="0"/>
    <n v="0"/>
    <n v="0"/>
    <n v="0"/>
    <n v="0"/>
    <n v="0"/>
    <n v="84"/>
    <n v="85"/>
    <n v="84"/>
    <n v="85"/>
    <n v="0"/>
    <n v="0"/>
    <n v="0"/>
    <n v="0"/>
    <n v="0"/>
    <n v="0"/>
    <n v="0"/>
    <n v="0"/>
    <n v="0"/>
    <n v="0"/>
    <n v="4301556"/>
    <n v="4727127"/>
    <n v="4301556"/>
    <n v="4727127"/>
  </r>
  <r>
    <x v="10"/>
    <s v="Oklahoma City Community College "/>
    <m/>
    <n v="207449"/>
    <x v="6"/>
    <m/>
    <m/>
    <m/>
    <m/>
    <m/>
    <m/>
    <m/>
    <m/>
    <m/>
    <m/>
    <m/>
    <m/>
    <m/>
    <m/>
    <m/>
    <m/>
    <m/>
    <m/>
    <m/>
    <m/>
    <m/>
    <m/>
    <m/>
    <m/>
    <m/>
    <m/>
    <m/>
    <m/>
    <m/>
    <m/>
    <m/>
    <m/>
    <m/>
    <m/>
    <m/>
    <m/>
    <m/>
    <m/>
    <m/>
    <m/>
    <n v="144"/>
    <n v="146"/>
    <m/>
    <m/>
    <n v="1"/>
    <n v="1"/>
    <m/>
    <m/>
    <n v="0"/>
    <m/>
    <n v="0"/>
    <m/>
    <n v="0"/>
    <m/>
    <n v="0"/>
    <m/>
    <n v="0"/>
    <m/>
    <n v="7056688"/>
    <n v="7319100"/>
    <n v="0"/>
    <n v="0"/>
    <n v="0"/>
    <n v="0"/>
    <n v="0"/>
    <n v="0"/>
    <n v="0"/>
    <n v="0"/>
    <n v="0"/>
    <n v="0"/>
    <n v="1307"/>
    <n v="1325"/>
    <n v="0"/>
    <n v="0"/>
    <n v="0"/>
    <n v="0"/>
    <n v="0"/>
    <n v="0"/>
    <n v="0"/>
    <n v="0"/>
    <n v="0"/>
    <n v="0"/>
    <n v="5399.1491966335116"/>
    <n v="5523.8490566037735"/>
    <n v="0"/>
    <n v="0"/>
    <n v="0"/>
    <n v="0"/>
    <n v="0"/>
    <n v="0"/>
    <n v="0"/>
    <n v="0"/>
    <n v="0"/>
    <n v="0"/>
    <n v="48592.342769701601"/>
    <n v="49714.641509433961"/>
    <n v="48592.342769701601"/>
    <n v="49714.641509433961"/>
    <n v="0"/>
    <n v="0"/>
    <n v="0"/>
    <n v="0"/>
    <n v="0"/>
    <n v="0"/>
    <n v="0"/>
    <n v="0"/>
    <n v="0"/>
    <n v="0"/>
    <n v="145"/>
    <n v="147"/>
    <n v="145"/>
    <n v="147"/>
    <n v="0"/>
    <n v="0"/>
    <n v="0"/>
    <n v="0"/>
    <n v="0"/>
    <n v="0"/>
    <n v="0"/>
    <n v="0"/>
    <n v="0"/>
    <n v="0"/>
    <n v="7045889.7016067319"/>
    <n v="7308052.3018867923"/>
    <n v="7045889.7016067319"/>
    <n v="7308052.3018867923"/>
  </r>
  <r>
    <x v="10"/>
    <s v="Rose State College "/>
    <m/>
    <n v="207670"/>
    <x v="6"/>
    <m/>
    <m/>
    <m/>
    <m/>
    <m/>
    <m/>
    <m/>
    <m/>
    <m/>
    <m/>
    <m/>
    <m/>
    <m/>
    <m/>
    <m/>
    <m/>
    <m/>
    <m/>
    <m/>
    <m/>
    <m/>
    <m/>
    <m/>
    <m/>
    <m/>
    <m/>
    <m/>
    <m/>
    <m/>
    <m/>
    <m/>
    <m/>
    <m/>
    <m/>
    <m/>
    <m/>
    <m/>
    <m/>
    <m/>
    <m/>
    <n v="102"/>
    <n v="107"/>
    <m/>
    <m/>
    <n v="16"/>
    <n v="15"/>
    <m/>
    <m/>
    <n v="0"/>
    <m/>
    <n v="0"/>
    <m/>
    <n v="0"/>
    <m/>
    <n v="0"/>
    <m/>
    <n v="0"/>
    <m/>
    <n v="5642760"/>
    <n v="5883486"/>
    <n v="0"/>
    <n v="0"/>
    <n v="0"/>
    <n v="0"/>
    <n v="0"/>
    <n v="0"/>
    <n v="0"/>
    <n v="0"/>
    <n v="0"/>
    <n v="0"/>
    <n v="1094"/>
    <n v="1128"/>
    <n v="0"/>
    <n v="0"/>
    <n v="0"/>
    <n v="0"/>
    <n v="0"/>
    <n v="0"/>
    <n v="0"/>
    <n v="0"/>
    <n v="0"/>
    <n v="0"/>
    <n v="5157.9159049360151"/>
    <n v="5215.8563829787236"/>
    <n v="0"/>
    <n v="0"/>
    <n v="0"/>
    <n v="0"/>
    <n v="0"/>
    <n v="0"/>
    <n v="0"/>
    <n v="0"/>
    <n v="0"/>
    <n v="0"/>
    <n v="46421.243144424137"/>
    <n v="46942.707446808512"/>
    <n v="46421.243144424137"/>
    <n v="46942.707446808512"/>
    <n v="0"/>
    <n v="0"/>
    <n v="0"/>
    <n v="0"/>
    <n v="0"/>
    <n v="0"/>
    <n v="0"/>
    <n v="0"/>
    <n v="0"/>
    <n v="0"/>
    <n v="118"/>
    <n v="122"/>
    <n v="118"/>
    <n v="122"/>
    <n v="0"/>
    <n v="0"/>
    <n v="0"/>
    <n v="0"/>
    <n v="0"/>
    <n v="0"/>
    <n v="0"/>
    <n v="0"/>
    <n v="0"/>
    <n v="0"/>
    <n v="5477706.6910420479"/>
    <n v="5727010.3085106388"/>
    <n v="5477706.6910420479"/>
    <n v="5727010.3085106388"/>
  </r>
  <r>
    <x v="10"/>
    <s v="Tulsa Community College "/>
    <m/>
    <n v="207935"/>
    <x v="6"/>
    <m/>
    <m/>
    <m/>
    <m/>
    <m/>
    <m/>
    <m/>
    <m/>
    <m/>
    <m/>
    <m/>
    <m/>
    <m/>
    <m/>
    <m/>
    <m/>
    <m/>
    <m/>
    <m/>
    <m/>
    <m/>
    <m/>
    <m/>
    <m/>
    <m/>
    <m/>
    <m/>
    <m/>
    <m/>
    <m/>
    <m/>
    <m/>
    <m/>
    <m/>
    <m/>
    <m/>
    <m/>
    <m/>
    <m/>
    <m/>
    <n v="262"/>
    <n v="260"/>
    <m/>
    <m/>
    <n v="45"/>
    <n v="47"/>
    <m/>
    <m/>
    <n v="0"/>
    <m/>
    <n v="0"/>
    <m/>
    <n v="0"/>
    <m/>
    <n v="0"/>
    <m/>
    <n v="0"/>
    <m/>
    <n v="17230215"/>
    <n v="17847273"/>
    <n v="0"/>
    <n v="0"/>
    <n v="0"/>
    <n v="0"/>
    <n v="0"/>
    <n v="0"/>
    <n v="0"/>
    <n v="0"/>
    <n v="0"/>
    <n v="0"/>
    <n v="2853"/>
    <n v="2857"/>
    <n v="0"/>
    <n v="0"/>
    <n v="0"/>
    <n v="0"/>
    <n v="0"/>
    <n v="0"/>
    <n v="0"/>
    <n v="0"/>
    <n v="0"/>
    <n v="0"/>
    <n v="6039.3322818086226"/>
    <n v="6246.8578928946445"/>
    <n v="0"/>
    <n v="0"/>
    <n v="0"/>
    <n v="0"/>
    <n v="0"/>
    <n v="0"/>
    <n v="0"/>
    <n v="0"/>
    <n v="0"/>
    <n v="0"/>
    <n v="54353.990536277604"/>
    <n v="56221.7210360518"/>
    <n v="54353.990536277604"/>
    <n v="56221.7210360518"/>
    <n v="0"/>
    <n v="0"/>
    <n v="0"/>
    <n v="0"/>
    <n v="0"/>
    <n v="0"/>
    <n v="0"/>
    <n v="0"/>
    <n v="0"/>
    <n v="0"/>
    <n v="307"/>
    <n v="307"/>
    <n v="307"/>
    <n v="307"/>
    <n v="0"/>
    <n v="0"/>
    <n v="0"/>
    <n v="0"/>
    <n v="0"/>
    <n v="0"/>
    <n v="0"/>
    <n v="0"/>
    <n v="0"/>
    <n v="0"/>
    <n v="16686675.094637224"/>
    <n v="17260068.358067904"/>
    <n v="16686675.094637224"/>
    <n v="17260068.358067904"/>
  </r>
  <r>
    <x v="10"/>
    <s v="Carl Albert State College"/>
    <s v="Reclassified: met the criteria for Two-Year 2 institution in 2010-11, 2011-12, and 2012-13."/>
    <n v="206923"/>
    <x v="7"/>
    <m/>
    <m/>
    <m/>
    <m/>
    <m/>
    <m/>
    <m/>
    <m/>
    <m/>
    <m/>
    <m/>
    <m/>
    <m/>
    <m/>
    <m/>
    <m/>
    <m/>
    <m/>
    <m/>
    <m/>
    <m/>
    <m/>
    <m/>
    <m/>
    <m/>
    <m/>
    <m/>
    <m/>
    <m/>
    <m/>
    <m/>
    <m/>
    <m/>
    <m/>
    <m/>
    <m/>
    <m/>
    <m/>
    <m/>
    <m/>
    <n v="51"/>
    <n v="52"/>
    <m/>
    <m/>
    <n v="5"/>
    <n v="4"/>
    <m/>
    <m/>
    <n v="0"/>
    <m/>
    <n v="0"/>
    <m/>
    <n v="0"/>
    <m/>
    <n v="0"/>
    <m/>
    <n v="0"/>
    <m/>
    <n v="2369800"/>
    <n v="2385792"/>
    <n v="0"/>
    <n v="0"/>
    <n v="0"/>
    <n v="0"/>
    <n v="0"/>
    <n v="0"/>
    <n v="0"/>
    <n v="0"/>
    <n v="0"/>
    <n v="0"/>
    <n v="514"/>
    <n v="512"/>
    <n v="0"/>
    <n v="0"/>
    <n v="0"/>
    <n v="0"/>
    <n v="0"/>
    <n v="0"/>
    <n v="0"/>
    <n v="0"/>
    <n v="0"/>
    <n v="0"/>
    <n v="4610.505836575875"/>
    <n v="4659.75"/>
    <n v="0"/>
    <n v="0"/>
    <n v="0"/>
    <n v="0"/>
    <n v="0"/>
    <n v="0"/>
    <n v="0"/>
    <n v="0"/>
    <n v="0"/>
    <n v="0"/>
    <n v="41494.552529182874"/>
    <n v="41937.75"/>
    <n v="41494.552529182874"/>
    <n v="41937.75"/>
    <n v="0"/>
    <n v="0"/>
    <n v="0"/>
    <n v="0"/>
    <n v="0"/>
    <n v="0"/>
    <n v="0"/>
    <n v="0"/>
    <n v="0"/>
    <n v="0"/>
    <n v="56"/>
    <n v="56"/>
    <n v="56"/>
    <n v="56"/>
    <n v="0"/>
    <n v="0"/>
    <n v="0"/>
    <n v="0"/>
    <n v="0"/>
    <n v="0"/>
    <n v="0"/>
    <n v="0"/>
    <n v="0"/>
    <n v="0"/>
    <n v="2323694.941634241"/>
    <n v="2348514"/>
    <n v="2323694.941634241"/>
    <n v="2348514"/>
  </r>
  <r>
    <x v="10"/>
    <s v="Northern Oklahoma College "/>
    <m/>
    <n v="207281"/>
    <x v="7"/>
    <m/>
    <m/>
    <m/>
    <m/>
    <m/>
    <m/>
    <m/>
    <m/>
    <m/>
    <m/>
    <m/>
    <m/>
    <m/>
    <m/>
    <m/>
    <m/>
    <m/>
    <m/>
    <m/>
    <m/>
    <m/>
    <m/>
    <m/>
    <m/>
    <m/>
    <m/>
    <m/>
    <m/>
    <m/>
    <m/>
    <m/>
    <m/>
    <m/>
    <m/>
    <m/>
    <m/>
    <m/>
    <m/>
    <m/>
    <m/>
    <n v="92"/>
    <n v="95"/>
    <m/>
    <m/>
    <n v="3"/>
    <n v="3"/>
    <m/>
    <m/>
    <n v="0"/>
    <m/>
    <n v="0"/>
    <m/>
    <n v="0"/>
    <m/>
    <n v="0"/>
    <m/>
    <n v="0"/>
    <m/>
    <n v="4359713"/>
    <n v="4528215"/>
    <n v="0"/>
    <n v="0"/>
    <n v="0"/>
    <n v="0"/>
    <n v="0"/>
    <n v="0"/>
    <n v="0"/>
    <n v="0"/>
    <n v="0"/>
    <n v="0"/>
    <n v="861"/>
    <n v="888"/>
    <n v="0"/>
    <n v="0"/>
    <n v="0"/>
    <n v="0"/>
    <n v="0"/>
    <n v="0"/>
    <n v="0"/>
    <n v="0"/>
    <n v="0"/>
    <n v="0"/>
    <n v="5063.5458768873405"/>
    <n v="5099.3412162162158"/>
    <n v="0"/>
    <n v="0"/>
    <n v="0"/>
    <n v="0"/>
    <n v="0"/>
    <n v="0"/>
    <n v="0"/>
    <n v="0"/>
    <n v="0"/>
    <n v="0"/>
    <n v="45571.912891986067"/>
    <n v="45894.070945945939"/>
    <n v="45571.912891986067"/>
    <n v="45894.070945945939"/>
    <n v="0"/>
    <n v="0"/>
    <n v="0"/>
    <n v="0"/>
    <n v="0"/>
    <n v="0"/>
    <n v="0"/>
    <n v="0"/>
    <n v="0"/>
    <n v="0"/>
    <n v="95"/>
    <n v="98"/>
    <n v="95"/>
    <n v="98"/>
    <n v="0"/>
    <n v="0"/>
    <n v="0"/>
    <n v="0"/>
    <n v="0"/>
    <n v="0"/>
    <n v="0"/>
    <n v="0"/>
    <n v="0"/>
    <n v="0"/>
    <n v="4329331.7247386761"/>
    <n v="4497618.952702702"/>
    <n v="4329331.7247386761"/>
    <n v="4497618.952702702"/>
  </r>
  <r>
    <x v="10"/>
    <s v="Connors State College "/>
    <s v="Met the criteria for Two-Year 2 institution in 2012-13."/>
    <n v="206996"/>
    <x v="8"/>
    <m/>
    <m/>
    <m/>
    <m/>
    <m/>
    <m/>
    <m/>
    <m/>
    <m/>
    <m/>
    <m/>
    <m/>
    <m/>
    <m/>
    <m/>
    <m/>
    <m/>
    <m/>
    <m/>
    <m/>
    <m/>
    <m/>
    <m/>
    <m/>
    <m/>
    <m/>
    <m/>
    <m/>
    <m/>
    <m/>
    <m/>
    <m/>
    <m/>
    <m/>
    <m/>
    <m/>
    <m/>
    <m/>
    <m/>
    <m/>
    <n v="47"/>
    <n v="44"/>
    <m/>
    <m/>
    <n v="3"/>
    <n v="5"/>
    <m/>
    <m/>
    <n v="0"/>
    <m/>
    <n v="0"/>
    <m/>
    <n v="0"/>
    <m/>
    <n v="0"/>
    <m/>
    <n v="0"/>
    <m/>
    <n v="2326112"/>
    <n v="2267706"/>
    <n v="0"/>
    <n v="0"/>
    <n v="0"/>
    <n v="0"/>
    <n v="0"/>
    <n v="0"/>
    <n v="0"/>
    <n v="0"/>
    <n v="0"/>
    <n v="0"/>
    <n v="456"/>
    <n v="451"/>
    <n v="0"/>
    <n v="0"/>
    <n v="0"/>
    <n v="0"/>
    <n v="0"/>
    <n v="0"/>
    <n v="0"/>
    <n v="0"/>
    <n v="0"/>
    <n v="0"/>
    <n v="5101.1228070175439"/>
    <n v="5028.1729490022171"/>
    <n v="0"/>
    <n v="0"/>
    <n v="0"/>
    <n v="0"/>
    <n v="0"/>
    <n v="0"/>
    <n v="0"/>
    <n v="0"/>
    <n v="0"/>
    <n v="0"/>
    <n v="45910.105263157893"/>
    <n v="45253.556541019956"/>
    <n v="45910.105263157893"/>
    <n v="45253.556541019956"/>
    <n v="0"/>
    <n v="0"/>
    <n v="0"/>
    <n v="0"/>
    <n v="0"/>
    <n v="0"/>
    <n v="0"/>
    <n v="0"/>
    <n v="0"/>
    <n v="0"/>
    <n v="50"/>
    <n v="49"/>
    <n v="50"/>
    <n v="49"/>
    <n v="0"/>
    <n v="0"/>
    <n v="0"/>
    <n v="0"/>
    <n v="0"/>
    <n v="0"/>
    <n v="0"/>
    <n v="0"/>
    <n v="0"/>
    <n v="0"/>
    <n v="2295505.2631578948"/>
    <n v="2217424.2705099778"/>
    <n v="2295505.2631578948"/>
    <n v="2217424.2705099778"/>
  </r>
  <r>
    <x v="10"/>
    <s v="Eastern Oklahoma State College "/>
    <m/>
    <n v="207050"/>
    <x v="8"/>
    <m/>
    <m/>
    <m/>
    <m/>
    <m/>
    <m/>
    <m/>
    <m/>
    <m/>
    <m/>
    <m/>
    <m/>
    <m/>
    <m/>
    <m/>
    <m/>
    <m/>
    <m/>
    <m/>
    <m/>
    <m/>
    <m/>
    <m/>
    <m/>
    <m/>
    <m/>
    <m/>
    <m/>
    <m/>
    <m/>
    <m/>
    <m/>
    <m/>
    <m/>
    <m/>
    <m/>
    <m/>
    <m/>
    <m/>
    <m/>
    <n v="44"/>
    <n v="39"/>
    <m/>
    <m/>
    <n v="3"/>
    <n v="1"/>
    <m/>
    <m/>
    <n v="0"/>
    <m/>
    <n v="0"/>
    <m/>
    <n v="0"/>
    <m/>
    <n v="0"/>
    <m/>
    <n v="0"/>
    <m/>
    <n v="2396377"/>
    <n v="1681114"/>
    <n v="0"/>
    <n v="0"/>
    <n v="0"/>
    <n v="0"/>
    <n v="0"/>
    <n v="0"/>
    <n v="0"/>
    <n v="0"/>
    <n v="0"/>
    <n v="0"/>
    <n v="429"/>
    <n v="362"/>
    <n v="0"/>
    <n v="0"/>
    <n v="0"/>
    <n v="0"/>
    <n v="0"/>
    <n v="0"/>
    <n v="0"/>
    <n v="0"/>
    <n v="0"/>
    <n v="0"/>
    <n v="5585.9603729603732"/>
    <n v="4643.9613259668504"/>
    <n v="0"/>
    <n v="0"/>
    <n v="0"/>
    <n v="0"/>
    <n v="0"/>
    <n v="0"/>
    <n v="0"/>
    <n v="0"/>
    <n v="0"/>
    <n v="0"/>
    <n v="50273.643356643355"/>
    <n v="41795.651933701651"/>
    <n v="50273.643356643362"/>
    <n v="41795.651933701651"/>
    <n v="0"/>
    <n v="0"/>
    <n v="0"/>
    <n v="0"/>
    <n v="0"/>
    <n v="0"/>
    <n v="0"/>
    <n v="0"/>
    <n v="0"/>
    <n v="0"/>
    <n v="47"/>
    <n v="40"/>
    <n v="47"/>
    <n v="40"/>
    <n v="0"/>
    <n v="0"/>
    <n v="0"/>
    <n v="0"/>
    <n v="0"/>
    <n v="0"/>
    <n v="0"/>
    <n v="0"/>
    <n v="0"/>
    <n v="0"/>
    <n v="2362861.2377622379"/>
    <n v="1671826.077348066"/>
    <n v="2362861.2377622379"/>
    <n v="1671826.077348066"/>
  </r>
  <r>
    <x v="10"/>
    <s v="Murray State College "/>
    <m/>
    <n v="207236"/>
    <x v="8"/>
    <m/>
    <m/>
    <m/>
    <m/>
    <m/>
    <m/>
    <m/>
    <m/>
    <m/>
    <m/>
    <m/>
    <m/>
    <m/>
    <m/>
    <m/>
    <m/>
    <m/>
    <m/>
    <m/>
    <m/>
    <m/>
    <m/>
    <m/>
    <m/>
    <m/>
    <m/>
    <m/>
    <m/>
    <m/>
    <m/>
    <m/>
    <m/>
    <m/>
    <m/>
    <m/>
    <m/>
    <m/>
    <m/>
    <m/>
    <m/>
    <n v="33"/>
    <n v="39"/>
    <m/>
    <m/>
    <n v="12"/>
    <n v="7"/>
    <m/>
    <m/>
    <n v="0"/>
    <m/>
    <n v="0"/>
    <m/>
    <n v="0"/>
    <m/>
    <n v="0"/>
    <m/>
    <n v="0"/>
    <m/>
    <n v="2015850"/>
    <n v="2174728"/>
    <n v="0"/>
    <n v="0"/>
    <n v="0"/>
    <n v="0"/>
    <n v="0"/>
    <n v="0"/>
    <n v="0"/>
    <n v="0"/>
    <n v="0"/>
    <n v="0"/>
    <n v="429"/>
    <n v="428"/>
    <n v="0"/>
    <n v="0"/>
    <n v="0"/>
    <n v="0"/>
    <n v="0"/>
    <n v="0"/>
    <n v="0"/>
    <n v="0"/>
    <n v="0"/>
    <n v="0"/>
    <n v="4698.9510489510485"/>
    <n v="5081.1401869158881"/>
    <n v="0"/>
    <n v="0"/>
    <n v="0"/>
    <n v="0"/>
    <n v="0"/>
    <n v="0"/>
    <n v="0"/>
    <n v="0"/>
    <n v="0"/>
    <n v="0"/>
    <n v="42290.559440559438"/>
    <n v="45730.261682242992"/>
    <n v="42290.559440559438"/>
    <n v="45730.261682242992"/>
    <n v="0"/>
    <n v="0"/>
    <n v="0"/>
    <n v="0"/>
    <n v="0"/>
    <n v="0"/>
    <n v="0"/>
    <n v="0"/>
    <n v="0"/>
    <n v="0"/>
    <n v="45"/>
    <n v="46"/>
    <n v="45"/>
    <n v="46"/>
    <n v="0"/>
    <n v="0"/>
    <n v="0"/>
    <n v="0"/>
    <n v="0"/>
    <n v="0"/>
    <n v="0"/>
    <n v="0"/>
    <n v="0"/>
    <n v="0"/>
    <n v="1903075.1748251747"/>
    <n v="2103592.0373831778"/>
    <n v="1903075.1748251747"/>
    <n v="2103592.0373831778"/>
  </r>
  <r>
    <x v="10"/>
    <s v="Northeastern Oklahoma A &amp; M College "/>
    <m/>
    <n v="207290"/>
    <x v="8"/>
    <m/>
    <m/>
    <m/>
    <m/>
    <m/>
    <m/>
    <m/>
    <m/>
    <m/>
    <m/>
    <m/>
    <m/>
    <m/>
    <m/>
    <m/>
    <m/>
    <m/>
    <m/>
    <m/>
    <m/>
    <m/>
    <m/>
    <m/>
    <m/>
    <m/>
    <m/>
    <m/>
    <m/>
    <m/>
    <m/>
    <m/>
    <m/>
    <m/>
    <m/>
    <m/>
    <m/>
    <m/>
    <m/>
    <m/>
    <m/>
    <n v="59"/>
    <n v="67"/>
    <m/>
    <m/>
    <n v="2"/>
    <n v="0"/>
    <m/>
    <m/>
    <n v="0"/>
    <m/>
    <n v="0"/>
    <m/>
    <n v="0"/>
    <m/>
    <n v="0"/>
    <m/>
    <n v="0"/>
    <m/>
    <n v="2653337"/>
    <n v="2922875"/>
    <n v="0"/>
    <n v="0"/>
    <n v="0"/>
    <n v="0"/>
    <n v="0"/>
    <n v="0"/>
    <n v="0"/>
    <n v="0"/>
    <n v="0"/>
    <n v="0"/>
    <n v="553"/>
    <n v="603"/>
    <n v="0"/>
    <n v="0"/>
    <n v="0"/>
    <n v="0"/>
    <n v="0"/>
    <n v="0"/>
    <n v="0"/>
    <n v="0"/>
    <n v="0"/>
    <n v="0"/>
    <n v="4798.0777576853525"/>
    <n v="4847.2222222222226"/>
    <n v="0"/>
    <n v="0"/>
    <n v="0"/>
    <n v="0"/>
    <n v="0"/>
    <n v="0"/>
    <n v="0"/>
    <n v="0"/>
    <n v="0"/>
    <n v="0"/>
    <n v="43182.699819168171"/>
    <n v="43625"/>
    <n v="43182.699819168171"/>
    <n v="43625"/>
    <n v="0"/>
    <n v="0"/>
    <n v="0"/>
    <n v="0"/>
    <n v="0"/>
    <n v="0"/>
    <n v="0"/>
    <n v="0"/>
    <n v="0"/>
    <n v="0"/>
    <n v="61"/>
    <n v="67"/>
    <n v="61"/>
    <n v="67"/>
    <n v="0"/>
    <n v="0"/>
    <n v="0"/>
    <n v="0"/>
    <n v="0"/>
    <n v="0"/>
    <n v="0"/>
    <n v="0"/>
    <n v="0"/>
    <n v="0"/>
    <n v="2634144.6889692582"/>
    <n v="2922875"/>
    <n v="2634144.6889692582"/>
    <n v="2922875"/>
  </r>
  <r>
    <x v="10"/>
    <s v="Redlands Community College"/>
    <m/>
    <n v="207069"/>
    <x v="8"/>
    <m/>
    <m/>
    <m/>
    <m/>
    <m/>
    <m/>
    <m/>
    <m/>
    <m/>
    <m/>
    <m/>
    <m/>
    <m/>
    <m/>
    <m/>
    <m/>
    <m/>
    <m/>
    <m/>
    <m/>
    <m/>
    <m/>
    <m/>
    <m/>
    <m/>
    <m/>
    <m/>
    <m/>
    <m/>
    <m/>
    <m/>
    <m/>
    <m/>
    <m/>
    <m/>
    <m/>
    <m/>
    <m/>
    <m/>
    <m/>
    <n v="26"/>
    <n v="26"/>
    <m/>
    <m/>
    <n v="10"/>
    <n v="9"/>
    <m/>
    <m/>
    <n v="0"/>
    <m/>
    <n v="0"/>
    <m/>
    <n v="0"/>
    <m/>
    <n v="0"/>
    <m/>
    <n v="0"/>
    <m/>
    <n v="1493176"/>
    <n v="1496597"/>
    <n v="0"/>
    <n v="0"/>
    <n v="0"/>
    <n v="0"/>
    <n v="0"/>
    <n v="0"/>
    <n v="0"/>
    <n v="0"/>
    <n v="0"/>
    <n v="0"/>
    <n v="344"/>
    <n v="333"/>
    <n v="0"/>
    <n v="0"/>
    <n v="0"/>
    <n v="0"/>
    <n v="0"/>
    <n v="0"/>
    <n v="0"/>
    <n v="0"/>
    <n v="0"/>
    <n v="0"/>
    <n v="4340.6279069767443"/>
    <n v="4494.2852852852857"/>
    <n v="0"/>
    <n v="0"/>
    <n v="0"/>
    <n v="0"/>
    <n v="0"/>
    <n v="0"/>
    <n v="0"/>
    <n v="0"/>
    <n v="0"/>
    <n v="0"/>
    <n v="39065.651162790702"/>
    <n v="40448.567567567574"/>
    <n v="39065.651162790702"/>
    <n v="40448.567567567574"/>
    <n v="0"/>
    <n v="0"/>
    <n v="0"/>
    <n v="0"/>
    <n v="0"/>
    <n v="0"/>
    <n v="0"/>
    <n v="0"/>
    <n v="0"/>
    <n v="0"/>
    <n v="36"/>
    <n v="35"/>
    <n v="36"/>
    <n v="35"/>
    <n v="0"/>
    <n v="0"/>
    <n v="0"/>
    <n v="0"/>
    <n v="0"/>
    <n v="0"/>
    <n v="0"/>
    <n v="0"/>
    <n v="0"/>
    <n v="0"/>
    <n v="1406363.4418604653"/>
    <n v="1415699.8648648651"/>
    <n v="1406363.4418604653"/>
    <n v="1415699.8648648651"/>
  </r>
  <r>
    <x v="10"/>
    <s v="Seminole State College "/>
    <m/>
    <n v="207740"/>
    <x v="8"/>
    <m/>
    <m/>
    <m/>
    <m/>
    <m/>
    <m/>
    <m/>
    <m/>
    <m/>
    <m/>
    <m/>
    <m/>
    <m/>
    <m/>
    <m/>
    <m/>
    <m/>
    <m/>
    <m/>
    <m/>
    <m/>
    <m/>
    <m/>
    <m/>
    <m/>
    <m/>
    <m/>
    <m/>
    <m/>
    <m/>
    <m/>
    <m/>
    <m/>
    <m/>
    <m/>
    <m/>
    <m/>
    <m/>
    <m/>
    <m/>
    <n v="39"/>
    <n v="40"/>
    <m/>
    <m/>
    <n v="10"/>
    <n v="8"/>
    <m/>
    <m/>
    <n v="0"/>
    <m/>
    <n v="0"/>
    <m/>
    <n v="0"/>
    <m/>
    <n v="0"/>
    <m/>
    <n v="0"/>
    <m/>
    <n v="2190325"/>
    <n v="2127736"/>
    <n v="0"/>
    <n v="0"/>
    <n v="0"/>
    <n v="0"/>
    <n v="0"/>
    <n v="0"/>
    <n v="0"/>
    <n v="0"/>
    <n v="0"/>
    <n v="0"/>
    <n v="461"/>
    <n v="448"/>
    <n v="0"/>
    <n v="0"/>
    <n v="0"/>
    <n v="0"/>
    <n v="0"/>
    <n v="0"/>
    <n v="0"/>
    <n v="0"/>
    <n v="0"/>
    <n v="0"/>
    <n v="4751.2472885032539"/>
    <n v="4749.4107142857147"/>
    <n v="0"/>
    <n v="0"/>
    <n v="0"/>
    <n v="0"/>
    <n v="0"/>
    <n v="0"/>
    <n v="0"/>
    <n v="0"/>
    <n v="0"/>
    <n v="0"/>
    <n v="42761.225596529286"/>
    <n v="42744.696428571435"/>
    <n v="42761.225596529286"/>
    <n v="42744.696428571435"/>
    <n v="0"/>
    <n v="0"/>
    <n v="0"/>
    <n v="0"/>
    <n v="0"/>
    <n v="0"/>
    <n v="0"/>
    <n v="0"/>
    <n v="0"/>
    <n v="0"/>
    <n v="49"/>
    <n v="48"/>
    <n v="49"/>
    <n v="48"/>
    <n v="0"/>
    <n v="0"/>
    <n v="0"/>
    <n v="0"/>
    <n v="0"/>
    <n v="0"/>
    <n v="0"/>
    <n v="0"/>
    <n v="0"/>
    <n v="0"/>
    <n v="2095300.0542299349"/>
    <n v="2051745.4285714289"/>
    <n v="2095300.0542299349"/>
    <n v="2051745.4285714289"/>
  </r>
  <r>
    <x v="10"/>
    <s v="Western Oklahoma State College "/>
    <s v="Met the criteria for Two-Year 2 institution in 2011-12 and 2012-13."/>
    <n v="208035"/>
    <x v="8"/>
    <m/>
    <m/>
    <m/>
    <m/>
    <m/>
    <m/>
    <m/>
    <m/>
    <m/>
    <m/>
    <m/>
    <m/>
    <m/>
    <m/>
    <m/>
    <m/>
    <m/>
    <m/>
    <m/>
    <m/>
    <m/>
    <m/>
    <m/>
    <m/>
    <m/>
    <m/>
    <m/>
    <m/>
    <m/>
    <m/>
    <m/>
    <m/>
    <m/>
    <m/>
    <m/>
    <m/>
    <m/>
    <m/>
    <m/>
    <m/>
    <n v="37"/>
    <n v="38"/>
    <m/>
    <m/>
    <n v="3"/>
    <n v="3"/>
    <m/>
    <m/>
    <n v="0"/>
    <m/>
    <n v="0"/>
    <m/>
    <n v="0"/>
    <m/>
    <n v="0"/>
    <m/>
    <n v="0"/>
    <m/>
    <n v="1785325"/>
    <n v="1891742"/>
    <n v="0"/>
    <n v="0"/>
    <n v="0"/>
    <n v="0"/>
    <n v="0"/>
    <n v="0"/>
    <n v="0"/>
    <n v="0"/>
    <n v="0"/>
    <n v="0"/>
    <n v="366"/>
    <n v="375"/>
    <n v="0"/>
    <n v="0"/>
    <n v="0"/>
    <n v="0"/>
    <n v="0"/>
    <n v="0"/>
    <n v="0"/>
    <n v="0"/>
    <n v="0"/>
    <n v="0"/>
    <n v="4877.9371584699456"/>
    <n v="5044.6453333333329"/>
    <n v="0"/>
    <n v="0"/>
    <n v="0"/>
    <n v="0"/>
    <n v="0"/>
    <n v="0"/>
    <n v="0"/>
    <n v="0"/>
    <n v="0"/>
    <n v="0"/>
    <n v="43901.434426229513"/>
    <n v="45401.807999999997"/>
    <n v="43901.434426229513"/>
    <n v="45401.807999999997"/>
    <n v="0"/>
    <n v="0"/>
    <n v="0"/>
    <n v="0"/>
    <n v="0"/>
    <n v="0"/>
    <n v="0"/>
    <n v="0"/>
    <n v="0"/>
    <n v="0"/>
    <n v="40"/>
    <n v="41"/>
    <n v="40"/>
    <n v="41"/>
    <n v="0"/>
    <n v="0"/>
    <n v="0"/>
    <n v="0"/>
    <n v="0"/>
    <n v="0"/>
    <n v="0"/>
    <n v="0"/>
    <n v="0"/>
    <n v="0"/>
    <n v="1756057.3770491804"/>
    <n v="1861474.1279999998"/>
    <n v="1756057.3770491804"/>
    <n v="1861474.1279999998"/>
  </r>
  <r>
    <x v="10"/>
    <s v="Canadian Valley Technology Center                 "/>
    <m/>
    <n v="365374"/>
    <x v="9"/>
    <m/>
    <m/>
    <m/>
    <m/>
    <m/>
    <m/>
    <m/>
    <m/>
    <m/>
    <m/>
    <m/>
    <m/>
    <m/>
    <m/>
    <m/>
    <m/>
    <m/>
    <m/>
    <m/>
    <m/>
    <m/>
    <m/>
    <m/>
    <m/>
    <m/>
    <m/>
    <m/>
    <m/>
    <m/>
    <m/>
    <m/>
    <m/>
    <m/>
    <m/>
    <m/>
    <m/>
    <m/>
    <m/>
    <m/>
    <m/>
    <m/>
    <m/>
    <n v="40"/>
    <n v="40"/>
    <n v="12"/>
    <n v="11"/>
    <n v="3"/>
    <n v="1"/>
    <n v="0"/>
    <m/>
    <n v="0"/>
    <m/>
    <n v="0"/>
    <m/>
    <n v="0"/>
    <m/>
    <n v="0"/>
    <m/>
    <n v="3292930"/>
    <n v="3036559"/>
    <n v="0"/>
    <n v="0"/>
    <n v="0"/>
    <n v="0"/>
    <n v="0"/>
    <n v="0"/>
    <n v="0"/>
    <n v="0"/>
    <n v="0"/>
    <n v="0"/>
    <n v="568"/>
    <n v="533"/>
    <n v="0"/>
    <n v="0"/>
    <n v="0"/>
    <n v="0"/>
    <n v="0"/>
    <n v="0"/>
    <n v="0"/>
    <n v="0"/>
    <n v="0"/>
    <n v="0"/>
    <n v="5797.4119718309857"/>
    <n v="5697.1088180112574"/>
    <n v="0"/>
    <n v="0"/>
    <n v="0"/>
    <n v="0"/>
    <n v="0"/>
    <n v="0"/>
    <n v="0"/>
    <n v="0"/>
    <n v="0"/>
    <n v="0"/>
    <n v="52176.707746478874"/>
    <n v="51273.979362101316"/>
    <n v="52176.707746478874"/>
    <n v="51273.979362101309"/>
    <n v="0"/>
    <n v="0"/>
    <n v="0"/>
    <n v="0"/>
    <n v="0"/>
    <n v="0"/>
    <n v="0"/>
    <n v="0"/>
    <n v="0"/>
    <n v="0"/>
    <n v="55"/>
    <n v="52"/>
    <n v="55"/>
    <n v="52"/>
    <n v="0"/>
    <n v="0"/>
    <n v="0"/>
    <n v="0"/>
    <n v="0"/>
    <n v="0"/>
    <n v="0"/>
    <n v="0"/>
    <n v="0"/>
    <n v="0"/>
    <n v="2869718.926056338"/>
    <n v="2666246.9268292682"/>
    <n v="2869718.926056338"/>
    <n v="2666246.9268292682"/>
  </r>
  <r>
    <x v="10"/>
    <s v="Francis Tuttle Technology Center                  "/>
    <m/>
    <n v="245999"/>
    <x v="9"/>
    <m/>
    <m/>
    <m/>
    <m/>
    <m/>
    <m/>
    <m/>
    <m/>
    <m/>
    <m/>
    <m/>
    <m/>
    <m/>
    <m/>
    <m/>
    <m/>
    <m/>
    <m/>
    <m/>
    <m/>
    <m/>
    <m/>
    <m/>
    <m/>
    <m/>
    <m/>
    <m/>
    <m/>
    <m/>
    <m/>
    <m/>
    <m/>
    <m/>
    <m/>
    <m/>
    <m/>
    <m/>
    <m/>
    <m/>
    <m/>
    <m/>
    <m/>
    <n v="77"/>
    <n v="76"/>
    <n v="5"/>
    <n v="11"/>
    <n v="16"/>
    <n v="15"/>
    <n v="0"/>
    <m/>
    <n v="0"/>
    <m/>
    <n v="0"/>
    <m/>
    <n v="0"/>
    <m/>
    <n v="0"/>
    <m/>
    <n v="6152265"/>
    <n v="6542091"/>
    <n v="0"/>
    <n v="0"/>
    <n v="0"/>
    <n v="0"/>
    <n v="0"/>
    <n v="0"/>
    <n v="0"/>
    <n v="0"/>
    <n v="0"/>
    <n v="0"/>
    <n v="1017"/>
    <n v="1061"/>
    <n v="0"/>
    <n v="0"/>
    <n v="0"/>
    <n v="0"/>
    <n v="0"/>
    <n v="0"/>
    <n v="0"/>
    <n v="0"/>
    <n v="0"/>
    <n v="0"/>
    <n v="6049.424778761062"/>
    <n v="6165.9670122525922"/>
    <n v="0"/>
    <n v="0"/>
    <n v="0"/>
    <n v="0"/>
    <n v="0"/>
    <n v="0"/>
    <n v="0"/>
    <n v="0"/>
    <n v="0"/>
    <n v="0"/>
    <n v="54444.823008849562"/>
    <n v="55493.703110273331"/>
    <n v="54444.823008849562"/>
    <n v="55493.703110273331"/>
    <n v="0"/>
    <n v="0"/>
    <n v="0"/>
    <n v="0"/>
    <n v="0"/>
    <n v="0"/>
    <n v="0"/>
    <n v="0"/>
    <n v="0"/>
    <n v="0"/>
    <n v="98"/>
    <n v="102"/>
    <n v="98"/>
    <n v="102"/>
    <n v="0"/>
    <n v="0"/>
    <n v="0"/>
    <n v="0"/>
    <n v="0"/>
    <n v="0"/>
    <n v="0"/>
    <n v="0"/>
    <n v="0"/>
    <n v="0"/>
    <n v="5335592.654867257"/>
    <n v="5660357.7172478801"/>
    <n v="5335592.654867257"/>
    <n v="5660357.7172478801"/>
  </r>
  <r>
    <x v="10"/>
    <s v="Metro Technology Centers                          "/>
    <m/>
    <n v="363165"/>
    <x v="9"/>
    <m/>
    <m/>
    <m/>
    <m/>
    <m/>
    <m/>
    <m/>
    <m/>
    <m/>
    <m/>
    <m/>
    <m/>
    <m/>
    <m/>
    <m/>
    <m/>
    <m/>
    <m/>
    <m/>
    <m/>
    <m/>
    <m/>
    <m/>
    <m/>
    <m/>
    <m/>
    <m/>
    <m/>
    <m/>
    <m/>
    <m/>
    <m/>
    <m/>
    <m/>
    <m/>
    <m/>
    <m/>
    <m/>
    <m/>
    <m/>
    <m/>
    <m/>
    <n v="31"/>
    <n v="30"/>
    <n v="7"/>
    <n v="5"/>
    <n v="24"/>
    <n v="20"/>
    <n v="0"/>
    <m/>
    <n v="0"/>
    <m/>
    <n v="0"/>
    <m/>
    <n v="0"/>
    <m/>
    <n v="0"/>
    <m/>
    <n v="3339723"/>
    <n v="2922870"/>
    <n v="0"/>
    <n v="0"/>
    <n v="0"/>
    <n v="0"/>
    <n v="0"/>
    <n v="0"/>
    <n v="0"/>
    <n v="0"/>
    <n v="0"/>
    <n v="0"/>
    <n v="675"/>
    <n v="595"/>
    <n v="0"/>
    <n v="0"/>
    <n v="0"/>
    <n v="0"/>
    <n v="0"/>
    <n v="0"/>
    <n v="0"/>
    <n v="0"/>
    <n v="0"/>
    <n v="0"/>
    <n v="4947.7377777777774"/>
    <n v="4912.3865546218485"/>
    <n v="0"/>
    <n v="0"/>
    <n v="0"/>
    <n v="0"/>
    <n v="0"/>
    <n v="0"/>
    <n v="0"/>
    <n v="0"/>
    <n v="0"/>
    <n v="0"/>
    <n v="44529.64"/>
    <n v="44211.478991596639"/>
    <n v="44529.64"/>
    <n v="44211.478991596639"/>
    <n v="0"/>
    <n v="0"/>
    <n v="0"/>
    <n v="0"/>
    <n v="0"/>
    <n v="0"/>
    <n v="0"/>
    <n v="0"/>
    <n v="0"/>
    <n v="0"/>
    <n v="62"/>
    <n v="55"/>
    <n v="62"/>
    <n v="55"/>
    <n v="0"/>
    <n v="0"/>
    <n v="0"/>
    <n v="0"/>
    <n v="0"/>
    <n v="0"/>
    <n v="0"/>
    <n v="0"/>
    <n v="0"/>
    <n v="0"/>
    <n v="2760837.68"/>
    <n v="2431631.3445378151"/>
    <n v="2760837.68"/>
    <n v="2431631.3445378151"/>
  </r>
  <r>
    <x v="10"/>
    <s v="Autry Technology Center                           "/>
    <m/>
    <n v="365213"/>
    <x v="10"/>
    <m/>
    <m/>
    <m/>
    <m/>
    <m/>
    <m/>
    <m/>
    <m/>
    <m/>
    <m/>
    <m/>
    <m/>
    <m/>
    <m/>
    <m/>
    <m/>
    <m/>
    <m/>
    <m/>
    <m/>
    <m/>
    <m/>
    <m/>
    <m/>
    <m/>
    <m/>
    <m/>
    <m/>
    <m/>
    <m/>
    <m/>
    <m/>
    <m/>
    <m/>
    <m/>
    <m/>
    <m/>
    <m/>
    <m/>
    <m/>
    <m/>
    <m/>
    <n v="19"/>
    <n v="20"/>
    <n v="2"/>
    <n v="2"/>
    <n v="11"/>
    <n v="8"/>
    <n v="0"/>
    <m/>
    <n v="0"/>
    <m/>
    <n v="0"/>
    <m/>
    <n v="0"/>
    <m/>
    <n v="0"/>
    <m/>
    <n v="1800610"/>
    <n v="1701652"/>
    <n v="0"/>
    <n v="0"/>
    <n v="0"/>
    <n v="0"/>
    <n v="0"/>
    <n v="0"/>
    <n v="0"/>
    <n v="0"/>
    <n v="0"/>
    <n v="0"/>
    <n v="344"/>
    <n v="318"/>
    <n v="0"/>
    <n v="0"/>
    <n v="0"/>
    <n v="0"/>
    <n v="0"/>
    <n v="0"/>
    <n v="0"/>
    <n v="0"/>
    <n v="0"/>
    <n v="0"/>
    <n v="5234.3313953488368"/>
    <n v="5351.1069182389938"/>
    <n v="0"/>
    <n v="0"/>
    <n v="0"/>
    <n v="0"/>
    <n v="0"/>
    <n v="0"/>
    <n v="0"/>
    <n v="0"/>
    <n v="0"/>
    <n v="0"/>
    <n v="47108.982558139534"/>
    <n v="48159.962264150941"/>
    <n v="47108.982558139534"/>
    <n v="48159.962264150941"/>
    <n v="0"/>
    <n v="0"/>
    <n v="0"/>
    <n v="0"/>
    <n v="0"/>
    <n v="0"/>
    <n v="0"/>
    <n v="0"/>
    <n v="0"/>
    <n v="0"/>
    <n v="32"/>
    <n v="30"/>
    <n v="32"/>
    <n v="30"/>
    <n v="0"/>
    <n v="0"/>
    <n v="0"/>
    <n v="0"/>
    <n v="0"/>
    <n v="0"/>
    <n v="0"/>
    <n v="0"/>
    <n v="0"/>
    <n v="0"/>
    <n v="1507487.4418604651"/>
    <n v="1444798.8679245282"/>
    <n v="1507487.4418604651"/>
    <n v="1444798.8679245282"/>
  </r>
  <r>
    <x v="10"/>
    <s v="Caddo Kiowa Technology Center                     "/>
    <m/>
    <n v="364946"/>
    <x v="10"/>
    <m/>
    <m/>
    <m/>
    <m/>
    <m/>
    <m/>
    <m/>
    <m/>
    <m/>
    <m/>
    <m/>
    <m/>
    <m/>
    <m/>
    <m/>
    <m/>
    <m/>
    <m/>
    <m/>
    <m/>
    <m/>
    <m/>
    <m/>
    <m/>
    <m/>
    <m/>
    <m/>
    <m/>
    <m/>
    <m/>
    <m/>
    <m/>
    <m/>
    <m/>
    <m/>
    <m/>
    <m/>
    <m/>
    <m/>
    <m/>
    <m/>
    <m/>
    <n v="22"/>
    <n v="21"/>
    <n v="8"/>
    <n v="5"/>
    <n v="1"/>
    <n v="2"/>
    <n v="0"/>
    <m/>
    <n v="0"/>
    <m/>
    <n v="0"/>
    <m/>
    <n v="0"/>
    <m/>
    <n v="0"/>
    <m/>
    <n v="1514250"/>
    <n v="1394771"/>
    <n v="0"/>
    <n v="0"/>
    <n v="0"/>
    <n v="0"/>
    <n v="0"/>
    <n v="0"/>
    <n v="0"/>
    <n v="0"/>
    <n v="0"/>
    <n v="0"/>
    <n v="320"/>
    <n v="289"/>
    <n v="0"/>
    <n v="0"/>
    <n v="0"/>
    <n v="0"/>
    <n v="0"/>
    <n v="0"/>
    <n v="0"/>
    <n v="0"/>
    <n v="0"/>
    <n v="0"/>
    <n v="4732.03125"/>
    <n v="4826.1972318339103"/>
    <n v="0"/>
    <n v="0"/>
    <n v="0"/>
    <n v="0"/>
    <n v="0"/>
    <n v="0"/>
    <n v="0"/>
    <n v="0"/>
    <n v="0"/>
    <n v="0"/>
    <n v="42588.28125"/>
    <n v="43435.775086505193"/>
    <n v="42588.28125"/>
    <n v="43435.775086505186"/>
    <n v="0"/>
    <n v="0"/>
    <n v="0"/>
    <n v="0"/>
    <n v="0"/>
    <n v="0"/>
    <n v="0"/>
    <n v="0"/>
    <n v="0"/>
    <n v="0"/>
    <n v="31"/>
    <n v="28"/>
    <n v="31"/>
    <n v="28"/>
    <n v="0"/>
    <n v="0"/>
    <n v="0"/>
    <n v="0"/>
    <n v="0"/>
    <n v="0"/>
    <n v="0"/>
    <n v="0"/>
    <n v="0"/>
    <n v="0"/>
    <n v="1320236.71875"/>
    <n v="1216201.7024221453"/>
    <n v="1320236.71875"/>
    <n v="1216201.7024221453"/>
  </r>
  <r>
    <x v="10"/>
    <s v="Central Technology Center                         "/>
    <m/>
    <n v="246017"/>
    <x v="10"/>
    <m/>
    <m/>
    <m/>
    <m/>
    <m/>
    <m/>
    <m/>
    <m/>
    <m/>
    <m/>
    <m/>
    <m/>
    <m/>
    <m/>
    <m/>
    <m/>
    <m/>
    <m/>
    <m/>
    <m/>
    <m/>
    <m/>
    <m/>
    <m/>
    <m/>
    <m/>
    <m/>
    <m/>
    <m/>
    <m/>
    <m/>
    <m/>
    <m/>
    <m/>
    <m/>
    <m/>
    <m/>
    <m/>
    <m/>
    <m/>
    <m/>
    <m/>
    <n v="30"/>
    <n v="28"/>
    <m/>
    <n v="0"/>
    <n v="19"/>
    <n v="15"/>
    <n v="0"/>
    <m/>
    <n v="0"/>
    <m/>
    <n v="0"/>
    <m/>
    <n v="0"/>
    <m/>
    <n v="0"/>
    <m/>
    <n v="2620141"/>
    <n v="2257305"/>
    <n v="0"/>
    <n v="0"/>
    <n v="0"/>
    <n v="0"/>
    <n v="0"/>
    <n v="0"/>
    <n v="0"/>
    <n v="0"/>
    <n v="0"/>
    <n v="0"/>
    <n v="528"/>
    <n v="460"/>
    <n v="0"/>
    <n v="0"/>
    <n v="0"/>
    <n v="0"/>
    <n v="0"/>
    <n v="0"/>
    <n v="0"/>
    <n v="0"/>
    <n v="0"/>
    <n v="0"/>
    <n v="4962.388257575758"/>
    <n v="4907.184782608696"/>
    <n v="0"/>
    <n v="0"/>
    <n v="0"/>
    <n v="0"/>
    <n v="0"/>
    <n v="0"/>
    <n v="0"/>
    <n v="0"/>
    <n v="0"/>
    <n v="0"/>
    <n v="44661.494318181823"/>
    <n v="44164.663043478264"/>
    <n v="44661.494318181823"/>
    <n v="44164.663043478264"/>
    <n v="0"/>
    <n v="0"/>
    <n v="0"/>
    <n v="0"/>
    <n v="0"/>
    <n v="0"/>
    <n v="0"/>
    <n v="0"/>
    <n v="0"/>
    <n v="0"/>
    <n v="49"/>
    <n v="43"/>
    <n v="49"/>
    <n v="43"/>
    <n v="0"/>
    <n v="0"/>
    <n v="0"/>
    <n v="0"/>
    <n v="0"/>
    <n v="0"/>
    <n v="0"/>
    <n v="0"/>
    <n v="0"/>
    <n v="0"/>
    <n v="2188413.2215909092"/>
    <n v="1899080.5108695654"/>
    <n v="2188413.2215909092"/>
    <n v="1899080.5108695654"/>
  </r>
  <r>
    <x v="10"/>
    <s v="Chisholm Trail Technology Center                  "/>
    <m/>
    <n v="375656"/>
    <x v="10"/>
    <m/>
    <m/>
    <m/>
    <m/>
    <m/>
    <m/>
    <m/>
    <m/>
    <m/>
    <m/>
    <m/>
    <m/>
    <m/>
    <m/>
    <m/>
    <m/>
    <m/>
    <m/>
    <m/>
    <m/>
    <m/>
    <m/>
    <m/>
    <m/>
    <m/>
    <m/>
    <m/>
    <m/>
    <m/>
    <m/>
    <m/>
    <m/>
    <m/>
    <m/>
    <m/>
    <m/>
    <m/>
    <m/>
    <m/>
    <m/>
    <m/>
    <m/>
    <n v="5"/>
    <n v="5"/>
    <m/>
    <m/>
    <n v="2"/>
    <n v="2"/>
    <n v="0"/>
    <m/>
    <n v="0"/>
    <m/>
    <n v="0"/>
    <m/>
    <n v="0"/>
    <m/>
    <n v="0"/>
    <m/>
    <n v="318750"/>
    <n v="322900"/>
    <n v="0"/>
    <n v="0"/>
    <n v="0"/>
    <n v="0"/>
    <n v="0"/>
    <n v="0"/>
    <n v="0"/>
    <n v="0"/>
    <n v="0"/>
    <n v="0"/>
    <n v="74"/>
    <n v="74"/>
    <n v="0"/>
    <n v="0"/>
    <n v="0"/>
    <n v="0"/>
    <n v="0"/>
    <n v="0"/>
    <n v="0"/>
    <n v="0"/>
    <n v="0"/>
    <n v="0"/>
    <n v="4307.4324324324325"/>
    <n v="4363.5135135135133"/>
    <n v="0"/>
    <n v="0"/>
    <n v="0"/>
    <n v="0"/>
    <n v="0"/>
    <n v="0"/>
    <n v="0"/>
    <n v="0"/>
    <n v="0"/>
    <n v="0"/>
    <n v="38766.891891891893"/>
    <n v="39271.62162162162"/>
    <n v="38766.891891891893"/>
    <n v="39271.62162162162"/>
    <n v="0"/>
    <n v="0"/>
    <n v="0"/>
    <n v="0"/>
    <n v="0"/>
    <n v="0"/>
    <n v="0"/>
    <n v="0"/>
    <n v="0"/>
    <n v="0"/>
    <n v="7"/>
    <n v="7"/>
    <n v="7"/>
    <n v="7"/>
    <n v="0"/>
    <n v="0"/>
    <n v="0"/>
    <n v="0"/>
    <n v="0"/>
    <n v="0"/>
    <n v="0"/>
    <n v="0"/>
    <n v="0"/>
    <n v="0"/>
    <n v="271368.24324324325"/>
    <n v="274901.35135135136"/>
    <n v="271368.24324324325"/>
    <n v="274901.35135135136"/>
  </r>
  <r>
    <x v="10"/>
    <s v="Eastern Oklahoma County Technology Center         "/>
    <m/>
    <n v="418348"/>
    <x v="10"/>
    <m/>
    <m/>
    <m/>
    <m/>
    <m/>
    <m/>
    <m/>
    <m/>
    <m/>
    <m/>
    <m/>
    <m/>
    <m/>
    <m/>
    <m/>
    <m/>
    <m/>
    <m/>
    <m/>
    <m/>
    <m/>
    <m/>
    <m/>
    <m/>
    <m/>
    <m/>
    <m/>
    <m/>
    <m/>
    <m/>
    <m/>
    <m/>
    <m/>
    <m/>
    <m/>
    <m/>
    <m/>
    <m/>
    <m/>
    <m/>
    <m/>
    <m/>
    <n v="17"/>
    <n v="17"/>
    <m/>
    <m/>
    <n v="2"/>
    <n v="2"/>
    <n v="0"/>
    <m/>
    <n v="0"/>
    <m/>
    <n v="0"/>
    <m/>
    <n v="0"/>
    <m/>
    <n v="0"/>
    <m/>
    <n v="962844"/>
    <n v="958514"/>
    <n v="0"/>
    <n v="0"/>
    <n v="0"/>
    <n v="0"/>
    <n v="0"/>
    <n v="0"/>
    <n v="0"/>
    <n v="0"/>
    <n v="0"/>
    <n v="0"/>
    <n v="194"/>
    <n v="194"/>
    <n v="0"/>
    <n v="0"/>
    <n v="0"/>
    <n v="0"/>
    <n v="0"/>
    <n v="0"/>
    <n v="0"/>
    <n v="0"/>
    <n v="0"/>
    <n v="0"/>
    <n v="4963.1134020618556"/>
    <n v="4940.7938144329901"/>
    <n v="0"/>
    <n v="0"/>
    <n v="0"/>
    <n v="0"/>
    <n v="0"/>
    <n v="0"/>
    <n v="0"/>
    <n v="0"/>
    <n v="0"/>
    <n v="0"/>
    <n v="44668.0206185567"/>
    <n v="44467.14432989691"/>
    <n v="44668.0206185567"/>
    <n v="44467.14432989691"/>
    <n v="0"/>
    <n v="0"/>
    <n v="0"/>
    <n v="0"/>
    <n v="0"/>
    <n v="0"/>
    <n v="0"/>
    <n v="0"/>
    <n v="0"/>
    <n v="0"/>
    <n v="19"/>
    <n v="19"/>
    <n v="19"/>
    <n v="19"/>
    <n v="0"/>
    <n v="0"/>
    <n v="0"/>
    <n v="0"/>
    <n v="0"/>
    <n v="0"/>
    <n v="0"/>
    <n v="0"/>
    <n v="0"/>
    <n v="0"/>
    <n v="848692.39175257727"/>
    <n v="844875.74226804124"/>
    <n v="848692.39175257727"/>
    <n v="844875.74226804124"/>
  </r>
  <r>
    <x v="10"/>
    <s v="Gordon Cooper Technology Center                   "/>
    <m/>
    <n v="375683"/>
    <x v="10"/>
    <m/>
    <m/>
    <m/>
    <m/>
    <m/>
    <m/>
    <m/>
    <m/>
    <m/>
    <m/>
    <m/>
    <m/>
    <m/>
    <m/>
    <m/>
    <m/>
    <m/>
    <m/>
    <m/>
    <m/>
    <m/>
    <m/>
    <m/>
    <m/>
    <m/>
    <m/>
    <m/>
    <m/>
    <m/>
    <m/>
    <m/>
    <m/>
    <m/>
    <m/>
    <m/>
    <m/>
    <m/>
    <m/>
    <m/>
    <m/>
    <m/>
    <m/>
    <n v="32"/>
    <n v="28"/>
    <m/>
    <m/>
    <n v="7"/>
    <n v="6"/>
    <n v="0"/>
    <m/>
    <n v="0"/>
    <m/>
    <n v="0"/>
    <m/>
    <n v="0"/>
    <m/>
    <n v="0"/>
    <m/>
    <n v="2052811"/>
    <n v="1872641"/>
    <n v="0"/>
    <n v="0"/>
    <n v="0"/>
    <n v="0"/>
    <n v="0"/>
    <n v="0"/>
    <n v="0"/>
    <n v="0"/>
    <n v="0"/>
    <n v="0"/>
    <n v="404"/>
    <n v="352"/>
    <n v="0"/>
    <n v="0"/>
    <n v="0"/>
    <n v="0"/>
    <n v="0"/>
    <n v="0"/>
    <n v="0"/>
    <n v="0"/>
    <n v="0"/>
    <n v="0"/>
    <n v="5081.2153465346537"/>
    <n v="5320.002840909091"/>
    <n v="0"/>
    <n v="0"/>
    <n v="0"/>
    <n v="0"/>
    <n v="0"/>
    <n v="0"/>
    <n v="0"/>
    <n v="0"/>
    <n v="0"/>
    <n v="0"/>
    <n v="45730.938118811886"/>
    <n v="47880.025568181816"/>
    <n v="45730.938118811886"/>
    <n v="47880.025568181816"/>
    <n v="0"/>
    <n v="0"/>
    <n v="0"/>
    <n v="0"/>
    <n v="0"/>
    <n v="0"/>
    <n v="0"/>
    <n v="0"/>
    <n v="0"/>
    <n v="0"/>
    <n v="39"/>
    <n v="34"/>
    <n v="39"/>
    <n v="34"/>
    <n v="0"/>
    <n v="0"/>
    <n v="0"/>
    <n v="0"/>
    <n v="0"/>
    <n v="0"/>
    <n v="0"/>
    <n v="0"/>
    <n v="0"/>
    <n v="0"/>
    <n v="1783506.5866336636"/>
    <n v="1627920.8693181816"/>
    <n v="1783506.5866336636"/>
    <n v="1627920.8693181816"/>
  </r>
  <r>
    <x v="10"/>
    <s v="Great Plains Technology Center                    "/>
    <m/>
    <n v="364548"/>
    <x v="10"/>
    <m/>
    <m/>
    <m/>
    <m/>
    <m/>
    <m/>
    <m/>
    <m/>
    <m/>
    <m/>
    <m/>
    <m/>
    <m/>
    <m/>
    <m/>
    <m/>
    <m/>
    <m/>
    <m/>
    <m/>
    <m/>
    <m/>
    <m/>
    <m/>
    <m/>
    <m/>
    <m/>
    <m/>
    <m/>
    <m/>
    <m/>
    <m/>
    <m/>
    <m/>
    <m/>
    <m/>
    <m/>
    <m/>
    <m/>
    <m/>
    <m/>
    <m/>
    <n v="30"/>
    <n v="30"/>
    <m/>
    <m/>
    <n v="24"/>
    <n v="18"/>
    <n v="0"/>
    <m/>
    <n v="0"/>
    <m/>
    <n v="0"/>
    <m/>
    <n v="0"/>
    <m/>
    <n v="0"/>
    <m/>
    <n v="2598552"/>
    <n v="2406050"/>
    <n v="0"/>
    <n v="0"/>
    <n v="0"/>
    <n v="0"/>
    <n v="0"/>
    <n v="0"/>
    <n v="0"/>
    <n v="0"/>
    <n v="0"/>
    <n v="0"/>
    <n v="588"/>
    <n v="516"/>
    <n v="0"/>
    <n v="0"/>
    <n v="0"/>
    <n v="0"/>
    <n v="0"/>
    <n v="0"/>
    <n v="0"/>
    <n v="0"/>
    <n v="0"/>
    <n v="0"/>
    <n v="4419.3061224489793"/>
    <n v="4662.8875968992252"/>
    <n v="0"/>
    <n v="0"/>
    <n v="0"/>
    <n v="0"/>
    <n v="0"/>
    <n v="0"/>
    <n v="0"/>
    <n v="0"/>
    <n v="0"/>
    <n v="0"/>
    <n v="39773.755102040814"/>
    <n v="41965.988372093023"/>
    <n v="39773.755102040814"/>
    <n v="41965.988372093023"/>
    <n v="0"/>
    <n v="0"/>
    <n v="0"/>
    <n v="0"/>
    <n v="0"/>
    <n v="0"/>
    <n v="0"/>
    <n v="0"/>
    <n v="0"/>
    <n v="0"/>
    <n v="54"/>
    <n v="48"/>
    <n v="54"/>
    <n v="48"/>
    <n v="0"/>
    <n v="0"/>
    <n v="0"/>
    <n v="0"/>
    <n v="0"/>
    <n v="0"/>
    <n v="0"/>
    <n v="0"/>
    <n v="0"/>
    <n v="0"/>
    <n v="2147782.775510204"/>
    <n v="2014367.4418604651"/>
    <n v="2147782.775510204"/>
    <n v="2014367.4418604651"/>
  </r>
  <r>
    <x v="10"/>
    <s v="Green Country Technology Center                   "/>
    <m/>
    <n v="428019"/>
    <x v="10"/>
    <m/>
    <m/>
    <m/>
    <m/>
    <m/>
    <m/>
    <m/>
    <m/>
    <m/>
    <m/>
    <m/>
    <m/>
    <m/>
    <m/>
    <m/>
    <m/>
    <m/>
    <m/>
    <m/>
    <m/>
    <m/>
    <m/>
    <m/>
    <m/>
    <m/>
    <m/>
    <m/>
    <m/>
    <m/>
    <m/>
    <m/>
    <m/>
    <m/>
    <m/>
    <m/>
    <m/>
    <m/>
    <m/>
    <m/>
    <m/>
    <m/>
    <m/>
    <n v="7"/>
    <n v="6"/>
    <m/>
    <m/>
    <n v="5"/>
    <n v="5"/>
    <n v="0"/>
    <m/>
    <n v="0"/>
    <m/>
    <n v="0"/>
    <m/>
    <n v="0"/>
    <m/>
    <n v="0"/>
    <m/>
    <n v="597664"/>
    <n v="538107"/>
    <n v="0"/>
    <n v="0"/>
    <n v="0"/>
    <n v="0"/>
    <n v="0"/>
    <n v="0"/>
    <n v="0"/>
    <n v="0"/>
    <n v="0"/>
    <n v="0"/>
    <n v="130"/>
    <n v="120"/>
    <n v="0"/>
    <n v="0"/>
    <n v="0"/>
    <n v="0"/>
    <n v="0"/>
    <n v="0"/>
    <n v="0"/>
    <n v="0"/>
    <n v="0"/>
    <n v="0"/>
    <n v="4597.4153846153849"/>
    <n v="4484.2250000000004"/>
    <n v="0"/>
    <n v="0"/>
    <n v="0"/>
    <n v="0"/>
    <n v="0"/>
    <n v="0"/>
    <n v="0"/>
    <n v="0"/>
    <n v="0"/>
    <n v="0"/>
    <n v="41376.738461538465"/>
    <n v="40358.025000000001"/>
    <n v="41376.738461538465"/>
    <n v="40358.025000000001"/>
    <n v="0"/>
    <n v="0"/>
    <n v="0"/>
    <n v="0"/>
    <n v="0"/>
    <n v="0"/>
    <n v="0"/>
    <n v="0"/>
    <n v="0"/>
    <n v="0"/>
    <n v="12"/>
    <n v="11"/>
    <n v="12"/>
    <n v="11"/>
    <n v="0"/>
    <n v="0"/>
    <n v="0"/>
    <n v="0"/>
    <n v="0"/>
    <n v="0"/>
    <n v="0"/>
    <n v="0"/>
    <n v="0"/>
    <n v="0"/>
    <n v="496520.86153846158"/>
    <n v="443938.27500000002"/>
    <n v="496520.86153846158"/>
    <n v="443938.27500000002"/>
  </r>
  <r>
    <x v="10"/>
    <s v="High Plains Technology Center                     "/>
    <m/>
    <n v="208053"/>
    <x v="10"/>
    <m/>
    <m/>
    <m/>
    <m/>
    <m/>
    <m/>
    <m/>
    <m/>
    <m/>
    <m/>
    <m/>
    <m/>
    <m/>
    <m/>
    <m/>
    <m/>
    <m/>
    <m/>
    <m/>
    <m/>
    <m/>
    <m/>
    <m/>
    <m/>
    <m/>
    <m/>
    <m/>
    <m/>
    <m/>
    <m/>
    <m/>
    <m/>
    <m/>
    <m/>
    <m/>
    <m/>
    <m/>
    <m/>
    <m/>
    <m/>
    <m/>
    <m/>
    <n v="9"/>
    <n v="9"/>
    <n v="1"/>
    <n v="1"/>
    <n v="4"/>
    <n v="3"/>
    <n v="0"/>
    <m/>
    <n v="0"/>
    <m/>
    <n v="0"/>
    <m/>
    <n v="0"/>
    <m/>
    <n v="0"/>
    <m/>
    <n v="750122"/>
    <n v="693014"/>
    <n v="0"/>
    <n v="0"/>
    <n v="0"/>
    <n v="0"/>
    <n v="0"/>
    <n v="0"/>
    <n v="0"/>
    <n v="0"/>
    <n v="0"/>
    <n v="0"/>
    <n v="149"/>
    <n v="137"/>
    <n v="0"/>
    <n v="0"/>
    <n v="0"/>
    <n v="0"/>
    <n v="0"/>
    <n v="0"/>
    <n v="0"/>
    <n v="0"/>
    <n v="0"/>
    <n v="0"/>
    <n v="5034.3758389261748"/>
    <n v="5058.4963503649633"/>
    <n v="0"/>
    <n v="0"/>
    <n v="0"/>
    <n v="0"/>
    <n v="0"/>
    <n v="0"/>
    <n v="0"/>
    <n v="0"/>
    <n v="0"/>
    <n v="0"/>
    <n v="45309.382550335577"/>
    <n v="45526.46715328467"/>
    <n v="45309.382550335569"/>
    <n v="45526.46715328467"/>
    <n v="0"/>
    <n v="0"/>
    <n v="0"/>
    <n v="0"/>
    <n v="0"/>
    <n v="0"/>
    <n v="0"/>
    <n v="0"/>
    <n v="0"/>
    <n v="0"/>
    <n v="14"/>
    <n v="13"/>
    <n v="14"/>
    <n v="13"/>
    <n v="0"/>
    <n v="0"/>
    <n v="0"/>
    <n v="0"/>
    <n v="0"/>
    <n v="0"/>
    <n v="0"/>
    <n v="0"/>
    <n v="0"/>
    <n v="0"/>
    <n v="634331.35570469801"/>
    <n v="591844.07299270073"/>
    <n v="634331.35570469801"/>
    <n v="591844.07299270073"/>
  </r>
  <r>
    <x v="10"/>
    <s v="Indian Capital Technology Center-Muskogee         "/>
    <m/>
    <n v="418296"/>
    <x v="10"/>
    <m/>
    <m/>
    <m/>
    <m/>
    <m/>
    <m/>
    <m/>
    <m/>
    <m/>
    <m/>
    <m/>
    <m/>
    <m/>
    <m/>
    <m/>
    <m/>
    <m/>
    <m/>
    <m/>
    <m/>
    <m/>
    <m/>
    <m/>
    <m/>
    <m/>
    <m/>
    <m/>
    <m/>
    <m/>
    <m/>
    <m/>
    <m/>
    <m/>
    <m/>
    <m/>
    <m/>
    <m/>
    <m/>
    <m/>
    <m/>
    <m/>
    <m/>
    <n v="20"/>
    <n v="20"/>
    <n v="1"/>
    <n v="1"/>
    <n v="6"/>
    <n v="5"/>
    <n v="0"/>
    <m/>
    <n v="0"/>
    <m/>
    <n v="0"/>
    <m/>
    <n v="0"/>
    <m/>
    <n v="0"/>
    <m/>
    <n v="1405200"/>
    <n v="1313818"/>
    <n v="0"/>
    <n v="0"/>
    <n v="0"/>
    <n v="0"/>
    <n v="0"/>
    <n v="0"/>
    <n v="0"/>
    <n v="0"/>
    <n v="0"/>
    <n v="0"/>
    <n v="283"/>
    <n v="271"/>
    <n v="0"/>
    <n v="0"/>
    <n v="0"/>
    <n v="0"/>
    <n v="0"/>
    <n v="0"/>
    <n v="0"/>
    <n v="0"/>
    <n v="0"/>
    <n v="0"/>
    <n v="4965.3710247349827"/>
    <n v="4848.0369003690039"/>
    <n v="0"/>
    <n v="0"/>
    <n v="0"/>
    <n v="0"/>
    <n v="0"/>
    <n v="0"/>
    <n v="0"/>
    <n v="0"/>
    <n v="0"/>
    <n v="0"/>
    <n v="44688.339222614843"/>
    <n v="43632.332103321038"/>
    <n v="44688.339222614843"/>
    <n v="43632.332103321045"/>
    <n v="0"/>
    <n v="0"/>
    <n v="0"/>
    <n v="0"/>
    <n v="0"/>
    <n v="0"/>
    <n v="0"/>
    <n v="0"/>
    <n v="0"/>
    <n v="0"/>
    <n v="27"/>
    <n v="26"/>
    <n v="27"/>
    <n v="26"/>
    <n v="0"/>
    <n v="0"/>
    <n v="0"/>
    <n v="0"/>
    <n v="0"/>
    <n v="0"/>
    <n v="0"/>
    <n v="0"/>
    <n v="0"/>
    <n v="0"/>
    <n v="1206585.1590106008"/>
    <n v="1134440.6346863471"/>
    <n v="1206585.1590106008"/>
    <n v="1134440.6346863471"/>
  </r>
  <r>
    <x v="10"/>
    <s v="Indian Capital Technology Center-Sallisaw         "/>
    <m/>
    <n v="421540"/>
    <x v="10"/>
    <m/>
    <m/>
    <m/>
    <m/>
    <m/>
    <m/>
    <m/>
    <m/>
    <m/>
    <m/>
    <m/>
    <m/>
    <m/>
    <m/>
    <m/>
    <m/>
    <m/>
    <m/>
    <m/>
    <m/>
    <m/>
    <m/>
    <m/>
    <m/>
    <m/>
    <m/>
    <m/>
    <m/>
    <m/>
    <m/>
    <m/>
    <m/>
    <m/>
    <m/>
    <m/>
    <m/>
    <m/>
    <m/>
    <m/>
    <m/>
    <m/>
    <m/>
    <n v="9"/>
    <n v="8"/>
    <m/>
    <m/>
    <n v="2"/>
    <n v="2"/>
    <n v="0"/>
    <m/>
    <n v="0"/>
    <m/>
    <n v="0"/>
    <m/>
    <n v="0"/>
    <m/>
    <n v="0"/>
    <m/>
    <n v="560874"/>
    <n v="516508"/>
    <n v="0"/>
    <n v="0"/>
    <n v="0"/>
    <n v="0"/>
    <n v="0"/>
    <n v="0"/>
    <n v="0"/>
    <n v="0"/>
    <n v="0"/>
    <n v="0"/>
    <n v="114"/>
    <n v="104"/>
    <n v="0"/>
    <n v="0"/>
    <n v="0"/>
    <n v="0"/>
    <n v="0"/>
    <n v="0"/>
    <n v="0"/>
    <n v="0"/>
    <n v="0"/>
    <n v="0"/>
    <n v="4919.9473684210525"/>
    <n v="4966.4230769230771"/>
    <n v="0"/>
    <n v="0"/>
    <n v="0"/>
    <n v="0"/>
    <n v="0"/>
    <n v="0"/>
    <n v="0"/>
    <n v="0"/>
    <n v="0"/>
    <n v="0"/>
    <n v="44279.526315789473"/>
    <n v="44697.807692307695"/>
    <n v="44279.526315789473"/>
    <n v="44697.807692307695"/>
    <n v="0"/>
    <n v="0"/>
    <n v="0"/>
    <n v="0"/>
    <n v="0"/>
    <n v="0"/>
    <n v="0"/>
    <n v="0"/>
    <n v="0"/>
    <n v="0"/>
    <n v="11"/>
    <n v="10"/>
    <n v="11"/>
    <n v="10"/>
    <n v="0"/>
    <n v="0"/>
    <n v="0"/>
    <n v="0"/>
    <n v="0"/>
    <n v="0"/>
    <n v="0"/>
    <n v="0"/>
    <n v="0"/>
    <n v="0"/>
    <n v="487074.78947368421"/>
    <n v="446978.07692307694"/>
    <n v="487074.78947368421"/>
    <n v="446978.07692307694"/>
  </r>
  <r>
    <x v="10"/>
    <s v="Indian Capital Technology Center-Stilwell         "/>
    <m/>
    <n v="421559"/>
    <x v="10"/>
    <m/>
    <m/>
    <m/>
    <m/>
    <m/>
    <m/>
    <m/>
    <m/>
    <m/>
    <m/>
    <m/>
    <m/>
    <m/>
    <m/>
    <m/>
    <m/>
    <m/>
    <m/>
    <m/>
    <m/>
    <m/>
    <m/>
    <m/>
    <m/>
    <m/>
    <m/>
    <m/>
    <m/>
    <m/>
    <m/>
    <m/>
    <m/>
    <m/>
    <m/>
    <m/>
    <m/>
    <m/>
    <m/>
    <m/>
    <m/>
    <m/>
    <m/>
    <n v="6"/>
    <n v="6"/>
    <m/>
    <m/>
    <n v="2"/>
    <n v="2"/>
    <n v="0"/>
    <m/>
    <n v="0"/>
    <m/>
    <n v="0"/>
    <m/>
    <n v="0"/>
    <m/>
    <n v="0"/>
    <m/>
    <n v="408026"/>
    <n v="408027"/>
    <n v="0"/>
    <n v="0"/>
    <n v="0"/>
    <n v="0"/>
    <n v="0"/>
    <n v="0"/>
    <n v="0"/>
    <n v="0"/>
    <n v="0"/>
    <n v="0"/>
    <n v="84"/>
    <n v="84"/>
    <n v="0"/>
    <n v="0"/>
    <n v="0"/>
    <n v="0"/>
    <n v="0"/>
    <n v="0"/>
    <n v="0"/>
    <n v="0"/>
    <n v="0"/>
    <n v="0"/>
    <n v="4857.4523809523807"/>
    <n v="4857.4642857142853"/>
    <n v="0"/>
    <n v="0"/>
    <n v="0"/>
    <n v="0"/>
    <n v="0"/>
    <n v="0"/>
    <n v="0"/>
    <n v="0"/>
    <n v="0"/>
    <n v="0"/>
    <n v="43717.071428571428"/>
    <n v="43717.178571428565"/>
    <n v="43717.071428571428"/>
    <n v="43717.178571428565"/>
    <n v="0"/>
    <n v="0"/>
    <n v="0"/>
    <n v="0"/>
    <n v="0"/>
    <n v="0"/>
    <n v="0"/>
    <n v="0"/>
    <n v="0"/>
    <n v="0"/>
    <n v="8"/>
    <n v="8"/>
    <n v="8"/>
    <n v="8"/>
    <n v="0"/>
    <n v="0"/>
    <n v="0"/>
    <n v="0"/>
    <n v="0"/>
    <n v="0"/>
    <n v="0"/>
    <n v="0"/>
    <n v="0"/>
    <n v="0"/>
    <n v="349736.57142857142"/>
    <n v="349737.42857142852"/>
    <n v="349736.57142857142"/>
    <n v="349737.42857142852"/>
  </r>
  <r>
    <x v="10"/>
    <s v="Indian Capital Technology Center-Tahlequah        "/>
    <m/>
    <n v="208026"/>
    <x v="10"/>
    <m/>
    <m/>
    <m/>
    <m/>
    <m/>
    <m/>
    <m/>
    <m/>
    <m/>
    <m/>
    <m/>
    <m/>
    <m/>
    <m/>
    <m/>
    <m/>
    <m/>
    <m/>
    <m/>
    <m/>
    <m/>
    <m/>
    <m/>
    <m/>
    <m/>
    <m/>
    <m/>
    <m/>
    <m/>
    <m/>
    <m/>
    <m/>
    <m/>
    <m/>
    <m/>
    <m/>
    <m/>
    <m/>
    <m/>
    <m/>
    <m/>
    <m/>
    <n v="11"/>
    <n v="11"/>
    <m/>
    <m/>
    <n v="3"/>
    <n v="3"/>
    <n v="0"/>
    <m/>
    <n v="0"/>
    <m/>
    <n v="0"/>
    <m/>
    <n v="0"/>
    <m/>
    <n v="0"/>
    <m/>
    <n v="703301"/>
    <n v="698134"/>
    <n v="0"/>
    <n v="0"/>
    <n v="0"/>
    <n v="0"/>
    <n v="0"/>
    <n v="0"/>
    <n v="0"/>
    <n v="0"/>
    <n v="0"/>
    <n v="0"/>
    <n v="146"/>
    <n v="146"/>
    <n v="0"/>
    <n v="0"/>
    <n v="0"/>
    <n v="0"/>
    <n v="0"/>
    <n v="0"/>
    <n v="0"/>
    <n v="0"/>
    <n v="0"/>
    <n v="0"/>
    <n v="4817.1301369863013"/>
    <n v="4781.7397260273974"/>
    <n v="0"/>
    <n v="0"/>
    <n v="0"/>
    <n v="0"/>
    <n v="0"/>
    <n v="0"/>
    <n v="0"/>
    <n v="0"/>
    <n v="0"/>
    <n v="0"/>
    <n v="43354.17123287671"/>
    <n v="43035.65753424658"/>
    <n v="43354.17123287671"/>
    <n v="43035.65753424658"/>
    <n v="0"/>
    <n v="0"/>
    <n v="0"/>
    <n v="0"/>
    <n v="0"/>
    <n v="0"/>
    <n v="0"/>
    <n v="0"/>
    <n v="0"/>
    <n v="0"/>
    <n v="14"/>
    <n v="14"/>
    <n v="14"/>
    <n v="14"/>
    <n v="0"/>
    <n v="0"/>
    <n v="0"/>
    <n v="0"/>
    <n v="0"/>
    <n v="0"/>
    <n v="0"/>
    <n v="0"/>
    <n v="0"/>
    <n v="0"/>
    <n v="606958.39726027392"/>
    <n v="602499.20547945215"/>
    <n v="606958.39726027392"/>
    <n v="602499.20547945215"/>
  </r>
  <r>
    <x v="10"/>
    <s v="Kiamichi Technology Center-Atoka                  "/>
    <m/>
    <n v="375692"/>
    <x v="10"/>
    <m/>
    <m/>
    <m/>
    <m/>
    <m/>
    <m/>
    <m/>
    <m/>
    <m/>
    <m/>
    <m/>
    <m/>
    <m/>
    <m/>
    <m/>
    <m/>
    <m/>
    <m/>
    <m/>
    <m/>
    <m/>
    <m/>
    <m/>
    <m/>
    <m/>
    <m/>
    <m/>
    <m/>
    <m/>
    <m/>
    <m/>
    <m/>
    <m/>
    <m/>
    <m/>
    <m/>
    <m/>
    <m/>
    <m/>
    <m/>
    <m/>
    <m/>
    <n v="6"/>
    <n v="7"/>
    <m/>
    <m/>
    <n v="1"/>
    <n v="1"/>
    <n v="0"/>
    <m/>
    <n v="0"/>
    <m/>
    <n v="0"/>
    <m/>
    <n v="0"/>
    <m/>
    <n v="0"/>
    <m/>
    <n v="360828"/>
    <n v="410245"/>
    <n v="0"/>
    <n v="0"/>
    <n v="0"/>
    <n v="0"/>
    <n v="0"/>
    <n v="0"/>
    <n v="0"/>
    <n v="0"/>
    <n v="0"/>
    <n v="0"/>
    <n v="72"/>
    <n v="82"/>
    <n v="0"/>
    <n v="0"/>
    <n v="0"/>
    <n v="0"/>
    <n v="0"/>
    <n v="0"/>
    <n v="0"/>
    <n v="0"/>
    <n v="0"/>
    <n v="0"/>
    <n v="5011.5"/>
    <n v="5002.9878048780483"/>
    <n v="0"/>
    <n v="0"/>
    <n v="0"/>
    <n v="0"/>
    <n v="0"/>
    <n v="0"/>
    <n v="0"/>
    <n v="0"/>
    <n v="0"/>
    <n v="0"/>
    <n v="45103.5"/>
    <n v="45026.890243902439"/>
    <n v="45103.5"/>
    <n v="45026.890243902439"/>
    <n v="0"/>
    <n v="0"/>
    <n v="0"/>
    <n v="0"/>
    <n v="0"/>
    <n v="0"/>
    <n v="0"/>
    <n v="0"/>
    <n v="0"/>
    <n v="0"/>
    <n v="7"/>
    <n v="8"/>
    <n v="7"/>
    <n v="8"/>
    <n v="0"/>
    <n v="0"/>
    <n v="0"/>
    <n v="0"/>
    <n v="0"/>
    <n v="0"/>
    <n v="0"/>
    <n v="0"/>
    <n v="0"/>
    <n v="0"/>
    <n v="315724.5"/>
    <n v="360215.12195121951"/>
    <n v="315724.5"/>
    <n v="360215.12195121951"/>
  </r>
  <r>
    <x v="10"/>
    <s v="Kiamichi Technology Center-Durant                 "/>
    <m/>
    <n v="375708"/>
    <x v="10"/>
    <m/>
    <m/>
    <m/>
    <m/>
    <m/>
    <m/>
    <m/>
    <m/>
    <m/>
    <m/>
    <m/>
    <m/>
    <m/>
    <m/>
    <m/>
    <m/>
    <m/>
    <m/>
    <m/>
    <m/>
    <m/>
    <m/>
    <m/>
    <m/>
    <m/>
    <m/>
    <m/>
    <m/>
    <m/>
    <m/>
    <m/>
    <m/>
    <m/>
    <m/>
    <m/>
    <m/>
    <m/>
    <m/>
    <m/>
    <m/>
    <m/>
    <m/>
    <n v="7"/>
    <n v="7"/>
    <m/>
    <m/>
    <n v="2"/>
    <n v="2"/>
    <n v="0"/>
    <m/>
    <n v="0"/>
    <m/>
    <n v="0"/>
    <m/>
    <n v="0"/>
    <m/>
    <n v="0"/>
    <m/>
    <n v="500997"/>
    <n v="495557"/>
    <n v="0"/>
    <n v="0"/>
    <n v="0"/>
    <n v="0"/>
    <n v="0"/>
    <n v="0"/>
    <n v="0"/>
    <n v="0"/>
    <n v="0"/>
    <n v="0"/>
    <n v="94"/>
    <n v="94"/>
    <n v="0"/>
    <n v="0"/>
    <n v="0"/>
    <n v="0"/>
    <n v="0"/>
    <n v="0"/>
    <n v="0"/>
    <n v="0"/>
    <n v="0"/>
    <n v="0"/>
    <n v="5329.755319148936"/>
    <n v="5271.8829787234044"/>
    <n v="0"/>
    <n v="0"/>
    <n v="0"/>
    <n v="0"/>
    <n v="0"/>
    <n v="0"/>
    <n v="0"/>
    <n v="0"/>
    <n v="0"/>
    <n v="0"/>
    <n v="47967.797872340423"/>
    <n v="47446.946808510642"/>
    <n v="47967.797872340423"/>
    <n v="47446.946808510642"/>
    <n v="0"/>
    <n v="0"/>
    <n v="0"/>
    <n v="0"/>
    <n v="0"/>
    <n v="0"/>
    <n v="0"/>
    <n v="0"/>
    <n v="0"/>
    <n v="0"/>
    <n v="9"/>
    <n v="9"/>
    <n v="9"/>
    <n v="9"/>
    <n v="0"/>
    <n v="0"/>
    <n v="0"/>
    <n v="0"/>
    <n v="0"/>
    <n v="0"/>
    <n v="0"/>
    <n v="0"/>
    <n v="0"/>
    <n v="0"/>
    <n v="431710.18085106381"/>
    <n v="427022.52127659577"/>
    <n v="431710.18085106381"/>
    <n v="427022.52127659577"/>
  </r>
  <r>
    <x v="10"/>
    <s v="Kiamichi Technology Center-Hugo                   "/>
    <m/>
    <n v="375717"/>
    <x v="10"/>
    <m/>
    <m/>
    <m/>
    <m/>
    <m/>
    <m/>
    <m/>
    <m/>
    <m/>
    <m/>
    <m/>
    <m/>
    <m/>
    <m/>
    <m/>
    <m/>
    <m/>
    <m/>
    <m/>
    <m/>
    <m/>
    <m/>
    <m/>
    <m/>
    <m/>
    <m/>
    <m/>
    <m/>
    <m/>
    <m/>
    <m/>
    <m/>
    <m/>
    <m/>
    <m/>
    <m/>
    <m/>
    <m/>
    <m/>
    <m/>
    <m/>
    <m/>
    <n v="9"/>
    <n v="9"/>
    <m/>
    <m/>
    <n v="2"/>
    <n v="2"/>
    <n v="0"/>
    <m/>
    <n v="0"/>
    <m/>
    <n v="0"/>
    <m/>
    <n v="0"/>
    <m/>
    <n v="0"/>
    <m/>
    <n v="615279"/>
    <n v="613521"/>
    <n v="0"/>
    <n v="0"/>
    <n v="0"/>
    <n v="0"/>
    <n v="0"/>
    <n v="0"/>
    <n v="0"/>
    <n v="0"/>
    <n v="0"/>
    <n v="0"/>
    <n v="114"/>
    <n v="114"/>
    <n v="0"/>
    <n v="0"/>
    <n v="0"/>
    <n v="0"/>
    <n v="0"/>
    <n v="0"/>
    <n v="0"/>
    <n v="0"/>
    <n v="0"/>
    <n v="0"/>
    <n v="5397.1842105263158"/>
    <n v="5381.7631578947367"/>
    <n v="0"/>
    <n v="0"/>
    <n v="0"/>
    <n v="0"/>
    <n v="0"/>
    <n v="0"/>
    <n v="0"/>
    <n v="0"/>
    <n v="0"/>
    <n v="0"/>
    <n v="48574.65789473684"/>
    <n v="48435.868421052626"/>
    <n v="48574.657894736847"/>
    <n v="48435.868421052626"/>
    <n v="0"/>
    <n v="0"/>
    <n v="0"/>
    <n v="0"/>
    <n v="0"/>
    <n v="0"/>
    <n v="0"/>
    <n v="0"/>
    <n v="0"/>
    <n v="0"/>
    <n v="11"/>
    <n v="11"/>
    <n v="11"/>
    <n v="11"/>
    <n v="0"/>
    <n v="0"/>
    <n v="0"/>
    <n v="0"/>
    <n v="0"/>
    <n v="0"/>
    <n v="0"/>
    <n v="0"/>
    <n v="0"/>
    <n v="0"/>
    <n v="534321.23684210528"/>
    <n v="532794.55263157887"/>
    <n v="534321.23684210528"/>
    <n v="532794.55263157887"/>
  </r>
  <r>
    <x v="10"/>
    <s v="Kiamichi Technology Center-Idabel                 "/>
    <m/>
    <n v="375735"/>
    <x v="10"/>
    <m/>
    <m/>
    <m/>
    <m/>
    <m/>
    <m/>
    <m/>
    <m/>
    <m/>
    <m/>
    <m/>
    <m/>
    <m/>
    <m/>
    <m/>
    <m/>
    <m/>
    <m/>
    <m/>
    <m/>
    <m/>
    <m/>
    <m/>
    <m/>
    <m/>
    <m/>
    <m/>
    <m/>
    <m/>
    <m/>
    <m/>
    <m/>
    <m/>
    <m/>
    <m/>
    <m/>
    <m/>
    <m/>
    <m/>
    <m/>
    <m/>
    <m/>
    <n v="9"/>
    <n v="10"/>
    <m/>
    <m/>
    <n v="3"/>
    <n v="2"/>
    <n v="0"/>
    <m/>
    <n v="0"/>
    <m/>
    <n v="0"/>
    <m/>
    <n v="0"/>
    <m/>
    <n v="0"/>
    <m/>
    <n v="652440"/>
    <n v="632891"/>
    <n v="0"/>
    <n v="0"/>
    <n v="0"/>
    <n v="0"/>
    <n v="0"/>
    <n v="0"/>
    <n v="0"/>
    <n v="0"/>
    <n v="0"/>
    <n v="0"/>
    <n v="126"/>
    <n v="124"/>
    <n v="0"/>
    <n v="0"/>
    <n v="0"/>
    <n v="0"/>
    <n v="0"/>
    <n v="0"/>
    <n v="0"/>
    <n v="0"/>
    <n v="0"/>
    <n v="0"/>
    <n v="5178.0952380952385"/>
    <n v="5103.9596774193551"/>
    <n v="0"/>
    <n v="0"/>
    <n v="0"/>
    <n v="0"/>
    <n v="0"/>
    <n v="0"/>
    <n v="0"/>
    <n v="0"/>
    <n v="0"/>
    <n v="0"/>
    <n v="46602.857142857145"/>
    <n v="45935.637096774197"/>
    <n v="46602.857142857138"/>
    <n v="45935.637096774204"/>
    <n v="0"/>
    <n v="0"/>
    <n v="0"/>
    <n v="0"/>
    <n v="0"/>
    <n v="0"/>
    <n v="0"/>
    <n v="0"/>
    <n v="0"/>
    <n v="0"/>
    <n v="12"/>
    <n v="12"/>
    <n v="12"/>
    <n v="12"/>
    <n v="0"/>
    <n v="0"/>
    <n v="0"/>
    <n v="0"/>
    <n v="0"/>
    <n v="0"/>
    <n v="0"/>
    <n v="0"/>
    <n v="0"/>
    <n v="0"/>
    <n v="559234.28571428568"/>
    <n v="551227.64516129042"/>
    <n v="559234.28571428568"/>
    <n v="551227.64516129042"/>
  </r>
  <r>
    <x v="10"/>
    <s v="Kiamichi Technology Center-McAlester              "/>
    <m/>
    <n v="375726"/>
    <x v="10"/>
    <m/>
    <m/>
    <m/>
    <m/>
    <m/>
    <m/>
    <m/>
    <m/>
    <m/>
    <m/>
    <m/>
    <m/>
    <m/>
    <m/>
    <m/>
    <m/>
    <m/>
    <m/>
    <m/>
    <m/>
    <m/>
    <m/>
    <m/>
    <m/>
    <m/>
    <m/>
    <m/>
    <m/>
    <m/>
    <m/>
    <m/>
    <m/>
    <m/>
    <m/>
    <m/>
    <m/>
    <m/>
    <m/>
    <m/>
    <m/>
    <m/>
    <m/>
    <n v="16"/>
    <n v="16"/>
    <m/>
    <m/>
    <n v="4"/>
    <n v="1"/>
    <n v="0"/>
    <m/>
    <n v="0"/>
    <m/>
    <n v="0"/>
    <m/>
    <n v="0"/>
    <m/>
    <n v="0"/>
    <m/>
    <n v="1079888"/>
    <n v="898813"/>
    <n v="0"/>
    <n v="0"/>
    <n v="0"/>
    <n v="0"/>
    <n v="0"/>
    <n v="0"/>
    <n v="0"/>
    <n v="0"/>
    <n v="0"/>
    <n v="0"/>
    <n v="208"/>
    <n v="172"/>
    <n v="0"/>
    <n v="0"/>
    <n v="0"/>
    <n v="0"/>
    <n v="0"/>
    <n v="0"/>
    <n v="0"/>
    <n v="0"/>
    <n v="0"/>
    <n v="0"/>
    <n v="5191.7692307692305"/>
    <n v="5225.6569767441861"/>
    <n v="0"/>
    <n v="0"/>
    <n v="0"/>
    <n v="0"/>
    <n v="0"/>
    <n v="0"/>
    <n v="0"/>
    <n v="0"/>
    <n v="0"/>
    <n v="0"/>
    <n v="46725.923076923078"/>
    <n v="47030.912790697672"/>
    <n v="46725.923076923078"/>
    <n v="47030.912790697672"/>
    <n v="0"/>
    <n v="0"/>
    <n v="0"/>
    <n v="0"/>
    <n v="0"/>
    <n v="0"/>
    <n v="0"/>
    <n v="0"/>
    <n v="0"/>
    <n v="0"/>
    <n v="20"/>
    <n v="17"/>
    <n v="20"/>
    <n v="17"/>
    <n v="0"/>
    <n v="0"/>
    <n v="0"/>
    <n v="0"/>
    <n v="0"/>
    <n v="0"/>
    <n v="0"/>
    <n v="0"/>
    <n v="0"/>
    <n v="0"/>
    <n v="934518.4615384615"/>
    <n v="799525.5174418604"/>
    <n v="934518.4615384615"/>
    <n v="799525.5174418604"/>
  </r>
  <r>
    <x v="10"/>
    <s v="Kiamichi Technology Center-Poteau                 "/>
    <m/>
    <n v="375744"/>
    <x v="10"/>
    <m/>
    <m/>
    <m/>
    <m/>
    <m/>
    <m/>
    <m/>
    <m/>
    <m/>
    <m/>
    <m/>
    <m/>
    <m/>
    <m/>
    <m/>
    <m/>
    <m/>
    <m/>
    <m/>
    <m/>
    <m/>
    <m/>
    <m/>
    <m/>
    <m/>
    <m/>
    <m/>
    <m/>
    <m/>
    <m/>
    <m/>
    <m/>
    <m/>
    <m/>
    <m/>
    <m/>
    <m/>
    <m/>
    <m/>
    <m/>
    <m/>
    <m/>
    <n v="10"/>
    <n v="9"/>
    <m/>
    <m/>
    <n v="3"/>
    <n v="4"/>
    <n v="0"/>
    <m/>
    <n v="0"/>
    <m/>
    <n v="0"/>
    <m/>
    <n v="0"/>
    <m/>
    <n v="0"/>
    <m/>
    <n v="688884"/>
    <n v="685470"/>
    <n v="0"/>
    <n v="0"/>
    <n v="0"/>
    <n v="0"/>
    <n v="0"/>
    <n v="0"/>
    <n v="0"/>
    <n v="0"/>
    <n v="0"/>
    <n v="0"/>
    <n v="136"/>
    <n v="138"/>
    <n v="0"/>
    <n v="0"/>
    <n v="0"/>
    <n v="0"/>
    <n v="0"/>
    <n v="0"/>
    <n v="0"/>
    <n v="0"/>
    <n v="0"/>
    <n v="0"/>
    <n v="5065.3235294117649"/>
    <n v="4967.173913043478"/>
    <n v="0"/>
    <n v="0"/>
    <n v="0"/>
    <n v="0"/>
    <n v="0"/>
    <n v="0"/>
    <n v="0"/>
    <n v="0"/>
    <n v="0"/>
    <n v="0"/>
    <n v="45587.911764705881"/>
    <n v="44704.565217391304"/>
    <n v="45587.911764705888"/>
    <n v="44704.565217391304"/>
    <n v="0"/>
    <n v="0"/>
    <n v="0"/>
    <n v="0"/>
    <n v="0"/>
    <n v="0"/>
    <n v="0"/>
    <n v="0"/>
    <n v="0"/>
    <n v="0"/>
    <n v="13"/>
    <n v="13"/>
    <n v="13"/>
    <n v="13"/>
    <n v="0"/>
    <n v="0"/>
    <n v="0"/>
    <n v="0"/>
    <n v="0"/>
    <n v="0"/>
    <n v="0"/>
    <n v="0"/>
    <n v="0"/>
    <n v="0"/>
    <n v="592642.8529411765"/>
    <n v="581159.34782608692"/>
    <n v="592642.8529411765"/>
    <n v="581159.34782608692"/>
  </r>
  <r>
    <x v="10"/>
    <s v="Kiamichi Technology Center-Spiro                  "/>
    <m/>
    <n v="375753"/>
    <x v="10"/>
    <m/>
    <m/>
    <m/>
    <m/>
    <m/>
    <m/>
    <m/>
    <m/>
    <m/>
    <m/>
    <m/>
    <m/>
    <m/>
    <m/>
    <m/>
    <m/>
    <m/>
    <m/>
    <m/>
    <m/>
    <m/>
    <m/>
    <m/>
    <m/>
    <m/>
    <m/>
    <m/>
    <m/>
    <m/>
    <m/>
    <m/>
    <m/>
    <m/>
    <m/>
    <m/>
    <m/>
    <m/>
    <m/>
    <m/>
    <m/>
    <m/>
    <m/>
    <n v="2"/>
    <n v="2"/>
    <m/>
    <m/>
    <m/>
    <m/>
    <n v="0"/>
    <m/>
    <n v="0"/>
    <m/>
    <n v="0"/>
    <m/>
    <n v="0"/>
    <m/>
    <n v="0"/>
    <m/>
    <n v="99250"/>
    <n v="92900"/>
    <n v="0"/>
    <n v="0"/>
    <n v="0"/>
    <n v="0"/>
    <n v="0"/>
    <n v="0"/>
    <n v="0"/>
    <n v="0"/>
    <n v="0"/>
    <n v="0"/>
    <n v="20"/>
    <n v="20"/>
    <n v="0"/>
    <n v="0"/>
    <n v="0"/>
    <n v="0"/>
    <n v="0"/>
    <n v="0"/>
    <n v="0"/>
    <n v="0"/>
    <n v="0"/>
    <n v="0"/>
    <n v="4962.5"/>
    <n v="4645"/>
    <n v="0"/>
    <n v="0"/>
    <n v="0"/>
    <n v="0"/>
    <n v="0"/>
    <n v="0"/>
    <n v="0"/>
    <n v="0"/>
    <n v="0"/>
    <n v="0"/>
    <n v="44662.5"/>
    <n v="41805"/>
    <n v="44662.5"/>
    <n v="41805"/>
    <n v="0"/>
    <n v="0"/>
    <n v="0"/>
    <n v="0"/>
    <n v="0"/>
    <n v="0"/>
    <n v="0"/>
    <n v="0"/>
    <n v="0"/>
    <n v="0"/>
    <n v="2"/>
    <n v="2"/>
    <n v="2"/>
    <n v="2"/>
    <n v="0"/>
    <n v="0"/>
    <n v="0"/>
    <n v="0"/>
    <n v="0"/>
    <n v="0"/>
    <n v="0"/>
    <n v="0"/>
    <n v="0"/>
    <n v="0"/>
    <n v="89325"/>
    <n v="83610"/>
    <n v="89325"/>
    <n v="83610"/>
  </r>
  <r>
    <x v="10"/>
    <s v="Kiamichi Technology Center-Stigler                "/>
    <m/>
    <n v="405748"/>
    <x v="10"/>
    <m/>
    <m/>
    <m/>
    <m/>
    <m/>
    <m/>
    <m/>
    <m/>
    <m/>
    <m/>
    <m/>
    <m/>
    <m/>
    <m/>
    <m/>
    <m/>
    <m/>
    <m/>
    <m/>
    <m/>
    <m/>
    <m/>
    <m/>
    <m/>
    <m/>
    <m/>
    <m/>
    <m/>
    <m/>
    <m/>
    <m/>
    <m/>
    <m/>
    <m/>
    <m/>
    <m/>
    <m/>
    <m/>
    <m/>
    <m/>
    <m/>
    <m/>
    <n v="6"/>
    <n v="6"/>
    <m/>
    <m/>
    <m/>
    <m/>
    <n v="0"/>
    <m/>
    <n v="0"/>
    <m/>
    <n v="0"/>
    <m/>
    <n v="0"/>
    <m/>
    <n v="0"/>
    <m/>
    <n v="290592"/>
    <n v="292090"/>
    <n v="0"/>
    <n v="0"/>
    <n v="0"/>
    <n v="0"/>
    <n v="0"/>
    <n v="0"/>
    <n v="0"/>
    <n v="0"/>
    <n v="0"/>
    <n v="0"/>
    <n v="60"/>
    <n v="60"/>
    <n v="0"/>
    <n v="0"/>
    <n v="0"/>
    <n v="0"/>
    <n v="0"/>
    <n v="0"/>
    <n v="0"/>
    <n v="0"/>
    <n v="0"/>
    <n v="0"/>
    <n v="4843.2"/>
    <n v="4868.166666666667"/>
    <n v="0"/>
    <n v="0"/>
    <n v="0"/>
    <n v="0"/>
    <n v="0"/>
    <n v="0"/>
    <n v="0"/>
    <n v="0"/>
    <n v="0"/>
    <n v="0"/>
    <n v="43588.799999999996"/>
    <n v="43813.5"/>
    <n v="43588.799999999996"/>
    <n v="43813.5"/>
    <n v="0"/>
    <n v="0"/>
    <n v="0"/>
    <n v="0"/>
    <n v="0"/>
    <n v="0"/>
    <n v="0"/>
    <n v="0"/>
    <n v="0"/>
    <n v="0"/>
    <n v="6"/>
    <n v="6"/>
    <n v="6"/>
    <n v="6"/>
    <n v="0"/>
    <n v="0"/>
    <n v="0"/>
    <n v="0"/>
    <n v="0"/>
    <n v="0"/>
    <n v="0"/>
    <n v="0"/>
    <n v="0"/>
    <n v="0"/>
    <n v="261532.79999999999"/>
    <n v="262881"/>
    <n v="261532.79999999999"/>
    <n v="262881"/>
  </r>
  <r>
    <x v="10"/>
    <s v="Kiamichi Technology Center-Talihina               "/>
    <m/>
    <n v="375762"/>
    <x v="10"/>
    <m/>
    <m/>
    <m/>
    <m/>
    <m/>
    <m/>
    <m/>
    <m/>
    <m/>
    <m/>
    <m/>
    <m/>
    <m/>
    <m/>
    <m/>
    <m/>
    <m/>
    <m/>
    <m/>
    <m/>
    <m/>
    <m/>
    <m/>
    <m/>
    <m/>
    <m/>
    <m/>
    <m/>
    <m/>
    <m/>
    <m/>
    <m/>
    <m/>
    <m/>
    <m/>
    <m/>
    <m/>
    <m/>
    <m/>
    <m/>
    <m/>
    <m/>
    <n v="5"/>
    <n v="5"/>
    <m/>
    <m/>
    <m/>
    <m/>
    <n v="0"/>
    <m/>
    <n v="0"/>
    <m/>
    <n v="0"/>
    <m/>
    <n v="0"/>
    <m/>
    <n v="0"/>
    <m/>
    <n v="263450"/>
    <n v="249250"/>
    <n v="0"/>
    <n v="0"/>
    <n v="0"/>
    <n v="0"/>
    <n v="0"/>
    <n v="0"/>
    <n v="0"/>
    <n v="0"/>
    <n v="0"/>
    <n v="0"/>
    <n v="50"/>
    <n v="50"/>
    <n v="0"/>
    <n v="0"/>
    <n v="0"/>
    <n v="0"/>
    <n v="0"/>
    <n v="0"/>
    <n v="0"/>
    <n v="0"/>
    <n v="0"/>
    <n v="0"/>
    <n v="5269"/>
    <n v="4985"/>
    <n v="0"/>
    <n v="0"/>
    <n v="0"/>
    <n v="0"/>
    <n v="0"/>
    <n v="0"/>
    <n v="0"/>
    <n v="0"/>
    <n v="0"/>
    <n v="0"/>
    <n v="47421"/>
    <n v="44865"/>
    <n v="47421"/>
    <n v="44865"/>
    <n v="0"/>
    <n v="0"/>
    <n v="0"/>
    <n v="0"/>
    <n v="0"/>
    <n v="0"/>
    <n v="0"/>
    <n v="0"/>
    <n v="0"/>
    <n v="0"/>
    <n v="5"/>
    <n v="5"/>
    <n v="5"/>
    <n v="5"/>
    <n v="0"/>
    <n v="0"/>
    <n v="0"/>
    <n v="0"/>
    <n v="0"/>
    <n v="0"/>
    <n v="0"/>
    <n v="0"/>
    <n v="0"/>
    <n v="0"/>
    <n v="237105"/>
    <n v="224325"/>
    <n v="237105"/>
    <n v="224325"/>
  </r>
  <r>
    <x v="10"/>
    <s v="Meridian Technology Center                        "/>
    <m/>
    <n v="365480"/>
    <x v="10"/>
    <m/>
    <m/>
    <m/>
    <m/>
    <m/>
    <m/>
    <m/>
    <m/>
    <m/>
    <m/>
    <m/>
    <m/>
    <m/>
    <m/>
    <m/>
    <m/>
    <m/>
    <m/>
    <m/>
    <m/>
    <m/>
    <m/>
    <m/>
    <m/>
    <m/>
    <m/>
    <m/>
    <m/>
    <m/>
    <m/>
    <m/>
    <m/>
    <m/>
    <m/>
    <m/>
    <m/>
    <m/>
    <m/>
    <m/>
    <m/>
    <m/>
    <m/>
    <n v="27"/>
    <n v="28"/>
    <m/>
    <m/>
    <n v="10"/>
    <n v="9"/>
    <n v="0"/>
    <m/>
    <n v="0"/>
    <m/>
    <n v="0"/>
    <m/>
    <n v="0"/>
    <m/>
    <n v="0"/>
    <m/>
    <n v="1938987"/>
    <n v="1979938"/>
    <n v="0"/>
    <n v="0"/>
    <n v="0"/>
    <n v="0"/>
    <n v="0"/>
    <n v="0"/>
    <n v="0"/>
    <n v="0"/>
    <n v="0"/>
    <n v="0"/>
    <n v="390"/>
    <n v="388"/>
    <n v="0"/>
    <n v="0"/>
    <n v="0"/>
    <n v="0"/>
    <n v="0"/>
    <n v="0"/>
    <n v="0"/>
    <n v="0"/>
    <n v="0"/>
    <n v="0"/>
    <n v="4971.7615384615383"/>
    <n v="5102.932989690722"/>
    <n v="0"/>
    <n v="0"/>
    <n v="0"/>
    <n v="0"/>
    <n v="0"/>
    <n v="0"/>
    <n v="0"/>
    <n v="0"/>
    <n v="0"/>
    <n v="0"/>
    <n v="44745.853846153841"/>
    <n v="45926.396907216498"/>
    <n v="44745.853846153841"/>
    <n v="45926.396907216498"/>
    <n v="0"/>
    <n v="0"/>
    <n v="0"/>
    <n v="0"/>
    <n v="0"/>
    <n v="0"/>
    <n v="0"/>
    <n v="0"/>
    <n v="0"/>
    <n v="0"/>
    <n v="37"/>
    <n v="37"/>
    <n v="37"/>
    <n v="37"/>
    <n v="0"/>
    <n v="0"/>
    <n v="0"/>
    <n v="0"/>
    <n v="0"/>
    <n v="0"/>
    <n v="0"/>
    <n v="0"/>
    <n v="0"/>
    <n v="0"/>
    <n v="1655596.5923076922"/>
    <n v="1699276.6855670104"/>
    <n v="1655596.5923076922"/>
    <n v="1699276.6855670104"/>
  </r>
  <r>
    <x v="10"/>
    <s v="Mid-America Technology Center                     "/>
    <m/>
    <n v="418320"/>
    <x v="10"/>
    <m/>
    <m/>
    <m/>
    <m/>
    <m/>
    <m/>
    <m/>
    <m/>
    <m/>
    <m/>
    <m/>
    <m/>
    <m/>
    <m/>
    <m/>
    <m/>
    <m/>
    <m/>
    <m/>
    <m/>
    <m/>
    <m/>
    <m/>
    <m/>
    <m/>
    <m/>
    <m/>
    <m/>
    <m/>
    <m/>
    <m/>
    <m/>
    <m/>
    <m/>
    <m/>
    <m/>
    <m/>
    <m/>
    <m/>
    <m/>
    <m/>
    <m/>
    <n v="22"/>
    <n v="22"/>
    <n v="2"/>
    <n v="3"/>
    <n v="3"/>
    <n v="4"/>
    <n v="0"/>
    <m/>
    <n v="0"/>
    <m/>
    <n v="0"/>
    <m/>
    <n v="0"/>
    <m/>
    <n v="0"/>
    <m/>
    <n v="1410214"/>
    <n v="1512582"/>
    <n v="0"/>
    <n v="0"/>
    <n v="0"/>
    <n v="0"/>
    <n v="0"/>
    <n v="0"/>
    <n v="0"/>
    <n v="0"/>
    <n v="0"/>
    <n v="0"/>
    <n v="278"/>
    <n v="301"/>
    <n v="0"/>
    <n v="0"/>
    <n v="0"/>
    <n v="0"/>
    <n v="0"/>
    <n v="0"/>
    <n v="0"/>
    <n v="0"/>
    <n v="0"/>
    <n v="0"/>
    <n v="5072.7122302158277"/>
    <n v="5025.1893687707643"/>
    <n v="0"/>
    <n v="0"/>
    <n v="0"/>
    <n v="0"/>
    <n v="0"/>
    <n v="0"/>
    <n v="0"/>
    <n v="0"/>
    <n v="0"/>
    <n v="0"/>
    <n v="45654.410071942446"/>
    <n v="45226.704318936878"/>
    <n v="45654.410071942446"/>
    <n v="45226.704318936871"/>
    <n v="0"/>
    <n v="0"/>
    <n v="0"/>
    <n v="0"/>
    <n v="0"/>
    <n v="0"/>
    <n v="0"/>
    <n v="0"/>
    <n v="0"/>
    <n v="0"/>
    <n v="27"/>
    <n v="29"/>
    <n v="27"/>
    <n v="29"/>
    <n v="0"/>
    <n v="0"/>
    <n v="0"/>
    <n v="0"/>
    <n v="0"/>
    <n v="0"/>
    <n v="0"/>
    <n v="0"/>
    <n v="0"/>
    <n v="0"/>
    <n v="1232669.0719424461"/>
    <n v="1311574.4252491693"/>
    <n v="1232669.0719424461"/>
    <n v="1311574.4252491693"/>
  </r>
  <r>
    <x v="10"/>
    <s v="Mid-Del Technology Center                         "/>
    <m/>
    <n v="431017"/>
    <x v="10"/>
    <m/>
    <m/>
    <m/>
    <m/>
    <m/>
    <m/>
    <m/>
    <m/>
    <m/>
    <m/>
    <m/>
    <m/>
    <m/>
    <m/>
    <m/>
    <m/>
    <m/>
    <m/>
    <m/>
    <m/>
    <m/>
    <m/>
    <m/>
    <m/>
    <m/>
    <m/>
    <m/>
    <m/>
    <m/>
    <m/>
    <m/>
    <m/>
    <m/>
    <m/>
    <m/>
    <m/>
    <m/>
    <m/>
    <m/>
    <m/>
    <m/>
    <m/>
    <n v="20"/>
    <n v="19"/>
    <m/>
    <m/>
    <n v="4"/>
    <n v="4"/>
    <n v="0"/>
    <m/>
    <n v="0"/>
    <m/>
    <n v="0"/>
    <m/>
    <n v="0"/>
    <m/>
    <n v="0"/>
    <m/>
    <n v="1206328"/>
    <n v="1157887"/>
    <n v="0"/>
    <n v="0"/>
    <n v="0"/>
    <n v="0"/>
    <n v="0"/>
    <n v="0"/>
    <n v="0"/>
    <n v="0"/>
    <n v="0"/>
    <n v="0"/>
    <n v="248"/>
    <n v="238"/>
    <n v="0"/>
    <n v="0"/>
    <n v="0"/>
    <n v="0"/>
    <n v="0"/>
    <n v="0"/>
    <n v="0"/>
    <n v="0"/>
    <n v="0"/>
    <n v="0"/>
    <n v="4864.2258064516127"/>
    <n v="4865.0714285714284"/>
    <n v="0"/>
    <n v="0"/>
    <n v="0"/>
    <n v="0"/>
    <n v="0"/>
    <n v="0"/>
    <n v="0"/>
    <n v="0"/>
    <n v="0"/>
    <n v="0"/>
    <n v="43778.032258064515"/>
    <n v="43785.642857142855"/>
    <n v="43778.032258064515"/>
    <n v="43785.642857142855"/>
    <n v="0"/>
    <n v="0"/>
    <n v="0"/>
    <n v="0"/>
    <n v="0"/>
    <n v="0"/>
    <n v="0"/>
    <n v="0"/>
    <n v="0"/>
    <n v="0"/>
    <n v="24"/>
    <n v="23"/>
    <n v="24"/>
    <n v="23"/>
    <n v="0"/>
    <n v="0"/>
    <n v="0"/>
    <n v="0"/>
    <n v="0"/>
    <n v="0"/>
    <n v="0"/>
    <n v="0"/>
    <n v="0"/>
    <n v="0"/>
    <n v="1050672.7741935484"/>
    <n v="1007069.7857142857"/>
    <n v="1050672.7741935484"/>
    <n v="1007069.7857142857"/>
  </r>
  <r>
    <x v="10"/>
    <s v="Moore Norman Technology Center                    "/>
    <m/>
    <n v="248606"/>
    <x v="10"/>
    <m/>
    <m/>
    <m/>
    <m/>
    <m/>
    <m/>
    <m/>
    <m/>
    <m/>
    <m/>
    <m/>
    <m/>
    <m/>
    <m/>
    <m/>
    <m/>
    <m/>
    <m/>
    <m/>
    <m/>
    <m/>
    <m/>
    <m/>
    <m/>
    <m/>
    <m/>
    <m/>
    <m/>
    <m/>
    <m/>
    <m/>
    <m/>
    <m/>
    <m/>
    <m/>
    <m/>
    <m/>
    <m/>
    <m/>
    <m/>
    <m/>
    <m/>
    <n v="47"/>
    <n v="46"/>
    <m/>
    <m/>
    <n v="1"/>
    <n v="1"/>
    <n v="0"/>
    <m/>
    <n v="0"/>
    <m/>
    <n v="0"/>
    <m/>
    <n v="0"/>
    <m/>
    <n v="0"/>
    <m/>
    <n v="2772064"/>
    <n v="2755147"/>
    <n v="0"/>
    <n v="0"/>
    <n v="0"/>
    <n v="0"/>
    <n v="0"/>
    <n v="0"/>
    <n v="0"/>
    <n v="0"/>
    <n v="0"/>
    <n v="0"/>
    <n v="482"/>
    <n v="472"/>
    <n v="0"/>
    <n v="0"/>
    <n v="0"/>
    <n v="0"/>
    <n v="0"/>
    <n v="0"/>
    <n v="0"/>
    <n v="0"/>
    <n v="0"/>
    <n v="0"/>
    <n v="5751.1701244813275"/>
    <n v="5837.1758474576272"/>
    <n v="0"/>
    <n v="0"/>
    <n v="0"/>
    <n v="0"/>
    <n v="0"/>
    <n v="0"/>
    <n v="0"/>
    <n v="0"/>
    <n v="0"/>
    <n v="0"/>
    <n v="51760.531120331951"/>
    <n v="52534.582627118645"/>
    <n v="51760.531120331951"/>
    <n v="52534.582627118645"/>
    <n v="0"/>
    <n v="0"/>
    <n v="0"/>
    <n v="0"/>
    <n v="0"/>
    <n v="0"/>
    <n v="0"/>
    <n v="0"/>
    <n v="0"/>
    <n v="0"/>
    <n v="48"/>
    <n v="47"/>
    <n v="48"/>
    <n v="47"/>
    <n v="0"/>
    <n v="0"/>
    <n v="0"/>
    <n v="0"/>
    <n v="0"/>
    <n v="0"/>
    <n v="0"/>
    <n v="0"/>
    <n v="0"/>
    <n v="0"/>
    <n v="2484505.4937759335"/>
    <n v="2469125.3834745763"/>
    <n v="2484505.4937759335"/>
    <n v="2469125.3834745763"/>
  </r>
  <r>
    <x v="10"/>
    <s v="Northeast Technology Center-Afton                 "/>
    <m/>
    <n v="420459"/>
    <x v="10"/>
    <m/>
    <m/>
    <m/>
    <m/>
    <m/>
    <m/>
    <m/>
    <m/>
    <m/>
    <m/>
    <m/>
    <m/>
    <m/>
    <m/>
    <m/>
    <m/>
    <m/>
    <m/>
    <m/>
    <m/>
    <m/>
    <m/>
    <m/>
    <m/>
    <m/>
    <m/>
    <m/>
    <m/>
    <m/>
    <m/>
    <m/>
    <m/>
    <m/>
    <m/>
    <m/>
    <m/>
    <m/>
    <m/>
    <m/>
    <m/>
    <m/>
    <m/>
    <n v="15"/>
    <n v="14"/>
    <m/>
    <m/>
    <n v="4"/>
    <n v="2"/>
    <n v="0"/>
    <m/>
    <n v="0"/>
    <m/>
    <n v="0"/>
    <m/>
    <n v="0"/>
    <m/>
    <n v="0"/>
    <m/>
    <n v="1081625"/>
    <n v="899938"/>
    <n v="0"/>
    <n v="0"/>
    <n v="0"/>
    <n v="0"/>
    <n v="0"/>
    <n v="0"/>
    <n v="0"/>
    <n v="0"/>
    <n v="0"/>
    <n v="0"/>
    <n v="198"/>
    <n v="164"/>
    <n v="0"/>
    <n v="0"/>
    <n v="0"/>
    <n v="0"/>
    <n v="0"/>
    <n v="0"/>
    <n v="0"/>
    <n v="0"/>
    <n v="0"/>
    <n v="0"/>
    <n v="5462.7525252525256"/>
    <n v="5487.4268292682927"/>
    <n v="0"/>
    <n v="0"/>
    <n v="0"/>
    <n v="0"/>
    <n v="0"/>
    <n v="0"/>
    <n v="0"/>
    <n v="0"/>
    <n v="0"/>
    <n v="0"/>
    <n v="49164.772727272728"/>
    <n v="49386.841463414632"/>
    <n v="49164.772727272728"/>
    <n v="49386.841463414632"/>
    <n v="0"/>
    <n v="0"/>
    <n v="0"/>
    <n v="0"/>
    <n v="0"/>
    <n v="0"/>
    <n v="0"/>
    <n v="0"/>
    <n v="0"/>
    <n v="0"/>
    <n v="19"/>
    <n v="16"/>
    <n v="19"/>
    <n v="16"/>
    <n v="0"/>
    <n v="0"/>
    <n v="0"/>
    <n v="0"/>
    <n v="0"/>
    <n v="0"/>
    <n v="0"/>
    <n v="0"/>
    <n v="0"/>
    <n v="0"/>
    <n v="934130.68181818188"/>
    <n v="790189.46341463411"/>
    <n v="934130.68181818188"/>
    <n v="790189.46341463411"/>
  </r>
  <r>
    <x v="10"/>
    <s v="Northeast Technology Center-Claremore"/>
    <s v="New institution no longer in start up phase. "/>
    <n v="456560"/>
    <x v="10"/>
    <m/>
    <m/>
    <m/>
    <m/>
    <m/>
    <m/>
    <m/>
    <m/>
    <m/>
    <m/>
    <m/>
    <m/>
    <m/>
    <m/>
    <m/>
    <m/>
    <m/>
    <m/>
    <m/>
    <m/>
    <m/>
    <m/>
    <m/>
    <m/>
    <m/>
    <m/>
    <m/>
    <m/>
    <m/>
    <m/>
    <m/>
    <m/>
    <m/>
    <m/>
    <m/>
    <m/>
    <m/>
    <m/>
    <m/>
    <m/>
    <m/>
    <m/>
    <n v="4"/>
    <n v="4"/>
    <m/>
    <m/>
    <n v="2"/>
    <n v="2"/>
    <n v="0"/>
    <m/>
    <n v="0"/>
    <m/>
    <n v="0"/>
    <m/>
    <n v="0"/>
    <m/>
    <n v="0"/>
    <m/>
    <n v="320056"/>
    <n v="326347"/>
    <n v="0"/>
    <n v="0"/>
    <n v="0"/>
    <n v="0"/>
    <n v="0"/>
    <n v="0"/>
    <n v="0"/>
    <n v="0"/>
    <n v="0"/>
    <n v="0"/>
    <n v="64"/>
    <n v="64"/>
    <n v="0"/>
    <n v="0"/>
    <n v="0"/>
    <n v="0"/>
    <n v="0"/>
    <n v="0"/>
    <n v="0"/>
    <n v="0"/>
    <n v="0"/>
    <n v="0"/>
    <n v="5000.875"/>
    <n v="5099.171875"/>
    <n v="0"/>
    <n v="0"/>
    <n v="0"/>
    <n v="0"/>
    <n v="0"/>
    <n v="0"/>
    <n v="0"/>
    <n v="0"/>
    <n v="0"/>
    <n v="0"/>
    <n v="45007.875"/>
    <n v="45892.546875"/>
    <n v="45007.875"/>
    <n v="45892.546875"/>
    <n v="0"/>
    <n v="0"/>
    <n v="0"/>
    <n v="0"/>
    <n v="0"/>
    <n v="0"/>
    <n v="0"/>
    <n v="0"/>
    <n v="0"/>
    <n v="0"/>
    <n v="6"/>
    <n v="6"/>
    <n v="6"/>
    <n v="6"/>
    <n v="0"/>
    <n v="0"/>
    <n v="0"/>
    <n v="0"/>
    <n v="0"/>
    <n v="0"/>
    <n v="0"/>
    <n v="0"/>
    <n v="0"/>
    <n v="0"/>
    <n v="270047.25"/>
    <n v="275355.28125"/>
    <n v="270047.25"/>
    <n v="275355.28125"/>
  </r>
  <r>
    <x v="10"/>
    <s v="Northeast Technology Center-Kansas                "/>
    <m/>
    <n v="432074"/>
    <x v="10"/>
    <m/>
    <m/>
    <m/>
    <m/>
    <m/>
    <m/>
    <m/>
    <m/>
    <m/>
    <m/>
    <m/>
    <m/>
    <m/>
    <m/>
    <m/>
    <m/>
    <m/>
    <m/>
    <m/>
    <m/>
    <m/>
    <m/>
    <m/>
    <m/>
    <m/>
    <m/>
    <m/>
    <m/>
    <m/>
    <m/>
    <m/>
    <m/>
    <m/>
    <m/>
    <m/>
    <m/>
    <m/>
    <m/>
    <m/>
    <m/>
    <m/>
    <m/>
    <n v="6"/>
    <n v="6"/>
    <m/>
    <m/>
    <n v="3"/>
    <n v="3"/>
    <n v="0"/>
    <m/>
    <n v="0"/>
    <m/>
    <n v="0"/>
    <m/>
    <n v="0"/>
    <m/>
    <n v="0"/>
    <m/>
    <n v="502206"/>
    <n v="508166"/>
    <n v="0"/>
    <n v="0"/>
    <n v="0"/>
    <n v="0"/>
    <n v="0"/>
    <n v="0"/>
    <n v="0"/>
    <n v="0"/>
    <n v="0"/>
    <n v="0"/>
    <n v="96"/>
    <n v="96"/>
    <n v="0"/>
    <n v="0"/>
    <n v="0"/>
    <n v="0"/>
    <n v="0"/>
    <n v="0"/>
    <n v="0"/>
    <n v="0"/>
    <n v="0"/>
    <n v="0"/>
    <n v="5231.3125"/>
    <n v="5293.395833333333"/>
    <n v="0"/>
    <n v="0"/>
    <n v="0"/>
    <n v="0"/>
    <n v="0"/>
    <n v="0"/>
    <n v="0"/>
    <n v="0"/>
    <n v="0"/>
    <n v="0"/>
    <n v="47081.8125"/>
    <n v="47640.5625"/>
    <n v="47081.8125"/>
    <n v="47640.5625"/>
    <n v="0"/>
    <n v="0"/>
    <n v="0"/>
    <n v="0"/>
    <n v="0"/>
    <n v="0"/>
    <n v="0"/>
    <n v="0"/>
    <n v="0"/>
    <n v="0"/>
    <n v="9"/>
    <n v="9"/>
    <n v="9"/>
    <n v="9"/>
    <n v="0"/>
    <n v="0"/>
    <n v="0"/>
    <n v="0"/>
    <n v="0"/>
    <n v="0"/>
    <n v="0"/>
    <n v="0"/>
    <n v="0"/>
    <n v="0"/>
    <n v="423736.3125"/>
    <n v="428765.0625"/>
    <n v="423736.3125"/>
    <n v="428765.0625"/>
  </r>
  <r>
    <x v="10"/>
    <s v="Northeast Technology Center-Pryor                 "/>
    <m/>
    <n v="418339"/>
    <x v="10"/>
    <m/>
    <m/>
    <m/>
    <m/>
    <m/>
    <m/>
    <m/>
    <m/>
    <m/>
    <m/>
    <m/>
    <m/>
    <m/>
    <m/>
    <m/>
    <m/>
    <m/>
    <m/>
    <m/>
    <m/>
    <m/>
    <m/>
    <m/>
    <m/>
    <m/>
    <m/>
    <m/>
    <m/>
    <m/>
    <m/>
    <m/>
    <m/>
    <m/>
    <m/>
    <m/>
    <m/>
    <m/>
    <m/>
    <m/>
    <m/>
    <m/>
    <m/>
    <n v="13"/>
    <n v="13"/>
    <m/>
    <m/>
    <n v="3"/>
    <n v="2"/>
    <n v="0"/>
    <m/>
    <n v="0"/>
    <m/>
    <n v="0"/>
    <m/>
    <n v="0"/>
    <m/>
    <n v="0"/>
    <m/>
    <n v="880182"/>
    <n v="824329"/>
    <n v="0"/>
    <n v="0"/>
    <n v="0"/>
    <n v="0"/>
    <n v="0"/>
    <n v="0"/>
    <n v="0"/>
    <n v="0"/>
    <n v="0"/>
    <n v="0"/>
    <n v="166"/>
    <n v="154"/>
    <n v="0"/>
    <n v="0"/>
    <n v="0"/>
    <n v="0"/>
    <n v="0"/>
    <n v="0"/>
    <n v="0"/>
    <n v="0"/>
    <n v="0"/>
    <n v="0"/>
    <n v="5302.3012048192768"/>
    <n v="5352.7857142857147"/>
    <n v="0"/>
    <n v="0"/>
    <n v="0"/>
    <n v="0"/>
    <n v="0"/>
    <n v="0"/>
    <n v="0"/>
    <n v="0"/>
    <n v="0"/>
    <n v="0"/>
    <n v="47720.71084337349"/>
    <n v="48175.071428571435"/>
    <n v="47720.71084337349"/>
    <n v="48175.071428571435"/>
    <n v="0"/>
    <n v="0"/>
    <n v="0"/>
    <n v="0"/>
    <n v="0"/>
    <n v="0"/>
    <n v="0"/>
    <n v="0"/>
    <n v="0"/>
    <n v="0"/>
    <n v="16"/>
    <n v="15"/>
    <n v="16"/>
    <n v="15"/>
    <n v="0"/>
    <n v="0"/>
    <n v="0"/>
    <n v="0"/>
    <n v="0"/>
    <n v="0"/>
    <n v="0"/>
    <n v="0"/>
    <n v="0"/>
    <n v="0"/>
    <n v="763531.37349397584"/>
    <n v="722626.07142857148"/>
    <n v="763531.37349397584"/>
    <n v="722626.07142857148"/>
  </r>
  <r>
    <x v="10"/>
    <s v="Northwest Technology Center-Alva                  "/>
    <m/>
    <n v="366623"/>
    <x v="10"/>
    <m/>
    <m/>
    <m/>
    <m/>
    <m/>
    <m/>
    <m/>
    <m/>
    <m/>
    <m/>
    <m/>
    <m/>
    <m/>
    <m/>
    <m/>
    <m/>
    <m/>
    <m/>
    <m/>
    <m/>
    <m/>
    <m/>
    <m/>
    <m/>
    <m/>
    <m/>
    <m/>
    <m/>
    <m/>
    <m/>
    <m/>
    <m/>
    <m/>
    <m/>
    <m/>
    <m/>
    <m/>
    <m/>
    <m/>
    <m/>
    <n v="1"/>
    <m/>
    <n v="5"/>
    <n v="6"/>
    <m/>
    <m/>
    <n v="1"/>
    <m/>
    <n v="0"/>
    <m/>
    <n v="0"/>
    <m/>
    <n v="0"/>
    <m/>
    <n v="0"/>
    <m/>
    <n v="0"/>
    <m/>
    <n v="369826"/>
    <n v="314620"/>
    <n v="0"/>
    <n v="0"/>
    <n v="0"/>
    <n v="0"/>
    <n v="0"/>
    <n v="0"/>
    <n v="0"/>
    <n v="0"/>
    <n v="0"/>
    <n v="0"/>
    <n v="71"/>
    <n v="60"/>
    <n v="0"/>
    <n v="0"/>
    <n v="0"/>
    <n v="0"/>
    <n v="0"/>
    <n v="0"/>
    <n v="0"/>
    <n v="0"/>
    <n v="0"/>
    <n v="0"/>
    <n v="5208.8169014084506"/>
    <n v="5243.666666666667"/>
    <n v="0"/>
    <n v="0"/>
    <n v="0"/>
    <n v="0"/>
    <n v="0"/>
    <n v="0"/>
    <n v="0"/>
    <n v="0"/>
    <n v="0"/>
    <n v="0"/>
    <n v="46879.352112676053"/>
    <n v="47193"/>
    <n v="46879.352112676053"/>
    <n v="47193"/>
    <n v="0"/>
    <n v="0"/>
    <n v="0"/>
    <n v="0"/>
    <n v="0"/>
    <n v="0"/>
    <n v="0"/>
    <n v="0"/>
    <n v="0"/>
    <n v="0"/>
    <n v="7"/>
    <n v="6"/>
    <n v="7"/>
    <n v="6"/>
    <n v="0"/>
    <n v="0"/>
    <n v="0"/>
    <n v="0"/>
    <n v="0"/>
    <n v="0"/>
    <n v="0"/>
    <n v="0"/>
    <n v="0"/>
    <n v="0"/>
    <n v="328155.46478873235"/>
    <n v="283158"/>
    <n v="328155.46478873235"/>
    <n v="283158"/>
  </r>
  <r>
    <x v="10"/>
    <s v="Northwest Technology Center-Fairview              "/>
    <m/>
    <n v="407601"/>
    <x v="10"/>
    <m/>
    <m/>
    <m/>
    <m/>
    <m/>
    <m/>
    <m/>
    <m/>
    <m/>
    <m/>
    <m/>
    <m/>
    <m/>
    <m/>
    <m/>
    <m/>
    <m/>
    <m/>
    <m/>
    <m/>
    <m/>
    <m/>
    <m/>
    <m/>
    <m/>
    <m/>
    <m/>
    <m/>
    <m/>
    <m/>
    <m/>
    <m/>
    <m/>
    <m/>
    <m/>
    <m/>
    <m/>
    <m/>
    <m/>
    <m/>
    <m/>
    <m/>
    <n v="6"/>
    <n v="6"/>
    <m/>
    <m/>
    <m/>
    <m/>
    <n v="0"/>
    <m/>
    <n v="0"/>
    <m/>
    <n v="0"/>
    <m/>
    <n v="0"/>
    <m/>
    <n v="0"/>
    <m/>
    <n v="310818"/>
    <n v="312320"/>
    <n v="0"/>
    <n v="0"/>
    <n v="0"/>
    <n v="0"/>
    <n v="0"/>
    <n v="0"/>
    <n v="0"/>
    <n v="0"/>
    <n v="0"/>
    <n v="0"/>
    <n v="60"/>
    <n v="60"/>
    <n v="0"/>
    <n v="0"/>
    <n v="0"/>
    <n v="0"/>
    <n v="0"/>
    <n v="0"/>
    <n v="0"/>
    <n v="0"/>
    <n v="0"/>
    <n v="0"/>
    <n v="5180.3"/>
    <n v="5205.333333333333"/>
    <n v="0"/>
    <n v="0"/>
    <n v="0"/>
    <n v="0"/>
    <n v="0"/>
    <n v="0"/>
    <n v="0"/>
    <n v="0"/>
    <n v="0"/>
    <n v="0"/>
    <n v="46622.700000000004"/>
    <n v="46848"/>
    <n v="46622.700000000004"/>
    <n v="46848"/>
    <n v="0"/>
    <n v="0"/>
    <n v="0"/>
    <n v="0"/>
    <n v="0"/>
    <n v="0"/>
    <n v="0"/>
    <n v="0"/>
    <n v="0"/>
    <n v="0"/>
    <n v="6"/>
    <n v="6"/>
    <n v="6"/>
    <n v="6"/>
    <n v="0"/>
    <n v="0"/>
    <n v="0"/>
    <n v="0"/>
    <n v="0"/>
    <n v="0"/>
    <n v="0"/>
    <n v="0"/>
    <n v="0"/>
    <n v="0"/>
    <n v="279736.2"/>
    <n v="281088"/>
    <n v="279736.2"/>
    <n v="281088"/>
  </r>
  <r>
    <x v="10"/>
    <s v="Pioneer Technology Center                         "/>
    <m/>
    <n v="364627"/>
    <x v="10"/>
    <m/>
    <m/>
    <m/>
    <m/>
    <m/>
    <m/>
    <m/>
    <m/>
    <m/>
    <m/>
    <m/>
    <m/>
    <m/>
    <m/>
    <m/>
    <m/>
    <m/>
    <m/>
    <m/>
    <m/>
    <m/>
    <m/>
    <m/>
    <m/>
    <m/>
    <m/>
    <m/>
    <m/>
    <m/>
    <m/>
    <m/>
    <m/>
    <m/>
    <m/>
    <m/>
    <m/>
    <m/>
    <m/>
    <m/>
    <m/>
    <m/>
    <m/>
    <n v="11"/>
    <n v="11"/>
    <n v="2"/>
    <n v="2"/>
    <n v="10"/>
    <n v="8"/>
    <n v="0"/>
    <m/>
    <n v="0"/>
    <m/>
    <n v="0"/>
    <m/>
    <n v="0"/>
    <m/>
    <n v="0"/>
    <m/>
    <n v="1202652"/>
    <n v="1074183"/>
    <n v="0"/>
    <n v="0"/>
    <n v="0"/>
    <n v="0"/>
    <n v="0"/>
    <n v="0"/>
    <n v="0"/>
    <n v="0"/>
    <n v="0"/>
    <n v="0"/>
    <n v="252"/>
    <n v="228"/>
    <n v="0"/>
    <n v="0"/>
    <n v="0"/>
    <n v="0"/>
    <n v="0"/>
    <n v="0"/>
    <n v="0"/>
    <n v="0"/>
    <n v="0"/>
    <n v="0"/>
    <n v="4772.4285714285716"/>
    <n v="4711.3289473684208"/>
    <n v="0"/>
    <n v="0"/>
    <n v="0"/>
    <n v="0"/>
    <n v="0"/>
    <n v="0"/>
    <n v="0"/>
    <n v="0"/>
    <n v="0"/>
    <n v="0"/>
    <n v="42951.857142857145"/>
    <n v="42401.960526315786"/>
    <n v="42951.857142857145"/>
    <n v="42401.960526315786"/>
    <n v="0"/>
    <n v="0"/>
    <n v="0"/>
    <n v="0"/>
    <n v="0"/>
    <n v="0"/>
    <n v="0"/>
    <n v="0"/>
    <n v="0"/>
    <n v="0"/>
    <n v="23"/>
    <n v="21"/>
    <n v="23"/>
    <n v="21"/>
    <n v="0"/>
    <n v="0"/>
    <n v="0"/>
    <n v="0"/>
    <n v="0"/>
    <n v="0"/>
    <n v="0"/>
    <n v="0"/>
    <n v="0"/>
    <n v="0"/>
    <n v="987892.71428571432"/>
    <n v="890441.17105263146"/>
    <n v="987892.71428571432"/>
    <n v="890441.17105263146"/>
  </r>
  <r>
    <x v="10"/>
    <s v="Pontotoc Technology Center                        "/>
    <m/>
    <n v="206905"/>
    <x v="10"/>
    <m/>
    <m/>
    <m/>
    <m/>
    <m/>
    <m/>
    <m/>
    <m/>
    <m/>
    <m/>
    <m/>
    <m/>
    <m/>
    <m/>
    <m/>
    <m/>
    <m/>
    <m/>
    <m/>
    <m/>
    <m/>
    <m/>
    <m/>
    <m/>
    <m/>
    <m/>
    <m/>
    <m/>
    <m/>
    <m/>
    <m/>
    <m/>
    <m/>
    <m/>
    <m/>
    <m/>
    <m/>
    <m/>
    <m/>
    <m/>
    <n v="1"/>
    <m/>
    <n v="5"/>
    <n v="5"/>
    <n v="2"/>
    <n v="2"/>
    <n v="5"/>
    <n v="2"/>
    <n v="0"/>
    <m/>
    <n v="0"/>
    <m/>
    <n v="0"/>
    <m/>
    <n v="0"/>
    <m/>
    <n v="0"/>
    <m/>
    <n v="625288"/>
    <n v="445904"/>
    <n v="0"/>
    <n v="0"/>
    <n v="0"/>
    <n v="0"/>
    <n v="0"/>
    <n v="0"/>
    <n v="0"/>
    <n v="0"/>
    <n v="0"/>
    <n v="0"/>
    <n v="141"/>
    <n v="96"/>
    <n v="0"/>
    <n v="0"/>
    <n v="0"/>
    <n v="0"/>
    <n v="0"/>
    <n v="0"/>
    <n v="0"/>
    <n v="0"/>
    <n v="0"/>
    <n v="0"/>
    <n v="4434.666666666667"/>
    <n v="4644.833333333333"/>
    <n v="0"/>
    <n v="0"/>
    <n v="0"/>
    <n v="0"/>
    <n v="0"/>
    <n v="0"/>
    <n v="0"/>
    <n v="0"/>
    <n v="0"/>
    <n v="0"/>
    <n v="39912"/>
    <n v="41803.5"/>
    <n v="39912"/>
    <n v="41803.5"/>
    <n v="0"/>
    <n v="0"/>
    <n v="0"/>
    <n v="0"/>
    <n v="0"/>
    <n v="0"/>
    <n v="0"/>
    <n v="0"/>
    <n v="0"/>
    <n v="0"/>
    <n v="13"/>
    <n v="9"/>
    <n v="13"/>
    <n v="9"/>
    <n v="0"/>
    <n v="0"/>
    <n v="0"/>
    <n v="0"/>
    <n v="0"/>
    <n v="0"/>
    <n v="0"/>
    <n v="0"/>
    <n v="0"/>
    <n v="0"/>
    <n v="518856"/>
    <n v="376231.5"/>
    <n v="518856"/>
    <n v="376231.5"/>
  </r>
  <r>
    <x v="10"/>
    <s v="Red River Technology Center                       "/>
    <m/>
    <n v="250993"/>
    <x v="10"/>
    <m/>
    <m/>
    <m/>
    <m/>
    <m/>
    <m/>
    <m/>
    <m/>
    <m/>
    <m/>
    <m/>
    <m/>
    <m/>
    <m/>
    <m/>
    <m/>
    <m/>
    <m/>
    <m/>
    <m/>
    <m/>
    <m/>
    <m/>
    <m/>
    <m/>
    <m/>
    <m/>
    <m/>
    <m/>
    <m/>
    <m/>
    <m/>
    <m/>
    <m/>
    <m/>
    <m/>
    <m/>
    <m/>
    <m/>
    <m/>
    <m/>
    <m/>
    <n v="16"/>
    <n v="17"/>
    <n v="1"/>
    <n v="1"/>
    <n v="5"/>
    <n v="3"/>
    <n v="0"/>
    <m/>
    <n v="0"/>
    <m/>
    <n v="0"/>
    <m/>
    <n v="0"/>
    <m/>
    <n v="0"/>
    <m/>
    <n v="1109824"/>
    <n v="1079844"/>
    <n v="0"/>
    <n v="0"/>
    <n v="0"/>
    <n v="0"/>
    <n v="0"/>
    <n v="0"/>
    <n v="0"/>
    <n v="0"/>
    <n v="0"/>
    <n v="0"/>
    <n v="231"/>
    <n v="217"/>
    <n v="0"/>
    <n v="0"/>
    <n v="0"/>
    <n v="0"/>
    <n v="0"/>
    <n v="0"/>
    <n v="0"/>
    <n v="0"/>
    <n v="0"/>
    <n v="0"/>
    <n v="4804.4329004329002"/>
    <n v="4976.2396313364052"/>
    <n v="0"/>
    <n v="0"/>
    <n v="0"/>
    <n v="0"/>
    <n v="0"/>
    <n v="0"/>
    <n v="0"/>
    <n v="0"/>
    <n v="0"/>
    <n v="0"/>
    <n v="43239.896103896099"/>
    <n v="44786.156682027649"/>
    <n v="43239.896103896099"/>
    <n v="44786.156682027649"/>
    <n v="0"/>
    <n v="0"/>
    <n v="0"/>
    <n v="0"/>
    <n v="0"/>
    <n v="0"/>
    <n v="0"/>
    <n v="0"/>
    <n v="0"/>
    <n v="0"/>
    <n v="22"/>
    <n v="21"/>
    <n v="22"/>
    <n v="21"/>
    <n v="0"/>
    <n v="0"/>
    <n v="0"/>
    <n v="0"/>
    <n v="0"/>
    <n v="0"/>
    <n v="0"/>
    <n v="0"/>
    <n v="0"/>
    <n v="0"/>
    <n v="951277.7142857142"/>
    <n v="940509.29032258061"/>
    <n v="951277.7142857142"/>
    <n v="940509.29032258061"/>
  </r>
  <r>
    <x v="10"/>
    <s v="Southern Oklahoma Technology Center               "/>
    <m/>
    <n v="365198"/>
    <x v="10"/>
    <m/>
    <m/>
    <m/>
    <m/>
    <m/>
    <m/>
    <m/>
    <m/>
    <m/>
    <m/>
    <m/>
    <m/>
    <m/>
    <m/>
    <m/>
    <m/>
    <m/>
    <m/>
    <m/>
    <m/>
    <m/>
    <m/>
    <m/>
    <m/>
    <m/>
    <m/>
    <m/>
    <m/>
    <m/>
    <m/>
    <m/>
    <m/>
    <m/>
    <m/>
    <m/>
    <m/>
    <m/>
    <m/>
    <m/>
    <m/>
    <m/>
    <m/>
    <n v="1"/>
    <n v="3"/>
    <m/>
    <m/>
    <n v="25"/>
    <n v="23"/>
    <n v="0"/>
    <m/>
    <n v="0"/>
    <m/>
    <n v="0"/>
    <m/>
    <n v="0"/>
    <m/>
    <n v="0"/>
    <m/>
    <n v="1312671"/>
    <n v="1416940"/>
    <n v="0"/>
    <n v="0"/>
    <n v="0"/>
    <n v="0"/>
    <n v="0"/>
    <n v="0"/>
    <n v="0"/>
    <n v="0"/>
    <n v="0"/>
    <n v="0"/>
    <n v="310"/>
    <n v="306"/>
    <n v="0"/>
    <n v="0"/>
    <n v="0"/>
    <n v="0"/>
    <n v="0"/>
    <n v="0"/>
    <n v="0"/>
    <n v="0"/>
    <n v="0"/>
    <n v="0"/>
    <n v="4234.4225806451614"/>
    <n v="4630.5228758169933"/>
    <n v="0"/>
    <n v="0"/>
    <n v="0"/>
    <n v="0"/>
    <n v="0"/>
    <n v="0"/>
    <n v="0"/>
    <n v="0"/>
    <n v="0"/>
    <n v="0"/>
    <n v="38109.803225806449"/>
    <n v="41674.705882352937"/>
    <n v="38109.803225806449"/>
    <n v="41674.705882352937"/>
    <n v="0"/>
    <n v="0"/>
    <n v="0"/>
    <n v="0"/>
    <n v="0"/>
    <n v="0"/>
    <n v="0"/>
    <n v="0"/>
    <n v="0"/>
    <n v="0"/>
    <n v="26"/>
    <n v="26"/>
    <n v="26"/>
    <n v="26"/>
    <n v="0"/>
    <n v="0"/>
    <n v="0"/>
    <n v="0"/>
    <n v="0"/>
    <n v="0"/>
    <n v="0"/>
    <n v="0"/>
    <n v="0"/>
    <n v="0"/>
    <n v="990854.88387096766"/>
    <n v="1083542.3529411764"/>
    <n v="990854.88387096766"/>
    <n v="1083542.3529411764"/>
  </r>
  <r>
    <x v="10"/>
    <s v="Southwest Technology Center                       "/>
    <m/>
    <n v="368364"/>
    <x v="10"/>
    <m/>
    <m/>
    <m/>
    <m/>
    <m/>
    <m/>
    <m/>
    <m/>
    <m/>
    <m/>
    <m/>
    <m/>
    <m/>
    <m/>
    <m/>
    <m/>
    <m/>
    <m/>
    <m/>
    <m/>
    <m/>
    <m/>
    <m/>
    <m/>
    <m/>
    <m/>
    <m/>
    <m/>
    <m/>
    <m/>
    <m/>
    <m/>
    <m/>
    <m/>
    <m/>
    <m/>
    <m/>
    <m/>
    <m/>
    <m/>
    <m/>
    <m/>
    <n v="8"/>
    <n v="7"/>
    <n v="3"/>
    <n v="2"/>
    <n v="6"/>
    <n v="5"/>
    <n v="0"/>
    <m/>
    <n v="0"/>
    <m/>
    <n v="0"/>
    <m/>
    <n v="0"/>
    <m/>
    <n v="0"/>
    <m/>
    <n v="802109"/>
    <n v="655582"/>
    <n v="0"/>
    <n v="0"/>
    <n v="0"/>
    <n v="0"/>
    <n v="0"/>
    <n v="0"/>
    <n v="0"/>
    <n v="0"/>
    <n v="0"/>
    <n v="0"/>
    <n v="185"/>
    <n v="152"/>
    <n v="0"/>
    <n v="0"/>
    <n v="0"/>
    <n v="0"/>
    <n v="0"/>
    <n v="0"/>
    <n v="0"/>
    <n v="0"/>
    <n v="0"/>
    <n v="0"/>
    <n v="4335.7243243243247"/>
    <n v="4313.0394736842109"/>
    <n v="0"/>
    <n v="0"/>
    <n v="0"/>
    <n v="0"/>
    <n v="0"/>
    <n v="0"/>
    <n v="0"/>
    <n v="0"/>
    <n v="0"/>
    <n v="0"/>
    <n v="39021.518918918926"/>
    <n v="38817.3552631579"/>
    <n v="39021.518918918926"/>
    <n v="38817.3552631579"/>
    <n v="0"/>
    <n v="0"/>
    <n v="0"/>
    <n v="0"/>
    <n v="0"/>
    <n v="0"/>
    <n v="0"/>
    <n v="0"/>
    <n v="0"/>
    <n v="0"/>
    <n v="17"/>
    <n v="14"/>
    <n v="17"/>
    <n v="14"/>
    <n v="0"/>
    <n v="0"/>
    <n v="0"/>
    <n v="0"/>
    <n v="0"/>
    <n v="0"/>
    <n v="0"/>
    <n v="0"/>
    <n v="0"/>
    <n v="0"/>
    <n v="663365.82162162173"/>
    <n v="543442.97368421056"/>
    <n v="663365.82162162173"/>
    <n v="543442.97368421056"/>
  </r>
  <r>
    <x v="10"/>
    <s v="Tri County Technology Center                      "/>
    <m/>
    <n v="418287"/>
    <x v="10"/>
    <m/>
    <m/>
    <m/>
    <m/>
    <m/>
    <m/>
    <m/>
    <m/>
    <m/>
    <m/>
    <m/>
    <m/>
    <m/>
    <m/>
    <m/>
    <m/>
    <m/>
    <m/>
    <m/>
    <m/>
    <m/>
    <m/>
    <m/>
    <m/>
    <m/>
    <m/>
    <m/>
    <m/>
    <m/>
    <m/>
    <m/>
    <m/>
    <m/>
    <m/>
    <m/>
    <m/>
    <m/>
    <m/>
    <m/>
    <m/>
    <m/>
    <m/>
    <n v="14"/>
    <n v="18"/>
    <n v="11"/>
    <n v="11"/>
    <n v="4"/>
    <n v="3"/>
    <n v="0"/>
    <m/>
    <n v="0"/>
    <m/>
    <n v="0"/>
    <m/>
    <n v="0"/>
    <m/>
    <n v="0"/>
    <m/>
    <n v="1517236"/>
    <n v="1696757"/>
    <n v="0"/>
    <n v="0"/>
    <n v="0"/>
    <n v="0"/>
    <n v="0"/>
    <n v="0"/>
    <n v="0"/>
    <n v="0"/>
    <n v="0"/>
    <n v="0"/>
    <n v="309"/>
    <n v="337"/>
    <n v="0"/>
    <n v="0"/>
    <n v="0"/>
    <n v="0"/>
    <n v="0"/>
    <n v="0"/>
    <n v="0"/>
    <n v="0"/>
    <n v="0"/>
    <n v="0"/>
    <n v="4910.1488673139156"/>
    <n v="5034.8872403560827"/>
    <n v="0"/>
    <n v="0"/>
    <n v="0"/>
    <n v="0"/>
    <n v="0"/>
    <n v="0"/>
    <n v="0"/>
    <n v="0"/>
    <n v="0"/>
    <n v="0"/>
    <n v="44191.339805825242"/>
    <n v="45313.985163204743"/>
    <n v="44191.339805825242"/>
    <n v="45313.985163204743"/>
    <n v="0"/>
    <n v="0"/>
    <n v="0"/>
    <n v="0"/>
    <n v="0"/>
    <n v="0"/>
    <n v="0"/>
    <n v="0"/>
    <n v="0"/>
    <n v="0"/>
    <n v="29"/>
    <n v="32"/>
    <n v="29"/>
    <n v="32"/>
    <n v="0"/>
    <n v="0"/>
    <n v="0"/>
    <n v="0"/>
    <n v="0"/>
    <n v="0"/>
    <n v="0"/>
    <n v="0"/>
    <n v="0"/>
    <n v="0"/>
    <n v="1281548.8543689321"/>
    <n v="1450047.5252225518"/>
    <n v="1281548.8543689321"/>
    <n v="1450047.5252225518"/>
  </r>
  <r>
    <x v="10"/>
    <s v="Tulsa County Area Voc Tech School Dist 18-Peoria  "/>
    <m/>
    <n v="207607"/>
    <x v="10"/>
    <m/>
    <m/>
    <m/>
    <m/>
    <m/>
    <m/>
    <m/>
    <m/>
    <m/>
    <m/>
    <m/>
    <m/>
    <m/>
    <m/>
    <m/>
    <m/>
    <m/>
    <m/>
    <m/>
    <m/>
    <m/>
    <m/>
    <m/>
    <m/>
    <m/>
    <m/>
    <m/>
    <m/>
    <m/>
    <m/>
    <m/>
    <m/>
    <m/>
    <m/>
    <m/>
    <m/>
    <m/>
    <m/>
    <m/>
    <m/>
    <m/>
    <m/>
    <m/>
    <m/>
    <n v="21"/>
    <n v="20"/>
    <n v="2"/>
    <n v="2"/>
    <n v="0"/>
    <m/>
    <n v="0"/>
    <m/>
    <n v="0"/>
    <m/>
    <n v="0"/>
    <m/>
    <n v="0"/>
    <m/>
    <n v="1232087"/>
    <n v="1179220"/>
    <n v="0"/>
    <n v="0"/>
    <n v="0"/>
    <n v="0"/>
    <n v="0"/>
    <n v="0"/>
    <n v="0"/>
    <n v="0"/>
    <n v="0"/>
    <n v="0"/>
    <n v="255"/>
    <n v="244"/>
    <n v="0"/>
    <n v="0"/>
    <n v="0"/>
    <n v="0"/>
    <n v="0"/>
    <n v="0"/>
    <n v="0"/>
    <n v="0"/>
    <n v="0"/>
    <n v="0"/>
    <n v="4831.7137254901963"/>
    <n v="4832.8688524590161"/>
    <n v="0"/>
    <n v="0"/>
    <n v="0"/>
    <n v="0"/>
    <n v="0"/>
    <n v="0"/>
    <n v="0"/>
    <n v="0"/>
    <n v="0"/>
    <n v="0"/>
    <n v="43485.423529411768"/>
    <n v="43495.819672131147"/>
    <n v="43485.423529411768"/>
    <n v="43495.819672131147"/>
    <n v="0"/>
    <n v="0"/>
    <n v="0"/>
    <n v="0"/>
    <n v="0"/>
    <n v="0"/>
    <n v="0"/>
    <n v="0"/>
    <n v="0"/>
    <n v="0"/>
    <n v="23"/>
    <n v="22"/>
    <n v="23"/>
    <n v="22"/>
    <n v="0"/>
    <n v="0"/>
    <n v="0"/>
    <n v="0"/>
    <n v="0"/>
    <n v="0"/>
    <n v="0"/>
    <n v="0"/>
    <n v="0"/>
    <n v="0"/>
    <n v="1000164.7411764706"/>
    <n v="956908.03278688528"/>
    <n v="1000164.7411764706"/>
    <n v="956908.03278688528"/>
  </r>
  <r>
    <x v="10"/>
    <s v="Tulsa Technology Center-Broken Arrow Campus       "/>
    <m/>
    <n v="261393"/>
    <x v="10"/>
    <m/>
    <m/>
    <m/>
    <m/>
    <m/>
    <m/>
    <m/>
    <m/>
    <m/>
    <m/>
    <m/>
    <m/>
    <m/>
    <m/>
    <m/>
    <m/>
    <m/>
    <m/>
    <m/>
    <m/>
    <m/>
    <m/>
    <m/>
    <m/>
    <m/>
    <m/>
    <m/>
    <m/>
    <m/>
    <m/>
    <m/>
    <m/>
    <m/>
    <m/>
    <m/>
    <m/>
    <m/>
    <m/>
    <m/>
    <m/>
    <m/>
    <m/>
    <m/>
    <m/>
    <n v="39"/>
    <n v="41"/>
    <n v="2"/>
    <m/>
    <n v="0"/>
    <m/>
    <n v="0"/>
    <m/>
    <n v="0"/>
    <m/>
    <n v="0"/>
    <m/>
    <n v="0"/>
    <m/>
    <n v="2235976"/>
    <n v="2237690"/>
    <n v="0"/>
    <n v="0"/>
    <n v="0"/>
    <n v="0"/>
    <n v="0"/>
    <n v="0"/>
    <n v="0"/>
    <n v="0"/>
    <n v="0"/>
    <n v="0"/>
    <n v="453"/>
    <n v="451"/>
    <n v="0"/>
    <n v="0"/>
    <n v="0"/>
    <n v="0"/>
    <n v="0"/>
    <n v="0"/>
    <n v="0"/>
    <n v="0"/>
    <n v="0"/>
    <n v="0"/>
    <n v="4935.9293598233999"/>
    <n v="4961.6186252771622"/>
    <n v="0"/>
    <n v="0"/>
    <n v="0"/>
    <n v="0"/>
    <n v="0"/>
    <n v="0"/>
    <n v="0"/>
    <n v="0"/>
    <n v="0"/>
    <n v="0"/>
    <n v="44423.364238410599"/>
    <n v="44654.567627494456"/>
    <n v="44423.364238410599"/>
    <n v="44654.567627494456"/>
    <n v="0"/>
    <n v="0"/>
    <n v="0"/>
    <n v="0"/>
    <n v="0"/>
    <n v="0"/>
    <n v="0"/>
    <n v="0"/>
    <n v="0"/>
    <n v="0"/>
    <n v="41"/>
    <n v="41"/>
    <n v="41"/>
    <n v="41"/>
    <n v="0"/>
    <n v="0"/>
    <n v="0"/>
    <n v="0"/>
    <n v="0"/>
    <n v="0"/>
    <n v="0"/>
    <n v="0"/>
    <n v="0"/>
    <n v="0"/>
    <n v="1821357.9337748345"/>
    <n v="1830837.2727272727"/>
    <n v="1821357.9337748345"/>
    <n v="1830837.2727272727"/>
  </r>
  <r>
    <x v="10"/>
    <s v="Tulsa Technology Center-Lemley Campus             "/>
    <m/>
    <n v="261375"/>
    <x v="10"/>
    <m/>
    <m/>
    <m/>
    <m/>
    <m/>
    <m/>
    <m/>
    <m/>
    <m/>
    <m/>
    <m/>
    <m/>
    <m/>
    <m/>
    <m/>
    <m/>
    <m/>
    <m/>
    <m/>
    <m/>
    <m/>
    <m/>
    <m/>
    <m/>
    <m/>
    <m/>
    <m/>
    <m/>
    <m/>
    <m/>
    <m/>
    <m/>
    <m/>
    <m/>
    <m/>
    <m/>
    <m/>
    <m/>
    <m/>
    <m/>
    <m/>
    <m/>
    <n v="1"/>
    <n v="1"/>
    <n v="52"/>
    <n v="57"/>
    <n v="2"/>
    <n v="1"/>
    <n v="0"/>
    <m/>
    <n v="0"/>
    <m/>
    <n v="0"/>
    <m/>
    <n v="0"/>
    <m/>
    <n v="0"/>
    <m/>
    <n v="3105740"/>
    <n v="3304134"/>
    <n v="0"/>
    <n v="0"/>
    <n v="0"/>
    <n v="0"/>
    <n v="0"/>
    <n v="0"/>
    <n v="0"/>
    <n v="0"/>
    <n v="0"/>
    <n v="0"/>
    <n v="606"/>
    <n v="649"/>
    <n v="0"/>
    <n v="0"/>
    <n v="0"/>
    <n v="0"/>
    <n v="0"/>
    <n v="0"/>
    <n v="0"/>
    <n v="0"/>
    <n v="0"/>
    <n v="0"/>
    <n v="5124.9834983498349"/>
    <n v="5091.1155624036983"/>
    <n v="0"/>
    <n v="0"/>
    <n v="0"/>
    <n v="0"/>
    <n v="0"/>
    <n v="0"/>
    <n v="0"/>
    <n v="0"/>
    <n v="0"/>
    <n v="0"/>
    <n v="46124.851485148516"/>
    <n v="45820.040061633284"/>
    <n v="46124.851485148516"/>
    <n v="45820.040061633284"/>
    <n v="0"/>
    <n v="0"/>
    <n v="0"/>
    <n v="0"/>
    <n v="0"/>
    <n v="0"/>
    <n v="0"/>
    <n v="0"/>
    <n v="0"/>
    <n v="0"/>
    <n v="55"/>
    <n v="59"/>
    <n v="55"/>
    <n v="59"/>
    <n v="0"/>
    <n v="0"/>
    <n v="0"/>
    <n v="0"/>
    <n v="0"/>
    <n v="0"/>
    <n v="0"/>
    <n v="0"/>
    <n v="0"/>
    <n v="0"/>
    <n v="2536866.8316831682"/>
    <n v="2703382.3636363638"/>
    <n v="2536866.8316831682"/>
    <n v="2703382.3636363638"/>
  </r>
  <r>
    <x v="10"/>
    <s v="Tulsa Technology Center-Riverside Campus          "/>
    <m/>
    <n v="261384"/>
    <x v="10"/>
    <m/>
    <m/>
    <m/>
    <m/>
    <m/>
    <m/>
    <m/>
    <m/>
    <m/>
    <m/>
    <m/>
    <m/>
    <m/>
    <m/>
    <m/>
    <m/>
    <m/>
    <m/>
    <m/>
    <m/>
    <m/>
    <m/>
    <m/>
    <m/>
    <m/>
    <m/>
    <m/>
    <m/>
    <m/>
    <m/>
    <m/>
    <m/>
    <m/>
    <m/>
    <m/>
    <m/>
    <m/>
    <m/>
    <m/>
    <m/>
    <m/>
    <m/>
    <m/>
    <m/>
    <n v="28"/>
    <n v="25"/>
    <m/>
    <m/>
    <n v="0"/>
    <m/>
    <n v="0"/>
    <m/>
    <n v="0"/>
    <m/>
    <n v="0"/>
    <m/>
    <n v="0"/>
    <m/>
    <n v="1631532"/>
    <n v="1456384"/>
    <n v="0"/>
    <n v="0"/>
    <n v="0"/>
    <n v="0"/>
    <n v="0"/>
    <n v="0"/>
    <n v="0"/>
    <n v="0"/>
    <n v="0"/>
    <n v="0"/>
    <n v="308"/>
    <n v="275"/>
    <n v="0"/>
    <n v="0"/>
    <n v="0"/>
    <n v="0"/>
    <n v="0"/>
    <n v="0"/>
    <n v="0"/>
    <n v="0"/>
    <n v="0"/>
    <n v="0"/>
    <n v="5297.181818181818"/>
    <n v="5295.9418181818182"/>
    <n v="0"/>
    <n v="0"/>
    <n v="0"/>
    <n v="0"/>
    <n v="0"/>
    <n v="0"/>
    <n v="0"/>
    <n v="0"/>
    <n v="0"/>
    <n v="0"/>
    <n v="47674.63636363636"/>
    <n v="47663.476363636364"/>
    <n v="47674.63636363636"/>
    <n v="47663.476363636364"/>
    <n v="0"/>
    <n v="0"/>
    <n v="0"/>
    <n v="0"/>
    <n v="0"/>
    <n v="0"/>
    <n v="0"/>
    <n v="0"/>
    <n v="0"/>
    <n v="0"/>
    <n v="28"/>
    <n v="25"/>
    <n v="28"/>
    <n v="25"/>
    <n v="0"/>
    <n v="0"/>
    <n v="0"/>
    <n v="0"/>
    <n v="0"/>
    <n v="0"/>
    <n v="0"/>
    <n v="0"/>
    <n v="0"/>
    <n v="0"/>
    <n v="1334889.8181818181"/>
    <n v="1191586.9090909092"/>
    <n v="1334889.8181818181"/>
    <n v="1191586.9090909092"/>
  </r>
  <r>
    <x v="10"/>
    <s v="Wes Watkins Technology Center                     "/>
    <m/>
    <n v="418357"/>
    <x v="10"/>
    <m/>
    <m/>
    <m/>
    <m/>
    <m/>
    <m/>
    <m/>
    <m/>
    <m/>
    <m/>
    <m/>
    <m/>
    <m/>
    <m/>
    <m/>
    <m/>
    <m/>
    <m/>
    <m/>
    <m/>
    <m/>
    <m/>
    <m/>
    <m/>
    <m/>
    <m/>
    <m/>
    <m/>
    <m/>
    <m/>
    <m/>
    <m/>
    <m/>
    <m/>
    <m/>
    <m/>
    <m/>
    <m/>
    <m/>
    <m/>
    <m/>
    <m/>
    <n v="10"/>
    <n v="10"/>
    <m/>
    <m/>
    <n v="3"/>
    <n v="4"/>
    <n v="0"/>
    <m/>
    <n v="0"/>
    <m/>
    <n v="0"/>
    <m/>
    <n v="0"/>
    <m/>
    <n v="0"/>
    <m/>
    <n v="605663"/>
    <n v="655393"/>
    <n v="0"/>
    <n v="0"/>
    <n v="0"/>
    <n v="0"/>
    <n v="0"/>
    <n v="0"/>
    <n v="0"/>
    <n v="0"/>
    <n v="0"/>
    <n v="0"/>
    <n v="136"/>
    <n v="148"/>
    <n v="0"/>
    <n v="0"/>
    <n v="0"/>
    <n v="0"/>
    <n v="0"/>
    <n v="0"/>
    <n v="0"/>
    <n v="0"/>
    <n v="0"/>
    <n v="0"/>
    <n v="4453.4044117647063"/>
    <n v="4428.3310810810808"/>
    <n v="0"/>
    <n v="0"/>
    <n v="0"/>
    <n v="0"/>
    <n v="0"/>
    <n v="0"/>
    <n v="0"/>
    <n v="0"/>
    <n v="0"/>
    <n v="0"/>
    <n v="40080.639705882357"/>
    <n v="39854.979729729726"/>
    <n v="40080.639705882357"/>
    <n v="39854.979729729726"/>
    <n v="0"/>
    <n v="0"/>
    <n v="0"/>
    <n v="0"/>
    <n v="0"/>
    <n v="0"/>
    <n v="0"/>
    <n v="0"/>
    <n v="0"/>
    <n v="0"/>
    <n v="13"/>
    <n v="14"/>
    <n v="13"/>
    <n v="14"/>
    <n v="0"/>
    <n v="0"/>
    <n v="0"/>
    <n v="0"/>
    <n v="0"/>
    <n v="0"/>
    <n v="0"/>
    <n v="0"/>
    <n v="0"/>
    <n v="0"/>
    <n v="521048.31617647066"/>
    <n v="557969.71621621621"/>
    <n v="521048.31617647066"/>
    <n v="557969.71621621621"/>
  </r>
  <r>
    <x v="10"/>
    <s v="Western Technology Center                         "/>
    <m/>
    <n v="418302"/>
    <x v="10"/>
    <m/>
    <m/>
    <m/>
    <m/>
    <m/>
    <m/>
    <m/>
    <m/>
    <m/>
    <m/>
    <m/>
    <m/>
    <m/>
    <m/>
    <m/>
    <m/>
    <m/>
    <m/>
    <m/>
    <m/>
    <m/>
    <m/>
    <m/>
    <m/>
    <m/>
    <m/>
    <m/>
    <m/>
    <m/>
    <m/>
    <m/>
    <m/>
    <m/>
    <m/>
    <m/>
    <m/>
    <m/>
    <m/>
    <m/>
    <m/>
    <m/>
    <m/>
    <n v="21"/>
    <n v="22"/>
    <n v="2"/>
    <n v="2"/>
    <n v="2"/>
    <m/>
    <n v="0"/>
    <m/>
    <n v="0"/>
    <m/>
    <n v="0"/>
    <m/>
    <n v="0"/>
    <m/>
    <n v="0"/>
    <m/>
    <n v="1191345"/>
    <n v="1154239"/>
    <n v="0"/>
    <n v="0"/>
    <n v="0"/>
    <n v="0"/>
    <n v="0"/>
    <n v="0"/>
    <n v="0"/>
    <n v="0"/>
    <n v="0"/>
    <n v="0"/>
    <n v="256"/>
    <n v="242"/>
    <n v="0"/>
    <n v="0"/>
    <n v="0"/>
    <n v="0"/>
    <n v="0"/>
    <n v="0"/>
    <n v="0"/>
    <n v="0"/>
    <n v="0"/>
    <n v="0"/>
    <n v="4653.69140625"/>
    <n v="4769.5826446280989"/>
    <n v="0"/>
    <n v="0"/>
    <n v="0"/>
    <n v="0"/>
    <n v="0"/>
    <n v="0"/>
    <n v="0"/>
    <n v="0"/>
    <n v="0"/>
    <n v="0"/>
    <n v="41883.22265625"/>
    <n v="42926.24380165289"/>
    <n v="41883.22265625"/>
    <n v="42926.24380165289"/>
    <n v="0"/>
    <n v="0"/>
    <n v="0"/>
    <n v="0"/>
    <n v="0"/>
    <n v="0"/>
    <n v="0"/>
    <n v="0"/>
    <n v="0"/>
    <n v="0"/>
    <n v="25"/>
    <n v="24"/>
    <n v="25"/>
    <n v="24"/>
    <n v="0"/>
    <n v="0"/>
    <n v="0"/>
    <n v="0"/>
    <n v="0"/>
    <n v="0"/>
    <n v="0"/>
    <n v="0"/>
    <n v="0"/>
    <n v="0"/>
    <n v="1047080.56640625"/>
    <n v="1030229.8512396694"/>
    <n v="1047080.56640625"/>
    <n v="1030229.8512396694"/>
  </r>
  <r>
    <x v="11"/>
    <s v="Clemson University"/>
    <m/>
    <n v="217882"/>
    <x v="0"/>
    <n v="297"/>
    <n v="295"/>
    <m/>
    <m/>
    <n v="37"/>
    <m/>
    <m/>
    <n v="41"/>
    <n v="227"/>
    <n v="255"/>
    <m/>
    <m/>
    <n v="15"/>
    <m/>
    <m/>
    <n v="11"/>
    <n v="227"/>
    <n v="213"/>
    <m/>
    <m/>
    <n v="13"/>
    <m/>
    <m/>
    <n v="13"/>
    <n v="3"/>
    <n v="2"/>
    <m/>
    <m/>
    <m/>
    <m/>
    <m/>
    <m/>
    <n v="184"/>
    <n v="207"/>
    <m/>
    <m/>
    <n v="10"/>
    <m/>
    <m/>
    <n v="14"/>
    <m/>
    <m/>
    <m/>
    <m/>
    <m/>
    <m/>
    <m/>
    <m/>
    <n v="36830323"/>
    <n v="42514056"/>
    <n v="19379722"/>
    <n v="23743871"/>
    <n v="17035020"/>
    <n v="17905273"/>
    <n v="162915"/>
    <n v="110671"/>
    <n v="9138528"/>
    <n v="11319359"/>
    <n v="0"/>
    <m/>
    <n v="3080"/>
    <n v="3147"/>
    <n v="2208"/>
    <n v="2427"/>
    <n v="2186"/>
    <n v="2073"/>
    <n v="27"/>
    <n v="18"/>
    <n v="1766"/>
    <n v="2031"/>
    <n v="0"/>
    <n v="0"/>
    <n v="11957.897077922078"/>
    <n v="13509.391801715919"/>
    <n v="8777.0480072463761"/>
    <n v="9783.218376596622"/>
    <n v="7792.781335773102"/>
    <n v="8637.3724071394117"/>
    <n v="6033.8888888888887"/>
    <n v="6148.3888888888887"/>
    <n v="5174.704416761042"/>
    <n v="5573.2934515017232"/>
    <n v="0"/>
    <n v="0"/>
    <n v="107621.07370129871"/>
    <n v="121584.52621544327"/>
    <n v="78993.432065217377"/>
    <n v="88048.965389369594"/>
    <n v="70135.032021957915"/>
    <n v="77736.351664254704"/>
    <n v="54305"/>
    <n v="55335.5"/>
    <n v="46572.33975084938"/>
    <n v="50159.641063515512"/>
    <n v="0"/>
    <n v="0"/>
    <n v="80051.535807454158"/>
    <n v="88523.113942073964"/>
    <n v="334"/>
    <n v="336"/>
    <n v="242"/>
    <n v="266"/>
    <n v="240"/>
    <n v="226"/>
    <n v="3"/>
    <n v="2"/>
    <n v="194"/>
    <n v="221"/>
    <n v="0"/>
    <n v="0"/>
    <n v="1013"/>
    <n v="1051"/>
    <n v="35945438.616233766"/>
    <n v="40852400.808388941"/>
    <n v="19116410.559782606"/>
    <n v="23421024.79357231"/>
    <n v="16832407.6852699"/>
    <n v="17568415.476121563"/>
    <n v="162915"/>
    <n v="110671"/>
    <n v="9035033.9116647802"/>
    <n v="11085280.675036928"/>
    <n v="0"/>
    <n v="0"/>
    <n v="81092205.772951066"/>
    <n v="93037792.753119737"/>
  </r>
  <r>
    <x v="11"/>
    <s v="University of South Carolina-Columbia"/>
    <m/>
    <n v="218663"/>
    <x v="0"/>
    <n v="279"/>
    <n v="261"/>
    <m/>
    <n v="4"/>
    <n v="65"/>
    <n v="24"/>
    <m/>
    <n v="12"/>
    <n v="335"/>
    <n v="364"/>
    <m/>
    <n v="2"/>
    <n v="29"/>
    <n v="9"/>
    <m/>
    <n v="12"/>
    <n v="293"/>
    <n v="307"/>
    <m/>
    <m/>
    <n v="41"/>
    <n v="4"/>
    <m/>
    <n v="34"/>
    <n v="106"/>
    <n v="105"/>
    <m/>
    <n v="7"/>
    <n v="48"/>
    <n v="20"/>
    <m/>
    <n v="27"/>
    <n v="27"/>
    <n v="27"/>
    <m/>
    <n v="1"/>
    <n v="7"/>
    <n v="4"/>
    <m/>
    <n v="1"/>
    <m/>
    <m/>
    <m/>
    <m/>
    <m/>
    <m/>
    <m/>
    <m/>
    <n v="41945691"/>
    <n v="37313086.3204"/>
    <n v="29803296"/>
    <n v="32795609.1336"/>
    <n v="24734839"/>
    <n v="26492232"/>
    <n v="7454478"/>
    <n v="8638531.3387999982"/>
    <n v="2102231"/>
    <n v="2219563.0288"/>
    <n v="0"/>
    <m/>
    <n v="3226"/>
    <n v="2797"/>
    <n v="3334"/>
    <n v="3539"/>
    <n v="3088"/>
    <n v="3215"/>
    <n v="1482"/>
    <n v="1559"/>
    <n v="320"/>
    <n v="309"/>
    <n v="0"/>
    <n v="0"/>
    <n v="13002.384066955983"/>
    <n v="13340.39553821952"/>
    <n v="8939.2009598080385"/>
    <n v="9266.9141377790329"/>
    <n v="8009.9867227979275"/>
    <n v="8240.1965785381035"/>
    <n v="5030.0121457489877"/>
    <n v="5541.0720582424619"/>
    <n v="6569.4718750000002"/>
    <n v="7183.0518731391585"/>
    <n v="0"/>
    <n v="0"/>
    <n v="117021.45660260385"/>
    <n v="120063.55984397567"/>
    <n v="80452.808638272341"/>
    <n v="83402.2272400113"/>
    <n v="72089.880505181354"/>
    <n v="74161.769206842931"/>
    <n v="45270.109311740889"/>
    <n v="49869.648524182157"/>
    <n v="59125.246875000004"/>
    <n v="64647.466858252425"/>
    <n v="0"/>
    <n v="0"/>
    <n v="83414.698156191487"/>
    <n v="84950.403553427881"/>
    <n v="344"/>
    <n v="301"/>
    <n v="364"/>
    <n v="387"/>
    <n v="334"/>
    <n v="345"/>
    <n v="154"/>
    <n v="159"/>
    <n v="34"/>
    <n v="33"/>
    <n v="0"/>
    <n v="0"/>
    <n v="1230"/>
    <n v="1225"/>
    <n v="40255381.071295723"/>
    <n v="36139131.513036676"/>
    <n v="29284822.34433113"/>
    <n v="32276661.941884372"/>
    <n v="24078020.088730574"/>
    <n v="25585810.376360811"/>
    <n v="6971596.8340080967"/>
    <n v="7929274.115344963"/>
    <n v="2010258.39375"/>
    <n v="2133366.4063223302"/>
    <n v="0"/>
    <n v="0"/>
    <n v="102600078.73211552"/>
    <n v="104064244.35294916"/>
  </r>
  <r>
    <x v="11"/>
    <s v="College of Charleston"/>
    <m/>
    <n v="217819"/>
    <x v="2"/>
    <n v="140"/>
    <n v="138"/>
    <m/>
    <m/>
    <m/>
    <m/>
    <m/>
    <m/>
    <n v="156"/>
    <n v="159"/>
    <m/>
    <m/>
    <m/>
    <m/>
    <m/>
    <m/>
    <n v="165"/>
    <n v="166"/>
    <m/>
    <m/>
    <m/>
    <m/>
    <m/>
    <m/>
    <n v="60"/>
    <n v="56"/>
    <m/>
    <m/>
    <m/>
    <m/>
    <m/>
    <m/>
    <m/>
    <m/>
    <m/>
    <m/>
    <m/>
    <m/>
    <m/>
    <m/>
    <m/>
    <m/>
    <m/>
    <m/>
    <m/>
    <m/>
    <m/>
    <m/>
    <n v="11525920"/>
    <n v="11919681"/>
    <n v="10143432"/>
    <n v="10935201"/>
    <n v="9744900"/>
    <n v="9979132"/>
    <n v="2953380"/>
    <n v="2877009"/>
    <n v="0"/>
    <m/>
    <n v="0"/>
    <m/>
    <n v="1260"/>
    <n v="1242"/>
    <n v="1404"/>
    <n v="1431"/>
    <n v="1485"/>
    <n v="1494"/>
    <n v="540"/>
    <n v="504"/>
    <n v="0"/>
    <n v="0"/>
    <n v="0"/>
    <n v="0"/>
    <n v="9147.5555555555547"/>
    <n v="9597.1666666666661"/>
    <n v="7224.666666666667"/>
    <n v="7641.6498951781969"/>
    <n v="6562.2222222222226"/>
    <n v="6679.472556894244"/>
    <n v="5469.2222222222226"/>
    <n v="5708.3511904761908"/>
    <n v="0"/>
    <n v="0"/>
    <n v="0"/>
    <n v="0"/>
    <n v="82328"/>
    <n v="86374.5"/>
    <n v="65022"/>
    <n v="68774.849056603765"/>
    <n v="59060"/>
    <n v="60115.253012048197"/>
    <n v="49223"/>
    <n v="51375.160714285717"/>
    <n v="0"/>
    <n v="0"/>
    <n v="0"/>
    <n v="0"/>
    <n v="65964.744721689058"/>
    <n v="68807.366088631985"/>
    <n v="140"/>
    <n v="138"/>
    <n v="156"/>
    <n v="159"/>
    <n v="165"/>
    <n v="166"/>
    <n v="60"/>
    <n v="56"/>
    <n v="0"/>
    <n v="0"/>
    <n v="0"/>
    <n v="0"/>
    <n v="521"/>
    <n v="519"/>
    <n v="11525920"/>
    <n v="11919681"/>
    <n v="10143432"/>
    <n v="10935200.999999998"/>
    <n v="9744900"/>
    <n v="9979132"/>
    <n v="2953380"/>
    <n v="2877009"/>
    <n v="0"/>
    <n v="0"/>
    <n v="0"/>
    <n v="0"/>
    <n v="34367632"/>
    <n v="35711023"/>
  </r>
  <r>
    <x v="11"/>
    <s v="Winthrop University "/>
    <m/>
    <n v="218964"/>
    <x v="2"/>
    <n v="76"/>
    <n v="59"/>
    <m/>
    <n v="18"/>
    <n v="1"/>
    <m/>
    <m/>
    <n v="1"/>
    <n v="96"/>
    <n v="97"/>
    <m/>
    <n v="7"/>
    <n v="3"/>
    <m/>
    <m/>
    <n v="2"/>
    <n v="78"/>
    <n v="68"/>
    <m/>
    <m/>
    <n v="1"/>
    <m/>
    <m/>
    <n v="1"/>
    <n v="28"/>
    <n v="27"/>
    <m/>
    <n v="1"/>
    <n v="2"/>
    <m/>
    <m/>
    <n v="2"/>
    <n v="1"/>
    <n v="1"/>
    <m/>
    <m/>
    <m/>
    <m/>
    <m/>
    <m/>
    <m/>
    <m/>
    <m/>
    <m/>
    <m/>
    <m/>
    <m/>
    <m/>
    <n v="5894572"/>
    <n v="6340050.8040000014"/>
    <n v="6440610"/>
    <n v="7018058.7076000003"/>
    <n v="4318166"/>
    <n v="3955167"/>
    <n v="1344098"/>
    <n v="1395792"/>
    <n v="30000"/>
    <n v="25750"/>
    <n v="0"/>
    <m/>
    <n v="695"/>
    <n v="723"/>
    <n v="897"/>
    <n v="967"/>
    <n v="713"/>
    <n v="624"/>
    <n v="274"/>
    <n v="277"/>
    <n v="9"/>
    <n v="9"/>
    <n v="0"/>
    <n v="0"/>
    <n v="8481.3985611510798"/>
    <n v="8769.0882489626583"/>
    <n v="7180.1672240802673"/>
    <n v="7257.5581257497415"/>
    <n v="6056.3338008415149"/>
    <n v="6338.4086538461543"/>
    <n v="4905.4671532846714"/>
    <n v="5038.9602888086647"/>
    <n v="3333.3333333333335"/>
    <n v="2861.1111111111113"/>
    <n v="0"/>
    <n v="0"/>
    <n v="76332.587050359725"/>
    <n v="78921.794240663919"/>
    <n v="64621.505016722404"/>
    <n v="65318.023131747672"/>
    <n v="54507.004207573635"/>
    <n v="57045.67788461539"/>
    <n v="44149.204379562041"/>
    <n v="45350.642599277984"/>
    <n v="30000"/>
    <n v="25750"/>
    <n v="0"/>
    <n v="0"/>
    <n v="62712.124696917468"/>
    <n v="64795.885404062814"/>
    <n v="77"/>
    <n v="78"/>
    <n v="99"/>
    <n v="106"/>
    <n v="79"/>
    <n v="69"/>
    <n v="30"/>
    <n v="30"/>
    <n v="1"/>
    <n v="1"/>
    <n v="0"/>
    <n v="0"/>
    <n v="286"/>
    <n v="284"/>
    <n v="5877609.2028776985"/>
    <n v="6155899.9507717853"/>
    <n v="6397528.9966555182"/>
    <n v="6923710.4519652529"/>
    <n v="4306053.3323983168"/>
    <n v="3936151.774038462"/>
    <n v="1324476.1313868612"/>
    <n v="1360519.2779783395"/>
    <n v="30000"/>
    <n v="25750"/>
    <n v="0"/>
    <n v="0"/>
    <n v="17935667.663318396"/>
    <n v="18402031.454753838"/>
  </r>
  <r>
    <x v="11"/>
    <s v="The Citadel, the Military College of South Carolina "/>
    <s v="Met the criteria for Four-Year 3 in 2011-12 and 2012-13."/>
    <n v="217864"/>
    <x v="3"/>
    <n v="58"/>
    <n v="55"/>
    <m/>
    <m/>
    <m/>
    <m/>
    <m/>
    <m/>
    <n v="52"/>
    <n v="61"/>
    <m/>
    <m/>
    <n v="1"/>
    <m/>
    <m/>
    <m/>
    <n v="64"/>
    <n v="50"/>
    <m/>
    <m/>
    <m/>
    <m/>
    <m/>
    <m/>
    <n v="3"/>
    <n v="16"/>
    <m/>
    <m/>
    <m/>
    <m/>
    <m/>
    <m/>
    <m/>
    <m/>
    <m/>
    <m/>
    <m/>
    <m/>
    <m/>
    <m/>
    <m/>
    <m/>
    <m/>
    <m/>
    <m/>
    <m/>
    <m/>
    <m/>
    <n v="5012302"/>
    <n v="4882605"/>
    <n v="3711830"/>
    <n v="4384066"/>
    <n v="3682240"/>
    <n v="3060252"/>
    <n v="134979"/>
    <n v="838208"/>
    <n v="0"/>
    <m/>
    <n v="0"/>
    <m/>
    <n v="522"/>
    <n v="495"/>
    <n v="479"/>
    <n v="549"/>
    <n v="576"/>
    <n v="450"/>
    <n v="27"/>
    <n v="144"/>
    <n v="0"/>
    <n v="0"/>
    <n v="0"/>
    <n v="0"/>
    <n v="9602.1111111111113"/>
    <n v="9863.8484848484841"/>
    <n v="7749.1231732776614"/>
    <n v="7985.548269581056"/>
    <n v="6392.7777777777774"/>
    <n v="6800.56"/>
    <n v="4999.2222222222226"/>
    <n v="5820.8888888888887"/>
    <n v="0"/>
    <n v="0"/>
    <n v="0"/>
    <n v="0"/>
    <n v="86419"/>
    <n v="88774.636363636353"/>
    <n v="69742.108559498956"/>
    <n v="71869.934426229505"/>
    <n v="57535"/>
    <n v="61205.04"/>
    <n v="44993"/>
    <n v="52388"/>
    <n v="0"/>
    <n v="0"/>
    <n v="0"/>
    <n v="0"/>
    <n v="70369.959290187893"/>
    <n v="72335.88461538461"/>
    <n v="58"/>
    <n v="55"/>
    <n v="53"/>
    <n v="61"/>
    <n v="64"/>
    <n v="50"/>
    <n v="3"/>
    <n v="16"/>
    <n v="0"/>
    <n v="0"/>
    <n v="0"/>
    <n v="0"/>
    <n v="178"/>
    <n v="182"/>
    <n v="5012302"/>
    <n v="4882604.9999999991"/>
    <n v="3696331.7536534448"/>
    <n v="4384066"/>
    <n v="3682240"/>
    <n v="3060252"/>
    <n v="134979"/>
    <n v="838208"/>
    <n v="0"/>
    <n v="0"/>
    <n v="0"/>
    <n v="0"/>
    <n v="12525852.753653444"/>
    <n v="13165130.999999998"/>
  </r>
  <r>
    <x v="11"/>
    <s v="Coastal Carolina University"/>
    <m/>
    <n v="218724"/>
    <x v="4"/>
    <n v="59"/>
    <n v="59"/>
    <m/>
    <m/>
    <n v="4"/>
    <m/>
    <m/>
    <n v="7"/>
    <n v="89"/>
    <n v="94"/>
    <m/>
    <m/>
    <n v="4"/>
    <m/>
    <m/>
    <n v="1"/>
    <n v="104"/>
    <n v="119"/>
    <m/>
    <m/>
    <m/>
    <m/>
    <m/>
    <m/>
    <n v="11"/>
    <n v="10"/>
    <m/>
    <m/>
    <n v="2"/>
    <m/>
    <m/>
    <n v="2"/>
    <n v="75"/>
    <n v="85"/>
    <m/>
    <m/>
    <n v="7"/>
    <m/>
    <m/>
    <n v="6"/>
    <m/>
    <m/>
    <m/>
    <m/>
    <m/>
    <m/>
    <m/>
    <m/>
    <n v="5387015"/>
    <n v="5888025"/>
    <n v="6632605"/>
    <n v="6703890"/>
    <n v="6056336"/>
    <n v="7139880"/>
    <n v="623799"/>
    <n v="594726"/>
    <n v="3464985"/>
    <n v="3979073"/>
    <n v="0"/>
    <m/>
    <n v="575"/>
    <n v="615"/>
    <n v="845"/>
    <n v="858"/>
    <n v="936"/>
    <n v="1071"/>
    <n v="121"/>
    <n v="114"/>
    <n v="752"/>
    <n v="837"/>
    <n v="0"/>
    <n v="0"/>
    <n v="9368.7217391304348"/>
    <n v="9574.0243902439033"/>
    <n v="7849.2366863905327"/>
    <n v="7813.3916083916083"/>
    <n v="6470.4444444444443"/>
    <n v="6666.5546218487398"/>
    <n v="5155.363636363636"/>
    <n v="5216.894736842105"/>
    <n v="4607.692819148936"/>
    <n v="4753.9701314217446"/>
    <n v="0"/>
    <n v="0"/>
    <n v="84318.495652173908"/>
    <n v="86166.219512195123"/>
    <n v="70643.130177514788"/>
    <n v="70320.524475524478"/>
    <n v="58234"/>
    <n v="59998.991596638662"/>
    <n v="46398.272727272721"/>
    <n v="46952.052631578947"/>
    <n v="41469.235372340423"/>
    <n v="42785.731182795702"/>
    <n v="0"/>
    <n v="0"/>
    <n v="61808.076559386747"/>
    <n v="62569.781937840897"/>
    <n v="63"/>
    <n v="66"/>
    <n v="93"/>
    <n v="95"/>
    <n v="104"/>
    <n v="119"/>
    <n v="13"/>
    <n v="12"/>
    <n v="82"/>
    <n v="91"/>
    <n v="0"/>
    <n v="0"/>
    <n v="355"/>
    <n v="383"/>
    <n v="5312065.2260869564"/>
    <n v="5686970.4878048785"/>
    <n v="6569811.1065088753"/>
    <n v="6680449.8251748253"/>
    <n v="6056336"/>
    <n v="7139880.0000000009"/>
    <n v="603177.54545454541"/>
    <n v="563424.63157894742"/>
    <n v="3400477.3005319145"/>
    <n v="3893501.537634409"/>
    <n v="0"/>
    <n v="0"/>
    <n v="21941867.178582296"/>
    <n v="23964226.482193064"/>
  </r>
  <r>
    <x v="11"/>
    <s v="Francis Marion University "/>
    <m/>
    <n v="218061"/>
    <x v="4"/>
    <n v="52"/>
    <n v="47"/>
    <m/>
    <n v="6"/>
    <n v="6"/>
    <m/>
    <m/>
    <n v="5"/>
    <n v="50"/>
    <n v="54"/>
    <m/>
    <n v="2"/>
    <n v="1"/>
    <m/>
    <m/>
    <n v="1"/>
    <n v="72"/>
    <n v="71"/>
    <m/>
    <m/>
    <m/>
    <m/>
    <m/>
    <n v="1"/>
    <n v="15"/>
    <n v="18"/>
    <m/>
    <m/>
    <m/>
    <m/>
    <m/>
    <m/>
    <m/>
    <m/>
    <m/>
    <m/>
    <m/>
    <m/>
    <m/>
    <m/>
    <m/>
    <m/>
    <m/>
    <m/>
    <m/>
    <m/>
    <m/>
    <m/>
    <n v="4559982"/>
    <n v="4813185.0159999998"/>
    <n v="3118860"/>
    <n v="3638737.3680000002"/>
    <n v="3896928"/>
    <n v="4048339"/>
    <n v="726405"/>
    <n v="893019"/>
    <n v="0"/>
    <m/>
    <n v="0"/>
    <m/>
    <n v="534"/>
    <n v="543"/>
    <n v="461"/>
    <n v="518"/>
    <n v="648"/>
    <n v="651"/>
    <n v="135"/>
    <n v="162"/>
    <n v="0"/>
    <n v="0"/>
    <n v="0"/>
    <n v="0"/>
    <n v="8539.2921348314612"/>
    <n v="8864.060802946593"/>
    <n v="6765.4229934924078"/>
    <n v="7024.5895135135142"/>
    <n v="6013.7777777777774"/>
    <n v="6218.6466973886327"/>
    <n v="5380.7777777777774"/>
    <n v="5512.4629629629626"/>
    <n v="0"/>
    <n v="0"/>
    <n v="0"/>
    <n v="0"/>
    <n v="76853.629213483146"/>
    <n v="79776.547226519338"/>
    <n v="60888.806941431671"/>
    <n v="63221.305621621628"/>
    <n v="54124"/>
    <n v="55967.820276497696"/>
    <n v="48427"/>
    <n v="49612.166666666664"/>
    <n v="0"/>
    <n v="0"/>
    <n v="0"/>
    <n v="0"/>
    <n v="62174.350246913462"/>
    <n v="64162.713265748229"/>
    <n v="58"/>
    <n v="58"/>
    <n v="51"/>
    <n v="57"/>
    <n v="72"/>
    <n v="72"/>
    <n v="15"/>
    <n v="18"/>
    <n v="0"/>
    <n v="0"/>
    <n v="0"/>
    <n v="0"/>
    <n v="196"/>
    <n v="205"/>
    <n v="4457510.4943820229"/>
    <n v="4627039.7391381217"/>
    <n v="3105329.1540130153"/>
    <n v="3603614.420432433"/>
    <n v="3896928"/>
    <n v="4029683.059907834"/>
    <n v="726405"/>
    <n v="893019"/>
    <n v="0"/>
    <n v="0"/>
    <n v="0"/>
    <n v="0"/>
    <n v="12186172.648395039"/>
    <n v="13153356.219478387"/>
  </r>
  <r>
    <x v="11"/>
    <s v="South Carolina State University "/>
    <m/>
    <n v="218733"/>
    <x v="4"/>
    <n v="36"/>
    <n v="37"/>
    <m/>
    <m/>
    <n v="9"/>
    <m/>
    <m/>
    <n v="9"/>
    <n v="49"/>
    <n v="53"/>
    <m/>
    <m/>
    <n v="10"/>
    <m/>
    <m/>
    <n v="12"/>
    <n v="69"/>
    <n v="56"/>
    <m/>
    <m/>
    <n v="7"/>
    <m/>
    <m/>
    <n v="7"/>
    <n v="25"/>
    <n v="27"/>
    <m/>
    <m/>
    <n v="8"/>
    <m/>
    <m/>
    <n v="6"/>
    <m/>
    <m/>
    <m/>
    <m/>
    <n v="3"/>
    <m/>
    <m/>
    <m/>
    <m/>
    <m/>
    <m/>
    <m/>
    <m/>
    <m/>
    <m/>
    <m/>
    <n v="3462975"/>
    <n v="3550935"/>
    <n v="3906134"/>
    <n v="4429115"/>
    <n v="4323426"/>
    <n v="3718068"/>
    <n v="1563814"/>
    <n v="1656018"/>
    <n v="136146"/>
    <m/>
    <n v="0"/>
    <m/>
    <n v="423"/>
    <n v="441"/>
    <n v="551"/>
    <n v="621"/>
    <n v="698"/>
    <n v="588"/>
    <n v="313"/>
    <n v="315"/>
    <n v="33"/>
    <n v="0"/>
    <n v="0"/>
    <n v="0"/>
    <n v="8186.7021276595742"/>
    <n v="8052.0068027210882"/>
    <n v="7089.1724137931033"/>
    <n v="7132.2302737520131"/>
    <n v="6194.0200573065904"/>
    <n v="6323.2448979591836"/>
    <n v="4996.2108626198087"/>
    <n v="5257.2"/>
    <n v="4125.636363636364"/>
    <n v="0"/>
    <n v="0"/>
    <n v="0"/>
    <n v="73680.319148936163"/>
    <n v="72468.061224489793"/>
    <n v="63802.551724137928"/>
    <n v="64190.07246376812"/>
    <n v="55746.180515759312"/>
    <n v="56909.204081632655"/>
    <n v="44965.897763578279"/>
    <n v="47314.799999999996"/>
    <n v="37130.727272727279"/>
    <n v="0"/>
    <n v="0"/>
    <n v="0"/>
    <n v="59777.506669630726"/>
    <n v="61123.448230020855"/>
    <n v="45"/>
    <n v="46"/>
    <n v="59"/>
    <n v="65"/>
    <n v="76"/>
    <n v="63"/>
    <n v="33"/>
    <n v="33"/>
    <n v="3"/>
    <n v="0"/>
    <n v="0"/>
    <n v="0"/>
    <n v="216"/>
    <n v="207"/>
    <n v="3315614.3617021274"/>
    <n v="3333530.8163265307"/>
    <n v="3764350.5517241377"/>
    <n v="4172354.7101449277"/>
    <n v="4236709.7191977073"/>
    <n v="3585279.8571428573"/>
    <n v="1483874.6261980832"/>
    <n v="1561388.4"/>
    <n v="111392.18181818184"/>
    <n v="0"/>
    <n v="0"/>
    <n v="0"/>
    <n v="12911941.440640237"/>
    <n v="12652553.783614317"/>
  </r>
  <r>
    <x v="11"/>
    <s v="Lander University"/>
    <m/>
    <n v="218229"/>
    <x v="5"/>
    <n v="14"/>
    <n v="13"/>
    <m/>
    <m/>
    <n v="1"/>
    <m/>
    <m/>
    <n v="1"/>
    <n v="33"/>
    <n v="35"/>
    <m/>
    <m/>
    <n v="3"/>
    <m/>
    <m/>
    <n v="3"/>
    <n v="50"/>
    <n v="54"/>
    <m/>
    <m/>
    <m/>
    <m/>
    <m/>
    <n v="1"/>
    <n v="32"/>
    <n v="31"/>
    <m/>
    <n v="1"/>
    <m/>
    <m/>
    <m/>
    <m/>
    <n v="2"/>
    <n v="6"/>
    <m/>
    <m/>
    <n v="3"/>
    <m/>
    <m/>
    <n v="3"/>
    <m/>
    <m/>
    <m/>
    <m/>
    <m/>
    <m/>
    <m/>
    <m/>
    <n v="1042273"/>
    <n v="1007204"/>
    <n v="1954905"/>
    <n v="2093129"/>
    <n v="2471550"/>
    <n v="2857660"/>
    <n v="1294656"/>
    <n v="1322483"/>
    <n v="221952"/>
    <n v="387380"/>
    <n v="0"/>
    <m/>
    <n v="137"/>
    <n v="129"/>
    <n v="330"/>
    <n v="351"/>
    <n v="450"/>
    <n v="498"/>
    <n v="288"/>
    <n v="289"/>
    <n v="51"/>
    <n v="90"/>
    <n v="0"/>
    <n v="0"/>
    <n v="7607.8321167883214"/>
    <n v="7807.7829457364342"/>
    <n v="5923.954545454545"/>
    <n v="5963.3304843304841"/>
    <n v="5492.333333333333"/>
    <n v="5738.273092369478"/>
    <n v="4495.333333333333"/>
    <n v="4576.0657439446368"/>
    <n v="4352"/>
    <n v="4304.2222222222226"/>
    <n v="0"/>
    <n v="0"/>
    <n v="68470.48905109489"/>
    <n v="70270.046511627908"/>
    <n v="53315.590909090904"/>
    <n v="53669.974358974359"/>
    <n v="49431"/>
    <n v="51644.457831325301"/>
    <n v="40458"/>
    <n v="41184.591695501731"/>
    <n v="39168"/>
    <n v="38738"/>
    <n v="0"/>
    <n v="0"/>
    <n v="50061.337742707939"/>
    <n v="50879.95805258624"/>
    <n v="15"/>
    <n v="14"/>
    <n v="36"/>
    <n v="38"/>
    <n v="50"/>
    <n v="55"/>
    <n v="32"/>
    <n v="32"/>
    <n v="5"/>
    <n v="9"/>
    <n v="0"/>
    <n v="0"/>
    <n v="138"/>
    <n v="148"/>
    <n v="1027057.3357664234"/>
    <n v="983780.65116279072"/>
    <n v="1919361.2727272725"/>
    <n v="2039459.0256410257"/>
    <n v="2471550"/>
    <n v="2840445.1807228914"/>
    <n v="1294656"/>
    <n v="1317906.9342560554"/>
    <n v="195840"/>
    <n v="348642"/>
    <n v="0"/>
    <n v="0"/>
    <n v="6908464.608493696"/>
    <n v="7530233.7917827638"/>
  </r>
  <r>
    <x v="11"/>
    <s v="University of South Carolina-Aiken"/>
    <m/>
    <n v="218645"/>
    <x v="5"/>
    <n v="23"/>
    <n v="23"/>
    <m/>
    <n v="1"/>
    <n v="7"/>
    <m/>
    <m/>
    <m/>
    <n v="31"/>
    <n v="28"/>
    <m/>
    <m/>
    <n v="8"/>
    <m/>
    <m/>
    <n v="1"/>
    <n v="36"/>
    <n v="37"/>
    <m/>
    <m/>
    <n v="3"/>
    <n v="1"/>
    <m/>
    <m/>
    <n v="40"/>
    <n v="38"/>
    <m/>
    <m/>
    <n v="3"/>
    <m/>
    <m/>
    <n v="2"/>
    <m/>
    <m/>
    <m/>
    <m/>
    <m/>
    <m/>
    <m/>
    <m/>
    <m/>
    <m/>
    <m/>
    <m/>
    <m/>
    <m/>
    <m/>
    <m/>
    <n v="2332266"/>
    <n v="1883855.5759999999"/>
    <n v="2390874"/>
    <n v="1700819"/>
    <n v="2054877"/>
    <n v="2071371"/>
    <n v="1815561"/>
    <n v="1802725"/>
    <n v="0"/>
    <m/>
    <n v="0"/>
    <m/>
    <n v="284"/>
    <n v="217"/>
    <n v="367"/>
    <n v="264"/>
    <n v="357"/>
    <n v="344"/>
    <n v="393"/>
    <n v="366"/>
    <n v="0"/>
    <n v="0"/>
    <n v="0"/>
    <n v="0"/>
    <n v="8212.2042253521122"/>
    <n v="8681.3621013824886"/>
    <n v="6514.6430517711169"/>
    <n v="6442.496212121212"/>
    <n v="5755.957983193277"/>
    <n v="6021.4273255813951"/>
    <n v="4619.7480916030536"/>
    <n v="4925.478142076503"/>
    <n v="0"/>
    <n v="0"/>
    <n v="0"/>
    <n v="0"/>
    <n v="73909.838028169004"/>
    <n v="78132.258912442398"/>
    <n v="58631.787465940055"/>
    <n v="57982.465909090912"/>
    <n v="51803.621848739494"/>
    <n v="54192.845930232557"/>
    <n v="41577.732824427483"/>
    <n v="44329.303278688531"/>
    <n v="0"/>
    <n v="0"/>
    <n v="0"/>
    <n v="0"/>
    <n v="55047.14314945665"/>
    <n v="56405.847341668945"/>
    <n v="30"/>
    <n v="24"/>
    <n v="39"/>
    <n v="29"/>
    <n v="39"/>
    <n v="38"/>
    <n v="43"/>
    <n v="40"/>
    <n v="0"/>
    <n v="0"/>
    <n v="0"/>
    <n v="0"/>
    <n v="151"/>
    <n v="131"/>
    <n v="2217295.1408450701"/>
    <n v="1875174.2138986175"/>
    <n v="2286639.711171662"/>
    <n v="1681491.5113636365"/>
    <n v="2020341.2521008402"/>
    <n v="2059328.1453488371"/>
    <n v="1787842.5114503817"/>
    <n v="1773172.1311475411"/>
    <n v="0"/>
    <n v="0"/>
    <n v="0"/>
    <n v="0"/>
    <n v="8312118.6155679543"/>
    <n v="7389166.0017586313"/>
  </r>
  <r>
    <x v="11"/>
    <s v="University of South Carolina-Beaufort"/>
    <m/>
    <n v="218742"/>
    <x v="5"/>
    <n v="6"/>
    <n v="6"/>
    <m/>
    <m/>
    <n v="5"/>
    <n v="3"/>
    <m/>
    <m/>
    <n v="14"/>
    <n v="12"/>
    <m/>
    <m/>
    <n v="2"/>
    <m/>
    <m/>
    <m/>
    <n v="17"/>
    <n v="22"/>
    <m/>
    <m/>
    <m/>
    <m/>
    <m/>
    <m/>
    <n v="18"/>
    <n v="16"/>
    <m/>
    <m/>
    <n v="1"/>
    <n v="1"/>
    <m/>
    <m/>
    <m/>
    <m/>
    <m/>
    <m/>
    <m/>
    <m/>
    <m/>
    <m/>
    <m/>
    <m/>
    <m/>
    <m/>
    <m/>
    <m/>
    <m/>
    <m/>
    <n v="879912"/>
    <n v="743473"/>
    <n v="984538"/>
    <n v="731393"/>
    <n v="920006"/>
    <n v="1209165"/>
    <n v="901832"/>
    <n v="800169"/>
    <n v="0"/>
    <m/>
    <n v="0"/>
    <m/>
    <n v="109"/>
    <n v="87"/>
    <n v="148"/>
    <n v="108"/>
    <n v="153"/>
    <n v="198"/>
    <n v="173"/>
    <n v="155"/>
    <n v="0"/>
    <n v="0"/>
    <n v="0"/>
    <n v="0"/>
    <n v="8072.5871559633024"/>
    <n v="8545.6666666666661"/>
    <n v="6652.2837837837842"/>
    <n v="6772.1574074074078"/>
    <n v="6013.1111111111113"/>
    <n v="6106.893939393939"/>
    <n v="5212.9017341040462"/>
    <n v="5162.38064516129"/>
    <n v="0"/>
    <n v="0"/>
    <n v="0"/>
    <n v="0"/>
    <n v="72653.284403669721"/>
    <n v="76911"/>
    <n v="59870.554054054061"/>
    <n v="60949.416666666672"/>
    <n v="54118"/>
    <n v="54962.045454545449"/>
    <n v="46916.115606936415"/>
    <n v="46461.425806451611"/>
    <n v="0"/>
    <n v="0"/>
    <n v="0"/>
    <n v="0"/>
    <n v="56643.288727571802"/>
    <n v="57043.353978494626"/>
    <n v="11"/>
    <n v="9"/>
    <n v="16"/>
    <n v="12"/>
    <n v="17"/>
    <n v="22"/>
    <n v="19"/>
    <n v="17"/>
    <n v="0"/>
    <n v="0"/>
    <n v="0"/>
    <n v="0"/>
    <n v="63"/>
    <n v="60"/>
    <n v="799186.12844036694"/>
    <n v="692199"/>
    <n v="957928.86486486497"/>
    <n v="731393"/>
    <n v="920006"/>
    <n v="1209164.9999999998"/>
    <n v="891406.19653179194"/>
    <n v="789844.23870967736"/>
    <n v="0"/>
    <n v="0"/>
    <n v="0"/>
    <n v="0"/>
    <n v="3568527.1898370236"/>
    <n v="3422601.2387096775"/>
  </r>
  <r>
    <x v="11"/>
    <s v="University of South Carolina-Upstate"/>
    <m/>
    <n v="218654"/>
    <x v="5"/>
    <n v="22"/>
    <n v="19"/>
    <m/>
    <m/>
    <n v="7"/>
    <m/>
    <m/>
    <n v="3"/>
    <n v="36"/>
    <n v="45"/>
    <m/>
    <m/>
    <n v="7"/>
    <m/>
    <m/>
    <n v="5"/>
    <n v="67"/>
    <n v="57"/>
    <m/>
    <m/>
    <n v="2"/>
    <m/>
    <m/>
    <n v="3"/>
    <n v="60"/>
    <n v="66"/>
    <m/>
    <n v="1"/>
    <n v="2"/>
    <m/>
    <m/>
    <n v="2"/>
    <m/>
    <m/>
    <m/>
    <m/>
    <m/>
    <m/>
    <m/>
    <m/>
    <m/>
    <m/>
    <m/>
    <m/>
    <m/>
    <m/>
    <m/>
    <m/>
    <n v="2229521"/>
    <n v="1714010"/>
    <n v="2730572"/>
    <n v="3183478"/>
    <n v="3606580"/>
    <n v="3237658"/>
    <n v="2921974"/>
    <n v="3339647.7207999998"/>
    <n v="0"/>
    <m/>
    <n v="0"/>
    <m/>
    <n v="275"/>
    <n v="207"/>
    <n v="401"/>
    <n v="465"/>
    <n v="625"/>
    <n v="549"/>
    <n v="562"/>
    <n v="628"/>
    <n v="0"/>
    <n v="0"/>
    <n v="0"/>
    <n v="0"/>
    <n v="8107.3490909090906"/>
    <n v="8280.2415458937194"/>
    <n v="6809.4064837905235"/>
    <n v="6846.1892473118278"/>
    <n v="5770.5280000000002"/>
    <n v="5897.3734061930782"/>
    <n v="5199.241992882562"/>
    <n v="5317.91038343949"/>
    <n v="0"/>
    <n v="0"/>
    <n v="0"/>
    <n v="0"/>
    <n v="72966.141818181815"/>
    <n v="74522.173913043473"/>
    <n v="61284.658354114712"/>
    <n v="61615.70322580645"/>
    <n v="51934.752"/>
    <n v="53076.360655737706"/>
    <n v="46793.177935943058"/>
    <n v="47861.193450955412"/>
    <n v="0"/>
    <n v="0"/>
    <n v="0"/>
    <n v="0"/>
    <n v="55349.425329963917"/>
    <n v="55757.596889738626"/>
    <n v="29"/>
    <n v="22"/>
    <n v="43"/>
    <n v="50"/>
    <n v="69"/>
    <n v="60"/>
    <n v="62"/>
    <n v="69"/>
    <n v="0"/>
    <n v="0"/>
    <n v="0"/>
    <n v="0"/>
    <n v="203"/>
    <n v="201"/>
    <n v="2116018.1127272728"/>
    <n v="1639487.8260869563"/>
    <n v="2635240.3092269325"/>
    <n v="3080785.1612903224"/>
    <n v="3583497.8879999998"/>
    <n v="3184581.6393442624"/>
    <n v="2901177.0320284697"/>
    <n v="3302422.3481159233"/>
    <n v="0"/>
    <n v="0"/>
    <n v="0"/>
    <n v="0"/>
    <n v="11235933.341982676"/>
    <n v="11207276.974837463"/>
  </r>
  <r>
    <x v="11"/>
    <s v="Greenville Technical College "/>
    <m/>
    <n v="218113"/>
    <x v="6"/>
    <m/>
    <m/>
    <m/>
    <m/>
    <m/>
    <m/>
    <m/>
    <m/>
    <m/>
    <m/>
    <m/>
    <m/>
    <m/>
    <m/>
    <m/>
    <m/>
    <m/>
    <m/>
    <m/>
    <m/>
    <m/>
    <m/>
    <m/>
    <m/>
    <m/>
    <m/>
    <m/>
    <m/>
    <m/>
    <m/>
    <m/>
    <m/>
    <n v="337"/>
    <n v="349"/>
    <m/>
    <m/>
    <m/>
    <m/>
    <m/>
    <m/>
    <m/>
    <m/>
    <m/>
    <m/>
    <m/>
    <m/>
    <m/>
    <m/>
    <n v="0"/>
    <m/>
    <n v="0"/>
    <m/>
    <n v="0"/>
    <m/>
    <n v="0"/>
    <m/>
    <n v="15550865"/>
    <n v="16756344"/>
    <n v="0"/>
    <m/>
    <n v="0"/>
    <n v="0"/>
    <n v="0"/>
    <n v="0"/>
    <n v="0"/>
    <n v="0"/>
    <n v="0"/>
    <n v="0"/>
    <n v="3033"/>
    <n v="3141"/>
    <n v="0"/>
    <n v="0"/>
    <n v="0"/>
    <n v="0"/>
    <n v="0"/>
    <n v="0"/>
    <n v="0"/>
    <n v="0"/>
    <n v="0"/>
    <n v="0"/>
    <n v="5127.2222222222226"/>
    <n v="5334.7163323782233"/>
    <n v="0"/>
    <n v="0"/>
    <n v="0"/>
    <n v="0"/>
    <n v="0"/>
    <n v="0"/>
    <n v="0"/>
    <n v="0"/>
    <n v="0"/>
    <n v="0"/>
    <n v="46145"/>
    <n v="48012.446991404009"/>
    <n v="0"/>
    <n v="0"/>
    <n v="46145"/>
    <n v="48012.446991404009"/>
    <n v="0"/>
    <n v="0"/>
    <n v="0"/>
    <n v="0"/>
    <n v="0"/>
    <n v="0"/>
    <n v="0"/>
    <n v="0"/>
    <n v="337"/>
    <n v="349"/>
    <n v="0"/>
    <n v="0"/>
    <n v="337"/>
    <n v="349"/>
    <n v="0"/>
    <n v="0"/>
    <n v="0"/>
    <n v="0"/>
    <n v="0"/>
    <n v="0"/>
    <n v="0"/>
    <n v="0"/>
    <n v="15550865"/>
    <n v="16756344"/>
    <n v="0"/>
    <n v="0"/>
    <n v="15550865"/>
    <n v="16756344"/>
  </r>
  <r>
    <x v="11"/>
    <s v="Horry-Georgetown Technical College "/>
    <m/>
    <n v="218140"/>
    <x v="6"/>
    <m/>
    <m/>
    <m/>
    <m/>
    <m/>
    <m/>
    <m/>
    <m/>
    <m/>
    <m/>
    <m/>
    <m/>
    <m/>
    <m/>
    <m/>
    <m/>
    <m/>
    <m/>
    <m/>
    <m/>
    <m/>
    <m/>
    <m/>
    <m/>
    <m/>
    <m/>
    <m/>
    <m/>
    <m/>
    <m/>
    <m/>
    <m/>
    <n v="143"/>
    <n v="148"/>
    <m/>
    <m/>
    <m/>
    <m/>
    <m/>
    <m/>
    <m/>
    <m/>
    <m/>
    <m/>
    <m/>
    <m/>
    <m/>
    <m/>
    <n v="0"/>
    <m/>
    <n v="0"/>
    <m/>
    <n v="0"/>
    <m/>
    <n v="0"/>
    <m/>
    <n v="7067918"/>
    <n v="7509807"/>
    <n v="0"/>
    <m/>
    <n v="0"/>
    <n v="0"/>
    <n v="0"/>
    <n v="0"/>
    <n v="0"/>
    <n v="0"/>
    <n v="0"/>
    <n v="0"/>
    <n v="1287"/>
    <n v="1332"/>
    <n v="0"/>
    <n v="0"/>
    <n v="0"/>
    <n v="0"/>
    <n v="0"/>
    <n v="0"/>
    <n v="0"/>
    <n v="0"/>
    <n v="0"/>
    <n v="0"/>
    <n v="5491.7777777777774"/>
    <n v="5637.9932432432433"/>
    <n v="0"/>
    <n v="0"/>
    <n v="0"/>
    <n v="0"/>
    <n v="0"/>
    <n v="0"/>
    <n v="0"/>
    <n v="0"/>
    <n v="0"/>
    <n v="0"/>
    <n v="49426"/>
    <n v="50741.939189189186"/>
    <n v="0"/>
    <n v="0"/>
    <n v="49426"/>
    <n v="50741.939189189186"/>
    <n v="0"/>
    <n v="0"/>
    <n v="0"/>
    <n v="0"/>
    <n v="0"/>
    <n v="0"/>
    <n v="0"/>
    <n v="0"/>
    <n v="143"/>
    <n v="148"/>
    <n v="0"/>
    <n v="0"/>
    <n v="143"/>
    <n v="148"/>
    <n v="0"/>
    <n v="0"/>
    <n v="0"/>
    <n v="0"/>
    <n v="0"/>
    <n v="0"/>
    <n v="0"/>
    <n v="0"/>
    <n v="7067918"/>
    <n v="7509807"/>
    <n v="0"/>
    <n v="0"/>
    <n v="7067918"/>
    <n v="7509807"/>
  </r>
  <r>
    <x v="11"/>
    <s v="Midlands Technical College "/>
    <m/>
    <n v="218353"/>
    <x v="6"/>
    <m/>
    <m/>
    <m/>
    <m/>
    <m/>
    <m/>
    <m/>
    <m/>
    <m/>
    <m/>
    <m/>
    <m/>
    <m/>
    <m/>
    <m/>
    <m/>
    <m/>
    <m/>
    <m/>
    <m/>
    <m/>
    <m/>
    <m/>
    <m/>
    <m/>
    <m/>
    <m/>
    <m/>
    <m/>
    <m/>
    <m/>
    <m/>
    <n v="214"/>
    <n v="217"/>
    <m/>
    <m/>
    <m/>
    <m/>
    <m/>
    <m/>
    <m/>
    <m/>
    <m/>
    <m/>
    <m/>
    <m/>
    <m/>
    <m/>
    <n v="0"/>
    <m/>
    <n v="0"/>
    <m/>
    <n v="0"/>
    <m/>
    <n v="0"/>
    <m/>
    <n v="10613330"/>
    <n v="11540476"/>
    <n v="0"/>
    <m/>
    <n v="0"/>
    <n v="0"/>
    <n v="0"/>
    <n v="0"/>
    <n v="0"/>
    <n v="0"/>
    <n v="0"/>
    <n v="0"/>
    <n v="1926"/>
    <n v="1953"/>
    <n v="0"/>
    <n v="0"/>
    <n v="0"/>
    <n v="0"/>
    <n v="0"/>
    <n v="0"/>
    <n v="0"/>
    <n v="0"/>
    <n v="0"/>
    <n v="0"/>
    <n v="5510.5555555555557"/>
    <n v="5909.1018945212491"/>
    <n v="0"/>
    <n v="0"/>
    <n v="0"/>
    <n v="0"/>
    <n v="0"/>
    <n v="0"/>
    <n v="0"/>
    <n v="0"/>
    <n v="0"/>
    <n v="0"/>
    <n v="49595"/>
    <n v="53181.917050691241"/>
    <n v="0"/>
    <n v="0"/>
    <n v="49595"/>
    <n v="53181.917050691241"/>
    <n v="0"/>
    <n v="0"/>
    <n v="0"/>
    <n v="0"/>
    <n v="0"/>
    <n v="0"/>
    <n v="0"/>
    <n v="0"/>
    <n v="214"/>
    <n v="217"/>
    <n v="0"/>
    <n v="0"/>
    <n v="214"/>
    <n v="217"/>
    <n v="0"/>
    <n v="0"/>
    <n v="0"/>
    <n v="0"/>
    <n v="0"/>
    <n v="0"/>
    <n v="0"/>
    <n v="0"/>
    <n v="10613330"/>
    <n v="11540476"/>
    <n v="0"/>
    <n v="0"/>
    <n v="10613330"/>
    <n v="11540476"/>
  </r>
  <r>
    <x v="11"/>
    <s v="Tri-County Technical College "/>
    <m/>
    <n v="218885"/>
    <x v="6"/>
    <m/>
    <m/>
    <m/>
    <m/>
    <m/>
    <m/>
    <m/>
    <m/>
    <m/>
    <m/>
    <m/>
    <m/>
    <m/>
    <m/>
    <m/>
    <m/>
    <m/>
    <m/>
    <m/>
    <m/>
    <m/>
    <m/>
    <m/>
    <m/>
    <m/>
    <m/>
    <m/>
    <m/>
    <m/>
    <m/>
    <m/>
    <m/>
    <n v="138"/>
    <n v="131"/>
    <m/>
    <m/>
    <m/>
    <m/>
    <m/>
    <m/>
    <m/>
    <m/>
    <m/>
    <m/>
    <m/>
    <m/>
    <m/>
    <m/>
    <n v="0"/>
    <m/>
    <n v="0"/>
    <m/>
    <n v="0"/>
    <m/>
    <n v="0"/>
    <m/>
    <n v="5910402"/>
    <n v="5841791"/>
    <n v="0"/>
    <m/>
    <n v="0"/>
    <n v="0"/>
    <n v="0"/>
    <n v="0"/>
    <n v="0"/>
    <n v="0"/>
    <n v="0"/>
    <n v="0"/>
    <n v="1242"/>
    <n v="1179"/>
    <n v="0"/>
    <n v="0"/>
    <n v="0"/>
    <n v="0"/>
    <n v="0"/>
    <n v="0"/>
    <n v="0"/>
    <n v="0"/>
    <n v="0"/>
    <n v="0"/>
    <n v="4758.7777777777774"/>
    <n v="4954.8693808312128"/>
    <n v="0"/>
    <n v="0"/>
    <n v="0"/>
    <n v="0"/>
    <n v="0"/>
    <n v="0"/>
    <n v="0"/>
    <n v="0"/>
    <n v="0"/>
    <n v="0"/>
    <n v="42829"/>
    <n v="44593.824427480911"/>
    <n v="0"/>
    <n v="0"/>
    <n v="42829"/>
    <n v="44593.824427480911"/>
    <n v="0"/>
    <n v="0"/>
    <n v="0"/>
    <n v="0"/>
    <n v="0"/>
    <n v="0"/>
    <n v="0"/>
    <n v="0"/>
    <n v="138"/>
    <n v="131"/>
    <n v="0"/>
    <n v="0"/>
    <n v="138"/>
    <n v="131"/>
    <n v="0"/>
    <n v="0"/>
    <n v="0"/>
    <n v="0"/>
    <n v="0"/>
    <n v="0"/>
    <n v="0"/>
    <n v="0"/>
    <n v="5910402"/>
    <n v="5841790.9999999991"/>
    <n v="0"/>
    <n v="0"/>
    <n v="5910402"/>
    <n v="5841790.9999999991"/>
  </r>
  <r>
    <x v="11"/>
    <s v="Trident Technical College "/>
    <m/>
    <n v="218894"/>
    <x v="6"/>
    <m/>
    <m/>
    <m/>
    <m/>
    <m/>
    <m/>
    <m/>
    <m/>
    <m/>
    <m/>
    <m/>
    <m/>
    <m/>
    <m/>
    <m/>
    <m/>
    <m/>
    <m/>
    <m/>
    <m/>
    <m/>
    <m/>
    <m/>
    <m/>
    <m/>
    <m/>
    <m/>
    <m/>
    <m/>
    <m/>
    <m/>
    <m/>
    <n v="316"/>
    <n v="326"/>
    <m/>
    <m/>
    <m/>
    <m/>
    <m/>
    <m/>
    <m/>
    <m/>
    <m/>
    <m/>
    <m/>
    <m/>
    <m/>
    <m/>
    <n v="0"/>
    <m/>
    <n v="0"/>
    <m/>
    <n v="0"/>
    <m/>
    <n v="0"/>
    <m/>
    <n v="15089632"/>
    <n v="15864962"/>
    <n v="0"/>
    <m/>
    <n v="0"/>
    <n v="0"/>
    <n v="0"/>
    <n v="0"/>
    <n v="0"/>
    <n v="0"/>
    <n v="0"/>
    <n v="0"/>
    <n v="2844"/>
    <n v="2934"/>
    <n v="0"/>
    <n v="0"/>
    <n v="0"/>
    <n v="0"/>
    <n v="0"/>
    <n v="0"/>
    <n v="0"/>
    <n v="0"/>
    <n v="0"/>
    <n v="0"/>
    <n v="5305.7777777777774"/>
    <n v="5407.2808452624404"/>
    <n v="0"/>
    <n v="0"/>
    <n v="0"/>
    <n v="0"/>
    <n v="0"/>
    <n v="0"/>
    <n v="0"/>
    <n v="0"/>
    <n v="0"/>
    <n v="0"/>
    <n v="47752"/>
    <n v="48665.527607361961"/>
    <n v="0"/>
    <n v="0"/>
    <n v="47752"/>
    <n v="48665.527607361961"/>
    <n v="0"/>
    <n v="0"/>
    <n v="0"/>
    <n v="0"/>
    <n v="0"/>
    <n v="0"/>
    <n v="0"/>
    <n v="0"/>
    <n v="316"/>
    <n v="326"/>
    <n v="0"/>
    <n v="0"/>
    <n v="316"/>
    <n v="326"/>
    <n v="0"/>
    <n v="0"/>
    <n v="0"/>
    <n v="0"/>
    <n v="0"/>
    <n v="0"/>
    <n v="0"/>
    <n v="0"/>
    <n v="15089632"/>
    <n v="15864962"/>
    <n v="0"/>
    <n v="0"/>
    <n v="15089632"/>
    <n v="15864962"/>
  </r>
  <r>
    <x v="11"/>
    <s v="Aiken Technical College "/>
    <m/>
    <n v="217615"/>
    <x v="7"/>
    <m/>
    <m/>
    <m/>
    <m/>
    <m/>
    <m/>
    <m/>
    <m/>
    <m/>
    <m/>
    <m/>
    <m/>
    <m/>
    <m/>
    <m/>
    <m/>
    <m/>
    <m/>
    <m/>
    <m/>
    <m/>
    <m/>
    <m/>
    <m/>
    <m/>
    <m/>
    <m/>
    <m/>
    <m/>
    <m/>
    <m/>
    <m/>
    <n v="56"/>
    <n v="57"/>
    <m/>
    <m/>
    <m/>
    <m/>
    <m/>
    <m/>
    <m/>
    <m/>
    <m/>
    <m/>
    <m/>
    <m/>
    <m/>
    <m/>
    <n v="0"/>
    <m/>
    <n v="0"/>
    <m/>
    <n v="0"/>
    <m/>
    <n v="0"/>
    <m/>
    <n v="2648912"/>
    <n v="2837944"/>
    <n v="0"/>
    <m/>
    <n v="0"/>
    <n v="0"/>
    <n v="0"/>
    <n v="0"/>
    <n v="0"/>
    <n v="0"/>
    <n v="0"/>
    <n v="0"/>
    <n v="504"/>
    <n v="513"/>
    <n v="0"/>
    <n v="0"/>
    <n v="0"/>
    <n v="0"/>
    <n v="0"/>
    <n v="0"/>
    <n v="0"/>
    <n v="0"/>
    <n v="0"/>
    <n v="0"/>
    <n v="5255.7777777777774"/>
    <n v="5532.0545808966863"/>
    <n v="0"/>
    <n v="0"/>
    <n v="0"/>
    <n v="0"/>
    <n v="0"/>
    <n v="0"/>
    <n v="0"/>
    <n v="0"/>
    <n v="0"/>
    <n v="0"/>
    <n v="47302"/>
    <n v="49788.491228070176"/>
    <n v="0"/>
    <n v="0"/>
    <n v="47302"/>
    <n v="49788.491228070176"/>
    <n v="0"/>
    <n v="0"/>
    <n v="0"/>
    <n v="0"/>
    <n v="0"/>
    <n v="0"/>
    <n v="0"/>
    <n v="0"/>
    <n v="56"/>
    <n v="57"/>
    <n v="0"/>
    <n v="0"/>
    <n v="56"/>
    <n v="57"/>
    <n v="0"/>
    <n v="0"/>
    <n v="0"/>
    <n v="0"/>
    <n v="0"/>
    <n v="0"/>
    <n v="0"/>
    <n v="0"/>
    <n v="2648912"/>
    <n v="2837944"/>
    <n v="0"/>
    <n v="0"/>
    <n v="2648912"/>
    <n v="2837944"/>
  </r>
  <r>
    <x v="11"/>
    <s v="Central Carolina Technical College "/>
    <m/>
    <n v="218858"/>
    <x v="7"/>
    <m/>
    <m/>
    <m/>
    <m/>
    <m/>
    <m/>
    <m/>
    <m/>
    <m/>
    <m/>
    <m/>
    <m/>
    <m/>
    <m/>
    <m/>
    <m/>
    <m/>
    <m/>
    <m/>
    <m/>
    <m/>
    <m/>
    <m/>
    <m/>
    <m/>
    <m/>
    <m/>
    <m/>
    <m/>
    <m/>
    <m/>
    <m/>
    <n v="99"/>
    <n v="100"/>
    <m/>
    <m/>
    <m/>
    <m/>
    <m/>
    <m/>
    <m/>
    <m/>
    <m/>
    <m/>
    <m/>
    <m/>
    <m/>
    <m/>
    <n v="0"/>
    <m/>
    <n v="0"/>
    <m/>
    <n v="0"/>
    <m/>
    <n v="0"/>
    <m/>
    <n v="4495887"/>
    <n v="4639255"/>
    <n v="0"/>
    <m/>
    <n v="0"/>
    <n v="0"/>
    <n v="0"/>
    <n v="0"/>
    <n v="0"/>
    <n v="0"/>
    <n v="0"/>
    <n v="0"/>
    <n v="891"/>
    <n v="900"/>
    <n v="0"/>
    <n v="0"/>
    <n v="0"/>
    <n v="0"/>
    <n v="0"/>
    <n v="0"/>
    <n v="0"/>
    <n v="0"/>
    <n v="0"/>
    <n v="0"/>
    <n v="5045.8888888888887"/>
    <n v="5154.7277777777781"/>
    <n v="0"/>
    <n v="0"/>
    <n v="0"/>
    <n v="0"/>
    <n v="0"/>
    <n v="0"/>
    <n v="0"/>
    <n v="0"/>
    <n v="0"/>
    <n v="0"/>
    <n v="45413"/>
    <n v="46392.55"/>
    <n v="0"/>
    <n v="0"/>
    <n v="45413"/>
    <n v="46392.55"/>
    <n v="0"/>
    <n v="0"/>
    <n v="0"/>
    <n v="0"/>
    <n v="0"/>
    <n v="0"/>
    <n v="0"/>
    <n v="0"/>
    <n v="99"/>
    <n v="100"/>
    <n v="0"/>
    <n v="0"/>
    <n v="99"/>
    <n v="100"/>
    <n v="0"/>
    <n v="0"/>
    <n v="0"/>
    <n v="0"/>
    <n v="0"/>
    <n v="0"/>
    <n v="0"/>
    <n v="0"/>
    <n v="4495887"/>
    <n v="4639255"/>
    <n v="0"/>
    <n v="0"/>
    <n v="4495887"/>
    <n v="4639255"/>
  </r>
  <r>
    <x v="11"/>
    <s v="Florence-Darlington Technical College "/>
    <s v="Reclassified: met the criteria for Two-Year 1 in 2010-11, 2011-12, and 2012-13."/>
    <n v="218025"/>
    <x v="6"/>
    <m/>
    <m/>
    <m/>
    <m/>
    <m/>
    <m/>
    <m/>
    <m/>
    <m/>
    <m/>
    <m/>
    <m/>
    <m/>
    <m/>
    <m/>
    <m/>
    <m/>
    <m/>
    <m/>
    <m/>
    <m/>
    <m/>
    <m/>
    <m/>
    <m/>
    <m/>
    <m/>
    <m/>
    <m/>
    <m/>
    <m/>
    <m/>
    <n v="95"/>
    <n v="98"/>
    <m/>
    <m/>
    <m/>
    <m/>
    <m/>
    <m/>
    <m/>
    <m/>
    <m/>
    <m/>
    <m/>
    <m/>
    <m/>
    <m/>
    <n v="0"/>
    <m/>
    <n v="0"/>
    <m/>
    <n v="0"/>
    <m/>
    <n v="0"/>
    <m/>
    <n v="4527890"/>
    <n v="4858688"/>
    <n v="0"/>
    <m/>
    <n v="0"/>
    <n v="0"/>
    <n v="0"/>
    <n v="0"/>
    <n v="0"/>
    <n v="0"/>
    <n v="0"/>
    <n v="0"/>
    <n v="855"/>
    <n v="882"/>
    <n v="0"/>
    <n v="0"/>
    <n v="0"/>
    <n v="0"/>
    <n v="0"/>
    <n v="0"/>
    <n v="0"/>
    <n v="0"/>
    <n v="0"/>
    <n v="0"/>
    <n v="5295.7777777777774"/>
    <n v="5508.7165532879817"/>
    <n v="0"/>
    <n v="0"/>
    <n v="0"/>
    <n v="0"/>
    <n v="0"/>
    <n v="0"/>
    <n v="0"/>
    <n v="0"/>
    <n v="0"/>
    <n v="0"/>
    <n v="47662"/>
    <n v="49578.448979591834"/>
    <n v="0"/>
    <n v="0"/>
    <n v="47662"/>
    <n v="49578.448979591834"/>
    <n v="0"/>
    <n v="0"/>
    <n v="0"/>
    <n v="0"/>
    <n v="0"/>
    <n v="0"/>
    <n v="0"/>
    <n v="0"/>
    <n v="95"/>
    <n v="98"/>
    <n v="0"/>
    <n v="0"/>
    <n v="95"/>
    <n v="98"/>
    <n v="0"/>
    <n v="0"/>
    <n v="0"/>
    <n v="0"/>
    <n v="0"/>
    <n v="0"/>
    <n v="0"/>
    <n v="0"/>
    <n v="4527890"/>
    <n v="4858688"/>
    <n v="0"/>
    <n v="0"/>
    <n v="4527890"/>
    <n v="4858688"/>
  </r>
  <r>
    <x v="11"/>
    <s v="Orangeburg-Calhoun Technical College "/>
    <m/>
    <n v="218487"/>
    <x v="7"/>
    <m/>
    <m/>
    <m/>
    <m/>
    <m/>
    <m/>
    <m/>
    <m/>
    <m/>
    <m/>
    <m/>
    <m/>
    <m/>
    <m/>
    <m/>
    <m/>
    <m/>
    <m/>
    <m/>
    <m/>
    <m/>
    <m/>
    <m/>
    <m/>
    <m/>
    <m/>
    <m/>
    <m/>
    <m/>
    <m/>
    <m/>
    <m/>
    <n v="76"/>
    <n v="76"/>
    <m/>
    <m/>
    <m/>
    <m/>
    <m/>
    <m/>
    <m/>
    <m/>
    <m/>
    <m/>
    <m/>
    <m/>
    <m/>
    <m/>
    <n v="0"/>
    <m/>
    <n v="0"/>
    <m/>
    <n v="0"/>
    <m/>
    <n v="0"/>
    <m/>
    <n v="3219360"/>
    <n v="3323267"/>
    <n v="0"/>
    <m/>
    <n v="0"/>
    <n v="0"/>
    <n v="0"/>
    <n v="0"/>
    <n v="0"/>
    <n v="0"/>
    <n v="0"/>
    <n v="0"/>
    <n v="684"/>
    <n v="684"/>
    <n v="0"/>
    <n v="0"/>
    <n v="0"/>
    <n v="0"/>
    <n v="0"/>
    <n v="0"/>
    <n v="0"/>
    <n v="0"/>
    <n v="0"/>
    <n v="0"/>
    <n v="4706.666666666667"/>
    <n v="4858.5774853801167"/>
    <n v="0"/>
    <n v="0"/>
    <n v="0"/>
    <n v="0"/>
    <n v="0"/>
    <n v="0"/>
    <n v="0"/>
    <n v="0"/>
    <n v="0"/>
    <n v="0"/>
    <n v="42360"/>
    <n v="43727.197368421053"/>
    <n v="0"/>
    <n v="0"/>
    <n v="42360"/>
    <n v="43727.197368421053"/>
    <n v="0"/>
    <n v="0"/>
    <n v="0"/>
    <n v="0"/>
    <n v="0"/>
    <n v="0"/>
    <n v="0"/>
    <n v="0"/>
    <n v="76"/>
    <n v="76"/>
    <n v="0"/>
    <n v="0"/>
    <n v="76"/>
    <n v="76"/>
    <n v="0"/>
    <n v="0"/>
    <n v="0"/>
    <n v="0"/>
    <n v="0"/>
    <n v="0"/>
    <n v="0"/>
    <n v="0"/>
    <n v="3219360"/>
    <n v="3323267"/>
    <n v="0"/>
    <n v="0"/>
    <n v="3219360"/>
    <n v="3323267"/>
  </r>
  <r>
    <x v="11"/>
    <s v="Piedmont Technical College "/>
    <s v="Reclassified: met the criteria for Two-Year 1 in 2010-11, 2011-12, and 2012-13."/>
    <n v="218520"/>
    <x v="6"/>
    <m/>
    <m/>
    <m/>
    <m/>
    <m/>
    <m/>
    <m/>
    <m/>
    <m/>
    <m/>
    <m/>
    <m/>
    <m/>
    <m/>
    <m/>
    <m/>
    <m/>
    <m/>
    <m/>
    <m/>
    <m/>
    <m/>
    <m/>
    <m/>
    <m/>
    <m/>
    <m/>
    <m/>
    <m/>
    <m/>
    <m/>
    <m/>
    <n v="117"/>
    <n v="119"/>
    <m/>
    <m/>
    <m/>
    <m/>
    <m/>
    <m/>
    <m/>
    <m/>
    <m/>
    <m/>
    <m/>
    <m/>
    <m/>
    <m/>
    <n v="0"/>
    <m/>
    <n v="0"/>
    <m/>
    <n v="0"/>
    <m/>
    <n v="0"/>
    <m/>
    <n v="5089617"/>
    <n v="5353664"/>
    <n v="0"/>
    <m/>
    <n v="0"/>
    <n v="0"/>
    <n v="0"/>
    <n v="0"/>
    <n v="0"/>
    <n v="0"/>
    <n v="0"/>
    <n v="0"/>
    <n v="1053"/>
    <n v="1071"/>
    <n v="0"/>
    <n v="0"/>
    <n v="0"/>
    <n v="0"/>
    <n v="0"/>
    <n v="0"/>
    <n v="0"/>
    <n v="0"/>
    <n v="0"/>
    <n v="0"/>
    <n v="4833.4444444444443"/>
    <n v="4998.7525676937439"/>
    <n v="0"/>
    <n v="0"/>
    <n v="0"/>
    <n v="0"/>
    <n v="0"/>
    <n v="0"/>
    <n v="0"/>
    <n v="0"/>
    <n v="0"/>
    <n v="0"/>
    <n v="43501"/>
    <n v="44988.773109243695"/>
    <n v="0"/>
    <n v="0"/>
    <n v="43501"/>
    <n v="44988.773109243695"/>
    <n v="0"/>
    <n v="0"/>
    <n v="0"/>
    <n v="0"/>
    <n v="0"/>
    <n v="0"/>
    <n v="0"/>
    <n v="0"/>
    <n v="117"/>
    <n v="119"/>
    <n v="0"/>
    <n v="0"/>
    <n v="117"/>
    <n v="119"/>
    <n v="0"/>
    <n v="0"/>
    <n v="0"/>
    <n v="0"/>
    <n v="0"/>
    <n v="0"/>
    <n v="0"/>
    <n v="0"/>
    <n v="5089617"/>
    <n v="5353664"/>
    <n v="0"/>
    <n v="0"/>
    <n v="5089617"/>
    <n v="5353664"/>
  </r>
  <r>
    <x v="11"/>
    <s v="Spartanburg Community College "/>
    <m/>
    <n v="218830"/>
    <x v="7"/>
    <m/>
    <m/>
    <m/>
    <m/>
    <m/>
    <m/>
    <m/>
    <m/>
    <m/>
    <m/>
    <m/>
    <m/>
    <m/>
    <m/>
    <m/>
    <m/>
    <m/>
    <m/>
    <m/>
    <m/>
    <m/>
    <m/>
    <m/>
    <m/>
    <m/>
    <m/>
    <m/>
    <m/>
    <m/>
    <m/>
    <m/>
    <m/>
    <n v="120"/>
    <n v="120"/>
    <m/>
    <m/>
    <m/>
    <m/>
    <m/>
    <m/>
    <m/>
    <m/>
    <m/>
    <m/>
    <m/>
    <m/>
    <m/>
    <m/>
    <n v="0"/>
    <m/>
    <n v="0"/>
    <m/>
    <n v="0"/>
    <m/>
    <n v="0"/>
    <m/>
    <n v="5347200"/>
    <n v="5617232"/>
    <n v="0"/>
    <m/>
    <n v="0"/>
    <n v="0"/>
    <n v="0"/>
    <n v="0"/>
    <n v="0"/>
    <n v="0"/>
    <n v="0"/>
    <n v="0"/>
    <n v="1080"/>
    <n v="1080"/>
    <n v="0"/>
    <n v="0"/>
    <n v="0"/>
    <n v="0"/>
    <n v="0"/>
    <n v="0"/>
    <n v="0"/>
    <n v="0"/>
    <n v="0"/>
    <n v="0"/>
    <n v="4951.1111111111113"/>
    <n v="5201.1407407407405"/>
    <n v="0"/>
    <n v="0"/>
    <n v="0"/>
    <n v="0"/>
    <n v="0"/>
    <n v="0"/>
    <n v="0"/>
    <n v="0"/>
    <n v="0"/>
    <n v="0"/>
    <n v="44560"/>
    <n v="46810.266666666663"/>
    <n v="0"/>
    <n v="0"/>
    <n v="44560"/>
    <n v="46810.26666666667"/>
    <n v="0"/>
    <n v="0"/>
    <n v="0"/>
    <n v="0"/>
    <n v="0"/>
    <n v="0"/>
    <n v="0"/>
    <n v="0"/>
    <n v="120"/>
    <n v="120"/>
    <n v="0"/>
    <n v="0"/>
    <n v="120"/>
    <n v="120"/>
    <n v="0"/>
    <n v="0"/>
    <n v="0"/>
    <n v="0"/>
    <n v="0"/>
    <n v="0"/>
    <n v="0"/>
    <n v="0"/>
    <n v="5347200"/>
    <n v="5617232"/>
    <n v="0"/>
    <n v="0"/>
    <n v="5347200"/>
    <n v="5617232"/>
  </r>
  <r>
    <x v="11"/>
    <s v="York Technical College "/>
    <m/>
    <n v="218991"/>
    <x v="7"/>
    <m/>
    <m/>
    <m/>
    <m/>
    <m/>
    <m/>
    <m/>
    <m/>
    <m/>
    <m/>
    <m/>
    <m/>
    <m/>
    <m/>
    <m/>
    <m/>
    <m/>
    <m/>
    <m/>
    <m/>
    <m/>
    <m/>
    <m/>
    <m/>
    <m/>
    <m/>
    <m/>
    <m/>
    <m/>
    <m/>
    <m/>
    <m/>
    <n v="126"/>
    <n v="118"/>
    <m/>
    <m/>
    <m/>
    <m/>
    <m/>
    <m/>
    <m/>
    <m/>
    <m/>
    <m/>
    <m/>
    <m/>
    <m/>
    <m/>
    <n v="0"/>
    <m/>
    <n v="0"/>
    <m/>
    <n v="0"/>
    <m/>
    <n v="0"/>
    <m/>
    <n v="6005538"/>
    <n v="5750533"/>
    <n v="0"/>
    <m/>
    <n v="0"/>
    <n v="0"/>
    <n v="0"/>
    <n v="0"/>
    <n v="0"/>
    <n v="0"/>
    <n v="0"/>
    <n v="0"/>
    <n v="1134"/>
    <n v="1062"/>
    <n v="0"/>
    <n v="0"/>
    <n v="0"/>
    <n v="0"/>
    <n v="0"/>
    <n v="0"/>
    <n v="0"/>
    <n v="0"/>
    <n v="0"/>
    <n v="0"/>
    <n v="5295.8888888888887"/>
    <n v="5414.8145009416194"/>
    <n v="0"/>
    <n v="0"/>
    <n v="0"/>
    <n v="0"/>
    <n v="0"/>
    <n v="0"/>
    <n v="0"/>
    <n v="0"/>
    <n v="0"/>
    <n v="0"/>
    <n v="47663"/>
    <n v="48733.330508474573"/>
    <n v="0"/>
    <n v="0"/>
    <n v="47663"/>
    <n v="48733.330508474573"/>
    <n v="0"/>
    <n v="0"/>
    <n v="0"/>
    <n v="0"/>
    <n v="0"/>
    <n v="0"/>
    <n v="0"/>
    <n v="0"/>
    <n v="126"/>
    <n v="118"/>
    <n v="0"/>
    <n v="0"/>
    <n v="126"/>
    <n v="118"/>
    <n v="0"/>
    <n v="0"/>
    <n v="0"/>
    <n v="0"/>
    <n v="0"/>
    <n v="0"/>
    <n v="0"/>
    <n v="0"/>
    <n v="6005538"/>
    <n v="5750533"/>
    <n v="0"/>
    <n v="0"/>
    <n v="6005538"/>
    <n v="5750533"/>
  </r>
  <r>
    <x v="11"/>
    <s v="Denmark Technical College "/>
    <s v="Met the criteria for Two-Year 2 in 2012-13."/>
    <n v="217989"/>
    <x v="8"/>
    <m/>
    <m/>
    <m/>
    <m/>
    <m/>
    <m/>
    <m/>
    <m/>
    <m/>
    <m/>
    <m/>
    <m/>
    <m/>
    <m/>
    <m/>
    <m/>
    <m/>
    <m/>
    <m/>
    <m/>
    <m/>
    <m/>
    <m/>
    <m/>
    <m/>
    <m/>
    <m/>
    <m/>
    <m/>
    <m/>
    <m/>
    <m/>
    <n v="35"/>
    <n v="34"/>
    <m/>
    <m/>
    <m/>
    <m/>
    <m/>
    <m/>
    <m/>
    <m/>
    <m/>
    <m/>
    <m/>
    <m/>
    <m/>
    <m/>
    <n v="0"/>
    <m/>
    <n v="0"/>
    <m/>
    <n v="0"/>
    <m/>
    <n v="0"/>
    <m/>
    <n v="1367415"/>
    <n v="1341723"/>
    <n v="0"/>
    <m/>
    <n v="0"/>
    <n v="0"/>
    <n v="0"/>
    <n v="0"/>
    <n v="0"/>
    <n v="0"/>
    <n v="0"/>
    <n v="0"/>
    <n v="315"/>
    <n v="306"/>
    <n v="0"/>
    <n v="0"/>
    <n v="0"/>
    <n v="0"/>
    <n v="0"/>
    <n v="0"/>
    <n v="0"/>
    <n v="0"/>
    <n v="0"/>
    <n v="0"/>
    <n v="4341"/>
    <n v="4384.7156862745096"/>
    <n v="0"/>
    <n v="0"/>
    <n v="0"/>
    <n v="0"/>
    <n v="0"/>
    <n v="0"/>
    <n v="0"/>
    <n v="0"/>
    <n v="0"/>
    <n v="0"/>
    <n v="39069"/>
    <n v="39462.441176470587"/>
    <n v="0"/>
    <n v="0"/>
    <n v="39069"/>
    <n v="39462.441176470587"/>
    <n v="0"/>
    <n v="0"/>
    <n v="0"/>
    <n v="0"/>
    <n v="0"/>
    <n v="0"/>
    <n v="0"/>
    <n v="0"/>
    <n v="35"/>
    <n v="34"/>
    <n v="0"/>
    <n v="0"/>
    <n v="35"/>
    <n v="34"/>
    <n v="0"/>
    <n v="0"/>
    <n v="0"/>
    <n v="0"/>
    <n v="0"/>
    <n v="0"/>
    <n v="0"/>
    <n v="0"/>
    <n v="1367415"/>
    <n v="1341723"/>
    <n v="0"/>
    <n v="0"/>
    <n v="1367415"/>
    <n v="1341723"/>
  </r>
  <r>
    <x v="11"/>
    <s v="Northeastern Technical College "/>
    <m/>
    <n v="217837"/>
    <x v="8"/>
    <m/>
    <m/>
    <m/>
    <m/>
    <m/>
    <m/>
    <m/>
    <m/>
    <m/>
    <m/>
    <m/>
    <m/>
    <m/>
    <m/>
    <m/>
    <m/>
    <m/>
    <m/>
    <m/>
    <m/>
    <m/>
    <m/>
    <m/>
    <m/>
    <m/>
    <m/>
    <m/>
    <m/>
    <m/>
    <m/>
    <m/>
    <m/>
    <n v="27"/>
    <n v="27"/>
    <m/>
    <m/>
    <m/>
    <m/>
    <m/>
    <m/>
    <m/>
    <m/>
    <m/>
    <m/>
    <m/>
    <m/>
    <m/>
    <m/>
    <n v="0"/>
    <m/>
    <n v="0"/>
    <m/>
    <n v="0"/>
    <m/>
    <n v="0"/>
    <m/>
    <n v="947079"/>
    <n v="928061"/>
    <n v="0"/>
    <m/>
    <n v="0"/>
    <n v="0"/>
    <n v="0"/>
    <n v="0"/>
    <n v="0"/>
    <n v="0"/>
    <n v="0"/>
    <n v="0"/>
    <n v="243"/>
    <n v="243"/>
    <n v="0"/>
    <n v="0"/>
    <n v="0"/>
    <n v="0"/>
    <n v="0"/>
    <n v="0"/>
    <n v="0"/>
    <n v="0"/>
    <n v="0"/>
    <n v="0"/>
    <n v="3897.4444444444443"/>
    <n v="3819.1810699588477"/>
    <n v="0"/>
    <n v="0"/>
    <n v="0"/>
    <n v="0"/>
    <n v="0"/>
    <n v="0"/>
    <n v="0"/>
    <n v="0"/>
    <n v="0"/>
    <n v="0"/>
    <n v="35077"/>
    <n v="34372.629629629628"/>
    <n v="0"/>
    <n v="0"/>
    <n v="35077"/>
    <n v="34372.629629629628"/>
    <n v="0"/>
    <n v="0"/>
    <n v="0"/>
    <n v="0"/>
    <n v="0"/>
    <n v="0"/>
    <n v="0"/>
    <n v="0"/>
    <n v="27"/>
    <n v="27"/>
    <n v="0"/>
    <n v="0"/>
    <n v="27"/>
    <n v="27"/>
    <n v="0"/>
    <n v="0"/>
    <n v="0"/>
    <n v="0"/>
    <n v="0"/>
    <n v="0"/>
    <n v="0"/>
    <n v="0"/>
    <n v="947079"/>
    <n v="928061"/>
    <n v="0"/>
    <n v="0"/>
    <n v="947079"/>
    <n v="928061"/>
  </r>
  <r>
    <x v="11"/>
    <s v="Technical College of the Lowcountry"/>
    <m/>
    <n v="217712"/>
    <x v="8"/>
    <m/>
    <m/>
    <m/>
    <m/>
    <m/>
    <m/>
    <m/>
    <m/>
    <m/>
    <m/>
    <m/>
    <m/>
    <m/>
    <m/>
    <m/>
    <m/>
    <m/>
    <m/>
    <m/>
    <m/>
    <m/>
    <m/>
    <m/>
    <m/>
    <m/>
    <m/>
    <m/>
    <m/>
    <m/>
    <m/>
    <m/>
    <m/>
    <n v="48"/>
    <n v="48"/>
    <m/>
    <m/>
    <m/>
    <m/>
    <m/>
    <m/>
    <m/>
    <m/>
    <m/>
    <m/>
    <m/>
    <m/>
    <m/>
    <m/>
    <n v="0"/>
    <m/>
    <n v="0"/>
    <m/>
    <n v="0"/>
    <m/>
    <n v="0"/>
    <m/>
    <n v="2361936"/>
    <n v="2402507"/>
    <n v="0"/>
    <m/>
    <n v="0"/>
    <n v="0"/>
    <n v="0"/>
    <n v="0"/>
    <n v="0"/>
    <n v="0"/>
    <n v="0"/>
    <n v="0"/>
    <n v="432"/>
    <n v="432"/>
    <n v="0"/>
    <n v="0"/>
    <n v="0"/>
    <n v="0"/>
    <n v="0"/>
    <n v="0"/>
    <n v="0"/>
    <n v="0"/>
    <n v="0"/>
    <n v="0"/>
    <n v="5467.4444444444443"/>
    <n v="5561.3587962962965"/>
    <n v="0"/>
    <n v="0"/>
    <n v="0"/>
    <n v="0"/>
    <n v="0"/>
    <n v="0"/>
    <n v="0"/>
    <n v="0"/>
    <n v="0"/>
    <n v="0"/>
    <n v="49207"/>
    <n v="50052.229166666672"/>
    <n v="0"/>
    <n v="0"/>
    <n v="49207"/>
    <n v="50052.229166666664"/>
    <n v="0"/>
    <n v="0"/>
    <n v="0"/>
    <n v="0"/>
    <n v="0"/>
    <n v="0"/>
    <n v="0"/>
    <n v="0"/>
    <n v="48"/>
    <n v="48"/>
    <n v="0"/>
    <n v="0"/>
    <n v="48"/>
    <n v="48"/>
    <n v="0"/>
    <n v="0"/>
    <n v="0"/>
    <n v="0"/>
    <n v="0"/>
    <n v="0"/>
    <n v="0"/>
    <n v="0"/>
    <n v="2361936"/>
    <n v="2402507"/>
    <n v="0"/>
    <n v="0"/>
    <n v="2361936"/>
    <n v="2402507"/>
  </r>
  <r>
    <x v="11"/>
    <s v="University of South Carolina-Lancaster"/>
    <m/>
    <n v="218672"/>
    <x v="8"/>
    <n v="5"/>
    <n v="4"/>
    <m/>
    <m/>
    <m/>
    <m/>
    <m/>
    <m/>
    <n v="4"/>
    <n v="3"/>
    <m/>
    <m/>
    <n v="1"/>
    <m/>
    <m/>
    <n v="1"/>
    <n v="17"/>
    <n v="17"/>
    <m/>
    <m/>
    <n v="1"/>
    <m/>
    <m/>
    <n v="1"/>
    <n v="19"/>
    <n v="22"/>
    <m/>
    <n v="1"/>
    <n v="2"/>
    <m/>
    <m/>
    <n v="2"/>
    <m/>
    <m/>
    <m/>
    <m/>
    <m/>
    <m/>
    <m/>
    <m/>
    <m/>
    <m/>
    <m/>
    <m/>
    <m/>
    <m/>
    <m/>
    <m/>
    <n v="328220"/>
    <n v="267740"/>
    <n v="307808"/>
    <n v="247870"/>
    <n v="839132"/>
    <n v="864297"/>
    <n v="1021270"/>
    <n v="1248070.236"/>
    <n v="0"/>
    <m/>
    <n v="0"/>
    <m/>
    <n v="45"/>
    <n v="36"/>
    <n v="47"/>
    <n v="39"/>
    <n v="164"/>
    <n v="165"/>
    <n v="193"/>
    <n v="232"/>
    <n v="0"/>
    <n v="0"/>
    <n v="0"/>
    <n v="0"/>
    <n v="7293.7777777777774"/>
    <n v="7437.2222222222226"/>
    <n v="6549.1063829787236"/>
    <n v="6355.6410256410254"/>
    <n v="5116.6585365853662"/>
    <n v="5238.1636363636362"/>
    <n v="5291.5544041450776"/>
    <n v="5379.6130862068967"/>
    <n v="0"/>
    <n v="0"/>
    <n v="0"/>
    <n v="0"/>
    <n v="65644"/>
    <n v="66935"/>
    <n v="58941.957446808512"/>
    <n v="57200.769230769227"/>
    <n v="46049.926829268297"/>
    <n v="47143.472727272725"/>
    <n v="47623.989637305698"/>
    <n v="48416.51777586207"/>
    <n v="0"/>
    <n v="0"/>
    <n v="0"/>
    <n v="0"/>
    <n v="50039.433725393697"/>
    <n v="50108.598635500734"/>
    <n v="5"/>
    <n v="4"/>
    <n v="5"/>
    <n v="4"/>
    <n v="18"/>
    <n v="18"/>
    <n v="21"/>
    <n v="25"/>
    <n v="0"/>
    <n v="0"/>
    <n v="0"/>
    <n v="0"/>
    <n v="49"/>
    <n v="51"/>
    <n v="328220"/>
    <n v="267740"/>
    <n v="294709.78723404254"/>
    <n v="228803.07692307691"/>
    <n v="828898.68292682932"/>
    <n v="848582.50909090904"/>
    <n v="1000103.7823834197"/>
    <n v="1210412.9443965517"/>
    <n v="0"/>
    <n v="0"/>
    <n v="0"/>
    <n v="0"/>
    <n v="2451932.2525442913"/>
    <n v="2555538.5304105375"/>
  </r>
  <r>
    <x v="11"/>
    <s v="University of South Carolina-Salkehatchie"/>
    <m/>
    <n v="218681"/>
    <x v="8"/>
    <n v="1"/>
    <n v="1"/>
    <m/>
    <m/>
    <m/>
    <m/>
    <m/>
    <m/>
    <n v="3"/>
    <n v="4"/>
    <m/>
    <m/>
    <n v="1"/>
    <m/>
    <m/>
    <m/>
    <n v="11"/>
    <n v="9"/>
    <m/>
    <m/>
    <m/>
    <m/>
    <m/>
    <m/>
    <n v="3"/>
    <n v="3"/>
    <m/>
    <m/>
    <n v="1"/>
    <m/>
    <m/>
    <n v="1"/>
    <m/>
    <m/>
    <m/>
    <m/>
    <m/>
    <m/>
    <m/>
    <m/>
    <m/>
    <m/>
    <m/>
    <m/>
    <m/>
    <m/>
    <m/>
    <m/>
    <n v="57256"/>
    <n v="58973"/>
    <n v="196381"/>
    <n v="218982"/>
    <n v="502216"/>
    <n v="404825"/>
    <n v="159838"/>
    <n v="164633"/>
    <n v="0"/>
    <m/>
    <n v="0"/>
    <m/>
    <n v="9"/>
    <n v="9"/>
    <n v="38"/>
    <n v="36"/>
    <n v="99"/>
    <n v="81"/>
    <n v="38"/>
    <n v="39"/>
    <n v="0"/>
    <n v="0"/>
    <n v="0"/>
    <n v="0"/>
    <n v="6361.7777777777774"/>
    <n v="6552.5555555555557"/>
    <n v="5167.9210526315792"/>
    <n v="6082.833333333333"/>
    <n v="5072.8888888888887"/>
    <n v="4997.8395061728397"/>
    <n v="4206.2631578947367"/>
    <n v="4221.3589743589746"/>
    <n v="0"/>
    <n v="0"/>
    <n v="0"/>
    <n v="0"/>
    <n v="57256"/>
    <n v="58973"/>
    <n v="46511.289473684214"/>
    <n v="54745.5"/>
    <n v="45656"/>
    <n v="44980.555555555555"/>
    <n v="37856.368421052626"/>
    <n v="37992.230769230773"/>
    <n v="0"/>
    <n v="0"/>
    <n v="0"/>
    <n v="0"/>
    <n v="44847.131578947374"/>
    <n v="46374.940170940172"/>
    <n v="1"/>
    <n v="1"/>
    <n v="4"/>
    <n v="4"/>
    <n v="11"/>
    <n v="9"/>
    <n v="4"/>
    <n v="4"/>
    <n v="0"/>
    <n v="0"/>
    <n v="0"/>
    <n v="0"/>
    <n v="20"/>
    <n v="18"/>
    <n v="57256"/>
    <n v="58973"/>
    <n v="186045.15789473685"/>
    <n v="218982"/>
    <n v="502216"/>
    <n v="404825"/>
    <n v="151425.4736842105"/>
    <n v="151968.92307692309"/>
    <n v="0"/>
    <n v="0"/>
    <n v="0"/>
    <n v="0"/>
    <n v="896942.63157894742"/>
    <n v="834748.92307692312"/>
  </r>
  <r>
    <x v="11"/>
    <s v="University of South Carolina-Sumter"/>
    <m/>
    <n v="218690"/>
    <x v="8"/>
    <n v="9"/>
    <n v="10"/>
    <m/>
    <m/>
    <n v="2"/>
    <m/>
    <m/>
    <m/>
    <n v="11"/>
    <n v="11"/>
    <m/>
    <m/>
    <n v="2"/>
    <m/>
    <m/>
    <m/>
    <n v="5"/>
    <n v="3"/>
    <m/>
    <m/>
    <m/>
    <m/>
    <m/>
    <m/>
    <n v="20"/>
    <n v="10"/>
    <m/>
    <m/>
    <m/>
    <m/>
    <m/>
    <m/>
    <m/>
    <m/>
    <m/>
    <m/>
    <m/>
    <m/>
    <m/>
    <m/>
    <m/>
    <m/>
    <m/>
    <m/>
    <m/>
    <m/>
    <m/>
    <m/>
    <n v="800953"/>
    <n v="686209"/>
    <n v="734078"/>
    <n v="625921"/>
    <n v="243665"/>
    <n v="132808"/>
    <n v="706220"/>
    <n v="360769"/>
    <n v="0"/>
    <m/>
    <n v="0"/>
    <m/>
    <n v="103"/>
    <n v="90"/>
    <n v="121"/>
    <n v="99"/>
    <n v="45"/>
    <n v="27"/>
    <n v="180"/>
    <n v="90"/>
    <n v="0"/>
    <n v="0"/>
    <n v="0"/>
    <n v="0"/>
    <n v="7776.2427184466023"/>
    <n v="7624.5444444444447"/>
    <n v="6066.7603305785124"/>
    <n v="6322.4343434343436"/>
    <n v="5414.7777777777774"/>
    <n v="4918.8148148148148"/>
    <n v="3923.4444444444443"/>
    <n v="4008.5444444444443"/>
    <n v="0"/>
    <n v="0"/>
    <n v="0"/>
    <n v="0"/>
    <n v="69986.184466019418"/>
    <n v="68620.900000000009"/>
    <n v="54600.842975206615"/>
    <n v="56901.909090909096"/>
    <n v="48733"/>
    <n v="44269.333333333336"/>
    <n v="35311"/>
    <n v="36076.9"/>
    <n v="0"/>
    <n v="0"/>
    <n v="0"/>
    <n v="0"/>
    <n v="49582.530363344893"/>
    <n v="53109.029411764706"/>
    <n v="11"/>
    <n v="10"/>
    <n v="13"/>
    <n v="11"/>
    <n v="5"/>
    <n v="3"/>
    <n v="20"/>
    <n v="10"/>
    <n v="0"/>
    <n v="0"/>
    <n v="0"/>
    <n v="0"/>
    <n v="49"/>
    <n v="34"/>
    <n v="769848.02912621363"/>
    <n v="686209.00000000012"/>
    <n v="709810.95867768605"/>
    <n v="625921"/>
    <n v="243665"/>
    <n v="132808"/>
    <n v="706220"/>
    <n v="360769"/>
    <n v="0"/>
    <n v="0"/>
    <n v="0"/>
    <n v="0"/>
    <n v="2429543.9878038997"/>
    <n v="1805707"/>
  </r>
  <r>
    <x v="11"/>
    <s v="University of South Carolina-Union"/>
    <m/>
    <n v="218706"/>
    <x v="8"/>
    <m/>
    <m/>
    <m/>
    <m/>
    <m/>
    <m/>
    <m/>
    <m/>
    <n v="2"/>
    <n v="2"/>
    <m/>
    <m/>
    <m/>
    <m/>
    <m/>
    <m/>
    <n v="2"/>
    <n v="3"/>
    <m/>
    <m/>
    <m/>
    <m/>
    <m/>
    <m/>
    <n v="5"/>
    <n v="5"/>
    <m/>
    <m/>
    <m/>
    <m/>
    <m/>
    <m/>
    <m/>
    <m/>
    <m/>
    <m/>
    <m/>
    <m/>
    <m/>
    <m/>
    <m/>
    <m/>
    <m/>
    <m/>
    <m/>
    <m/>
    <m/>
    <m/>
    <n v="0"/>
    <m/>
    <n v="122736"/>
    <n v="130177"/>
    <n v="93000"/>
    <n v="140790"/>
    <n v="227990"/>
    <n v="233481"/>
    <n v="0"/>
    <m/>
    <n v="0"/>
    <m/>
    <n v="0"/>
    <n v="0"/>
    <n v="18"/>
    <n v="18"/>
    <n v="18"/>
    <n v="27"/>
    <n v="45"/>
    <n v="45"/>
    <n v="0"/>
    <n v="0"/>
    <n v="0"/>
    <n v="0"/>
    <n v="0"/>
    <n v="0"/>
    <n v="6818.666666666667"/>
    <n v="7232.0555555555557"/>
    <n v="5166.666666666667"/>
    <n v="5214.4444444444443"/>
    <n v="5066.4444444444443"/>
    <n v="5188.4666666666662"/>
    <n v="0"/>
    <n v="0"/>
    <n v="0"/>
    <n v="0"/>
    <n v="0"/>
    <n v="0"/>
    <n v="61368"/>
    <n v="65088.5"/>
    <n v="46500"/>
    <n v="46930"/>
    <n v="45598"/>
    <n v="46696.2"/>
    <n v="0"/>
    <n v="0"/>
    <n v="0"/>
    <n v="0"/>
    <n v="49302.888888888891"/>
    <n v="50444.800000000003"/>
    <n v="0"/>
    <n v="0"/>
    <n v="2"/>
    <n v="2"/>
    <n v="2"/>
    <n v="3"/>
    <n v="5"/>
    <n v="5"/>
    <n v="0"/>
    <n v="0"/>
    <n v="0"/>
    <n v="0"/>
    <n v="9"/>
    <n v="10"/>
    <n v="0"/>
    <n v="0"/>
    <n v="122736"/>
    <n v="130177"/>
    <n v="93000"/>
    <n v="140790"/>
    <n v="227990"/>
    <n v="233481"/>
    <n v="0"/>
    <n v="0"/>
    <n v="0"/>
    <n v="0"/>
    <n v="443726"/>
    <n v="504448"/>
  </r>
  <r>
    <x v="11"/>
    <s v="Willamsburg Technical College "/>
    <m/>
    <n v="218955"/>
    <x v="8"/>
    <m/>
    <m/>
    <m/>
    <m/>
    <m/>
    <m/>
    <m/>
    <m/>
    <m/>
    <m/>
    <m/>
    <m/>
    <m/>
    <m/>
    <m/>
    <m/>
    <m/>
    <m/>
    <m/>
    <m/>
    <m/>
    <m/>
    <m/>
    <m/>
    <m/>
    <m/>
    <m/>
    <m/>
    <m/>
    <m/>
    <m/>
    <m/>
    <n v="18"/>
    <n v="19"/>
    <m/>
    <m/>
    <m/>
    <m/>
    <m/>
    <m/>
    <m/>
    <m/>
    <m/>
    <m/>
    <m/>
    <m/>
    <m/>
    <m/>
    <n v="0"/>
    <m/>
    <n v="0"/>
    <m/>
    <n v="0"/>
    <m/>
    <n v="0"/>
    <m/>
    <n v="637524"/>
    <n v="696791"/>
    <n v="0"/>
    <m/>
    <n v="0"/>
    <n v="0"/>
    <n v="0"/>
    <n v="0"/>
    <n v="0"/>
    <n v="0"/>
    <n v="0"/>
    <n v="0"/>
    <n v="162"/>
    <n v="171"/>
    <n v="0"/>
    <n v="0"/>
    <n v="0"/>
    <n v="0"/>
    <n v="0"/>
    <n v="0"/>
    <n v="0"/>
    <n v="0"/>
    <n v="0"/>
    <n v="0"/>
    <n v="3935.3333333333335"/>
    <n v="4074.8011695906434"/>
    <n v="0"/>
    <n v="0"/>
    <n v="0"/>
    <n v="0"/>
    <n v="0"/>
    <n v="0"/>
    <n v="0"/>
    <n v="0"/>
    <n v="0"/>
    <n v="0"/>
    <n v="35418"/>
    <n v="36673.210526315794"/>
    <n v="0"/>
    <n v="0"/>
    <n v="35418"/>
    <n v="36673.210526315794"/>
    <n v="0"/>
    <n v="0"/>
    <n v="0"/>
    <n v="0"/>
    <n v="0"/>
    <n v="0"/>
    <n v="0"/>
    <n v="0"/>
    <n v="18"/>
    <n v="19"/>
    <n v="0"/>
    <n v="0"/>
    <n v="18"/>
    <n v="19"/>
    <n v="0"/>
    <n v="0"/>
    <n v="0"/>
    <n v="0"/>
    <n v="0"/>
    <n v="0"/>
    <n v="0"/>
    <n v="0"/>
    <n v="637524"/>
    <n v="696791.00000000012"/>
    <n v="0"/>
    <n v="0"/>
    <n v="637524"/>
    <n v="696791.00000000012"/>
  </r>
  <r>
    <x v="12"/>
    <s v="University of Memphis"/>
    <m/>
    <n v="220862"/>
    <x v="0"/>
    <n v="216"/>
    <n v="214"/>
    <m/>
    <m/>
    <n v="21"/>
    <m/>
    <m/>
    <n v="21"/>
    <n v="218"/>
    <n v="228"/>
    <m/>
    <m/>
    <n v="16"/>
    <m/>
    <m/>
    <n v="19"/>
    <n v="226"/>
    <n v="231"/>
    <m/>
    <m/>
    <n v="12"/>
    <m/>
    <m/>
    <n v="11"/>
    <n v="121"/>
    <n v="118"/>
    <m/>
    <m/>
    <n v="15"/>
    <m/>
    <m/>
    <n v="17"/>
    <n v="20"/>
    <n v="3"/>
    <m/>
    <m/>
    <n v="5"/>
    <n v="0"/>
    <m/>
    <m/>
    <m/>
    <m/>
    <m/>
    <m/>
    <m/>
    <m/>
    <m/>
    <m/>
    <n v="24718698"/>
    <n v="25345274"/>
    <n v="17142621"/>
    <n v="18685402"/>
    <n v="14827679"/>
    <n v="15420613"/>
    <n v="5867396"/>
    <n v="5991707"/>
    <n v="1112020"/>
    <n v="107846"/>
    <n v="0"/>
    <m/>
    <n v="2175"/>
    <n v="2178"/>
    <n v="2138"/>
    <n v="2280"/>
    <n v="2166"/>
    <n v="2211"/>
    <n v="1254"/>
    <n v="1266"/>
    <n v="235"/>
    <n v="27"/>
    <n v="0"/>
    <n v="0"/>
    <n v="11364.918620689656"/>
    <n v="11636.94857667585"/>
    <n v="8018.0640785781106"/>
    <n v="8195.3517543859653"/>
    <n v="6845.6505078485689"/>
    <n v="6974.4970601537761"/>
    <n v="4678.9441786283887"/>
    <n v="4732.7859399684048"/>
    <n v="4732"/>
    <n v="3994.2962962962961"/>
    <n v="0"/>
    <n v="0"/>
    <n v="102284.2675862069"/>
    <n v="104732.53719008264"/>
    <n v="72162.576707202999"/>
    <n v="73758.165789473685"/>
    <n v="61610.854570637122"/>
    <n v="62770.473541383988"/>
    <n v="42110.497607655496"/>
    <n v="42595.073459715641"/>
    <n v="42588"/>
    <n v="35948.666666666664"/>
    <n v="0"/>
    <n v="0"/>
    <n v="71933.937275711869"/>
    <n v="74105.62494634102"/>
    <n v="237"/>
    <n v="235"/>
    <n v="234"/>
    <n v="247"/>
    <n v="238"/>
    <n v="242"/>
    <n v="136"/>
    <n v="135"/>
    <n v="25"/>
    <n v="3"/>
    <n v="0"/>
    <n v="0"/>
    <n v="870"/>
    <n v="862"/>
    <n v="24241371.417931035"/>
    <n v="24612146.23966942"/>
    <n v="16886042.949485503"/>
    <n v="18218266.949999999"/>
    <n v="14663383.387811635"/>
    <n v="15190454.597014925"/>
    <n v="5727027.6746411473"/>
    <n v="5750334.9170616111"/>
    <n v="1064700"/>
    <n v="107846"/>
    <n v="0"/>
    <n v="0"/>
    <n v="62582525.429869324"/>
    <n v="63879048.703745961"/>
  </r>
  <r>
    <x v="12"/>
    <s v="University of Tennessee, Knoxville"/>
    <m/>
    <n v="221759"/>
    <x v="0"/>
    <n v="372"/>
    <n v="373"/>
    <m/>
    <m/>
    <n v="183"/>
    <m/>
    <m/>
    <n v="182"/>
    <n v="302"/>
    <n v="319"/>
    <m/>
    <m/>
    <n v="136"/>
    <m/>
    <m/>
    <n v="142"/>
    <n v="240"/>
    <n v="246"/>
    <m/>
    <m/>
    <n v="105"/>
    <m/>
    <m/>
    <n v="99"/>
    <n v="15"/>
    <n v="14"/>
    <m/>
    <m/>
    <n v="20"/>
    <m/>
    <m/>
    <n v="17"/>
    <n v="236"/>
    <n v="258"/>
    <m/>
    <m/>
    <n v="32"/>
    <m/>
    <m/>
    <n v="30"/>
    <m/>
    <m/>
    <m/>
    <m/>
    <m/>
    <m/>
    <m/>
    <m/>
    <n v="68986817"/>
    <n v="72995319"/>
    <n v="39638933"/>
    <n v="43812391"/>
    <n v="26767804"/>
    <n v="27585686"/>
    <n v="2350003"/>
    <n v="2057328"/>
    <n v="11680822"/>
    <n v="13520038"/>
    <n v="0"/>
    <m/>
    <n v="5361"/>
    <n v="5541"/>
    <n v="4214"/>
    <n v="4575"/>
    <n v="3315"/>
    <n v="3402"/>
    <n v="355"/>
    <n v="330"/>
    <n v="2476"/>
    <n v="2682"/>
    <n v="0"/>
    <n v="0"/>
    <n v="12868.274016041783"/>
    <n v="13173.672441797509"/>
    <n v="9406.4862363550073"/>
    <n v="9576.4789071038249"/>
    <n v="8074.75233785822"/>
    <n v="8108.6672545561432"/>
    <n v="6619.7267605633806"/>
    <n v="6234.3272727272724"/>
    <n v="4717.617932148627"/>
    <n v="5041.0283370618945"/>
    <n v="0"/>
    <n v="0"/>
    <n v="115814.46614437606"/>
    <n v="118563.05197617758"/>
    <n v="84658.376127195064"/>
    <n v="86188.310163934424"/>
    <n v="72672.771040723979"/>
    <n v="72978.005291005291"/>
    <n v="59577.540845070427"/>
    <n v="56108.94545454545"/>
    <n v="42458.561389337643"/>
    <n v="45369.255033557049"/>
    <n v="0"/>
    <n v="0"/>
    <n v="85249.001733583107"/>
    <n v="86618.1187003003"/>
    <n v="555"/>
    <n v="555"/>
    <n v="438"/>
    <n v="461"/>
    <n v="345"/>
    <n v="345"/>
    <n v="35"/>
    <n v="31"/>
    <n v="268"/>
    <n v="288"/>
    <n v="0"/>
    <n v="0"/>
    <n v="1641"/>
    <n v="1680"/>
    <n v="64277028.71012871"/>
    <n v="65802493.846778557"/>
    <n v="37080368.743711442"/>
    <n v="39732810.985573769"/>
    <n v="25072106.009049773"/>
    <n v="25177411.825396825"/>
    <n v="2085213.9295774649"/>
    <n v="1739377.3090909088"/>
    <n v="11378894.452342488"/>
    <n v="13066345.449664431"/>
    <n v="0"/>
    <n v="0"/>
    <n v="139893611.84480989"/>
    <n v="145518439.4165045"/>
  </r>
  <r>
    <x v="12"/>
    <s v="Tennessee State University "/>
    <m/>
    <n v="221838"/>
    <x v="1"/>
    <n v="81"/>
    <n v="108"/>
    <m/>
    <m/>
    <n v="21"/>
    <m/>
    <m/>
    <n v="4"/>
    <n v="96"/>
    <n v="95"/>
    <m/>
    <m/>
    <n v="20"/>
    <m/>
    <m/>
    <n v="15"/>
    <n v="99"/>
    <n v="96"/>
    <m/>
    <m/>
    <n v="27"/>
    <m/>
    <m/>
    <n v="23"/>
    <n v="9"/>
    <n v="22"/>
    <m/>
    <m/>
    <n v="3"/>
    <m/>
    <m/>
    <n v="1"/>
    <n v="32"/>
    <n v="25"/>
    <m/>
    <m/>
    <n v="29"/>
    <m/>
    <m/>
    <m/>
    <m/>
    <m/>
    <m/>
    <m/>
    <m/>
    <m/>
    <m/>
    <m/>
    <n v="8023780"/>
    <n v="9030998"/>
    <n v="7243085"/>
    <n v="7030497"/>
    <n v="6276342"/>
    <n v="6422363"/>
    <n v="552733"/>
    <n v="931536"/>
    <n v="3247197"/>
    <n v="1087034"/>
    <n v="0"/>
    <m/>
    <n v="960"/>
    <n v="1020"/>
    <n v="1084"/>
    <n v="1035"/>
    <n v="1188"/>
    <n v="1140"/>
    <n v="114"/>
    <n v="210"/>
    <n v="607"/>
    <n v="225"/>
    <n v="0"/>
    <n v="0"/>
    <n v="8358.1041666666661"/>
    <n v="8853.9196078431378"/>
    <n v="6681.8127306273063"/>
    <n v="6792.7507246376808"/>
    <n v="5283.1161616161617"/>
    <n v="5633.6517543859645"/>
    <n v="4848.5350877192986"/>
    <n v="4435.8857142857141"/>
    <n v="5349.5831960461283"/>
    <n v="4831.2622222222226"/>
    <n v="0"/>
    <n v="0"/>
    <n v="75222.9375"/>
    <n v="79685.276470588244"/>
    <n v="60136.31457564576"/>
    <n v="61134.756521739124"/>
    <n v="47548.045454545456"/>
    <n v="50702.865789473683"/>
    <n v="43636.815789473687"/>
    <n v="39922.971428571429"/>
    <n v="48146.248764415155"/>
    <n v="43481.36"/>
    <n v="0"/>
    <n v="0"/>
    <n v="57794.16980132048"/>
    <n v="60895.829187407959"/>
    <n v="102"/>
    <n v="112"/>
    <n v="116"/>
    <n v="110"/>
    <n v="126"/>
    <n v="119"/>
    <n v="12"/>
    <n v="23"/>
    <n v="61"/>
    <n v="25"/>
    <n v="0"/>
    <n v="0"/>
    <n v="417"/>
    <n v="389"/>
    <n v="7672739.625"/>
    <n v="8924750.9647058826"/>
    <n v="6975812.4907749081"/>
    <n v="6724823.2173913037"/>
    <n v="5991053.7272727275"/>
    <n v="6033641.0289473683"/>
    <n v="523641.78947368427"/>
    <n v="918228.34285714291"/>
    <n v="2936921.1746293246"/>
    <n v="1087034"/>
    <n v="0"/>
    <n v="0"/>
    <n v="24100168.80715064"/>
    <n v="23688477.553901695"/>
  </r>
  <r>
    <x v="12"/>
    <s v="Austin Peay State University "/>
    <m/>
    <n v="219602"/>
    <x v="2"/>
    <n v="106"/>
    <n v="107"/>
    <m/>
    <m/>
    <n v="1"/>
    <m/>
    <m/>
    <m/>
    <n v="89"/>
    <n v="97"/>
    <m/>
    <m/>
    <n v="2"/>
    <m/>
    <m/>
    <n v="2"/>
    <n v="107"/>
    <n v="102"/>
    <m/>
    <m/>
    <n v="0"/>
    <m/>
    <m/>
    <m/>
    <n v="42"/>
    <n v="47"/>
    <m/>
    <m/>
    <n v="0"/>
    <m/>
    <m/>
    <m/>
    <n v="0"/>
    <m/>
    <m/>
    <m/>
    <m/>
    <m/>
    <m/>
    <m/>
    <m/>
    <m/>
    <m/>
    <m/>
    <m/>
    <m/>
    <m/>
    <m/>
    <n v="7606273"/>
    <n v="8170980"/>
    <n v="5142619"/>
    <n v="6188567"/>
    <n v="4990535"/>
    <n v="5042815"/>
    <n v="1608783"/>
    <n v="1894449"/>
    <n v="0"/>
    <n v="0"/>
    <n v="0"/>
    <m/>
    <n v="965"/>
    <n v="963"/>
    <n v="823"/>
    <n v="897"/>
    <n v="963"/>
    <n v="918"/>
    <n v="378"/>
    <n v="423"/>
    <n v="0"/>
    <n v="0"/>
    <n v="0"/>
    <n v="0"/>
    <n v="7882.1481865284977"/>
    <n v="8484.9221183800619"/>
    <n v="6248.6257594167682"/>
    <n v="6899.1828316610927"/>
    <n v="5182.2793354101768"/>
    <n v="5493.2625272331152"/>
    <n v="4256.0396825396829"/>
    <n v="4478.6028368794323"/>
    <n v="0"/>
    <n v="0"/>
    <n v="0"/>
    <n v="0"/>
    <n v="70939.333678756477"/>
    <n v="76364.29906542055"/>
    <n v="56237.631834750915"/>
    <n v="62092.645484949833"/>
    <n v="46640.514018691589"/>
    <n v="49439.362745098035"/>
    <n v="38304.357142857145"/>
    <n v="40307.425531914894"/>
    <n v="0"/>
    <n v="0"/>
    <n v="0"/>
    <n v="0"/>
    <n v="55641.069742332213"/>
    <n v="59874.410994394457"/>
    <n v="107"/>
    <n v="107"/>
    <n v="91"/>
    <n v="99"/>
    <n v="107"/>
    <n v="102"/>
    <n v="42"/>
    <n v="47"/>
    <n v="0"/>
    <n v="0"/>
    <n v="0"/>
    <n v="0"/>
    <n v="347"/>
    <n v="355"/>
    <n v="7590508.7036269428"/>
    <n v="8170979.9999999991"/>
    <n v="5117624.4969623331"/>
    <n v="6147171.9030100331"/>
    <n v="4990535"/>
    <n v="5042815"/>
    <n v="1608783"/>
    <n v="1894449"/>
    <n v="0"/>
    <n v="0"/>
    <n v="0"/>
    <n v="0"/>
    <n v="19307451.200589277"/>
    <n v="21255415.903010033"/>
  </r>
  <r>
    <x v="12"/>
    <s v="East Tennessee State University "/>
    <m/>
    <n v="220075"/>
    <x v="2"/>
    <n v="96"/>
    <n v="105"/>
    <m/>
    <m/>
    <n v="35"/>
    <m/>
    <m/>
    <n v="36"/>
    <n v="126"/>
    <n v="125"/>
    <m/>
    <m/>
    <n v="24"/>
    <m/>
    <m/>
    <n v="25"/>
    <n v="163"/>
    <n v="154"/>
    <m/>
    <m/>
    <n v="44"/>
    <m/>
    <m/>
    <n v="41"/>
    <n v="18"/>
    <n v="21"/>
    <m/>
    <m/>
    <n v="4"/>
    <m/>
    <m/>
    <n v="5"/>
    <n v="60"/>
    <n v="69"/>
    <m/>
    <m/>
    <n v="2"/>
    <m/>
    <m/>
    <n v="2"/>
    <m/>
    <m/>
    <m/>
    <m/>
    <m/>
    <m/>
    <m/>
    <m/>
    <n v="10417824"/>
    <n v="11769073"/>
    <n v="9093194"/>
    <n v="9646361"/>
    <n v="11972772"/>
    <n v="11735617"/>
    <n v="949958"/>
    <n v="1201182"/>
    <n v="1886218"/>
    <n v="2171491"/>
    <n v="0"/>
    <m/>
    <n v="1249"/>
    <n v="1377"/>
    <n v="1398"/>
    <n v="1425"/>
    <n v="1951"/>
    <n v="1878"/>
    <n v="206"/>
    <n v="249"/>
    <n v="562"/>
    <n v="645"/>
    <n v="0"/>
    <n v="0"/>
    <n v="8340.9319455564455"/>
    <n v="8546.8939724037755"/>
    <n v="6504.4306151645205"/>
    <n v="6769.376140350877"/>
    <n v="6136.7360328036903"/>
    <n v="6248.9973375931841"/>
    <n v="4611.4466019417478"/>
    <n v="4824.0240963855422"/>
    <n v="3356.2597864768682"/>
    <n v="3366.6527131782946"/>
    <n v="0"/>
    <n v="0"/>
    <n v="75068.387510008004"/>
    <n v="76922.045751633981"/>
    <n v="58539.875536480686"/>
    <n v="60924.385263157892"/>
    <n v="55230.62429523321"/>
    <n v="56240.97603833866"/>
    <n v="41503.019417475727"/>
    <n v="43416.216867469877"/>
    <n v="30206.338078291814"/>
    <n v="30299.87441860465"/>
    <n v="0"/>
    <n v="0"/>
    <n v="57401.291453557656"/>
    <n v="58716.58540343956"/>
    <n v="131"/>
    <n v="141"/>
    <n v="150"/>
    <n v="150"/>
    <n v="207"/>
    <n v="195"/>
    <n v="22"/>
    <n v="26"/>
    <n v="62"/>
    <n v="71"/>
    <n v="0"/>
    <n v="0"/>
    <n v="572"/>
    <n v="583"/>
    <n v="9833958.7638110481"/>
    <n v="10846008.450980391"/>
    <n v="8780981.3304721024"/>
    <n v="9138657.7894736845"/>
    <n v="11432739.229113275"/>
    <n v="10966990.32747604"/>
    <n v="913066.42718446604"/>
    <n v="1128821.6385542168"/>
    <n v="1872792.9608540924"/>
    <n v="2151291.0837209299"/>
    <n v="0"/>
    <n v="0"/>
    <n v="32833538.711434979"/>
    <n v="34231769.290205263"/>
  </r>
  <r>
    <x v="12"/>
    <s v="Middle Tennessee State University "/>
    <m/>
    <n v="220978"/>
    <x v="2"/>
    <n v="320"/>
    <m/>
    <m/>
    <n v="321"/>
    <n v="1"/>
    <n v="2"/>
    <m/>
    <n v="2"/>
    <n v="123"/>
    <m/>
    <m/>
    <n v="224"/>
    <n v="1"/>
    <m/>
    <m/>
    <n v="2"/>
    <n v="222"/>
    <m/>
    <m/>
    <n v="193"/>
    <n v="1"/>
    <m/>
    <m/>
    <m/>
    <n v="125"/>
    <m/>
    <m/>
    <n v="77"/>
    <m/>
    <m/>
    <m/>
    <n v="1"/>
    <n v="0"/>
    <m/>
    <m/>
    <n v="86"/>
    <m/>
    <m/>
    <m/>
    <n v="1"/>
    <m/>
    <m/>
    <m/>
    <m/>
    <m/>
    <m/>
    <m/>
    <m/>
    <n v="26520151"/>
    <n v="28409321"/>
    <n v="14727400"/>
    <n v="15631910"/>
    <n v="12135119"/>
    <n v="11012328"/>
    <n v="4889183"/>
    <n v="3167918"/>
    <n v="0"/>
    <n v="3837950"/>
    <n v="0"/>
    <m/>
    <n v="2891"/>
    <n v="3256"/>
    <n v="1118"/>
    <n v="2264"/>
    <n v="2009"/>
    <n v="1930"/>
    <n v="1125"/>
    <n v="782"/>
    <n v="0"/>
    <n v="872"/>
    <n v="0"/>
    <n v="0"/>
    <n v="9173.3486682808725"/>
    <n v="8725.2214373464376"/>
    <n v="13172.98747763864"/>
    <n v="6904.5538869257953"/>
    <n v="6040.3777999004478"/>
    <n v="5705.8694300518137"/>
    <n v="4345.9404444444444"/>
    <n v="4051.0460358056266"/>
    <n v="0"/>
    <n v="4401.3188073394494"/>
    <n v="0"/>
    <n v="0"/>
    <n v="82560.138014527853"/>
    <n v="78526.992936117938"/>
    <n v="118556.88729874777"/>
    <n v="62140.984982332157"/>
    <n v="54363.400199104028"/>
    <n v="51352.82487046632"/>
    <n v="39113.464"/>
    <n v="36459.414322250639"/>
    <n v="0"/>
    <n v="39611.869266055044"/>
    <n v="0"/>
    <n v="0"/>
    <n v="73411.1974427596"/>
    <n v="61349.062105091019"/>
    <n v="321"/>
    <n v="325"/>
    <n v="124"/>
    <n v="226"/>
    <n v="223"/>
    <n v="193"/>
    <n v="125"/>
    <n v="78"/>
    <n v="0"/>
    <n v="87"/>
    <n v="0"/>
    <n v="0"/>
    <n v="793"/>
    <n v="909"/>
    <n v="26501804.302663442"/>
    <n v="25521272.704238329"/>
    <n v="14701054.025044722"/>
    <n v="14043862.606007067"/>
    <n v="12123038.244400198"/>
    <n v="9911095.1999999993"/>
    <n v="4889183"/>
    <n v="2843834.3171355501"/>
    <n v="0"/>
    <n v="3446232.6261467887"/>
    <n v="0"/>
    <n v="0"/>
    <n v="58215079.572108366"/>
    <n v="55766297.453527734"/>
  </r>
  <r>
    <x v="12"/>
    <s v="Tennessee Technological University "/>
    <m/>
    <n v="221847"/>
    <x v="2"/>
    <n v="138"/>
    <n v="133"/>
    <m/>
    <m/>
    <n v="4"/>
    <m/>
    <m/>
    <n v="2"/>
    <n v="81"/>
    <n v="83"/>
    <m/>
    <m/>
    <n v="7"/>
    <m/>
    <m/>
    <m/>
    <n v="73"/>
    <n v="73"/>
    <m/>
    <m/>
    <n v="3"/>
    <m/>
    <m/>
    <n v="2"/>
    <n v="64"/>
    <n v="73"/>
    <m/>
    <m/>
    <n v="4"/>
    <m/>
    <m/>
    <n v="1"/>
    <n v="0"/>
    <m/>
    <m/>
    <m/>
    <n v="0"/>
    <m/>
    <m/>
    <m/>
    <m/>
    <m/>
    <m/>
    <m/>
    <m/>
    <m/>
    <m/>
    <m/>
    <n v="11046130"/>
    <n v="11242050"/>
    <n v="5762540"/>
    <n v="5727088"/>
    <n v="4052430"/>
    <n v="4290445"/>
    <n v="2717860"/>
    <n v="3090340"/>
    <n v="0"/>
    <m/>
    <n v="0"/>
    <m/>
    <n v="1286"/>
    <n v="1221"/>
    <n v="806"/>
    <n v="747"/>
    <n v="690"/>
    <n v="681"/>
    <n v="620"/>
    <n v="669"/>
    <n v="0"/>
    <n v="0"/>
    <n v="0"/>
    <n v="0"/>
    <n v="8589.5256609642311"/>
    <n v="9207.2481572481574"/>
    <n v="7149.5533498759305"/>
    <n v="7666.7844712182059"/>
    <n v="5873.086956521739"/>
    <n v="6300.2129221732748"/>
    <n v="4383.6451612903229"/>
    <n v="4619.3423019431984"/>
    <n v="0"/>
    <n v="0"/>
    <n v="0"/>
    <n v="0"/>
    <n v="77305.730948678072"/>
    <n v="82865.233415233422"/>
    <n v="64345.980148883376"/>
    <n v="69001.060240963852"/>
    <n v="52857.782608695648"/>
    <n v="56701.916299559474"/>
    <n v="39452.806451612909"/>
    <n v="41574.080717488789"/>
    <n v="0"/>
    <n v="0"/>
    <n v="0"/>
    <n v="0"/>
    <n v="62405.995627766235"/>
    <n v="66057.275767350526"/>
    <n v="142"/>
    <n v="135"/>
    <n v="88"/>
    <n v="83"/>
    <n v="76"/>
    <n v="75"/>
    <n v="68"/>
    <n v="74"/>
    <n v="0"/>
    <n v="0"/>
    <n v="0"/>
    <n v="0"/>
    <n v="374"/>
    <n v="367"/>
    <n v="10977413.794712286"/>
    <n v="11186806.511056513"/>
    <n v="5662446.2531017372"/>
    <n v="5727088"/>
    <n v="4017191.4782608692"/>
    <n v="4252643.7224669605"/>
    <n v="2682790.8387096776"/>
    <n v="3076481.9730941704"/>
    <n v="0"/>
    <n v="0"/>
    <n v="0"/>
    <n v="0"/>
    <n v="23339842.364784572"/>
    <n v="24243020.206617642"/>
  </r>
  <r>
    <x v="12"/>
    <s v="University of Tennessee at Chattanooga"/>
    <m/>
    <n v="221740"/>
    <x v="2"/>
    <n v="127"/>
    <n v="130"/>
    <m/>
    <m/>
    <n v="29"/>
    <m/>
    <m/>
    <n v="30"/>
    <n v="92"/>
    <n v="84"/>
    <m/>
    <m/>
    <n v="8"/>
    <m/>
    <m/>
    <n v="9"/>
    <n v="78"/>
    <n v="89"/>
    <m/>
    <m/>
    <n v="3"/>
    <m/>
    <m/>
    <n v="7"/>
    <n v="9"/>
    <n v="13"/>
    <m/>
    <m/>
    <n v="2"/>
    <m/>
    <m/>
    <n v="0"/>
    <n v="86"/>
    <n v="88"/>
    <m/>
    <m/>
    <n v="3"/>
    <m/>
    <m/>
    <n v="4"/>
    <m/>
    <m/>
    <m/>
    <m/>
    <m/>
    <m/>
    <m/>
    <m/>
    <n v="14191394"/>
    <n v="15113944"/>
    <n v="6744615.9999999991"/>
    <n v="6635411"/>
    <n v="4547139"/>
    <n v="5635280"/>
    <n v="520916"/>
    <n v="618587"/>
    <n v="3374469"/>
    <n v="3607802"/>
    <n v="0"/>
    <m/>
    <n v="1462"/>
    <n v="1530"/>
    <n v="916"/>
    <n v="864"/>
    <n v="735"/>
    <n v="885"/>
    <n v="103"/>
    <n v="117"/>
    <n v="807"/>
    <n v="840"/>
    <n v="0"/>
    <n v="0"/>
    <n v="9706.8358413132701"/>
    <n v="9878.3947712418303"/>
    <n v="7363.1179039301296"/>
    <n v="7679.8738425925922"/>
    <n v="6186.5836734693876"/>
    <n v="6367.5480225988704"/>
    <n v="5057.4368932038833"/>
    <n v="5287.068376068376"/>
    <n v="4181.4981412639409"/>
    <n v="4295.0023809523809"/>
    <n v="0"/>
    <n v="0"/>
    <n v="87361.522571819427"/>
    <n v="88905.552941176473"/>
    <n v="66268.061135371172"/>
    <n v="69118.864583333328"/>
    <n v="55679.253061224488"/>
    <n v="57307.932203389835"/>
    <n v="45516.932038834952"/>
    <n v="47583.615384615383"/>
    <n v="37633.483271375466"/>
    <n v="38655.021428571432"/>
    <n v="0"/>
    <n v="0"/>
    <n v="65481.211433134391"/>
    <n v="66804.743039189954"/>
    <n v="156"/>
    <n v="160"/>
    <n v="100"/>
    <n v="93"/>
    <n v="81"/>
    <n v="96"/>
    <n v="11"/>
    <n v="13"/>
    <n v="89"/>
    <n v="92"/>
    <n v="0"/>
    <n v="0"/>
    <n v="437"/>
    <n v="454"/>
    <n v="13628397.521203831"/>
    <n v="14224888.470588235"/>
    <n v="6626806.1135371169"/>
    <n v="6428054.40625"/>
    <n v="4510019.4979591835"/>
    <n v="5501561.4915254246"/>
    <n v="500686.25242718449"/>
    <n v="618587"/>
    <n v="3349380.0111524165"/>
    <n v="3556261.9714285717"/>
    <n v="0"/>
    <n v="0"/>
    <n v="28615289.39627973"/>
    <n v="30329353.33979224"/>
  </r>
  <r>
    <x v="12"/>
    <s v="University of Tennessee at Martin"/>
    <m/>
    <n v="221768"/>
    <x v="4"/>
    <n v="59"/>
    <n v="64"/>
    <m/>
    <m/>
    <n v="17"/>
    <m/>
    <m/>
    <n v="5"/>
    <n v="59"/>
    <n v="52"/>
    <m/>
    <m/>
    <n v="5"/>
    <m/>
    <m/>
    <n v="9"/>
    <n v="76"/>
    <n v="74"/>
    <m/>
    <m/>
    <n v="3"/>
    <m/>
    <m/>
    <n v="3"/>
    <n v="16"/>
    <n v="13"/>
    <m/>
    <m/>
    <n v="3"/>
    <m/>
    <m/>
    <n v="3"/>
    <n v="34"/>
    <n v="39"/>
    <m/>
    <m/>
    <m/>
    <m/>
    <m/>
    <n v="1"/>
    <m/>
    <m/>
    <m/>
    <m/>
    <m/>
    <m/>
    <m/>
    <m/>
    <n v="5974136"/>
    <n v="4231413"/>
    <n v="4077677"/>
    <n v="4374253"/>
    <n v="4316445"/>
    <n v="4151458"/>
    <n v="944043"/>
    <n v="673907"/>
    <n v="1465953"/>
    <n v="1705763"/>
    <n v="0"/>
    <m/>
    <n v="718"/>
    <n v="636"/>
    <n v="586"/>
    <n v="576"/>
    <n v="717"/>
    <n v="702"/>
    <n v="177"/>
    <n v="153"/>
    <n v="306"/>
    <n v="363"/>
    <n v="0"/>
    <n v="0"/>
    <n v="8320.5236768802224"/>
    <n v="6653.1650943396226"/>
    <n v="6958.4931740614338"/>
    <n v="7594.1892361111113"/>
    <n v="6020.1464435146445"/>
    <n v="5913.7578347578346"/>
    <n v="5333.5762711864409"/>
    <n v="4404.6209150326795"/>
    <n v="4790.6960784313724"/>
    <n v="4699.0716253443525"/>
    <n v="0"/>
    <n v="0"/>
    <n v="74884.713091922007"/>
    <n v="59878.485849056604"/>
    <n v="62626.438566552904"/>
    <n v="68347.703125"/>
    <n v="54181.317991631804"/>
    <n v="53223.820512820515"/>
    <n v="48002.186440677964"/>
    <n v="39641.588235294112"/>
    <n v="43116.26470588235"/>
    <n v="42291.644628099173"/>
    <n v="0"/>
    <n v="0"/>
    <n v="60138.415172636953"/>
    <n v="55988.558139109344"/>
    <n v="76"/>
    <n v="69"/>
    <n v="64"/>
    <n v="61"/>
    <n v="79"/>
    <n v="77"/>
    <n v="19"/>
    <n v="16"/>
    <n v="34"/>
    <n v="40"/>
    <n v="0"/>
    <n v="0"/>
    <n v="272"/>
    <n v="263"/>
    <n v="5691238.1949860724"/>
    <n v="4131615.5235849055"/>
    <n v="4008092.0682593859"/>
    <n v="4169209.890625"/>
    <n v="4280324.1213389123"/>
    <n v="4098234.1794871795"/>
    <n v="912041.54237288132"/>
    <n v="634265.41176470579"/>
    <n v="1465953"/>
    <n v="1691665.7851239669"/>
    <n v="0"/>
    <n v="0"/>
    <n v="16357648.926957252"/>
    <n v="14724990.790585758"/>
  </r>
  <r>
    <x v="12"/>
    <s v="Chattanooga State Technical Community College "/>
    <m/>
    <n v="219824"/>
    <x v="6"/>
    <n v="21"/>
    <n v="21"/>
    <m/>
    <m/>
    <n v="5"/>
    <m/>
    <m/>
    <n v="3"/>
    <n v="71"/>
    <n v="74"/>
    <m/>
    <m/>
    <n v="16"/>
    <m/>
    <m/>
    <n v="17"/>
    <n v="40"/>
    <n v="41"/>
    <m/>
    <m/>
    <n v="6"/>
    <m/>
    <m/>
    <n v="8"/>
    <n v="23"/>
    <n v="21"/>
    <m/>
    <m/>
    <n v="48"/>
    <m/>
    <m/>
    <n v="49"/>
    <n v="0"/>
    <m/>
    <m/>
    <m/>
    <m/>
    <m/>
    <m/>
    <m/>
    <m/>
    <m/>
    <m/>
    <m/>
    <m/>
    <m/>
    <m/>
    <m/>
    <n v="1587705"/>
    <n v="854366"/>
    <n v="4677487"/>
    <n v="3331424"/>
    <n v="2196676"/>
    <n v="2377199"/>
    <n v="3398121"/>
    <n v="2600345"/>
    <n v="0"/>
    <m/>
    <n v="0"/>
    <m/>
    <n v="244"/>
    <n v="225"/>
    <n v="815"/>
    <n v="870"/>
    <n v="426"/>
    <n v="465"/>
    <n v="735"/>
    <n v="777"/>
    <n v="0"/>
    <n v="0"/>
    <n v="0"/>
    <n v="0"/>
    <n v="6506.9877049180332"/>
    <n v="3797.1822222222222"/>
    <n v="5739.2478527607364"/>
    <n v="3829.2229885057473"/>
    <n v="5156.5164319248825"/>
    <n v="5112.2559139784944"/>
    <n v="4623.2938775510202"/>
    <n v="3346.6473616473618"/>
    <n v="0"/>
    <n v="0"/>
    <n v="0"/>
    <n v="0"/>
    <n v="58562.889344262301"/>
    <n v="34174.639999999999"/>
    <n v="51653.230674846629"/>
    <n v="34463.006896551728"/>
    <n v="46408.647887323939"/>
    <n v="46010.303225806449"/>
    <n v="41609.644897959181"/>
    <n v="30119.826254826257"/>
    <n v="0"/>
    <n v="0"/>
    <n v="0"/>
    <n v="0"/>
    <n v="48284.99470536731"/>
    <n v="35552.212322600688"/>
    <n v="26"/>
    <n v="24"/>
    <n v="87"/>
    <n v="91"/>
    <n v="46"/>
    <n v="49"/>
    <n v="71"/>
    <n v="70"/>
    <n v="0"/>
    <n v="0"/>
    <n v="0"/>
    <n v="0"/>
    <n v="230"/>
    <n v="234"/>
    <n v="1522635.1229508198"/>
    <n v="820191.36"/>
    <n v="4493831.0687116571"/>
    <n v="3136133.6275862074"/>
    <n v="2134797.8028169014"/>
    <n v="2254504.858064516"/>
    <n v="2954284.7877551019"/>
    <n v="2108387.8378378381"/>
    <n v="0"/>
    <n v="0"/>
    <n v="0"/>
    <n v="0"/>
    <n v="11105548.782234481"/>
    <n v="8319217.6834885608"/>
  </r>
  <r>
    <x v="12"/>
    <s v="Nashville State Technical Community College"/>
    <m/>
    <n v="221184"/>
    <x v="6"/>
    <n v="6"/>
    <n v="6"/>
    <m/>
    <m/>
    <n v="0"/>
    <m/>
    <m/>
    <m/>
    <n v="44"/>
    <n v="41"/>
    <m/>
    <m/>
    <n v="0"/>
    <m/>
    <m/>
    <m/>
    <n v="38"/>
    <n v="36"/>
    <m/>
    <m/>
    <n v="0"/>
    <m/>
    <m/>
    <m/>
    <n v="78"/>
    <n v="86"/>
    <m/>
    <m/>
    <n v="1"/>
    <m/>
    <m/>
    <m/>
    <n v="0"/>
    <m/>
    <m/>
    <m/>
    <m/>
    <m/>
    <m/>
    <m/>
    <m/>
    <m/>
    <m/>
    <m/>
    <m/>
    <m/>
    <m/>
    <m/>
    <n v="375583"/>
    <n v="384974"/>
    <n v="2289073"/>
    <n v="2186061"/>
    <n v="1624656"/>
    <n v="1585058"/>
    <n v="3227921"/>
    <n v="3547389"/>
    <n v="0"/>
    <m/>
    <n v="0"/>
    <m/>
    <n v="54"/>
    <n v="54"/>
    <n v="396"/>
    <n v="369"/>
    <n v="342"/>
    <n v="324"/>
    <n v="713"/>
    <n v="774"/>
    <n v="0"/>
    <n v="0"/>
    <n v="0"/>
    <n v="0"/>
    <n v="6955.2407407407409"/>
    <n v="7129.1481481481478"/>
    <n v="5780.4873737373737"/>
    <n v="5924.2845528455282"/>
    <n v="4750.4561403508769"/>
    <n v="4892.1543209876545"/>
    <n v="4527.2384291725102"/>
    <n v="4583.1899224806202"/>
    <n v="0"/>
    <n v="0"/>
    <n v="0"/>
    <n v="0"/>
    <n v="62597.166666666672"/>
    <n v="64162.333333333328"/>
    <n v="52024.38636363636"/>
    <n v="53318.560975609755"/>
    <n v="42754.105263157893"/>
    <n v="44029.388888888891"/>
    <n v="40745.145862552592"/>
    <n v="41248.70930232558"/>
    <n v="0"/>
    <n v="0"/>
    <n v="0"/>
    <n v="0"/>
    <n v="44959.152833183558"/>
    <n v="45582.73372781065"/>
    <n v="6"/>
    <n v="6"/>
    <n v="44"/>
    <n v="41"/>
    <n v="38"/>
    <n v="36"/>
    <n v="79"/>
    <n v="86"/>
    <n v="0"/>
    <n v="0"/>
    <n v="0"/>
    <n v="0"/>
    <n v="167"/>
    <n v="169"/>
    <n v="375583"/>
    <n v="384974"/>
    <n v="2289073"/>
    <n v="2186061"/>
    <n v="1624656"/>
    <n v="1585058"/>
    <n v="3218866.5231416547"/>
    <n v="3547389"/>
    <n v="0"/>
    <n v="0"/>
    <n v="0"/>
    <n v="0"/>
    <n v="7508178.5231416542"/>
    <n v="7703482"/>
  </r>
  <r>
    <x v="12"/>
    <s v="Pellissippi State Technical Community College"/>
    <m/>
    <n v="221643"/>
    <x v="6"/>
    <n v="40"/>
    <n v="40"/>
    <m/>
    <m/>
    <n v="5"/>
    <m/>
    <m/>
    <n v="5"/>
    <n v="93"/>
    <n v="89"/>
    <m/>
    <m/>
    <n v="1"/>
    <m/>
    <m/>
    <n v="1"/>
    <n v="26"/>
    <n v="31"/>
    <m/>
    <m/>
    <n v="0"/>
    <m/>
    <m/>
    <m/>
    <n v="55"/>
    <n v="59"/>
    <m/>
    <m/>
    <n v="1"/>
    <m/>
    <m/>
    <m/>
    <n v="0"/>
    <m/>
    <m/>
    <m/>
    <m/>
    <m/>
    <m/>
    <m/>
    <m/>
    <m/>
    <m/>
    <m/>
    <m/>
    <m/>
    <m/>
    <m/>
    <n v="2810490"/>
    <n v="2852550"/>
    <n v="4931520"/>
    <n v="4830850"/>
    <n v="1102010"/>
    <n v="1317740"/>
    <n v="2023979.9999999998"/>
    <n v="2147140"/>
    <n v="0"/>
    <m/>
    <n v="0"/>
    <m/>
    <n v="415"/>
    <n v="420"/>
    <n v="848"/>
    <n v="813"/>
    <n v="234"/>
    <n v="279"/>
    <n v="506"/>
    <n v="531"/>
    <n v="0"/>
    <n v="0"/>
    <n v="0"/>
    <n v="0"/>
    <n v="6772.265060240964"/>
    <n v="6791.7857142857147"/>
    <n v="5815.4716981132078"/>
    <n v="5942.0049200492003"/>
    <n v="4709.4444444444443"/>
    <n v="4723.0824372759853"/>
    <n v="3999.9604743083"/>
    <n v="4043.578154425612"/>
    <n v="0"/>
    <n v="0"/>
    <n v="0"/>
    <n v="0"/>
    <n v="60950.385542168675"/>
    <n v="61126.071428571435"/>
    <n v="52339.24528301887"/>
    <n v="53478.044280442802"/>
    <n v="42385"/>
    <n v="42507.741935483864"/>
    <n v="35999.644268774704"/>
    <n v="36392.203389830509"/>
    <n v="0"/>
    <n v="0"/>
    <n v="0"/>
    <n v="0"/>
    <n v="48781.205814718305"/>
    <n v="49015.898664558074"/>
    <n v="45"/>
    <n v="45"/>
    <n v="94"/>
    <n v="90"/>
    <n v="26"/>
    <n v="31"/>
    <n v="56"/>
    <n v="59"/>
    <n v="0"/>
    <n v="0"/>
    <n v="0"/>
    <n v="0"/>
    <n v="221"/>
    <n v="225"/>
    <n v="2742767.3493975904"/>
    <n v="2750673.2142857146"/>
    <n v="4919889.0566037735"/>
    <n v="4813023.9852398522"/>
    <n v="1102010"/>
    <n v="1317739.9999999998"/>
    <n v="2015980.0790513833"/>
    <n v="2147140"/>
    <n v="0"/>
    <n v="0"/>
    <n v="0"/>
    <n v="0"/>
    <n v="10780646.485052746"/>
    <n v="11028577.199525567"/>
  </r>
  <r>
    <x v="12"/>
    <s v="Southwest Tennessee Community College"/>
    <m/>
    <n v="221485"/>
    <x v="6"/>
    <n v="14"/>
    <n v="13"/>
    <m/>
    <m/>
    <n v="3"/>
    <m/>
    <m/>
    <n v="2"/>
    <n v="88"/>
    <n v="77"/>
    <m/>
    <m/>
    <n v="9"/>
    <m/>
    <m/>
    <n v="6"/>
    <n v="52"/>
    <n v="49"/>
    <m/>
    <m/>
    <n v="0"/>
    <m/>
    <m/>
    <n v="1"/>
    <n v="52"/>
    <n v="54"/>
    <m/>
    <m/>
    <n v="0"/>
    <m/>
    <m/>
    <m/>
    <n v="0"/>
    <m/>
    <m/>
    <m/>
    <m/>
    <m/>
    <m/>
    <m/>
    <m/>
    <m/>
    <m/>
    <m/>
    <m/>
    <m/>
    <m/>
    <m/>
    <n v="1072068"/>
    <n v="963168"/>
    <n v="4469712"/>
    <n v="4343508"/>
    <n v="2186585"/>
    <n v="2166456"/>
    <n v="1739125"/>
    <n v="1873604"/>
    <n v="0"/>
    <m/>
    <n v="0"/>
    <m/>
    <n v="159"/>
    <n v="141"/>
    <n v="891"/>
    <n v="765"/>
    <n v="468"/>
    <n v="453"/>
    <n v="468"/>
    <n v="486"/>
    <n v="0"/>
    <n v="0"/>
    <n v="0"/>
    <n v="0"/>
    <n v="6742.566037735849"/>
    <n v="6830.9787234042551"/>
    <n v="5016.5117845117848"/>
    <n v="5677.7882352941178"/>
    <n v="4672.1901709401709"/>
    <n v="4782.4635761589407"/>
    <n v="3716.07905982906"/>
    <n v="3855.1522633744858"/>
    <n v="0"/>
    <n v="0"/>
    <n v="0"/>
    <n v="0"/>
    <n v="60683.094339622643"/>
    <n v="61478.808510638293"/>
    <n v="45148.606060606064"/>
    <n v="51100.094117647059"/>
    <n v="42049.711538461539"/>
    <n v="43042.172185430463"/>
    <n v="33444.711538461539"/>
    <n v="34696.370370370372"/>
    <n v="0"/>
    <n v="0"/>
    <n v="0"/>
    <n v="0"/>
    <n v="42829.07060390996"/>
    <n v="45491.101726216846"/>
    <n v="17"/>
    <n v="15"/>
    <n v="97"/>
    <n v="83"/>
    <n v="52"/>
    <n v="50"/>
    <n v="52"/>
    <n v="54"/>
    <n v="0"/>
    <n v="0"/>
    <n v="0"/>
    <n v="0"/>
    <n v="218"/>
    <n v="202"/>
    <n v="1031612.6037735849"/>
    <n v="922182.12765957438"/>
    <n v="4379414.7878787881"/>
    <n v="4241307.8117647059"/>
    <n v="2186585"/>
    <n v="2152108.6092715231"/>
    <n v="1739125"/>
    <n v="1873604"/>
    <n v="0"/>
    <n v="0"/>
    <n v="0"/>
    <n v="0"/>
    <n v="9336737.3916523717"/>
    <n v="9189202.5486958027"/>
  </r>
  <r>
    <x v="12"/>
    <s v="Volunteer State Community College "/>
    <m/>
    <n v="222053"/>
    <x v="6"/>
    <n v="17"/>
    <n v="18"/>
    <m/>
    <m/>
    <n v="1"/>
    <m/>
    <m/>
    <n v="1"/>
    <n v="71"/>
    <n v="66"/>
    <m/>
    <m/>
    <n v="10"/>
    <m/>
    <m/>
    <n v="10"/>
    <n v="10"/>
    <n v="8"/>
    <m/>
    <m/>
    <n v="6"/>
    <m/>
    <m/>
    <n v="8"/>
    <n v="24"/>
    <n v="31"/>
    <m/>
    <m/>
    <n v="13"/>
    <m/>
    <m/>
    <n v="11"/>
    <n v="0"/>
    <m/>
    <m/>
    <m/>
    <m/>
    <m/>
    <m/>
    <m/>
    <m/>
    <m/>
    <m/>
    <m/>
    <m/>
    <m/>
    <m/>
    <m/>
    <n v="1064664"/>
    <n v="1140544"/>
    <n v="4204821"/>
    <n v="4138879"/>
    <n v="802531"/>
    <n v="893852"/>
    <n v="1710497"/>
    <n v="1926585"/>
    <n v="0"/>
    <m/>
    <n v="0"/>
    <m/>
    <n v="164"/>
    <n v="174"/>
    <n v="749"/>
    <n v="714"/>
    <n v="156"/>
    <n v="168"/>
    <n v="359"/>
    <n v="411"/>
    <n v="0"/>
    <n v="0"/>
    <n v="0"/>
    <n v="0"/>
    <n v="6491.8536585365855"/>
    <n v="6554.8505747126437"/>
    <n v="5613.913217623498"/>
    <n v="5796.7492997198879"/>
    <n v="5144.4294871794873"/>
    <n v="5320.5476190476193"/>
    <n v="4764.6155988857936"/>
    <n v="4687.554744525547"/>
    <n v="0"/>
    <n v="0"/>
    <n v="0"/>
    <n v="0"/>
    <n v="58426.682926829271"/>
    <n v="58993.655172413797"/>
    <n v="50525.218958611484"/>
    <n v="52170.743697478989"/>
    <n v="46299.865384615383"/>
    <n v="47884.928571428572"/>
    <n v="42881.540389972142"/>
    <n v="42187.992700729927"/>
    <n v="0"/>
    <n v="0"/>
    <n v="0"/>
    <n v="0"/>
    <n v="49155.512295482054"/>
    <n v="49829.480521946272"/>
    <n v="18"/>
    <n v="19"/>
    <n v="81"/>
    <n v="76"/>
    <n v="16"/>
    <n v="16"/>
    <n v="37"/>
    <n v="42"/>
    <n v="0"/>
    <n v="0"/>
    <n v="0"/>
    <n v="0"/>
    <n v="152"/>
    <n v="153"/>
    <n v="1051680.2926829269"/>
    <n v="1120879.4482758623"/>
    <n v="4092542.7356475303"/>
    <n v="3964976.521008403"/>
    <n v="740797.84615384613"/>
    <n v="766158.85714285716"/>
    <n v="1586616.9944289692"/>
    <n v="1771895.693430657"/>
    <n v="0"/>
    <n v="0"/>
    <n v="0"/>
    <n v="0"/>
    <n v="7471637.8689132724"/>
    <n v="7623910.5198577801"/>
  </r>
  <r>
    <x v="12"/>
    <s v="Cleveland State Community College "/>
    <m/>
    <n v="219879"/>
    <x v="7"/>
    <n v="5"/>
    <n v="3"/>
    <m/>
    <m/>
    <n v="0"/>
    <m/>
    <m/>
    <n v="0"/>
    <n v="29"/>
    <n v="29"/>
    <m/>
    <m/>
    <n v="1"/>
    <m/>
    <m/>
    <n v="2"/>
    <n v="13"/>
    <n v="19"/>
    <m/>
    <m/>
    <n v="2"/>
    <m/>
    <m/>
    <n v="2"/>
    <n v="19"/>
    <n v="16"/>
    <m/>
    <m/>
    <n v="1"/>
    <m/>
    <m/>
    <n v="1"/>
    <n v="0"/>
    <m/>
    <m/>
    <m/>
    <m/>
    <m/>
    <m/>
    <m/>
    <m/>
    <m/>
    <m/>
    <m/>
    <m/>
    <m/>
    <m/>
    <m/>
    <n v="298176"/>
    <n v="177864"/>
    <n v="1474692"/>
    <n v="1575746"/>
    <n v="588228"/>
    <n v="898100"/>
    <n v="737250"/>
    <n v="697402"/>
    <n v="0"/>
    <m/>
    <n v="0"/>
    <m/>
    <n v="45"/>
    <n v="27"/>
    <n v="272"/>
    <n v="285"/>
    <n v="139"/>
    <n v="195"/>
    <n v="182"/>
    <n v="156"/>
    <n v="0"/>
    <n v="0"/>
    <n v="0"/>
    <n v="0"/>
    <n v="6626.1333333333332"/>
    <n v="6587.5555555555557"/>
    <n v="5421.661764705882"/>
    <n v="5528.9333333333334"/>
    <n v="4231.8561151079139"/>
    <n v="4605.6410256410254"/>
    <n v="4050.8241758241757"/>
    <n v="4470.5256410256407"/>
    <n v="0"/>
    <n v="0"/>
    <n v="0"/>
    <n v="0"/>
    <n v="59635.199999999997"/>
    <n v="59288"/>
    <n v="48794.955882352937"/>
    <n v="49760.4"/>
    <n v="38086.705035971223"/>
    <n v="41450.769230769227"/>
    <n v="36457.417582417584"/>
    <n v="40234.730769230766"/>
    <n v="0"/>
    <n v="0"/>
    <n v="0"/>
    <n v="0"/>
    <n v="43749.622909407255"/>
    <n v="45484.624679487177"/>
    <n v="5"/>
    <n v="3"/>
    <n v="30"/>
    <n v="31"/>
    <n v="15"/>
    <n v="21"/>
    <n v="20"/>
    <n v="17"/>
    <n v="0"/>
    <n v="0"/>
    <n v="0"/>
    <n v="0"/>
    <n v="70"/>
    <n v="72"/>
    <n v="298176"/>
    <n v="177864"/>
    <n v="1463848.6764705882"/>
    <n v="1542572.4000000001"/>
    <n v="571300.57553956832"/>
    <n v="870466.15384615376"/>
    <n v="729148.35164835164"/>
    <n v="683990.42307692301"/>
    <n v="0"/>
    <n v="0"/>
    <n v="0"/>
    <n v="0"/>
    <n v="3062473.603658508"/>
    <n v="3274892.9769230769"/>
  </r>
  <r>
    <x v="12"/>
    <s v="Columbia State Community College "/>
    <m/>
    <n v="219888"/>
    <x v="7"/>
    <n v="12"/>
    <m/>
    <m/>
    <n v="10"/>
    <n v="0"/>
    <m/>
    <m/>
    <m/>
    <n v="34"/>
    <m/>
    <m/>
    <n v="28"/>
    <n v="6"/>
    <m/>
    <m/>
    <n v="8"/>
    <n v="21"/>
    <m/>
    <m/>
    <n v="23"/>
    <n v="3"/>
    <m/>
    <m/>
    <n v="3"/>
    <n v="18"/>
    <m/>
    <m/>
    <n v="21"/>
    <n v="3"/>
    <m/>
    <m/>
    <n v="5"/>
    <n v="0"/>
    <m/>
    <m/>
    <m/>
    <m/>
    <m/>
    <m/>
    <m/>
    <m/>
    <m/>
    <m/>
    <m/>
    <m/>
    <m/>
    <m/>
    <m/>
    <n v="817700"/>
    <n v="668720"/>
    <n v="2128580"/>
    <n v="1982630"/>
    <n v="1077509"/>
    <n v="1187630"/>
    <n v="809406"/>
    <n v="1010160"/>
    <n v="0"/>
    <m/>
    <n v="0"/>
    <m/>
    <n v="108"/>
    <n v="100"/>
    <n v="372"/>
    <n v="376"/>
    <n v="222"/>
    <n v="266"/>
    <n v="195"/>
    <n v="270"/>
    <n v="0"/>
    <n v="0"/>
    <n v="0"/>
    <n v="0"/>
    <n v="7571.2962962962965"/>
    <n v="6687.2"/>
    <n v="5721.989247311828"/>
    <n v="5272.9521276595742"/>
    <n v="4853.6441441441439"/>
    <n v="4464.7744360902252"/>
    <n v="4150.8"/>
    <n v="3741.3333333333335"/>
    <n v="0"/>
    <n v="0"/>
    <n v="0"/>
    <n v="0"/>
    <n v="68141.666666666672"/>
    <n v="60184.799999999996"/>
    <n v="51497.903225806454"/>
    <n v="47456.569148936171"/>
    <n v="43682.797297297293"/>
    <n v="40182.969924812031"/>
    <n v="37357.200000000004"/>
    <n v="33672"/>
    <n v="0"/>
    <n v="0"/>
    <n v="0"/>
    <n v="0"/>
    <n v="48561.901692447347"/>
    <n v="43168.507218436891"/>
    <n v="12"/>
    <n v="10"/>
    <n v="40"/>
    <n v="36"/>
    <n v="24"/>
    <n v="26"/>
    <n v="21"/>
    <n v="26"/>
    <n v="0"/>
    <n v="0"/>
    <n v="0"/>
    <n v="0"/>
    <n v="97"/>
    <n v="98"/>
    <n v="817700"/>
    <n v="601848"/>
    <n v="2059916.1290322582"/>
    <n v="1708436.4893617022"/>
    <n v="1048387.135135135"/>
    <n v="1044757.2180451128"/>
    <n v="784501.20000000007"/>
    <n v="875472"/>
    <n v="0"/>
    <n v="0"/>
    <n v="0"/>
    <n v="0"/>
    <n v="4710504.4641673928"/>
    <n v="4230513.7074068151"/>
  </r>
  <r>
    <x v="12"/>
    <s v="Dyersburg State Community College "/>
    <m/>
    <n v="220057"/>
    <x v="7"/>
    <n v="10"/>
    <n v="8"/>
    <m/>
    <m/>
    <n v="0"/>
    <m/>
    <m/>
    <m/>
    <n v="16"/>
    <n v="21"/>
    <m/>
    <m/>
    <n v="3"/>
    <m/>
    <m/>
    <n v="3"/>
    <n v="9"/>
    <n v="9"/>
    <m/>
    <m/>
    <n v="0"/>
    <m/>
    <m/>
    <m/>
    <n v="16"/>
    <n v="15"/>
    <m/>
    <m/>
    <n v="5"/>
    <m/>
    <m/>
    <n v="5"/>
    <n v="0"/>
    <m/>
    <m/>
    <m/>
    <m/>
    <m/>
    <m/>
    <m/>
    <m/>
    <m/>
    <m/>
    <m/>
    <m/>
    <m/>
    <m/>
    <m/>
    <n v="576258"/>
    <n v="473655"/>
    <n v="997444"/>
    <n v="1268759"/>
    <n v="433613"/>
    <n v="461551"/>
    <n v="987652"/>
    <n v="990331"/>
    <n v="0"/>
    <m/>
    <n v="0"/>
    <m/>
    <n v="90"/>
    <n v="72"/>
    <n v="177"/>
    <n v="225"/>
    <n v="81"/>
    <n v="81"/>
    <n v="199"/>
    <n v="195"/>
    <n v="0"/>
    <n v="0"/>
    <n v="0"/>
    <n v="0"/>
    <n v="6402.8666666666668"/>
    <n v="6578.541666666667"/>
    <n v="5635.2768361581921"/>
    <n v="5638.9288888888887"/>
    <n v="5353.2469135802467"/>
    <n v="5698.1604938271603"/>
    <n v="4963.0753768844224"/>
    <n v="5078.6205128205129"/>
    <n v="0"/>
    <n v="0"/>
    <n v="0"/>
    <n v="0"/>
    <n v="57625.8"/>
    <n v="59206.875"/>
    <n v="50717.491525423728"/>
    <n v="50750.36"/>
    <n v="48179.222222222219"/>
    <n v="51283.444444444445"/>
    <n v="44667.678391959802"/>
    <n v="45707.584615384614"/>
    <n v="0"/>
    <n v="0"/>
    <n v="0"/>
    <n v="0"/>
    <n v="49347.874325664518"/>
    <n v="50284.693972257257"/>
    <n v="10"/>
    <n v="8"/>
    <n v="19"/>
    <n v="24"/>
    <n v="9"/>
    <n v="9"/>
    <n v="21"/>
    <n v="20"/>
    <n v="0"/>
    <n v="0"/>
    <n v="0"/>
    <n v="0"/>
    <n v="59"/>
    <n v="61"/>
    <n v="576258"/>
    <n v="473655"/>
    <n v="963632.33898305078"/>
    <n v="1218008.6400000001"/>
    <n v="433613"/>
    <n v="461551"/>
    <n v="938021.24623115582"/>
    <n v="914151.69230769225"/>
    <n v="0"/>
    <n v="0"/>
    <n v="0"/>
    <n v="0"/>
    <n v="2911524.5852142065"/>
    <n v="3067366.3323076926"/>
  </r>
  <r>
    <x v="12"/>
    <s v="Jackson State Community College "/>
    <m/>
    <n v="220400"/>
    <x v="7"/>
    <n v="11"/>
    <n v="8"/>
    <m/>
    <m/>
    <n v="1"/>
    <m/>
    <m/>
    <n v="4"/>
    <n v="42"/>
    <n v="46"/>
    <m/>
    <m/>
    <n v="10"/>
    <m/>
    <m/>
    <n v="10"/>
    <n v="19"/>
    <n v="10"/>
    <m/>
    <m/>
    <n v="1"/>
    <m/>
    <m/>
    <n v="1"/>
    <n v="8"/>
    <n v="7"/>
    <m/>
    <m/>
    <n v="1"/>
    <m/>
    <m/>
    <n v="1"/>
    <n v="0"/>
    <m/>
    <m/>
    <m/>
    <m/>
    <m/>
    <m/>
    <m/>
    <m/>
    <m/>
    <m/>
    <m/>
    <m/>
    <m/>
    <m/>
    <m/>
    <n v="744070"/>
    <n v="806530"/>
    <n v="2741439"/>
    <n v="3046202"/>
    <n v="830468"/>
    <n v="516107"/>
    <n v="355713"/>
    <n v="372208"/>
    <n v="0"/>
    <m/>
    <n v="0"/>
    <m/>
    <n v="110"/>
    <n v="120"/>
    <n v="488"/>
    <n v="534"/>
    <n v="182"/>
    <n v="102"/>
    <n v="83"/>
    <n v="75"/>
    <n v="0"/>
    <n v="0"/>
    <n v="0"/>
    <n v="0"/>
    <n v="6764.272727272727"/>
    <n v="6721.083333333333"/>
    <n v="5617.7028688524588"/>
    <n v="5704.4981273408239"/>
    <n v="4563.0109890109889"/>
    <n v="5059.8725490196075"/>
    <n v="4285.6987951807232"/>
    <n v="4962.7733333333335"/>
    <n v="0"/>
    <n v="0"/>
    <n v="0"/>
    <n v="0"/>
    <n v="60878.454545454544"/>
    <n v="60489.75"/>
    <n v="50559.325819672129"/>
    <n v="51340.483146067418"/>
    <n v="41067.0989010989"/>
    <n v="45538.852941176468"/>
    <n v="38571.28915662651"/>
    <n v="44664.959999999999"/>
    <n v="0"/>
    <n v="0"/>
    <n v="0"/>
    <n v="0"/>
    <n v="48689.354597849699"/>
    <n v="51255.070327962254"/>
    <n v="12"/>
    <n v="12"/>
    <n v="52"/>
    <n v="56"/>
    <n v="20"/>
    <n v="11"/>
    <n v="9"/>
    <n v="8"/>
    <n v="0"/>
    <n v="0"/>
    <n v="0"/>
    <n v="0"/>
    <n v="93"/>
    <n v="87"/>
    <n v="730541.45454545459"/>
    <n v="725877"/>
    <n v="2629084.9426229508"/>
    <n v="2875067.0561797754"/>
    <n v="821341.97802197793"/>
    <n v="500927.38235294115"/>
    <n v="347141.60240963858"/>
    <n v="357319.67999999999"/>
    <n v="0"/>
    <n v="0"/>
    <n v="0"/>
    <n v="0"/>
    <n v="4528109.9776000222"/>
    <n v="4459191.1185327163"/>
  </r>
  <r>
    <x v="12"/>
    <s v="Motlow State Community College "/>
    <m/>
    <n v="221096"/>
    <x v="7"/>
    <n v="11"/>
    <n v="10"/>
    <m/>
    <m/>
    <n v="0"/>
    <m/>
    <m/>
    <m/>
    <n v="19"/>
    <n v="31"/>
    <m/>
    <m/>
    <n v="0"/>
    <m/>
    <m/>
    <m/>
    <n v="20"/>
    <n v="21"/>
    <m/>
    <m/>
    <n v="0"/>
    <m/>
    <m/>
    <m/>
    <n v="30"/>
    <n v="18"/>
    <m/>
    <m/>
    <n v="1"/>
    <m/>
    <m/>
    <n v="5"/>
    <n v="0"/>
    <m/>
    <m/>
    <m/>
    <m/>
    <m/>
    <m/>
    <m/>
    <m/>
    <m/>
    <m/>
    <m/>
    <m/>
    <m/>
    <m/>
    <m/>
    <n v="732574"/>
    <n v="660572"/>
    <n v="909809"/>
    <n v="1450574"/>
    <n v="841112"/>
    <n v="929935"/>
    <n v="1210709"/>
    <n v="995089"/>
    <n v="0"/>
    <m/>
    <n v="0"/>
    <m/>
    <n v="99"/>
    <n v="90"/>
    <n v="171"/>
    <n v="279"/>
    <n v="180"/>
    <n v="189"/>
    <n v="281"/>
    <n v="222"/>
    <n v="0"/>
    <n v="0"/>
    <n v="0"/>
    <n v="0"/>
    <n v="7399.7373737373737"/>
    <n v="7339.6888888888889"/>
    <n v="5320.520467836257"/>
    <n v="5199.1899641577065"/>
    <n v="4672.8444444444449"/>
    <n v="4920.2910052910056"/>
    <n v="4308.5729537366551"/>
    <n v="4482.3828828828828"/>
    <n v="0"/>
    <n v="0"/>
    <n v="0"/>
    <n v="0"/>
    <n v="66597.636363636368"/>
    <n v="66057.2"/>
    <n v="47884.684210526313"/>
    <n v="46792.709677419356"/>
    <n v="42055.600000000006"/>
    <n v="44282.619047619053"/>
    <n v="38777.156583629898"/>
    <n v="40341.445945945947"/>
    <n v="0"/>
    <n v="0"/>
    <n v="0"/>
    <n v="0"/>
    <n v="45501.072272747246"/>
    <n v="46693.344197138314"/>
    <n v="11"/>
    <n v="10"/>
    <n v="19"/>
    <n v="31"/>
    <n v="20"/>
    <n v="21"/>
    <n v="31"/>
    <n v="23"/>
    <n v="0"/>
    <n v="0"/>
    <n v="0"/>
    <n v="0"/>
    <n v="81"/>
    <n v="85"/>
    <n v="732574"/>
    <n v="660572"/>
    <n v="909809"/>
    <n v="1450574"/>
    <n v="841112.00000000012"/>
    <n v="929935.00000000012"/>
    <n v="1202091.8540925267"/>
    <n v="927853.2567567568"/>
    <n v="0"/>
    <n v="0"/>
    <n v="0"/>
    <n v="0"/>
    <n v="3685586.8540925267"/>
    <n v="3968934.2567567569"/>
  </r>
  <r>
    <x v="12"/>
    <s v="Northeast State Technical Community College"/>
    <m/>
    <n v="221908"/>
    <x v="7"/>
    <n v="10"/>
    <n v="12"/>
    <m/>
    <m/>
    <n v="2"/>
    <m/>
    <m/>
    <n v="3"/>
    <n v="34"/>
    <n v="35"/>
    <m/>
    <n v="1"/>
    <n v="9"/>
    <m/>
    <m/>
    <n v="6"/>
    <n v="28"/>
    <n v="27"/>
    <m/>
    <m/>
    <n v="2"/>
    <m/>
    <m/>
    <n v="1"/>
    <n v="31"/>
    <n v="32"/>
    <m/>
    <m/>
    <n v="4"/>
    <m/>
    <m/>
    <n v="5"/>
    <n v="0"/>
    <m/>
    <m/>
    <m/>
    <m/>
    <m/>
    <m/>
    <m/>
    <m/>
    <m/>
    <m/>
    <m/>
    <m/>
    <m/>
    <m/>
    <m/>
    <n v="664463"/>
    <n v="868180"/>
    <n v="2188865"/>
    <n v="2108516"/>
    <n v="1188769"/>
    <n v="1133957"/>
    <n v="1327904"/>
    <n v="1491475"/>
    <n v="0"/>
    <m/>
    <n v="0"/>
    <m/>
    <n v="112"/>
    <n v="144"/>
    <n v="405"/>
    <n v="397"/>
    <n v="274"/>
    <n v="255"/>
    <n v="323"/>
    <n v="348"/>
    <n v="0"/>
    <n v="0"/>
    <n v="0"/>
    <n v="0"/>
    <n v="5932.7053571428569"/>
    <n v="6029.0277777777774"/>
    <n v="5404.6049382716046"/>
    <n v="5311.1234256926955"/>
    <n v="4338.5729927007296"/>
    <n v="4446.8901960784315"/>
    <n v="4111.1578947368425"/>
    <n v="4285.8477011494251"/>
    <n v="0"/>
    <n v="0"/>
    <n v="0"/>
    <n v="0"/>
    <n v="53394.34821428571"/>
    <n v="54261.25"/>
    <n v="48641.444444444438"/>
    <n v="47800.110831234262"/>
    <n v="39047.156934306564"/>
    <n v="40022.01176470588"/>
    <n v="37000.42105263158"/>
    <n v="38572.629310344826"/>
    <n v="0"/>
    <n v="0"/>
    <n v="0"/>
    <n v="0"/>
    <n v="43322.864454615345"/>
    <n v="44010.877203330841"/>
    <n v="12"/>
    <n v="15"/>
    <n v="43"/>
    <n v="42"/>
    <n v="30"/>
    <n v="28"/>
    <n v="35"/>
    <n v="37"/>
    <n v="0"/>
    <n v="0"/>
    <n v="0"/>
    <n v="0"/>
    <n v="120"/>
    <n v="122"/>
    <n v="640732.17857142852"/>
    <n v="813918.75"/>
    <n v="2091582.1111111108"/>
    <n v="2007604.6549118389"/>
    <n v="1171414.7080291968"/>
    <n v="1120616.3294117646"/>
    <n v="1295014.7368421054"/>
    <n v="1427187.2844827585"/>
    <n v="0"/>
    <n v="0"/>
    <n v="0"/>
    <n v="0"/>
    <n v="5198743.7345538409"/>
    <n v="5369327.0188063625"/>
  </r>
  <r>
    <x v="12"/>
    <s v="Roane State Community College "/>
    <m/>
    <n v="221397"/>
    <x v="7"/>
    <n v="15"/>
    <n v="14"/>
    <m/>
    <m/>
    <n v="2"/>
    <m/>
    <m/>
    <n v="4"/>
    <n v="66"/>
    <n v="65"/>
    <m/>
    <m/>
    <n v="6"/>
    <m/>
    <m/>
    <n v="6"/>
    <n v="26"/>
    <n v="27"/>
    <m/>
    <m/>
    <n v="5"/>
    <m/>
    <m/>
    <n v="7"/>
    <n v="5"/>
    <n v="5"/>
    <m/>
    <m/>
    <n v="1"/>
    <m/>
    <m/>
    <n v="1"/>
    <n v="0"/>
    <m/>
    <m/>
    <m/>
    <m/>
    <m/>
    <m/>
    <m/>
    <m/>
    <m/>
    <m/>
    <m/>
    <m/>
    <m/>
    <m/>
    <m/>
    <n v="1053289"/>
    <n v="1176944"/>
    <n v="3770276"/>
    <n v="3714363"/>
    <n v="1411341"/>
    <n v="1623923"/>
    <n v="261609"/>
    <n v="265991"/>
    <n v="0"/>
    <m/>
    <n v="0"/>
    <m/>
    <n v="157"/>
    <n v="174"/>
    <n v="660"/>
    <n v="657"/>
    <n v="289"/>
    <n v="327"/>
    <n v="56"/>
    <n v="57"/>
    <n v="0"/>
    <n v="0"/>
    <n v="0"/>
    <n v="0"/>
    <n v="6708.8471337579622"/>
    <n v="6764.045977011494"/>
    <n v="5712.5393939393944"/>
    <n v="5653.5205479452052"/>
    <n v="4883.5328719723184"/>
    <n v="4966.1253822629969"/>
    <n v="4671.5892857142853"/>
    <n v="4666.5087719298244"/>
    <n v="0"/>
    <n v="0"/>
    <n v="0"/>
    <n v="0"/>
    <n v="60379.624203821659"/>
    <n v="60876.413793103449"/>
    <n v="51412.854545454553"/>
    <n v="50881.684931506847"/>
    <n v="43951.795847750866"/>
    <n v="44695.128440366971"/>
    <n v="42044.303571428565"/>
    <n v="41998.57894736842"/>
    <n v="0"/>
    <n v="0"/>
    <n v="0"/>
    <n v="0"/>
    <n v="50340.87802735353"/>
    <n v="50232.565264104931"/>
    <n v="17"/>
    <n v="18"/>
    <n v="72"/>
    <n v="71"/>
    <n v="31"/>
    <n v="34"/>
    <n v="6"/>
    <n v="6"/>
    <n v="0"/>
    <n v="0"/>
    <n v="0"/>
    <n v="0"/>
    <n v="126"/>
    <n v="129"/>
    <n v="1026453.6114649682"/>
    <n v="1095775.448275862"/>
    <n v="3701725.5272727278"/>
    <n v="3612599.6301369863"/>
    <n v="1362505.6712802767"/>
    <n v="1519634.3669724769"/>
    <n v="252265.82142857139"/>
    <n v="251991.4736842105"/>
    <n v="0"/>
    <n v="0"/>
    <n v="0"/>
    <n v="0"/>
    <n v="6342950.631446545"/>
    <n v="6480000.919069536"/>
  </r>
  <r>
    <x v="12"/>
    <s v="Walters State Community College "/>
    <m/>
    <n v="222062"/>
    <x v="7"/>
    <n v="14"/>
    <n v="17"/>
    <m/>
    <m/>
    <n v="6"/>
    <m/>
    <m/>
    <n v="5"/>
    <n v="67"/>
    <n v="68"/>
    <m/>
    <m/>
    <n v="14"/>
    <m/>
    <m/>
    <n v="14"/>
    <n v="27"/>
    <n v="26"/>
    <m/>
    <m/>
    <n v="5"/>
    <m/>
    <m/>
    <n v="5"/>
    <n v="17"/>
    <n v="16"/>
    <m/>
    <m/>
    <n v="5"/>
    <m/>
    <m/>
    <n v="5"/>
    <n v="0"/>
    <m/>
    <m/>
    <m/>
    <m/>
    <m/>
    <m/>
    <m/>
    <m/>
    <m/>
    <m/>
    <m/>
    <m/>
    <m/>
    <m/>
    <m/>
    <n v="1362757"/>
    <n v="1464868"/>
    <n v="4354490"/>
    <n v="4527799"/>
    <n v="1524383"/>
    <n v="1501437"/>
    <n v="879763"/>
    <n v="840745"/>
    <n v="0"/>
    <m/>
    <n v="0"/>
    <m/>
    <n v="192"/>
    <n v="213"/>
    <n v="757"/>
    <n v="780"/>
    <n v="298"/>
    <n v="294"/>
    <n v="208"/>
    <n v="204"/>
    <n v="0"/>
    <n v="0"/>
    <n v="0"/>
    <n v="0"/>
    <n v="7097.692708333333"/>
    <n v="6877.31455399061"/>
    <n v="5752.2985468956404"/>
    <n v="5804.8705128205129"/>
    <n v="5115.3791946308729"/>
    <n v="5106.9285714285716"/>
    <n v="4229.6298076923076"/>
    <n v="4121.2990196078435"/>
    <n v="0"/>
    <n v="0"/>
    <n v="0"/>
    <n v="0"/>
    <n v="63879.234375"/>
    <n v="61895.830985915491"/>
    <n v="51770.686922060762"/>
    <n v="52243.834615384614"/>
    <n v="46038.412751677854"/>
    <n v="45962.357142857145"/>
    <n v="38066.668269230766"/>
    <n v="37091.691176470595"/>
    <n v="0"/>
    <n v="0"/>
    <n v="0"/>
    <n v="0"/>
    <n v="50204.556375249616"/>
    <n v="50317.059655680343"/>
    <n v="20"/>
    <n v="22"/>
    <n v="81"/>
    <n v="82"/>
    <n v="32"/>
    <n v="31"/>
    <n v="22"/>
    <n v="21"/>
    <n v="0"/>
    <n v="0"/>
    <n v="0"/>
    <n v="0"/>
    <n v="155"/>
    <n v="156"/>
    <n v="1277584.6875"/>
    <n v="1361708.2816901407"/>
    <n v="4193425.6406869218"/>
    <n v="4283994.4384615384"/>
    <n v="1473229.2080536913"/>
    <n v="1424833.0714285716"/>
    <n v="837466.70192307688"/>
    <n v="778925.51470588252"/>
    <n v="0"/>
    <n v="0"/>
    <n v="0"/>
    <n v="0"/>
    <n v="7781706.2381636901"/>
    <n v="7849461.3062861338"/>
  </r>
  <r>
    <x v="12"/>
    <s v="Tennessee Center of Applied Technology at Chattanooga"/>
    <s v="Reclassified: Met the criteria for Technical Institute or College 1 in 2010-11, 2011-12, and 2012-13."/>
    <s v="219824B"/>
    <x v="9"/>
    <m/>
    <m/>
    <m/>
    <m/>
    <m/>
    <m/>
    <m/>
    <m/>
    <m/>
    <m/>
    <m/>
    <m/>
    <m/>
    <m/>
    <m/>
    <m/>
    <m/>
    <m/>
    <m/>
    <m/>
    <m/>
    <m/>
    <m/>
    <m/>
    <m/>
    <m/>
    <m/>
    <m/>
    <m/>
    <m/>
    <m/>
    <m/>
    <m/>
    <m/>
    <m/>
    <m/>
    <m/>
    <m/>
    <m/>
    <m/>
    <m/>
    <m/>
    <m/>
    <m/>
    <m/>
    <m/>
    <n v="37"/>
    <n v="39"/>
    <n v="0"/>
    <m/>
    <n v="0"/>
    <m/>
    <n v="0"/>
    <m/>
    <n v="0"/>
    <m/>
    <n v="0"/>
    <m/>
    <n v="1812108"/>
    <n v="1987603"/>
    <n v="0"/>
    <n v="0"/>
    <n v="0"/>
    <n v="0"/>
    <n v="0"/>
    <n v="0"/>
    <n v="0"/>
    <n v="0"/>
    <n v="0"/>
    <n v="0"/>
    <n v="444"/>
    <n v="468"/>
    <n v="0"/>
    <n v="0"/>
    <n v="0"/>
    <n v="0"/>
    <n v="0"/>
    <n v="0"/>
    <n v="0"/>
    <n v="0"/>
    <n v="0"/>
    <n v="0"/>
    <n v="4081.3243243243242"/>
    <n v="4247.014957264957"/>
    <n v="0"/>
    <n v="0"/>
    <n v="0"/>
    <n v="0"/>
    <n v="0"/>
    <n v="0"/>
    <n v="0"/>
    <n v="0"/>
    <n v="0"/>
    <n v="0"/>
    <n v="36731.91891891892"/>
    <n v="38223.13461538461"/>
    <n v="36731.91891891892"/>
    <n v="38223.13461538461"/>
    <n v="0"/>
    <n v="0"/>
    <n v="0"/>
    <n v="0"/>
    <n v="0"/>
    <n v="0"/>
    <n v="0"/>
    <n v="0"/>
    <n v="0"/>
    <n v="0"/>
    <n v="37"/>
    <n v="39"/>
    <n v="37"/>
    <n v="39"/>
    <n v="0"/>
    <n v="0"/>
    <n v="0"/>
    <n v="0"/>
    <n v="0"/>
    <n v="0"/>
    <n v="0"/>
    <n v="0"/>
    <n v="0"/>
    <n v="0"/>
    <n v="1359081"/>
    <n v="1490702.2499999998"/>
    <n v="1359081"/>
    <n v="1490702.2499999998"/>
  </r>
  <r>
    <x v="12"/>
    <s v="Tennessee Center of Applied Technology at Athens"/>
    <m/>
    <n v="219596"/>
    <x v="10"/>
    <m/>
    <m/>
    <m/>
    <m/>
    <m/>
    <m/>
    <m/>
    <m/>
    <m/>
    <m/>
    <m/>
    <m/>
    <m/>
    <m/>
    <m/>
    <m/>
    <m/>
    <m/>
    <m/>
    <m/>
    <m/>
    <m/>
    <m/>
    <m/>
    <m/>
    <m/>
    <m/>
    <m/>
    <m/>
    <m/>
    <m/>
    <m/>
    <m/>
    <m/>
    <m/>
    <m/>
    <m/>
    <m/>
    <m/>
    <m/>
    <m/>
    <m/>
    <m/>
    <m/>
    <m/>
    <m/>
    <n v="12"/>
    <n v="11"/>
    <n v="0"/>
    <m/>
    <n v="0"/>
    <m/>
    <n v="0"/>
    <m/>
    <n v="0"/>
    <m/>
    <n v="0"/>
    <m/>
    <n v="532055"/>
    <n v="531796"/>
    <n v="0"/>
    <n v="0"/>
    <n v="0"/>
    <n v="0"/>
    <n v="0"/>
    <n v="0"/>
    <n v="0"/>
    <n v="0"/>
    <n v="0"/>
    <n v="0"/>
    <n v="144"/>
    <n v="132"/>
    <n v="0"/>
    <n v="0"/>
    <n v="0"/>
    <n v="0"/>
    <n v="0"/>
    <n v="0"/>
    <n v="0"/>
    <n v="0"/>
    <n v="0"/>
    <n v="0"/>
    <n v="3694.8263888888887"/>
    <n v="4028.757575757576"/>
    <n v="0"/>
    <n v="0"/>
    <n v="0"/>
    <n v="0"/>
    <n v="0"/>
    <n v="0"/>
    <n v="0"/>
    <n v="0"/>
    <n v="0"/>
    <n v="0"/>
    <n v="33253.4375"/>
    <n v="36258.818181818184"/>
    <n v="33253.4375"/>
    <n v="36258.818181818184"/>
    <n v="0"/>
    <n v="0"/>
    <n v="0"/>
    <n v="0"/>
    <n v="0"/>
    <n v="0"/>
    <n v="0"/>
    <n v="0"/>
    <n v="0"/>
    <n v="0"/>
    <n v="12"/>
    <n v="11"/>
    <n v="12"/>
    <n v="11"/>
    <n v="0"/>
    <n v="0"/>
    <n v="0"/>
    <n v="0"/>
    <n v="0"/>
    <n v="0"/>
    <n v="0"/>
    <n v="0"/>
    <n v="0"/>
    <n v="0"/>
    <n v="399041.25"/>
    <n v="398847"/>
    <n v="399041.25"/>
    <n v="398847"/>
  </r>
  <r>
    <x v="12"/>
    <s v="Tennessee Center of Applied Technology at Covington"/>
    <m/>
    <n v="219921"/>
    <x v="10"/>
    <m/>
    <m/>
    <m/>
    <m/>
    <m/>
    <m/>
    <m/>
    <m/>
    <m/>
    <m/>
    <m/>
    <m/>
    <m/>
    <m/>
    <m/>
    <m/>
    <m/>
    <m/>
    <m/>
    <m/>
    <m/>
    <m/>
    <m/>
    <m/>
    <m/>
    <m/>
    <m/>
    <m/>
    <m/>
    <m/>
    <m/>
    <m/>
    <m/>
    <m/>
    <m/>
    <m/>
    <m/>
    <m/>
    <m/>
    <m/>
    <m/>
    <m/>
    <m/>
    <m/>
    <m/>
    <m/>
    <n v="10"/>
    <n v="10"/>
    <n v="0"/>
    <m/>
    <n v="0"/>
    <m/>
    <n v="0"/>
    <m/>
    <n v="0"/>
    <m/>
    <n v="0"/>
    <m/>
    <n v="429313"/>
    <n v="468822.31"/>
    <n v="0"/>
    <n v="0"/>
    <n v="0"/>
    <n v="0"/>
    <n v="0"/>
    <n v="0"/>
    <n v="0"/>
    <n v="0"/>
    <n v="0"/>
    <n v="0"/>
    <n v="120"/>
    <n v="120"/>
    <n v="0"/>
    <n v="0"/>
    <n v="0"/>
    <n v="0"/>
    <n v="0"/>
    <n v="0"/>
    <n v="0"/>
    <n v="0"/>
    <n v="0"/>
    <n v="0"/>
    <n v="3577.6083333333331"/>
    <n v="3906.8525833333333"/>
    <n v="0"/>
    <n v="0"/>
    <n v="0"/>
    <n v="0"/>
    <n v="0"/>
    <n v="0"/>
    <n v="0"/>
    <n v="0"/>
    <n v="0"/>
    <n v="0"/>
    <n v="32198.474999999999"/>
    <n v="35161.67325"/>
    <n v="32198.474999999999"/>
    <n v="35161.67325"/>
    <n v="0"/>
    <n v="0"/>
    <n v="0"/>
    <n v="0"/>
    <n v="0"/>
    <n v="0"/>
    <n v="0"/>
    <n v="0"/>
    <n v="0"/>
    <n v="0"/>
    <n v="10"/>
    <n v="10"/>
    <n v="10"/>
    <n v="10"/>
    <n v="0"/>
    <n v="0"/>
    <n v="0"/>
    <n v="0"/>
    <n v="0"/>
    <n v="0"/>
    <n v="0"/>
    <n v="0"/>
    <n v="0"/>
    <n v="0"/>
    <n v="321984.75"/>
    <n v="351616.73249999998"/>
    <n v="321984.75"/>
    <n v="351616.73249999998"/>
  </r>
  <r>
    <x v="12"/>
    <s v="Tennessee Center of Applied Technology at Crossville"/>
    <m/>
    <n v="221591"/>
    <x v="10"/>
    <m/>
    <m/>
    <m/>
    <m/>
    <m/>
    <m/>
    <m/>
    <m/>
    <m/>
    <m/>
    <m/>
    <m/>
    <m/>
    <m/>
    <m/>
    <m/>
    <m/>
    <m/>
    <m/>
    <m/>
    <m/>
    <m/>
    <m/>
    <m/>
    <m/>
    <m/>
    <m/>
    <m/>
    <m/>
    <m/>
    <m/>
    <m/>
    <m/>
    <m/>
    <m/>
    <m/>
    <m/>
    <m/>
    <m/>
    <m/>
    <m/>
    <m/>
    <m/>
    <m/>
    <m/>
    <m/>
    <n v="17"/>
    <n v="16"/>
    <n v="0"/>
    <m/>
    <n v="0"/>
    <m/>
    <n v="0"/>
    <m/>
    <n v="0"/>
    <m/>
    <n v="0"/>
    <m/>
    <n v="778908"/>
    <n v="737274"/>
    <n v="0"/>
    <n v="0"/>
    <n v="0"/>
    <n v="0"/>
    <n v="0"/>
    <n v="0"/>
    <n v="0"/>
    <n v="0"/>
    <n v="0"/>
    <n v="0"/>
    <n v="204"/>
    <n v="192"/>
    <n v="0"/>
    <n v="0"/>
    <n v="0"/>
    <n v="0"/>
    <n v="0"/>
    <n v="0"/>
    <n v="0"/>
    <n v="0"/>
    <n v="0"/>
    <n v="0"/>
    <n v="3818.1764705882351"/>
    <n v="3839.96875"/>
    <n v="0"/>
    <n v="0"/>
    <n v="0"/>
    <n v="0"/>
    <n v="0"/>
    <n v="0"/>
    <n v="0"/>
    <n v="0"/>
    <n v="0"/>
    <n v="0"/>
    <n v="34363.588235294119"/>
    <n v="34559.71875"/>
    <n v="34363.588235294119"/>
    <n v="34559.71875"/>
    <n v="0"/>
    <n v="0"/>
    <n v="0"/>
    <n v="0"/>
    <n v="0"/>
    <n v="0"/>
    <n v="0"/>
    <n v="0"/>
    <n v="0"/>
    <n v="0"/>
    <n v="17"/>
    <n v="16"/>
    <n v="17"/>
    <n v="16"/>
    <n v="0"/>
    <n v="0"/>
    <n v="0"/>
    <n v="0"/>
    <n v="0"/>
    <n v="0"/>
    <n v="0"/>
    <n v="0"/>
    <n v="0"/>
    <n v="0"/>
    <n v="584181"/>
    <n v="552955.5"/>
    <n v="584181"/>
    <n v="552955.5"/>
  </r>
  <r>
    <x v="12"/>
    <s v="Tennessee Center of Applied Technology at Crump"/>
    <m/>
    <n v="221430"/>
    <x v="10"/>
    <m/>
    <m/>
    <m/>
    <m/>
    <m/>
    <m/>
    <m/>
    <m/>
    <m/>
    <m/>
    <m/>
    <m/>
    <m/>
    <m/>
    <m/>
    <m/>
    <m/>
    <m/>
    <m/>
    <m/>
    <m/>
    <m/>
    <m/>
    <m/>
    <m/>
    <m/>
    <m/>
    <m/>
    <m/>
    <m/>
    <m/>
    <m/>
    <m/>
    <m/>
    <m/>
    <m/>
    <m/>
    <m/>
    <m/>
    <m/>
    <m/>
    <m/>
    <m/>
    <m/>
    <m/>
    <m/>
    <n v="9"/>
    <n v="11"/>
    <n v="0"/>
    <m/>
    <n v="0"/>
    <m/>
    <n v="0"/>
    <m/>
    <n v="0"/>
    <m/>
    <n v="0"/>
    <m/>
    <n v="450660"/>
    <n v="551904"/>
    <n v="0"/>
    <n v="0"/>
    <n v="0"/>
    <n v="0"/>
    <n v="0"/>
    <n v="0"/>
    <n v="0"/>
    <n v="0"/>
    <n v="0"/>
    <n v="0"/>
    <n v="108"/>
    <n v="132"/>
    <n v="0"/>
    <n v="0"/>
    <n v="0"/>
    <n v="0"/>
    <n v="0"/>
    <n v="0"/>
    <n v="0"/>
    <n v="0"/>
    <n v="0"/>
    <n v="0"/>
    <n v="4172.7777777777774"/>
    <n v="4181.090909090909"/>
    <n v="0"/>
    <n v="0"/>
    <n v="0"/>
    <n v="0"/>
    <n v="0"/>
    <n v="0"/>
    <n v="0"/>
    <n v="0"/>
    <n v="0"/>
    <n v="0"/>
    <n v="37555"/>
    <n v="37629.818181818184"/>
    <n v="37555"/>
    <n v="37629.818181818184"/>
    <n v="0"/>
    <n v="0"/>
    <n v="0"/>
    <n v="0"/>
    <n v="0"/>
    <n v="0"/>
    <n v="0"/>
    <n v="0"/>
    <n v="0"/>
    <n v="0"/>
    <n v="9"/>
    <n v="11"/>
    <n v="9"/>
    <n v="11"/>
    <n v="0"/>
    <n v="0"/>
    <n v="0"/>
    <n v="0"/>
    <n v="0"/>
    <n v="0"/>
    <n v="0"/>
    <n v="0"/>
    <n v="0"/>
    <n v="0"/>
    <n v="337995"/>
    <n v="413928"/>
    <n v="337995"/>
    <n v="413928"/>
  </r>
  <r>
    <x v="12"/>
    <s v="Tennessee Center of Applied Technology at Dickson"/>
    <m/>
    <n v="219994"/>
    <x v="10"/>
    <m/>
    <m/>
    <m/>
    <m/>
    <m/>
    <m/>
    <m/>
    <m/>
    <m/>
    <m/>
    <m/>
    <m/>
    <m/>
    <m/>
    <m/>
    <m/>
    <m/>
    <m/>
    <m/>
    <m/>
    <m/>
    <m/>
    <m/>
    <m/>
    <m/>
    <m/>
    <m/>
    <m/>
    <m/>
    <m/>
    <m/>
    <m/>
    <m/>
    <m/>
    <m/>
    <m/>
    <m/>
    <m/>
    <m/>
    <m/>
    <m/>
    <m/>
    <m/>
    <m/>
    <m/>
    <m/>
    <n v="14"/>
    <n v="26"/>
    <n v="0"/>
    <m/>
    <n v="0"/>
    <m/>
    <n v="0"/>
    <m/>
    <n v="0"/>
    <m/>
    <n v="0"/>
    <m/>
    <n v="701090"/>
    <n v="1269321"/>
    <n v="0"/>
    <n v="0"/>
    <n v="0"/>
    <n v="0"/>
    <n v="0"/>
    <n v="0"/>
    <n v="0"/>
    <n v="0"/>
    <n v="0"/>
    <n v="0"/>
    <n v="168"/>
    <n v="312"/>
    <n v="0"/>
    <n v="0"/>
    <n v="0"/>
    <n v="0"/>
    <n v="0"/>
    <n v="0"/>
    <n v="0"/>
    <n v="0"/>
    <n v="0"/>
    <n v="0"/>
    <n v="4173.1547619047615"/>
    <n v="4068.3365384615386"/>
    <n v="0"/>
    <n v="0"/>
    <n v="0"/>
    <n v="0"/>
    <n v="0"/>
    <n v="0"/>
    <n v="0"/>
    <n v="0"/>
    <n v="0"/>
    <n v="0"/>
    <n v="37558.392857142855"/>
    <n v="36615.028846153844"/>
    <n v="37558.392857142855"/>
    <n v="36615.028846153844"/>
    <n v="0"/>
    <n v="0"/>
    <n v="0"/>
    <n v="0"/>
    <n v="0"/>
    <n v="0"/>
    <n v="0"/>
    <n v="0"/>
    <n v="0"/>
    <n v="0"/>
    <n v="14"/>
    <n v="26"/>
    <n v="14"/>
    <n v="26"/>
    <n v="0"/>
    <n v="0"/>
    <n v="0"/>
    <n v="0"/>
    <n v="0"/>
    <n v="0"/>
    <n v="0"/>
    <n v="0"/>
    <n v="0"/>
    <n v="0"/>
    <n v="525817.5"/>
    <n v="951990.75"/>
    <n v="525817.5"/>
    <n v="951990.75"/>
  </r>
  <r>
    <x v="12"/>
    <s v="Tennessee Center of Applied Technology at Elizabethton"/>
    <m/>
    <n v="220127"/>
    <x v="10"/>
    <m/>
    <m/>
    <m/>
    <m/>
    <m/>
    <m/>
    <m/>
    <m/>
    <m/>
    <m/>
    <m/>
    <m/>
    <m/>
    <m/>
    <m/>
    <m/>
    <m/>
    <m/>
    <m/>
    <m/>
    <m/>
    <m/>
    <m/>
    <m/>
    <m/>
    <m/>
    <m/>
    <m/>
    <m/>
    <m/>
    <m/>
    <m/>
    <m/>
    <m/>
    <m/>
    <m/>
    <m/>
    <m/>
    <m/>
    <m/>
    <m/>
    <m/>
    <m/>
    <m/>
    <m/>
    <m/>
    <n v="17"/>
    <n v="19"/>
    <n v="0"/>
    <m/>
    <n v="0"/>
    <m/>
    <n v="0"/>
    <m/>
    <n v="0"/>
    <m/>
    <n v="0"/>
    <m/>
    <n v="799751"/>
    <n v="899201"/>
    <n v="0"/>
    <n v="0"/>
    <n v="0"/>
    <n v="0"/>
    <n v="0"/>
    <n v="0"/>
    <n v="0"/>
    <n v="0"/>
    <n v="0"/>
    <n v="0"/>
    <n v="204"/>
    <n v="228"/>
    <n v="0"/>
    <n v="0"/>
    <n v="0"/>
    <n v="0"/>
    <n v="0"/>
    <n v="0"/>
    <n v="0"/>
    <n v="0"/>
    <n v="0"/>
    <n v="0"/>
    <n v="3920.3480392156862"/>
    <n v="3943.8640350877195"/>
    <n v="0"/>
    <n v="0"/>
    <n v="0"/>
    <n v="0"/>
    <n v="0"/>
    <n v="0"/>
    <n v="0"/>
    <n v="0"/>
    <n v="0"/>
    <n v="0"/>
    <n v="35283.132352941175"/>
    <n v="35494.776315789473"/>
    <n v="35283.132352941175"/>
    <n v="35494.776315789473"/>
    <n v="0"/>
    <n v="0"/>
    <n v="0"/>
    <n v="0"/>
    <n v="0"/>
    <n v="0"/>
    <n v="0"/>
    <n v="0"/>
    <n v="0"/>
    <n v="0"/>
    <n v="17"/>
    <n v="19"/>
    <n v="17"/>
    <n v="19"/>
    <n v="0"/>
    <n v="0"/>
    <n v="0"/>
    <n v="0"/>
    <n v="0"/>
    <n v="0"/>
    <n v="0"/>
    <n v="0"/>
    <n v="0"/>
    <n v="0"/>
    <n v="599813.25"/>
    <n v="674400.75"/>
    <n v="599813.25"/>
    <n v="674400.75"/>
  </r>
  <r>
    <x v="12"/>
    <s v="Tennessee Center of Applied Technology at Harriman"/>
    <m/>
    <n v="220251"/>
    <x v="10"/>
    <m/>
    <m/>
    <m/>
    <m/>
    <m/>
    <m/>
    <m/>
    <m/>
    <m/>
    <m/>
    <m/>
    <m/>
    <m/>
    <m/>
    <m/>
    <m/>
    <m/>
    <m/>
    <m/>
    <m/>
    <m/>
    <m/>
    <m/>
    <m/>
    <m/>
    <m/>
    <m/>
    <m/>
    <m/>
    <m/>
    <m/>
    <m/>
    <m/>
    <m/>
    <m/>
    <m/>
    <m/>
    <m/>
    <m/>
    <m/>
    <m/>
    <m/>
    <m/>
    <m/>
    <m/>
    <m/>
    <n v="12"/>
    <n v="11"/>
    <n v="0"/>
    <m/>
    <n v="0"/>
    <m/>
    <n v="0"/>
    <m/>
    <n v="0"/>
    <m/>
    <n v="0"/>
    <m/>
    <n v="512882"/>
    <n v="488097"/>
    <n v="0"/>
    <n v="0"/>
    <n v="0"/>
    <n v="0"/>
    <n v="0"/>
    <n v="0"/>
    <n v="0"/>
    <n v="0"/>
    <n v="0"/>
    <n v="0"/>
    <n v="144"/>
    <n v="132"/>
    <n v="0"/>
    <n v="0"/>
    <n v="0"/>
    <n v="0"/>
    <n v="0"/>
    <n v="0"/>
    <n v="0"/>
    <n v="0"/>
    <n v="0"/>
    <n v="0"/>
    <n v="3561.6805555555557"/>
    <n v="3697.7045454545455"/>
    <n v="0"/>
    <n v="0"/>
    <n v="0"/>
    <n v="0"/>
    <n v="0"/>
    <n v="0"/>
    <n v="0"/>
    <n v="0"/>
    <n v="0"/>
    <n v="0"/>
    <n v="32055.125"/>
    <n v="33279.340909090912"/>
    <n v="32055.125"/>
    <n v="33279.340909090912"/>
    <n v="0"/>
    <n v="0"/>
    <n v="0"/>
    <n v="0"/>
    <n v="0"/>
    <n v="0"/>
    <n v="0"/>
    <n v="0"/>
    <n v="0"/>
    <n v="0"/>
    <n v="12"/>
    <n v="11"/>
    <n v="12"/>
    <n v="11"/>
    <n v="0"/>
    <n v="0"/>
    <n v="0"/>
    <n v="0"/>
    <n v="0"/>
    <n v="0"/>
    <n v="0"/>
    <n v="0"/>
    <n v="0"/>
    <n v="0"/>
    <n v="384661.5"/>
    <n v="366072.75"/>
    <n v="384661.5"/>
    <n v="366072.75"/>
  </r>
  <r>
    <x v="12"/>
    <s v="Tennessee Center of Applied Technology at Hartsville"/>
    <m/>
    <n v="220279"/>
    <x v="10"/>
    <m/>
    <m/>
    <m/>
    <m/>
    <m/>
    <m/>
    <m/>
    <m/>
    <m/>
    <m/>
    <m/>
    <m/>
    <m/>
    <m/>
    <m/>
    <m/>
    <m/>
    <m/>
    <m/>
    <m/>
    <m/>
    <m/>
    <m/>
    <m/>
    <m/>
    <m/>
    <m/>
    <m/>
    <m/>
    <m/>
    <m/>
    <m/>
    <m/>
    <m/>
    <m/>
    <m/>
    <m/>
    <m/>
    <m/>
    <m/>
    <m/>
    <m/>
    <m/>
    <m/>
    <m/>
    <m/>
    <n v="19"/>
    <n v="20"/>
    <n v="0"/>
    <m/>
    <n v="0"/>
    <m/>
    <n v="0"/>
    <m/>
    <n v="0"/>
    <m/>
    <n v="0"/>
    <m/>
    <n v="789812"/>
    <n v="873712"/>
    <n v="0"/>
    <n v="0"/>
    <n v="0"/>
    <n v="0"/>
    <n v="0"/>
    <n v="0"/>
    <n v="0"/>
    <n v="0"/>
    <n v="0"/>
    <n v="0"/>
    <n v="228"/>
    <n v="240"/>
    <n v="0"/>
    <n v="0"/>
    <n v="0"/>
    <n v="0"/>
    <n v="0"/>
    <n v="0"/>
    <n v="0"/>
    <n v="0"/>
    <n v="0"/>
    <n v="0"/>
    <n v="3464.0877192982457"/>
    <n v="3640.4666666666667"/>
    <n v="0"/>
    <n v="0"/>
    <n v="0"/>
    <n v="0"/>
    <n v="0"/>
    <n v="0"/>
    <n v="0"/>
    <n v="0"/>
    <n v="0"/>
    <n v="0"/>
    <n v="31176.78947368421"/>
    <n v="32764.2"/>
    <n v="31176.78947368421"/>
    <n v="32764.2"/>
    <n v="0"/>
    <n v="0"/>
    <n v="0"/>
    <n v="0"/>
    <n v="0"/>
    <n v="0"/>
    <n v="0"/>
    <n v="0"/>
    <n v="0"/>
    <n v="0"/>
    <n v="19"/>
    <n v="20"/>
    <n v="19"/>
    <n v="20"/>
    <n v="0"/>
    <n v="0"/>
    <n v="0"/>
    <n v="0"/>
    <n v="0"/>
    <n v="0"/>
    <n v="0"/>
    <n v="0"/>
    <n v="0"/>
    <n v="0"/>
    <n v="592359"/>
    <n v="655284"/>
    <n v="592359"/>
    <n v="655284"/>
  </r>
  <r>
    <x v="12"/>
    <s v="Tennessee Center of Applied Technology at Hohenwald"/>
    <m/>
    <n v="220321"/>
    <x v="10"/>
    <m/>
    <m/>
    <m/>
    <m/>
    <m/>
    <m/>
    <m/>
    <m/>
    <m/>
    <m/>
    <m/>
    <m/>
    <m/>
    <m/>
    <m/>
    <m/>
    <m/>
    <m/>
    <m/>
    <m/>
    <m/>
    <m/>
    <m/>
    <m/>
    <m/>
    <m/>
    <m/>
    <m/>
    <m/>
    <m/>
    <m/>
    <m/>
    <m/>
    <m/>
    <m/>
    <m/>
    <m/>
    <m/>
    <m/>
    <m/>
    <m/>
    <m/>
    <m/>
    <m/>
    <m/>
    <m/>
    <n v="22"/>
    <n v="18"/>
    <n v="0"/>
    <m/>
    <n v="0"/>
    <m/>
    <n v="0"/>
    <m/>
    <n v="0"/>
    <m/>
    <n v="0"/>
    <m/>
    <n v="988671.99999999988"/>
    <n v="826873"/>
    <n v="0"/>
    <n v="0"/>
    <n v="0"/>
    <n v="0"/>
    <n v="0"/>
    <n v="0"/>
    <n v="0"/>
    <n v="0"/>
    <n v="0"/>
    <n v="0"/>
    <n v="264"/>
    <n v="216"/>
    <n v="0"/>
    <n v="0"/>
    <n v="0"/>
    <n v="0"/>
    <n v="0"/>
    <n v="0"/>
    <n v="0"/>
    <n v="0"/>
    <n v="0"/>
    <n v="0"/>
    <n v="3744.9696969696965"/>
    <n v="3828.1157407407409"/>
    <n v="0"/>
    <n v="0"/>
    <n v="0"/>
    <n v="0"/>
    <n v="0"/>
    <n v="0"/>
    <n v="0"/>
    <n v="0"/>
    <n v="0"/>
    <n v="0"/>
    <n v="33704.727272727272"/>
    <n v="34453.041666666672"/>
    <n v="33704.727272727272"/>
    <n v="34453.041666666672"/>
    <n v="0"/>
    <n v="0"/>
    <n v="0"/>
    <n v="0"/>
    <n v="0"/>
    <n v="0"/>
    <n v="0"/>
    <n v="0"/>
    <n v="0"/>
    <n v="0"/>
    <n v="22"/>
    <n v="18"/>
    <n v="22"/>
    <n v="18"/>
    <n v="0"/>
    <n v="0"/>
    <n v="0"/>
    <n v="0"/>
    <n v="0"/>
    <n v="0"/>
    <n v="0"/>
    <n v="0"/>
    <n v="0"/>
    <n v="0"/>
    <n v="741504"/>
    <n v="620154.75000000012"/>
    <n v="741504"/>
    <n v="620154.75000000012"/>
  </r>
  <r>
    <x v="12"/>
    <s v="Tennessee Center of Applied Technology at Jacksboro"/>
    <m/>
    <n v="220394"/>
    <x v="10"/>
    <m/>
    <m/>
    <m/>
    <m/>
    <m/>
    <m/>
    <m/>
    <m/>
    <m/>
    <m/>
    <m/>
    <m/>
    <m/>
    <m/>
    <m/>
    <m/>
    <m/>
    <m/>
    <m/>
    <m/>
    <m/>
    <m/>
    <m/>
    <m/>
    <m/>
    <m/>
    <m/>
    <m/>
    <m/>
    <m/>
    <m/>
    <m/>
    <m/>
    <m/>
    <m/>
    <m/>
    <m/>
    <m/>
    <m/>
    <m/>
    <m/>
    <m/>
    <m/>
    <m/>
    <m/>
    <m/>
    <n v="9"/>
    <n v="9"/>
    <n v="0"/>
    <m/>
    <n v="0"/>
    <m/>
    <n v="0"/>
    <m/>
    <n v="0"/>
    <m/>
    <n v="0"/>
    <m/>
    <n v="454224"/>
    <n v="454605"/>
    <n v="0"/>
    <n v="0"/>
    <n v="0"/>
    <n v="0"/>
    <n v="0"/>
    <n v="0"/>
    <n v="0"/>
    <n v="0"/>
    <n v="0"/>
    <n v="0"/>
    <n v="108"/>
    <n v="108"/>
    <n v="0"/>
    <n v="0"/>
    <n v="0"/>
    <n v="0"/>
    <n v="0"/>
    <n v="0"/>
    <n v="0"/>
    <n v="0"/>
    <n v="0"/>
    <n v="0"/>
    <n v="4205.7777777777774"/>
    <n v="4209.3055555555557"/>
    <n v="0"/>
    <n v="0"/>
    <n v="0"/>
    <n v="0"/>
    <n v="0"/>
    <n v="0"/>
    <n v="0"/>
    <n v="0"/>
    <n v="0"/>
    <n v="0"/>
    <n v="37852"/>
    <n v="37883.75"/>
    <n v="37852"/>
    <n v="37883.75"/>
    <n v="0"/>
    <n v="0"/>
    <n v="0"/>
    <n v="0"/>
    <n v="0"/>
    <n v="0"/>
    <n v="0"/>
    <n v="0"/>
    <n v="0"/>
    <n v="0"/>
    <n v="9"/>
    <n v="9"/>
    <n v="9"/>
    <n v="9"/>
    <n v="0"/>
    <n v="0"/>
    <n v="0"/>
    <n v="0"/>
    <n v="0"/>
    <n v="0"/>
    <n v="0"/>
    <n v="0"/>
    <n v="0"/>
    <n v="0"/>
    <n v="340668"/>
    <n v="340953.75"/>
    <n v="340668"/>
    <n v="340953.75"/>
  </r>
  <r>
    <x v="12"/>
    <s v="Tennessee Center of Applied Technology at Jackson"/>
    <m/>
    <n v="221616"/>
    <x v="10"/>
    <m/>
    <m/>
    <m/>
    <m/>
    <m/>
    <m/>
    <m/>
    <m/>
    <m/>
    <m/>
    <m/>
    <m/>
    <m/>
    <m/>
    <m/>
    <m/>
    <m/>
    <m/>
    <m/>
    <m/>
    <m/>
    <m/>
    <m/>
    <m/>
    <m/>
    <m/>
    <m/>
    <m/>
    <m/>
    <m/>
    <m/>
    <m/>
    <m/>
    <m/>
    <m/>
    <m/>
    <m/>
    <m/>
    <m/>
    <m/>
    <m/>
    <m/>
    <m/>
    <m/>
    <m/>
    <m/>
    <n v="18"/>
    <n v="25"/>
    <n v="0"/>
    <m/>
    <n v="0"/>
    <m/>
    <n v="0"/>
    <m/>
    <n v="0"/>
    <m/>
    <n v="0"/>
    <m/>
    <n v="869595"/>
    <n v="1229645"/>
    <n v="0"/>
    <n v="0"/>
    <n v="0"/>
    <n v="0"/>
    <n v="0"/>
    <n v="0"/>
    <n v="0"/>
    <n v="0"/>
    <n v="0"/>
    <n v="0"/>
    <n v="216"/>
    <n v="300"/>
    <n v="0"/>
    <n v="0"/>
    <n v="0"/>
    <n v="0"/>
    <n v="0"/>
    <n v="0"/>
    <n v="0"/>
    <n v="0"/>
    <n v="0"/>
    <n v="0"/>
    <n v="4025.9027777777778"/>
    <n v="4098.8166666666666"/>
    <n v="0"/>
    <n v="0"/>
    <n v="0"/>
    <n v="0"/>
    <n v="0"/>
    <n v="0"/>
    <n v="0"/>
    <n v="0"/>
    <n v="0"/>
    <n v="0"/>
    <n v="36233.125"/>
    <n v="36889.35"/>
    <n v="36233.125"/>
    <n v="36889.35"/>
    <n v="0"/>
    <n v="0"/>
    <n v="0"/>
    <n v="0"/>
    <n v="0"/>
    <n v="0"/>
    <n v="0"/>
    <n v="0"/>
    <n v="0"/>
    <n v="0"/>
    <n v="18"/>
    <n v="25"/>
    <n v="18"/>
    <n v="25"/>
    <n v="0"/>
    <n v="0"/>
    <n v="0"/>
    <n v="0"/>
    <n v="0"/>
    <n v="0"/>
    <n v="0"/>
    <n v="0"/>
    <n v="0"/>
    <n v="0"/>
    <n v="652196.25"/>
    <n v="922233.75"/>
    <n v="652196.25"/>
    <n v="922233.75"/>
  </r>
  <r>
    <x v="12"/>
    <s v="Tennessee Center of Applied Technology at Knoxville"/>
    <m/>
    <n v="221625"/>
    <x v="10"/>
    <m/>
    <m/>
    <m/>
    <m/>
    <m/>
    <m/>
    <m/>
    <m/>
    <m/>
    <m/>
    <m/>
    <m/>
    <m/>
    <m/>
    <m/>
    <m/>
    <m/>
    <m/>
    <m/>
    <m/>
    <m/>
    <m/>
    <m/>
    <m/>
    <m/>
    <m/>
    <m/>
    <m/>
    <m/>
    <m/>
    <m/>
    <m/>
    <m/>
    <m/>
    <m/>
    <m/>
    <m/>
    <m/>
    <m/>
    <m/>
    <m/>
    <m/>
    <m/>
    <m/>
    <m/>
    <m/>
    <n v="25"/>
    <n v="24"/>
    <n v="0"/>
    <m/>
    <n v="0"/>
    <m/>
    <n v="0"/>
    <m/>
    <n v="0"/>
    <m/>
    <n v="0"/>
    <m/>
    <n v="1159816"/>
    <n v="1120626"/>
    <n v="0"/>
    <n v="0"/>
    <n v="0"/>
    <n v="0"/>
    <n v="0"/>
    <n v="0"/>
    <n v="0"/>
    <n v="0"/>
    <n v="0"/>
    <n v="0"/>
    <n v="300"/>
    <n v="288"/>
    <n v="0"/>
    <n v="0"/>
    <n v="0"/>
    <n v="0"/>
    <n v="0"/>
    <n v="0"/>
    <n v="0"/>
    <n v="0"/>
    <n v="0"/>
    <n v="0"/>
    <n v="3866.0533333333333"/>
    <n v="3891.0625"/>
    <n v="0"/>
    <n v="0"/>
    <n v="0"/>
    <n v="0"/>
    <n v="0"/>
    <n v="0"/>
    <n v="0"/>
    <n v="0"/>
    <n v="0"/>
    <n v="0"/>
    <n v="34794.479999999996"/>
    <n v="35019.5625"/>
    <n v="34794.479999999996"/>
    <n v="35019.5625"/>
    <n v="0"/>
    <n v="0"/>
    <n v="0"/>
    <n v="0"/>
    <n v="0"/>
    <n v="0"/>
    <n v="0"/>
    <n v="0"/>
    <n v="0"/>
    <n v="0"/>
    <n v="25"/>
    <n v="24"/>
    <n v="25"/>
    <n v="24"/>
    <n v="0"/>
    <n v="0"/>
    <n v="0"/>
    <n v="0"/>
    <n v="0"/>
    <n v="0"/>
    <n v="0"/>
    <n v="0"/>
    <n v="0"/>
    <n v="0"/>
    <n v="869861.99999999988"/>
    <n v="840469.5"/>
    <n v="869861.99999999988"/>
    <n v="840469.5"/>
  </r>
  <r>
    <x v="12"/>
    <s v="Tennessee Center of Applied Technology at Livingston"/>
    <m/>
    <n v="220640"/>
    <x v="10"/>
    <m/>
    <m/>
    <m/>
    <m/>
    <m/>
    <m/>
    <m/>
    <m/>
    <m/>
    <m/>
    <m/>
    <m/>
    <m/>
    <m/>
    <m/>
    <m/>
    <m/>
    <m/>
    <m/>
    <m/>
    <m/>
    <m/>
    <m/>
    <m/>
    <m/>
    <m/>
    <m/>
    <m/>
    <m/>
    <m/>
    <m/>
    <m/>
    <m/>
    <m/>
    <m/>
    <m/>
    <m/>
    <m/>
    <m/>
    <m/>
    <m/>
    <m/>
    <m/>
    <m/>
    <m/>
    <m/>
    <n v="16"/>
    <n v="14"/>
    <n v="0"/>
    <m/>
    <n v="0"/>
    <m/>
    <n v="0"/>
    <m/>
    <n v="0"/>
    <m/>
    <n v="0"/>
    <m/>
    <n v="733223.01"/>
    <n v="687116"/>
    <n v="0"/>
    <n v="0"/>
    <n v="0"/>
    <n v="0"/>
    <n v="0"/>
    <n v="0"/>
    <n v="0"/>
    <n v="0"/>
    <n v="0"/>
    <n v="0"/>
    <n v="192"/>
    <n v="168"/>
    <n v="0"/>
    <n v="0"/>
    <n v="0"/>
    <n v="0"/>
    <n v="0"/>
    <n v="0"/>
    <n v="0"/>
    <n v="0"/>
    <n v="0"/>
    <n v="0"/>
    <n v="3818.8698437500002"/>
    <n v="4089.9761904761904"/>
    <n v="0"/>
    <n v="0"/>
    <n v="0"/>
    <n v="0"/>
    <n v="0"/>
    <n v="0"/>
    <n v="0"/>
    <n v="0"/>
    <n v="0"/>
    <n v="0"/>
    <n v="34369.828593750004"/>
    <n v="36809.78571428571"/>
    <n v="34369.828593750004"/>
    <n v="36809.78571428571"/>
    <n v="0"/>
    <n v="0"/>
    <n v="0"/>
    <n v="0"/>
    <n v="0"/>
    <n v="0"/>
    <n v="0"/>
    <n v="0"/>
    <n v="0"/>
    <n v="0"/>
    <n v="16"/>
    <n v="14"/>
    <n v="16"/>
    <n v="14"/>
    <n v="0"/>
    <n v="0"/>
    <n v="0"/>
    <n v="0"/>
    <n v="0"/>
    <n v="0"/>
    <n v="0"/>
    <n v="0"/>
    <n v="0"/>
    <n v="0"/>
    <n v="549917.25750000007"/>
    <n v="515336.99999999994"/>
    <n v="549917.25750000007"/>
    <n v="515336.99999999994"/>
  </r>
  <r>
    <x v="12"/>
    <s v="Tennessee Center of Applied Technology at McKenzie"/>
    <m/>
    <n v="220756"/>
    <x v="10"/>
    <m/>
    <m/>
    <m/>
    <m/>
    <m/>
    <m/>
    <m/>
    <m/>
    <m/>
    <m/>
    <m/>
    <m/>
    <m/>
    <m/>
    <m/>
    <m/>
    <m/>
    <m/>
    <m/>
    <m/>
    <m/>
    <m/>
    <m/>
    <m/>
    <m/>
    <m/>
    <m/>
    <m/>
    <m/>
    <m/>
    <m/>
    <m/>
    <m/>
    <m/>
    <m/>
    <m/>
    <m/>
    <m/>
    <m/>
    <m/>
    <m/>
    <m/>
    <m/>
    <m/>
    <m/>
    <m/>
    <n v="9"/>
    <n v="11"/>
    <n v="0"/>
    <m/>
    <n v="0"/>
    <m/>
    <n v="0"/>
    <m/>
    <n v="0"/>
    <m/>
    <n v="0"/>
    <m/>
    <n v="414107"/>
    <n v="518266"/>
    <n v="0"/>
    <n v="0"/>
    <n v="0"/>
    <n v="0"/>
    <n v="0"/>
    <n v="0"/>
    <n v="0"/>
    <n v="0"/>
    <n v="0"/>
    <n v="0"/>
    <n v="108"/>
    <n v="132"/>
    <n v="0"/>
    <n v="0"/>
    <n v="0"/>
    <n v="0"/>
    <n v="0"/>
    <n v="0"/>
    <n v="0"/>
    <n v="0"/>
    <n v="0"/>
    <n v="0"/>
    <n v="3834.3240740740739"/>
    <n v="3926.257575757576"/>
    <n v="0"/>
    <n v="0"/>
    <n v="0"/>
    <n v="0"/>
    <n v="0"/>
    <n v="0"/>
    <n v="0"/>
    <n v="0"/>
    <n v="0"/>
    <n v="0"/>
    <n v="34508.916666666664"/>
    <n v="35336.318181818184"/>
    <n v="34508.916666666664"/>
    <n v="35336.318181818184"/>
    <n v="0"/>
    <n v="0"/>
    <n v="0"/>
    <n v="0"/>
    <n v="0"/>
    <n v="0"/>
    <n v="0"/>
    <n v="0"/>
    <n v="0"/>
    <n v="0"/>
    <n v="9"/>
    <n v="11"/>
    <n v="9"/>
    <n v="11"/>
    <n v="0"/>
    <n v="0"/>
    <n v="0"/>
    <n v="0"/>
    <n v="0"/>
    <n v="0"/>
    <n v="0"/>
    <n v="0"/>
    <n v="0"/>
    <n v="0"/>
    <n v="310580.25"/>
    <n v="388699.5"/>
    <n v="310580.25"/>
    <n v="388699.5"/>
  </r>
  <r>
    <x v="12"/>
    <s v="Tennessee Center of Applied Technology at McMinnville"/>
    <m/>
    <n v="221607"/>
    <x v="10"/>
    <m/>
    <m/>
    <m/>
    <m/>
    <m/>
    <m/>
    <m/>
    <m/>
    <m/>
    <m/>
    <m/>
    <m/>
    <m/>
    <m/>
    <m/>
    <m/>
    <m/>
    <m/>
    <m/>
    <m/>
    <m/>
    <m/>
    <m/>
    <m/>
    <m/>
    <m/>
    <m/>
    <m/>
    <m/>
    <m/>
    <m/>
    <m/>
    <m/>
    <m/>
    <m/>
    <m/>
    <m/>
    <m/>
    <m/>
    <m/>
    <m/>
    <m/>
    <m/>
    <m/>
    <m/>
    <m/>
    <n v="11"/>
    <n v="11"/>
    <n v="0"/>
    <m/>
    <n v="0"/>
    <m/>
    <n v="0"/>
    <m/>
    <n v="0"/>
    <m/>
    <n v="0"/>
    <m/>
    <n v="535865"/>
    <n v="552647"/>
    <n v="0"/>
    <n v="0"/>
    <n v="0"/>
    <n v="0"/>
    <n v="0"/>
    <n v="0"/>
    <n v="0"/>
    <n v="0"/>
    <n v="0"/>
    <n v="0"/>
    <n v="132"/>
    <n v="132"/>
    <n v="0"/>
    <n v="0"/>
    <n v="0"/>
    <n v="0"/>
    <n v="0"/>
    <n v="0"/>
    <n v="0"/>
    <n v="0"/>
    <n v="0"/>
    <n v="0"/>
    <n v="4059.5833333333335"/>
    <n v="4186.719696969697"/>
    <n v="0"/>
    <n v="0"/>
    <n v="0"/>
    <n v="0"/>
    <n v="0"/>
    <n v="0"/>
    <n v="0"/>
    <n v="0"/>
    <n v="0"/>
    <n v="0"/>
    <n v="36536.25"/>
    <n v="37680.477272727272"/>
    <n v="36536.25"/>
    <n v="37680.477272727272"/>
    <n v="0"/>
    <n v="0"/>
    <n v="0"/>
    <n v="0"/>
    <n v="0"/>
    <n v="0"/>
    <n v="0"/>
    <n v="0"/>
    <n v="0"/>
    <n v="0"/>
    <n v="11"/>
    <n v="11"/>
    <n v="11"/>
    <n v="11"/>
    <n v="0"/>
    <n v="0"/>
    <n v="0"/>
    <n v="0"/>
    <n v="0"/>
    <n v="0"/>
    <n v="0"/>
    <n v="0"/>
    <n v="0"/>
    <n v="0"/>
    <n v="401898.75"/>
    <n v="414485.25"/>
    <n v="401898.75"/>
    <n v="414485.25"/>
  </r>
  <r>
    <x v="12"/>
    <s v="Tennessee Center of Applied Technology at Memphis"/>
    <s v="Met the criteria for Technical Institute or College 1 in 2011-12."/>
    <n v="220853"/>
    <x v="10"/>
    <m/>
    <m/>
    <m/>
    <m/>
    <m/>
    <m/>
    <m/>
    <m/>
    <m/>
    <m/>
    <m/>
    <m/>
    <m/>
    <m/>
    <m/>
    <m/>
    <m/>
    <m/>
    <m/>
    <m/>
    <m/>
    <m/>
    <m/>
    <m/>
    <m/>
    <m/>
    <m/>
    <m/>
    <m/>
    <m/>
    <m/>
    <m/>
    <m/>
    <m/>
    <m/>
    <m/>
    <m/>
    <m/>
    <m/>
    <m/>
    <m/>
    <m/>
    <m/>
    <m/>
    <m/>
    <m/>
    <n v="38"/>
    <n v="38"/>
    <n v="0"/>
    <m/>
    <n v="0"/>
    <m/>
    <n v="0"/>
    <m/>
    <n v="0"/>
    <m/>
    <n v="0"/>
    <m/>
    <n v="1793562"/>
    <n v="1874210"/>
    <n v="0"/>
    <n v="0"/>
    <n v="0"/>
    <n v="0"/>
    <n v="0"/>
    <n v="0"/>
    <n v="0"/>
    <n v="0"/>
    <n v="0"/>
    <n v="0"/>
    <n v="456"/>
    <n v="456"/>
    <n v="0"/>
    <n v="0"/>
    <n v="0"/>
    <n v="0"/>
    <n v="0"/>
    <n v="0"/>
    <n v="0"/>
    <n v="0"/>
    <n v="0"/>
    <n v="0"/>
    <n v="3933.25"/>
    <n v="4110.1096491228072"/>
    <n v="0"/>
    <n v="0"/>
    <n v="0"/>
    <n v="0"/>
    <n v="0"/>
    <n v="0"/>
    <n v="0"/>
    <n v="0"/>
    <n v="0"/>
    <n v="0"/>
    <n v="35399.25"/>
    <n v="36990.986842105267"/>
    <n v="35399.25"/>
    <n v="36990.986842105267"/>
    <n v="0"/>
    <n v="0"/>
    <n v="0"/>
    <n v="0"/>
    <n v="0"/>
    <n v="0"/>
    <n v="0"/>
    <n v="0"/>
    <n v="0"/>
    <n v="0"/>
    <n v="38"/>
    <n v="38"/>
    <n v="38"/>
    <n v="38"/>
    <n v="0"/>
    <n v="0"/>
    <n v="0"/>
    <n v="0"/>
    <n v="0"/>
    <n v="0"/>
    <n v="0"/>
    <n v="0"/>
    <n v="0"/>
    <n v="0"/>
    <n v="1345171.5"/>
    <n v="1405657.5000000002"/>
    <n v="1345171.5"/>
    <n v="1405657.5000000002"/>
  </r>
  <r>
    <x v="12"/>
    <s v="Tennessee Center of Applied Technology at Morristown"/>
    <m/>
    <n v="221050"/>
    <x v="10"/>
    <m/>
    <m/>
    <m/>
    <m/>
    <m/>
    <m/>
    <m/>
    <m/>
    <m/>
    <m/>
    <m/>
    <m/>
    <m/>
    <m/>
    <m/>
    <m/>
    <m/>
    <m/>
    <m/>
    <m/>
    <m/>
    <m/>
    <m/>
    <m/>
    <m/>
    <m/>
    <m/>
    <m/>
    <m/>
    <m/>
    <m/>
    <m/>
    <m/>
    <m/>
    <m/>
    <m/>
    <m/>
    <m/>
    <m/>
    <m/>
    <m/>
    <m/>
    <m/>
    <m/>
    <m/>
    <m/>
    <n v="19"/>
    <n v="29"/>
    <n v="0"/>
    <m/>
    <n v="0"/>
    <m/>
    <n v="0"/>
    <m/>
    <n v="0"/>
    <m/>
    <n v="0"/>
    <m/>
    <n v="1037296"/>
    <n v="1553124"/>
    <n v="0"/>
    <n v="0"/>
    <n v="0"/>
    <n v="0"/>
    <n v="0"/>
    <n v="0"/>
    <n v="0"/>
    <n v="0"/>
    <n v="0"/>
    <n v="0"/>
    <n v="228"/>
    <n v="348"/>
    <n v="0"/>
    <n v="0"/>
    <n v="0"/>
    <n v="0"/>
    <n v="0"/>
    <n v="0"/>
    <n v="0"/>
    <n v="0"/>
    <n v="0"/>
    <n v="0"/>
    <n v="4549.5438596491231"/>
    <n v="4463"/>
    <n v="0"/>
    <n v="0"/>
    <n v="0"/>
    <n v="0"/>
    <n v="0"/>
    <n v="0"/>
    <n v="0"/>
    <n v="0"/>
    <n v="0"/>
    <n v="0"/>
    <n v="40945.894736842107"/>
    <n v="40167"/>
    <n v="40945.894736842107"/>
    <n v="40167"/>
    <n v="0"/>
    <n v="0"/>
    <n v="0"/>
    <n v="0"/>
    <n v="0"/>
    <n v="0"/>
    <n v="0"/>
    <n v="0"/>
    <n v="0"/>
    <n v="0"/>
    <n v="19"/>
    <n v="29"/>
    <n v="19"/>
    <n v="29"/>
    <n v="0"/>
    <n v="0"/>
    <n v="0"/>
    <n v="0"/>
    <n v="0"/>
    <n v="0"/>
    <n v="0"/>
    <n v="0"/>
    <n v="0"/>
    <n v="0"/>
    <n v="777972"/>
    <n v="1164843"/>
    <n v="777972"/>
    <n v="1164843"/>
  </r>
  <r>
    <x v="12"/>
    <s v="Tennessee Center of Applied Technology at Murfreesboro"/>
    <m/>
    <n v="221102"/>
    <x v="10"/>
    <m/>
    <m/>
    <m/>
    <m/>
    <m/>
    <m/>
    <m/>
    <m/>
    <m/>
    <m/>
    <m/>
    <m/>
    <m/>
    <m/>
    <m/>
    <m/>
    <m/>
    <m/>
    <m/>
    <m/>
    <m/>
    <m/>
    <m/>
    <m/>
    <m/>
    <m/>
    <m/>
    <m/>
    <m/>
    <m/>
    <m/>
    <m/>
    <m/>
    <m/>
    <m/>
    <m/>
    <m/>
    <m/>
    <m/>
    <m/>
    <m/>
    <m/>
    <m/>
    <m/>
    <m/>
    <m/>
    <n v="20"/>
    <n v="22"/>
    <n v="0"/>
    <m/>
    <n v="0"/>
    <m/>
    <n v="0"/>
    <m/>
    <n v="0"/>
    <m/>
    <n v="0"/>
    <m/>
    <n v="1080988"/>
    <n v="1196792"/>
    <n v="0"/>
    <n v="0"/>
    <n v="0"/>
    <n v="0"/>
    <n v="0"/>
    <n v="0"/>
    <n v="0"/>
    <n v="0"/>
    <n v="0"/>
    <n v="0"/>
    <n v="240"/>
    <n v="264"/>
    <n v="0"/>
    <n v="0"/>
    <n v="0"/>
    <n v="0"/>
    <n v="0"/>
    <n v="0"/>
    <n v="0"/>
    <n v="0"/>
    <n v="0"/>
    <n v="0"/>
    <n v="4504.1166666666668"/>
    <n v="4533.30303030303"/>
    <n v="0"/>
    <n v="0"/>
    <n v="0"/>
    <n v="0"/>
    <n v="0"/>
    <n v="0"/>
    <n v="0"/>
    <n v="0"/>
    <n v="0"/>
    <n v="0"/>
    <n v="40537.050000000003"/>
    <n v="40799.727272727272"/>
    <n v="40537.050000000003"/>
    <n v="40799.727272727272"/>
    <n v="0"/>
    <n v="0"/>
    <n v="0"/>
    <n v="0"/>
    <n v="0"/>
    <n v="0"/>
    <n v="0"/>
    <n v="0"/>
    <n v="0"/>
    <n v="0"/>
    <n v="20"/>
    <n v="22"/>
    <n v="20"/>
    <n v="22"/>
    <n v="0"/>
    <n v="0"/>
    <n v="0"/>
    <n v="0"/>
    <n v="0"/>
    <n v="0"/>
    <n v="0"/>
    <n v="0"/>
    <n v="0"/>
    <n v="0"/>
    <n v="810741"/>
    <n v="897594"/>
    <n v="810741"/>
    <n v="897594"/>
  </r>
  <r>
    <x v="12"/>
    <s v="Tennessee Center of Applied Technology at Nashville"/>
    <s v="Met the criteria for Technical Institute or College 1 in 2011-12."/>
    <n v="248925"/>
    <x v="10"/>
    <m/>
    <m/>
    <m/>
    <m/>
    <m/>
    <m/>
    <m/>
    <m/>
    <m/>
    <m/>
    <m/>
    <m/>
    <m/>
    <m/>
    <m/>
    <m/>
    <m/>
    <m/>
    <m/>
    <m/>
    <m/>
    <m/>
    <m/>
    <m/>
    <m/>
    <m/>
    <m/>
    <m/>
    <m/>
    <m/>
    <m/>
    <m/>
    <m/>
    <m/>
    <m/>
    <m/>
    <m/>
    <m/>
    <m/>
    <m/>
    <m/>
    <m/>
    <m/>
    <m/>
    <m/>
    <m/>
    <n v="38"/>
    <n v="16"/>
    <n v="0"/>
    <m/>
    <n v="0"/>
    <m/>
    <n v="0"/>
    <m/>
    <n v="0"/>
    <m/>
    <n v="0"/>
    <m/>
    <n v="1612604"/>
    <n v="811134"/>
    <n v="0"/>
    <n v="0"/>
    <n v="0"/>
    <n v="0"/>
    <n v="0"/>
    <n v="0"/>
    <n v="0"/>
    <n v="0"/>
    <n v="0"/>
    <n v="0"/>
    <n v="456"/>
    <n v="192"/>
    <n v="0"/>
    <n v="0"/>
    <n v="0"/>
    <n v="0"/>
    <n v="0"/>
    <n v="0"/>
    <n v="0"/>
    <n v="0"/>
    <n v="0"/>
    <n v="0"/>
    <n v="3536.4122807017543"/>
    <n v="4224.65625"/>
    <n v="0"/>
    <n v="0"/>
    <n v="0"/>
    <n v="0"/>
    <n v="0"/>
    <n v="0"/>
    <n v="0"/>
    <n v="0"/>
    <n v="0"/>
    <n v="0"/>
    <n v="31827.71052631579"/>
    <n v="38021.90625"/>
    <n v="31827.71052631579"/>
    <n v="38021.90625"/>
    <n v="0"/>
    <n v="0"/>
    <n v="0"/>
    <n v="0"/>
    <n v="0"/>
    <n v="0"/>
    <n v="0"/>
    <n v="0"/>
    <n v="0"/>
    <n v="0"/>
    <n v="38"/>
    <n v="16"/>
    <n v="38"/>
    <n v="16"/>
    <n v="0"/>
    <n v="0"/>
    <n v="0"/>
    <n v="0"/>
    <n v="0"/>
    <n v="0"/>
    <n v="0"/>
    <n v="0"/>
    <n v="0"/>
    <n v="0"/>
    <n v="1209453"/>
    <n v="608350.5"/>
    <n v="1209453"/>
    <n v="608350.5"/>
  </r>
  <r>
    <x v="12"/>
    <s v="Tennessee Center of Applied Technology at Newbern"/>
    <m/>
    <n v="221236"/>
    <x v="10"/>
    <m/>
    <m/>
    <m/>
    <m/>
    <m/>
    <m/>
    <m/>
    <m/>
    <m/>
    <m/>
    <m/>
    <m/>
    <m/>
    <m/>
    <m/>
    <m/>
    <m/>
    <m/>
    <m/>
    <m/>
    <m/>
    <m/>
    <m/>
    <m/>
    <m/>
    <m/>
    <m/>
    <m/>
    <m/>
    <m/>
    <m/>
    <m/>
    <m/>
    <m/>
    <m/>
    <m/>
    <m/>
    <m/>
    <m/>
    <m/>
    <m/>
    <m/>
    <m/>
    <m/>
    <m/>
    <m/>
    <n v="11"/>
    <n v="10"/>
    <n v="0"/>
    <m/>
    <n v="0"/>
    <m/>
    <n v="0"/>
    <m/>
    <n v="0"/>
    <m/>
    <n v="0"/>
    <m/>
    <n v="501087.00000000006"/>
    <n v="460795"/>
    <n v="0"/>
    <n v="0"/>
    <n v="0"/>
    <n v="0"/>
    <n v="0"/>
    <n v="0"/>
    <n v="0"/>
    <n v="0"/>
    <n v="0"/>
    <n v="0"/>
    <n v="132"/>
    <n v="120"/>
    <n v="0"/>
    <n v="0"/>
    <n v="0"/>
    <n v="0"/>
    <n v="0"/>
    <n v="0"/>
    <n v="0"/>
    <n v="0"/>
    <n v="0"/>
    <n v="0"/>
    <n v="3796.1136363636369"/>
    <n v="3839.9583333333335"/>
    <n v="0"/>
    <n v="0"/>
    <n v="0"/>
    <n v="0"/>
    <n v="0"/>
    <n v="0"/>
    <n v="0"/>
    <n v="0"/>
    <n v="0"/>
    <n v="0"/>
    <n v="34165.022727272735"/>
    <n v="34559.625"/>
    <n v="34165.022727272735"/>
    <n v="34559.625"/>
    <n v="0"/>
    <n v="0"/>
    <n v="0"/>
    <n v="0"/>
    <n v="0"/>
    <n v="0"/>
    <n v="0"/>
    <n v="0"/>
    <n v="0"/>
    <n v="0"/>
    <n v="11"/>
    <n v="10"/>
    <n v="11"/>
    <n v="10"/>
    <n v="0"/>
    <n v="0"/>
    <n v="0"/>
    <n v="0"/>
    <n v="0"/>
    <n v="0"/>
    <n v="0"/>
    <n v="0"/>
    <n v="0"/>
    <n v="0"/>
    <n v="375815.25000000012"/>
    <n v="345596.25"/>
    <n v="375815.25000000012"/>
    <n v="345596.25"/>
  </r>
  <r>
    <x v="12"/>
    <s v="Tennessee Center of Applied Technology at Oneida"/>
    <m/>
    <n v="221582"/>
    <x v="10"/>
    <m/>
    <m/>
    <m/>
    <m/>
    <m/>
    <m/>
    <m/>
    <m/>
    <m/>
    <m/>
    <m/>
    <m/>
    <m/>
    <m/>
    <m/>
    <m/>
    <m/>
    <m/>
    <m/>
    <m/>
    <m/>
    <m/>
    <m/>
    <m/>
    <m/>
    <m/>
    <m/>
    <m/>
    <m/>
    <m/>
    <m/>
    <m/>
    <m/>
    <m/>
    <m/>
    <m/>
    <m/>
    <m/>
    <m/>
    <m/>
    <m/>
    <m/>
    <m/>
    <m/>
    <m/>
    <m/>
    <n v="11"/>
    <n v="9"/>
    <n v="0"/>
    <m/>
    <n v="0"/>
    <m/>
    <n v="0"/>
    <m/>
    <n v="0"/>
    <m/>
    <n v="0"/>
    <m/>
    <n v="475903"/>
    <n v="396288"/>
    <n v="0"/>
    <n v="0"/>
    <n v="0"/>
    <n v="0"/>
    <n v="0"/>
    <n v="0"/>
    <n v="0"/>
    <n v="0"/>
    <n v="0"/>
    <n v="0"/>
    <n v="132"/>
    <n v="108"/>
    <n v="0"/>
    <n v="0"/>
    <n v="0"/>
    <n v="0"/>
    <n v="0"/>
    <n v="0"/>
    <n v="0"/>
    <n v="0"/>
    <n v="0"/>
    <n v="0"/>
    <n v="3605.3257575757575"/>
    <n v="3669.3333333333335"/>
    <n v="0"/>
    <n v="0"/>
    <n v="0"/>
    <n v="0"/>
    <n v="0"/>
    <n v="0"/>
    <n v="0"/>
    <n v="0"/>
    <n v="0"/>
    <n v="0"/>
    <n v="32447.931818181816"/>
    <n v="33024"/>
    <n v="32447.93181818182"/>
    <n v="33024"/>
    <n v="0"/>
    <n v="0"/>
    <n v="0"/>
    <n v="0"/>
    <n v="0"/>
    <n v="0"/>
    <n v="0"/>
    <n v="0"/>
    <n v="0"/>
    <n v="0"/>
    <n v="11"/>
    <n v="9"/>
    <n v="11"/>
    <n v="9"/>
    <n v="0"/>
    <n v="0"/>
    <n v="0"/>
    <n v="0"/>
    <n v="0"/>
    <n v="0"/>
    <n v="0"/>
    <n v="0"/>
    <n v="0"/>
    <n v="0"/>
    <n v="356927.25"/>
    <n v="297216"/>
    <n v="356927.25"/>
    <n v="297216"/>
  </r>
  <r>
    <x v="12"/>
    <s v="Tennessee Center of Applied Technology at Paris"/>
    <m/>
    <n v="221281"/>
    <x v="10"/>
    <m/>
    <m/>
    <m/>
    <m/>
    <m/>
    <m/>
    <m/>
    <m/>
    <m/>
    <m/>
    <m/>
    <m/>
    <m/>
    <m/>
    <m/>
    <m/>
    <m/>
    <m/>
    <m/>
    <m/>
    <m/>
    <m/>
    <m/>
    <m/>
    <m/>
    <m/>
    <m/>
    <m/>
    <m/>
    <m/>
    <m/>
    <m/>
    <m/>
    <m/>
    <m/>
    <m/>
    <m/>
    <m/>
    <m/>
    <m/>
    <m/>
    <m/>
    <m/>
    <m/>
    <m/>
    <m/>
    <n v="12"/>
    <n v="18"/>
    <n v="0"/>
    <m/>
    <n v="0"/>
    <m/>
    <n v="0"/>
    <m/>
    <n v="0"/>
    <m/>
    <n v="0"/>
    <m/>
    <n v="542236"/>
    <n v="846682"/>
    <n v="0"/>
    <n v="0"/>
    <n v="0"/>
    <n v="0"/>
    <n v="0"/>
    <n v="0"/>
    <n v="0"/>
    <n v="0"/>
    <n v="0"/>
    <n v="0"/>
    <n v="144"/>
    <n v="216"/>
    <n v="0"/>
    <n v="0"/>
    <n v="0"/>
    <n v="0"/>
    <n v="0"/>
    <n v="0"/>
    <n v="0"/>
    <n v="0"/>
    <n v="0"/>
    <n v="0"/>
    <n v="3765.5277777777778"/>
    <n v="3919.8240740740739"/>
    <n v="0"/>
    <n v="0"/>
    <n v="0"/>
    <n v="0"/>
    <n v="0"/>
    <n v="0"/>
    <n v="0"/>
    <n v="0"/>
    <n v="0"/>
    <n v="0"/>
    <n v="33889.75"/>
    <n v="35278.416666666664"/>
    <n v="33889.75"/>
    <n v="35278.416666666664"/>
    <n v="0"/>
    <n v="0"/>
    <n v="0"/>
    <n v="0"/>
    <n v="0"/>
    <n v="0"/>
    <n v="0"/>
    <n v="0"/>
    <n v="0"/>
    <n v="0"/>
    <n v="12"/>
    <n v="18"/>
    <n v="12"/>
    <n v="18"/>
    <n v="0"/>
    <n v="0"/>
    <n v="0"/>
    <n v="0"/>
    <n v="0"/>
    <n v="0"/>
    <n v="0"/>
    <n v="0"/>
    <n v="0"/>
    <n v="0"/>
    <n v="406677"/>
    <n v="635011.5"/>
    <n v="406677"/>
    <n v="635011.5"/>
  </r>
  <r>
    <x v="12"/>
    <s v="Tennessee Center of Applied Technology at Pulaski"/>
    <m/>
    <n v="221333"/>
    <x v="10"/>
    <m/>
    <m/>
    <m/>
    <m/>
    <m/>
    <m/>
    <m/>
    <m/>
    <m/>
    <m/>
    <m/>
    <m/>
    <m/>
    <m/>
    <m/>
    <m/>
    <m/>
    <m/>
    <m/>
    <m/>
    <m/>
    <m/>
    <m/>
    <m/>
    <m/>
    <m/>
    <m/>
    <m/>
    <m/>
    <m/>
    <m/>
    <m/>
    <m/>
    <m/>
    <m/>
    <m/>
    <m/>
    <m/>
    <m/>
    <m/>
    <m/>
    <m/>
    <m/>
    <m/>
    <m/>
    <m/>
    <n v="16"/>
    <n v="18"/>
    <n v="0"/>
    <m/>
    <n v="0"/>
    <m/>
    <n v="0"/>
    <m/>
    <n v="0"/>
    <m/>
    <n v="0"/>
    <m/>
    <n v="761158"/>
    <n v="865318"/>
    <n v="0"/>
    <n v="0"/>
    <n v="0"/>
    <n v="0"/>
    <n v="0"/>
    <n v="0"/>
    <n v="0"/>
    <n v="0"/>
    <n v="0"/>
    <n v="0"/>
    <n v="192"/>
    <n v="216"/>
    <n v="0"/>
    <n v="0"/>
    <n v="0"/>
    <n v="0"/>
    <n v="0"/>
    <n v="0"/>
    <n v="0"/>
    <n v="0"/>
    <n v="0"/>
    <n v="0"/>
    <n v="3964.3645833333335"/>
    <n v="4006.1018518518517"/>
    <n v="0"/>
    <n v="0"/>
    <n v="0"/>
    <n v="0"/>
    <n v="0"/>
    <n v="0"/>
    <n v="0"/>
    <n v="0"/>
    <n v="0"/>
    <n v="0"/>
    <n v="35679.28125"/>
    <n v="36054.916666666664"/>
    <n v="35679.28125"/>
    <n v="36054.916666666664"/>
    <n v="0"/>
    <n v="0"/>
    <n v="0"/>
    <n v="0"/>
    <n v="0"/>
    <n v="0"/>
    <n v="0"/>
    <n v="0"/>
    <n v="0"/>
    <n v="0"/>
    <n v="16"/>
    <n v="18"/>
    <n v="16"/>
    <n v="18"/>
    <n v="0"/>
    <n v="0"/>
    <n v="0"/>
    <n v="0"/>
    <n v="0"/>
    <n v="0"/>
    <n v="0"/>
    <n v="0"/>
    <n v="0"/>
    <n v="0"/>
    <n v="570868.5"/>
    <n v="648988.5"/>
    <n v="570868.5"/>
    <n v="648988.5"/>
  </r>
  <r>
    <x v="12"/>
    <s v="Tennessee Center of Applied Technology at Ripley"/>
    <m/>
    <n v="221388"/>
    <x v="10"/>
    <m/>
    <m/>
    <m/>
    <m/>
    <m/>
    <m/>
    <m/>
    <m/>
    <m/>
    <m/>
    <m/>
    <m/>
    <m/>
    <m/>
    <m/>
    <m/>
    <m/>
    <m/>
    <m/>
    <m/>
    <m/>
    <m/>
    <m/>
    <m/>
    <m/>
    <m/>
    <m/>
    <m/>
    <m/>
    <m/>
    <m/>
    <m/>
    <m/>
    <m/>
    <m/>
    <m/>
    <m/>
    <m/>
    <m/>
    <m/>
    <m/>
    <m/>
    <m/>
    <m/>
    <m/>
    <m/>
    <n v="8"/>
    <n v="9"/>
    <n v="0"/>
    <m/>
    <n v="0"/>
    <m/>
    <n v="0"/>
    <m/>
    <n v="0"/>
    <m/>
    <n v="0"/>
    <m/>
    <n v="371814"/>
    <n v="432918"/>
    <n v="0"/>
    <n v="0"/>
    <n v="0"/>
    <n v="0"/>
    <n v="0"/>
    <n v="0"/>
    <n v="0"/>
    <n v="0"/>
    <n v="0"/>
    <n v="0"/>
    <n v="96"/>
    <n v="108"/>
    <n v="0"/>
    <n v="0"/>
    <n v="0"/>
    <n v="0"/>
    <n v="0"/>
    <n v="0"/>
    <n v="0"/>
    <n v="0"/>
    <n v="0"/>
    <n v="0"/>
    <n v="3873.0625"/>
    <n v="4008.5"/>
    <n v="0"/>
    <n v="0"/>
    <n v="0"/>
    <n v="0"/>
    <n v="0"/>
    <n v="0"/>
    <n v="0"/>
    <n v="0"/>
    <n v="0"/>
    <n v="0"/>
    <n v="34857.5625"/>
    <n v="36076.5"/>
    <n v="34857.5625"/>
    <n v="36076.5"/>
    <n v="0"/>
    <n v="0"/>
    <n v="0"/>
    <n v="0"/>
    <n v="0"/>
    <n v="0"/>
    <n v="0"/>
    <n v="0"/>
    <n v="0"/>
    <n v="0"/>
    <n v="8"/>
    <n v="9"/>
    <n v="8"/>
    <n v="9"/>
    <n v="0"/>
    <n v="0"/>
    <n v="0"/>
    <n v="0"/>
    <n v="0"/>
    <n v="0"/>
    <n v="0"/>
    <n v="0"/>
    <n v="0"/>
    <n v="0"/>
    <n v="278860.5"/>
    <n v="324688.5"/>
    <n v="278860.5"/>
    <n v="324688.5"/>
  </r>
  <r>
    <x v="12"/>
    <s v="Tennessee Center of Applied Technology at Shelbyville"/>
    <m/>
    <n v="221494"/>
    <x v="10"/>
    <m/>
    <m/>
    <m/>
    <m/>
    <m/>
    <m/>
    <m/>
    <m/>
    <m/>
    <m/>
    <m/>
    <m/>
    <m/>
    <m/>
    <m/>
    <m/>
    <m/>
    <m/>
    <m/>
    <m/>
    <m/>
    <m/>
    <m/>
    <m/>
    <m/>
    <m/>
    <m/>
    <m/>
    <m/>
    <m/>
    <m/>
    <m/>
    <m/>
    <m/>
    <m/>
    <m/>
    <m/>
    <m/>
    <m/>
    <m/>
    <m/>
    <m/>
    <m/>
    <m/>
    <m/>
    <m/>
    <n v="20"/>
    <n v="21"/>
    <n v="0"/>
    <m/>
    <n v="0"/>
    <m/>
    <n v="0"/>
    <m/>
    <n v="0"/>
    <m/>
    <n v="0"/>
    <m/>
    <n v="964124"/>
    <n v="1019960"/>
    <n v="0"/>
    <n v="0"/>
    <n v="0"/>
    <n v="0"/>
    <n v="0"/>
    <n v="0"/>
    <n v="0"/>
    <n v="0"/>
    <n v="0"/>
    <n v="0"/>
    <n v="240"/>
    <n v="252"/>
    <n v="0"/>
    <n v="0"/>
    <n v="0"/>
    <n v="0"/>
    <n v="0"/>
    <n v="0"/>
    <n v="0"/>
    <n v="0"/>
    <n v="0"/>
    <n v="0"/>
    <n v="4017.1833333333334"/>
    <n v="4047.4603174603176"/>
    <n v="0"/>
    <n v="0"/>
    <n v="0"/>
    <n v="0"/>
    <n v="0"/>
    <n v="0"/>
    <n v="0"/>
    <n v="0"/>
    <n v="0"/>
    <n v="0"/>
    <n v="36154.65"/>
    <n v="36427.142857142855"/>
    <n v="36154.65"/>
    <n v="36427.142857142855"/>
    <n v="0"/>
    <n v="0"/>
    <n v="0"/>
    <n v="0"/>
    <n v="0"/>
    <n v="0"/>
    <n v="0"/>
    <n v="0"/>
    <n v="0"/>
    <n v="0"/>
    <n v="20"/>
    <n v="21"/>
    <n v="20"/>
    <n v="21"/>
    <n v="0"/>
    <n v="0"/>
    <n v="0"/>
    <n v="0"/>
    <n v="0"/>
    <n v="0"/>
    <n v="0"/>
    <n v="0"/>
    <n v="0"/>
    <n v="0"/>
    <n v="723093"/>
    <n v="764970"/>
    <n v="723093"/>
    <n v="764970"/>
  </r>
  <r>
    <x v="12"/>
    <s v="Tennessee Center of Applied Technology at Whiteville"/>
    <m/>
    <n v="221634"/>
    <x v="10"/>
    <m/>
    <m/>
    <m/>
    <m/>
    <m/>
    <m/>
    <m/>
    <m/>
    <m/>
    <m/>
    <m/>
    <m/>
    <m/>
    <m/>
    <m/>
    <m/>
    <m/>
    <m/>
    <m/>
    <m/>
    <m/>
    <m/>
    <m/>
    <m/>
    <m/>
    <m/>
    <m/>
    <m/>
    <m/>
    <m/>
    <m/>
    <m/>
    <m/>
    <m/>
    <m/>
    <m/>
    <m/>
    <m/>
    <m/>
    <m/>
    <m/>
    <m/>
    <m/>
    <m/>
    <m/>
    <m/>
    <n v="8"/>
    <n v="8"/>
    <n v="0"/>
    <m/>
    <n v="0"/>
    <m/>
    <n v="0"/>
    <m/>
    <n v="0"/>
    <m/>
    <n v="0"/>
    <m/>
    <n v="390218"/>
    <n v="407976"/>
    <n v="0"/>
    <n v="0"/>
    <n v="0"/>
    <n v="0"/>
    <n v="0"/>
    <n v="0"/>
    <n v="0"/>
    <n v="0"/>
    <n v="0"/>
    <n v="0"/>
    <n v="96"/>
    <n v="96"/>
    <n v="0"/>
    <n v="0"/>
    <n v="0"/>
    <n v="0"/>
    <n v="0"/>
    <n v="0"/>
    <n v="0"/>
    <n v="0"/>
    <n v="0"/>
    <n v="0"/>
    <n v="4064.7708333333335"/>
    <n v="4249.75"/>
    <n v="0"/>
    <n v="0"/>
    <n v="0"/>
    <n v="0"/>
    <n v="0"/>
    <n v="0"/>
    <n v="0"/>
    <n v="0"/>
    <n v="0"/>
    <n v="0"/>
    <n v="36582.9375"/>
    <n v="38247.75"/>
    <n v="36582.9375"/>
    <n v="38247.75"/>
    <n v="0"/>
    <n v="0"/>
    <n v="0"/>
    <n v="0"/>
    <n v="0"/>
    <n v="0"/>
    <n v="0"/>
    <n v="0"/>
    <n v="0"/>
    <n v="0"/>
    <n v="8"/>
    <n v="8"/>
    <n v="8"/>
    <n v="8"/>
    <n v="0"/>
    <n v="0"/>
    <n v="0"/>
    <n v="0"/>
    <n v="0"/>
    <n v="0"/>
    <n v="0"/>
    <n v="0"/>
    <n v="0"/>
    <n v="0"/>
    <n v="292663.5"/>
    <n v="305982"/>
    <n v="292663.5"/>
    <n v="305982"/>
  </r>
  <r>
    <x v="13"/>
    <s v="Texas A&amp;M University "/>
    <m/>
    <n v="228723"/>
    <x v="0"/>
    <n v="427"/>
    <n v="394"/>
    <m/>
    <n v="41"/>
    <n v="429"/>
    <n v="15"/>
    <m/>
    <n v="391"/>
    <n v="309"/>
    <n v="271"/>
    <m/>
    <n v="45"/>
    <n v="274"/>
    <n v="6"/>
    <m/>
    <n v="263"/>
    <n v="282"/>
    <n v="216"/>
    <m/>
    <n v="17"/>
    <n v="239"/>
    <n v="13"/>
    <m/>
    <n v="172"/>
    <n v="67"/>
    <n v="65"/>
    <m/>
    <n v="8"/>
    <n v="48"/>
    <n v="1"/>
    <m/>
    <n v="50"/>
    <n v="145"/>
    <n v="146"/>
    <m/>
    <n v="24"/>
    <n v="91"/>
    <n v="6"/>
    <m/>
    <n v="71"/>
    <m/>
    <m/>
    <m/>
    <m/>
    <m/>
    <m/>
    <m/>
    <m/>
    <n v="121067625"/>
    <n v="120387238"/>
    <n v="55711270"/>
    <n v="56437804"/>
    <n v="42617129"/>
    <n v="34394933"/>
    <n v="5250760"/>
    <n v="6178296"/>
    <n v="6928838.3626373624"/>
    <n v="12647716"/>
    <n v="0"/>
    <m/>
    <n v="8562"/>
    <n v="8813"/>
    <n v="5795"/>
    <n v="6111"/>
    <n v="5167"/>
    <n v="4321"/>
    <n v="1131"/>
    <n v="1276"/>
    <n v="2306"/>
    <n v="2472"/>
    <n v="0"/>
    <n v="0"/>
    <n v="14140.110371408549"/>
    <n v="13660.188131169863"/>
    <n v="9613.6790336496979"/>
    <n v="9235.4449353624605"/>
    <n v="8247.9444551964389"/>
    <n v="7959.947465864383"/>
    <n v="4642.5817860300622"/>
    <n v="4841.9247648902819"/>
    <n v="3004.7000705279111"/>
    <n v="5116.3899676375404"/>
    <n v="0"/>
    <n v="0"/>
    <n v="127260.99334267694"/>
    <n v="122941.69318052877"/>
    <n v="86523.111302847276"/>
    <n v="83119.00441826215"/>
    <n v="74231.500096767952"/>
    <n v="71639.527192779453"/>
    <n v="41783.236074270557"/>
    <n v="43577.322884012538"/>
    <n v="27042.300634751198"/>
    <n v="46047.509708737867"/>
    <n v="0"/>
    <n v="0"/>
    <n v="90540.913387992186"/>
    <n v="89725.158849555635"/>
    <n v="856"/>
    <n v="841"/>
    <n v="583"/>
    <n v="585"/>
    <n v="521"/>
    <n v="418"/>
    <n v="115"/>
    <n v="124"/>
    <n v="236"/>
    <n v="247"/>
    <n v="0"/>
    <n v="0"/>
    <n v="2311"/>
    <n v="2215"/>
    <n v="108935410.30133146"/>
    <n v="103393963.96482471"/>
    <n v="50442973.889559962"/>
    <n v="48624617.584683359"/>
    <n v="38674611.550416104"/>
    <n v="29945322.366581813"/>
    <n v="4805072.1485411143"/>
    <n v="5403588.0376175549"/>
    <n v="6381982.949801283"/>
    <n v="11373734.898058252"/>
    <n v="0"/>
    <n v="0"/>
    <n v="209240050.83964995"/>
    <n v="198741226.85176572"/>
  </r>
  <r>
    <x v="13"/>
    <s v="Texas Tech University "/>
    <m/>
    <n v="229115"/>
    <x v="0"/>
    <n v="279"/>
    <n v="271"/>
    <m/>
    <n v="0"/>
    <n v="30"/>
    <n v="1"/>
    <m/>
    <n v="30"/>
    <n v="367"/>
    <n v="366"/>
    <m/>
    <n v="0"/>
    <n v="9"/>
    <n v="0"/>
    <m/>
    <n v="13"/>
    <n v="273"/>
    <n v="259"/>
    <m/>
    <n v="0"/>
    <n v="8"/>
    <n v="0"/>
    <m/>
    <n v="6"/>
    <n v="173"/>
    <n v="194"/>
    <m/>
    <n v="0"/>
    <n v="11"/>
    <n v="0"/>
    <m/>
    <n v="16"/>
    <n v="0"/>
    <n v="0"/>
    <m/>
    <n v="0"/>
    <n v="0"/>
    <n v="0"/>
    <m/>
    <n v="0"/>
    <m/>
    <m/>
    <m/>
    <m/>
    <m/>
    <m/>
    <m/>
    <m/>
    <n v="33354179"/>
    <n v="34242327"/>
    <n v="27828615"/>
    <n v="29043668"/>
    <n v="18626882"/>
    <n v="18369395"/>
    <n v="8271384"/>
    <n v="10295382"/>
    <n v="0"/>
    <n v="0"/>
    <n v="0"/>
    <m/>
    <n v="2841"/>
    <n v="2810"/>
    <n v="3402"/>
    <n v="3450"/>
    <n v="2545"/>
    <n v="2403"/>
    <n v="1678"/>
    <n v="1938"/>
    <n v="0"/>
    <n v="0"/>
    <n v="0"/>
    <n v="0"/>
    <n v="11740.295318549806"/>
    <n v="12185.881494661922"/>
    <n v="8180.0749559082897"/>
    <n v="8418.4544927536226"/>
    <n v="7319.0106090373283"/>
    <n v="7644.3591344153137"/>
    <n v="4929.3110846245527"/>
    <n v="5312.3746130030959"/>
    <n v="0"/>
    <n v="0"/>
    <n v="0"/>
    <n v="0"/>
    <n v="105662.65786694826"/>
    <n v="109672.9334519573"/>
    <n v="73620.674603174601"/>
    <n v="75766.0904347826"/>
    <n v="65871.095481335957"/>
    <n v="68799.23220973782"/>
    <n v="44363.799761620976"/>
    <n v="47811.371517027859"/>
    <n v="0"/>
    <n v="0"/>
    <n v="0"/>
    <n v="0"/>
    <n v="75655.523407021159"/>
    <n v="77948.75322788069"/>
    <n v="309"/>
    <n v="302"/>
    <n v="376"/>
    <n v="379"/>
    <n v="281"/>
    <n v="265"/>
    <n v="184"/>
    <n v="210"/>
    <n v="0"/>
    <n v="0"/>
    <n v="0"/>
    <n v="0"/>
    <n v="1150"/>
    <n v="1156"/>
    <n v="32649761.280887011"/>
    <n v="33121225.902491104"/>
    <n v="27681373.650793649"/>
    <n v="28715348.274782605"/>
    <n v="18509777.830255404"/>
    <n v="18231796.535580523"/>
    <n v="8162939.1561382599"/>
    <n v="10040388.018575851"/>
    <n v="0"/>
    <n v="0"/>
    <n v="0"/>
    <n v="0"/>
    <n v="87003851.91807434"/>
    <n v="90108758.731430084"/>
  </r>
  <r>
    <x v="13"/>
    <s v="University of Houston"/>
    <m/>
    <n v="225511"/>
    <x v="0"/>
    <n v="385"/>
    <n v="370"/>
    <m/>
    <n v="0"/>
    <n v="14"/>
    <n v="10"/>
    <m/>
    <n v="5"/>
    <n v="294"/>
    <n v="301"/>
    <m/>
    <n v="0"/>
    <n v="12"/>
    <n v="8"/>
    <m/>
    <n v="3"/>
    <n v="202"/>
    <n v="202"/>
    <m/>
    <n v="0"/>
    <n v="11"/>
    <n v="14"/>
    <m/>
    <n v="0"/>
    <m/>
    <n v="0"/>
    <m/>
    <n v="0"/>
    <m/>
    <n v="0"/>
    <m/>
    <n v="0"/>
    <n v="246"/>
    <n v="238"/>
    <m/>
    <n v="2"/>
    <n v="70"/>
    <n v="21"/>
    <m/>
    <n v="85"/>
    <m/>
    <m/>
    <m/>
    <m/>
    <m/>
    <m/>
    <m/>
    <m/>
    <n v="51050022"/>
    <n v="51214416"/>
    <n v="25679404.000000004"/>
    <n v="27538898"/>
    <n v="17372765"/>
    <n v="18575550"/>
    <n v="0"/>
    <n v="0"/>
    <n v="20377024"/>
    <n v="22216112"/>
    <n v="0"/>
    <m/>
    <n v="3619"/>
    <n v="3500"/>
    <n v="2778"/>
    <n v="2833"/>
    <n v="1939"/>
    <n v="1972"/>
    <n v="0"/>
    <n v="0"/>
    <n v="2984"/>
    <n v="3413"/>
    <n v="0"/>
    <n v="0"/>
    <n v="14106.112738325504"/>
    <n v="14632.690285714285"/>
    <n v="9243.8459323254156"/>
    <n v="9720.7546770208264"/>
    <n v="8959.6518824136147"/>
    <n v="9419.6501014198784"/>
    <n v="0"/>
    <n v="0"/>
    <n v="6828.7613941018762"/>
    <n v="6509.262232639906"/>
    <n v="0"/>
    <n v="0"/>
    <n v="126955.01464492954"/>
    <n v="131694.21257142856"/>
    <n v="83194.613390928746"/>
    <n v="87486.79209318744"/>
    <n v="80636.866941722532"/>
    <n v="84776.8509127789"/>
    <n v="0"/>
    <n v="0"/>
    <n v="61458.852546916889"/>
    <n v="58583.360093759155"/>
    <n v="0"/>
    <n v="0"/>
    <n v="91336.509403860386"/>
    <n v="92597.135315866064"/>
    <n v="399"/>
    <n v="385"/>
    <n v="306"/>
    <n v="312"/>
    <n v="213"/>
    <n v="216"/>
    <n v="0"/>
    <n v="0"/>
    <n v="316"/>
    <n v="346"/>
    <n v="0"/>
    <n v="0"/>
    <n v="1234"/>
    <n v="1259"/>
    <n v="50655050.843326889"/>
    <n v="50702271.839999996"/>
    <n v="25457551.697624195"/>
    <n v="27295879.133074481"/>
    <n v="17175652.658586901"/>
    <n v="18311799.797160242"/>
    <n v="0"/>
    <n v="0"/>
    <n v="19420997.404825736"/>
    <n v="20269842.592440668"/>
    <n v="0"/>
    <n v="0"/>
    <n v="112709252.60436371"/>
    <n v="116579793.36267537"/>
  </r>
  <r>
    <x v="13"/>
    <s v="University of North Texas"/>
    <m/>
    <n v="227216"/>
    <x v="0"/>
    <n v="245"/>
    <n v="246"/>
    <m/>
    <n v="0"/>
    <n v="36"/>
    <n v="0"/>
    <m/>
    <n v="40"/>
    <n v="260"/>
    <n v="283"/>
    <m/>
    <n v="0"/>
    <n v="16"/>
    <n v="0"/>
    <m/>
    <n v="14"/>
    <n v="219"/>
    <n v="201"/>
    <m/>
    <n v="0"/>
    <m/>
    <n v="0"/>
    <m/>
    <n v="0"/>
    <n v="6"/>
    <n v="6"/>
    <m/>
    <n v="0"/>
    <n v="1"/>
    <n v="0"/>
    <m/>
    <n v="9"/>
    <n v="219"/>
    <n v="280"/>
    <m/>
    <n v="0"/>
    <n v="5"/>
    <n v="0"/>
    <m/>
    <n v="41"/>
    <m/>
    <m/>
    <m/>
    <m/>
    <m/>
    <m/>
    <m/>
    <m/>
    <n v="31302856"/>
    <n v="35555641"/>
    <n v="22421146"/>
    <n v="27850875"/>
    <n v="14573929.000000002"/>
    <n v="15302455"/>
    <n v="402900"/>
    <n v="356182"/>
    <n v="11642497"/>
    <n v="16377830"/>
    <n v="0"/>
    <m/>
    <n v="2601"/>
    <n v="2694"/>
    <n v="2516"/>
    <n v="2715"/>
    <n v="1971"/>
    <n v="1809"/>
    <n v="65"/>
    <n v="162"/>
    <n v="2026"/>
    <n v="3012"/>
    <n v="0"/>
    <n v="0"/>
    <n v="12034.931180315263"/>
    <n v="13198.085003711953"/>
    <n v="8911.4252782193962"/>
    <n v="10258.149171270717"/>
    <n v="7394.1801116184688"/>
    <n v="8459.0685461580979"/>
    <n v="6198.4615384615381"/>
    <n v="2198.6543209876545"/>
    <n v="5746.5434353405726"/>
    <n v="5437.5265604249671"/>
    <n v="0"/>
    <n v="0"/>
    <n v="108314.38062283737"/>
    <n v="118782.76503340757"/>
    <n v="80202.827503974564"/>
    <n v="92323.342541436461"/>
    <n v="66547.621004566216"/>
    <n v="76131.616915422885"/>
    <n v="55786.153846153844"/>
    <n v="19787.888888888891"/>
    <n v="51718.890918065154"/>
    <n v="48937.739043824702"/>
    <n v="0"/>
    <n v="0"/>
    <n v="78571.782511106197"/>
    <n v="82768.027768537722"/>
    <n v="281"/>
    <n v="286"/>
    <n v="276"/>
    <n v="297"/>
    <n v="219"/>
    <n v="201"/>
    <n v="7"/>
    <n v="15"/>
    <n v="224"/>
    <n v="321"/>
    <n v="0"/>
    <n v="0"/>
    <n v="1007"/>
    <n v="1120"/>
    <n v="30436340.955017302"/>
    <n v="33971870.799554564"/>
    <n v="22135980.391096979"/>
    <n v="27420032.734806631"/>
    <n v="14573929.000000002"/>
    <n v="15302455"/>
    <n v="390503.07692307688"/>
    <n v="296818.33333333337"/>
    <n v="11585031.565646594"/>
    <n v="15709014.233067729"/>
    <n v="0"/>
    <n v="0"/>
    <n v="79121784.988683939"/>
    <n v="92700191.100762248"/>
  </r>
  <r>
    <x v="13"/>
    <s v="University of Texas at Arlington"/>
    <m/>
    <n v="228769"/>
    <x v="0"/>
    <n v="170"/>
    <n v="167"/>
    <m/>
    <n v="0"/>
    <m/>
    <n v="0"/>
    <m/>
    <n v="0"/>
    <n v="205"/>
    <n v="211"/>
    <m/>
    <n v="0"/>
    <m/>
    <n v="0"/>
    <m/>
    <n v="0"/>
    <n v="200"/>
    <n v="176"/>
    <m/>
    <n v="0"/>
    <m/>
    <n v="0"/>
    <m/>
    <n v="0"/>
    <m/>
    <n v="0"/>
    <m/>
    <n v="0"/>
    <m/>
    <n v="0"/>
    <m/>
    <n v="0"/>
    <n v="276"/>
    <n v="278"/>
    <m/>
    <n v="0"/>
    <n v="0"/>
    <n v="0"/>
    <m/>
    <n v="0"/>
    <m/>
    <m/>
    <m/>
    <m/>
    <m/>
    <m/>
    <m/>
    <m/>
    <n v="18112340"/>
    <n v="17718588"/>
    <n v="16400804"/>
    <n v="17062776"/>
    <n v="14509712"/>
    <n v="12180728"/>
    <n v="0"/>
    <n v="0"/>
    <n v="13985264"/>
    <n v="15546684"/>
    <n v="0"/>
    <m/>
    <n v="1530"/>
    <n v="1503"/>
    <n v="1845"/>
    <n v="1899"/>
    <n v="1800"/>
    <n v="1584"/>
    <n v="0"/>
    <n v="0"/>
    <n v="2484"/>
    <n v="2502"/>
    <n v="0"/>
    <n v="0"/>
    <n v="11838.130718954248"/>
    <n v="11788.814371257486"/>
    <n v="8889.3246612466119"/>
    <n v="8985.1374407582935"/>
    <n v="8060.9511111111115"/>
    <n v="7689.8535353535353"/>
    <n v="0"/>
    <n v="0"/>
    <n v="5630.1384863123994"/>
    <n v="6213.702637889688"/>
    <n v="0"/>
    <n v="0"/>
    <n v="106543.17647058822"/>
    <n v="106099.32934131737"/>
    <n v="80003.921951219512"/>
    <n v="80866.236966824639"/>
    <n v="72548.56"/>
    <n v="69208.681818181823"/>
    <n v="0"/>
    <n v="0"/>
    <n v="50671.246376811592"/>
    <n v="55923.323741007189"/>
    <n v="0"/>
    <n v="0"/>
    <n v="74040.094007050531"/>
    <n v="75130.74038461539"/>
    <n v="170"/>
    <n v="167"/>
    <n v="205"/>
    <n v="211"/>
    <n v="200"/>
    <n v="176"/>
    <n v="0"/>
    <n v="0"/>
    <n v="276"/>
    <n v="278"/>
    <n v="0"/>
    <n v="0"/>
    <n v="851"/>
    <n v="832"/>
    <n v="18112339.999999996"/>
    <n v="17718588"/>
    <n v="16400804"/>
    <n v="17062776"/>
    <n v="14509712"/>
    <n v="12180728"/>
    <n v="0"/>
    <n v="0"/>
    <n v="13985264"/>
    <n v="15546683.999999998"/>
    <n v="0"/>
    <n v="0"/>
    <n v="63008120"/>
    <n v="62508776.000000007"/>
  </r>
  <r>
    <x v="13"/>
    <s v="University of Texas at Austin"/>
    <m/>
    <n v="228778"/>
    <x v="0"/>
    <n v="982"/>
    <n v="983"/>
    <m/>
    <n v="0"/>
    <m/>
    <n v="0"/>
    <m/>
    <n v="0"/>
    <n v="527"/>
    <n v="528"/>
    <m/>
    <n v="0"/>
    <m/>
    <n v="0"/>
    <m/>
    <n v="0"/>
    <n v="400"/>
    <n v="398"/>
    <m/>
    <n v="0"/>
    <m/>
    <n v="0"/>
    <m/>
    <n v="0"/>
    <m/>
    <n v="1"/>
    <m/>
    <n v="0"/>
    <m/>
    <n v="0"/>
    <m/>
    <n v="0"/>
    <n v="553"/>
    <n v="616"/>
    <m/>
    <n v="0"/>
    <n v="0"/>
    <n v="0"/>
    <m/>
    <n v="0"/>
    <m/>
    <m/>
    <m/>
    <m/>
    <m/>
    <m/>
    <m/>
    <m/>
    <n v="138052223"/>
    <n v="141373705"/>
    <n v="47377936"/>
    <n v="48999138"/>
    <n v="33559596"/>
    <n v="34208227"/>
    <n v="0"/>
    <n v="95000"/>
    <n v="32753740"/>
    <n v="36822828"/>
    <n v="0"/>
    <m/>
    <n v="8838"/>
    <n v="8847"/>
    <n v="4743"/>
    <n v="4752"/>
    <n v="3600"/>
    <n v="3582"/>
    <n v="0"/>
    <n v="9"/>
    <n v="4977"/>
    <n v="5544"/>
    <n v="0"/>
    <n v="0"/>
    <n v="15620.301312514144"/>
    <n v="15979.846840736973"/>
    <n v="9989.0229812355046"/>
    <n v="10311.266414141413"/>
    <n v="9322.11"/>
    <n v="9550.0354550530428"/>
    <n v="0"/>
    <n v="10555.555555555555"/>
    <n v="6581.0206951979108"/>
    <n v="6641.924242424242"/>
    <n v="0"/>
    <n v="0"/>
    <n v="140582.7118126273"/>
    <n v="143818.62156663276"/>
    <n v="89901.206831119547"/>
    <n v="92801.397727272721"/>
    <n v="83898.99"/>
    <n v="85950.319095477389"/>
    <n v="0"/>
    <n v="95000"/>
    <n v="59229.186256781199"/>
    <n v="59777.318181818177"/>
    <n v="0"/>
    <n v="0"/>
    <n v="102251.62266450041"/>
    <n v="103522.92082343626"/>
    <n v="982"/>
    <n v="983"/>
    <n v="527"/>
    <n v="528"/>
    <n v="400"/>
    <n v="398"/>
    <n v="0"/>
    <n v="1"/>
    <n v="553"/>
    <n v="616"/>
    <n v="0"/>
    <n v="0"/>
    <n v="2462"/>
    <n v="2526"/>
    <n v="138052223"/>
    <n v="141373705"/>
    <n v="47377936"/>
    <n v="48999138"/>
    <n v="33559596"/>
    <n v="34208227"/>
    <n v="0"/>
    <n v="95000"/>
    <n v="32753740.000000004"/>
    <n v="36822828"/>
    <n v="0"/>
    <n v="0"/>
    <n v="251743495"/>
    <n v="261498898"/>
  </r>
  <r>
    <x v="13"/>
    <s v="University of Texas at Dallas"/>
    <m/>
    <n v="228787"/>
    <x v="0"/>
    <n v="203"/>
    <n v="233"/>
    <m/>
    <n v="0"/>
    <m/>
    <n v="0"/>
    <m/>
    <n v="0"/>
    <n v="119"/>
    <n v="129"/>
    <m/>
    <n v="0"/>
    <m/>
    <n v="0"/>
    <m/>
    <n v="0"/>
    <n v="113"/>
    <n v="127"/>
    <m/>
    <n v="0"/>
    <m/>
    <n v="0"/>
    <m/>
    <n v="0"/>
    <m/>
    <n v="0"/>
    <m/>
    <n v="0"/>
    <m/>
    <n v="0"/>
    <m/>
    <n v="0"/>
    <n v="199"/>
    <n v="166"/>
    <m/>
    <n v="0"/>
    <n v="0"/>
    <n v="0"/>
    <m/>
    <n v="0"/>
    <m/>
    <m/>
    <m/>
    <m/>
    <m/>
    <m/>
    <m/>
    <m/>
    <n v="30520164"/>
    <n v="35761619"/>
    <n v="12954133"/>
    <n v="13699099"/>
    <n v="11417972"/>
    <n v="12495652"/>
    <n v="0"/>
    <n v="0"/>
    <n v="12805426"/>
    <n v="10575843"/>
    <n v="0"/>
    <m/>
    <n v="1827"/>
    <n v="2097"/>
    <n v="1071"/>
    <n v="1161"/>
    <n v="1017"/>
    <n v="1143"/>
    <n v="0"/>
    <n v="0"/>
    <n v="1791"/>
    <n v="1494"/>
    <n v="0"/>
    <n v="0"/>
    <n v="16705.070607553367"/>
    <n v="17053.704816404388"/>
    <n v="12095.362278244631"/>
    <n v="11799.396210163652"/>
    <n v="11227.111111111111"/>
    <n v="10932.32895888014"/>
    <n v="0"/>
    <n v="0"/>
    <n v="7149.8749302065889"/>
    <n v="7078.8775100401608"/>
    <n v="0"/>
    <n v="0"/>
    <n v="150345.63546798029"/>
    <n v="153483.34334763949"/>
    <n v="108858.26050420168"/>
    <n v="106194.56589147287"/>
    <n v="101044"/>
    <n v="98390.960629921261"/>
    <n v="0"/>
    <n v="0"/>
    <n v="64348.874371859303"/>
    <n v="63709.897590361448"/>
    <n v="0"/>
    <n v="0"/>
    <n v="106778.69873817035"/>
    <n v="110736.20305343512"/>
    <n v="203"/>
    <n v="233"/>
    <n v="119"/>
    <n v="129"/>
    <n v="113"/>
    <n v="127"/>
    <n v="0"/>
    <n v="0"/>
    <n v="199"/>
    <n v="166"/>
    <n v="0"/>
    <n v="0"/>
    <n v="634"/>
    <n v="655"/>
    <n v="30520164"/>
    <n v="35761619"/>
    <n v="12954133"/>
    <n v="13699099"/>
    <n v="11417972"/>
    <n v="12495652"/>
    <n v="0"/>
    <n v="0"/>
    <n v="12805426.000000002"/>
    <n v="10575843"/>
    <n v="0"/>
    <n v="0"/>
    <n v="67697695"/>
    <n v="72532213"/>
  </r>
  <r>
    <x v="13"/>
    <s v="Texas Woman's University"/>
    <m/>
    <n v="229179"/>
    <x v="1"/>
    <n v="51"/>
    <n v="45"/>
    <m/>
    <n v="0"/>
    <m/>
    <n v="0"/>
    <m/>
    <n v="0"/>
    <n v="78"/>
    <n v="71"/>
    <m/>
    <n v="0"/>
    <m/>
    <n v="0"/>
    <m/>
    <n v="0"/>
    <n v="93"/>
    <n v="91"/>
    <m/>
    <n v="0"/>
    <m/>
    <n v="0"/>
    <m/>
    <n v="0"/>
    <n v="11"/>
    <n v="11"/>
    <m/>
    <n v="0"/>
    <m/>
    <n v="0"/>
    <m/>
    <n v="0"/>
    <n v="168"/>
    <n v="185"/>
    <m/>
    <n v="0"/>
    <n v="0"/>
    <n v="0"/>
    <m/>
    <n v="0"/>
    <m/>
    <m/>
    <m/>
    <m/>
    <m/>
    <m/>
    <m/>
    <m/>
    <n v="4560810"/>
    <n v="3874142"/>
    <n v="5798494"/>
    <n v="5359014"/>
    <n v="5959672"/>
    <n v="6091320"/>
    <n v="549843"/>
    <n v="560674"/>
    <n v="9872178"/>
    <n v="10851789"/>
    <n v="0"/>
    <m/>
    <n v="459"/>
    <n v="405"/>
    <n v="702"/>
    <n v="639"/>
    <n v="837"/>
    <n v="819"/>
    <n v="99"/>
    <n v="99"/>
    <n v="1512"/>
    <n v="1665"/>
    <n v="0"/>
    <n v="0"/>
    <n v="9936.4052287581708"/>
    <n v="9565.7827160493835"/>
    <n v="8259.9629629629635"/>
    <n v="8386.5633802816901"/>
    <n v="7120.2771804062122"/>
    <n v="7437.5091575091574"/>
    <n v="5553.969696969697"/>
    <n v="5663.3737373737376"/>
    <n v="6529.2182539682535"/>
    <n v="6517.5909909909906"/>
    <n v="0"/>
    <n v="0"/>
    <n v="89427.647058823539"/>
    <n v="86092.044444444444"/>
    <n v="74339.666666666672"/>
    <n v="75479.070422535209"/>
    <n v="64082.494623655912"/>
    <n v="66937.582417582424"/>
    <n v="49985.727272727272"/>
    <n v="50970.36363636364"/>
    <n v="58762.964285714283"/>
    <n v="58658.318918918914"/>
    <n v="0"/>
    <n v="0"/>
    <n v="66685.778054862836"/>
    <n v="66344.761786600502"/>
    <n v="51"/>
    <n v="45"/>
    <n v="78"/>
    <n v="71"/>
    <n v="93"/>
    <n v="91"/>
    <n v="11"/>
    <n v="11"/>
    <n v="168"/>
    <n v="185"/>
    <n v="0"/>
    <n v="0"/>
    <n v="401"/>
    <n v="403"/>
    <n v="4560810.0000000009"/>
    <n v="3874142"/>
    <n v="5798494"/>
    <n v="5359014"/>
    <n v="5959672"/>
    <n v="6091320.0000000009"/>
    <n v="549843"/>
    <n v="560674"/>
    <n v="9872178"/>
    <n v="10851789"/>
    <n v="0"/>
    <n v="0"/>
    <n v="26740996.999999996"/>
    <n v="26736939.000000004"/>
  </r>
  <r>
    <x v="13"/>
    <s v="University of Texas at El Paso"/>
    <m/>
    <n v="228796"/>
    <x v="1"/>
    <n v="142"/>
    <n v="151"/>
    <m/>
    <n v="0"/>
    <m/>
    <n v="0"/>
    <m/>
    <n v="0"/>
    <n v="198"/>
    <n v="195"/>
    <m/>
    <n v="0"/>
    <m/>
    <n v="0"/>
    <m/>
    <n v="0"/>
    <n v="145"/>
    <n v="141"/>
    <m/>
    <n v="0"/>
    <m/>
    <n v="0"/>
    <m/>
    <n v="0"/>
    <m/>
    <n v="0"/>
    <m/>
    <n v="0"/>
    <m/>
    <n v="0"/>
    <m/>
    <n v="0"/>
    <n v="193"/>
    <n v="185"/>
    <m/>
    <n v="0"/>
    <n v="0"/>
    <n v="0"/>
    <m/>
    <n v="0"/>
    <m/>
    <m/>
    <m/>
    <m/>
    <m/>
    <m/>
    <m/>
    <m/>
    <n v="14229626"/>
    <n v="15774472"/>
    <n v="14703007.999999998"/>
    <n v="14788061"/>
    <n v="9868418"/>
    <n v="9875255"/>
    <n v="0"/>
    <n v="0"/>
    <n v="8838966"/>
    <n v="8892604"/>
    <n v="0"/>
    <m/>
    <n v="1278"/>
    <n v="1359"/>
    <n v="1782"/>
    <n v="1755"/>
    <n v="1305"/>
    <n v="1269"/>
    <n v="0"/>
    <n v="0"/>
    <n v="1737"/>
    <n v="1665"/>
    <n v="0"/>
    <n v="0"/>
    <n v="11134.292644757434"/>
    <n v="11607.411331861664"/>
    <n v="8250.8462401795732"/>
    <n v="8426.2455840455841"/>
    <n v="7562.0061302681988"/>
    <n v="7781.9188337273445"/>
    <n v="0"/>
    <n v="0"/>
    <n v="5088.6390328151983"/>
    <n v="5340.9033033033029"/>
    <n v="0"/>
    <n v="0"/>
    <n v="100208.6338028169"/>
    <n v="104466.70198675497"/>
    <n v="74257.616161616155"/>
    <n v="75836.210256410253"/>
    <n v="68058.055172413791"/>
    <n v="70037.269503546093"/>
    <n v="0"/>
    <n v="0"/>
    <n v="45797.751295336784"/>
    <n v="48068.129729729728"/>
    <n v="0"/>
    <n v="0"/>
    <n v="70265.513274336277"/>
    <n v="73408.321428571435"/>
    <n v="142"/>
    <n v="151"/>
    <n v="198"/>
    <n v="195"/>
    <n v="145"/>
    <n v="141"/>
    <n v="0"/>
    <n v="0"/>
    <n v="193"/>
    <n v="185"/>
    <n v="0"/>
    <n v="0"/>
    <n v="678"/>
    <n v="672"/>
    <n v="14229626"/>
    <n v="15774472"/>
    <n v="14703007.999999998"/>
    <n v="14788061"/>
    <n v="9868418"/>
    <n v="9875255"/>
    <n v="0"/>
    <n v="0"/>
    <n v="8838966"/>
    <n v="8892604"/>
    <n v="0"/>
    <n v="0"/>
    <n v="47640017.999999993"/>
    <n v="49330392.000000007"/>
  </r>
  <r>
    <x v="13"/>
    <s v="University of Texas at San Antonio"/>
    <m/>
    <n v="229027"/>
    <x v="1"/>
    <n v="195"/>
    <n v="198"/>
    <m/>
    <n v="0"/>
    <m/>
    <n v="0"/>
    <m/>
    <n v="0"/>
    <n v="207"/>
    <n v="206"/>
    <m/>
    <n v="0"/>
    <m/>
    <n v="0"/>
    <m/>
    <n v="0"/>
    <n v="152"/>
    <n v="155"/>
    <m/>
    <n v="0"/>
    <m/>
    <n v="0"/>
    <m/>
    <n v="0"/>
    <m/>
    <n v="0"/>
    <m/>
    <n v="0"/>
    <m/>
    <n v="0"/>
    <m/>
    <n v="0"/>
    <n v="322"/>
    <n v="149"/>
    <m/>
    <n v="0"/>
    <n v="0"/>
    <n v="0"/>
    <m/>
    <n v="0"/>
    <m/>
    <m/>
    <m/>
    <m/>
    <m/>
    <m/>
    <m/>
    <m/>
    <n v="22368728"/>
    <n v="22930673"/>
    <n v="16741734"/>
    <n v="16592758"/>
    <n v="10768701"/>
    <n v="11246788"/>
    <n v="0"/>
    <n v="0"/>
    <n v="10996348"/>
    <n v="6570238"/>
    <n v="0"/>
    <m/>
    <n v="1755"/>
    <n v="1782"/>
    <n v="1863"/>
    <n v="1854"/>
    <n v="1368"/>
    <n v="1395"/>
    <n v="0"/>
    <n v="0"/>
    <n v="2898"/>
    <n v="1341"/>
    <n v="0"/>
    <n v="0"/>
    <n v="12745.713960113961"/>
    <n v="12867.942199775533"/>
    <n v="8986.4380032206118"/>
    <n v="8949.7076591154255"/>
    <n v="7871.8574561403511"/>
    <n v="8062.213620071685"/>
    <n v="0"/>
    <n v="0"/>
    <n v="3794.4610075914425"/>
    <n v="4899.5063385533185"/>
    <n v="0"/>
    <n v="0"/>
    <n v="114711.42564102565"/>
    <n v="115811.47979797979"/>
    <n v="80877.942028985504"/>
    <n v="80547.368932038837"/>
    <n v="70846.71710526316"/>
    <n v="72559.922580645158"/>
    <n v="0"/>
    <n v="0"/>
    <n v="34150.149068322979"/>
    <n v="44095.557046979869"/>
    <n v="0"/>
    <n v="0"/>
    <n v="69492.59246575342"/>
    <n v="80989.346045197744"/>
    <n v="195"/>
    <n v="198"/>
    <n v="207"/>
    <n v="206"/>
    <n v="152"/>
    <n v="155"/>
    <n v="0"/>
    <n v="0"/>
    <n v="322"/>
    <n v="149"/>
    <n v="0"/>
    <n v="0"/>
    <n v="876"/>
    <n v="708"/>
    <n v="22368728"/>
    <n v="22930672.999999996"/>
    <n v="16741734"/>
    <n v="16592758"/>
    <n v="10768701"/>
    <n v="11246788"/>
    <n v="0"/>
    <n v="0"/>
    <n v="10996348"/>
    <n v="6570238.0000000009"/>
    <n v="0"/>
    <n v="0"/>
    <n v="60875510.999999993"/>
    <n v="57340457"/>
  </r>
  <r>
    <x v="13"/>
    <s v="Angelo State University"/>
    <m/>
    <n v="222831"/>
    <x v="2"/>
    <n v="68"/>
    <n v="63"/>
    <m/>
    <n v="0"/>
    <n v="4"/>
    <n v="1"/>
    <m/>
    <n v="5"/>
    <n v="52"/>
    <n v="44"/>
    <m/>
    <n v="0"/>
    <m/>
    <n v="1"/>
    <m/>
    <n v="1"/>
    <n v="78"/>
    <n v="85"/>
    <m/>
    <n v="0"/>
    <n v="3"/>
    <n v="4"/>
    <m/>
    <n v="2"/>
    <n v="14"/>
    <n v="37"/>
    <m/>
    <n v="0"/>
    <n v="2"/>
    <n v="0"/>
    <m/>
    <n v="3"/>
    <n v="45"/>
    <n v="27"/>
    <m/>
    <n v="0"/>
    <n v="2"/>
    <n v="0"/>
    <m/>
    <n v="0"/>
    <m/>
    <m/>
    <m/>
    <m/>
    <m/>
    <m/>
    <m/>
    <m/>
    <n v="5534844"/>
    <n v="5474587"/>
    <n v="3411735.0000000005"/>
    <n v="3072061"/>
    <n v="4761441"/>
    <n v="5551631"/>
    <n v="669155"/>
    <n v="1554845"/>
    <n v="2138739"/>
    <n v="1472956"/>
    <n v="0"/>
    <m/>
    <n v="656"/>
    <n v="638"/>
    <n v="468"/>
    <n v="419"/>
    <n v="735"/>
    <n v="833"/>
    <n v="148"/>
    <n v="369"/>
    <n v="427"/>
    <n v="243"/>
    <n v="0"/>
    <n v="0"/>
    <n v="8437.2621951219517"/>
    <n v="8580.8573667711607"/>
    <n v="7290.0320512820526"/>
    <n v="7331.887828162291"/>
    <n v="6478.1510204081633"/>
    <n v="6664.6230492196883"/>
    <n v="4521.3175675675675"/>
    <n v="4213.6720867208669"/>
    <n v="5008.7564402810303"/>
    <n v="6061.5473251028807"/>
    <n v="0"/>
    <n v="0"/>
    <n v="75935.359756097561"/>
    <n v="77227.716300940447"/>
    <n v="65610.288461538468"/>
    <n v="65986.990453460618"/>
    <n v="58303.35918367347"/>
    <n v="59981.607442977198"/>
    <n v="40691.858108108107"/>
    <n v="37923.048780487799"/>
    <n v="45078.807962529274"/>
    <n v="54553.925925925927"/>
    <n v="0"/>
    <n v="0"/>
    <n v="61087.413060765604"/>
    <n v="61583.583202031208"/>
    <n v="72"/>
    <n v="69"/>
    <n v="52"/>
    <n v="46"/>
    <n v="81"/>
    <n v="91"/>
    <n v="16"/>
    <n v="40"/>
    <n v="47"/>
    <n v="27"/>
    <n v="0"/>
    <n v="0"/>
    <n v="268"/>
    <n v="273"/>
    <n v="5467345.9024390243"/>
    <n v="5328712.4247648912"/>
    <n v="3411735.0000000005"/>
    <n v="3035401.5608591884"/>
    <n v="4722572.0938775511"/>
    <n v="5458326.2773109246"/>
    <n v="651069.7297297297"/>
    <n v="1516921.9512195119"/>
    <n v="2118703.9742388758"/>
    <n v="1472956"/>
    <n v="0"/>
    <n v="0"/>
    <n v="16371426.700285181"/>
    <n v="16812318.214154519"/>
  </r>
  <r>
    <x v="13"/>
    <s v="Lamar University"/>
    <m/>
    <n v="226091"/>
    <x v="2"/>
    <n v="97"/>
    <n v="96"/>
    <m/>
    <n v="0"/>
    <m/>
    <n v="0"/>
    <m/>
    <n v="0"/>
    <n v="105"/>
    <n v="110"/>
    <m/>
    <n v="0"/>
    <n v="1"/>
    <n v="0"/>
    <m/>
    <n v="1"/>
    <n v="81"/>
    <n v="92"/>
    <m/>
    <n v="0"/>
    <m/>
    <n v="0"/>
    <m/>
    <n v="0"/>
    <n v="94"/>
    <n v="101"/>
    <m/>
    <n v="0"/>
    <m/>
    <n v="0"/>
    <m/>
    <n v="0"/>
    <n v="10"/>
    <n v="0"/>
    <m/>
    <n v="0"/>
    <n v="0"/>
    <n v="0"/>
    <m/>
    <n v="0"/>
    <m/>
    <m/>
    <m/>
    <m/>
    <m/>
    <m/>
    <m/>
    <m/>
    <n v="8762586"/>
    <n v="8584908"/>
    <n v="7622932.9999999991"/>
    <n v="7967644"/>
    <n v="4887599"/>
    <n v="5547076"/>
    <n v="3970281"/>
    <n v="4281827"/>
    <n v="451193"/>
    <n v="0"/>
    <n v="0"/>
    <m/>
    <n v="873"/>
    <n v="864"/>
    <n v="956"/>
    <n v="1002"/>
    <n v="729"/>
    <n v="828"/>
    <n v="846"/>
    <n v="909"/>
    <n v="90"/>
    <n v="0"/>
    <n v="0"/>
    <n v="0"/>
    <n v="10037.326460481099"/>
    <n v="9936.2361111111113"/>
    <n v="7973.7792887029282"/>
    <n v="7951.7405189620758"/>
    <n v="6704.5253772290807"/>
    <n v="6699.3671497584537"/>
    <n v="4693.0035460992904"/>
    <n v="4710.4807480748077"/>
    <n v="5013.2555555555555"/>
    <n v="0"/>
    <n v="0"/>
    <n v="0"/>
    <n v="90335.938144329892"/>
    <n v="89426.125"/>
    <n v="71764.013598326361"/>
    <n v="71565.664670658676"/>
    <n v="60340.728395061727"/>
    <n v="60294.304347826081"/>
    <n v="42237.031914893611"/>
    <n v="42394.326732673268"/>
    <n v="45119.3"/>
    <n v="0"/>
    <n v="0"/>
    <n v="0"/>
    <n v="66182.073302635559"/>
    <n v="65893.999446107788"/>
    <n v="97"/>
    <n v="96"/>
    <n v="106"/>
    <n v="111"/>
    <n v="81"/>
    <n v="92"/>
    <n v="94"/>
    <n v="101"/>
    <n v="10"/>
    <n v="0"/>
    <n v="0"/>
    <n v="0"/>
    <n v="388"/>
    <n v="400"/>
    <n v="8762586"/>
    <n v="8584908"/>
    <n v="7606985.4414225947"/>
    <n v="7943788.778443113"/>
    <n v="4887599"/>
    <n v="5547075.9999999991"/>
    <n v="3970280.9999999995"/>
    <n v="4281827"/>
    <n v="451193"/>
    <n v="0"/>
    <n v="0"/>
    <n v="0"/>
    <n v="25678644.441422597"/>
    <n v="26357599.778443117"/>
  </r>
  <r>
    <x v="13"/>
    <s v="Midwestern State University"/>
    <m/>
    <n v="226833"/>
    <x v="2"/>
    <n v="52"/>
    <n v="46"/>
    <m/>
    <n v="0"/>
    <m/>
    <n v="0"/>
    <m/>
    <n v="0"/>
    <n v="43"/>
    <n v="54"/>
    <m/>
    <n v="0"/>
    <m/>
    <n v="0"/>
    <m/>
    <n v="0"/>
    <n v="77"/>
    <n v="72"/>
    <m/>
    <n v="0"/>
    <m/>
    <n v="0"/>
    <m/>
    <n v="0"/>
    <n v="17"/>
    <n v="19"/>
    <m/>
    <n v="0"/>
    <m/>
    <n v="0"/>
    <m/>
    <n v="0"/>
    <n v="0"/>
    <n v="1"/>
    <m/>
    <n v="0"/>
    <n v="0"/>
    <n v="0"/>
    <m/>
    <n v="0"/>
    <m/>
    <m/>
    <m/>
    <m/>
    <m/>
    <m/>
    <m/>
    <m/>
    <n v="3952160"/>
    <n v="3686891"/>
    <n v="2881282"/>
    <n v="3596249"/>
    <n v="4401562"/>
    <n v="4082316"/>
    <n v="677020"/>
    <n v="833392"/>
    <n v="0"/>
    <n v="75000"/>
    <n v="0"/>
    <m/>
    <n v="468"/>
    <n v="414"/>
    <n v="387"/>
    <n v="486"/>
    <n v="693"/>
    <n v="648"/>
    <n v="153"/>
    <n v="171"/>
    <n v="0"/>
    <n v="9"/>
    <n v="0"/>
    <n v="0"/>
    <n v="8444.7863247863243"/>
    <n v="8905.5338164251207"/>
    <n v="7445.1731266149873"/>
    <n v="7399.6893004115227"/>
    <n v="6351.4603174603171"/>
    <n v="6299.8703703703704"/>
    <n v="4424.9673202614376"/>
    <n v="4873.6374269005846"/>
    <n v="0"/>
    <n v="8333.3333333333339"/>
    <n v="0"/>
    <n v="0"/>
    <n v="76003.076923076922"/>
    <n v="80149.804347826081"/>
    <n v="67006.558139534885"/>
    <n v="66597.203703703708"/>
    <n v="57163.142857142855"/>
    <n v="56698.833333333336"/>
    <n v="39824.705882352937"/>
    <n v="43862.73684210526"/>
    <n v="0"/>
    <n v="75000"/>
    <n v="0"/>
    <n v="0"/>
    <n v="63026.582010582009"/>
    <n v="63926.291666666664"/>
    <n v="52"/>
    <n v="46"/>
    <n v="43"/>
    <n v="54"/>
    <n v="77"/>
    <n v="72"/>
    <n v="17"/>
    <n v="19"/>
    <n v="0"/>
    <n v="1"/>
    <n v="0"/>
    <n v="0"/>
    <n v="189"/>
    <n v="192"/>
    <n v="3952160"/>
    <n v="3686890.9999999995"/>
    <n v="2881282"/>
    <n v="3596249"/>
    <n v="4401562"/>
    <n v="4082316"/>
    <n v="677019.99999999988"/>
    <n v="833391.99999999988"/>
    <n v="0"/>
    <n v="75000"/>
    <n v="0"/>
    <n v="0"/>
    <n v="11912024"/>
    <n v="12273848"/>
  </r>
  <r>
    <x v="13"/>
    <s v="Prairie View A&amp;M University"/>
    <m/>
    <n v="227526"/>
    <x v="2"/>
    <n v="43"/>
    <n v="38"/>
    <m/>
    <n v="0"/>
    <n v="19"/>
    <n v="0"/>
    <m/>
    <n v="20"/>
    <n v="73"/>
    <n v="77"/>
    <m/>
    <n v="0"/>
    <n v="18"/>
    <n v="0"/>
    <m/>
    <n v="17"/>
    <n v="52"/>
    <n v="51"/>
    <m/>
    <n v="0"/>
    <n v="3"/>
    <n v="0"/>
    <m/>
    <n v="5"/>
    <n v="2"/>
    <n v="2"/>
    <m/>
    <n v="0"/>
    <m/>
    <n v="0"/>
    <m/>
    <n v="0"/>
    <n v="107"/>
    <n v="131"/>
    <m/>
    <n v="0"/>
    <n v="13"/>
    <n v="0"/>
    <m/>
    <n v="32"/>
    <m/>
    <m/>
    <m/>
    <m/>
    <m/>
    <m/>
    <m/>
    <m/>
    <n v="5834269"/>
    <n v="5875410"/>
    <n v="6732676.0000000009"/>
    <n v="6897192"/>
    <n v="3331505"/>
    <n v="3505325"/>
    <n v="99236"/>
    <n v="101665"/>
    <n v="5634452"/>
    <n v="8535812"/>
    <n v="0"/>
    <m/>
    <n v="596"/>
    <n v="582"/>
    <n v="855"/>
    <n v="897"/>
    <n v="501"/>
    <n v="519"/>
    <n v="18"/>
    <n v="18"/>
    <n v="1106"/>
    <n v="1563"/>
    <n v="0"/>
    <n v="0"/>
    <n v="9789.0419463087255"/>
    <n v="10095.206185567011"/>
    <n v="7874.4748538011709"/>
    <n v="7689.1772575250834"/>
    <n v="6649.710578842315"/>
    <n v="6753.9980732177264"/>
    <n v="5513.1111111111113"/>
    <n v="5648.0555555555557"/>
    <n v="5094.4412296564196"/>
    <n v="5461.1721049264233"/>
    <n v="0"/>
    <n v="0"/>
    <n v="88101.377516778535"/>
    <n v="90856.855670103105"/>
    <n v="70870.273684210537"/>
    <n v="69202.595317725747"/>
    <n v="59847.395209580834"/>
    <n v="60785.98265895954"/>
    <n v="49618"/>
    <n v="50832.5"/>
    <n v="45849.971066907776"/>
    <n v="49150.54894433781"/>
    <n v="0"/>
    <n v="0"/>
    <n v="63043.392654119118"/>
    <n v="62444.935913032168"/>
    <n v="62"/>
    <n v="58"/>
    <n v="91"/>
    <n v="94"/>
    <n v="55"/>
    <n v="56"/>
    <n v="2"/>
    <n v="2"/>
    <n v="120"/>
    <n v="163"/>
    <n v="0"/>
    <n v="0"/>
    <n v="330"/>
    <n v="373"/>
    <n v="5462285.406040269"/>
    <n v="5269697.6288659796"/>
    <n v="6449194.9052631585"/>
    <n v="6505043.9598662201"/>
    <n v="3291606.7365269461"/>
    <n v="3404015.0289017344"/>
    <n v="99236"/>
    <n v="101665"/>
    <n v="5501996.5280289333"/>
    <n v="8011539.4779270627"/>
    <n v="0"/>
    <n v="0"/>
    <n v="20804319.575859308"/>
    <n v="23291961.095560998"/>
  </r>
  <r>
    <x v="13"/>
    <s v="Sam Houston State University "/>
    <m/>
    <n v="227881"/>
    <x v="2"/>
    <n v="138"/>
    <n v="148"/>
    <m/>
    <n v="0"/>
    <m/>
    <n v="0"/>
    <m/>
    <n v="0"/>
    <n v="152"/>
    <n v="163"/>
    <m/>
    <n v="0"/>
    <m/>
    <n v="0"/>
    <m/>
    <n v="0"/>
    <n v="172"/>
    <n v="190"/>
    <m/>
    <n v="0"/>
    <m/>
    <n v="0"/>
    <m/>
    <n v="0"/>
    <n v="1"/>
    <n v="1"/>
    <m/>
    <n v="0"/>
    <m/>
    <n v="0"/>
    <m/>
    <n v="0"/>
    <n v="35"/>
    <n v="130"/>
    <m/>
    <n v="0"/>
    <n v="0"/>
    <n v="0"/>
    <m/>
    <n v="0"/>
    <m/>
    <m/>
    <m/>
    <m/>
    <m/>
    <m/>
    <m/>
    <m/>
    <n v="12042927"/>
    <n v="13385196"/>
    <n v="10488879"/>
    <n v="11486979"/>
    <n v="10286100"/>
    <n v="11366271"/>
    <n v="54720"/>
    <n v="56736"/>
    <n v="1696482"/>
    <n v="2991555"/>
    <n v="0"/>
    <m/>
    <n v="1242"/>
    <n v="1332"/>
    <n v="1368"/>
    <n v="1467"/>
    <n v="1548"/>
    <n v="1710"/>
    <n v="9"/>
    <n v="9"/>
    <n v="315"/>
    <n v="1170"/>
    <n v="0"/>
    <n v="0"/>
    <n v="9696.398550724638"/>
    <n v="10048.945945945947"/>
    <n v="7667.3092105263158"/>
    <n v="7830.251533742331"/>
    <n v="6644.7674418604647"/>
    <n v="6646.9421052631578"/>
    <n v="6080"/>
    <n v="6304"/>
    <n v="5385.6571428571433"/>
    <n v="2556.8846153846152"/>
    <n v="0"/>
    <n v="0"/>
    <n v="87267.586956521744"/>
    <n v="90440.513513513521"/>
    <n v="69005.78289473684"/>
    <n v="70472.26380368098"/>
    <n v="59802.906976744183"/>
    <n v="59822.478947368421"/>
    <n v="54720"/>
    <n v="56736"/>
    <n v="48470.914285714287"/>
    <n v="23011.961538461539"/>
    <n v="0"/>
    <n v="0"/>
    <n v="69415.879518072295"/>
    <n v="62162.5585443038"/>
    <n v="138"/>
    <n v="148"/>
    <n v="152"/>
    <n v="163"/>
    <n v="172"/>
    <n v="190"/>
    <n v="1"/>
    <n v="1"/>
    <n v="35"/>
    <n v="130"/>
    <n v="0"/>
    <n v="0"/>
    <n v="498"/>
    <n v="632"/>
    <n v="12042927"/>
    <n v="13385196.000000002"/>
    <n v="10488879"/>
    <n v="11486979"/>
    <n v="10286100"/>
    <n v="11366271"/>
    <n v="54720"/>
    <n v="56736"/>
    <n v="1696482"/>
    <n v="2991555"/>
    <n v="0"/>
    <n v="0"/>
    <n v="34569108"/>
    <n v="39286737"/>
  </r>
  <r>
    <x v="13"/>
    <s v="Stephen F. Austin State University"/>
    <m/>
    <n v="228431"/>
    <x v="2"/>
    <n v="91"/>
    <n v="90"/>
    <m/>
    <n v="0"/>
    <n v="12"/>
    <n v="9"/>
    <m/>
    <n v="15"/>
    <n v="99"/>
    <n v="107"/>
    <m/>
    <n v="0"/>
    <n v="2"/>
    <n v="4"/>
    <m/>
    <n v="4"/>
    <n v="112"/>
    <n v="120"/>
    <m/>
    <n v="0"/>
    <m/>
    <n v="1"/>
    <m/>
    <n v="1"/>
    <n v="24"/>
    <n v="47"/>
    <m/>
    <n v="0"/>
    <n v="1"/>
    <n v="1"/>
    <m/>
    <n v="1"/>
    <n v="138"/>
    <n v="52"/>
    <m/>
    <n v="0"/>
    <n v="11"/>
    <n v="0"/>
    <m/>
    <n v="2"/>
    <m/>
    <m/>
    <m/>
    <m/>
    <m/>
    <m/>
    <m/>
    <m/>
    <n v="8677645"/>
    <n v="9714065"/>
    <n v="6411957"/>
    <n v="7388030"/>
    <n v="6017958"/>
    <n v="6677351"/>
    <n v="1224736"/>
    <n v="2633385"/>
    <n v="6697769"/>
    <n v="2341402"/>
    <n v="0"/>
    <m/>
    <n v="951"/>
    <n v="1089"/>
    <n v="913"/>
    <n v="1055"/>
    <n v="1008"/>
    <n v="1103"/>
    <n v="227"/>
    <n v="446"/>
    <n v="1363"/>
    <n v="492"/>
    <n v="0"/>
    <n v="0"/>
    <n v="9124.7581493165089"/>
    <n v="8920.1698806244258"/>
    <n v="7022.9539978094199"/>
    <n v="7002.8720379146916"/>
    <n v="5970.1964285714284"/>
    <n v="6053.8087035358112"/>
    <n v="5395.3127753303961"/>
    <n v="5904.4506726457403"/>
    <n v="4913.990462215701"/>
    <n v="4758.9471544715443"/>
    <n v="0"/>
    <n v="0"/>
    <n v="82122.823343848577"/>
    <n v="80281.52892561983"/>
    <n v="63206.585980284777"/>
    <n v="63025.848341232224"/>
    <n v="53731.767857142855"/>
    <n v="54484.278331822301"/>
    <n v="48557.814977973569"/>
    <n v="53140.056053811662"/>
    <n v="44225.914159941312"/>
    <n v="42830.524390243896"/>
    <n v="0"/>
    <n v="0"/>
    <n v="58498.123617766862"/>
    <n v="61594.40501531856"/>
    <n v="103"/>
    <n v="114"/>
    <n v="101"/>
    <n v="115"/>
    <n v="112"/>
    <n v="122"/>
    <n v="25"/>
    <n v="49"/>
    <n v="149"/>
    <n v="54"/>
    <n v="0"/>
    <n v="0"/>
    <n v="490"/>
    <n v="454"/>
    <n v="8458650.8044164032"/>
    <n v="9152094.2975206599"/>
    <n v="6383865.1840087622"/>
    <n v="7247972.5592417056"/>
    <n v="6017958"/>
    <n v="6647081.956482321"/>
    <n v="1213945.3744493392"/>
    <n v="2603862.7466367716"/>
    <n v="6589661.2098312555"/>
    <n v="2312848.3170731706"/>
    <n v="0"/>
    <n v="0"/>
    <n v="28664080.572705761"/>
    <n v="27963859.876954626"/>
  </r>
  <r>
    <x v="13"/>
    <s v="Sul Ross State University "/>
    <m/>
    <n v="228501"/>
    <x v="2"/>
    <n v="33"/>
    <n v="34"/>
    <m/>
    <n v="0"/>
    <n v="4"/>
    <n v="0"/>
    <m/>
    <n v="3"/>
    <n v="32"/>
    <n v="31"/>
    <m/>
    <n v="0"/>
    <n v="1"/>
    <n v="0"/>
    <m/>
    <n v="2"/>
    <n v="23"/>
    <n v="21"/>
    <m/>
    <n v="0"/>
    <m/>
    <n v="0"/>
    <m/>
    <n v="1"/>
    <n v="2"/>
    <n v="3"/>
    <m/>
    <n v="0"/>
    <n v="1"/>
    <n v="0"/>
    <m/>
    <n v="1"/>
    <n v="22"/>
    <n v="18"/>
    <m/>
    <n v="0"/>
    <n v="1"/>
    <n v="0"/>
    <m/>
    <n v="1"/>
    <m/>
    <m/>
    <m/>
    <m/>
    <m/>
    <m/>
    <m/>
    <m/>
    <n v="2666800"/>
    <n v="2611016"/>
    <n v="1792101"/>
    <n v="1828443"/>
    <n v="1095470"/>
    <n v="1052083"/>
    <n v="126782"/>
    <n v="158469"/>
    <n v="965459"/>
    <n v="849840"/>
    <n v="0"/>
    <m/>
    <n v="341"/>
    <n v="342"/>
    <n v="299"/>
    <n v="303"/>
    <n v="207"/>
    <n v="201"/>
    <n v="29"/>
    <n v="39"/>
    <n v="209"/>
    <n v="174"/>
    <n v="0"/>
    <n v="0"/>
    <n v="7820.5278592375371"/>
    <n v="7634.5497076023394"/>
    <n v="5993.6488294314386"/>
    <n v="6034.4653465346537"/>
    <n v="5292.1256038647343"/>
    <n v="5234.2437810945275"/>
    <n v="4371.7931034482763"/>
    <n v="4063.3076923076924"/>
    <n v="4619.4210526315792"/>
    <n v="4884.1379310344828"/>
    <n v="0"/>
    <n v="0"/>
    <n v="70384.750733137829"/>
    <n v="68710.947368421053"/>
    <n v="53942.839464882949"/>
    <n v="54310.188118811886"/>
    <n v="47629.130434782608"/>
    <n v="47108.194029850747"/>
    <n v="39346.137931034486"/>
    <n v="36569.769230769234"/>
    <n v="41574.789473684214"/>
    <n v="43957.241379310348"/>
    <n v="0"/>
    <n v="0"/>
    <n v="55076.286144160324"/>
    <n v="55238.158194252705"/>
    <n v="37"/>
    <n v="37"/>
    <n v="33"/>
    <n v="33"/>
    <n v="23"/>
    <n v="22"/>
    <n v="3"/>
    <n v="4"/>
    <n v="23"/>
    <n v="19"/>
    <n v="0"/>
    <n v="0"/>
    <n v="119"/>
    <n v="115"/>
    <n v="2604235.7771260999"/>
    <n v="2542305.0526315789"/>
    <n v="1780113.7023411372"/>
    <n v="1792236.2079207923"/>
    <n v="1095470"/>
    <n v="1036380.2686567164"/>
    <n v="118038.41379310345"/>
    <n v="146279.07692307694"/>
    <n v="956220.15789473685"/>
    <n v="835187.58620689658"/>
    <n v="0"/>
    <n v="0"/>
    <n v="6554078.0511550782"/>
    <n v="6352388.1923390608"/>
  </r>
  <r>
    <x v="13"/>
    <s v="Tarleton State University"/>
    <m/>
    <n v="228529"/>
    <x v="2"/>
    <n v="48"/>
    <n v="45"/>
    <m/>
    <n v="0"/>
    <n v="14"/>
    <n v="0"/>
    <m/>
    <n v="15"/>
    <n v="60"/>
    <n v="59"/>
    <m/>
    <n v="1"/>
    <n v="22"/>
    <n v="0"/>
    <m/>
    <n v="29"/>
    <n v="123"/>
    <n v="124"/>
    <m/>
    <n v="4"/>
    <n v="22"/>
    <n v="0"/>
    <m/>
    <n v="31"/>
    <n v="42"/>
    <n v="43"/>
    <m/>
    <n v="1"/>
    <n v="26"/>
    <n v="2"/>
    <m/>
    <n v="30"/>
    <n v="11"/>
    <n v="3"/>
    <m/>
    <n v="7"/>
    <n v="5"/>
    <n v="1"/>
    <m/>
    <n v="5"/>
    <m/>
    <m/>
    <m/>
    <m/>
    <m/>
    <m/>
    <m/>
    <m/>
    <n v="5227333"/>
    <n v="5230808"/>
    <n v="6030920"/>
    <n v="6913202"/>
    <n v="8283491"/>
    <n v="10092199"/>
    <n v="3316856"/>
    <n v="3906163"/>
    <n v="472644.4"/>
    <n v="804038"/>
    <n v="0"/>
    <m/>
    <n v="586"/>
    <n v="585"/>
    <n v="782"/>
    <n v="889"/>
    <n v="1349"/>
    <n v="1528"/>
    <n v="664"/>
    <n v="779"/>
    <n v="154"/>
    <n v="168"/>
    <n v="0"/>
    <n v="0"/>
    <n v="8920.3634812286691"/>
    <n v="8941.552136752136"/>
    <n v="7712.173913043478"/>
    <n v="7776.380202474691"/>
    <n v="6140.4677538917713"/>
    <n v="6604.8422774869114"/>
    <n v="4995.265060240964"/>
    <n v="5014.3299101412067"/>
    <n v="3069.1194805194805"/>
    <n v="4785.9404761904761"/>
    <n v="0"/>
    <n v="0"/>
    <n v="80283.271331058029"/>
    <n v="80473.969230769231"/>
    <n v="69409.565217391297"/>
    <n v="69987.421822272212"/>
    <n v="55264.209785025945"/>
    <n v="59443.580497382201"/>
    <n v="44957.385542168675"/>
    <n v="45128.969191270859"/>
    <n v="27622.075324675323"/>
    <n v="43073.464285714283"/>
    <n v="0"/>
    <n v="0"/>
    <n v="59467.863300918827"/>
    <n v="61569.562705550408"/>
    <n v="62"/>
    <n v="60"/>
    <n v="82"/>
    <n v="89"/>
    <n v="145"/>
    <n v="159"/>
    <n v="68"/>
    <n v="76"/>
    <n v="16"/>
    <n v="16"/>
    <n v="0"/>
    <n v="0"/>
    <n v="373"/>
    <n v="400"/>
    <n v="4977562.8225255981"/>
    <n v="4828438.153846154"/>
    <n v="5691584.347826086"/>
    <n v="6228880.5421822267"/>
    <n v="8013310.4188287621"/>
    <n v="9451529.2990837693"/>
    <n v="3057102.2168674697"/>
    <n v="3429801.658536585"/>
    <n v="441953.20519480517"/>
    <n v="689175.42857142852"/>
    <n v="0"/>
    <n v="0"/>
    <n v="22181513.011242721"/>
    <n v="24627825.082220163"/>
  </r>
  <r>
    <x v="13"/>
    <s v="Texas A&amp;M International University"/>
    <m/>
    <n v="226152"/>
    <x v="2"/>
    <n v="17"/>
    <n v="17"/>
    <m/>
    <n v="2"/>
    <n v="10"/>
    <n v="0"/>
    <m/>
    <n v="9"/>
    <n v="44"/>
    <n v="39"/>
    <m/>
    <n v="4"/>
    <n v="6"/>
    <n v="0"/>
    <m/>
    <n v="7"/>
    <n v="77"/>
    <n v="63"/>
    <m/>
    <n v="5"/>
    <n v="6"/>
    <n v="0"/>
    <m/>
    <n v="4"/>
    <n v="29"/>
    <n v="33"/>
    <m/>
    <n v="0"/>
    <n v="1"/>
    <n v="0"/>
    <m/>
    <n v="1"/>
    <n v="1"/>
    <n v="3"/>
    <m/>
    <n v="0"/>
    <n v="0"/>
    <n v="0"/>
    <m/>
    <n v="0"/>
    <m/>
    <m/>
    <m/>
    <m/>
    <m/>
    <m/>
    <m/>
    <m/>
    <n v="2778767"/>
    <n v="2929360"/>
    <n v="3663887"/>
    <n v="3885913"/>
    <n v="5402891"/>
    <n v="4928606"/>
    <n v="1306002"/>
    <n v="1556318"/>
    <n v="105723"/>
    <n v="218788"/>
    <n v="0"/>
    <m/>
    <n v="263"/>
    <n v="281"/>
    <n v="462"/>
    <n v="475"/>
    <n v="759"/>
    <n v="665"/>
    <n v="272"/>
    <n v="309"/>
    <n v="9"/>
    <n v="27"/>
    <n v="0"/>
    <n v="0"/>
    <n v="10565.653992395437"/>
    <n v="10424.768683274022"/>
    <n v="7930.4913419913419"/>
    <n v="8180.8694736842108"/>
    <n v="7118.433465085639"/>
    <n v="7411.4375939849624"/>
    <n v="4801.4779411764703"/>
    <n v="5036.62783171521"/>
    <n v="11747"/>
    <n v="8103.2592592592591"/>
    <n v="0"/>
    <n v="0"/>
    <n v="95090.885931558936"/>
    <n v="93822.91814946619"/>
    <n v="71374.422077922078"/>
    <n v="73627.825263157894"/>
    <n v="64065.901185770752"/>
    <n v="66702.938345864663"/>
    <n v="43213.301470588231"/>
    <n v="45329.65048543689"/>
    <n v="105723"/>
    <n v="72929.333333333328"/>
    <n v="0"/>
    <n v="0"/>
    <n v="67307.679929763413"/>
    <n v="68829.094378342546"/>
    <n v="27"/>
    <n v="28"/>
    <n v="50"/>
    <n v="50"/>
    <n v="83"/>
    <n v="72"/>
    <n v="30"/>
    <n v="34"/>
    <n v="1"/>
    <n v="3"/>
    <n v="0"/>
    <n v="0"/>
    <n v="191"/>
    <n v="187"/>
    <n v="2567453.9201520914"/>
    <n v="2627041.7081850534"/>
    <n v="3568721.1038961038"/>
    <n v="3681391.2631578948"/>
    <n v="5317469.7984189726"/>
    <n v="4802611.5609022556"/>
    <n v="1296399.044117647"/>
    <n v="1541208.1165048543"/>
    <n v="105723"/>
    <n v="218788"/>
    <n v="0"/>
    <n v="0"/>
    <n v="12855766.866584811"/>
    <n v="12871040.648750056"/>
  </r>
  <r>
    <x v="13"/>
    <s v="Texas A&amp;M University-Commerce"/>
    <m/>
    <n v="224554"/>
    <x v="2"/>
    <n v="58"/>
    <n v="45"/>
    <m/>
    <n v="0"/>
    <n v="2"/>
    <n v="0"/>
    <m/>
    <n v="16"/>
    <n v="53"/>
    <n v="50"/>
    <m/>
    <n v="0"/>
    <m/>
    <n v="0"/>
    <m/>
    <n v="0"/>
    <n v="112"/>
    <n v="119"/>
    <m/>
    <n v="0"/>
    <n v="5"/>
    <n v="4"/>
    <m/>
    <n v="4"/>
    <n v="54"/>
    <n v="45"/>
    <m/>
    <n v="0"/>
    <n v="1"/>
    <n v="0"/>
    <m/>
    <n v="3"/>
    <n v="0"/>
    <n v="0"/>
    <m/>
    <n v="0"/>
    <n v="0"/>
    <n v="0"/>
    <m/>
    <n v="0"/>
    <m/>
    <m/>
    <m/>
    <m/>
    <m/>
    <m/>
    <m/>
    <m/>
    <n v="5141975"/>
    <n v="5678533"/>
    <n v="3465045"/>
    <n v="3316682"/>
    <n v="7076900"/>
    <n v="7999396"/>
    <n v="2761283"/>
    <n v="2830831"/>
    <n v="0"/>
    <n v="0"/>
    <n v="0"/>
    <m/>
    <n v="544"/>
    <n v="597"/>
    <n v="477"/>
    <n v="450"/>
    <n v="1063"/>
    <n v="1163"/>
    <n v="497"/>
    <n v="441"/>
    <n v="0"/>
    <n v="0"/>
    <n v="0"/>
    <n v="0"/>
    <n v="9452.1599264705874"/>
    <n v="9511.7805695142379"/>
    <n v="7264.2452830188677"/>
    <n v="7370.4044444444444"/>
    <n v="6657.4788334901223"/>
    <n v="6878.2424763542558"/>
    <n v="5555.9014084507044"/>
    <n v="6419.1179138321995"/>
    <n v="0"/>
    <n v="0"/>
    <n v="0"/>
    <n v="0"/>
    <n v="85069.439338235286"/>
    <n v="85606.025125628134"/>
    <n v="65378.207547169812"/>
    <n v="66333.64"/>
    <n v="59917.309501411102"/>
    <n v="61904.182287188305"/>
    <n v="50003.112676056342"/>
    <n v="57772.061224489793"/>
    <n v="0"/>
    <n v="0"/>
    <n v="0"/>
    <n v="0"/>
    <n v="64314.764102253735"/>
    <n v="67040.348328362728"/>
    <n v="60"/>
    <n v="61"/>
    <n v="53"/>
    <n v="50"/>
    <n v="117"/>
    <n v="127"/>
    <n v="55"/>
    <n v="48"/>
    <n v="0"/>
    <n v="0"/>
    <n v="0"/>
    <n v="0"/>
    <n v="285"/>
    <n v="286"/>
    <n v="5104166.3602941176"/>
    <n v="5221967.5326633165"/>
    <n v="3465045"/>
    <n v="3316682"/>
    <n v="7010325.2116650986"/>
    <n v="7861831.1504729148"/>
    <n v="2750171.1971830986"/>
    <n v="2773058.9387755101"/>
    <n v="0"/>
    <n v="0"/>
    <n v="0"/>
    <n v="0"/>
    <n v="18329707.769142315"/>
    <n v="19173539.621911742"/>
  </r>
  <r>
    <x v="13"/>
    <s v="Texas A&amp;M University-Corpus Christi "/>
    <m/>
    <n v="224147"/>
    <x v="2"/>
    <n v="85"/>
    <n v="82"/>
    <m/>
    <n v="0"/>
    <m/>
    <n v="0"/>
    <m/>
    <n v="0"/>
    <n v="80"/>
    <n v="93"/>
    <m/>
    <n v="0"/>
    <m/>
    <n v="0"/>
    <m/>
    <n v="0"/>
    <n v="70"/>
    <n v="76"/>
    <m/>
    <n v="0"/>
    <m/>
    <n v="0"/>
    <m/>
    <n v="0"/>
    <m/>
    <n v="0"/>
    <m/>
    <n v="0"/>
    <m/>
    <n v="0"/>
    <m/>
    <n v="0"/>
    <n v="0"/>
    <n v="100"/>
    <m/>
    <n v="0"/>
    <n v="0"/>
    <n v="0"/>
    <m/>
    <n v="0"/>
    <m/>
    <m/>
    <m/>
    <m/>
    <m/>
    <m/>
    <m/>
    <m/>
    <n v="7392486"/>
    <n v="7091942"/>
    <n v="5670318"/>
    <n v="6485772"/>
    <n v="4376344"/>
    <n v="4778206"/>
    <n v="0"/>
    <n v="0"/>
    <n v="0"/>
    <n v="4403088"/>
    <n v="0"/>
    <m/>
    <n v="765"/>
    <n v="738"/>
    <n v="720"/>
    <n v="837"/>
    <n v="630"/>
    <n v="684"/>
    <n v="0"/>
    <n v="0"/>
    <n v="0"/>
    <n v="900"/>
    <n v="0"/>
    <n v="0"/>
    <n v="9663.3803921568633"/>
    <n v="9609.6775067750677"/>
    <n v="7875.4416666666666"/>
    <n v="7748.8315412186375"/>
    <n v="6946.5777777777776"/>
    <n v="6985.6812865497077"/>
    <n v="0"/>
    <n v="0"/>
    <n v="0"/>
    <n v="4892.32"/>
    <n v="0"/>
    <n v="0"/>
    <n v="86970.423529411768"/>
    <n v="86487.097560975613"/>
    <n v="70878.975000000006"/>
    <n v="69739.483870967742"/>
    <n v="62519.199999999997"/>
    <n v="62871.131578947367"/>
    <n v="0"/>
    <n v="0"/>
    <n v="0"/>
    <n v="44030.879999999997"/>
    <n v="0"/>
    <n v="0"/>
    <n v="74209.140425531921"/>
    <n v="64840.478632478633"/>
    <n v="85"/>
    <n v="82"/>
    <n v="80"/>
    <n v="93"/>
    <n v="70"/>
    <n v="76"/>
    <n v="0"/>
    <n v="0"/>
    <n v="0"/>
    <n v="100"/>
    <n v="0"/>
    <n v="0"/>
    <n v="235"/>
    <n v="351"/>
    <n v="7392486"/>
    <n v="7091942"/>
    <n v="5670318"/>
    <n v="6485772"/>
    <n v="4376344"/>
    <n v="4778206"/>
    <n v="0"/>
    <n v="0"/>
    <n v="0"/>
    <n v="4403088"/>
    <n v="0"/>
    <n v="0"/>
    <n v="17439148"/>
    <n v="22759008"/>
  </r>
  <r>
    <x v="13"/>
    <s v="Texas A&amp;M University-Kingsville"/>
    <m/>
    <n v="228705"/>
    <x v="2"/>
    <n v="70"/>
    <n v="1"/>
    <m/>
    <n v="71"/>
    <n v="15"/>
    <n v="0"/>
    <m/>
    <n v="23"/>
    <n v="72"/>
    <n v="0"/>
    <m/>
    <n v="67"/>
    <n v="8"/>
    <n v="0"/>
    <m/>
    <n v="9"/>
    <n v="118"/>
    <n v="1"/>
    <m/>
    <n v="139"/>
    <n v="21"/>
    <n v="0"/>
    <m/>
    <n v="5"/>
    <n v="2"/>
    <n v="0"/>
    <m/>
    <n v="0"/>
    <m/>
    <n v="0"/>
    <m/>
    <n v="0"/>
    <n v="84"/>
    <n v="30"/>
    <m/>
    <n v="58"/>
    <n v="0"/>
    <n v="0"/>
    <m/>
    <n v="0"/>
    <m/>
    <m/>
    <m/>
    <m/>
    <m/>
    <m/>
    <m/>
    <m/>
    <n v="7350380"/>
    <n v="8099561"/>
    <n v="5402204"/>
    <n v="5365408"/>
    <n v="8621705"/>
    <n v="8908136"/>
    <n v="113998"/>
    <n v="0"/>
    <n v="2129566"/>
    <n v="2764235"/>
    <n v="0"/>
    <m/>
    <n v="795"/>
    <n v="995"/>
    <n v="736"/>
    <n v="778"/>
    <n v="1293"/>
    <n v="1459"/>
    <n v="18"/>
    <n v="0"/>
    <n v="756"/>
    <n v="850"/>
    <n v="0"/>
    <n v="0"/>
    <n v="9245.7610062893091"/>
    <n v="8140.262311557789"/>
    <n v="7339.951086956522"/>
    <n v="6896.4113110539847"/>
    <n v="6667.9853054911064"/>
    <n v="6105.6449623029475"/>
    <n v="6333.2222222222226"/>
    <n v="0"/>
    <n v="2816.8862433862432"/>
    <n v="3252.0411764705882"/>
    <n v="0"/>
    <n v="0"/>
    <n v="83211.84905660378"/>
    <n v="73262.360804020107"/>
    <n v="66059.559782608703"/>
    <n v="62067.701799485862"/>
    <n v="60011.867749419958"/>
    <n v="54950.804660726528"/>
    <n v="56999"/>
    <n v="0"/>
    <n v="25351.976190476191"/>
    <n v="29268.370588235295"/>
    <n v="0"/>
    <n v="0"/>
    <n v="58828.168127152283"/>
    <n v="55001.368566121011"/>
    <n v="85"/>
    <n v="95"/>
    <n v="80"/>
    <n v="76"/>
    <n v="139"/>
    <n v="145"/>
    <n v="2"/>
    <n v="0"/>
    <n v="84"/>
    <n v="88"/>
    <n v="0"/>
    <n v="0"/>
    <n v="390"/>
    <n v="404"/>
    <n v="7073007.1698113214"/>
    <n v="6959924.2763819098"/>
    <n v="5284764.7826086963"/>
    <n v="4717145.3367609251"/>
    <n v="8341649.6171693746"/>
    <n v="7967866.6758053461"/>
    <n v="113998"/>
    <n v="0"/>
    <n v="2129566"/>
    <n v="2575616.6117647057"/>
    <n v="0"/>
    <n v="0"/>
    <n v="22942985.569589391"/>
    <n v="22220552.900712889"/>
  </r>
  <r>
    <x v="13"/>
    <s v="Texas Southern University "/>
    <m/>
    <n v="229063"/>
    <x v="2"/>
    <n v="27"/>
    <n v="28"/>
    <m/>
    <n v="0"/>
    <n v="88"/>
    <n v="1"/>
    <m/>
    <n v="98"/>
    <n v="39"/>
    <n v="32"/>
    <m/>
    <n v="0"/>
    <n v="79"/>
    <n v="0"/>
    <m/>
    <n v="89"/>
    <n v="39"/>
    <n v="34"/>
    <m/>
    <n v="0"/>
    <n v="44"/>
    <n v="1"/>
    <m/>
    <n v="36"/>
    <n v="1"/>
    <n v="4"/>
    <m/>
    <n v="0"/>
    <n v="5"/>
    <n v="0"/>
    <m/>
    <n v="6"/>
    <n v="33"/>
    <n v="39"/>
    <m/>
    <n v="0"/>
    <n v="45"/>
    <n v="0"/>
    <m/>
    <n v="71"/>
    <m/>
    <m/>
    <m/>
    <m/>
    <m/>
    <m/>
    <m/>
    <m/>
    <n v="13070069"/>
    <n v="14914140"/>
    <n v="10385627"/>
    <n v="11162548"/>
    <n v="5723089"/>
    <n v="5173820"/>
    <n v="329472"/>
    <n v="539414"/>
    <n v="3720355"/>
    <n v="4918487"/>
    <n v="0"/>
    <m/>
    <n v="1211"/>
    <n v="1439"/>
    <n v="1220"/>
    <n v="1356"/>
    <n v="835"/>
    <n v="749"/>
    <n v="64"/>
    <n v="108"/>
    <n v="792"/>
    <n v="1203"/>
    <n v="0"/>
    <n v="0"/>
    <n v="10792.790255986787"/>
    <n v="10364.239054899235"/>
    <n v="8512.809016393443"/>
    <n v="8231.9675516224197"/>
    <n v="6853.9988023952092"/>
    <n v="6907.6368491321764"/>
    <n v="5148"/>
    <n v="4994.5740740740739"/>
    <n v="4697.4179292929293"/>
    <n v="4088.5178719866999"/>
    <n v="0"/>
    <n v="0"/>
    <n v="97135.112303881091"/>
    <n v="93278.151494093123"/>
    <n v="76615.281147540984"/>
    <n v="74087.707964601781"/>
    <n v="61685.989221556883"/>
    <n v="62168.731642189588"/>
    <n v="46332"/>
    <n v="44951.166666666664"/>
    <n v="42276.761363636368"/>
    <n v="36796.660847880295"/>
    <n v="0"/>
    <n v="0"/>
    <n v="72266.643955272564"/>
    <n v="67704.014145775858"/>
    <n v="115"/>
    <n v="127"/>
    <n v="118"/>
    <n v="121"/>
    <n v="83"/>
    <n v="71"/>
    <n v="6"/>
    <n v="10"/>
    <n v="78"/>
    <n v="110"/>
    <n v="0"/>
    <n v="0"/>
    <n v="400"/>
    <n v="439"/>
    <n v="11170537.914946325"/>
    <n v="11846325.239749826"/>
    <n v="9040603.1754098367"/>
    <n v="8964612.6637168154"/>
    <n v="5119937.1053892216"/>
    <n v="4413979.9465954611"/>
    <n v="277992"/>
    <n v="449511.66666666663"/>
    <n v="3297587.3863636367"/>
    <n v="4047632.6932668323"/>
    <n v="0"/>
    <n v="0"/>
    <n v="28906657.582109027"/>
    <n v="29722062.209995601"/>
  </r>
  <r>
    <x v="13"/>
    <s v="Texas State University-San Marcos"/>
    <m/>
    <n v="228459"/>
    <x v="2"/>
    <n v="237"/>
    <n v="231"/>
    <m/>
    <n v="0"/>
    <n v="31"/>
    <n v="0"/>
    <m/>
    <n v="31"/>
    <n v="219"/>
    <n v="235"/>
    <m/>
    <n v="0"/>
    <n v="8"/>
    <n v="0"/>
    <m/>
    <n v="9"/>
    <n v="263"/>
    <n v="228"/>
    <m/>
    <n v="0"/>
    <m/>
    <n v="0"/>
    <m/>
    <n v="0"/>
    <n v="4"/>
    <n v="2"/>
    <m/>
    <n v="0"/>
    <m/>
    <n v="0"/>
    <m/>
    <n v="0"/>
    <n v="313"/>
    <n v="398"/>
    <m/>
    <n v="0"/>
    <n v="0"/>
    <n v="0"/>
    <m/>
    <n v="0"/>
    <m/>
    <m/>
    <m/>
    <m/>
    <m/>
    <m/>
    <m/>
    <m/>
    <n v="25098039"/>
    <n v="25426637"/>
    <n v="15877053"/>
    <n v="18584678"/>
    <n v="16449971"/>
    <n v="14638153"/>
    <n v="187835"/>
    <n v="96791"/>
    <n v="13501867"/>
    <n v="17449904"/>
    <n v="0"/>
    <m/>
    <n v="2474"/>
    <n v="2451"/>
    <n v="2059"/>
    <n v="2223"/>
    <n v="2367"/>
    <n v="2052"/>
    <n v="36"/>
    <n v="18"/>
    <n v="2817"/>
    <n v="3582"/>
    <n v="0"/>
    <n v="0"/>
    <n v="10144.720695230397"/>
    <n v="10373.984904120767"/>
    <n v="7711.0505099562897"/>
    <n v="8360.1790373369313"/>
    <n v="6949.713138994508"/>
    <n v="7133.6028265107216"/>
    <n v="5217.6388888888887"/>
    <n v="5377.2777777777774"/>
    <n v="4792.9950301739436"/>
    <n v="4871.5533221663873"/>
    <n v="0"/>
    <n v="0"/>
    <n v="91302.486257073571"/>
    <n v="93365.864137086901"/>
    <n v="69399.454589606612"/>
    <n v="75241.61133603238"/>
    <n v="62547.41825095057"/>
    <n v="64202.425438596496"/>
    <n v="46958.75"/>
    <n v="48395.5"/>
    <n v="43136.955271565494"/>
    <n v="43843.979899497484"/>
    <n v="0"/>
    <n v="0"/>
    <n v="65453.409775568762"/>
    <n v="66142.555176286318"/>
    <n v="268"/>
    <n v="262"/>
    <n v="227"/>
    <n v="244"/>
    <n v="263"/>
    <n v="228"/>
    <n v="4"/>
    <n v="2"/>
    <n v="313"/>
    <n v="398"/>
    <n v="0"/>
    <n v="0"/>
    <n v="1075"/>
    <n v="1134"/>
    <n v="24469066.316895716"/>
    <n v="24461856.403916769"/>
    <n v="15753676.191840701"/>
    <n v="18358953.165991902"/>
    <n v="16449971"/>
    <n v="14638153.000000002"/>
    <n v="187835"/>
    <n v="96791"/>
    <n v="13501867"/>
    <n v="17449904"/>
    <n v="0"/>
    <n v="0"/>
    <n v="70362415.508736417"/>
    <n v="75005657.569908679"/>
  </r>
  <r>
    <x v="13"/>
    <s v="University of Houston-Clear Lake "/>
    <m/>
    <n v="225414"/>
    <x v="2"/>
    <n v="42"/>
    <n v="49"/>
    <m/>
    <n v="0"/>
    <n v="1"/>
    <n v="0"/>
    <m/>
    <n v="1"/>
    <n v="83"/>
    <n v="92"/>
    <m/>
    <n v="0"/>
    <m/>
    <n v="0"/>
    <m/>
    <n v="0"/>
    <n v="70"/>
    <n v="71"/>
    <m/>
    <n v="0"/>
    <m/>
    <n v="0"/>
    <m/>
    <n v="0"/>
    <n v="1"/>
    <n v="0"/>
    <m/>
    <n v="0"/>
    <m/>
    <n v="0"/>
    <m/>
    <n v="0"/>
    <n v="37"/>
    <n v="35"/>
    <m/>
    <n v="0"/>
    <n v="3"/>
    <n v="0"/>
    <m/>
    <n v="3"/>
    <m/>
    <m/>
    <m/>
    <m/>
    <m/>
    <m/>
    <m/>
    <m/>
    <n v="4082782"/>
    <n v="4617110"/>
    <n v="6023691"/>
    <n v="6567001"/>
    <n v="4304950"/>
    <n v="4475975"/>
    <n v="46700"/>
    <n v="0"/>
    <n v="2031571.6666666667"/>
    <n v="2066166"/>
    <n v="0"/>
    <m/>
    <n v="389"/>
    <n v="453"/>
    <n v="747"/>
    <n v="828"/>
    <n v="630"/>
    <n v="639"/>
    <n v="9"/>
    <n v="0"/>
    <n v="366"/>
    <n v="351"/>
    <n v="0"/>
    <n v="0"/>
    <n v="10495.583547557841"/>
    <n v="10192.295805739514"/>
    <n v="8063.8433734939763"/>
    <n v="7931.1606280193237"/>
    <n v="6833.2539682539682"/>
    <n v="7004.6557120500784"/>
    <n v="5188.8888888888887"/>
    <n v="0"/>
    <n v="5550.7422586520952"/>
    <n v="5886.5128205128203"/>
    <n v="0"/>
    <n v="0"/>
    <n v="94460.25192802056"/>
    <n v="91730.662251655624"/>
    <n v="72574.590361445793"/>
    <n v="71380.445652173919"/>
    <n v="61499.28571428571"/>
    <n v="63041.901408450707"/>
    <n v="46700"/>
    <n v="0"/>
    <n v="49956.68032786886"/>
    <n v="52978.615384615383"/>
    <n v="0"/>
    <n v="0"/>
    <n v="69347.675299660928"/>
    <n v="70289.62747887717"/>
    <n v="43"/>
    <n v="50"/>
    <n v="83"/>
    <n v="92"/>
    <n v="70"/>
    <n v="71"/>
    <n v="1"/>
    <n v="0"/>
    <n v="40"/>
    <n v="38"/>
    <n v="0"/>
    <n v="0"/>
    <n v="237"/>
    <n v="251"/>
    <n v="4061790.8329048841"/>
    <n v="4586533.1125827814"/>
    <n v="6023691.0000000009"/>
    <n v="6567001.0000000009"/>
    <n v="4304950"/>
    <n v="4475975"/>
    <n v="46700"/>
    <n v="0"/>
    <n v="1998267.2131147543"/>
    <n v="2013187.3846153845"/>
    <n v="0"/>
    <n v="0"/>
    <n v="16435399.04601964"/>
    <n v="17642696.497198168"/>
  </r>
  <r>
    <x v="13"/>
    <s v="University of Texas at Brownsville"/>
    <m/>
    <n v="227377"/>
    <x v="2"/>
    <n v="55"/>
    <n v="55"/>
    <m/>
    <n v="0"/>
    <n v="1"/>
    <n v="0"/>
    <m/>
    <n v="1"/>
    <n v="121"/>
    <n v="100"/>
    <m/>
    <n v="0"/>
    <n v="9"/>
    <n v="0"/>
    <m/>
    <n v="9"/>
    <n v="123"/>
    <n v="82"/>
    <m/>
    <n v="0"/>
    <n v="14"/>
    <n v="0"/>
    <m/>
    <n v="2"/>
    <n v="2"/>
    <n v="48"/>
    <m/>
    <n v="0"/>
    <m/>
    <n v="0"/>
    <m/>
    <n v="21"/>
    <n v="68"/>
    <n v="70"/>
    <m/>
    <n v="0"/>
    <n v="15"/>
    <n v="0"/>
    <m/>
    <n v="5"/>
    <m/>
    <m/>
    <m/>
    <m/>
    <m/>
    <m/>
    <m/>
    <m/>
    <n v="4502931"/>
    <n v="4603792"/>
    <n v="8735344"/>
    <n v="7158453"/>
    <n v="7904223"/>
    <n v="4994907"/>
    <n v="98500"/>
    <n v="3912501"/>
    <n v="3405217.5"/>
    <n v="3297882"/>
    <n v="0"/>
    <m/>
    <n v="506"/>
    <n v="507"/>
    <n v="1188"/>
    <n v="1008"/>
    <n v="1261"/>
    <n v="762"/>
    <n v="18"/>
    <n v="684"/>
    <n v="777"/>
    <n v="690"/>
    <n v="0"/>
    <n v="0"/>
    <n v="8899.073122529644"/>
    <n v="9080.457593688363"/>
    <n v="7352.9831649831649"/>
    <n v="7101.6398809523807"/>
    <n v="6268.218080888184"/>
    <n v="6554.9960629921261"/>
    <n v="5472.2222222222226"/>
    <n v="5720.0307017543855"/>
    <n v="4382.5193050193047"/>
    <n v="4779.5391304347822"/>
    <n v="0"/>
    <n v="0"/>
    <n v="80091.6581027668"/>
    <n v="81724.118343195267"/>
    <n v="66176.84848484848"/>
    <n v="63914.758928571428"/>
    <n v="56413.962727993654"/>
    <n v="58994.964566929135"/>
    <n v="49250"/>
    <n v="51480.276315789466"/>
    <n v="39442.673745173743"/>
    <n v="43015.852173913037"/>
    <n v="0"/>
    <n v="0"/>
    <n v="59286.955812180859"/>
    <n v="59229.425834321155"/>
    <n v="56"/>
    <n v="56"/>
    <n v="130"/>
    <n v="109"/>
    <n v="137"/>
    <n v="84"/>
    <n v="2"/>
    <n v="69"/>
    <n v="83"/>
    <n v="75"/>
    <n v="0"/>
    <n v="0"/>
    <n v="408"/>
    <n v="393"/>
    <n v="4485132.8537549404"/>
    <n v="4576550.6272189347"/>
    <n v="8602990.3030303027"/>
    <n v="6966708.7232142854"/>
    <n v="7728712.8937351303"/>
    <n v="4955577.0236220472"/>
    <n v="98500"/>
    <n v="3552139.0657894732"/>
    <n v="3273741.9208494206"/>
    <n v="3226188.9130434776"/>
    <n v="0"/>
    <n v="0"/>
    <n v="24189077.971369792"/>
    <n v="23277164.352888215"/>
  </r>
  <r>
    <x v="13"/>
    <s v="University of Texas at Tyler"/>
    <m/>
    <n v="228802"/>
    <x v="2"/>
    <n v="53"/>
    <n v="48"/>
    <m/>
    <n v="0"/>
    <m/>
    <n v="0"/>
    <m/>
    <n v="0"/>
    <n v="68"/>
    <n v="68"/>
    <m/>
    <n v="0"/>
    <m/>
    <n v="0"/>
    <m/>
    <n v="0"/>
    <n v="71"/>
    <n v="79"/>
    <m/>
    <n v="0"/>
    <m/>
    <n v="0"/>
    <m/>
    <n v="0"/>
    <n v="41"/>
    <n v="48"/>
    <m/>
    <n v="0"/>
    <m/>
    <n v="0"/>
    <m/>
    <n v="0"/>
    <n v="43"/>
    <n v="43"/>
    <m/>
    <n v="0"/>
    <n v="0"/>
    <n v="0"/>
    <m/>
    <n v="0"/>
    <m/>
    <m/>
    <m/>
    <m/>
    <m/>
    <m/>
    <m/>
    <m/>
    <n v="4357851"/>
    <n v="4090515"/>
    <n v="4503798"/>
    <n v="4537611"/>
    <n v="4247676"/>
    <n v="4965570"/>
    <n v="1927008"/>
    <n v="2310129"/>
    <n v="1939194"/>
    <n v="1964013"/>
    <n v="0"/>
    <m/>
    <n v="477"/>
    <n v="432"/>
    <n v="612"/>
    <n v="612"/>
    <n v="639"/>
    <n v="711"/>
    <n v="369"/>
    <n v="432"/>
    <n v="387"/>
    <n v="387"/>
    <n v="0"/>
    <n v="0"/>
    <n v="9135.9559748427673"/>
    <n v="9468.7847222222226"/>
    <n v="7359.1470588235297"/>
    <n v="7414.3970588235297"/>
    <n v="6647.3802816901407"/>
    <n v="6983.9240506329115"/>
    <n v="5222.2439024390242"/>
    <n v="5347.520833333333"/>
    <n v="5010.8372093023254"/>
    <n v="5074.968992248062"/>
    <n v="0"/>
    <n v="0"/>
    <n v="82223.60377358491"/>
    <n v="85219.0625"/>
    <n v="66232.323529411762"/>
    <n v="66729.573529411762"/>
    <n v="59826.42253521127"/>
    <n v="62855.3164556962"/>
    <n v="47000.195121951219"/>
    <n v="48127.6875"/>
    <n v="45097.534883720931"/>
    <n v="45674.720930232557"/>
    <n v="0"/>
    <n v="0"/>
    <n v="61505.532608695656"/>
    <n v="62474.958041958045"/>
    <n v="53"/>
    <n v="48"/>
    <n v="68"/>
    <n v="68"/>
    <n v="71"/>
    <n v="79"/>
    <n v="41"/>
    <n v="48"/>
    <n v="43"/>
    <n v="43"/>
    <n v="0"/>
    <n v="0"/>
    <n v="276"/>
    <n v="286"/>
    <n v="4357851"/>
    <n v="4090515"/>
    <n v="4503798"/>
    <n v="4537611"/>
    <n v="4247676"/>
    <n v="4965570"/>
    <n v="1927008"/>
    <n v="2310129"/>
    <n v="1939194"/>
    <n v="1964013"/>
    <n v="0"/>
    <n v="0"/>
    <n v="16975527"/>
    <n v="17867838"/>
  </r>
  <r>
    <x v="13"/>
    <s v="University of Texas of the Permian Basin"/>
    <m/>
    <n v="229018"/>
    <x v="2"/>
    <n v="22"/>
    <n v="20"/>
    <m/>
    <n v="0"/>
    <m/>
    <n v="0"/>
    <m/>
    <n v="0"/>
    <n v="39"/>
    <n v="38"/>
    <m/>
    <n v="0"/>
    <m/>
    <n v="0"/>
    <m/>
    <n v="0"/>
    <n v="30"/>
    <n v="22"/>
    <m/>
    <n v="0"/>
    <m/>
    <n v="0"/>
    <m/>
    <n v="0"/>
    <m/>
    <n v="0"/>
    <m/>
    <n v="0"/>
    <m/>
    <n v="0"/>
    <m/>
    <n v="0"/>
    <n v="28"/>
    <n v="26"/>
    <m/>
    <n v="0"/>
    <n v="0"/>
    <n v="0"/>
    <m/>
    <n v="0"/>
    <m/>
    <m/>
    <m/>
    <m/>
    <m/>
    <m/>
    <m/>
    <m/>
    <n v="1705998"/>
    <n v="1826048"/>
    <n v="2618327"/>
    <n v="2635884"/>
    <n v="1803719"/>
    <n v="1274157"/>
    <n v="0"/>
    <n v="0"/>
    <n v="1213679"/>
    <n v="1088224"/>
    <n v="0"/>
    <m/>
    <n v="198"/>
    <n v="180"/>
    <n v="351"/>
    <n v="342"/>
    <n v="270"/>
    <n v="198"/>
    <n v="0"/>
    <n v="0"/>
    <n v="252"/>
    <n v="234"/>
    <n v="0"/>
    <n v="0"/>
    <n v="8616.1515151515159"/>
    <n v="10144.711111111112"/>
    <n v="7459.6210826210827"/>
    <n v="7707.2631578947367"/>
    <n v="6680.4407407407407"/>
    <n v="6435.136363636364"/>
    <n v="0"/>
    <n v="0"/>
    <n v="4816.186507936508"/>
    <n v="4650.5299145299141"/>
    <n v="0"/>
    <n v="0"/>
    <n v="77545.363636363647"/>
    <n v="91302.400000000009"/>
    <n v="67136.58974358975"/>
    <n v="69365.368421052626"/>
    <n v="60123.966666666667"/>
    <n v="57916.227272727279"/>
    <n v="0"/>
    <n v="0"/>
    <n v="43345.678571428572"/>
    <n v="41854.769230769227"/>
    <n v="0"/>
    <n v="0"/>
    <n v="61695.151260504201"/>
    <n v="64380.311320754714"/>
    <n v="22"/>
    <n v="20"/>
    <n v="39"/>
    <n v="38"/>
    <n v="30"/>
    <n v="22"/>
    <n v="0"/>
    <n v="0"/>
    <n v="28"/>
    <n v="26"/>
    <n v="0"/>
    <n v="0"/>
    <n v="119"/>
    <n v="106"/>
    <n v="1705998.0000000002"/>
    <n v="1826048.0000000002"/>
    <n v="2618327"/>
    <n v="2635884"/>
    <n v="1803719"/>
    <n v="1274157.0000000002"/>
    <n v="0"/>
    <n v="0"/>
    <n v="1213679"/>
    <n v="1088224"/>
    <n v="0"/>
    <n v="0"/>
    <n v="7341723"/>
    <n v="6824313"/>
  </r>
  <r>
    <x v="13"/>
    <s v="University of Texas-Pan American"/>
    <m/>
    <n v="227368"/>
    <x v="2"/>
    <n v="120"/>
    <n v="110"/>
    <m/>
    <n v="0"/>
    <n v="1"/>
    <n v="0"/>
    <m/>
    <n v="1"/>
    <n v="172"/>
    <n v="185"/>
    <m/>
    <n v="0"/>
    <n v="1"/>
    <n v="0"/>
    <m/>
    <n v="1"/>
    <n v="165"/>
    <n v="141"/>
    <m/>
    <n v="0"/>
    <n v="1"/>
    <n v="0"/>
    <m/>
    <n v="4"/>
    <m/>
    <n v="0"/>
    <m/>
    <n v="0"/>
    <m/>
    <n v="0"/>
    <m/>
    <n v="0"/>
    <n v="158"/>
    <n v="190"/>
    <m/>
    <n v="0"/>
    <n v="13"/>
    <n v="0"/>
    <m/>
    <n v="9"/>
    <m/>
    <m/>
    <m/>
    <m/>
    <m/>
    <m/>
    <m/>
    <m/>
    <n v="10572197"/>
    <n v="10059127"/>
    <n v="11599295.000000002"/>
    <n v="13092244"/>
    <n v="10306385"/>
    <n v="9750313"/>
    <n v="0"/>
    <n v="0"/>
    <n v="8582648"/>
    <n v="9777233"/>
    <n v="0"/>
    <m/>
    <n v="1091"/>
    <n v="1002"/>
    <n v="1559"/>
    <n v="1677"/>
    <n v="1496"/>
    <n v="1317"/>
    <n v="0"/>
    <n v="0"/>
    <n v="1565"/>
    <n v="1818"/>
    <n v="0"/>
    <n v="0"/>
    <n v="9690.3730522456462"/>
    <n v="10039.048902195609"/>
    <n v="7440.2148813341901"/>
    <n v="7806.9433512224214"/>
    <n v="6889.2947860962568"/>
    <n v="7403.4267274107824"/>
    <n v="0"/>
    <n v="0"/>
    <n v="5484.120127795527"/>
    <n v="5378.0159515951591"/>
    <n v="0"/>
    <n v="0"/>
    <n v="87213.357470210816"/>
    <n v="90351.440119760489"/>
    <n v="66961.933932007712"/>
    <n v="70262.490161001799"/>
    <n v="62003.653074866314"/>
    <n v="66630.840546697043"/>
    <n v="0"/>
    <n v="0"/>
    <n v="49357.081150159742"/>
    <n v="48402.143564356433"/>
    <n v="0"/>
    <n v="0"/>
    <n v="64770.044550297898"/>
    <n v="66133.12242093253"/>
    <n v="121"/>
    <n v="111"/>
    <n v="173"/>
    <n v="186"/>
    <n v="166"/>
    <n v="145"/>
    <n v="0"/>
    <n v="0"/>
    <n v="171"/>
    <n v="199"/>
    <n v="0"/>
    <n v="0"/>
    <n v="631"/>
    <n v="641"/>
    <n v="10552816.253895508"/>
    <n v="10029009.853293415"/>
    <n v="11584414.570237335"/>
    <n v="13068823.169946335"/>
    <n v="10292606.410427809"/>
    <n v="9661471.8792710714"/>
    <n v="0"/>
    <n v="0"/>
    <n v="8440060.8766773157"/>
    <n v="9632026.5693069305"/>
    <n v="0"/>
    <n v="0"/>
    <n v="40869898.111237973"/>
    <n v="42391331.471817754"/>
  </r>
  <r>
    <x v="13"/>
    <s v="West Texas A&amp;M University"/>
    <m/>
    <n v="229814"/>
    <x v="2"/>
    <n v="38"/>
    <n v="40"/>
    <m/>
    <n v="0"/>
    <n v="6"/>
    <n v="0"/>
    <m/>
    <n v="10"/>
    <n v="50"/>
    <n v="54"/>
    <m/>
    <n v="0"/>
    <n v="3"/>
    <n v="0"/>
    <m/>
    <n v="3"/>
    <n v="82"/>
    <n v="75"/>
    <m/>
    <n v="0"/>
    <n v="3"/>
    <n v="0"/>
    <m/>
    <n v="5"/>
    <n v="63"/>
    <n v="66"/>
    <m/>
    <n v="1"/>
    <n v="4"/>
    <n v="0"/>
    <m/>
    <n v="2"/>
    <n v="0"/>
    <n v="0"/>
    <m/>
    <n v="0"/>
    <n v="0"/>
    <n v="0"/>
    <m/>
    <n v="0"/>
    <m/>
    <m/>
    <m/>
    <m/>
    <m/>
    <m/>
    <m/>
    <m/>
    <n v="3726921"/>
    <n v="4361941"/>
    <n v="3557639"/>
    <n v="3813063"/>
    <n v="5280845"/>
    <n v="5135617"/>
    <n v="3156813"/>
    <n v="3211481"/>
    <n v="0"/>
    <n v="0"/>
    <n v="0"/>
    <m/>
    <n v="408"/>
    <n v="480"/>
    <n v="483"/>
    <n v="522"/>
    <n v="771"/>
    <n v="735"/>
    <n v="611"/>
    <n v="628"/>
    <n v="0"/>
    <n v="0"/>
    <n v="0"/>
    <n v="0"/>
    <n v="9134.6102941176468"/>
    <n v="9087.3770833333328"/>
    <n v="7365.7122153209111"/>
    <n v="7304.7183908045981"/>
    <n v="6849.345006485084"/>
    <n v="6987.2340136054418"/>
    <n v="5166.6333878887071"/>
    <n v="5113.8232484076434"/>
    <n v="0"/>
    <n v="0"/>
    <n v="0"/>
    <n v="0"/>
    <n v="82211.492647058825"/>
    <n v="81786.393749999988"/>
    <n v="66291.409937888195"/>
    <n v="65742.465517241377"/>
    <n v="61644.105058365756"/>
    <n v="62885.106122448975"/>
    <n v="46499.700490998366"/>
    <n v="46024.409235668791"/>
    <n v="0"/>
    <n v="0"/>
    <n v="0"/>
    <n v="0"/>
    <n v="62192.687815408193"/>
    <n v="62668.488082186806"/>
    <n v="44"/>
    <n v="50"/>
    <n v="53"/>
    <n v="57"/>
    <n v="85"/>
    <n v="80"/>
    <n v="67"/>
    <n v="69"/>
    <n v="0"/>
    <n v="0"/>
    <n v="0"/>
    <n v="0"/>
    <n v="249"/>
    <n v="256"/>
    <n v="3617305.6764705884"/>
    <n v="4089319.6874999995"/>
    <n v="3513444.7267080741"/>
    <n v="3747320.5344827585"/>
    <n v="5239748.929961089"/>
    <n v="5030808.4897959176"/>
    <n v="3115479.9328968907"/>
    <n v="3175684.2372611468"/>
    <n v="0"/>
    <n v="0"/>
    <n v="0"/>
    <n v="0"/>
    <n v="15485979.266036641"/>
    <n v="16043132.949039822"/>
  </r>
  <r>
    <x v="13"/>
    <s v="Texas A &amp; M University - Central Texas"/>
    <s v="Reclassified: Met the criteria for Four-Year 4 in 2010-11, 2011-12, and 2012-13."/>
    <s v="???"/>
    <x v="3"/>
    <m/>
    <n v="0"/>
    <m/>
    <n v="0"/>
    <m/>
    <n v="0"/>
    <m/>
    <n v="0"/>
    <m/>
    <n v="0"/>
    <m/>
    <n v="0"/>
    <m/>
    <n v="0"/>
    <m/>
    <n v="0"/>
    <m/>
    <n v="0"/>
    <m/>
    <n v="0"/>
    <m/>
    <n v="0"/>
    <m/>
    <n v="0"/>
    <m/>
    <n v="0"/>
    <m/>
    <n v="0"/>
    <m/>
    <n v="0"/>
    <m/>
    <n v="0"/>
    <m/>
    <n v="0"/>
    <m/>
    <n v="0"/>
    <m/>
    <n v="0"/>
    <m/>
    <n v="0"/>
    <m/>
    <m/>
    <m/>
    <m/>
    <m/>
    <m/>
    <m/>
    <m/>
    <n v="0"/>
    <n v="0"/>
    <n v="0"/>
    <n v="0"/>
    <n v="0"/>
    <n v="0"/>
    <n v="0"/>
    <n v="0"/>
    <n v="0"/>
    <n v="0"/>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Texas A&amp;M -Texarkana"/>
    <m/>
    <n v="224545"/>
    <x v="3"/>
    <n v="21"/>
    <n v="21"/>
    <m/>
    <n v="0"/>
    <n v="3"/>
    <n v="0"/>
    <m/>
    <n v="3"/>
    <n v="19"/>
    <n v="21"/>
    <m/>
    <n v="0"/>
    <n v="1"/>
    <n v="0"/>
    <m/>
    <n v="1"/>
    <n v="13"/>
    <n v="15"/>
    <m/>
    <n v="0"/>
    <n v="3"/>
    <n v="0"/>
    <m/>
    <n v="2"/>
    <n v="4"/>
    <n v="8"/>
    <m/>
    <n v="0"/>
    <n v="5"/>
    <n v="0"/>
    <m/>
    <n v="0"/>
    <n v="0"/>
    <n v="0"/>
    <m/>
    <n v="0"/>
    <n v="0"/>
    <n v="0"/>
    <m/>
    <n v="0"/>
    <m/>
    <m/>
    <m/>
    <m/>
    <m/>
    <m/>
    <m/>
    <m/>
    <n v="2139921"/>
    <n v="2160496"/>
    <n v="1298711"/>
    <n v="1518748"/>
    <n v="1023819"/>
    <n v="1052424"/>
    <n v="539885"/>
    <n v="426182"/>
    <n v="0"/>
    <n v="0"/>
    <n v="0"/>
    <m/>
    <n v="222"/>
    <n v="225"/>
    <n v="182"/>
    <n v="201"/>
    <n v="150"/>
    <n v="159"/>
    <n v="91"/>
    <n v="72"/>
    <n v="0"/>
    <n v="0"/>
    <n v="0"/>
    <n v="0"/>
    <n v="9639.2837837837833"/>
    <n v="9602.2044444444437"/>
    <n v="7135.7747252747249"/>
    <n v="7555.960199004975"/>
    <n v="6825.46"/>
    <n v="6619.0188679245284"/>
    <n v="5932.802197802198"/>
    <n v="5919.1944444444443"/>
    <n v="0"/>
    <n v="0"/>
    <n v="0"/>
    <n v="0"/>
    <n v="86753.554054054053"/>
    <n v="86419.839999999997"/>
    <n v="64221.972527472521"/>
    <n v="68003.641791044778"/>
    <n v="61429.14"/>
    <n v="59571.169811320753"/>
    <n v="53395.219780219784"/>
    <n v="53272.75"/>
    <n v="0"/>
    <n v="0"/>
    <n v="0"/>
    <n v="0"/>
    <n v="69999.245882155461"/>
    <n v="70549.974171766735"/>
    <n v="24"/>
    <n v="24"/>
    <n v="20"/>
    <n v="22"/>
    <n v="16"/>
    <n v="17"/>
    <n v="9"/>
    <n v="8"/>
    <n v="0"/>
    <n v="0"/>
    <n v="0"/>
    <n v="0"/>
    <n v="69"/>
    <n v="71"/>
    <n v="2082085.2972972973"/>
    <n v="2074076.1599999999"/>
    <n v="1284439.4505494505"/>
    <n v="1496080.1194029851"/>
    <n v="982866.24"/>
    <n v="1012709.8867924528"/>
    <n v="480556.97802197805"/>
    <n v="426182"/>
    <n v="0"/>
    <n v="0"/>
    <n v="0"/>
    <n v="0"/>
    <n v="4829947.9658687264"/>
    <n v="5009048.1661954382"/>
  </r>
  <r>
    <x v="13"/>
    <s v="University of Houston-Victoria"/>
    <m/>
    <n v="225502"/>
    <x v="3"/>
    <n v="18"/>
    <n v="17"/>
    <m/>
    <n v="0"/>
    <n v="6"/>
    <n v="0"/>
    <m/>
    <n v="0"/>
    <n v="30"/>
    <n v="31"/>
    <m/>
    <n v="0"/>
    <n v="1"/>
    <n v="0"/>
    <m/>
    <n v="0"/>
    <n v="54"/>
    <n v="40"/>
    <m/>
    <n v="0"/>
    <m/>
    <n v="0"/>
    <m/>
    <n v="0"/>
    <m/>
    <n v="8"/>
    <m/>
    <n v="0"/>
    <m/>
    <n v="0"/>
    <m/>
    <n v="0"/>
    <n v="15"/>
    <n v="20"/>
    <m/>
    <n v="0"/>
    <n v="0"/>
    <n v="0"/>
    <m/>
    <n v="0"/>
    <m/>
    <m/>
    <m/>
    <m/>
    <m/>
    <m/>
    <m/>
    <m/>
    <n v="2411836"/>
    <n v="1525830"/>
    <n v="2505984"/>
    <n v="2557269"/>
    <n v="3801949"/>
    <n v="2885272"/>
    <n v="0"/>
    <n v="354640"/>
    <n v="662322"/>
    <n v="1134219"/>
    <n v="0"/>
    <m/>
    <n v="228"/>
    <n v="153"/>
    <n v="281"/>
    <n v="279"/>
    <n v="486"/>
    <n v="360"/>
    <n v="0"/>
    <n v="72"/>
    <n v="135"/>
    <n v="180"/>
    <n v="0"/>
    <n v="0"/>
    <n v="10578.228070175439"/>
    <n v="9972.745098039215"/>
    <n v="8918.0925266903923"/>
    <n v="9165.8387096774186"/>
    <n v="7822.9403292181069"/>
    <n v="8014.6444444444442"/>
    <n v="0"/>
    <n v="4925.5555555555557"/>
    <n v="4906.0888888888885"/>
    <n v="6301.2166666666662"/>
    <n v="0"/>
    <n v="0"/>
    <n v="95204.052631578947"/>
    <n v="89754.705882352937"/>
    <n v="80262.832740213533"/>
    <n v="82492.548387096773"/>
    <n v="70406.462962962964"/>
    <n v="72131.8"/>
    <n v="0"/>
    <n v="44330"/>
    <n v="44154.799999999996"/>
    <n v="56710.95"/>
    <n v="0"/>
    <n v="0"/>
    <n v="74494.484500842853"/>
    <n v="72907.155172413797"/>
    <n v="24"/>
    <n v="17"/>
    <n v="31"/>
    <n v="31"/>
    <n v="54"/>
    <n v="40"/>
    <n v="0"/>
    <n v="8"/>
    <n v="15"/>
    <n v="20"/>
    <n v="0"/>
    <n v="0"/>
    <n v="124"/>
    <n v="116"/>
    <n v="2284897.2631578948"/>
    <n v="1525830"/>
    <n v="2488147.8149466193"/>
    <n v="2557269"/>
    <n v="3801949"/>
    <n v="2885272"/>
    <n v="0"/>
    <n v="354640"/>
    <n v="662321.99999999988"/>
    <n v="1134219"/>
    <n v="0"/>
    <n v="0"/>
    <n v="9237316.0781045146"/>
    <n v="8457230"/>
  </r>
  <r>
    <x v="13"/>
    <s v="Sul Ross State University-Rio Grande College"/>
    <m/>
    <s v="228501B"/>
    <x v="4"/>
    <m/>
    <n v="0"/>
    <m/>
    <n v="0"/>
    <m/>
    <n v="0"/>
    <m/>
    <n v="0"/>
    <m/>
    <n v="0"/>
    <m/>
    <n v="0"/>
    <m/>
    <n v="0"/>
    <m/>
    <n v="0"/>
    <m/>
    <n v="0"/>
    <m/>
    <n v="0"/>
    <m/>
    <n v="0"/>
    <m/>
    <n v="0"/>
    <m/>
    <n v="0"/>
    <m/>
    <n v="0"/>
    <m/>
    <n v="0"/>
    <m/>
    <n v="0"/>
    <n v="0"/>
    <n v="0"/>
    <m/>
    <n v="0"/>
    <n v="0"/>
    <n v="0"/>
    <m/>
    <n v="0"/>
    <m/>
    <m/>
    <m/>
    <m/>
    <m/>
    <m/>
    <m/>
    <m/>
    <n v="0"/>
    <n v="0"/>
    <n v="0"/>
    <n v="0"/>
    <n v="0"/>
    <n v="0"/>
    <n v="0"/>
    <n v="0"/>
    <n v="0"/>
    <n v="0"/>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Texas A &amp; M University - San Antonio"/>
    <s v="Reclassified: Met the criteria for Four-Year 5 in 2010-11, 2011-12, and 2012-13."/>
    <n v="870501"/>
    <x v="4"/>
    <m/>
    <n v="0"/>
    <m/>
    <n v="0"/>
    <m/>
    <n v="0"/>
    <m/>
    <n v="0"/>
    <m/>
    <n v="0"/>
    <m/>
    <n v="0"/>
    <m/>
    <n v="0"/>
    <m/>
    <n v="0"/>
    <m/>
    <n v="0"/>
    <m/>
    <n v="0"/>
    <m/>
    <n v="0"/>
    <m/>
    <n v="0"/>
    <m/>
    <n v="0"/>
    <m/>
    <n v="0"/>
    <m/>
    <n v="0"/>
    <m/>
    <n v="0"/>
    <m/>
    <n v="0"/>
    <m/>
    <n v="0"/>
    <m/>
    <n v="0"/>
    <m/>
    <n v="0"/>
    <m/>
    <m/>
    <m/>
    <m/>
    <m/>
    <m/>
    <m/>
    <m/>
    <n v="0"/>
    <n v="0"/>
    <n v="0"/>
    <n v="0"/>
    <n v="0"/>
    <n v="0"/>
    <n v="0"/>
    <n v="0"/>
    <n v="0"/>
    <n v="0"/>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University of Houston-Downtown"/>
    <m/>
    <n v="225432"/>
    <x v="4"/>
    <n v="52"/>
    <n v="50"/>
    <m/>
    <n v="0"/>
    <n v="4"/>
    <n v="0"/>
    <m/>
    <n v="6"/>
    <n v="97"/>
    <n v="105"/>
    <m/>
    <n v="0"/>
    <n v="7"/>
    <n v="0"/>
    <m/>
    <n v="4"/>
    <n v="86"/>
    <n v="81"/>
    <m/>
    <n v="0"/>
    <m/>
    <n v="0"/>
    <m/>
    <n v="0"/>
    <n v="3"/>
    <n v="1"/>
    <m/>
    <n v="0"/>
    <m/>
    <n v="0"/>
    <m/>
    <n v="0"/>
    <n v="54"/>
    <n v="72"/>
    <m/>
    <n v="0"/>
    <n v="6"/>
    <n v="0"/>
    <m/>
    <n v="9"/>
    <m/>
    <m/>
    <m/>
    <m/>
    <m/>
    <m/>
    <m/>
    <m/>
    <n v="4928794"/>
    <n v="5005257"/>
    <n v="7260629"/>
    <n v="7315106"/>
    <n v="4918701"/>
    <n v="4823201"/>
    <n v="186000"/>
    <n v="55000"/>
    <n v="2957065"/>
    <n v="3709596"/>
    <n v="0"/>
    <m/>
    <n v="512"/>
    <n v="522"/>
    <n v="950"/>
    <n v="993"/>
    <n v="774"/>
    <n v="729"/>
    <n v="27"/>
    <n v="9"/>
    <n v="552"/>
    <n v="756"/>
    <n v="0"/>
    <n v="0"/>
    <n v="9626.55078125"/>
    <n v="9588.6149425287349"/>
    <n v="7642.7673684210522"/>
    <n v="7366.6727089627393"/>
    <n v="6354.9108527131784"/>
    <n v="6616.1879286694102"/>
    <n v="6888.8888888888887"/>
    <n v="6111.1111111111113"/>
    <n v="5357.001811594203"/>
    <n v="4906.8730158730159"/>
    <n v="0"/>
    <n v="0"/>
    <n v="86638.95703125"/>
    <n v="86297.534482758609"/>
    <n v="68784.906315789471"/>
    <n v="66300.05438066466"/>
    <n v="57194.197674418603"/>
    <n v="59545.691358024691"/>
    <n v="62000"/>
    <n v="55000"/>
    <n v="48213.016304347824"/>
    <n v="44161.857142857145"/>
    <n v="0"/>
    <n v="0"/>
    <n v="64734.284235770152"/>
    <n v="62544.753924080367"/>
    <n v="56"/>
    <n v="56"/>
    <n v="104"/>
    <n v="109"/>
    <n v="86"/>
    <n v="81"/>
    <n v="3"/>
    <n v="1"/>
    <n v="60"/>
    <n v="81"/>
    <n v="0"/>
    <n v="0"/>
    <n v="309"/>
    <n v="328"/>
    <n v="4851781.59375"/>
    <n v="4832661.9310344821"/>
    <n v="7153630.2568421047"/>
    <n v="7226705.9274924481"/>
    <n v="4918701"/>
    <n v="4823201"/>
    <n v="186000"/>
    <n v="55000"/>
    <n v="2892780.9782608696"/>
    <n v="3577110.4285714286"/>
    <n v="0"/>
    <n v="0"/>
    <n v="20002893.828852978"/>
    <n v="20514679.287098359"/>
  </r>
  <r>
    <x v="13"/>
    <s v="Texas A&amp;M University at Galveston"/>
    <m/>
    <n v="228714"/>
    <x v="5"/>
    <n v="22"/>
    <n v="19"/>
    <m/>
    <n v="0"/>
    <n v="5"/>
    <n v="0"/>
    <m/>
    <n v="4"/>
    <n v="14"/>
    <n v="14"/>
    <m/>
    <n v="0"/>
    <m/>
    <n v="0"/>
    <m/>
    <n v="1"/>
    <n v="15"/>
    <n v="17"/>
    <m/>
    <n v="0"/>
    <m/>
    <n v="0"/>
    <m/>
    <n v="0"/>
    <m/>
    <n v="18"/>
    <m/>
    <n v="3"/>
    <m/>
    <n v="0"/>
    <m/>
    <n v="10"/>
    <n v="34"/>
    <n v="9"/>
    <m/>
    <n v="0"/>
    <n v="11"/>
    <n v="0"/>
    <m/>
    <n v="4"/>
    <m/>
    <m/>
    <m/>
    <m/>
    <m/>
    <m/>
    <m/>
    <m/>
    <n v="2865992"/>
    <n v="2576708"/>
    <n v="942846"/>
    <n v="1083490"/>
    <n v="976074"/>
    <n v="1145292"/>
    <n v="0"/>
    <n v="2032531"/>
    <n v="1645868.8181818181"/>
    <n v="680013"/>
    <n v="0"/>
    <m/>
    <n v="253"/>
    <n v="219"/>
    <n v="126"/>
    <n v="138"/>
    <n v="135"/>
    <n v="153"/>
    <n v="0"/>
    <n v="312"/>
    <n v="427"/>
    <n v="129"/>
    <n v="0"/>
    <n v="0"/>
    <n v="11328.03162055336"/>
    <n v="11765.789954337899"/>
    <n v="7482.9047619047615"/>
    <n v="7851.376811594203"/>
    <n v="7230.1777777777779"/>
    <n v="7485.5686274509808"/>
    <n v="0"/>
    <n v="6514.5224358974356"/>
    <n v="3854.4937193953588"/>
    <n v="5271.4186046511632"/>
    <n v="0"/>
    <n v="0"/>
    <n v="101952.28458498024"/>
    <n v="105892.10958904109"/>
    <n v="67346.142857142855"/>
    <n v="70662.391304347824"/>
    <n v="65071.6"/>
    <n v="67370.117647058825"/>
    <n v="0"/>
    <n v="58630.701923076922"/>
    <n v="34690.443474558226"/>
    <n v="47442.767441860466"/>
    <n v="0"/>
    <n v="0"/>
    <n v="61709.917229203827"/>
    <n v="71465.193196694265"/>
    <n v="27"/>
    <n v="23"/>
    <n v="14"/>
    <n v="15"/>
    <n v="15"/>
    <n v="17"/>
    <n v="0"/>
    <n v="31"/>
    <n v="45"/>
    <n v="13"/>
    <n v="0"/>
    <n v="0"/>
    <n v="101"/>
    <n v="99"/>
    <n v="2752711.6837944663"/>
    <n v="2435518.5205479451"/>
    <n v="942846"/>
    <n v="1059935.8695652173"/>
    <n v="976074"/>
    <n v="1145292"/>
    <n v="0"/>
    <n v="1817551.7596153845"/>
    <n v="1561069.9563551201"/>
    <n v="616755.97674418602"/>
    <n v="0"/>
    <n v="0"/>
    <n v="6232701.6401495868"/>
    <n v="7075054.1264727321"/>
  </r>
  <r>
    <x v="13"/>
    <s v="Brazosport College "/>
    <m/>
    <n v="223506"/>
    <x v="11"/>
    <n v="17"/>
    <n v="16"/>
    <m/>
    <n v="0"/>
    <m/>
    <n v="0"/>
    <m/>
    <n v="0"/>
    <n v="21"/>
    <n v="22"/>
    <m/>
    <n v="0"/>
    <n v="1"/>
    <n v="0"/>
    <m/>
    <n v="0"/>
    <n v="28"/>
    <n v="28"/>
    <m/>
    <n v="0"/>
    <m/>
    <n v="0"/>
    <m/>
    <n v="0"/>
    <n v="17"/>
    <n v="18"/>
    <m/>
    <n v="0"/>
    <n v="1"/>
    <n v="0"/>
    <m/>
    <n v="0"/>
    <m/>
    <n v="0"/>
    <m/>
    <n v="0"/>
    <m/>
    <n v="0"/>
    <m/>
    <n v="0"/>
    <m/>
    <n v="0"/>
    <m/>
    <n v="0"/>
    <n v="1"/>
    <n v="0"/>
    <m/>
    <n v="0"/>
    <n v="1226029"/>
    <n v="1157610"/>
    <n v="1182199"/>
    <n v="1200816"/>
    <n v="1337769"/>
    <n v="1366473"/>
    <n v="766325"/>
    <n v="815415"/>
    <n v="0"/>
    <n v="0"/>
    <n v="55872"/>
    <n v="0"/>
    <n v="153"/>
    <n v="144"/>
    <n v="200"/>
    <n v="198"/>
    <n v="252"/>
    <n v="252"/>
    <n v="164"/>
    <n v="162"/>
    <n v="0"/>
    <n v="0"/>
    <n v="11"/>
    <n v="0"/>
    <n v="8013.2614379084971"/>
    <n v="8038.958333333333"/>
    <n v="5910.9949999999999"/>
    <n v="6064.727272727273"/>
    <n v="5308.6071428571431"/>
    <n v="5422.5119047619046"/>
    <n v="4672.7134146341459"/>
    <n v="5033.4259259259261"/>
    <n v="0"/>
    <n v="0"/>
    <n v="5079.272727272727"/>
    <n v="0"/>
    <n v="72119.352941176476"/>
    <n v="72350.625"/>
    <n v="53198.955000000002"/>
    <n v="54582.545454545456"/>
    <n v="47777.46428571429"/>
    <n v="48802.607142857145"/>
    <n v="42054.420731707316"/>
    <n v="45300.833333333336"/>
    <n v="0"/>
    <n v="0"/>
    <n v="45713.454545454544"/>
    <n v="0"/>
    <n v="52754.279508327738"/>
    <n v="54051.357142857145"/>
    <n v="17"/>
    <n v="16"/>
    <n v="22"/>
    <n v="22"/>
    <n v="28"/>
    <n v="28"/>
    <n v="18"/>
    <n v="18"/>
    <n v="0"/>
    <n v="0"/>
    <n v="1"/>
    <n v="0"/>
    <n v="86"/>
    <n v="84"/>
    <n v="1226029"/>
    <n v="1157610"/>
    <n v="1170377.01"/>
    <n v="1200816"/>
    <n v="1337769"/>
    <n v="1366473"/>
    <n v="756979.57317073166"/>
    <n v="815415"/>
    <n v="0"/>
    <n v="0"/>
    <n v="45713.454545454544"/>
    <n v="0"/>
    <n v="4536868.0377161857"/>
    <n v="4540314"/>
  </r>
  <r>
    <x v="13"/>
    <s v="Midland College "/>
    <m/>
    <n v="226806"/>
    <x v="11"/>
    <n v="30"/>
    <n v="36"/>
    <m/>
    <n v="1"/>
    <n v="7"/>
    <n v="1"/>
    <m/>
    <n v="6"/>
    <n v="18"/>
    <n v="15"/>
    <m/>
    <n v="2"/>
    <n v="12"/>
    <n v="0"/>
    <m/>
    <n v="8"/>
    <n v="21"/>
    <n v="13"/>
    <m/>
    <n v="3"/>
    <n v="3"/>
    <n v="0"/>
    <m/>
    <n v="3"/>
    <n v="23"/>
    <n v="23"/>
    <m/>
    <n v="3"/>
    <n v="6"/>
    <n v="0"/>
    <m/>
    <n v="6"/>
    <m/>
    <n v="0"/>
    <m/>
    <n v="0"/>
    <m/>
    <n v="0"/>
    <m/>
    <n v="0"/>
    <m/>
    <n v="0"/>
    <m/>
    <n v="0"/>
    <n v="9"/>
    <n v="1"/>
    <m/>
    <n v="0"/>
    <n v="2455934"/>
    <n v="2924345"/>
    <n v="1581087"/>
    <n v="1416446"/>
    <n v="1239748"/>
    <n v="1062445"/>
    <n v="1437217"/>
    <n v="1666895"/>
    <n v="0"/>
    <n v="0"/>
    <n v="471688"/>
    <n v="79422"/>
    <n v="347"/>
    <n v="417"/>
    <n v="294"/>
    <n v="251"/>
    <n v="222"/>
    <n v="183"/>
    <n v="273"/>
    <n v="309"/>
    <n v="0"/>
    <n v="0"/>
    <n v="99"/>
    <n v="11"/>
    <n v="7077.6195965417864"/>
    <n v="7012.817745803357"/>
    <n v="5377.8469387755104"/>
    <n v="5643.2111553784862"/>
    <n v="5584.4504504504503"/>
    <n v="5805.710382513661"/>
    <n v="5264.5311355311351"/>
    <n v="5394.4822006472496"/>
    <n v="0"/>
    <n v="0"/>
    <n v="4764.5252525252527"/>
    <n v="7220.181818181818"/>
    <n v="63698.576368876078"/>
    <n v="63115.359712230216"/>
    <n v="48400.622448979593"/>
    <n v="50788.900398406375"/>
    <n v="50260.054054054053"/>
    <n v="52251.393442622946"/>
    <n v="47380.780219780216"/>
    <n v="48550.33980582525"/>
    <n v="0"/>
    <n v="0"/>
    <n v="42880.727272727272"/>
    <n v="64981.63636363636"/>
    <n v="52519.97262204087"/>
    <n v="55026.176221968344"/>
    <n v="37"/>
    <n v="44"/>
    <n v="30"/>
    <n v="25"/>
    <n v="24"/>
    <n v="19"/>
    <n v="29"/>
    <n v="32"/>
    <n v="0"/>
    <n v="0"/>
    <n v="9"/>
    <n v="1"/>
    <n v="129"/>
    <n v="121"/>
    <n v="2356847.3256484149"/>
    <n v="2777075.8273381293"/>
    <n v="1452018.6734693877"/>
    <n v="1269722.5099601594"/>
    <n v="1206241.2972972973"/>
    <n v="992776.47540983593"/>
    <n v="1374042.6263736263"/>
    <n v="1553610.873786408"/>
    <n v="0"/>
    <n v="0"/>
    <n v="385926.54545454547"/>
    <n v="64981.63636363636"/>
    <n v="6775076.468243272"/>
    <n v="6658167.3228581697"/>
  </r>
  <r>
    <x v="13"/>
    <s v="South Texas College"/>
    <m/>
    <n v="409315"/>
    <x v="11"/>
    <n v="8"/>
    <n v="8"/>
    <m/>
    <n v="0"/>
    <m/>
    <n v="0"/>
    <m/>
    <n v="0"/>
    <n v="22"/>
    <n v="24"/>
    <m/>
    <n v="0"/>
    <m/>
    <n v="0"/>
    <m/>
    <n v="0"/>
    <n v="28"/>
    <n v="26"/>
    <m/>
    <n v="0"/>
    <m/>
    <n v="0"/>
    <m/>
    <n v="0"/>
    <n v="450"/>
    <n v="431"/>
    <m/>
    <n v="31"/>
    <n v="1"/>
    <n v="0"/>
    <m/>
    <n v="0"/>
    <m/>
    <n v="0"/>
    <m/>
    <n v="0"/>
    <m/>
    <n v="0"/>
    <m/>
    <n v="0"/>
    <m/>
    <n v="0"/>
    <m/>
    <n v="0"/>
    <m/>
    <n v="0"/>
    <m/>
    <n v="0"/>
    <n v="501320"/>
    <n v="517365"/>
    <n v="1259226"/>
    <n v="1415998"/>
    <n v="1417710"/>
    <n v="1361730"/>
    <n v="23244016"/>
    <n v="24210840"/>
    <n v="0"/>
    <n v="0"/>
    <n v="0"/>
    <n v="0"/>
    <n v="72"/>
    <n v="72"/>
    <n v="198"/>
    <n v="216"/>
    <n v="252"/>
    <n v="234"/>
    <n v="4061"/>
    <n v="4189"/>
    <n v="0"/>
    <n v="0"/>
    <n v="0"/>
    <n v="0"/>
    <n v="6962.7777777777774"/>
    <n v="7185.625"/>
    <n v="6359.727272727273"/>
    <n v="6555.5462962962965"/>
    <n v="5625.833333333333"/>
    <n v="5819.3589743589746"/>
    <n v="5723.7173110071408"/>
    <n v="5779.6228216758172"/>
    <n v="0"/>
    <n v="0"/>
    <n v="0"/>
    <n v="0"/>
    <n v="62665"/>
    <n v="64670.625"/>
    <n v="57237.545454545456"/>
    <n v="58999.916666666672"/>
    <n v="50632.5"/>
    <n v="52374.230769230773"/>
    <n v="51513.455799064264"/>
    <n v="52016.605395082355"/>
    <n v="0"/>
    <n v="0"/>
    <n v="0"/>
    <n v="0"/>
    <n v="51887.671051823148"/>
    <n v="52551.470562553935"/>
    <n v="8"/>
    <n v="8"/>
    <n v="22"/>
    <n v="24"/>
    <n v="28"/>
    <n v="26"/>
    <n v="451"/>
    <n v="462"/>
    <n v="0"/>
    <n v="0"/>
    <n v="0"/>
    <n v="0"/>
    <n v="509"/>
    <n v="520"/>
    <n v="501320"/>
    <n v="517365"/>
    <n v="1259226"/>
    <n v="1415998"/>
    <n v="1417710"/>
    <n v="1361730"/>
    <n v="23232568.565377984"/>
    <n v="24031671.692528047"/>
    <n v="0"/>
    <n v="0"/>
    <n v="0"/>
    <n v="0"/>
    <n v="26410824.565377984"/>
    <n v="27326764.692528047"/>
  </r>
  <r>
    <x v="13"/>
    <s v="Amarillo College "/>
    <m/>
    <n v="222576"/>
    <x v="6"/>
    <n v="32"/>
    <n v="28"/>
    <m/>
    <n v="4"/>
    <n v="5"/>
    <n v="5"/>
    <m/>
    <n v="2"/>
    <n v="20"/>
    <n v="20"/>
    <m/>
    <n v="0"/>
    <n v="5"/>
    <n v="2"/>
    <m/>
    <n v="0"/>
    <n v="26"/>
    <n v="30"/>
    <m/>
    <n v="4"/>
    <n v="8"/>
    <n v="7"/>
    <m/>
    <n v="3"/>
    <n v="103"/>
    <n v="83"/>
    <m/>
    <n v="7"/>
    <n v="23"/>
    <n v="20"/>
    <m/>
    <n v="1"/>
    <m/>
    <n v="0"/>
    <m/>
    <n v="0"/>
    <m/>
    <n v="0"/>
    <m/>
    <n v="0"/>
    <m/>
    <n v="0"/>
    <m/>
    <n v="0"/>
    <m/>
    <n v="0"/>
    <m/>
    <n v="0"/>
    <n v="2433314"/>
    <n v="2669919"/>
    <n v="1464397"/>
    <n v="1271494"/>
    <n v="1920466"/>
    <n v="2472263"/>
    <n v="6096986"/>
    <n v="5639426"/>
    <n v="0"/>
    <n v="0"/>
    <n v="0"/>
    <n v="0"/>
    <n v="343"/>
    <n v="371"/>
    <n v="235"/>
    <n v="202"/>
    <n v="322"/>
    <n v="423"/>
    <n v="1180"/>
    <n v="1049"/>
    <n v="0"/>
    <n v="0"/>
    <n v="0"/>
    <n v="0"/>
    <n v="7094.209912536443"/>
    <n v="7196.5471698113206"/>
    <n v="6231.4765957446807"/>
    <n v="6294.5247524752476"/>
    <n v="5964.1801242236024"/>
    <n v="5844.5933806146568"/>
    <n v="5166.937288135593"/>
    <n v="5376.0019065776933"/>
    <n v="0"/>
    <n v="0"/>
    <n v="0"/>
    <n v="0"/>
    <n v="63847.889212827984"/>
    <n v="64768.924528301883"/>
    <n v="56083.289361702125"/>
    <n v="56650.72277227723"/>
    <n v="53677.621118012423"/>
    <n v="52601.340425531911"/>
    <n v="46502.43559322034"/>
    <n v="48384.01715919924"/>
    <n v="0"/>
    <n v="0"/>
    <n v="0"/>
    <n v="0"/>
    <n v="51571.171791330518"/>
    <n v="53043.466856427738"/>
    <n v="37"/>
    <n v="39"/>
    <n v="25"/>
    <n v="22"/>
    <n v="34"/>
    <n v="44"/>
    <n v="126"/>
    <n v="111"/>
    <n v="0"/>
    <n v="0"/>
    <n v="0"/>
    <n v="0"/>
    <n v="222"/>
    <n v="216"/>
    <n v="2362371.9008746352"/>
    <n v="2525988.0566037735"/>
    <n v="1402082.2340425532"/>
    <n v="1246315.9009900989"/>
    <n v="1825039.1180124225"/>
    <n v="2314458.978723404"/>
    <n v="5859306.8847457627"/>
    <n v="5370625.9046711158"/>
    <n v="0"/>
    <n v="0"/>
    <n v="0"/>
    <n v="0"/>
    <n v="11448800.137675375"/>
    <n v="11457388.840988392"/>
  </r>
  <r>
    <x v="13"/>
    <s v="Austin Community College "/>
    <m/>
    <n v="222992"/>
    <x v="6"/>
    <n v="33"/>
    <n v="36"/>
    <m/>
    <n v="0"/>
    <n v="323"/>
    <n v="285"/>
    <m/>
    <n v="23"/>
    <n v="24"/>
    <n v="26"/>
    <m/>
    <n v="0"/>
    <n v="158"/>
    <n v="107"/>
    <m/>
    <n v="20"/>
    <n v="8"/>
    <n v="5"/>
    <m/>
    <n v="0"/>
    <n v="72"/>
    <n v="40"/>
    <m/>
    <n v="6"/>
    <m/>
    <n v="0"/>
    <m/>
    <n v="0"/>
    <m/>
    <n v="0"/>
    <m/>
    <n v="0"/>
    <m/>
    <n v="0"/>
    <m/>
    <n v="0"/>
    <m/>
    <n v="0"/>
    <m/>
    <n v="0"/>
    <m/>
    <n v="0"/>
    <m/>
    <n v="0"/>
    <m/>
    <n v="0"/>
    <m/>
    <n v="0"/>
    <n v="29852421.000000004"/>
    <n v="28723043"/>
    <n v="11584628"/>
    <n v="9721242"/>
    <n v="4494356"/>
    <n v="2864641"/>
    <n v="0"/>
    <n v="0"/>
    <n v="0"/>
    <n v="0"/>
    <n v="0"/>
    <n v="0"/>
    <n v="3850"/>
    <n v="3735"/>
    <n v="1954"/>
    <n v="1651"/>
    <n v="864"/>
    <n v="557"/>
    <n v="0"/>
    <n v="0"/>
    <n v="0"/>
    <n v="0"/>
    <n v="0"/>
    <n v="0"/>
    <n v="7753.8755844155858"/>
    <n v="7690.2390896921015"/>
    <n v="5928.6734902763565"/>
    <n v="5888.0932768019384"/>
    <n v="5201.8009259259261"/>
    <n v="5142.9820466786359"/>
    <n v="0"/>
    <n v="0"/>
    <n v="0"/>
    <n v="0"/>
    <n v="0"/>
    <n v="0"/>
    <n v="69784.880259740268"/>
    <n v="69212.151807228918"/>
    <n v="53358.061412487208"/>
    <n v="52992.839491217448"/>
    <n v="46816.208333333336"/>
    <n v="46286.838420107721"/>
    <n v="0"/>
    <n v="0"/>
    <n v="0"/>
    <n v="0"/>
    <n v="0"/>
    <n v="0"/>
    <n v="61973.91782557746"/>
    <n v="62550.20697676736"/>
    <n v="356"/>
    <n v="344"/>
    <n v="182"/>
    <n v="153"/>
    <n v="80"/>
    <n v="51"/>
    <n v="0"/>
    <n v="0"/>
    <n v="0"/>
    <n v="0"/>
    <n v="0"/>
    <n v="0"/>
    <n v="618"/>
    <n v="548"/>
    <n v="24843417.372467536"/>
    <n v="23808980.221686747"/>
    <n v="9711167.1770726722"/>
    <n v="8107904.4421562692"/>
    <n v="3745296.666666667"/>
    <n v="2360628.7594254939"/>
    <n v="0"/>
    <n v="0"/>
    <n v="0"/>
    <n v="0"/>
    <n v="0"/>
    <n v="0"/>
    <n v="38299881.216206871"/>
    <n v="34277513.423268512"/>
  </r>
  <r>
    <x v="13"/>
    <s v="Blinn College "/>
    <m/>
    <n v="223427"/>
    <x v="6"/>
    <m/>
    <n v="185"/>
    <m/>
    <n v="2"/>
    <m/>
    <n v="5"/>
    <m/>
    <n v="11"/>
    <m/>
    <n v="0"/>
    <m/>
    <n v="0"/>
    <m/>
    <n v="0"/>
    <m/>
    <n v="0"/>
    <m/>
    <n v="0"/>
    <m/>
    <n v="0"/>
    <m/>
    <n v="0"/>
    <m/>
    <n v="0"/>
    <m/>
    <n v="126"/>
    <m/>
    <n v="1"/>
    <m/>
    <n v="17"/>
    <m/>
    <n v="14"/>
    <m/>
    <n v="0"/>
    <m/>
    <n v="0"/>
    <m/>
    <n v="0"/>
    <m/>
    <n v="0"/>
    <n v="322"/>
    <n v="0"/>
    <m/>
    <n v="0"/>
    <n v="48"/>
    <n v="0"/>
    <m/>
    <n v="0"/>
    <n v="0"/>
    <n v="11073420"/>
    <n v="0"/>
    <n v="0"/>
    <n v="0"/>
    <n v="0"/>
    <n v="0"/>
    <n v="7455655"/>
    <n v="0"/>
    <n v="0"/>
    <n v="18217950"/>
    <n v="0"/>
    <n v="0"/>
    <n v="1872"/>
    <n v="0"/>
    <n v="0"/>
    <n v="0"/>
    <n v="0"/>
    <n v="0"/>
    <n v="1499"/>
    <n v="0"/>
    <n v="0"/>
    <n v="3426"/>
    <n v="0"/>
    <n v="0"/>
    <n v="5915.2884615384619"/>
    <n v="0"/>
    <n v="0"/>
    <n v="0"/>
    <n v="0"/>
    <n v="0"/>
    <n v="4973.7525016677782"/>
    <n v="0"/>
    <n v="0"/>
    <n v="5317.5569176882664"/>
    <n v="0"/>
    <n v="0"/>
    <n v="53237.596153846156"/>
    <n v="0"/>
    <n v="0"/>
    <n v="0"/>
    <n v="0"/>
    <n v="0"/>
    <n v="44763.772515010001"/>
    <n v="0"/>
    <n v="0"/>
    <n v="47858.012259194395"/>
    <n v="0"/>
    <n v="47858.012259194395"/>
    <n v="49528.831237125625"/>
    <n v="0"/>
    <n v="203"/>
    <n v="0"/>
    <n v="0"/>
    <n v="0"/>
    <n v="0"/>
    <n v="0"/>
    <n v="158"/>
    <n v="0"/>
    <n v="0"/>
    <n v="370"/>
    <n v="0"/>
    <n v="370"/>
    <n v="361"/>
    <n v="0"/>
    <n v="10807232.01923077"/>
    <n v="0"/>
    <n v="0"/>
    <n v="0"/>
    <n v="0"/>
    <n v="0"/>
    <n v="7072676.05737158"/>
    <n v="0"/>
    <n v="0"/>
    <n v="17707464.535901926"/>
    <n v="0"/>
    <n v="17707464.535901926"/>
    <n v="17879908.076602351"/>
  </r>
  <r>
    <x v="13"/>
    <s v="Brookhaven College (DCCCD)"/>
    <m/>
    <n v="223524"/>
    <x v="6"/>
    <m/>
    <n v="0"/>
    <m/>
    <n v="0"/>
    <m/>
    <n v="0"/>
    <m/>
    <n v="0"/>
    <m/>
    <n v="0"/>
    <m/>
    <n v="0"/>
    <m/>
    <n v="0"/>
    <m/>
    <n v="0"/>
    <m/>
    <n v="0"/>
    <m/>
    <n v="0"/>
    <m/>
    <n v="0"/>
    <m/>
    <n v="0"/>
    <m/>
    <n v="0"/>
    <m/>
    <n v="0"/>
    <m/>
    <n v="0"/>
    <m/>
    <n v="0"/>
    <m/>
    <n v="0"/>
    <m/>
    <n v="0"/>
    <m/>
    <n v="0"/>
    <m/>
    <n v="0"/>
    <n v="128"/>
    <n v="125"/>
    <m/>
    <n v="0"/>
    <m/>
    <n v="0"/>
    <m/>
    <n v="0"/>
    <n v="0"/>
    <n v="0"/>
    <n v="0"/>
    <n v="0"/>
    <n v="0"/>
    <n v="0"/>
    <n v="0"/>
    <n v="0"/>
    <n v="0"/>
    <n v="0"/>
    <n v="7257779"/>
    <n v="7800284"/>
    <n v="0"/>
    <n v="0"/>
    <n v="0"/>
    <n v="0"/>
    <n v="0"/>
    <n v="0"/>
    <n v="0"/>
    <n v="0"/>
    <n v="0"/>
    <n v="0"/>
    <n v="1152"/>
    <n v="1125"/>
    <n v="0"/>
    <n v="0"/>
    <n v="0"/>
    <n v="0"/>
    <n v="0"/>
    <n v="0"/>
    <n v="0"/>
    <n v="0"/>
    <n v="0"/>
    <n v="0"/>
    <n v="6300.1553819444443"/>
    <n v="6933.5857777777774"/>
    <n v="0"/>
    <n v="0"/>
    <n v="0"/>
    <n v="0"/>
    <n v="0"/>
    <n v="0"/>
    <n v="0"/>
    <n v="0"/>
    <n v="0"/>
    <n v="0"/>
    <n v="56701.3984375"/>
    <n v="62402.271999999997"/>
    <n v="56701.3984375"/>
    <n v="62402.271999999997"/>
    <n v="0"/>
    <n v="0"/>
    <n v="0"/>
    <n v="0"/>
    <n v="0"/>
    <n v="0"/>
    <n v="0"/>
    <n v="0"/>
    <n v="0"/>
    <n v="0"/>
    <n v="128"/>
    <n v="125"/>
    <n v="128"/>
    <n v="125"/>
    <n v="0"/>
    <n v="0"/>
    <n v="0"/>
    <n v="0"/>
    <n v="0"/>
    <n v="0"/>
    <n v="0"/>
    <n v="0"/>
    <n v="0"/>
    <n v="0"/>
    <n v="7257779"/>
    <n v="7800284"/>
    <n v="7257779"/>
    <n v="7800284"/>
  </r>
  <r>
    <x v="13"/>
    <s v="Central Texas College "/>
    <m/>
    <n v="223816"/>
    <x v="6"/>
    <n v="85"/>
    <n v="82"/>
    <m/>
    <n v="6"/>
    <n v="77"/>
    <n v="11"/>
    <m/>
    <n v="65"/>
    <m/>
    <n v="0"/>
    <m/>
    <n v="0"/>
    <m/>
    <n v="0"/>
    <m/>
    <n v="0"/>
    <m/>
    <n v="0"/>
    <m/>
    <n v="0"/>
    <m/>
    <n v="0"/>
    <m/>
    <n v="0"/>
    <m/>
    <n v="0"/>
    <m/>
    <n v="0"/>
    <n v="76"/>
    <n v="0"/>
    <m/>
    <n v="0"/>
    <m/>
    <n v="0"/>
    <m/>
    <n v="0"/>
    <m/>
    <n v="0"/>
    <m/>
    <n v="0"/>
    <m/>
    <n v="0"/>
    <m/>
    <n v="0"/>
    <m/>
    <n v="0"/>
    <m/>
    <n v="0"/>
    <n v="10362747"/>
    <n v="8942482"/>
    <n v="0"/>
    <n v="0"/>
    <n v="0"/>
    <n v="0"/>
    <n v="3356284"/>
    <n v="0"/>
    <n v="0"/>
    <n v="0"/>
    <n v="0"/>
    <n v="0"/>
    <n v="1612"/>
    <n v="1699"/>
    <n v="0"/>
    <n v="0"/>
    <n v="0"/>
    <n v="0"/>
    <n v="836"/>
    <n v="0"/>
    <n v="0"/>
    <n v="0"/>
    <n v="0"/>
    <n v="0"/>
    <n v="6428.5031017369729"/>
    <n v="5263.3796350794582"/>
    <n v="0"/>
    <n v="0"/>
    <n v="0"/>
    <n v="0"/>
    <n v="4014.6937799043062"/>
    <n v="0"/>
    <n v="0"/>
    <n v="0"/>
    <n v="0"/>
    <n v="0"/>
    <n v="57856.52791563276"/>
    <n v="47370.416715715124"/>
    <n v="0"/>
    <n v="0"/>
    <n v="0"/>
    <n v="0"/>
    <n v="36132.244019138758"/>
    <n v="0"/>
    <n v="0"/>
    <n v="0"/>
    <n v="0"/>
    <n v="0"/>
    <n v="50919.361629357358"/>
    <n v="47370.416715715124"/>
    <n v="162"/>
    <n v="164"/>
    <n v="0"/>
    <n v="0"/>
    <n v="0"/>
    <n v="0"/>
    <n v="76"/>
    <n v="0"/>
    <n v="0"/>
    <n v="0"/>
    <n v="0"/>
    <n v="0"/>
    <n v="238"/>
    <n v="164"/>
    <n v="9372757.5223325063"/>
    <n v="7768748.3413772807"/>
    <n v="0"/>
    <n v="0"/>
    <n v="0"/>
    <n v="0"/>
    <n v="2746050.5454545454"/>
    <n v="0"/>
    <n v="0"/>
    <n v="0"/>
    <n v="0"/>
    <n v="0"/>
    <n v="12118808.067787051"/>
    <n v="7768748.3413772807"/>
  </r>
  <r>
    <x v="13"/>
    <s v="Collin County Community College District"/>
    <m/>
    <n v="247834"/>
    <x v="6"/>
    <m/>
    <n v="0"/>
    <m/>
    <n v="0"/>
    <m/>
    <n v="0"/>
    <m/>
    <n v="0"/>
    <m/>
    <n v="0"/>
    <m/>
    <n v="0"/>
    <m/>
    <n v="0"/>
    <m/>
    <n v="0"/>
    <m/>
    <n v="0"/>
    <m/>
    <n v="0"/>
    <m/>
    <n v="0"/>
    <m/>
    <n v="0"/>
    <m/>
    <n v="0"/>
    <m/>
    <n v="0"/>
    <m/>
    <n v="0"/>
    <m/>
    <n v="0"/>
    <m/>
    <n v="0"/>
    <m/>
    <n v="0"/>
    <m/>
    <n v="0"/>
    <m/>
    <n v="0"/>
    <n v="356"/>
    <n v="365"/>
    <m/>
    <n v="0"/>
    <n v="2"/>
    <n v="0"/>
    <m/>
    <n v="3"/>
    <n v="0"/>
    <n v="0"/>
    <n v="0"/>
    <n v="0"/>
    <n v="0"/>
    <n v="0"/>
    <n v="0"/>
    <n v="0"/>
    <n v="0"/>
    <n v="0"/>
    <n v="19577819"/>
    <n v="20723972"/>
    <n v="0"/>
    <n v="0"/>
    <n v="0"/>
    <n v="0"/>
    <n v="0"/>
    <n v="0"/>
    <n v="0"/>
    <n v="0"/>
    <n v="0"/>
    <n v="0"/>
    <n v="3226"/>
    <n v="3321"/>
    <n v="0"/>
    <n v="0"/>
    <n v="0"/>
    <n v="0"/>
    <n v="0"/>
    <n v="0"/>
    <n v="0"/>
    <n v="0"/>
    <n v="0"/>
    <n v="0"/>
    <n v="6068.7597644141351"/>
    <n v="6240.2806383619391"/>
    <n v="0"/>
    <n v="0"/>
    <n v="0"/>
    <n v="0"/>
    <n v="0"/>
    <n v="0"/>
    <n v="0"/>
    <n v="0"/>
    <n v="0"/>
    <n v="0"/>
    <n v="54618.837879727216"/>
    <n v="56162.525745257451"/>
    <n v="54618.837879727216"/>
    <n v="56162.525745257451"/>
    <n v="0"/>
    <n v="0"/>
    <n v="0"/>
    <n v="0"/>
    <n v="0"/>
    <n v="0"/>
    <n v="0"/>
    <n v="0"/>
    <n v="0"/>
    <n v="0"/>
    <n v="358"/>
    <n v="368"/>
    <n v="358"/>
    <n v="368"/>
    <n v="0"/>
    <n v="0"/>
    <n v="0"/>
    <n v="0"/>
    <n v="0"/>
    <n v="0"/>
    <n v="0"/>
    <n v="0"/>
    <n v="0"/>
    <n v="0"/>
    <n v="19553543.960942343"/>
    <n v="20667809.474254742"/>
    <n v="19553543.960942343"/>
    <n v="20667809.474254742"/>
  </r>
  <r>
    <x v="13"/>
    <s v="Del Mar College "/>
    <m/>
    <n v="224350"/>
    <x v="6"/>
    <n v="83"/>
    <n v="76"/>
    <m/>
    <n v="0"/>
    <n v="4"/>
    <n v="0"/>
    <m/>
    <n v="0"/>
    <n v="63"/>
    <n v="56"/>
    <m/>
    <n v="0"/>
    <m/>
    <n v="0"/>
    <m/>
    <n v="0"/>
    <n v="61"/>
    <n v="77"/>
    <m/>
    <n v="0"/>
    <m/>
    <n v="0"/>
    <m/>
    <n v="0"/>
    <n v="79"/>
    <n v="56"/>
    <m/>
    <n v="0"/>
    <m/>
    <n v="0"/>
    <m/>
    <n v="16"/>
    <m/>
    <n v="0"/>
    <m/>
    <n v="0"/>
    <m/>
    <n v="0"/>
    <m/>
    <n v="0"/>
    <m/>
    <n v="0"/>
    <m/>
    <n v="0"/>
    <m/>
    <n v="0"/>
    <m/>
    <n v="2"/>
    <n v="6136806"/>
    <n v="5159619"/>
    <n v="3560432"/>
    <n v="3173327"/>
    <n v="3089153"/>
    <n v="3841599"/>
    <n v="3532970"/>
    <n v="3240247"/>
    <n v="0"/>
    <n v="0"/>
    <n v="0"/>
    <n v="104200"/>
    <n v="791"/>
    <n v="684"/>
    <n v="567"/>
    <n v="504"/>
    <n v="549"/>
    <n v="693"/>
    <n v="711"/>
    <n v="696"/>
    <n v="0"/>
    <n v="0"/>
    <n v="0"/>
    <n v="24"/>
    <n v="7758.2882427307204"/>
    <n v="7543.3026315789475"/>
    <n v="6279.42151675485"/>
    <n v="6296.2837301587306"/>
    <n v="5626.8724954462659"/>
    <n v="5543.4329004329002"/>
    <n v="4969.0154711673695"/>
    <n v="4655.5272988505749"/>
    <n v="0"/>
    <n v="0"/>
    <n v="0"/>
    <n v="4341.666666666667"/>
    <n v="69824.59418457649"/>
    <n v="67889.723684210534"/>
    <n v="56514.793650793654"/>
    <n v="56666.553571428572"/>
    <n v="50641.852459016394"/>
    <n v="49890.896103896099"/>
    <n v="44721.139240506323"/>
    <n v="41899.745689655174"/>
    <n v="0"/>
    <n v="0"/>
    <n v="0"/>
    <n v="39075"/>
    <n v="56059.636876062599"/>
    <n v="53955.748019982944"/>
    <n v="87"/>
    <n v="76"/>
    <n v="63"/>
    <n v="56"/>
    <n v="61"/>
    <n v="77"/>
    <n v="79"/>
    <n v="72"/>
    <n v="0"/>
    <n v="0"/>
    <n v="0"/>
    <n v="2"/>
    <n v="290"/>
    <n v="283"/>
    <n v="6074739.6940581547"/>
    <n v="5159619.0000000009"/>
    <n v="3560432"/>
    <n v="3173327"/>
    <n v="3089153"/>
    <n v="3841598.9999999995"/>
    <n v="3532969.9999999995"/>
    <n v="3016781.6896551726"/>
    <n v="0"/>
    <n v="0"/>
    <n v="0"/>
    <n v="78150"/>
    <n v="16257294.694058154"/>
    <n v="15269476.689655174"/>
  </r>
  <r>
    <x v="13"/>
    <s v="Eastfield College (DCCCD)"/>
    <m/>
    <n v="224572"/>
    <x v="6"/>
    <m/>
    <n v="0"/>
    <m/>
    <n v="0"/>
    <m/>
    <n v="0"/>
    <m/>
    <n v="0"/>
    <m/>
    <n v="0"/>
    <m/>
    <n v="0"/>
    <m/>
    <n v="0"/>
    <m/>
    <n v="0"/>
    <m/>
    <n v="0"/>
    <m/>
    <n v="0"/>
    <m/>
    <n v="0"/>
    <m/>
    <n v="0"/>
    <m/>
    <n v="0"/>
    <m/>
    <n v="0"/>
    <m/>
    <n v="0"/>
    <m/>
    <n v="0"/>
    <m/>
    <n v="0"/>
    <m/>
    <n v="0"/>
    <m/>
    <n v="0"/>
    <m/>
    <n v="0"/>
    <n v="119"/>
    <n v="0"/>
    <m/>
    <n v="0"/>
    <m/>
    <n v="0"/>
    <m/>
    <n v="0"/>
    <n v="0"/>
    <n v="0"/>
    <n v="0"/>
    <n v="0"/>
    <n v="0"/>
    <n v="0"/>
    <n v="0"/>
    <n v="0"/>
    <n v="0"/>
    <n v="0"/>
    <n v="6649862"/>
    <n v="0"/>
    <n v="0"/>
    <n v="0"/>
    <n v="0"/>
    <n v="0"/>
    <n v="0"/>
    <n v="0"/>
    <n v="0"/>
    <n v="0"/>
    <n v="0"/>
    <n v="0"/>
    <n v="1071"/>
    <n v="0"/>
    <n v="0"/>
    <n v="0"/>
    <n v="0"/>
    <n v="0"/>
    <n v="0"/>
    <n v="0"/>
    <n v="0"/>
    <n v="0"/>
    <n v="0"/>
    <n v="0"/>
    <n v="6209.021475256769"/>
    <n v="0"/>
    <n v="0"/>
    <n v="0"/>
    <n v="0"/>
    <n v="0"/>
    <n v="0"/>
    <n v="0"/>
    <n v="0"/>
    <n v="0"/>
    <n v="0"/>
    <n v="0"/>
    <n v="55881.193277310922"/>
    <n v="0"/>
    <n v="55881.193277310922"/>
    <n v="0"/>
    <n v="0"/>
    <n v="0"/>
    <n v="0"/>
    <n v="0"/>
    <n v="0"/>
    <n v="0"/>
    <n v="0"/>
    <n v="0"/>
    <n v="0"/>
    <n v="0"/>
    <n v="119"/>
    <n v="0"/>
    <n v="119"/>
    <n v="0"/>
    <n v="0"/>
    <n v="0"/>
    <n v="0"/>
    <n v="0"/>
    <n v="0"/>
    <n v="0"/>
    <n v="0"/>
    <n v="0"/>
    <n v="0"/>
    <n v="0"/>
    <n v="6649862"/>
    <n v="0"/>
    <n v="6649862"/>
    <n v="0"/>
  </r>
  <r>
    <x v="13"/>
    <s v="El Centro College  (DCCCD)"/>
    <m/>
    <n v="224615"/>
    <x v="6"/>
    <m/>
    <n v="0"/>
    <m/>
    <n v="0"/>
    <m/>
    <n v="0"/>
    <m/>
    <n v="0"/>
    <m/>
    <n v="0"/>
    <m/>
    <n v="0"/>
    <m/>
    <n v="0"/>
    <m/>
    <n v="0"/>
    <m/>
    <n v="0"/>
    <m/>
    <n v="0"/>
    <m/>
    <n v="0"/>
    <m/>
    <n v="0"/>
    <m/>
    <n v="0"/>
    <m/>
    <n v="0"/>
    <m/>
    <n v="0"/>
    <m/>
    <n v="0"/>
    <m/>
    <n v="0"/>
    <m/>
    <n v="0"/>
    <m/>
    <n v="0"/>
    <m/>
    <n v="0"/>
    <n v="140"/>
    <n v="141"/>
    <m/>
    <n v="0"/>
    <m/>
    <n v="0"/>
    <m/>
    <n v="0"/>
    <n v="0"/>
    <n v="0"/>
    <n v="0"/>
    <n v="0"/>
    <n v="0"/>
    <n v="0"/>
    <n v="0"/>
    <n v="0"/>
    <n v="0"/>
    <n v="0"/>
    <n v="7326635"/>
    <n v="8042690"/>
    <n v="0"/>
    <n v="0"/>
    <n v="0"/>
    <n v="0"/>
    <n v="0"/>
    <n v="0"/>
    <n v="0"/>
    <n v="0"/>
    <n v="0"/>
    <n v="0"/>
    <n v="1260"/>
    <n v="1269"/>
    <n v="0"/>
    <n v="0"/>
    <n v="0"/>
    <n v="0"/>
    <n v="0"/>
    <n v="0"/>
    <n v="0"/>
    <n v="0"/>
    <n v="0"/>
    <n v="0"/>
    <n v="5814.7896825396829"/>
    <n v="6337.8171788810087"/>
    <n v="0"/>
    <n v="0"/>
    <n v="0"/>
    <n v="0"/>
    <n v="0"/>
    <n v="0"/>
    <n v="0"/>
    <n v="0"/>
    <n v="0"/>
    <n v="0"/>
    <n v="52333.107142857145"/>
    <n v="57040.354609929076"/>
    <n v="52333.107142857145"/>
    <n v="57040.354609929076"/>
    <n v="0"/>
    <n v="0"/>
    <n v="0"/>
    <n v="0"/>
    <n v="0"/>
    <n v="0"/>
    <n v="0"/>
    <n v="0"/>
    <n v="0"/>
    <n v="0"/>
    <n v="140"/>
    <n v="141"/>
    <n v="140"/>
    <n v="141"/>
    <n v="0"/>
    <n v="0"/>
    <n v="0"/>
    <n v="0"/>
    <n v="0"/>
    <n v="0"/>
    <n v="0"/>
    <n v="0"/>
    <n v="0"/>
    <n v="0"/>
    <n v="7326635"/>
    <n v="8042690"/>
    <n v="7326635"/>
    <n v="8042690"/>
  </r>
  <r>
    <x v="13"/>
    <s v="El Paso County Community College District"/>
    <m/>
    <n v="224642"/>
    <x v="6"/>
    <n v="163"/>
    <n v="157"/>
    <m/>
    <n v="0"/>
    <m/>
    <n v="0"/>
    <m/>
    <n v="0"/>
    <n v="118"/>
    <n v="106"/>
    <m/>
    <n v="0"/>
    <m/>
    <n v="0"/>
    <m/>
    <n v="0"/>
    <n v="58"/>
    <n v="65"/>
    <m/>
    <n v="0"/>
    <m/>
    <n v="0"/>
    <m/>
    <n v="0"/>
    <m/>
    <n v="0"/>
    <m/>
    <n v="0"/>
    <m/>
    <n v="0"/>
    <m/>
    <n v="0"/>
    <n v="53"/>
    <n v="49"/>
    <m/>
    <n v="0"/>
    <n v="22"/>
    <n v="0"/>
    <m/>
    <n v="19"/>
    <m/>
    <n v="0"/>
    <m/>
    <n v="0"/>
    <m/>
    <n v="0"/>
    <m/>
    <n v="0"/>
    <n v="10556972"/>
    <n v="9955798"/>
    <n v="5131263"/>
    <n v="5539749"/>
    <n v="2523557"/>
    <n v="2656810"/>
    <n v="0"/>
    <n v="0"/>
    <n v="3206714"/>
    <n v="2091680"/>
    <n v="0"/>
    <n v="0"/>
    <n v="1467"/>
    <n v="1413"/>
    <n v="1062"/>
    <n v="954"/>
    <n v="522"/>
    <n v="585"/>
    <n v="0"/>
    <n v="0"/>
    <n v="719"/>
    <n v="669"/>
    <n v="0"/>
    <n v="0"/>
    <n v="7196.2999318336742"/>
    <n v="7045.858457183298"/>
    <n v="4831.6977401129943"/>
    <n v="5806.864779874214"/>
    <n v="4834.4003831417622"/>
    <n v="4541.5555555555557"/>
    <n v="0"/>
    <n v="0"/>
    <n v="4459.9638386648121"/>
    <n v="3126.576980568012"/>
    <n v="0"/>
    <n v="0"/>
    <n v="64766.699386503067"/>
    <n v="63412.726114649682"/>
    <n v="43485.279661016946"/>
    <n v="52261.783018867929"/>
    <n v="43509.603448275862"/>
    <n v="40874"/>
    <n v="0"/>
    <n v="0"/>
    <n v="40139.674547983312"/>
    <n v="28139.192825112106"/>
    <n v="0"/>
    <n v="0"/>
    <n v="51261.515920528378"/>
    <n v="50671.267959867735"/>
    <n v="163"/>
    <n v="157"/>
    <n v="118"/>
    <n v="106"/>
    <n v="58"/>
    <n v="65"/>
    <n v="0"/>
    <n v="0"/>
    <n v="75"/>
    <n v="68"/>
    <n v="0"/>
    <n v="0"/>
    <n v="414"/>
    <n v="396"/>
    <n v="10556972"/>
    <n v="9955798"/>
    <n v="5131263"/>
    <n v="5539749.0000000009"/>
    <n v="2523557"/>
    <n v="2656810"/>
    <n v="0"/>
    <n v="0"/>
    <n v="3010475.5910987481"/>
    <n v="1913465.1121076231"/>
    <n v="0"/>
    <n v="0"/>
    <n v="21222267.591098748"/>
    <n v="20065822.112107623"/>
  </r>
  <r>
    <x v="13"/>
    <s v="Houston Community College"/>
    <m/>
    <n v="225423"/>
    <x v="6"/>
    <m/>
    <n v="0"/>
    <m/>
    <n v="0"/>
    <m/>
    <n v="0"/>
    <m/>
    <n v="0"/>
    <m/>
    <n v="0"/>
    <m/>
    <n v="0"/>
    <m/>
    <n v="0"/>
    <m/>
    <n v="0"/>
    <m/>
    <n v="0"/>
    <m/>
    <n v="0"/>
    <m/>
    <n v="0"/>
    <m/>
    <n v="0"/>
    <n v="732"/>
    <n v="194"/>
    <m/>
    <n v="516"/>
    <n v="77"/>
    <n v="0"/>
    <m/>
    <n v="79"/>
    <m/>
    <n v="0"/>
    <m/>
    <n v="0"/>
    <m/>
    <n v="0"/>
    <m/>
    <n v="0"/>
    <m/>
    <n v="0"/>
    <m/>
    <n v="0"/>
    <m/>
    <n v="0"/>
    <m/>
    <n v="0"/>
    <n v="0"/>
    <n v="0"/>
    <n v="0"/>
    <n v="0"/>
    <n v="0"/>
    <n v="0"/>
    <n v="52503207"/>
    <n v="51173017"/>
    <n v="0"/>
    <n v="0"/>
    <n v="0"/>
    <n v="0"/>
    <n v="0"/>
    <n v="0"/>
    <n v="0"/>
    <n v="0"/>
    <n v="0"/>
    <n v="0"/>
    <n v="7435"/>
    <n v="7854"/>
    <n v="0"/>
    <n v="0"/>
    <n v="0"/>
    <n v="0"/>
    <n v="0"/>
    <n v="0"/>
    <n v="0"/>
    <n v="0"/>
    <n v="0"/>
    <n v="0"/>
    <n v="7061.6283792871554"/>
    <n v="6515.5356506238859"/>
    <n v="0"/>
    <n v="0"/>
    <n v="0"/>
    <n v="0"/>
    <n v="0"/>
    <n v="0"/>
    <n v="0"/>
    <n v="0"/>
    <n v="0"/>
    <n v="0"/>
    <n v="63554.655413584398"/>
    <n v="58639.820855614977"/>
    <n v="0"/>
    <n v="0"/>
    <n v="0"/>
    <n v="0"/>
    <n v="63554.655413584398"/>
    <n v="58639.820855614977"/>
    <n v="0"/>
    <n v="0"/>
    <n v="0"/>
    <n v="0"/>
    <n v="0"/>
    <n v="0"/>
    <n v="809"/>
    <n v="789"/>
    <n v="0"/>
    <n v="0"/>
    <n v="0"/>
    <n v="0"/>
    <n v="809"/>
    <n v="789"/>
    <n v="0"/>
    <n v="0"/>
    <n v="0"/>
    <n v="0"/>
    <n v="0"/>
    <n v="0"/>
    <n v="51415716.229589775"/>
    <n v="46266818.655080214"/>
    <n v="0"/>
    <n v="0"/>
    <n v="0"/>
    <n v="0"/>
    <n v="51415716.229589775"/>
    <n v="46266818.655080214"/>
  </r>
  <r>
    <x v="13"/>
    <s v="Kilgore College "/>
    <m/>
    <n v="226019"/>
    <x v="6"/>
    <m/>
    <n v="0"/>
    <m/>
    <n v="0"/>
    <m/>
    <n v="0"/>
    <m/>
    <n v="0"/>
    <m/>
    <n v="0"/>
    <m/>
    <n v="0"/>
    <m/>
    <n v="0"/>
    <m/>
    <n v="0"/>
    <m/>
    <n v="0"/>
    <m/>
    <n v="0"/>
    <m/>
    <n v="0"/>
    <m/>
    <n v="0"/>
    <m/>
    <n v="98"/>
    <m/>
    <n v="26"/>
    <m/>
    <n v="3"/>
    <m/>
    <n v="30"/>
    <m/>
    <n v="0"/>
    <m/>
    <n v="0"/>
    <m/>
    <n v="0"/>
    <m/>
    <n v="0"/>
    <n v="100"/>
    <n v="0"/>
    <m/>
    <n v="0"/>
    <n v="55"/>
    <n v="0"/>
    <m/>
    <n v="0"/>
    <n v="0"/>
    <n v="0"/>
    <n v="0"/>
    <n v="0"/>
    <n v="0"/>
    <n v="0"/>
    <n v="0"/>
    <n v="8989114"/>
    <n v="0"/>
    <n v="0"/>
    <n v="8721956"/>
    <n v="0"/>
    <n v="0"/>
    <n v="0"/>
    <n v="0"/>
    <n v="0"/>
    <n v="0"/>
    <n v="0"/>
    <n v="0"/>
    <n v="1535"/>
    <n v="0"/>
    <n v="0"/>
    <n v="1505"/>
    <n v="0"/>
    <n v="0"/>
    <n v="0"/>
    <n v="0"/>
    <n v="0"/>
    <n v="0"/>
    <n v="0"/>
    <n v="0"/>
    <n v="5856.1003257328994"/>
    <n v="0"/>
    <n v="0"/>
    <n v="5795.3196013289034"/>
    <n v="0"/>
    <n v="0"/>
    <n v="0"/>
    <n v="0"/>
    <n v="0"/>
    <n v="0"/>
    <n v="0"/>
    <n v="0"/>
    <n v="52704.902931596094"/>
    <n v="0"/>
    <n v="0"/>
    <n v="52157.876411960133"/>
    <n v="0"/>
    <n v="52157.876411960133"/>
    <n v="52704.902931596094"/>
    <n v="0"/>
    <n v="0"/>
    <n v="0"/>
    <n v="0"/>
    <n v="0"/>
    <n v="0"/>
    <n v="0"/>
    <n v="157"/>
    <n v="0"/>
    <n v="0"/>
    <n v="155"/>
    <n v="0"/>
    <n v="155"/>
    <n v="157"/>
    <n v="0"/>
    <n v="0"/>
    <n v="0"/>
    <n v="0"/>
    <n v="0"/>
    <n v="0"/>
    <n v="0"/>
    <n v="8274669.7602605866"/>
    <n v="0"/>
    <n v="0"/>
    <n v="8084470.843853821"/>
    <n v="0"/>
    <n v="8084470.843853821"/>
    <n v="8274669.7602605866"/>
  </r>
  <r>
    <x v="13"/>
    <s v="Laredo Community College "/>
    <m/>
    <n v="226134"/>
    <x v="6"/>
    <m/>
    <n v="0"/>
    <m/>
    <n v="0"/>
    <m/>
    <n v="0"/>
    <m/>
    <n v="0"/>
    <m/>
    <n v="0"/>
    <m/>
    <n v="0"/>
    <m/>
    <n v="0"/>
    <m/>
    <n v="0"/>
    <m/>
    <n v="0"/>
    <m/>
    <n v="0"/>
    <m/>
    <n v="0"/>
    <m/>
    <n v="0"/>
    <n v="184"/>
    <n v="175"/>
    <m/>
    <n v="0"/>
    <n v="12"/>
    <n v="13"/>
    <m/>
    <n v="12"/>
    <m/>
    <n v="0"/>
    <m/>
    <n v="0"/>
    <m/>
    <n v="0"/>
    <m/>
    <n v="0"/>
    <m/>
    <n v="0"/>
    <m/>
    <n v="0"/>
    <m/>
    <n v="0"/>
    <m/>
    <n v="0"/>
    <n v="0"/>
    <n v="0"/>
    <n v="0"/>
    <n v="0"/>
    <n v="0"/>
    <n v="0"/>
    <n v="10858513"/>
    <n v="11461312"/>
    <n v="0"/>
    <n v="0"/>
    <n v="0"/>
    <n v="0"/>
    <n v="0"/>
    <n v="0"/>
    <n v="0"/>
    <n v="0"/>
    <n v="0"/>
    <n v="0"/>
    <n v="1788"/>
    <n v="1862"/>
    <n v="0"/>
    <n v="0"/>
    <n v="0"/>
    <n v="0"/>
    <n v="0"/>
    <n v="0"/>
    <n v="0"/>
    <n v="0"/>
    <n v="0"/>
    <n v="0"/>
    <n v="6072.9938478747199"/>
    <n v="6155.3770139634798"/>
    <n v="0"/>
    <n v="0"/>
    <n v="0"/>
    <n v="0"/>
    <n v="0"/>
    <n v="0"/>
    <n v="0"/>
    <n v="0"/>
    <n v="0"/>
    <n v="0"/>
    <n v="54656.94463087248"/>
    <n v="55398.393125671319"/>
    <n v="0"/>
    <n v="0"/>
    <n v="0"/>
    <n v="0"/>
    <n v="54656.94463087248"/>
    <n v="55398.393125671319"/>
    <n v="0"/>
    <n v="0"/>
    <n v="0"/>
    <n v="0"/>
    <n v="0"/>
    <n v="0"/>
    <n v="196"/>
    <n v="200"/>
    <n v="0"/>
    <n v="0"/>
    <n v="0"/>
    <n v="0"/>
    <n v="196"/>
    <n v="200"/>
    <n v="0"/>
    <n v="0"/>
    <n v="0"/>
    <n v="0"/>
    <n v="0"/>
    <n v="0"/>
    <n v="10712761.147651006"/>
    <n v="11079678.625134263"/>
    <n v="0"/>
    <n v="0"/>
    <n v="0"/>
    <n v="0"/>
    <n v="10712761.147651006"/>
    <n v="11079678.625134263"/>
  </r>
  <r>
    <x v="13"/>
    <s v="Lone Star College System District"/>
    <m/>
    <n v="227182"/>
    <x v="6"/>
    <n v="488"/>
    <n v="80"/>
    <m/>
    <n v="436"/>
    <n v="43"/>
    <n v="0"/>
    <m/>
    <n v="51"/>
    <n v="100"/>
    <n v="14"/>
    <m/>
    <n v="78"/>
    <n v="22"/>
    <n v="0"/>
    <m/>
    <n v="9"/>
    <n v="23"/>
    <n v="9"/>
    <m/>
    <n v="30"/>
    <n v="2"/>
    <n v="0"/>
    <m/>
    <n v="4"/>
    <n v="1"/>
    <n v="58"/>
    <m/>
    <n v="0"/>
    <n v="7"/>
    <n v="0"/>
    <m/>
    <n v="6"/>
    <m/>
    <n v="0"/>
    <m/>
    <n v="0"/>
    <m/>
    <n v="0"/>
    <m/>
    <n v="0"/>
    <m/>
    <n v="0"/>
    <m/>
    <n v="0"/>
    <m/>
    <n v="0"/>
    <m/>
    <n v="0"/>
    <n v="36465646"/>
    <n v="38098954"/>
    <n v="6549827"/>
    <n v="5313105"/>
    <n v="1301526"/>
    <n v="2915614"/>
    <n v="412231"/>
    <n v="1310677"/>
    <n v="0"/>
    <n v="0"/>
    <n v="0"/>
    <n v="0"/>
    <n v="4865"/>
    <n v="5692"/>
    <n v="1142"/>
    <n v="1014"/>
    <n v="229"/>
    <n v="429"/>
    <n v="86"/>
    <n v="594"/>
    <n v="0"/>
    <n v="0"/>
    <n v="0"/>
    <n v="0"/>
    <n v="7495.5079136690647"/>
    <n v="6693.4212930428675"/>
    <n v="5735.4001751313481"/>
    <n v="5239.748520710059"/>
    <n v="5683.5196506550219"/>
    <n v="6796.30303030303"/>
    <n v="4793.3837209302328"/>
    <n v="2206.5269360269358"/>
    <n v="0"/>
    <n v="0"/>
    <n v="0"/>
    <n v="0"/>
    <n v="67459.571223021587"/>
    <n v="60240.79163738581"/>
    <n v="51618.601576182133"/>
    <n v="47157.736686390534"/>
    <n v="51151.676855895195"/>
    <n v="61166.727272727272"/>
    <n v="43140.453488372092"/>
    <n v="19858.742424242424"/>
    <n v="0"/>
    <n v="0"/>
    <n v="0"/>
    <n v="0"/>
    <n v="63764.456648721636"/>
    <n v="55252.37296980901"/>
    <n v="531"/>
    <n v="567"/>
    <n v="122"/>
    <n v="101"/>
    <n v="25"/>
    <n v="43"/>
    <n v="8"/>
    <n v="64"/>
    <n v="0"/>
    <n v="0"/>
    <n v="0"/>
    <n v="0"/>
    <n v="686"/>
    <n v="775"/>
    <n v="35821032.319424465"/>
    <n v="34156528.858397752"/>
    <n v="6297469.3922942206"/>
    <n v="4762931.4053254435"/>
    <n v="1278791.9213973798"/>
    <n v="2630169.2727272725"/>
    <n v="345123.62790697673"/>
    <n v="1270959.5151515151"/>
    <n v="0"/>
    <n v="0"/>
    <n v="0"/>
    <n v="0"/>
    <n v="43742417.261023045"/>
    <n v="42820589.051601984"/>
  </r>
  <r>
    <x v="13"/>
    <s v="McLennan Community College "/>
    <m/>
    <n v="226578"/>
    <x v="6"/>
    <m/>
    <n v="97"/>
    <m/>
    <n v="0"/>
    <m/>
    <n v="1"/>
    <m/>
    <n v="5"/>
    <m/>
    <n v="40"/>
    <m/>
    <n v="0"/>
    <m/>
    <n v="0"/>
    <m/>
    <n v="7"/>
    <m/>
    <n v="51"/>
    <m/>
    <n v="0"/>
    <m/>
    <n v="2"/>
    <m/>
    <n v="8"/>
    <m/>
    <n v="14"/>
    <m/>
    <n v="0"/>
    <m/>
    <n v="0"/>
    <m/>
    <n v="0"/>
    <m/>
    <n v="0"/>
    <m/>
    <n v="0"/>
    <m/>
    <n v="0"/>
    <m/>
    <n v="0"/>
    <n v="182"/>
    <n v="0"/>
    <m/>
    <n v="0"/>
    <n v="21"/>
    <n v="0"/>
    <m/>
    <n v="0"/>
    <n v="0"/>
    <n v="7121967"/>
    <n v="0"/>
    <n v="2752516"/>
    <n v="0"/>
    <n v="3225936"/>
    <n v="0"/>
    <n v="726683"/>
    <n v="0"/>
    <n v="0"/>
    <n v="12379998"/>
    <n v="0"/>
    <n v="0"/>
    <n v="944"/>
    <n v="0"/>
    <n v="444"/>
    <n v="0"/>
    <n v="577"/>
    <n v="0"/>
    <n v="126"/>
    <n v="0"/>
    <n v="0"/>
    <n v="1869"/>
    <n v="0"/>
    <n v="0"/>
    <n v="7544.4565677966102"/>
    <n v="0"/>
    <n v="6199.3603603603606"/>
    <n v="0"/>
    <n v="5590.8769497400344"/>
    <n v="0"/>
    <n v="5767.3253968253966"/>
    <n v="0"/>
    <n v="0"/>
    <n v="6623.8619582664523"/>
    <n v="0"/>
    <n v="0"/>
    <n v="67900.109110169491"/>
    <n v="0"/>
    <n v="55794.243243243247"/>
    <n v="0"/>
    <n v="50317.892547660311"/>
    <n v="0"/>
    <n v="51905.928571428572"/>
    <n v="0"/>
    <n v="0"/>
    <n v="59614.757624398073"/>
    <n v="0"/>
    <n v="59614.757624398073"/>
    <n v="59609.400516387424"/>
    <n v="0"/>
    <n v="103"/>
    <n v="0"/>
    <n v="47"/>
    <n v="0"/>
    <n v="61"/>
    <n v="0"/>
    <n v="14"/>
    <n v="0"/>
    <n v="0"/>
    <n v="203"/>
    <n v="0"/>
    <n v="203"/>
    <n v="225"/>
    <n v="0"/>
    <n v="6993711.2383474577"/>
    <n v="0"/>
    <n v="2622329.4324324327"/>
    <n v="0"/>
    <n v="3069391.4454072788"/>
    <n v="0"/>
    <n v="726683"/>
    <n v="0"/>
    <n v="0"/>
    <n v="12101795.797752809"/>
    <n v="0"/>
    <n v="12101795.797752809"/>
    <n v="13412115.11618717"/>
  </r>
  <r>
    <x v="13"/>
    <s v="Navarro College "/>
    <m/>
    <n v="227146"/>
    <x v="6"/>
    <n v="36"/>
    <n v="39"/>
    <m/>
    <n v="0"/>
    <n v="2"/>
    <n v="0"/>
    <m/>
    <n v="0"/>
    <n v="46"/>
    <n v="42"/>
    <m/>
    <n v="10"/>
    <n v="21"/>
    <n v="4"/>
    <m/>
    <n v="8"/>
    <n v="4"/>
    <n v="2"/>
    <m/>
    <n v="3"/>
    <n v="13"/>
    <n v="3"/>
    <m/>
    <n v="10"/>
    <m/>
    <n v="0"/>
    <m/>
    <n v="0"/>
    <m/>
    <n v="0"/>
    <m/>
    <n v="0"/>
    <m/>
    <n v="0"/>
    <m/>
    <n v="0"/>
    <m/>
    <n v="0"/>
    <m/>
    <n v="0"/>
    <m/>
    <n v="0"/>
    <m/>
    <n v="0"/>
    <m/>
    <n v="0"/>
    <m/>
    <n v="0"/>
    <n v="2242548"/>
    <n v="2429773"/>
    <n v="3749845"/>
    <n v="3727622"/>
    <n v="982648"/>
    <n v="1070397"/>
    <n v="0"/>
    <n v="0"/>
    <n v="0"/>
    <n v="0"/>
    <n v="0"/>
    <n v="0"/>
    <n v="346"/>
    <n v="351"/>
    <n v="645"/>
    <n v="618"/>
    <n v="179"/>
    <n v="201"/>
    <n v="0"/>
    <n v="0"/>
    <n v="0"/>
    <n v="0"/>
    <n v="0"/>
    <n v="0"/>
    <n v="6481.3526011560698"/>
    <n v="6922.4301994301995"/>
    <n v="5813.7131782945735"/>
    <n v="6031.7508090614883"/>
    <n v="5489.6536312849166"/>
    <n v="5325.3582089552237"/>
    <n v="0"/>
    <n v="0"/>
    <n v="0"/>
    <n v="0"/>
    <n v="0"/>
    <n v="0"/>
    <n v="58332.173410404626"/>
    <n v="62301.871794871797"/>
    <n v="52323.41860465116"/>
    <n v="54285.757281553393"/>
    <n v="49406.882681564253"/>
    <n v="47928.223880597012"/>
    <n v="0"/>
    <n v="0"/>
    <n v="0"/>
    <n v="0"/>
    <n v="0"/>
    <n v="0"/>
    <n v="53788.595423717998"/>
    <n v="55923.714841902176"/>
    <n v="38"/>
    <n v="39"/>
    <n v="67"/>
    <n v="64"/>
    <n v="17"/>
    <n v="18"/>
    <n v="0"/>
    <n v="0"/>
    <n v="0"/>
    <n v="0"/>
    <n v="0"/>
    <n v="0"/>
    <n v="122"/>
    <n v="121"/>
    <n v="2216622.5895953756"/>
    <n v="2429773"/>
    <n v="3505669.0465116277"/>
    <n v="3474288.4660194172"/>
    <n v="839917.00558659225"/>
    <n v="862708.02985074627"/>
    <n v="0"/>
    <n v="0"/>
    <n v="0"/>
    <n v="0"/>
    <n v="0"/>
    <n v="0"/>
    <n v="6562208.6416935958"/>
    <n v="6766769.4958701637"/>
  </r>
  <r>
    <x v="13"/>
    <s v="North Central Texas Community College"/>
    <m/>
    <n v="224110"/>
    <x v="6"/>
    <m/>
    <n v="0"/>
    <m/>
    <n v="0"/>
    <m/>
    <n v="0"/>
    <m/>
    <n v="0"/>
    <m/>
    <n v="0"/>
    <m/>
    <n v="0"/>
    <m/>
    <n v="0"/>
    <m/>
    <n v="0"/>
    <m/>
    <n v="0"/>
    <m/>
    <n v="0"/>
    <m/>
    <n v="0"/>
    <m/>
    <n v="0"/>
    <m/>
    <n v="0"/>
    <m/>
    <n v="0"/>
    <m/>
    <n v="0"/>
    <m/>
    <n v="0"/>
    <m/>
    <n v="0"/>
    <m/>
    <n v="0"/>
    <m/>
    <n v="0"/>
    <m/>
    <n v="0"/>
    <n v="90"/>
    <n v="89"/>
    <m/>
    <n v="4"/>
    <n v="35"/>
    <n v="35"/>
    <m/>
    <n v="1"/>
    <n v="0"/>
    <n v="0"/>
    <n v="0"/>
    <n v="0"/>
    <n v="0"/>
    <n v="0"/>
    <n v="0"/>
    <n v="0"/>
    <n v="0"/>
    <n v="0"/>
    <n v="6225654"/>
    <n v="6543538"/>
    <n v="0"/>
    <n v="0"/>
    <n v="0"/>
    <n v="0"/>
    <n v="0"/>
    <n v="0"/>
    <n v="0"/>
    <n v="0"/>
    <n v="0"/>
    <n v="0"/>
    <n v="1195"/>
    <n v="1238"/>
    <n v="0"/>
    <n v="0"/>
    <n v="0"/>
    <n v="0"/>
    <n v="0"/>
    <n v="0"/>
    <n v="0"/>
    <n v="0"/>
    <n v="0"/>
    <n v="0"/>
    <n v="5209.7523012552301"/>
    <n v="5285.5718901453956"/>
    <n v="0"/>
    <n v="0"/>
    <n v="0"/>
    <n v="0"/>
    <n v="0"/>
    <n v="0"/>
    <n v="0"/>
    <n v="0"/>
    <n v="0"/>
    <n v="0"/>
    <n v="46887.770711297067"/>
    <n v="47570.14701130856"/>
    <n v="46887.770711297067"/>
    <n v="47570.14701130856"/>
    <n v="0"/>
    <n v="0"/>
    <n v="0"/>
    <n v="0"/>
    <n v="0"/>
    <n v="0"/>
    <n v="0"/>
    <n v="0"/>
    <n v="0"/>
    <n v="0"/>
    <n v="125"/>
    <n v="129"/>
    <n v="125"/>
    <n v="129"/>
    <n v="0"/>
    <n v="0"/>
    <n v="0"/>
    <n v="0"/>
    <n v="0"/>
    <n v="0"/>
    <n v="0"/>
    <n v="0"/>
    <n v="0"/>
    <n v="0"/>
    <n v="5860971.3389121331"/>
    <n v="6136548.9644588046"/>
    <n v="5860971.3389121331"/>
    <n v="6136548.9644588046"/>
  </r>
  <r>
    <x v="13"/>
    <s v="North Lake College (DCCCD)"/>
    <m/>
    <n v="227191"/>
    <x v="6"/>
    <m/>
    <n v="0"/>
    <m/>
    <n v="0"/>
    <m/>
    <n v="0"/>
    <m/>
    <n v="0"/>
    <m/>
    <n v="0"/>
    <m/>
    <n v="0"/>
    <m/>
    <n v="0"/>
    <m/>
    <n v="0"/>
    <m/>
    <n v="0"/>
    <m/>
    <n v="0"/>
    <m/>
    <n v="0"/>
    <m/>
    <n v="0"/>
    <m/>
    <n v="0"/>
    <m/>
    <n v="0"/>
    <m/>
    <n v="0"/>
    <m/>
    <n v="0"/>
    <m/>
    <n v="0"/>
    <m/>
    <n v="0"/>
    <m/>
    <n v="0"/>
    <m/>
    <n v="0"/>
    <n v="108"/>
    <n v="0"/>
    <m/>
    <n v="0"/>
    <m/>
    <n v="0"/>
    <m/>
    <n v="0"/>
    <n v="0"/>
    <n v="0"/>
    <n v="0"/>
    <n v="0"/>
    <n v="0"/>
    <n v="0"/>
    <n v="0"/>
    <n v="0"/>
    <n v="0"/>
    <n v="0"/>
    <n v="6144778"/>
    <n v="0"/>
    <n v="0"/>
    <n v="0"/>
    <n v="0"/>
    <n v="0"/>
    <n v="0"/>
    <n v="0"/>
    <n v="0"/>
    <n v="0"/>
    <n v="0"/>
    <n v="0"/>
    <n v="972"/>
    <n v="0"/>
    <n v="0"/>
    <n v="0"/>
    <n v="0"/>
    <n v="0"/>
    <n v="0"/>
    <n v="0"/>
    <n v="0"/>
    <n v="0"/>
    <n v="0"/>
    <n v="0"/>
    <n v="6321.7880658436216"/>
    <n v="0"/>
    <n v="0"/>
    <n v="0"/>
    <n v="0"/>
    <n v="0"/>
    <n v="0"/>
    <n v="0"/>
    <n v="0"/>
    <n v="0"/>
    <n v="0"/>
    <n v="0"/>
    <n v="56896.092592592591"/>
    <n v="0"/>
    <n v="56896.092592592591"/>
    <n v="0"/>
    <n v="0"/>
    <n v="0"/>
    <n v="0"/>
    <n v="0"/>
    <n v="0"/>
    <n v="0"/>
    <n v="0"/>
    <n v="0"/>
    <n v="0"/>
    <n v="0"/>
    <n v="108"/>
    <n v="0"/>
    <n v="108"/>
    <n v="0"/>
    <n v="0"/>
    <n v="0"/>
    <n v="0"/>
    <n v="0"/>
    <n v="0"/>
    <n v="0"/>
    <n v="0"/>
    <n v="0"/>
    <n v="0"/>
    <n v="0"/>
    <n v="6144778"/>
    <n v="0"/>
    <n v="6144778"/>
    <n v="0"/>
  </r>
  <r>
    <x v="13"/>
    <s v="Northwest Vista College (ACCD)"/>
    <m/>
    <n v="420398"/>
    <x v="6"/>
    <n v="3"/>
    <n v="0"/>
    <m/>
    <n v="0"/>
    <m/>
    <n v="0"/>
    <m/>
    <n v="0"/>
    <n v="27"/>
    <n v="0"/>
    <m/>
    <n v="0"/>
    <n v="2"/>
    <n v="0"/>
    <m/>
    <n v="0"/>
    <n v="43"/>
    <n v="0"/>
    <m/>
    <n v="0"/>
    <n v="5"/>
    <n v="0"/>
    <m/>
    <n v="0"/>
    <n v="58"/>
    <n v="0"/>
    <m/>
    <n v="0"/>
    <n v="2"/>
    <n v="0"/>
    <m/>
    <n v="0"/>
    <m/>
    <n v="0"/>
    <m/>
    <n v="0"/>
    <m/>
    <n v="0"/>
    <m/>
    <n v="0"/>
    <m/>
    <n v="0"/>
    <m/>
    <n v="0"/>
    <m/>
    <n v="0"/>
    <m/>
    <n v="0"/>
    <n v="203116"/>
    <n v="0"/>
    <n v="1258977"/>
    <n v="0"/>
    <n v="1955819"/>
    <n v="0"/>
    <n v="1573653"/>
    <n v="0"/>
    <n v="0"/>
    <n v="0"/>
    <n v="0"/>
    <n v="0"/>
    <n v="27"/>
    <n v="0"/>
    <n v="265"/>
    <n v="0"/>
    <n v="442"/>
    <n v="0"/>
    <n v="544"/>
    <n v="0"/>
    <n v="0"/>
    <n v="0"/>
    <n v="0"/>
    <n v="0"/>
    <n v="7522.8148148148148"/>
    <n v="0"/>
    <n v="4750.8566037735845"/>
    <n v="0"/>
    <n v="4424.929864253394"/>
    <n v="0"/>
    <n v="2892.7444852941176"/>
    <n v="0"/>
    <n v="0"/>
    <n v="0"/>
    <n v="0"/>
    <n v="0"/>
    <n v="67705.333333333328"/>
    <n v="0"/>
    <n v="42757.709433962264"/>
    <n v="0"/>
    <n v="39824.36877828055"/>
    <n v="0"/>
    <n v="26034.700367647059"/>
    <n v="0"/>
    <n v="0"/>
    <n v="0"/>
    <n v="0"/>
    <n v="0"/>
    <n v="35119.580692865689"/>
    <n v="0"/>
    <n v="3"/>
    <n v="0"/>
    <n v="29"/>
    <n v="0"/>
    <n v="48"/>
    <n v="0"/>
    <n v="60"/>
    <n v="0"/>
    <n v="0"/>
    <n v="0"/>
    <n v="0"/>
    <n v="0"/>
    <n v="140"/>
    <n v="0"/>
    <n v="203116"/>
    <n v="0"/>
    <n v="1239973.5735849056"/>
    <n v="0"/>
    <n v="1911569.7013574664"/>
    <n v="0"/>
    <n v="1562082.0220588236"/>
    <n v="0"/>
    <n v="0"/>
    <n v="0"/>
    <n v="0"/>
    <n v="0"/>
    <n v="4916741.2970011961"/>
    <n v="0"/>
  </r>
  <r>
    <x v="13"/>
    <s v="Palo Alto College (ACCD)"/>
    <m/>
    <n v="246354"/>
    <x v="6"/>
    <n v="19"/>
    <n v="16"/>
    <m/>
    <n v="2"/>
    <n v="1"/>
    <n v="0"/>
    <m/>
    <n v="0"/>
    <n v="23"/>
    <n v="17"/>
    <m/>
    <n v="2"/>
    <n v="1"/>
    <n v="0"/>
    <m/>
    <n v="0"/>
    <n v="32"/>
    <n v="18"/>
    <m/>
    <n v="5"/>
    <n v="4"/>
    <n v="0"/>
    <m/>
    <n v="1"/>
    <n v="32"/>
    <n v="49"/>
    <m/>
    <n v="0"/>
    <n v="2"/>
    <n v="0"/>
    <m/>
    <n v="0"/>
    <m/>
    <n v="0"/>
    <m/>
    <n v="0"/>
    <m/>
    <n v="0"/>
    <m/>
    <n v="0"/>
    <m/>
    <n v="0"/>
    <m/>
    <n v="0"/>
    <m/>
    <n v="0"/>
    <m/>
    <n v="0"/>
    <n v="1309963"/>
    <n v="1291038"/>
    <n v="1319489"/>
    <n v="1185517"/>
    <n v="1832574"/>
    <n v="1445536"/>
    <n v="1200839"/>
    <n v="2659633"/>
    <n v="0"/>
    <n v="0"/>
    <n v="0"/>
    <n v="0"/>
    <n v="182"/>
    <n v="164"/>
    <n v="218"/>
    <n v="173"/>
    <n v="332"/>
    <n v="224"/>
    <n v="310"/>
    <n v="441"/>
    <n v="0"/>
    <n v="0"/>
    <n v="0"/>
    <n v="0"/>
    <n v="7197.5989010989015"/>
    <n v="7872.1829268292686"/>
    <n v="6052.7018348623851"/>
    <n v="6852.6994219653179"/>
    <n v="5519.8012048192768"/>
    <n v="6453.2857142857147"/>
    <n v="3873.6741935483869"/>
    <n v="6030.9138321995461"/>
    <n v="0"/>
    <n v="0"/>
    <n v="0"/>
    <n v="0"/>
    <n v="64778.390109890111"/>
    <n v="70849.64634146342"/>
    <n v="54474.316513761463"/>
    <n v="61674.294797687864"/>
    <n v="49678.21084337349"/>
    <n v="58079.571428571435"/>
    <n v="34863.067741935483"/>
    <n v="54278.224489795917"/>
    <n v="0"/>
    <n v="0"/>
    <n v="0"/>
    <n v="0"/>
    <n v="48918.520106274816"/>
    <n v="59096.799541710236"/>
    <n v="20"/>
    <n v="18"/>
    <n v="24"/>
    <n v="19"/>
    <n v="36"/>
    <n v="24"/>
    <n v="34"/>
    <n v="49"/>
    <n v="0"/>
    <n v="0"/>
    <n v="0"/>
    <n v="0"/>
    <n v="114"/>
    <n v="110"/>
    <n v="1295567.8021978023"/>
    <n v="1275293.6341463416"/>
    <n v="1307383.5963302751"/>
    <n v="1171811.6011560694"/>
    <n v="1788415.5903614457"/>
    <n v="1393909.7142857146"/>
    <n v="1185344.3032258064"/>
    <n v="2659633"/>
    <n v="0"/>
    <n v="0"/>
    <n v="0"/>
    <n v="0"/>
    <n v="5576711.2921153288"/>
    <n v="6500647.9495881256"/>
  </r>
  <r>
    <x v="13"/>
    <s v="Richland College (DCCCD)"/>
    <m/>
    <n v="227766"/>
    <x v="6"/>
    <m/>
    <n v="0"/>
    <m/>
    <n v="0"/>
    <m/>
    <n v="0"/>
    <m/>
    <n v="0"/>
    <m/>
    <n v="0"/>
    <m/>
    <n v="0"/>
    <m/>
    <n v="0"/>
    <m/>
    <n v="0"/>
    <m/>
    <n v="0"/>
    <m/>
    <n v="0"/>
    <m/>
    <n v="0"/>
    <m/>
    <n v="0"/>
    <m/>
    <n v="0"/>
    <m/>
    <n v="0"/>
    <m/>
    <n v="0"/>
    <m/>
    <n v="0"/>
    <m/>
    <n v="0"/>
    <m/>
    <n v="0"/>
    <m/>
    <n v="0"/>
    <m/>
    <n v="0"/>
    <n v="137"/>
    <n v="0"/>
    <m/>
    <n v="0"/>
    <m/>
    <n v="0"/>
    <m/>
    <n v="0"/>
    <n v="0"/>
    <n v="0"/>
    <n v="0"/>
    <n v="0"/>
    <n v="0"/>
    <n v="0"/>
    <n v="0"/>
    <n v="0"/>
    <n v="0"/>
    <n v="0"/>
    <n v="8403785"/>
    <n v="0"/>
    <n v="0"/>
    <n v="0"/>
    <n v="0"/>
    <n v="0"/>
    <n v="0"/>
    <n v="0"/>
    <n v="0"/>
    <n v="0"/>
    <n v="0"/>
    <n v="0"/>
    <n v="1233"/>
    <n v="0"/>
    <n v="0"/>
    <n v="0"/>
    <n v="0"/>
    <n v="0"/>
    <n v="0"/>
    <n v="0"/>
    <n v="0"/>
    <n v="0"/>
    <n v="0"/>
    <n v="0"/>
    <n v="6815.7218167072178"/>
    <n v="0"/>
    <n v="0"/>
    <n v="0"/>
    <n v="0"/>
    <n v="0"/>
    <n v="0"/>
    <n v="0"/>
    <n v="0"/>
    <n v="0"/>
    <n v="0"/>
    <n v="0"/>
    <n v="61341.496350364963"/>
    <n v="0"/>
    <n v="61341.496350364963"/>
    <n v="0"/>
    <n v="0"/>
    <n v="0"/>
    <n v="0"/>
    <n v="0"/>
    <n v="0"/>
    <n v="0"/>
    <n v="0"/>
    <n v="0"/>
    <n v="0"/>
    <n v="0"/>
    <n v="137"/>
    <n v="0"/>
    <n v="137"/>
    <n v="0"/>
    <n v="0"/>
    <n v="0"/>
    <n v="0"/>
    <n v="0"/>
    <n v="0"/>
    <n v="0"/>
    <n v="0"/>
    <n v="0"/>
    <n v="0"/>
    <n v="0"/>
    <n v="8403785"/>
    <n v="0"/>
    <n v="8403785"/>
    <n v="0"/>
  </r>
  <r>
    <x v="13"/>
    <s v="San Antonio College (ACCD)"/>
    <m/>
    <n v="227924"/>
    <x v="6"/>
    <n v="107"/>
    <n v="90"/>
    <m/>
    <n v="11"/>
    <n v="13"/>
    <n v="0"/>
    <m/>
    <n v="0"/>
    <n v="67"/>
    <n v="51"/>
    <m/>
    <n v="3"/>
    <n v="7"/>
    <n v="0"/>
    <m/>
    <n v="0"/>
    <n v="96"/>
    <n v="84"/>
    <m/>
    <n v="7"/>
    <n v="6"/>
    <n v="0"/>
    <m/>
    <n v="0"/>
    <n v="67"/>
    <n v="82"/>
    <m/>
    <n v="2"/>
    <n v="5"/>
    <n v="0"/>
    <m/>
    <n v="0"/>
    <m/>
    <n v="0"/>
    <m/>
    <n v="0"/>
    <m/>
    <n v="0"/>
    <m/>
    <n v="0"/>
    <m/>
    <n v="0"/>
    <m/>
    <n v="0"/>
    <m/>
    <n v="0"/>
    <m/>
    <n v="0"/>
    <n v="5964027"/>
    <n v="7479294"/>
    <n v="3733100"/>
    <n v="3391337"/>
    <n v="3844619"/>
    <n v="4426836"/>
    <n v="2471047"/>
    <n v="4580575"/>
    <n v="0"/>
    <n v="0"/>
    <n v="0"/>
    <n v="0"/>
    <n v="1106"/>
    <n v="920"/>
    <n v="680"/>
    <n v="489"/>
    <n v="930"/>
    <n v="826"/>
    <n v="658"/>
    <n v="758"/>
    <n v="0"/>
    <n v="0"/>
    <n v="0"/>
    <n v="0"/>
    <n v="5392.4294755877036"/>
    <n v="8129.6673913043478"/>
    <n v="5489.8529411764703"/>
    <n v="6935.2494887525563"/>
    <n v="4133.9989247311823"/>
    <n v="5359.3656174334137"/>
    <n v="3755.3905775075987"/>
    <n v="6042.974934036939"/>
    <n v="0"/>
    <n v="0"/>
    <n v="0"/>
    <n v="0"/>
    <n v="48531.865280289334"/>
    <n v="73167.006521739124"/>
    <n v="49408.676470588231"/>
    <n v="62417.245398773004"/>
    <n v="37205.990322580641"/>
    <n v="48234.290556900727"/>
    <n v="33798.515197568391"/>
    <n v="54386.77440633245"/>
    <n v="0"/>
    <n v="0"/>
    <n v="0"/>
    <n v="0"/>
    <n v="42686.331520615211"/>
    <n v="59752.146669816015"/>
    <n v="120"/>
    <n v="101"/>
    <n v="74"/>
    <n v="54"/>
    <n v="102"/>
    <n v="91"/>
    <n v="72"/>
    <n v="84"/>
    <n v="0"/>
    <n v="0"/>
    <n v="0"/>
    <n v="0"/>
    <n v="368"/>
    <n v="330"/>
    <n v="5823823.8336347202"/>
    <n v="7389867.6586956512"/>
    <n v="3656242.0588235292"/>
    <n v="3370531.2515337421"/>
    <n v="3795011.0129032256"/>
    <n v="4389320.440677966"/>
    <n v="2433493.0942249242"/>
    <n v="4568489.0501319254"/>
    <n v="0"/>
    <n v="0"/>
    <n v="0"/>
    <n v="0"/>
    <n v="15708569.999586398"/>
    <n v="19718208.401039284"/>
  </r>
  <r>
    <x v="13"/>
    <s v="San Jacinto College"/>
    <m/>
    <n v="227979"/>
    <x v="6"/>
    <m/>
    <n v="0"/>
    <m/>
    <n v="0"/>
    <m/>
    <n v="0"/>
    <m/>
    <n v="0"/>
    <m/>
    <n v="0"/>
    <m/>
    <n v="0"/>
    <m/>
    <n v="0"/>
    <m/>
    <n v="0"/>
    <m/>
    <n v="0"/>
    <m/>
    <n v="0"/>
    <m/>
    <n v="0"/>
    <m/>
    <n v="0"/>
    <m/>
    <n v="0"/>
    <m/>
    <n v="0"/>
    <m/>
    <n v="0"/>
    <m/>
    <n v="0"/>
    <m/>
    <n v="0"/>
    <m/>
    <n v="0"/>
    <m/>
    <n v="0"/>
    <m/>
    <n v="0"/>
    <n v="374"/>
    <n v="361"/>
    <m/>
    <n v="12"/>
    <n v="92"/>
    <n v="0"/>
    <m/>
    <n v="48"/>
    <n v="0"/>
    <n v="0"/>
    <n v="0"/>
    <n v="0"/>
    <n v="0"/>
    <n v="0"/>
    <n v="0"/>
    <n v="0"/>
    <n v="0"/>
    <n v="0"/>
    <n v="28067522"/>
    <n v="27463967"/>
    <n v="0"/>
    <n v="0"/>
    <n v="0"/>
    <n v="0"/>
    <n v="0"/>
    <n v="0"/>
    <n v="0"/>
    <n v="0"/>
    <n v="0"/>
    <n v="0"/>
    <n v="4378"/>
    <n v="3945"/>
    <n v="0"/>
    <n v="0"/>
    <n v="0"/>
    <n v="0"/>
    <n v="0"/>
    <n v="0"/>
    <n v="0"/>
    <n v="0"/>
    <n v="0"/>
    <n v="0"/>
    <n v="6411.0374600274099"/>
    <n v="6961.7153358681871"/>
    <n v="0"/>
    <n v="0"/>
    <n v="0"/>
    <n v="0"/>
    <n v="0"/>
    <n v="0"/>
    <n v="0"/>
    <n v="0"/>
    <n v="0"/>
    <n v="0"/>
    <n v="57699.337140246687"/>
    <n v="62655.438022813687"/>
    <n v="57699.337140246687"/>
    <n v="62655.438022813694"/>
    <n v="0"/>
    <n v="0"/>
    <n v="0"/>
    <n v="0"/>
    <n v="0"/>
    <n v="0"/>
    <n v="0"/>
    <n v="0"/>
    <n v="0"/>
    <n v="0"/>
    <n v="466"/>
    <n v="421"/>
    <n v="466"/>
    <n v="421"/>
    <n v="0"/>
    <n v="0"/>
    <n v="0"/>
    <n v="0"/>
    <n v="0"/>
    <n v="0"/>
    <n v="0"/>
    <n v="0"/>
    <n v="0"/>
    <n v="0"/>
    <n v="26887891.107354958"/>
    <n v="26377939.407604564"/>
    <n v="26887891.107354958"/>
    <n v="26377939.407604564"/>
  </r>
  <r>
    <x v="13"/>
    <s v="South Plains College "/>
    <m/>
    <n v="228158"/>
    <x v="6"/>
    <n v="59"/>
    <n v="47"/>
    <m/>
    <n v="0"/>
    <m/>
    <n v="0"/>
    <m/>
    <n v="1"/>
    <n v="39"/>
    <n v="30"/>
    <m/>
    <n v="0"/>
    <n v="1"/>
    <n v="0"/>
    <m/>
    <n v="0"/>
    <n v="92"/>
    <n v="94"/>
    <m/>
    <n v="1"/>
    <n v="2"/>
    <n v="0"/>
    <m/>
    <n v="1"/>
    <n v="63"/>
    <n v="80"/>
    <m/>
    <n v="0"/>
    <n v="28"/>
    <n v="0"/>
    <m/>
    <n v="29"/>
    <m/>
    <n v="0"/>
    <m/>
    <n v="0"/>
    <m/>
    <n v="0"/>
    <m/>
    <n v="0"/>
    <m/>
    <n v="0"/>
    <m/>
    <n v="0"/>
    <m/>
    <n v="0"/>
    <m/>
    <n v="0"/>
    <n v="3366104"/>
    <n v="3595653"/>
    <n v="1979187"/>
    <n v="1624007"/>
    <n v="4165658"/>
    <n v="3280116"/>
    <n v="3935869"/>
    <n v="4007472"/>
    <n v="0"/>
    <n v="0"/>
    <n v="0"/>
    <n v="0"/>
    <n v="531"/>
    <n v="435"/>
    <n v="362"/>
    <n v="270"/>
    <n v="850"/>
    <n v="868"/>
    <n v="875"/>
    <n v="1068"/>
    <n v="0"/>
    <n v="0"/>
    <n v="0"/>
    <n v="0"/>
    <n v="6339.1789077212807"/>
    <n v="8265.868965517242"/>
    <n v="5467.3674033149173"/>
    <n v="6014.8407407407403"/>
    <n v="4900.774117647059"/>
    <n v="3778.9354838709678"/>
    <n v="4498.1360000000004"/>
    <n v="3752.3146067415732"/>
    <n v="0"/>
    <n v="0"/>
    <n v="0"/>
    <n v="0"/>
    <n v="57052.610169491527"/>
    <n v="74392.820689655171"/>
    <n v="49206.306629834253"/>
    <n v="54133.566666666666"/>
    <n v="44106.967058823531"/>
    <n v="34010.419354838712"/>
    <n v="40483.224000000002"/>
    <n v="33770.831460674162"/>
    <n v="0"/>
    <n v="0"/>
    <n v="0"/>
    <n v="0"/>
    <n v="46353.466734939371"/>
    <n v="42900.647633856708"/>
    <n v="59"/>
    <n v="48"/>
    <n v="40"/>
    <n v="30"/>
    <n v="94"/>
    <n v="96"/>
    <n v="91"/>
    <n v="109"/>
    <n v="0"/>
    <n v="0"/>
    <n v="0"/>
    <n v="0"/>
    <n v="284"/>
    <n v="283"/>
    <n v="3366104"/>
    <n v="3570855.3931034482"/>
    <n v="1968252.2651933702"/>
    <n v="1624007"/>
    <n v="4146054.9035294121"/>
    <n v="3265000.2580645164"/>
    <n v="3683973.3840000001"/>
    <n v="3681020.6292134835"/>
    <n v="0"/>
    <n v="0"/>
    <n v="0"/>
    <n v="0"/>
    <n v="13164384.552722782"/>
    <n v="12140883.280381449"/>
  </r>
  <r>
    <x v="13"/>
    <s v="St. Philip's College (ACCD)"/>
    <m/>
    <n v="227854"/>
    <x v="6"/>
    <n v="19"/>
    <n v="17"/>
    <m/>
    <n v="3"/>
    <n v="3"/>
    <n v="0"/>
    <m/>
    <n v="0"/>
    <n v="19"/>
    <n v="15"/>
    <m/>
    <n v="3"/>
    <n v="2"/>
    <n v="0"/>
    <m/>
    <n v="1"/>
    <n v="33"/>
    <n v="31"/>
    <m/>
    <n v="4"/>
    <n v="13"/>
    <n v="0"/>
    <m/>
    <n v="1"/>
    <n v="82"/>
    <n v="67"/>
    <m/>
    <n v="1"/>
    <n v="19"/>
    <n v="0"/>
    <m/>
    <n v="30"/>
    <m/>
    <n v="0"/>
    <m/>
    <n v="0"/>
    <m/>
    <n v="0"/>
    <m/>
    <n v="0"/>
    <m/>
    <n v="0"/>
    <m/>
    <n v="0"/>
    <m/>
    <n v="0"/>
    <m/>
    <n v="0"/>
    <n v="1460617"/>
    <n v="1432857"/>
    <n v="1188668"/>
    <n v="1242562"/>
    <n v="2364781"/>
    <n v="2025520"/>
    <n v="3594941"/>
    <n v="5428633"/>
    <n v="0"/>
    <n v="0"/>
    <n v="0"/>
    <n v="0"/>
    <n v="204"/>
    <n v="183"/>
    <n v="193"/>
    <n v="177"/>
    <n v="440"/>
    <n v="331"/>
    <n v="947"/>
    <n v="973"/>
    <n v="0"/>
    <n v="0"/>
    <n v="0"/>
    <n v="0"/>
    <n v="7159.8872549019607"/>
    <n v="7829.8196721311479"/>
    <n v="6158.9015544041449"/>
    <n v="7020.1242937853103"/>
    <n v="5374.5022727272726"/>
    <n v="6119.395770392749"/>
    <n v="3796.1362196409714"/>
    <n v="5579.2733812949637"/>
    <n v="0"/>
    <n v="0"/>
    <n v="0"/>
    <n v="0"/>
    <n v="64438.985294117643"/>
    <n v="70468.37704918033"/>
    <n v="55430.113989637306"/>
    <n v="63181.118644067792"/>
    <n v="48370.520454545454"/>
    <n v="55074.561933534744"/>
    <n v="34165.225976768743"/>
    <n v="50213.460431654676"/>
    <n v="0"/>
    <n v="0"/>
    <n v="0"/>
    <n v="0"/>
    <n v="43460.114920082662"/>
    <n v="54990.821659712732"/>
    <n v="22"/>
    <n v="20"/>
    <n v="21"/>
    <n v="19"/>
    <n v="46"/>
    <n v="36"/>
    <n v="101"/>
    <n v="98"/>
    <n v="0"/>
    <n v="0"/>
    <n v="0"/>
    <n v="0"/>
    <n v="190"/>
    <n v="173"/>
    <n v="1417657.6764705882"/>
    <n v="1409367.5409836066"/>
    <n v="1164032.3937823835"/>
    <n v="1200441.2542372881"/>
    <n v="2225043.9409090909"/>
    <n v="1982684.2296072508"/>
    <n v="3450687.823653643"/>
    <n v="4920919.1223021578"/>
    <n v="0"/>
    <n v="0"/>
    <n v="0"/>
    <n v="0"/>
    <n v="8257421.8348157061"/>
    <n v="9513412.1471303031"/>
  </r>
  <r>
    <x v="13"/>
    <s v="Tarrant County College"/>
    <m/>
    <n v="228547"/>
    <x v="6"/>
    <n v="77"/>
    <n v="80"/>
    <m/>
    <n v="0"/>
    <m/>
    <n v="0"/>
    <m/>
    <n v="0"/>
    <n v="133"/>
    <n v="132"/>
    <m/>
    <n v="0"/>
    <n v="10"/>
    <n v="0"/>
    <m/>
    <n v="10"/>
    <n v="158"/>
    <n v="158"/>
    <m/>
    <n v="0"/>
    <n v="9"/>
    <n v="0"/>
    <m/>
    <n v="8"/>
    <n v="255"/>
    <n v="256"/>
    <m/>
    <n v="0"/>
    <n v="2"/>
    <n v="0"/>
    <m/>
    <n v="1"/>
    <m/>
    <n v="0"/>
    <m/>
    <n v="0"/>
    <m/>
    <n v="0"/>
    <m/>
    <n v="0"/>
    <m/>
    <n v="0"/>
    <m/>
    <n v="0"/>
    <m/>
    <n v="0"/>
    <m/>
    <n v="0"/>
    <n v="5194795"/>
    <n v="5433223"/>
    <n v="8998474"/>
    <n v="9164815"/>
    <n v="10234939"/>
    <n v="10543749"/>
    <n v="13849942"/>
    <n v="14453228"/>
    <n v="0"/>
    <n v="0"/>
    <n v="0"/>
    <n v="0"/>
    <n v="693"/>
    <n v="720"/>
    <n v="1307"/>
    <n v="1308"/>
    <n v="1521"/>
    <n v="1518"/>
    <n v="2317"/>
    <n v="2316"/>
    <n v="0"/>
    <n v="0"/>
    <n v="0"/>
    <n v="0"/>
    <n v="7496.0966810966811"/>
    <n v="7546.1430555555553"/>
    <n v="6884.83091048202"/>
    <n v="7006.7392966360858"/>
    <n v="6729.0854700854698"/>
    <n v="6945.816205533597"/>
    <n v="5977.5321536469573"/>
    <n v="6240.599309153713"/>
    <n v="0"/>
    <n v="0"/>
    <n v="0"/>
    <n v="0"/>
    <n v="67464.870129870134"/>
    <n v="67915.287499999991"/>
    <n v="61963.478194338182"/>
    <n v="63060.653669724772"/>
    <n v="60561.769230769227"/>
    <n v="62512.345849802376"/>
    <n v="53797.789382822615"/>
    <n v="56165.393782383413"/>
    <n v="0"/>
    <n v="0"/>
    <n v="0"/>
    <n v="0"/>
    <n v="58999.098935891663"/>
    <n v="60774.250285644412"/>
    <n v="77"/>
    <n v="80"/>
    <n v="143"/>
    <n v="142"/>
    <n v="167"/>
    <n v="166"/>
    <n v="257"/>
    <n v="257"/>
    <n v="0"/>
    <n v="0"/>
    <n v="0"/>
    <n v="0"/>
    <n v="644"/>
    <n v="645"/>
    <n v="5194795"/>
    <n v="5433222.9999999991"/>
    <n v="8860777.3817903604"/>
    <n v="8954612.8211009167"/>
    <n v="10113815.46153846"/>
    <n v="10377049.411067195"/>
    <n v="13826031.871385412"/>
    <n v="14434506.202072537"/>
    <n v="0"/>
    <n v="0"/>
    <n v="0"/>
    <n v="0"/>
    <n v="37995419.714714229"/>
    <n v="39199391.434240647"/>
  </r>
  <r>
    <x v="13"/>
    <s v="Texas Southmost College "/>
    <s v="Met criteria for Two-Year 2 in 2012-13."/>
    <n v="229072"/>
    <x v="6"/>
    <m/>
    <n v="0"/>
    <m/>
    <n v="0"/>
    <m/>
    <n v="0"/>
    <m/>
    <n v="0"/>
    <m/>
    <n v="0"/>
    <m/>
    <n v="0"/>
    <m/>
    <n v="0"/>
    <m/>
    <n v="0"/>
    <m/>
    <n v="0"/>
    <m/>
    <n v="0"/>
    <m/>
    <n v="0"/>
    <m/>
    <n v="0"/>
    <m/>
    <n v="0"/>
    <m/>
    <n v="0"/>
    <m/>
    <n v="0"/>
    <m/>
    <n v="0"/>
    <m/>
    <n v="0"/>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Texas State Technical College-Waco"/>
    <s v="Met criteria for Two-Year 2 in 2012-13."/>
    <n v="228680"/>
    <x v="6"/>
    <m/>
    <n v="0"/>
    <m/>
    <n v="0"/>
    <n v="5"/>
    <n v="0"/>
    <m/>
    <n v="5"/>
    <n v="2"/>
    <n v="2"/>
    <m/>
    <n v="0"/>
    <n v="20"/>
    <n v="0"/>
    <m/>
    <n v="18"/>
    <m/>
    <n v="0"/>
    <m/>
    <n v="0"/>
    <m/>
    <n v="0"/>
    <m/>
    <n v="0"/>
    <n v="23"/>
    <n v="19"/>
    <m/>
    <n v="0"/>
    <n v="208"/>
    <n v="0"/>
    <m/>
    <n v="207"/>
    <m/>
    <n v="0"/>
    <m/>
    <n v="0"/>
    <m/>
    <n v="0"/>
    <m/>
    <n v="0"/>
    <m/>
    <n v="0"/>
    <m/>
    <n v="0"/>
    <m/>
    <n v="0"/>
    <m/>
    <n v="0"/>
    <n v="334488"/>
    <n v="327792"/>
    <n v="1150440"/>
    <n v="1099913"/>
    <n v="0"/>
    <n v="0"/>
    <n v="10610977"/>
    <n v="10750673"/>
    <n v="0"/>
    <n v="0"/>
    <n v="0"/>
    <n v="0"/>
    <n v="55"/>
    <n v="60"/>
    <n v="238"/>
    <n v="234"/>
    <n v="0"/>
    <n v="0"/>
    <n v="2495"/>
    <n v="2655"/>
    <n v="0"/>
    <n v="0"/>
    <n v="0"/>
    <n v="0"/>
    <n v="6081.6"/>
    <n v="5463.2"/>
    <n v="4833.7815126050418"/>
    <n v="4700.4829059829062"/>
    <n v="0"/>
    <n v="0"/>
    <n v="4252.8965931863731"/>
    <n v="4049.2177024482107"/>
    <n v="0"/>
    <n v="0"/>
    <n v="0"/>
    <n v="0"/>
    <n v="54734.400000000001"/>
    <n v="49168.799999999996"/>
    <n v="43504.033613445376"/>
    <n v="42304.346153846156"/>
    <n v="0"/>
    <n v="0"/>
    <n v="38276.069338677356"/>
    <n v="36442.959322033894"/>
    <n v="0"/>
    <n v="0"/>
    <n v="0"/>
    <n v="0"/>
    <n v="39040.824638489408"/>
    <n v="37163.504899827029"/>
    <n v="5"/>
    <n v="5"/>
    <n v="22"/>
    <n v="20"/>
    <n v="0"/>
    <n v="0"/>
    <n v="231"/>
    <n v="226"/>
    <n v="0"/>
    <n v="0"/>
    <n v="0"/>
    <n v="0"/>
    <n v="258"/>
    <n v="251"/>
    <n v="273672"/>
    <n v="245843.99999999997"/>
    <n v="957088.73949579825"/>
    <n v="846086.92307692312"/>
    <n v="0"/>
    <n v="0"/>
    <n v="8841772.0172344688"/>
    <n v="8236108.8067796603"/>
    <n v="0"/>
    <n v="0"/>
    <n v="0"/>
    <n v="0"/>
    <n v="10072532.756730268"/>
    <n v="9328039.7298565842"/>
  </r>
  <r>
    <x v="13"/>
    <s v="Trinity Valley Community College"/>
    <m/>
    <n v="225308"/>
    <x v="6"/>
    <m/>
    <n v="101"/>
    <m/>
    <n v="12"/>
    <m/>
    <n v="2"/>
    <m/>
    <n v="17"/>
    <m/>
    <n v="0"/>
    <m/>
    <n v="0"/>
    <m/>
    <n v="0"/>
    <m/>
    <n v="0"/>
    <m/>
    <n v="0"/>
    <m/>
    <n v="0"/>
    <m/>
    <n v="0"/>
    <m/>
    <n v="0"/>
    <m/>
    <n v="5"/>
    <m/>
    <n v="6"/>
    <m/>
    <n v="1"/>
    <m/>
    <n v="14"/>
    <m/>
    <n v="0"/>
    <m/>
    <n v="0"/>
    <m/>
    <n v="0"/>
    <m/>
    <n v="0"/>
    <n v="122"/>
    <n v="0"/>
    <m/>
    <n v="0"/>
    <n v="35"/>
    <n v="0"/>
    <m/>
    <n v="0"/>
    <n v="0"/>
    <n v="7135296"/>
    <n v="0"/>
    <n v="0"/>
    <n v="0"/>
    <n v="0"/>
    <n v="0"/>
    <n v="1640749"/>
    <n v="0"/>
    <n v="0"/>
    <n v="8527800"/>
    <n v="0"/>
    <n v="0"/>
    <n v="1255"/>
    <n v="0"/>
    <n v="0"/>
    <n v="0"/>
    <n v="0"/>
    <n v="0"/>
    <n v="284"/>
    <n v="0"/>
    <n v="0"/>
    <n v="1483"/>
    <n v="0"/>
    <n v="0"/>
    <n v="5685.4948207171319"/>
    <n v="0"/>
    <n v="0"/>
    <n v="0"/>
    <n v="0"/>
    <n v="0"/>
    <n v="5777.2852112676055"/>
    <n v="0"/>
    <n v="0"/>
    <n v="5750.3708698583951"/>
    <n v="0"/>
    <n v="0"/>
    <n v="51169.453386454188"/>
    <n v="0"/>
    <n v="0"/>
    <n v="0"/>
    <n v="0"/>
    <n v="0"/>
    <n v="51995.566901408449"/>
    <n v="0"/>
    <n v="0"/>
    <n v="51753.337828725555"/>
    <n v="0"/>
    <n v="51753.337828725555"/>
    <n v="51305.396116763121"/>
    <n v="0"/>
    <n v="132"/>
    <n v="0"/>
    <n v="0"/>
    <n v="0"/>
    <n v="0"/>
    <n v="0"/>
    <n v="26"/>
    <n v="0"/>
    <n v="0"/>
    <n v="157"/>
    <n v="0"/>
    <n v="157"/>
    <n v="158"/>
    <n v="0"/>
    <n v="6754367.8470119527"/>
    <n v="0"/>
    <n v="0"/>
    <n v="0"/>
    <n v="0"/>
    <n v="0"/>
    <n v="1351884.7394366197"/>
    <n v="0"/>
    <n v="0"/>
    <n v="8125274.0391099118"/>
    <n v="0"/>
    <n v="8125274.0391099118"/>
    <n v="8106252.5864485726"/>
  </r>
  <r>
    <x v="13"/>
    <s v="Tyler Junior College "/>
    <m/>
    <n v="229355"/>
    <x v="6"/>
    <m/>
    <n v="160"/>
    <m/>
    <n v="63"/>
    <m/>
    <n v="18"/>
    <m/>
    <n v="43"/>
    <m/>
    <n v="0"/>
    <m/>
    <n v="0"/>
    <m/>
    <n v="0"/>
    <m/>
    <n v="0"/>
    <m/>
    <n v="0"/>
    <m/>
    <n v="0"/>
    <m/>
    <n v="0"/>
    <m/>
    <n v="0"/>
    <n v="223"/>
    <n v="0"/>
    <m/>
    <n v="0"/>
    <n v="58"/>
    <n v="0"/>
    <m/>
    <n v="0"/>
    <m/>
    <n v="0"/>
    <m/>
    <n v="0"/>
    <m/>
    <n v="0"/>
    <m/>
    <n v="0"/>
    <m/>
    <n v="0"/>
    <m/>
    <n v="0"/>
    <m/>
    <n v="0"/>
    <m/>
    <n v="0"/>
    <n v="0"/>
    <n v="14232727"/>
    <n v="0"/>
    <n v="0"/>
    <n v="0"/>
    <n v="0"/>
    <n v="14276736"/>
    <n v="0"/>
    <n v="0"/>
    <n v="0"/>
    <n v="0"/>
    <n v="0"/>
    <n v="0"/>
    <n v="2784"/>
    <n v="0"/>
    <n v="0"/>
    <n v="0"/>
    <n v="0"/>
    <n v="2645"/>
    <n v="0"/>
    <n v="0"/>
    <n v="0"/>
    <n v="0"/>
    <n v="0"/>
    <n v="0"/>
    <n v="5112.3301005747126"/>
    <n v="0"/>
    <n v="0"/>
    <n v="0"/>
    <n v="0"/>
    <n v="5397.6317580340265"/>
    <n v="0"/>
    <n v="0"/>
    <n v="0"/>
    <n v="0"/>
    <n v="0"/>
    <n v="0"/>
    <n v="46010.970905172413"/>
    <n v="0"/>
    <n v="0"/>
    <n v="0"/>
    <n v="0"/>
    <n v="48578.685822306237"/>
    <n v="0"/>
    <n v="0"/>
    <n v="0"/>
    <n v="0"/>
    <n v="0"/>
    <n v="48578.685822306237"/>
    <n v="46010.970905172413"/>
    <n v="0"/>
    <n v="284"/>
    <n v="0"/>
    <n v="0"/>
    <n v="0"/>
    <n v="0"/>
    <n v="281"/>
    <n v="0"/>
    <n v="0"/>
    <n v="0"/>
    <n v="0"/>
    <n v="0"/>
    <n v="281"/>
    <n v="284"/>
    <n v="0"/>
    <n v="13067115.737068966"/>
    <n v="0"/>
    <n v="0"/>
    <n v="0"/>
    <n v="0"/>
    <n v="13650610.716068052"/>
    <n v="0"/>
    <n v="0"/>
    <n v="0"/>
    <n v="0"/>
    <n v="0"/>
    <n v="13650610.716068052"/>
    <n v="13067115.737068966"/>
  </r>
  <r>
    <x v="13"/>
    <s v="Alvin Community College "/>
    <m/>
    <n v="222567"/>
    <x v="7"/>
    <m/>
    <n v="0"/>
    <m/>
    <n v="0"/>
    <m/>
    <n v="0"/>
    <m/>
    <n v="0"/>
    <m/>
    <n v="0"/>
    <m/>
    <n v="0"/>
    <m/>
    <n v="0"/>
    <m/>
    <n v="0"/>
    <m/>
    <n v="0"/>
    <m/>
    <n v="0"/>
    <m/>
    <n v="0"/>
    <m/>
    <n v="0"/>
    <m/>
    <n v="0"/>
    <m/>
    <n v="0"/>
    <m/>
    <n v="0"/>
    <m/>
    <n v="0"/>
    <m/>
    <n v="0"/>
    <m/>
    <n v="0"/>
    <m/>
    <n v="0"/>
    <m/>
    <n v="0"/>
    <n v="57"/>
    <n v="59"/>
    <m/>
    <n v="0"/>
    <n v="48"/>
    <n v="0"/>
    <m/>
    <n v="49"/>
    <n v="0"/>
    <n v="0"/>
    <n v="0"/>
    <n v="0"/>
    <n v="0"/>
    <n v="0"/>
    <n v="0"/>
    <n v="0"/>
    <n v="0"/>
    <n v="0"/>
    <n v="6376213"/>
    <n v="5899739"/>
    <n v="0"/>
    <n v="0"/>
    <n v="0"/>
    <n v="0"/>
    <n v="0"/>
    <n v="0"/>
    <n v="0"/>
    <n v="0"/>
    <n v="0"/>
    <n v="0"/>
    <n v="1041"/>
    <n v="1119"/>
    <n v="0"/>
    <n v="0"/>
    <n v="0"/>
    <n v="0"/>
    <n v="0"/>
    <n v="0"/>
    <n v="0"/>
    <n v="0"/>
    <n v="0"/>
    <n v="0"/>
    <n v="6125.0845341018248"/>
    <n v="5272.3315460232352"/>
    <n v="0"/>
    <n v="0"/>
    <n v="0"/>
    <n v="0"/>
    <n v="0"/>
    <n v="0"/>
    <n v="0"/>
    <n v="0"/>
    <n v="0"/>
    <n v="0"/>
    <n v="55125.760806916427"/>
    <n v="47450.983914209115"/>
    <n v="55125.760806916427"/>
    <n v="47450.983914209115"/>
    <n v="0"/>
    <n v="0"/>
    <n v="0"/>
    <n v="0"/>
    <n v="0"/>
    <n v="0"/>
    <n v="0"/>
    <n v="0"/>
    <n v="0"/>
    <n v="0"/>
    <n v="105"/>
    <n v="108"/>
    <n v="105"/>
    <n v="108"/>
    <n v="0"/>
    <n v="0"/>
    <n v="0"/>
    <n v="0"/>
    <n v="0"/>
    <n v="0"/>
    <n v="0"/>
    <n v="0"/>
    <n v="0"/>
    <n v="0"/>
    <n v="5788204.8847262245"/>
    <n v="5124706.2627345845"/>
    <n v="5788204.8847262245"/>
    <n v="5124706.2627345845"/>
  </r>
  <r>
    <x v="13"/>
    <s v="Angelina College "/>
    <m/>
    <n v="222822"/>
    <x v="7"/>
    <m/>
    <n v="0"/>
    <m/>
    <n v="0"/>
    <m/>
    <n v="0"/>
    <m/>
    <n v="0"/>
    <m/>
    <n v="0"/>
    <m/>
    <n v="0"/>
    <m/>
    <n v="0"/>
    <m/>
    <n v="0"/>
    <m/>
    <n v="0"/>
    <m/>
    <n v="0"/>
    <m/>
    <n v="0"/>
    <m/>
    <n v="0"/>
    <n v="99"/>
    <n v="99"/>
    <m/>
    <n v="0"/>
    <n v="25"/>
    <n v="17"/>
    <m/>
    <n v="4"/>
    <m/>
    <n v="0"/>
    <m/>
    <n v="0"/>
    <m/>
    <n v="0"/>
    <m/>
    <n v="0"/>
    <m/>
    <n v="0"/>
    <m/>
    <n v="0"/>
    <m/>
    <n v="0"/>
    <m/>
    <n v="0"/>
    <n v="0"/>
    <n v="0"/>
    <n v="0"/>
    <n v="0"/>
    <n v="0"/>
    <n v="0"/>
    <n v="5895640"/>
    <n v="5932224"/>
    <n v="0"/>
    <n v="0"/>
    <n v="0"/>
    <n v="0"/>
    <n v="0"/>
    <n v="0"/>
    <n v="0"/>
    <n v="0"/>
    <n v="0"/>
    <n v="0"/>
    <n v="1166"/>
    <n v="1126"/>
    <n v="0"/>
    <n v="0"/>
    <n v="0"/>
    <n v="0"/>
    <n v="0"/>
    <n v="0"/>
    <n v="0"/>
    <n v="0"/>
    <n v="0"/>
    <n v="0"/>
    <n v="5056.2950257289876"/>
    <n v="5268.4049733570164"/>
    <n v="0"/>
    <n v="0"/>
    <n v="0"/>
    <n v="0"/>
    <n v="0"/>
    <n v="0"/>
    <n v="0"/>
    <n v="0"/>
    <n v="0"/>
    <n v="0"/>
    <n v="45506.655231560886"/>
    <n v="47415.644760213145"/>
    <n v="0"/>
    <n v="0"/>
    <n v="0"/>
    <n v="0"/>
    <n v="45506.655231560886"/>
    <n v="47415.644760213145"/>
    <n v="0"/>
    <n v="0"/>
    <n v="0"/>
    <n v="0"/>
    <n v="0"/>
    <n v="0"/>
    <n v="124"/>
    <n v="120"/>
    <n v="0"/>
    <n v="0"/>
    <n v="0"/>
    <n v="0"/>
    <n v="124"/>
    <n v="120"/>
    <n v="0"/>
    <n v="0"/>
    <n v="0"/>
    <n v="0"/>
    <n v="0"/>
    <n v="0"/>
    <n v="5642825.2487135502"/>
    <n v="5689877.3712255778"/>
    <n v="0"/>
    <n v="0"/>
    <n v="0"/>
    <n v="0"/>
    <n v="5642825.2487135502"/>
    <n v="5689877.3712255778"/>
  </r>
  <r>
    <x v="13"/>
    <s v="Cedar Valley College (DCCCD)"/>
    <m/>
    <n v="223773"/>
    <x v="7"/>
    <m/>
    <n v="0"/>
    <m/>
    <n v="0"/>
    <m/>
    <n v="0"/>
    <m/>
    <n v="0"/>
    <m/>
    <n v="0"/>
    <m/>
    <n v="0"/>
    <m/>
    <n v="0"/>
    <m/>
    <n v="0"/>
    <m/>
    <n v="0"/>
    <m/>
    <n v="0"/>
    <m/>
    <n v="0"/>
    <m/>
    <n v="0"/>
    <m/>
    <n v="0"/>
    <m/>
    <n v="0"/>
    <m/>
    <n v="0"/>
    <m/>
    <n v="0"/>
    <m/>
    <n v="0"/>
    <m/>
    <n v="0"/>
    <m/>
    <n v="0"/>
    <m/>
    <n v="0"/>
    <n v="63"/>
    <n v="0"/>
    <m/>
    <n v="0"/>
    <m/>
    <n v="0"/>
    <m/>
    <n v="0"/>
    <n v="0"/>
    <n v="0"/>
    <n v="0"/>
    <n v="0"/>
    <n v="0"/>
    <n v="0"/>
    <n v="0"/>
    <n v="0"/>
    <n v="0"/>
    <n v="0"/>
    <n v="3521307"/>
    <n v="0"/>
    <n v="0"/>
    <n v="0"/>
    <n v="0"/>
    <n v="0"/>
    <n v="0"/>
    <n v="0"/>
    <n v="0"/>
    <n v="0"/>
    <n v="0"/>
    <n v="0"/>
    <n v="567"/>
    <n v="0"/>
    <n v="0"/>
    <n v="0"/>
    <n v="0"/>
    <n v="0"/>
    <n v="0"/>
    <n v="0"/>
    <n v="0"/>
    <n v="0"/>
    <n v="0"/>
    <n v="0"/>
    <n v="6210.4179894179897"/>
    <n v="0"/>
    <n v="0"/>
    <n v="0"/>
    <n v="0"/>
    <n v="0"/>
    <n v="0"/>
    <n v="0"/>
    <n v="0"/>
    <n v="0"/>
    <n v="0"/>
    <n v="0"/>
    <n v="55893.761904761908"/>
    <n v="0"/>
    <n v="55893.761904761908"/>
    <n v="0"/>
    <n v="0"/>
    <n v="0"/>
    <n v="0"/>
    <n v="0"/>
    <n v="0"/>
    <n v="0"/>
    <n v="0"/>
    <n v="0"/>
    <n v="0"/>
    <n v="0"/>
    <n v="63"/>
    <n v="0"/>
    <n v="63"/>
    <n v="0"/>
    <n v="0"/>
    <n v="0"/>
    <n v="0"/>
    <n v="0"/>
    <n v="0"/>
    <n v="0"/>
    <n v="0"/>
    <n v="0"/>
    <n v="0"/>
    <n v="0"/>
    <n v="3521307"/>
    <n v="0"/>
    <n v="3521307"/>
    <n v="0"/>
  </r>
  <r>
    <x v="13"/>
    <s v="Cisco Junior College "/>
    <m/>
    <n v="223898"/>
    <x v="7"/>
    <n v="59"/>
    <n v="50"/>
    <m/>
    <n v="6"/>
    <n v="27"/>
    <n v="15"/>
    <m/>
    <n v="12"/>
    <m/>
    <n v="0"/>
    <m/>
    <n v="0"/>
    <m/>
    <n v="0"/>
    <m/>
    <n v="0"/>
    <m/>
    <n v="0"/>
    <m/>
    <n v="0"/>
    <m/>
    <n v="0"/>
    <m/>
    <n v="0"/>
    <m/>
    <n v="0"/>
    <m/>
    <n v="0"/>
    <m/>
    <n v="0"/>
    <m/>
    <n v="0"/>
    <m/>
    <n v="0"/>
    <m/>
    <n v="0"/>
    <m/>
    <n v="0"/>
    <m/>
    <n v="0"/>
    <m/>
    <n v="0"/>
    <m/>
    <n v="0"/>
    <m/>
    <n v="0"/>
    <m/>
    <n v="0"/>
    <n v="3547545"/>
    <n v="3885492"/>
    <n v="0"/>
    <n v="0"/>
    <n v="0"/>
    <n v="0"/>
    <n v="0"/>
    <n v="0"/>
    <n v="0"/>
    <n v="0"/>
    <n v="0"/>
    <n v="0"/>
    <n v="828"/>
    <n v="819"/>
    <n v="0"/>
    <n v="0"/>
    <n v="0"/>
    <n v="0"/>
    <n v="0"/>
    <n v="0"/>
    <n v="0"/>
    <n v="0"/>
    <n v="0"/>
    <n v="0"/>
    <n v="4284.474637681159"/>
    <n v="4744.1904761904761"/>
    <n v="0"/>
    <n v="0"/>
    <n v="0"/>
    <n v="0"/>
    <n v="0"/>
    <n v="0"/>
    <n v="0"/>
    <n v="0"/>
    <n v="0"/>
    <n v="0"/>
    <n v="38560.271739130432"/>
    <n v="42697.714285714283"/>
    <n v="0"/>
    <n v="0"/>
    <n v="0"/>
    <n v="0"/>
    <n v="0"/>
    <n v="0"/>
    <n v="0"/>
    <n v="0"/>
    <n v="0"/>
    <n v="0"/>
    <n v="38560.271739130432"/>
    <n v="42697.714285714283"/>
    <n v="86"/>
    <n v="83"/>
    <n v="0"/>
    <n v="0"/>
    <n v="0"/>
    <n v="0"/>
    <n v="0"/>
    <n v="0"/>
    <n v="0"/>
    <n v="0"/>
    <n v="0"/>
    <n v="0"/>
    <n v="86"/>
    <n v="83"/>
    <n v="3316183.3695652173"/>
    <n v="3543910.2857142854"/>
    <n v="0"/>
    <n v="0"/>
    <n v="0"/>
    <n v="0"/>
    <n v="0"/>
    <n v="0"/>
    <n v="0"/>
    <n v="0"/>
    <n v="0"/>
    <n v="0"/>
    <n v="3316183.3695652173"/>
    <n v="3543910.2857142854"/>
  </r>
  <r>
    <x v="13"/>
    <s v="Coastal Bend College"/>
    <m/>
    <n v="223320"/>
    <x v="7"/>
    <n v="67"/>
    <n v="57"/>
    <m/>
    <n v="4"/>
    <n v="38"/>
    <n v="11"/>
    <m/>
    <n v="24"/>
    <m/>
    <n v="0"/>
    <m/>
    <n v="0"/>
    <m/>
    <n v="0"/>
    <m/>
    <n v="0"/>
    <m/>
    <n v="0"/>
    <m/>
    <n v="0"/>
    <m/>
    <n v="0"/>
    <m/>
    <n v="0"/>
    <m/>
    <n v="0"/>
    <m/>
    <n v="0"/>
    <m/>
    <n v="0"/>
    <m/>
    <n v="0"/>
    <m/>
    <n v="0"/>
    <m/>
    <n v="0"/>
    <m/>
    <n v="0"/>
    <m/>
    <n v="0"/>
    <m/>
    <n v="0"/>
    <m/>
    <n v="0"/>
    <m/>
    <n v="0"/>
    <m/>
    <n v="0"/>
    <n v="4842084"/>
    <n v="4428176"/>
    <n v="0"/>
    <n v="0"/>
    <n v="0"/>
    <n v="0"/>
    <n v="0"/>
    <n v="0"/>
    <n v="0"/>
    <n v="0"/>
    <n v="0"/>
    <n v="0"/>
    <n v="1021"/>
    <n v="962"/>
    <n v="0"/>
    <n v="0"/>
    <n v="0"/>
    <n v="0"/>
    <n v="0"/>
    <n v="0"/>
    <n v="0"/>
    <n v="0"/>
    <n v="0"/>
    <n v="0"/>
    <n v="4742.4916748285996"/>
    <n v="4603.0935550935546"/>
    <n v="0"/>
    <n v="0"/>
    <n v="0"/>
    <n v="0"/>
    <n v="0"/>
    <n v="0"/>
    <n v="0"/>
    <n v="0"/>
    <n v="0"/>
    <n v="0"/>
    <n v="42682.425073457394"/>
    <n v="41427.841995841991"/>
    <n v="0"/>
    <n v="0"/>
    <n v="0"/>
    <n v="0"/>
    <n v="0"/>
    <n v="0"/>
    <n v="0"/>
    <n v="0"/>
    <n v="0"/>
    <n v="0"/>
    <n v="42682.425073457394"/>
    <n v="41427.841995841991"/>
    <n v="105"/>
    <n v="96"/>
    <n v="0"/>
    <n v="0"/>
    <n v="0"/>
    <n v="0"/>
    <n v="0"/>
    <n v="0"/>
    <n v="0"/>
    <n v="0"/>
    <n v="0"/>
    <n v="0"/>
    <n v="105"/>
    <n v="96"/>
    <n v="4481654.6327130264"/>
    <n v="3977072.8316008309"/>
    <n v="0"/>
    <n v="0"/>
    <n v="0"/>
    <n v="0"/>
    <n v="0"/>
    <n v="0"/>
    <n v="0"/>
    <n v="0"/>
    <n v="0"/>
    <n v="0"/>
    <n v="4481654.6327130264"/>
    <n v="3977072.8316008309"/>
  </r>
  <r>
    <x v="13"/>
    <s v="College of the Mainland"/>
    <m/>
    <n v="226408"/>
    <x v="7"/>
    <n v="3"/>
    <n v="20"/>
    <m/>
    <n v="0"/>
    <n v="18"/>
    <n v="2"/>
    <m/>
    <n v="0"/>
    <n v="3"/>
    <n v="21"/>
    <m/>
    <n v="0"/>
    <n v="37"/>
    <n v="8"/>
    <m/>
    <n v="4"/>
    <n v="11"/>
    <n v="32"/>
    <m/>
    <n v="0"/>
    <n v="41"/>
    <n v="11"/>
    <m/>
    <n v="13"/>
    <m/>
    <n v="0"/>
    <m/>
    <n v="0"/>
    <m/>
    <n v="0"/>
    <m/>
    <n v="0"/>
    <m/>
    <n v="0"/>
    <m/>
    <n v="0"/>
    <m/>
    <n v="0"/>
    <m/>
    <n v="0"/>
    <m/>
    <n v="0"/>
    <m/>
    <n v="0"/>
    <m/>
    <n v="0"/>
    <m/>
    <n v="0"/>
    <n v="1524522"/>
    <n v="1347633"/>
    <n v="2482501"/>
    <n v="1804503"/>
    <n v="2938729"/>
    <n v="3033217"/>
    <n v="0"/>
    <n v="0"/>
    <n v="0"/>
    <n v="0"/>
    <n v="0"/>
    <n v="0"/>
    <n v="225"/>
    <n v="202"/>
    <n v="434"/>
    <n v="325"/>
    <n v="550"/>
    <n v="565"/>
    <n v="0"/>
    <n v="0"/>
    <n v="0"/>
    <n v="0"/>
    <n v="0"/>
    <n v="0"/>
    <n v="6775.6533333333336"/>
    <n v="6671.4504950495048"/>
    <n v="5720.0483870967746"/>
    <n v="5552.3169230769226"/>
    <n v="5343.1436363636367"/>
    <n v="5368.5256637168141"/>
    <n v="0"/>
    <n v="0"/>
    <n v="0"/>
    <n v="0"/>
    <n v="0"/>
    <n v="0"/>
    <n v="60980.880000000005"/>
    <n v="60043.054455445541"/>
    <n v="51480.43548387097"/>
    <n v="49970.852307692301"/>
    <n v="48088.292727272732"/>
    <n v="48316.730973451326"/>
    <n v="0"/>
    <n v="0"/>
    <n v="0"/>
    <n v="0"/>
    <n v="0"/>
    <n v="0"/>
    <n v="51685.018771442657"/>
    <n v="51132.632961143448"/>
    <n v="21"/>
    <n v="22"/>
    <n v="40"/>
    <n v="33"/>
    <n v="52"/>
    <n v="56"/>
    <n v="0"/>
    <n v="0"/>
    <n v="0"/>
    <n v="0"/>
    <n v="0"/>
    <n v="0"/>
    <n v="113"/>
    <n v="111"/>
    <n v="1280598.48"/>
    <n v="1320947.1980198019"/>
    <n v="2059217.4193548388"/>
    <n v="1649038.126153846"/>
    <n v="2500591.2218181822"/>
    <n v="2705736.9345132741"/>
    <n v="0"/>
    <n v="0"/>
    <n v="0"/>
    <n v="0"/>
    <n v="0"/>
    <n v="0"/>
    <n v="5840407.1211730205"/>
    <n v="5675722.2586869225"/>
  </r>
  <r>
    <x v="13"/>
    <s v="Grayson County College "/>
    <m/>
    <n v="225070"/>
    <x v="7"/>
    <m/>
    <n v="73"/>
    <m/>
    <n v="16"/>
    <m/>
    <n v="2"/>
    <m/>
    <n v="11"/>
    <m/>
    <n v="0"/>
    <m/>
    <n v="0"/>
    <m/>
    <n v="0"/>
    <m/>
    <n v="0"/>
    <m/>
    <n v="0"/>
    <m/>
    <n v="0"/>
    <m/>
    <n v="0"/>
    <m/>
    <n v="0"/>
    <m/>
    <n v="0"/>
    <m/>
    <n v="0"/>
    <m/>
    <n v="0"/>
    <m/>
    <n v="0"/>
    <m/>
    <n v="0"/>
    <m/>
    <n v="0"/>
    <m/>
    <n v="0"/>
    <m/>
    <n v="0"/>
    <n v="87"/>
    <n v="0"/>
    <m/>
    <n v="0"/>
    <n v="14"/>
    <n v="0"/>
    <m/>
    <n v="0"/>
    <n v="0"/>
    <n v="5223932"/>
    <n v="0"/>
    <n v="0"/>
    <n v="0"/>
    <n v="0"/>
    <n v="0"/>
    <n v="0"/>
    <n v="0"/>
    <n v="0"/>
    <n v="5377791"/>
    <n v="0"/>
    <n v="0"/>
    <n v="971"/>
    <n v="0"/>
    <n v="0"/>
    <n v="0"/>
    <n v="0"/>
    <n v="0"/>
    <n v="0"/>
    <n v="0"/>
    <n v="0"/>
    <n v="937"/>
    <n v="0"/>
    <n v="0"/>
    <n v="5379.9505664263643"/>
    <n v="0"/>
    <n v="0"/>
    <n v="0"/>
    <n v="0"/>
    <n v="0"/>
    <n v="0"/>
    <n v="0"/>
    <n v="0"/>
    <n v="5739.3713980789753"/>
    <n v="0"/>
    <n v="0"/>
    <n v="48419.555097837278"/>
    <n v="0"/>
    <n v="0"/>
    <n v="0"/>
    <n v="0"/>
    <n v="0"/>
    <n v="0"/>
    <n v="0"/>
    <n v="0"/>
    <n v="51654.342582710779"/>
    <n v="0"/>
    <n v="51654.342582710779"/>
    <n v="48419.555097837278"/>
    <n v="0"/>
    <n v="102"/>
    <n v="0"/>
    <n v="0"/>
    <n v="0"/>
    <n v="0"/>
    <n v="0"/>
    <n v="0"/>
    <n v="0"/>
    <n v="0"/>
    <n v="101"/>
    <n v="0"/>
    <n v="101"/>
    <n v="102"/>
    <n v="0"/>
    <n v="4938794.6199794021"/>
    <n v="0"/>
    <n v="0"/>
    <n v="0"/>
    <n v="0"/>
    <n v="0"/>
    <n v="0"/>
    <n v="0"/>
    <n v="0"/>
    <n v="5217088.6008537887"/>
    <n v="0"/>
    <n v="5217088.6008537887"/>
    <n v="4938794.6199794021"/>
  </r>
  <r>
    <x v="13"/>
    <s v="Hill College"/>
    <m/>
    <n v="225371"/>
    <x v="7"/>
    <m/>
    <n v="0"/>
    <m/>
    <n v="0"/>
    <m/>
    <n v="0"/>
    <m/>
    <n v="0"/>
    <m/>
    <n v="0"/>
    <m/>
    <n v="0"/>
    <m/>
    <n v="0"/>
    <m/>
    <n v="0"/>
    <m/>
    <n v="0"/>
    <m/>
    <n v="0"/>
    <m/>
    <n v="0"/>
    <m/>
    <n v="0"/>
    <m/>
    <n v="0"/>
    <m/>
    <n v="0"/>
    <m/>
    <n v="0"/>
    <m/>
    <n v="0"/>
    <m/>
    <n v="0"/>
    <m/>
    <n v="0"/>
    <m/>
    <n v="0"/>
    <m/>
    <n v="0"/>
    <n v="73"/>
    <n v="71"/>
    <m/>
    <n v="0"/>
    <n v="12"/>
    <n v="4"/>
    <m/>
    <n v="14"/>
    <n v="0"/>
    <n v="0"/>
    <n v="0"/>
    <n v="0"/>
    <n v="0"/>
    <n v="0"/>
    <n v="0"/>
    <n v="0"/>
    <n v="0"/>
    <n v="0"/>
    <n v="3670162"/>
    <n v="3964884"/>
    <n v="0"/>
    <n v="0"/>
    <n v="0"/>
    <n v="0"/>
    <n v="0"/>
    <n v="0"/>
    <n v="0"/>
    <n v="0"/>
    <n v="0"/>
    <n v="0"/>
    <n v="789"/>
    <n v="851"/>
    <n v="0"/>
    <n v="0"/>
    <n v="0"/>
    <n v="0"/>
    <n v="0"/>
    <n v="0"/>
    <n v="0"/>
    <n v="0"/>
    <n v="0"/>
    <n v="0"/>
    <n v="4651.6628643852982"/>
    <n v="4659.0881316098703"/>
    <n v="0"/>
    <n v="0"/>
    <n v="0"/>
    <n v="0"/>
    <n v="0"/>
    <n v="0"/>
    <n v="0"/>
    <n v="0"/>
    <n v="0"/>
    <n v="0"/>
    <n v="41864.965779467682"/>
    <n v="41931.79318448883"/>
    <n v="41864.965779467682"/>
    <n v="41931.79318448883"/>
    <n v="0"/>
    <n v="0"/>
    <n v="0"/>
    <n v="0"/>
    <n v="0"/>
    <n v="0"/>
    <n v="0"/>
    <n v="0"/>
    <n v="0"/>
    <n v="0"/>
    <n v="85"/>
    <n v="89"/>
    <n v="85"/>
    <n v="89"/>
    <n v="0"/>
    <n v="0"/>
    <n v="0"/>
    <n v="0"/>
    <n v="0"/>
    <n v="0"/>
    <n v="0"/>
    <n v="0"/>
    <n v="0"/>
    <n v="0"/>
    <n v="3558522.0912547531"/>
    <n v="3731929.5934195057"/>
    <n v="3558522.0912547531"/>
    <n v="3731929.5934195057"/>
  </r>
  <r>
    <x v="13"/>
    <s v="Howard College (HCJCD)"/>
    <m/>
    <n v="225520"/>
    <x v="7"/>
    <n v="7"/>
    <n v="3"/>
    <m/>
    <n v="3"/>
    <n v="2"/>
    <n v="1"/>
    <m/>
    <n v="1"/>
    <n v="18"/>
    <n v="15"/>
    <m/>
    <n v="8"/>
    <n v="5"/>
    <n v="2"/>
    <m/>
    <n v="1"/>
    <n v="24"/>
    <n v="19"/>
    <m/>
    <n v="5"/>
    <n v="15"/>
    <n v="4"/>
    <m/>
    <n v="7"/>
    <n v="29"/>
    <n v="22"/>
    <m/>
    <n v="12"/>
    <n v="38"/>
    <n v="3"/>
    <m/>
    <n v="27"/>
    <m/>
    <n v="0"/>
    <m/>
    <n v="0"/>
    <m/>
    <n v="0"/>
    <m/>
    <n v="0"/>
    <m/>
    <n v="0"/>
    <m/>
    <n v="0"/>
    <m/>
    <n v="0"/>
    <m/>
    <n v="0"/>
    <n v="489594"/>
    <n v="434506"/>
    <n v="1085663"/>
    <n v="1229553"/>
    <n v="1753650"/>
    <n v="1466726"/>
    <n v="2858638"/>
    <n v="2670148"/>
    <n v="0"/>
    <n v="0"/>
    <n v="0"/>
    <n v="0"/>
    <n v="85"/>
    <n v="80"/>
    <n v="217"/>
    <n v="249"/>
    <n v="381"/>
    <n v="349"/>
    <n v="679"/>
    <n v="675"/>
    <n v="0"/>
    <n v="0"/>
    <n v="0"/>
    <n v="0"/>
    <n v="5759.9294117647059"/>
    <n v="5431.3249999999998"/>
    <n v="5003.0552995391708"/>
    <n v="4937.9638554216872"/>
    <n v="4602.7559055118109"/>
    <n v="4202.65329512894"/>
    <n v="4210.0706921944038"/>
    <n v="3955.7748148148148"/>
    <n v="0"/>
    <n v="0"/>
    <n v="0"/>
    <n v="0"/>
    <n v="51839.364705882355"/>
    <n v="48881.924999999996"/>
    <n v="45027.497695852537"/>
    <n v="44441.674698795185"/>
    <n v="41424.803149606298"/>
    <n v="37823.879656160461"/>
    <n v="37890.636229749638"/>
    <n v="35601.973333333335"/>
    <n v="0"/>
    <n v="0"/>
    <n v="0"/>
    <n v="0"/>
    <n v="40988.599127430592"/>
    <n v="38713.54152983176"/>
    <n v="9"/>
    <n v="8"/>
    <n v="23"/>
    <n v="26"/>
    <n v="39"/>
    <n v="35"/>
    <n v="67"/>
    <n v="64"/>
    <n v="0"/>
    <n v="0"/>
    <n v="0"/>
    <n v="0"/>
    <n v="138"/>
    <n v="133"/>
    <n v="466554.28235294123"/>
    <n v="391055.39999999997"/>
    <n v="1035632.4470046083"/>
    <n v="1155483.5421686748"/>
    <n v="1615567.3228346456"/>
    <n v="1323835.7879656162"/>
    <n v="2538672.6273932257"/>
    <n v="2278526.2933333335"/>
    <n v="0"/>
    <n v="0"/>
    <n v="0"/>
    <n v="0"/>
    <n v="5656426.6795854215"/>
    <n v="5148901.0234676246"/>
  </r>
  <r>
    <x v="13"/>
    <s v="Lamar Institute of Technology"/>
    <m/>
    <n v="441760"/>
    <x v="7"/>
    <m/>
    <n v="0"/>
    <m/>
    <n v="0"/>
    <m/>
    <n v="0"/>
    <m/>
    <n v="0"/>
    <m/>
    <n v="0"/>
    <m/>
    <n v="0"/>
    <m/>
    <n v="0"/>
    <m/>
    <n v="0"/>
    <m/>
    <n v="0"/>
    <m/>
    <n v="0"/>
    <m/>
    <n v="0"/>
    <m/>
    <n v="0"/>
    <n v="76"/>
    <n v="70"/>
    <m/>
    <n v="0"/>
    <m/>
    <n v="0"/>
    <m/>
    <n v="4"/>
    <m/>
    <n v="0"/>
    <m/>
    <n v="0"/>
    <m/>
    <n v="0"/>
    <m/>
    <n v="0"/>
    <m/>
    <n v="0"/>
    <m/>
    <n v="0"/>
    <m/>
    <n v="0"/>
    <m/>
    <n v="0"/>
    <n v="0"/>
    <n v="0"/>
    <n v="0"/>
    <n v="0"/>
    <n v="0"/>
    <n v="0"/>
    <n v="3751076.0000000005"/>
    <n v="3709327"/>
    <n v="0"/>
    <n v="0"/>
    <n v="0"/>
    <n v="0"/>
    <n v="0"/>
    <n v="0"/>
    <n v="0"/>
    <n v="0"/>
    <n v="0"/>
    <n v="0"/>
    <n v="684"/>
    <n v="678"/>
    <n v="0"/>
    <n v="0"/>
    <n v="0"/>
    <n v="0"/>
    <n v="0"/>
    <n v="0"/>
    <n v="0"/>
    <n v="0"/>
    <n v="0"/>
    <n v="0"/>
    <n v="5484.0292397660824"/>
    <n v="5470.9837758112099"/>
    <n v="0"/>
    <n v="0"/>
    <n v="0"/>
    <n v="0"/>
    <n v="0"/>
    <n v="0"/>
    <n v="0"/>
    <n v="0"/>
    <n v="0"/>
    <n v="0"/>
    <n v="49356.26315789474"/>
    <n v="49238.85398230089"/>
    <n v="0"/>
    <n v="0"/>
    <n v="0"/>
    <n v="0"/>
    <n v="49356.26315789474"/>
    <n v="49238.85398230089"/>
    <n v="0"/>
    <n v="0"/>
    <n v="0"/>
    <n v="0"/>
    <n v="0"/>
    <n v="0"/>
    <n v="76"/>
    <n v="74"/>
    <n v="0"/>
    <n v="0"/>
    <n v="0"/>
    <n v="0"/>
    <n v="76"/>
    <n v="74"/>
    <n v="0"/>
    <n v="0"/>
    <n v="0"/>
    <n v="0"/>
    <n v="0"/>
    <n v="0"/>
    <n v="3751076.0000000005"/>
    <n v="3643675.1946902657"/>
    <n v="0"/>
    <n v="0"/>
    <n v="0"/>
    <n v="0"/>
    <n v="3751076.0000000005"/>
    <n v="3643675.1946902657"/>
  </r>
  <r>
    <x v="13"/>
    <s v="Lamar State College-Port Arthur"/>
    <s v="Reclassified: Met the criteria for Two-Year 2 in 2010-11, 2011-12, and 2012-13."/>
    <n v="226116"/>
    <x v="7"/>
    <n v="3"/>
    <n v="3"/>
    <m/>
    <n v="0"/>
    <m/>
    <n v="0"/>
    <m/>
    <n v="0"/>
    <n v="1"/>
    <n v="1"/>
    <m/>
    <n v="0"/>
    <m/>
    <n v="0"/>
    <m/>
    <n v="0"/>
    <n v="4"/>
    <n v="4"/>
    <m/>
    <n v="0"/>
    <n v="1"/>
    <n v="0"/>
    <m/>
    <n v="1"/>
    <n v="32"/>
    <n v="34"/>
    <m/>
    <n v="0"/>
    <n v="29"/>
    <n v="0"/>
    <m/>
    <n v="23"/>
    <m/>
    <n v="0"/>
    <m/>
    <n v="0"/>
    <m/>
    <n v="0"/>
    <m/>
    <n v="0"/>
    <m/>
    <n v="0"/>
    <m/>
    <n v="0"/>
    <m/>
    <n v="0"/>
    <m/>
    <n v="3"/>
    <n v="155011"/>
    <n v="159661"/>
    <n v="46321"/>
    <n v="47711"/>
    <n v="255118"/>
    <n v="262772"/>
    <n v="2558889"/>
    <n v="2558912"/>
    <n v="0"/>
    <n v="0"/>
    <n v="0"/>
    <n v="100467"/>
    <n v="27"/>
    <n v="27"/>
    <n v="9"/>
    <n v="9"/>
    <n v="47"/>
    <n v="48"/>
    <n v="607"/>
    <n v="582"/>
    <n v="0"/>
    <n v="0"/>
    <n v="0"/>
    <n v="36"/>
    <n v="5741.1481481481478"/>
    <n v="5913.3703703703704"/>
    <n v="5146.7777777777774"/>
    <n v="5301.2222222222226"/>
    <n v="5428.0425531914898"/>
    <n v="5474.416666666667"/>
    <n v="4215.632619439868"/>
    <n v="4396.7560137457049"/>
    <n v="0"/>
    <n v="0"/>
    <n v="0"/>
    <n v="2790.75"/>
    <n v="51670.333333333328"/>
    <n v="53220.333333333336"/>
    <n v="46321"/>
    <n v="47711"/>
    <n v="48852.382978723406"/>
    <n v="49269.75"/>
    <n v="37940.693574958816"/>
    <n v="39570.804123711343"/>
    <n v="0"/>
    <n v="0"/>
    <n v="0"/>
    <n v="25116.75"/>
    <n v="39428.231756658643"/>
    <n v="40356.620797848496"/>
    <n v="3"/>
    <n v="3"/>
    <n v="1"/>
    <n v="1"/>
    <n v="5"/>
    <n v="5"/>
    <n v="61"/>
    <n v="57"/>
    <n v="0"/>
    <n v="0"/>
    <n v="0"/>
    <n v="3"/>
    <n v="70"/>
    <n v="69"/>
    <n v="155011"/>
    <n v="159661"/>
    <n v="46321"/>
    <n v="47711"/>
    <n v="244261.91489361704"/>
    <n v="246348.75"/>
    <n v="2314382.3080724878"/>
    <n v="2255535.8350515463"/>
    <n v="0"/>
    <n v="0"/>
    <n v="0"/>
    <n v="75350.25"/>
    <n v="2759976.2229661047"/>
    <n v="2784606.8350515463"/>
  </r>
  <r>
    <x v="13"/>
    <s v="Lee College "/>
    <m/>
    <n v="226204"/>
    <x v="7"/>
    <m/>
    <n v="0"/>
    <m/>
    <n v="0"/>
    <m/>
    <n v="0"/>
    <m/>
    <n v="0"/>
    <m/>
    <n v="0"/>
    <m/>
    <n v="0"/>
    <m/>
    <n v="0"/>
    <m/>
    <n v="0"/>
    <m/>
    <n v="0"/>
    <m/>
    <n v="0"/>
    <m/>
    <n v="0"/>
    <m/>
    <n v="0"/>
    <n v="139"/>
    <n v="137"/>
    <m/>
    <n v="0"/>
    <n v="16"/>
    <n v="0"/>
    <m/>
    <n v="13"/>
    <m/>
    <n v="0"/>
    <m/>
    <n v="0"/>
    <m/>
    <n v="0"/>
    <m/>
    <n v="0"/>
    <m/>
    <n v="0"/>
    <m/>
    <n v="0"/>
    <m/>
    <n v="0"/>
    <m/>
    <n v="0"/>
    <n v="0"/>
    <n v="0"/>
    <n v="0"/>
    <n v="0"/>
    <n v="0"/>
    <n v="0"/>
    <n v="8160982"/>
    <n v="8087194"/>
    <n v="0"/>
    <n v="0"/>
    <n v="0"/>
    <n v="0"/>
    <n v="0"/>
    <n v="0"/>
    <n v="0"/>
    <n v="0"/>
    <n v="0"/>
    <n v="0"/>
    <n v="1427"/>
    <n v="1389"/>
    <n v="0"/>
    <n v="0"/>
    <n v="0"/>
    <n v="0"/>
    <n v="0"/>
    <n v="0"/>
    <n v="0"/>
    <n v="0"/>
    <n v="0"/>
    <n v="0"/>
    <n v="5718.9782761037141"/>
    <n v="5822.3138948884089"/>
    <n v="0"/>
    <n v="0"/>
    <n v="0"/>
    <n v="0"/>
    <n v="0"/>
    <n v="0"/>
    <n v="0"/>
    <n v="0"/>
    <n v="0"/>
    <n v="0"/>
    <n v="51470.804484933426"/>
    <n v="52400.825053995679"/>
    <n v="0"/>
    <n v="0"/>
    <n v="0"/>
    <n v="0"/>
    <n v="51470.804484933426"/>
    <n v="52400.825053995679"/>
    <n v="0"/>
    <n v="0"/>
    <n v="0"/>
    <n v="0"/>
    <n v="0"/>
    <n v="0"/>
    <n v="155"/>
    <n v="150"/>
    <n v="0"/>
    <n v="0"/>
    <n v="0"/>
    <n v="0"/>
    <n v="155"/>
    <n v="150"/>
    <n v="0"/>
    <n v="0"/>
    <n v="0"/>
    <n v="0"/>
    <n v="0"/>
    <n v="0"/>
    <n v="7977974.6951646814"/>
    <n v="7860123.758099352"/>
    <n v="0"/>
    <n v="0"/>
    <n v="0"/>
    <n v="0"/>
    <n v="7977974.6951646814"/>
    <n v="7860123.758099352"/>
  </r>
  <r>
    <x v="13"/>
    <s v="Mountain View College  (DCCCD)"/>
    <m/>
    <n v="226930"/>
    <x v="7"/>
    <m/>
    <n v="0"/>
    <m/>
    <n v="0"/>
    <m/>
    <n v="0"/>
    <m/>
    <n v="0"/>
    <m/>
    <n v="0"/>
    <m/>
    <n v="0"/>
    <m/>
    <n v="0"/>
    <m/>
    <n v="0"/>
    <m/>
    <n v="0"/>
    <m/>
    <n v="0"/>
    <m/>
    <n v="0"/>
    <m/>
    <n v="0"/>
    <m/>
    <n v="0"/>
    <m/>
    <n v="0"/>
    <m/>
    <n v="0"/>
    <m/>
    <n v="0"/>
    <m/>
    <n v="0"/>
    <m/>
    <n v="0"/>
    <m/>
    <n v="0"/>
    <m/>
    <n v="0"/>
    <n v="70"/>
    <n v="74"/>
    <m/>
    <n v="0"/>
    <m/>
    <n v="0"/>
    <m/>
    <n v="0"/>
    <n v="0"/>
    <n v="0"/>
    <n v="0"/>
    <n v="0"/>
    <n v="0"/>
    <n v="0"/>
    <n v="0"/>
    <n v="0"/>
    <n v="0"/>
    <n v="0"/>
    <n v="4126706"/>
    <n v="4681146"/>
    <n v="0"/>
    <n v="0"/>
    <n v="0"/>
    <n v="0"/>
    <n v="0"/>
    <n v="0"/>
    <n v="0"/>
    <n v="0"/>
    <n v="0"/>
    <n v="0"/>
    <n v="630"/>
    <n v="666"/>
    <n v="0"/>
    <n v="0"/>
    <n v="0"/>
    <n v="0"/>
    <n v="0"/>
    <n v="0"/>
    <n v="0"/>
    <n v="0"/>
    <n v="0"/>
    <n v="0"/>
    <n v="6550.3269841269839"/>
    <n v="7028.7477477477478"/>
    <n v="0"/>
    <n v="0"/>
    <n v="0"/>
    <n v="0"/>
    <n v="0"/>
    <n v="0"/>
    <n v="0"/>
    <n v="0"/>
    <n v="0"/>
    <n v="0"/>
    <n v="58952.942857142858"/>
    <n v="63258.729729729734"/>
    <n v="58952.942857142858"/>
    <n v="63258.729729729726"/>
    <n v="0"/>
    <n v="0"/>
    <n v="0"/>
    <n v="0"/>
    <n v="0"/>
    <n v="0"/>
    <n v="0"/>
    <n v="0"/>
    <n v="0"/>
    <n v="0"/>
    <n v="70"/>
    <n v="74"/>
    <n v="70"/>
    <n v="74"/>
    <n v="0"/>
    <n v="0"/>
    <n v="0"/>
    <n v="0"/>
    <n v="0"/>
    <n v="0"/>
    <n v="0"/>
    <n v="0"/>
    <n v="0"/>
    <n v="0"/>
    <n v="4126706"/>
    <n v="4681146"/>
    <n v="4126706"/>
    <n v="4681146"/>
  </r>
  <r>
    <x v="13"/>
    <s v="Northeast Texas Community College "/>
    <m/>
    <n v="227225"/>
    <x v="7"/>
    <n v="25"/>
    <n v="22"/>
    <m/>
    <n v="6"/>
    <n v="6"/>
    <n v="1"/>
    <m/>
    <n v="3"/>
    <n v="12"/>
    <n v="8"/>
    <m/>
    <n v="0"/>
    <m/>
    <n v="1"/>
    <m/>
    <n v="0"/>
    <n v="6"/>
    <n v="5"/>
    <m/>
    <n v="0"/>
    <n v="5"/>
    <n v="1"/>
    <m/>
    <n v="3"/>
    <n v="8"/>
    <n v="10"/>
    <m/>
    <n v="0"/>
    <n v="7"/>
    <n v="1"/>
    <m/>
    <n v="5"/>
    <m/>
    <n v="0"/>
    <m/>
    <n v="0"/>
    <m/>
    <n v="0"/>
    <m/>
    <n v="0"/>
    <m/>
    <n v="0"/>
    <m/>
    <n v="0"/>
    <m/>
    <n v="0"/>
    <m/>
    <n v="0"/>
    <n v="1902977"/>
    <n v="2041960"/>
    <n v="601727"/>
    <n v="462821"/>
    <n v="566421"/>
    <n v="445083"/>
    <n v="729724"/>
    <n v="794111"/>
    <n v="0"/>
    <n v="0"/>
    <n v="0"/>
    <n v="0"/>
    <n v="291"/>
    <n v="305"/>
    <n v="108"/>
    <n v="83"/>
    <n v="109"/>
    <n v="92"/>
    <n v="149"/>
    <n v="161"/>
    <n v="0"/>
    <n v="0"/>
    <n v="0"/>
    <n v="0"/>
    <n v="6539.4398625429558"/>
    <n v="6694.9508196721308"/>
    <n v="5571.5462962962965"/>
    <n v="5576.1566265060237"/>
    <n v="5196.5229357798162"/>
    <n v="4837.858695652174"/>
    <n v="4897.4765100671138"/>
    <n v="4932.3664596273293"/>
    <n v="0"/>
    <n v="0"/>
    <n v="0"/>
    <n v="0"/>
    <n v="58854.958762886599"/>
    <n v="60254.557377049176"/>
    <n v="50143.916666666672"/>
    <n v="50185.409638554214"/>
    <n v="46768.706422018346"/>
    <n v="43540.728260869568"/>
    <n v="44077.288590604025"/>
    <n v="44391.298136645964"/>
    <n v="0"/>
    <n v="0"/>
    <n v="0"/>
    <n v="0"/>
    <n v="52200.664074648506"/>
    <n v="52756.69465676853"/>
    <n v="31"/>
    <n v="32"/>
    <n v="12"/>
    <n v="9"/>
    <n v="11"/>
    <n v="9"/>
    <n v="15"/>
    <n v="16"/>
    <n v="0"/>
    <n v="0"/>
    <n v="0"/>
    <n v="0"/>
    <n v="69"/>
    <n v="66"/>
    <n v="1824503.7216494845"/>
    <n v="1928145.8360655736"/>
    <n v="601727"/>
    <n v="451668.68674698792"/>
    <n v="514455.77064220182"/>
    <n v="391866.55434782611"/>
    <n v="661159.32885906042"/>
    <n v="710260.77018633543"/>
    <n v="0"/>
    <n v="0"/>
    <n v="0"/>
    <n v="0"/>
    <n v="3601845.8211507471"/>
    <n v="3481941.8473467231"/>
  </r>
  <r>
    <x v="13"/>
    <s v="Odessa College "/>
    <m/>
    <n v="227304"/>
    <x v="7"/>
    <n v="15"/>
    <n v="15"/>
    <m/>
    <n v="0"/>
    <n v="2"/>
    <n v="0"/>
    <m/>
    <n v="0"/>
    <n v="25"/>
    <n v="31"/>
    <m/>
    <n v="2"/>
    <n v="6"/>
    <n v="0"/>
    <m/>
    <n v="9"/>
    <n v="24"/>
    <n v="14"/>
    <m/>
    <n v="1"/>
    <n v="5"/>
    <n v="0"/>
    <m/>
    <n v="5"/>
    <n v="40"/>
    <n v="39"/>
    <m/>
    <n v="2"/>
    <n v="7"/>
    <n v="0"/>
    <m/>
    <n v="7"/>
    <m/>
    <n v="0"/>
    <m/>
    <n v="0"/>
    <m/>
    <n v="0"/>
    <m/>
    <n v="0"/>
    <m/>
    <n v="0"/>
    <m/>
    <n v="0"/>
    <m/>
    <n v="0"/>
    <m/>
    <n v="0"/>
    <n v="1031582"/>
    <n v="754910"/>
    <n v="1600707"/>
    <n v="2089302"/>
    <n v="1516005"/>
    <n v="1104623"/>
    <n v="2249951"/>
    <n v="2415094"/>
    <n v="0"/>
    <n v="0"/>
    <n v="0"/>
    <n v="0"/>
    <n v="157"/>
    <n v="135"/>
    <n v="291"/>
    <n v="407"/>
    <n v="271"/>
    <n v="196"/>
    <n v="437"/>
    <n v="455"/>
    <n v="0"/>
    <n v="0"/>
    <n v="0"/>
    <n v="0"/>
    <n v="6570.5859872611463"/>
    <n v="5591.9259259259261"/>
    <n v="5500.7113402061859"/>
    <n v="5133.4201474201473"/>
    <n v="5594.1143911439112"/>
    <n v="5635.8316326530612"/>
    <n v="5148.6292906178487"/>
    <n v="5307.8989010989008"/>
    <n v="0"/>
    <n v="0"/>
    <n v="0"/>
    <n v="0"/>
    <n v="59135.273885350318"/>
    <n v="50327.333333333336"/>
    <n v="49506.402061855675"/>
    <n v="46200.781326781325"/>
    <n v="50347.029520295204"/>
    <n v="50722.484693877552"/>
    <n v="46337.663615560639"/>
    <n v="47771.090109890109"/>
    <n v="0"/>
    <n v="0"/>
    <n v="0"/>
    <n v="0"/>
    <n v="49822.03359668058"/>
    <n v="48022.438679016741"/>
    <n v="17"/>
    <n v="15"/>
    <n v="31"/>
    <n v="42"/>
    <n v="29"/>
    <n v="20"/>
    <n v="47"/>
    <n v="48"/>
    <n v="0"/>
    <n v="0"/>
    <n v="0"/>
    <n v="0"/>
    <n v="124"/>
    <n v="125"/>
    <n v="1005299.6560509554"/>
    <n v="754910"/>
    <n v="1534698.463917526"/>
    <n v="1940432.8157248157"/>
    <n v="1460063.856088561"/>
    <n v="1014449.693877551"/>
    <n v="2177870.1899313498"/>
    <n v="2293012.3252747254"/>
    <n v="0"/>
    <n v="0"/>
    <n v="0"/>
    <n v="0"/>
    <n v="6177932.1659883922"/>
    <n v="6002804.8348770924"/>
  </r>
  <r>
    <x v="13"/>
    <s v="Paris Junior College"/>
    <m/>
    <n v="227401"/>
    <x v="7"/>
    <m/>
    <n v="0"/>
    <m/>
    <n v="0"/>
    <m/>
    <n v="0"/>
    <m/>
    <n v="0"/>
    <m/>
    <n v="0"/>
    <m/>
    <n v="0"/>
    <m/>
    <n v="0"/>
    <m/>
    <n v="0"/>
    <m/>
    <n v="0"/>
    <m/>
    <n v="0"/>
    <m/>
    <n v="0"/>
    <m/>
    <n v="0"/>
    <m/>
    <n v="0"/>
    <m/>
    <n v="0"/>
    <m/>
    <n v="0"/>
    <m/>
    <n v="0"/>
    <m/>
    <n v="0"/>
    <m/>
    <n v="0"/>
    <m/>
    <n v="0"/>
    <m/>
    <n v="0"/>
    <n v="69"/>
    <n v="68"/>
    <m/>
    <n v="11"/>
    <n v="22"/>
    <n v="0"/>
    <m/>
    <n v="17"/>
    <n v="0"/>
    <n v="0"/>
    <n v="0"/>
    <n v="0"/>
    <n v="0"/>
    <n v="0"/>
    <n v="0"/>
    <n v="0"/>
    <n v="0"/>
    <n v="0"/>
    <n v="5216863"/>
    <n v="5599097"/>
    <n v="0"/>
    <n v="0"/>
    <n v="0"/>
    <n v="0"/>
    <n v="0"/>
    <n v="0"/>
    <n v="0"/>
    <n v="0"/>
    <n v="0"/>
    <n v="0"/>
    <n v="863"/>
    <n v="926"/>
    <n v="0"/>
    <n v="0"/>
    <n v="0"/>
    <n v="0"/>
    <n v="0"/>
    <n v="0"/>
    <n v="0"/>
    <n v="0"/>
    <n v="0"/>
    <n v="0"/>
    <n v="6045.0324449594436"/>
    <n v="6046.5410367170625"/>
    <n v="0"/>
    <n v="0"/>
    <n v="0"/>
    <n v="0"/>
    <n v="0"/>
    <n v="0"/>
    <n v="0"/>
    <n v="0"/>
    <n v="0"/>
    <n v="0"/>
    <n v="54405.29200463499"/>
    <n v="54418.869330453563"/>
    <n v="54405.292004634997"/>
    <n v="54418.869330453563"/>
    <n v="0"/>
    <n v="0"/>
    <n v="0"/>
    <n v="0"/>
    <n v="0"/>
    <n v="0"/>
    <n v="0"/>
    <n v="0"/>
    <n v="0"/>
    <n v="0"/>
    <n v="91"/>
    <n v="96"/>
    <n v="91"/>
    <n v="96"/>
    <n v="0"/>
    <n v="0"/>
    <n v="0"/>
    <n v="0"/>
    <n v="0"/>
    <n v="0"/>
    <n v="0"/>
    <n v="0"/>
    <n v="0"/>
    <n v="0"/>
    <n v="4950881.5724217845"/>
    <n v="5224211.4557235418"/>
    <n v="4950881.5724217845"/>
    <n v="5224211.4557235418"/>
  </r>
  <r>
    <x v="13"/>
    <s v="Southwest Texas Junior College "/>
    <m/>
    <n v="228316"/>
    <x v="7"/>
    <m/>
    <n v="0"/>
    <m/>
    <n v="0"/>
    <m/>
    <n v="0"/>
    <m/>
    <n v="0"/>
    <m/>
    <n v="0"/>
    <m/>
    <n v="0"/>
    <m/>
    <n v="0"/>
    <m/>
    <n v="0"/>
    <m/>
    <n v="0"/>
    <m/>
    <n v="0"/>
    <m/>
    <n v="0"/>
    <m/>
    <n v="0"/>
    <n v="110"/>
    <n v="69"/>
    <m/>
    <n v="2"/>
    <n v="8"/>
    <n v="1"/>
    <m/>
    <n v="1"/>
    <m/>
    <n v="0"/>
    <m/>
    <n v="0"/>
    <m/>
    <n v="0"/>
    <m/>
    <n v="0"/>
    <m/>
    <n v="0"/>
    <m/>
    <n v="0"/>
    <m/>
    <n v="0"/>
    <m/>
    <n v="0"/>
    <n v="0"/>
    <n v="0"/>
    <n v="0"/>
    <n v="0"/>
    <n v="0"/>
    <n v="0"/>
    <n v="6161636"/>
    <n v="5485295"/>
    <n v="0"/>
    <n v="0"/>
    <n v="0"/>
    <n v="0"/>
    <n v="0"/>
    <n v="0"/>
    <n v="0"/>
    <n v="0"/>
    <n v="0"/>
    <n v="0"/>
    <n v="1078"/>
    <n v="664"/>
    <n v="0"/>
    <n v="0"/>
    <n v="0"/>
    <n v="0"/>
    <n v="0"/>
    <n v="0"/>
    <n v="0"/>
    <n v="0"/>
    <n v="0"/>
    <n v="0"/>
    <n v="5715.8033395176253"/>
    <n v="8260.9864457831318"/>
    <n v="0"/>
    <n v="0"/>
    <n v="0"/>
    <n v="0"/>
    <n v="0"/>
    <n v="0"/>
    <n v="0"/>
    <n v="0"/>
    <n v="0"/>
    <n v="0"/>
    <n v="51442.230055658627"/>
    <n v="74348.878012048182"/>
    <n v="0"/>
    <n v="0"/>
    <n v="0"/>
    <n v="0"/>
    <n v="51442.230055658627"/>
    <n v="74348.878012048182"/>
    <n v="0"/>
    <n v="0"/>
    <n v="0"/>
    <n v="0"/>
    <n v="0"/>
    <n v="0"/>
    <n v="118"/>
    <n v="73"/>
    <n v="0"/>
    <n v="0"/>
    <n v="0"/>
    <n v="0"/>
    <n v="118"/>
    <n v="73"/>
    <n v="0"/>
    <n v="0"/>
    <n v="0"/>
    <n v="0"/>
    <n v="0"/>
    <n v="0"/>
    <n v="6070183.1465677181"/>
    <n v="5427468.0948795173"/>
    <n v="0"/>
    <n v="0"/>
    <n v="0"/>
    <n v="0"/>
    <n v="6070183.1465677181"/>
    <n v="5427468.0948795173"/>
  </r>
  <r>
    <x v="13"/>
    <s v="Temple College "/>
    <m/>
    <n v="228608"/>
    <x v="7"/>
    <m/>
    <n v="0"/>
    <m/>
    <n v="0"/>
    <m/>
    <n v="0"/>
    <m/>
    <n v="0"/>
    <m/>
    <n v="0"/>
    <m/>
    <n v="0"/>
    <m/>
    <n v="0"/>
    <m/>
    <n v="0"/>
    <m/>
    <n v="0"/>
    <m/>
    <n v="0"/>
    <m/>
    <n v="0"/>
    <m/>
    <n v="0"/>
    <n v="83"/>
    <n v="75"/>
    <m/>
    <n v="11"/>
    <n v="36"/>
    <n v="11"/>
    <m/>
    <n v="24"/>
    <m/>
    <n v="0"/>
    <m/>
    <n v="0"/>
    <m/>
    <n v="0"/>
    <m/>
    <n v="0"/>
    <m/>
    <n v="0"/>
    <m/>
    <n v="0"/>
    <m/>
    <n v="0"/>
    <m/>
    <n v="0"/>
    <n v="0"/>
    <n v="0"/>
    <n v="0"/>
    <n v="0"/>
    <n v="0"/>
    <n v="0"/>
    <n v="7076295"/>
    <n v="7372633"/>
    <n v="0"/>
    <n v="0"/>
    <n v="0"/>
    <n v="0"/>
    <n v="0"/>
    <n v="0"/>
    <n v="0"/>
    <n v="0"/>
    <n v="0"/>
    <n v="0"/>
    <n v="1143"/>
    <n v="1194"/>
    <n v="0"/>
    <n v="0"/>
    <n v="0"/>
    <n v="0"/>
    <n v="0"/>
    <n v="0"/>
    <n v="0"/>
    <n v="0"/>
    <n v="0"/>
    <n v="0"/>
    <n v="6190.9842519685035"/>
    <n v="6174.734505862647"/>
    <n v="0"/>
    <n v="0"/>
    <n v="0"/>
    <n v="0"/>
    <n v="0"/>
    <n v="0"/>
    <n v="0"/>
    <n v="0"/>
    <n v="0"/>
    <n v="0"/>
    <n v="55718.858267716532"/>
    <n v="55572.610552763821"/>
    <n v="0"/>
    <n v="0"/>
    <n v="0"/>
    <n v="0"/>
    <n v="55718.858267716532"/>
    <n v="55572.610552763821"/>
    <n v="0"/>
    <n v="0"/>
    <n v="0"/>
    <n v="0"/>
    <n v="0"/>
    <n v="0"/>
    <n v="119"/>
    <n v="121"/>
    <n v="0"/>
    <n v="0"/>
    <n v="0"/>
    <n v="0"/>
    <n v="119"/>
    <n v="121"/>
    <n v="0"/>
    <n v="0"/>
    <n v="0"/>
    <n v="0"/>
    <n v="0"/>
    <n v="0"/>
    <n v="6630544.1338582672"/>
    <n v="6724285.8768844223"/>
    <n v="0"/>
    <n v="0"/>
    <n v="0"/>
    <n v="0"/>
    <n v="6630544.1338582672"/>
    <n v="6724285.8768844223"/>
  </r>
  <r>
    <x v="13"/>
    <s v="Texarkana College "/>
    <m/>
    <n v="228699"/>
    <x v="7"/>
    <n v="28"/>
    <n v="24"/>
    <m/>
    <n v="0"/>
    <n v="2"/>
    <n v="3"/>
    <m/>
    <n v="1"/>
    <n v="23"/>
    <n v="18"/>
    <m/>
    <n v="1"/>
    <n v="2"/>
    <n v="1"/>
    <m/>
    <n v="2"/>
    <n v="16"/>
    <n v="16"/>
    <m/>
    <n v="0"/>
    <n v="3"/>
    <n v="0"/>
    <m/>
    <n v="2"/>
    <n v="4"/>
    <n v="2"/>
    <m/>
    <n v="1"/>
    <n v="22"/>
    <n v="0"/>
    <m/>
    <n v="18"/>
    <m/>
    <n v="0"/>
    <m/>
    <n v="0"/>
    <m/>
    <n v="0"/>
    <m/>
    <n v="0"/>
    <m/>
    <n v="0"/>
    <m/>
    <n v="0"/>
    <m/>
    <n v="0"/>
    <m/>
    <n v="0"/>
    <n v="1907883"/>
    <n v="1796941"/>
    <n v="1357761"/>
    <n v="1207449"/>
    <n v="972783"/>
    <n v="887029"/>
    <n v="1490431"/>
    <n v="1149205"/>
    <n v="0"/>
    <n v="0"/>
    <n v="0"/>
    <n v="0"/>
    <n v="274"/>
    <n v="261"/>
    <n v="229"/>
    <n v="207"/>
    <n v="177"/>
    <n v="168"/>
    <n v="278"/>
    <n v="244"/>
    <n v="0"/>
    <n v="0"/>
    <n v="0"/>
    <n v="0"/>
    <n v="6963.0766423357663"/>
    <n v="6884.8314176245212"/>
    <n v="5929.0873362445418"/>
    <n v="5833.086956521739"/>
    <n v="5495.9491525423728"/>
    <n v="5279.9345238095239"/>
    <n v="5361.2625899280574"/>
    <n v="4709.8565573770493"/>
    <n v="0"/>
    <n v="0"/>
    <n v="0"/>
    <n v="0"/>
    <n v="62667.689781021894"/>
    <n v="61963.482758620688"/>
    <n v="53361.786026200876"/>
    <n v="52497.782608695648"/>
    <n v="49463.542372881355"/>
    <n v="47519.410714285717"/>
    <n v="48251.363309352513"/>
    <n v="42388.709016393441"/>
    <n v="0"/>
    <n v="0"/>
    <n v="0"/>
    <n v="0"/>
    <n v="54084.180952135903"/>
    <n v="52083.606930720096"/>
    <n v="30"/>
    <n v="28"/>
    <n v="25"/>
    <n v="22"/>
    <n v="19"/>
    <n v="18"/>
    <n v="26"/>
    <n v="21"/>
    <n v="0"/>
    <n v="0"/>
    <n v="0"/>
    <n v="0"/>
    <n v="100"/>
    <n v="89"/>
    <n v="1880030.6934306568"/>
    <n v="1734977.5172413792"/>
    <n v="1334044.6506550219"/>
    <n v="1154951.2173913042"/>
    <n v="939807.30508474575"/>
    <n v="855349.39285714296"/>
    <n v="1254535.4460431654"/>
    <n v="890162.88934426231"/>
    <n v="0"/>
    <n v="0"/>
    <n v="0"/>
    <n v="0"/>
    <n v="5408418.0952135902"/>
    <n v="4635441.0168340886"/>
  </r>
  <r>
    <x v="13"/>
    <s v="Texas State Technical College-Harlingen "/>
    <m/>
    <n v="229319"/>
    <x v="7"/>
    <m/>
    <n v="0"/>
    <m/>
    <n v="0"/>
    <n v="5"/>
    <n v="0"/>
    <m/>
    <n v="3"/>
    <n v="1"/>
    <n v="3"/>
    <m/>
    <n v="0"/>
    <n v="15"/>
    <n v="0"/>
    <m/>
    <n v="18"/>
    <m/>
    <n v="0"/>
    <m/>
    <n v="0"/>
    <m/>
    <n v="0"/>
    <m/>
    <n v="0"/>
    <n v="27"/>
    <n v="27"/>
    <m/>
    <n v="0"/>
    <n v="100"/>
    <n v="0"/>
    <m/>
    <n v="102"/>
    <m/>
    <n v="0"/>
    <m/>
    <n v="0"/>
    <m/>
    <n v="0"/>
    <m/>
    <n v="0"/>
    <m/>
    <n v="0"/>
    <m/>
    <n v="0"/>
    <m/>
    <n v="0"/>
    <m/>
    <n v="0"/>
    <n v="326712"/>
    <n v="180012"/>
    <n v="848988"/>
    <n v="1091892"/>
    <n v="0"/>
    <n v="0"/>
    <n v="5726112"/>
    <n v="6213926"/>
    <n v="0"/>
    <n v="0"/>
    <n v="0"/>
    <n v="0"/>
    <n v="55"/>
    <n v="36"/>
    <n v="174"/>
    <n v="243"/>
    <n v="0"/>
    <n v="0"/>
    <n v="1343"/>
    <n v="1467"/>
    <n v="0"/>
    <n v="0"/>
    <n v="0"/>
    <n v="0"/>
    <n v="5940.2181818181816"/>
    <n v="5000.333333333333"/>
    <n v="4879.2413793103451"/>
    <n v="4493.3827160493829"/>
    <n v="0"/>
    <n v="0"/>
    <n v="4263.6723752792259"/>
    <n v="4235.805044308112"/>
    <n v="0"/>
    <n v="0"/>
    <n v="0"/>
    <n v="0"/>
    <n v="53461.963636363638"/>
    <n v="45003"/>
    <n v="43913.172413793109"/>
    <n v="40440.444444444445"/>
    <n v="0"/>
    <n v="0"/>
    <n v="38373.051377513031"/>
    <n v="38122.245398773011"/>
    <n v="0"/>
    <n v="0"/>
    <n v="0"/>
    <n v="0"/>
    <n v="39481.743930720695"/>
    <n v="38575.346338399031"/>
    <n v="5"/>
    <n v="3"/>
    <n v="16"/>
    <n v="21"/>
    <n v="0"/>
    <n v="0"/>
    <n v="127"/>
    <n v="129"/>
    <n v="0"/>
    <n v="0"/>
    <n v="0"/>
    <n v="0"/>
    <n v="148"/>
    <n v="153"/>
    <n v="267309.81818181818"/>
    <n v="135009"/>
    <n v="702610.75862068974"/>
    <n v="849249.33333333337"/>
    <n v="0"/>
    <n v="0"/>
    <n v="4873377.5249441545"/>
    <n v="4917769.6564417183"/>
    <n v="0"/>
    <n v="0"/>
    <n v="0"/>
    <n v="0"/>
    <n v="5843298.1017466625"/>
    <n v="5902027.9897750514"/>
  </r>
  <r>
    <x v="13"/>
    <s v="Vernon College "/>
    <m/>
    <n v="229504"/>
    <x v="7"/>
    <m/>
    <n v="0"/>
    <m/>
    <n v="0"/>
    <m/>
    <n v="0"/>
    <m/>
    <n v="0"/>
    <m/>
    <n v="0"/>
    <m/>
    <n v="0"/>
    <m/>
    <n v="0"/>
    <m/>
    <n v="0"/>
    <m/>
    <n v="0"/>
    <m/>
    <n v="0"/>
    <m/>
    <n v="0"/>
    <m/>
    <n v="0"/>
    <n v="51"/>
    <n v="52"/>
    <m/>
    <n v="1"/>
    <n v="30"/>
    <n v="2"/>
    <m/>
    <n v="28"/>
    <m/>
    <n v="0"/>
    <m/>
    <n v="0"/>
    <m/>
    <n v="0"/>
    <m/>
    <n v="0"/>
    <m/>
    <n v="0"/>
    <m/>
    <n v="0"/>
    <m/>
    <n v="0"/>
    <m/>
    <n v="0"/>
    <n v="0"/>
    <n v="0"/>
    <n v="0"/>
    <n v="0"/>
    <n v="0"/>
    <n v="0"/>
    <n v="3809445"/>
    <n v="3974819"/>
    <n v="0"/>
    <n v="0"/>
    <n v="0"/>
    <n v="0"/>
    <n v="0"/>
    <n v="0"/>
    <n v="0"/>
    <n v="0"/>
    <n v="0"/>
    <n v="0"/>
    <n v="789"/>
    <n v="836"/>
    <n v="0"/>
    <n v="0"/>
    <n v="0"/>
    <n v="0"/>
    <n v="0"/>
    <n v="0"/>
    <n v="0"/>
    <n v="0"/>
    <n v="0"/>
    <n v="0"/>
    <n v="4828.19391634981"/>
    <n v="4754.568181818182"/>
    <n v="0"/>
    <n v="0"/>
    <n v="0"/>
    <n v="0"/>
    <n v="0"/>
    <n v="0"/>
    <n v="0"/>
    <n v="0"/>
    <n v="0"/>
    <n v="0"/>
    <n v="43453.74524714829"/>
    <n v="42791.11363636364"/>
    <n v="0"/>
    <n v="0"/>
    <n v="0"/>
    <n v="0"/>
    <n v="43453.74524714829"/>
    <n v="42791.11363636364"/>
    <n v="0"/>
    <n v="0"/>
    <n v="0"/>
    <n v="0"/>
    <n v="0"/>
    <n v="0"/>
    <n v="81"/>
    <n v="83"/>
    <n v="0"/>
    <n v="0"/>
    <n v="0"/>
    <n v="0"/>
    <n v="81"/>
    <n v="83"/>
    <n v="0"/>
    <n v="0"/>
    <n v="0"/>
    <n v="0"/>
    <n v="0"/>
    <n v="0"/>
    <n v="3519753.3650190113"/>
    <n v="3551662.4318181821"/>
    <n v="0"/>
    <n v="0"/>
    <n v="0"/>
    <n v="0"/>
    <n v="3519753.3650190113"/>
    <n v="3551662.4318181821"/>
  </r>
  <r>
    <x v="13"/>
    <s v="Victoria College "/>
    <m/>
    <n v="229540"/>
    <x v="7"/>
    <n v="70"/>
    <n v="63"/>
    <m/>
    <n v="5"/>
    <n v="26"/>
    <n v="2"/>
    <m/>
    <n v="22"/>
    <m/>
    <n v="0"/>
    <m/>
    <n v="0"/>
    <m/>
    <n v="0"/>
    <m/>
    <n v="0"/>
    <m/>
    <n v="0"/>
    <m/>
    <n v="0"/>
    <m/>
    <n v="0"/>
    <m/>
    <n v="0"/>
    <m/>
    <n v="0"/>
    <m/>
    <n v="0"/>
    <m/>
    <n v="0"/>
    <m/>
    <n v="0"/>
    <m/>
    <n v="0"/>
    <m/>
    <n v="0"/>
    <m/>
    <n v="0"/>
    <m/>
    <n v="0"/>
    <m/>
    <n v="0"/>
    <m/>
    <n v="0"/>
    <m/>
    <n v="0"/>
    <m/>
    <n v="14"/>
    <n v="5349973"/>
    <n v="5221195"/>
    <n v="0"/>
    <n v="0"/>
    <n v="0"/>
    <n v="0"/>
    <n v="0"/>
    <n v="0"/>
    <n v="0"/>
    <n v="0"/>
    <n v="0"/>
    <n v="640874"/>
    <n v="916"/>
    <n v="903"/>
    <n v="0"/>
    <n v="0"/>
    <n v="0"/>
    <n v="0"/>
    <n v="0"/>
    <n v="0"/>
    <n v="0"/>
    <n v="0"/>
    <n v="0"/>
    <n v="168"/>
    <n v="5840.5818777292579"/>
    <n v="5782.0542635658912"/>
    <n v="0"/>
    <n v="0"/>
    <n v="0"/>
    <n v="0"/>
    <n v="0"/>
    <n v="0"/>
    <n v="0"/>
    <n v="0"/>
    <n v="0"/>
    <n v="3814.7261904761904"/>
    <n v="52565.236899563322"/>
    <n v="52038.488372093023"/>
    <n v="0"/>
    <n v="0"/>
    <n v="0"/>
    <n v="0"/>
    <n v="0"/>
    <n v="0"/>
    <n v="0"/>
    <n v="0"/>
    <n v="0"/>
    <n v="34332.53571428571"/>
    <n v="52565.236899563322"/>
    <n v="49699.966322948661"/>
    <n v="96"/>
    <n v="92"/>
    <n v="0"/>
    <n v="0"/>
    <n v="0"/>
    <n v="0"/>
    <n v="0"/>
    <n v="0"/>
    <n v="0"/>
    <n v="0"/>
    <n v="0"/>
    <n v="14"/>
    <n v="96"/>
    <n v="106"/>
    <n v="5046262.7423580792"/>
    <n v="4787540.9302325584"/>
    <n v="0"/>
    <n v="0"/>
    <n v="0"/>
    <n v="0"/>
    <n v="0"/>
    <n v="0"/>
    <n v="0"/>
    <n v="0"/>
    <n v="0"/>
    <n v="480655.49999999994"/>
    <n v="5046262.7423580792"/>
    <n v="5268196.4302325584"/>
  </r>
  <r>
    <x v="13"/>
    <s v="Weatherford College "/>
    <m/>
    <n v="229799"/>
    <x v="7"/>
    <m/>
    <n v="0"/>
    <m/>
    <n v="0"/>
    <m/>
    <n v="0"/>
    <m/>
    <n v="0"/>
    <m/>
    <n v="0"/>
    <m/>
    <n v="0"/>
    <m/>
    <n v="0"/>
    <m/>
    <n v="0"/>
    <m/>
    <n v="0"/>
    <m/>
    <n v="0"/>
    <m/>
    <n v="0"/>
    <m/>
    <n v="0"/>
    <n v="90"/>
    <n v="0"/>
    <m/>
    <n v="0"/>
    <n v="41"/>
    <n v="0"/>
    <m/>
    <n v="0"/>
    <m/>
    <n v="0"/>
    <m/>
    <n v="0"/>
    <m/>
    <n v="0"/>
    <m/>
    <n v="0"/>
    <m/>
    <n v="70"/>
    <m/>
    <n v="13"/>
    <m/>
    <n v="0"/>
    <m/>
    <n v="44"/>
    <n v="0"/>
    <n v="0"/>
    <n v="0"/>
    <n v="0"/>
    <n v="0"/>
    <n v="0"/>
    <n v="6812425"/>
    <n v="0"/>
    <n v="0"/>
    <n v="0"/>
    <n v="0"/>
    <n v="6977703"/>
    <n v="0"/>
    <n v="0"/>
    <n v="0"/>
    <n v="0"/>
    <n v="0"/>
    <n v="0"/>
    <n v="1261"/>
    <n v="0"/>
    <n v="0"/>
    <n v="0"/>
    <n v="0"/>
    <n v="1288"/>
    <n v="0"/>
    <n v="0"/>
    <n v="0"/>
    <n v="0"/>
    <n v="0"/>
    <n v="0"/>
    <n v="5402.3988897700237"/>
    <n v="0"/>
    <n v="0"/>
    <n v="0"/>
    <n v="0"/>
    <n v="5417.4712732919252"/>
    <n v="0"/>
    <n v="0"/>
    <n v="0"/>
    <n v="0"/>
    <n v="0"/>
    <n v="0"/>
    <n v="48621.590007930216"/>
    <n v="0"/>
    <n v="0"/>
    <n v="0"/>
    <n v="0"/>
    <n v="48757.24145962733"/>
    <n v="48621.590007930216"/>
    <n v="48757.24145962733"/>
    <n v="0"/>
    <n v="0"/>
    <n v="0"/>
    <n v="0"/>
    <n v="0"/>
    <n v="0"/>
    <n v="131"/>
    <n v="0"/>
    <n v="0"/>
    <n v="0"/>
    <n v="0"/>
    <n v="127"/>
    <n v="131"/>
    <n v="127"/>
    <n v="0"/>
    <n v="0"/>
    <n v="0"/>
    <n v="0"/>
    <n v="0"/>
    <n v="0"/>
    <n v="6369428.2910388578"/>
    <n v="0"/>
    <n v="0"/>
    <n v="0"/>
    <n v="0"/>
    <n v="6192169.6653726706"/>
    <n v="6369428.2910388578"/>
    <n v="6192169.6653726706"/>
  </r>
  <r>
    <x v="13"/>
    <s v="Wharton County Junior College "/>
    <m/>
    <n v="229841"/>
    <x v="7"/>
    <m/>
    <n v="0"/>
    <m/>
    <n v="0"/>
    <m/>
    <n v="0"/>
    <m/>
    <n v="0"/>
    <m/>
    <n v="0"/>
    <m/>
    <n v="0"/>
    <m/>
    <n v="0"/>
    <m/>
    <n v="0"/>
    <m/>
    <n v="0"/>
    <m/>
    <n v="0"/>
    <m/>
    <n v="0"/>
    <m/>
    <n v="0"/>
    <m/>
    <n v="0"/>
    <m/>
    <n v="0"/>
    <m/>
    <n v="0"/>
    <m/>
    <n v="0"/>
    <m/>
    <n v="0"/>
    <m/>
    <n v="0"/>
    <m/>
    <n v="0"/>
    <m/>
    <n v="0"/>
    <n v="110"/>
    <n v="117"/>
    <m/>
    <n v="21"/>
    <n v="52"/>
    <n v="0"/>
    <m/>
    <n v="25"/>
    <n v="0"/>
    <n v="0"/>
    <n v="0"/>
    <n v="0"/>
    <n v="0"/>
    <n v="0"/>
    <n v="0"/>
    <n v="0"/>
    <n v="0"/>
    <n v="0"/>
    <n v="8838634"/>
    <n v="8794073"/>
    <n v="0"/>
    <n v="0"/>
    <n v="0"/>
    <n v="0"/>
    <n v="0"/>
    <n v="0"/>
    <n v="0"/>
    <n v="0"/>
    <n v="0"/>
    <n v="0"/>
    <n v="1562"/>
    <n v="1563"/>
    <n v="0"/>
    <n v="0"/>
    <n v="0"/>
    <n v="0"/>
    <n v="0"/>
    <n v="0"/>
    <n v="0"/>
    <n v="0"/>
    <n v="0"/>
    <n v="0"/>
    <n v="5658.5364916773369"/>
    <n v="5626.4062699936021"/>
    <n v="0"/>
    <n v="0"/>
    <n v="0"/>
    <n v="0"/>
    <n v="0"/>
    <n v="0"/>
    <n v="0"/>
    <n v="0"/>
    <n v="0"/>
    <n v="0"/>
    <n v="50926.828425096035"/>
    <n v="50637.656429942421"/>
    <n v="50926.828425096035"/>
    <n v="50637.656429942421"/>
    <n v="0"/>
    <n v="0"/>
    <n v="0"/>
    <n v="0"/>
    <n v="0"/>
    <n v="0"/>
    <n v="0"/>
    <n v="0"/>
    <n v="0"/>
    <n v="0"/>
    <n v="162"/>
    <n v="163"/>
    <n v="162"/>
    <n v="163"/>
    <n v="0"/>
    <n v="0"/>
    <n v="0"/>
    <n v="0"/>
    <n v="0"/>
    <n v="0"/>
    <n v="0"/>
    <n v="0"/>
    <n v="0"/>
    <n v="0"/>
    <n v="8250146.2048655581"/>
    <n v="8253937.998080615"/>
    <n v="8250146.2048655581"/>
    <n v="8253937.998080615"/>
  </r>
  <r>
    <x v="13"/>
    <s v="Clarendon College "/>
    <m/>
    <n v="223922"/>
    <x v="8"/>
    <n v="3"/>
    <n v="3"/>
    <m/>
    <n v="0"/>
    <m/>
    <n v="0"/>
    <m/>
    <n v="0"/>
    <n v="5"/>
    <n v="6"/>
    <m/>
    <n v="0"/>
    <m/>
    <n v="0"/>
    <m/>
    <n v="0"/>
    <n v="6"/>
    <n v="6"/>
    <m/>
    <n v="0"/>
    <n v="1"/>
    <n v="0"/>
    <m/>
    <n v="1"/>
    <n v="12"/>
    <n v="12"/>
    <m/>
    <n v="0"/>
    <n v="8"/>
    <n v="0"/>
    <m/>
    <n v="7"/>
    <m/>
    <n v="0"/>
    <m/>
    <n v="0"/>
    <m/>
    <n v="0"/>
    <m/>
    <n v="0"/>
    <m/>
    <n v="0"/>
    <m/>
    <n v="0"/>
    <m/>
    <n v="0"/>
    <m/>
    <n v="0"/>
    <n v="138165"/>
    <n v="142092"/>
    <n v="211878"/>
    <n v="262817"/>
    <n v="291940"/>
    <n v="297744"/>
    <n v="743994"/>
    <n v="702759"/>
    <n v="0"/>
    <n v="0"/>
    <n v="0"/>
    <n v="0"/>
    <n v="27"/>
    <n v="27"/>
    <n v="45"/>
    <n v="54"/>
    <n v="65"/>
    <n v="66"/>
    <n v="196"/>
    <n v="192"/>
    <n v="0"/>
    <n v="0"/>
    <n v="0"/>
    <n v="0"/>
    <n v="5117.2222222222226"/>
    <n v="5262.666666666667"/>
    <n v="4708.3999999999996"/>
    <n v="4866.9814814814818"/>
    <n v="4491.3846153846152"/>
    <n v="4511.272727272727"/>
    <n v="3795.887755102041"/>
    <n v="3660.203125"/>
    <n v="0"/>
    <n v="0"/>
    <n v="0"/>
    <n v="0"/>
    <n v="46055"/>
    <n v="47364"/>
    <n v="42375.6"/>
    <n v="43802.833333333336"/>
    <n v="40422.461538461539"/>
    <n v="40601.454545454544"/>
    <n v="34162.989795918365"/>
    <n v="32941.828125"/>
    <n v="0"/>
    <n v="0"/>
    <n v="0"/>
    <n v="0"/>
    <n v="37607.429333931374"/>
    <n v="37571.826176948052"/>
    <n v="3"/>
    <n v="3"/>
    <n v="5"/>
    <n v="6"/>
    <n v="7"/>
    <n v="7"/>
    <n v="20"/>
    <n v="19"/>
    <n v="0"/>
    <n v="0"/>
    <n v="0"/>
    <n v="0"/>
    <n v="35"/>
    <n v="35"/>
    <n v="138165"/>
    <n v="142092"/>
    <n v="211878"/>
    <n v="262817"/>
    <n v="282957.23076923075"/>
    <n v="284210.18181818182"/>
    <n v="683259.79591836734"/>
    <n v="625894.734375"/>
    <n v="0"/>
    <n v="0"/>
    <n v="0"/>
    <n v="0"/>
    <n v="1316260.0266875981"/>
    <n v="1315013.9161931819"/>
  </r>
  <r>
    <x v="13"/>
    <s v="Frank Phillips College "/>
    <m/>
    <n v="224891"/>
    <x v="8"/>
    <m/>
    <n v="0"/>
    <m/>
    <n v="0"/>
    <m/>
    <n v="0"/>
    <m/>
    <n v="0"/>
    <m/>
    <n v="0"/>
    <m/>
    <n v="0"/>
    <m/>
    <n v="0"/>
    <m/>
    <n v="0"/>
    <m/>
    <n v="0"/>
    <m/>
    <n v="0"/>
    <m/>
    <n v="0"/>
    <m/>
    <n v="0"/>
    <n v="23"/>
    <n v="21"/>
    <m/>
    <n v="3"/>
    <n v="8"/>
    <n v="1"/>
    <m/>
    <n v="0"/>
    <m/>
    <n v="0"/>
    <m/>
    <n v="0"/>
    <m/>
    <n v="0"/>
    <m/>
    <n v="0"/>
    <m/>
    <n v="0"/>
    <m/>
    <n v="0"/>
    <m/>
    <n v="0"/>
    <m/>
    <n v="0"/>
    <n v="0"/>
    <n v="0"/>
    <n v="0"/>
    <n v="0"/>
    <n v="0"/>
    <n v="0"/>
    <n v="1190468"/>
    <n v="1126078"/>
    <n v="0"/>
    <n v="0"/>
    <n v="0"/>
    <n v="0"/>
    <n v="0"/>
    <n v="0"/>
    <n v="0"/>
    <n v="0"/>
    <n v="0"/>
    <n v="0"/>
    <n v="295"/>
    <n v="230"/>
    <n v="0"/>
    <n v="0"/>
    <n v="0"/>
    <n v="0"/>
    <n v="0"/>
    <n v="0"/>
    <n v="0"/>
    <n v="0"/>
    <n v="0"/>
    <n v="0"/>
    <n v="4035.484745762712"/>
    <n v="4895.9913043478264"/>
    <n v="0"/>
    <n v="0"/>
    <n v="0"/>
    <n v="0"/>
    <n v="0"/>
    <n v="0"/>
    <n v="0"/>
    <n v="0"/>
    <n v="0"/>
    <n v="0"/>
    <n v="36319.362711864407"/>
    <n v="44063.921739130441"/>
    <n v="0"/>
    <n v="0"/>
    <n v="0"/>
    <n v="0"/>
    <n v="36319.3627118644"/>
    <n v="44063.921739130441"/>
    <n v="0"/>
    <n v="0"/>
    <n v="0"/>
    <n v="0"/>
    <n v="0"/>
    <n v="0"/>
    <n v="31"/>
    <n v="25"/>
    <n v="0"/>
    <n v="0"/>
    <n v="0"/>
    <n v="0"/>
    <n v="31"/>
    <n v="25"/>
    <n v="0"/>
    <n v="0"/>
    <n v="0"/>
    <n v="0"/>
    <n v="0"/>
    <n v="0"/>
    <n v="1125900.2440677965"/>
    <n v="1101598.043478261"/>
    <n v="0"/>
    <n v="0"/>
    <n v="0"/>
    <n v="0"/>
    <n v="1125900.2440677965"/>
    <n v="1101598.043478261"/>
  </r>
  <r>
    <x v="13"/>
    <s v="Galveston College "/>
    <m/>
    <n v="224961"/>
    <x v="8"/>
    <n v="6"/>
    <n v="5"/>
    <m/>
    <n v="0"/>
    <m/>
    <n v="0"/>
    <m/>
    <n v="0"/>
    <n v="5"/>
    <n v="5"/>
    <m/>
    <n v="0"/>
    <m/>
    <n v="0"/>
    <m/>
    <n v="0"/>
    <n v="6"/>
    <n v="6"/>
    <m/>
    <n v="0"/>
    <m/>
    <n v="0"/>
    <m/>
    <n v="0"/>
    <n v="23"/>
    <n v="24"/>
    <m/>
    <n v="0"/>
    <n v="7"/>
    <n v="0"/>
    <m/>
    <n v="11"/>
    <m/>
    <n v="0"/>
    <m/>
    <n v="0"/>
    <m/>
    <n v="0"/>
    <m/>
    <n v="0"/>
    <m/>
    <n v="0"/>
    <m/>
    <n v="0"/>
    <m/>
    <n v="0"/>
    <m/>
    <n v="0"/>
    <n v="475613"/>
    <n v="401967"/>
    <n v="356759"/>
    <n v="373571"/>
    <n v="393819"/>
    <n v="406312"/>
    <n v="1941493"/>
    <n v="1956632"/>
    <n v="0"/>
    <n v="0"/>
    <n v="0"/>
    <n v="0"/>
    <n v="54"/>
    <n v="45"/>
    <n v="45"/>
    <n v="45"/>
    <n v="54"/>
    <n v="54"/>
    <n v="284"/>
    <n v="348"/>
    <n v="0"/>
    <n v="0"/>
    <n v="0"/>
    <n v="0"/>
    <n v="8807.6481481481478"/>
    <n v="8932.6"/>
    <n v="7927.9777777777781"/>
    <n v="8301.5777777777785"/>
    <n v="7292.9444444444443"/>
    <n v="7524.2962962962965"/>
    <n v="6836.2429577464791"/>
    <n v="5622.5057471264372"/>
    <n v="0"/>
    <n v="0"/>
    <n v="0"/>
    <n v="0"/>
    <n v="79268.833333333328"/>
    <n v="80393.400000000009"/>
    <n v="71351.8"/>
    <n v="74714.200000000012"/>
    <n v="65636.5"/>
    <n v="67718.666666666672"/>
    <n v="61526.186619718312"/>
    <n v="50602.551724137935"/>
    <n v="0"/>
    <n v="0"/>
    <n v="0"/>
    <n v="0"/>
    <n v="65361.204225352114"/>
    <n v="57900.770791075054"/>
    <n v="6"/>
    <n v="5"/>
    <n v="5"/>
    <n v="5"/>
    <n v="6"/>
    <n v="6"/>
    <n v="30"/>
    <n v="35"/>
    <n v="0"/>
    <n v="0"/>
    <n v="0"/>
    <n v="0"/>
    <n v="47"/>
    <n v="51"/>
    <n v="475613"/>
    <n v="401967.00000000006"/>
    <n v="356759"/>
    <n v="373571.00000000006"/>
    <n v="393819"/>
    <n v="406312"/>
    <n v="1845785.5985915493"/>
    <n v="1771089.3103448278"/>
    <n v="0"/>
    <n v="0"/>
    <n v="0"/>
    <n v="0"/>
    <n v="3071976.5985915493"/>
    <n v="2952939.3103448278"/>
  </r>
  <r>
    <x v="13"/>
    <s v="Lamar State College-Orange"/>
    <m/>
    <n v="226107"/>
    <x v="8"/>
    <n v="2"/>
    <n v="3"/>
    <m/>
    <n v="0"/>
    <m/>
    <n v="0"/>
    <m/>
    <n v="0"/>
    <n v="2"/>
    <n v="0"/>
    <m/>
    <n v="0"/>
    <m/>
    <n v="0"/>
    <m/>
    <n v="0"/>
    <n v="8"/>
    <n v="10"/>
    <m/>
    <n v="0"/>
    <m/>
    <n v="0"/>
    <m/>
    <n v="0"/>
    <n v="37"/>
    <n v="37"/>
    <m/>
    <n v="0"/>
    <m/>
    <n v="0"/>
    <m/>
    <n v="0"/>
    <m/>
    <n v="0"/>
    <m/>
    <n v="0"/>
    <m/>
    <n v="0"/>
    <m/>
    <n v="0"/>
    <m/>
    <n v="0"/>
    <m/>
    <n v="0"/>
    <m/>
    <n v="0"/>
    <m/>
    <n v="0"/>
    <n v="105048"/>
    <n v="160345"/>
    <n v="98127"/>
    <n v="0"/>
    <n v="427256"/>
    <n v="523493"/>
    <n v="1491296"/>
    <n v="1528740"/>
    <n v="0"/>
    <n v="0"/>
    <n v="0"/>
    <n v="0"/>
    <n v="18"/>
    <n v="27"/>
    <n v="18"/>
    <n v="0"/>
    <n v="72"/>
    <n v="90"/>
    <n v="333"/>
    <n v="333"/>
    <n v="0"/>
    <n v="0"/>
    <n v="0"/>
    <n v="0"/>
    <n v="5836"/>
    <n v="5938.7037037037035"/>
    <n v="5451.5"/>
    <n v="0"/>
    <n v="5934.1111111111113"/>
    <n v="5816.5888888888885"/>
    <n v="4478.3663663663665"/>
    <n v="4590.8108108108108"/>
    <n v="0"/>
    <n v="0"/>
    <n v="0"/>
    <n v="0"/>
    <n v="52524"/>
    <n v="53448.333333333328"/>
    <n v="49063.5"/>
    <n v="0"/>
    <n v="53407"/>
    <n v="52349.299999999996"/>
    <n v="40305.2972972973"/>
    <n v="41317.2972972973"/>
    <n v="0"/>
    <n v="0"/>
    <n v="0"/>
    <n v="0"/>
    <n v="43300.551020408166"/>
    <n v="44251.56"/>
    <n v="2"/>
    <n v="3"/>
    <n v="2"/>
    <n v="0"/>
    <n v="8"/>
    <n v="10"/>
    <n v="37"/>
    <n v="37"/>
    <n v="0"/>
    <n v="0"/>
    <n v="0"/>
    <n v="0"/>
    <n v="49"/>
    <n v="50"/>
    <n v="105048"/>
    <n v="160345"/>
    <n v="98127"/>
    <n v="0"/>
    <n v="427256"/>
    <n v="523492.99999999994"/>
    <n v="1491296"/>
    <n v="1528740"/>
    <n v="0"/>
    <n v="0"/>
    <n v="0"/>
    <n v="0"/>
    <n v="2121727"/>
    <n v="2212578"/>
  </r>
  <r>
    <x v="13"/>
    <s v="Northeast Lakeview College (ACCD)"/>
    <m/>
    <s v="???"/>
    <x v="8"/>
    <m/>
    <n v="0"/>
    <m/>
    <n v="0"/>
    <m/>
    <n v="0"/>
    <m/>
    <n v="0"/>
    <m/>
    <n v="0"/>
    <m/>
    <n v="0"/>
    <m/>
    <n v="0"/>
    <m/>
    <n v="0"/>
    <m/>
    <n v="0"/>
    <m/>
    <n v="0"/>
    <m/>
    <n v="0"/>
    <m/>
    <n v="0"/>
    <m/>
    <n v="0"/>
    <m/>
    <n v="0"/>
    <m/>
    <n v="0"/>
    <m/>
    <n v="0"/>
    <m/>
    <n v="0"/>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Panola College"/>
    <m/>
    <n v="227386"/>
    <x v="8"/>
    <n v="39"/>
    <n v="29"/>
    <m/>
    <n v="12"/>
    <n v="3"/>
    <n v="0"/>
    <m/>
    <n v="2"/>
    <m/>
    <n v="0"/>
    <m/>
    <n v="0"/>
    <m/>
    <n v="0"/>
    <m/>
    <n v="0"/>
    <m/>
    <n v="0"/>
    <m/>
    <n v="0"/>
    <m/>
    <n v="0"/>
    <m/>
    <n v="0"/>
    <n v="12"/>
    <n v="8"/>
    <m/>
    <n v="6"/>
    <n v="7"/>
    <n v="3"/>
    <m/>
    <n v="4"/>
    <m/>
    <n v="0"/>
    <m/>
    <n v="0"/>
    <m/>
    <n v="0"/>
    <m/>
    <n v="0"/>
    <m/>
    <n v="0"/>
    <m/>
    <n v="0"/>
    <m/>
    <n v="0"/>
    <m/>
    <n v="0"/>
    <n v="2203713"/>
    <n v="2297973"/>
    <n v="0"/>
    <n v="0"/>
    <n v="0"/>
    <n v="0"/>
    <n v="925048"/>
    <n v="1014631"/>
    <n v="0"/>
    <n v="0"/>
    <n v="0"/>
    <n v="0"/>
    <n v="384"/>
    <n v="405"/>
    <n v="0"/>
    <n v="0"/>
    <n v="0"/>
    <n v="0"/>
    <n v="185"/>
    <n v="213"/>
    <n v="0"/>
    <n v="0"/>
    <n v="0"/>
    <n v="0"/>
    <n v="5738.8359375"/>
    <n v="5674.0074074074073"/>
    <n v="0"/>
    <n v="0"/>
    <n v="0"/>
    <n v="0"/>
    <n v="5000.2594594594593"/>
    <n v="4763.525821596244"/>
    <n v="0"/>
    <n v="0"/>
    <n v="0"/>
    <n v="0"/>
    <n v="51649.5234375"/>
    <n v="51066.066666666666"/>
    <n v="0"/>
    <n v="0"/>
    <n v="0"/>
    <n v="0"/>
    <n v="45002.33513513513"/>
    <n v="42871.732394366198"/>
    <n v="0"/>
    <n v="0"/>
    <n v="0"/>
    <n v="0"/>
    <n v="49579.087736763402"/>
    <n v="48377.300733568074"/>
    <n v="42"/>
    <n v="43"/>
    <n v="0"/>
    <n v="0"/>
    <n v="0"/>
    <n v="0"/>
    <n v="19"/>
    <n v="21"/>
    <n v="0"/>
    <n v="0"/>
    <n v="0"/>
    <n v="0"/>
    <n v="61"/>
    <n v="64"/>
    <n v="2169279.984375"/>
    <n v="2195840.8666666667"/>
    <n v="0"/>
    <n v="0"/>
    <n v="0"/>
    <n v="0"/>
    <n v="855044.3675675675"/>
    <n v="900306.38028169016"/>
    <n v="0"/>
    <n v="0"/>
    <n v="0"/>
    <n v="0"/>
    <n v="3024324.3519425676"/>
    <n v="3096147.2469483567"/>
  </r>
  <r>
    <x v="13"/>
    <s v="Ranger College "/>
    <m/>
    <n v="227687"/>
    <x v="8"/>
    <n v="1"/>
    <n v="3"/>
    <m/>
    <n v="0"/>
    <m/>
    <n v="0"/>
    <m/>
    <n v="2"/>
    <n v="4"/>
    <n v="1"/>
    <m/>
    <n v="0"/>
    <m/>
    <n v="0"/>
    <m/>
    <n v="3"/>
    <n v="1"/>
    <n v="1"/>
    <m/>
    <n v="0"/>
    <n v="2"/>
    <n v="0"/>
    <m/>
    <n v="3"/>
    <n v="3"/>
    <n v="6"/>
    <m/>
    <n v="0"/>
    <n v="12"/>
    <n v="0"/>
    <m/>
    <n v="10"/>
    <m/>
    <n v="0"/>
    <m/>
    <n v="0"/>
    <m/>
    <n v="0"/>
    <m/>
    <n v="0"/>
    <n v="13"/>
    <n v="0"/>
    <m/>
    <n v="0"/>
    <n v="2"/>
    <n v="0"/>
    <m/>
    <n v="0"/>
    <n v="39581"/>
    <n v="229637"/>
    <n v="140260"/>
    <n v="146388"/>
    <n v="93588"/>
    <n v="169270"/>
    <n v="518724"/>
    <n v="573060"/>
    <n v="0"/>
    <n v="0"/>
    <n v="428025"/>
    <n v="0"/>
    <n v="9"/>
    <n v="51"/>
    <n v="36"/>
    <n v="45"/>
    <n v="31"/>
    <n v="45"/>
    <n v="159"/>
    <n v="174"/>
    <n v="0"/>
    <n v="0"/>
    <n v="139"/>
    <n v="0"/>
    <n v="4397.8888888888887"/>
    <n v="4502.6862745098042"/>
    <n v="3896.1111111111113"/>
    <n v="3253.0666666666666"/>
    <n v="3018.9677419354839"/>
    <n v="3761.5555555555557"/>
    <n v="3262.4150943396226"/>
    <n v="3293.4482758620688"/>
    <n v="0"/>
    <n v="0"/>
    <n v="3079.31654676259"/>
    <n v="0"/>
    <n v="39581"/>
    <n v="40524.176470588238"/>
    <n v="35065"/>
    <n v="29277.599999999999"/>
    <n v="27170.709677419356"/>
    <n v="33854"/>
    <n v="29361.735849056604"/>
    <n v="29641.03448275862"/>
    <n v="0"/>
    <n v="0"/>
    <n v="27713.848920863311"/>
    <n v="0"/>
    <n v="29407.550015290966"/>
    <n v="32048.408071623417"/>
    <n v="1"/>
    <n v="5"/>
    <n v="4"/>
    <n v="4"/>
    <n v="3"/>
    <n v="4"/>
    <n v="15"/>
    <n v="16"/>
    <n v="0"/>
    <n v="0"/>
    <n v="15"/>
    <n v="0"/>
    <n v="38"/>
    <n v="29"/>
    <n v="39581"/>
    <n v="202620.8823529412"/>
    <n v="140260"/>
    <n v="117110.39999999999"/>
    <n v="81512.129032258061"/>
    <n v="135416"/>
    <n v="440426.03773584904"/>
    <n v="474256.55172413791"/>
    <n v="0"/>
    <n v="0"/>
    <n v="415707.73381294968"/>
    <n v="0"/>
    <n v="1117486.9005810567"/>
    <n v="929403.83407707908"/>
  </r>
  <r>
    <x v="13"/>
    <s v="Southwest Collegiate Institute for the Deaf (HCJCD)"/>
    <m/>
    <n v="382911"/>
    <x v="8"/>
    <m/>
    <n v="0"/>
    <m/>
    <n v="0"/>
    <m/>
    <n v="0"/>
    <m/>
    <n v="0"/>
    <m/>
    <n v="0"/>
    <m/>
    <n v="0"/>
    <m/>
    <n v="0"/>
    <m/>
    <n v="0"/>
    <m/>
    <n v="0"/>
    <m/>
    <n v="0"/>
    <m/>
    <n v="0"/>
    <m/>
    <n v="0"/>
    <m/>
    <n v="0"/>
    <m/>
    <n v="0"/>
    <m/>
    <n v="0"/>
    <m/>
    <n v="0"/>
    <m/>
    <n v="0"/>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s v="Texas State Technical College-Marshall"/>
    <m/>
    <n v="408394"/>
    <x v="8"/>
    <m/>
    <n v="0"/>
    <m/>
    <n v="0"/>
    <m/>
    <n v="0"/>
    <m/>
    <n v="0"/>
    <m/>
    <n v="0"/>
    <m/>
    <n v="0"/>
    <n v="1"/>
    <n v="0"/>
    <m/>
    <n v="1"/>
    <m/>
    <n v="0"/>
    <m/>
    <n v="0"/>
    <m/>
    <n v="0"/>
    <m/>
    <n v="0"/>
    <n v="1"/>
    <n v="0"/>
    <m/>
    <n v="0"/>
    <n v="35"/>
    <n v="0"/>
    <m/>
    <n v="29"/>
    <m/>
    <n v="0"/>
    <m/>
    <n v="0"/>
    <m/>
    <n v="0"/>
    <m/>
    <n v="0"/>
    <m/>
    <n v="0"/>
    <m/>
    <n v="0"/>
    <m/>
    <n v="0"/>
    <m/>
    <n v="0"/>
    <n v="0"/>
    <n v="0"/>
    <n v="55464"/>
    <n v="57132"/>
    <n v="0"/>
    <n v="0"/>
    <n v="1584408"/>
    <n v="1317036"/>
    <n v="0"/>
    <n v="0"/>
    <n v="0"/>
    <n v="0"/>
    <n v="0"/>
    <n v="0"/>
    <n v="11"/>
    <n v="12"/>
    <n v="0"/>
    <n v="0"/>
    <n v="394"/>
    <n v="348"/>
    <n v="0"/>
    <n v="0"/>
    <n v="0"/>
    <n v="0"/>
    <n v="0"/>
    <n v="0"/>
    <n v="5042.181818181818"/>
    <n v="4761"/>
    <n v="0"/>
    <n v="0"/>
    <n v="4021.3401015228428"/>
    <n v="3784.5862068965516"/>
    <n v="0"/>
    <n v="0"/>
    <n v="0"/>
    <n v="0"/>
    <n v="0"/>
    <n v="0"/>
    <n v="45379.63636363636"/>
    <n v="42849"/>
    <n v="0"/>
    <n v="0"/>
    <n v="36192.060913705587"/>
    <n v="34061.275862068964"/>
    <n v="0"/>
    <n v="0"/>
    <n v="0"/>
    <n v="0"/>
    <n v="36440.373763703719"/>
    <n v="34354.199999999997"/>
    <n v="0"/>
    <n v="0"/>
    <n v="1"/>
    <n v="1"/>
    <n v="0"/>
    <n v="0"/>
    <n v="36"/>
    <n v="29"/>
    <n v="0"/>
    <n v="0"/>
    <n v="0"/>
    <n v="0"/>
    <n v="37"/>
    <n v="30"/>
    <n v="0"/>
    <n v="0"/>
    <n v="45379.63636363636"/>
    <n v="42849"/>
    <n v="0"/>
    <n v="0"/>
    <n v="1302914.1928934013"/>
    <n v="987777"/>
    <n v="0"/>
    <n v="0"/>
    <n v="0"/>
    <n v="0"/>
    <n v="1348293.8292570377"/>
    <n v="1030625.9999999999"/>
  </r>
  <r>
    <x v="13"/>
    <s v="Texas State Technical College-West Texas"/>
    <m/>
    <n v="229328"/>
    <x v="8"/>
    <m/>
    <n v="0"/>
    <m/>
    <n v="0"/>
    <m/>
    <n v="0"/>
    <m/>
    <n v="0"/>
    <m/>
    <n v="0"/>
    <m/>
    <n v="0"/>
    <n v="4"/>
    <n v="0"/>
    <m/>
    <n v="3"/>
    <m/>
    <n v="0"/>
    <m/>
    <n v="0"/>
    <m/>
    <n v="0"/>
    <m/>
    <n v="0"/>
    <m/>
    <n v="0"/>
    <m/>
    <n v="0"/>
    <n v="80"/>
    <n v="0"/>
    <m/>
    <n v="66"/>
    <m/>
    <n v="0"/>
    <m/>
    <n v="0"/>
    <m/>
    <n v="0"/>
    <m/>
    <n v="0"/>
    <m/>
    <n v="0"/>
    <m/>
    <n v="0"/>
    <m/>
    <n v="0"/>
    <m/>
    <n v="0"/>
    <n v="0"/>
    <n v="0"/>
    <n v="186108"/>
    <n v="141120"/>
    <n v="0"/>
    <n v="0"/>
    <n v="3514872"/>
    <n v="2998680"/>
    <n v="0"/>
    <n v="0"/>
    <n v="0"/>
    <n v="0"/>
    <n v="0"/>
    <n v="0"/>
    <n v="44"/>
    <n v="36"/>
    <n v="0"/>
    <n v="0"/>
    <n v="880"/>
    <n v="792"/>
    <n v="0"/>
    <n v="0"/>
    <n v="0"/>
    <n v="0"/>
    <n v="0"/>
    <n v="0"/>
    <n v="4229.727272727273"/>
    <n v="3920"/>
    <n v="0"/>
    <n v="0"/>
    <n v="3994.1727272727271"/>
    <n v="3786.212121212121"/>
    <n v="0"/>
    <n v="0"/>
    <n v="0"/>
    <n v="0"/>
    <n v="0"/>
    <n v="0"/>
    <n v="38067.545454545456"/>
    <n v="35280"/>
    <n v="0"/>
    <n v="0"/>
    <n v="35947.554545454543"/>
    <n v="34075.909090909088"/>
    <n v="0"/>
    <n v="0"/>
    <n v="0"/>
    <n v="0"/>
    <n v="36048.506493506487"/>
    <n v="34128.260869565216"/>
    <n v="0"/>
    <n v="0"/>
    <n v="4"/>
    <n v="3"/>
    <n v="0"/>
    <n v="0"/>
    <n v="80"/>
    <n v="66"/>
    <n v="0"/>
    <n v="0"/>
    <n v="0"/>
    <n v="0"/>
    <n v="84"/>
    <n v="69"/>
    <n v="0"/>
    <n v="0"/>
    <n v="152270.18181818182"/>
    <n v="105840"/>
    <n v="0"/>
    <n v="0"/>
    <n v="2875804.3636363633"/>
    <n v="2249010"/>
    <n v="0"/>
    <n v="0"/>
    <n v="0"/>
    <n v="0"/>
    <n v="3028074.5454545449"/>
    <n v="2354850"/>
  </r>
  <r>
    <x v="13"/>
    <s v="Western Texas College "/>
    <m/>
    <n v="229832"/>
    <x v="8"/>
    <n v="1"/>
    <n v="0"/>
    <m/>
    <n v="0"/>
    <m/>
    <n v="0"/>
    <m/>
    <n v="0"/>
    <n v="1"/>
    <n v="3"/>
    <m/>
    <n v="0"/>
    <n v="1"/>
    <n v="0"/>
    <m/>
    <n v="2"/>
    <n v="8"/>
    <n v="7"/>
    <m/>
    <n v="0"/>
    <n v="2"/>
    <n v="0"/>
    <m/>
    <n v="1"/>
    <n v="22"/>
    <n v="23"/>
    <m/>
    <n v="2"/>
    <n v="10"/>
    <n v="0"/>
    <m/>
    <n v="10"/>
    <m/>
    <n v="0"/>
    <m/>
    <n v="0"/>
    <m/>
    <n v="0"/>
    <m/>
    <n v="0"/>
    <m/>
    <n v="0"/>
    <m/>
    <n v="0"/>
    <m/>
    <n v="0"/>
    <m/>
    <n v="0"/>
    <n v="66729"/>
    <n v="0"/>
    <n v="129603"/>
    <n v="302469"/>
    <n v="552175"/>
    <n v="429102"/>
    <n v="1634541"/>
    <n v="1696434"/>
    <n v="0"/>
    <n v="0"/>
    <n v="0"/>
    <n v="0"/>
    <n v="9"/>
    <n v="0"/>
    <n v="20"/>
    <n v="51"/>
    <n v="94"/>
    <n v="75"/>
    <n v="308"/>
    <n v="347"/>
    <n v="0"/>
    <n v="0"/>
    <n v="0"/>
    <n v="0"/>
    <n v="7414.333333333333"/>
    <n v="0"/>
    <n v="6480.15"/>
    <n v="5930.7647058823532"/>
    <n v="5874.2021276595742"/>
    <n v="5721.36"/>
    <n v="5306.9512987012986"/>
    <n v="4888.8587896253603"/>
    <n v="0"/>
    <n v="0"/>
    <n v="0"/>
    <n v="0"/>
    <n v="66729"/>
    <n v="0"/>
    <n v="58321.35"/>
    <n v="53376.882352941175"/>
    <n v="52867.819148936171"/>
    <n v="51492.24"/>
    <n v="47762.561688311689"/>
    <n v="43999.729106628241"/>
    <n v="0"/>
    <n v="0"/>
    <n v="0"/>
    <n v="0"/>
    <n v="49787.819233674119"/>
    <n v="46225.267718681134"/>
    <n v="1"/>
    <n v="0"/>
    <n v="2"/>
    <n v="5"/>
    <n v="10"/>
    <n v="8"/>
    <n v="32"/>
    <n v="35"/>
    <n v="0"/>
    <n v="0"/>
    <n v="0"/>
    <n v="0"/>
    <n v="45"/>
    <n v="48"/>
    <n v="66729"/>
    <n v="0"/>
    <n v="116642.7"/>
    <n v="266884.4117647059"/>
    <n v="528678.19148936169"/>
    <n v="411937.92"/>
    <n v="1528401.9740259741"/>
    <n v="1539990.5187319885"/>
    <n v="0"/>
    <n v="0"/>
    <n v="0"/>
    <n v="0"/>
    <n v="2240451.8655153355"/>
    <n v="2218812.8504966944"/>
  </r>
  <r>
    <x v="13"/>
    <s v="University of North Texas at Dallas"/>
    <s v="New fall 2009. No degrees yet granted."/>
    <s v="???"/>
    <x v="12"/>
    <m/>
    <n v="0"/>
    <m/>
    <n v="0"/>
    <m/>
    <n v="0"/>
    <m/>
    <n v="0"/>
    <m/>
    <n v="0"/>
    <m/>
    <n v="0"/>
    <m/>
    <n v="0"/>
    <m/>
    <n v="0"/>
    <m/>
    <n v="0"/>
    <m/>
    <n v="0"/>
    <m/>
    <n v="0"/>
    <m/>
    <n v="0"/>
    <m/>
    <n v="0"/>
    <m/>
    <n v="0"/>
    <m/>
    <n v="0"/>
    <m/>
    <n v="0"/>
    <m/>
    <n v="0"/>
    <m/>
    <n v="0"/>
    <m/>
    <n v="0"/>
    <m/>
    <n v="0"/>
    <m/>
    <m/>
    <m/>
    <m/>
    <m/>
    <m/>
    <m/>
    <m/>
    <n v="0"/>
    <n v="0"/>
    <n v="0"/>
    <n v="0"/>
    <n v="0"/>
    <n v="0"/>
    <n v="0"/>
    <n v="0"/>
    <n v="0"/>
    <n v="0"/>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George Mason University "/>
    <m/>
    <n v="232186"/>
    <x v="0"/>
    <n v="312"/>
    <n v="325"/>
    <m/>
    <m/>
    <n v="34"/>
    <m/>
    <m/>
    <n v="40"/>
    <n v="362"/>
    <n v="385"/>
    <m/>
    <m/>
    <n v="14"/>
    <m/>
    <m/>
    <n v="12"/>
    <n v="350"/>
    <n v="359"/>
    <m/>
    <m/>
    <n v="24"/>
    <m/>
    <m/>
    <n v="29"/>
    <n v="67"/>
    <n v="68"/>
    <m/>
    <m/>
    <n v="8"/>
    <m/>
    <m/>
    <n v="8"/>
    <m/>
    <m/>
    <m/>
    <m/>
    <m/>
    <m/>
    <m/>
    <m/>
    <m/>
    <m/>
    <m/>
    <m/>
    <m/>
    <m/>
    <m/>
    <m/>
    <n v="46398480"/>
    <n v="48751023"/>
    <n v="32352056"/>
    <n v="33881947"/>
    <n v="26894504"/>
    <n v="27951799"/>
    <n v="4499302"/>
    <n v="4459503"/>
    <n v="0"/>
    <m/>
    <n v="0"/>
    <m/>
    <n v="3182"/>
    <n v="3405"/>
    <n v="3412"/>
    <n v="3609"/>
    <n v="3414"/>
    <n v="3579"/>
    <n v="691"/>
    <n v="708"/>
    <n v="0"/>
    <n v="0"/>
    <n v="0"/>
    <n v="0"/>
    <n v="14581.54619736015"/>
    <n v="14317.481057268722"/>
    <n v="9481.8452520515821"/>
    <n v="9388.1814907176504"/>
    <n v="7877.7106033977743"/>
    <n v="7809.946633137748"/>
    <n v="6511.2908827785814"/>
    <n v="6298.7330508474579"/>
    <n v="0"/>
    <n v="0"/>
    <n v="0"/>
    <n v="0"/>
    <n v="131233.91577624137"/>
    <n v="128857.3295154185"/>
    <n v="85336.607268464242"/>
    <n v="84493.633416458848"/>
    <n v="70899.395430579971"/>
    <n v="70289.519698239732"/>
    <n v="58601.61794500723"/>
    <n v="56688.597457627118"/>
    <n v="0"/>
    <n v="0"/>
    <n v="0"/>
    <n v="0"/>
    <n v="92574.717701481248"/>
    <n v="91482.516141238666"/>
    <n v="346"/>
    <n v="365"/>
    <n v="376"/>
    <n v="397"/>
    <n v="374"/>
    <n v="388"/>
    <n v="75"/>
    <n v="76"/>
    <n v="0"/>
    <n v="0"/>
    <n v="0"/>
    <n v="0"/>
    <n v="1171"/>
    <n v="1226"/>
    <n v="45406934.858579516"/>
    <n v="47032925.273127757"/>
    <n v="32086564.332942557"/>
    <n v="33543972.466334164"/>
    <n v="26516373.891036909"/>
    <n v="27272333.642917015"/>
    <n v="4395121.3458755426"/>
    <n v="4308333.4067796608"/>
    <n v="0"/>
    <n v="0"/>
    <n v="0"/>
    <n v="0"/>
    <n v="108404994.42843454"/>
    <n v="112157564.7891586"/>
  </r>
  <r>
    <x v="14"/>
    <s v="Old Dominion University "/>
    <m/>
    <n v="232982"/>
    <x v="0"/>
    <n v="147"/>
    <m/>
    <m/>
    <n v="147"/>
    <n v="60"/>
    <m/>
    <m/>
    <n v="62"/>
    <n v="178"/>
    <m/>
    <m/>
    <n v="187"/>
    <n v="21"/>
    <m/>
    <m/>
    <n v="24"/>
    <n v="160"/>
    <m/>
    <m/>
    <n v="160"/>
    <n v="5"/>
    <m/>
    <m/>
    <n v="3"/>
    <n v="27"/>
    <m/>
    <m/>
    <n v="29"/>
    <n v="1"/>
    <m/>
    <m/>
    <n v="1"/>
    <n v="131"/>
    <m/>
    <m/>
    <n v="128"/>
    <n v="16"/>
    <m/>
    <m/>
    <n v="20"/>
    <m/>
    <m/>
    <m/>
    <m/>
    <m/>
    <m/>
    <m/>
    <m/>
    <n v="23602284"/>
    <n v="24376161"/>
    <n v="15669005"/>
    <n v="16798849"/>
    <n v="11046940"/>
    <n v="11145757"/>
    <n v="1452035"/>
    <n v="1485689"/>
    <n v="7527394"/>
    <n v="7678743"/>
    <n v="0"/>
    <m/>
    <n v="1983"/>
    <n v="2214"/>
    <n v="1833"/>
    <n v="2158"/>
    <n v="1495"/>
    <n v="1636"/>
    <n v="254"/>
    <n v="302"/>
    <n v="1355"/>
    <n v="1520"/>
    <n v="0"/>
    <n v="0"/>
    <n v="11902.311649016641"/>
    <n v="11010.009485094852"/>
    <n v="8548.2842334969991"/>
    <n v="7784.4527340129753"/>
    <n v="7389.2575250836117"/>
    <n v="6812.809902200489"/>
    <n v="5716.6732283464571"/>
    <n v="4919.5"/>
    <n v="5555.272324723247"/>
    <n v="5051.804605263158"/>
    <n v="0"/>
    <n v="0"/>
    <n v="107120.80484114977"/>
    <n v="99090.085365853665"/>
    <n v="76934.558101472998"/>
    <n v="70060.074606116774"/>
    <n v="66503.317725752509"/>
    <n v="61315.289119804402"/>
    <n v="51450.059055118116"/>
    <n v="44275.5"/>
    <n v="49997.450922509226"/>
    <n v="45466.241447368418"/>
    <n v="0"/>
    <n v="0"/>
    <n v="76738.95178044567"/>
    <n v="70360.268651895793"/>
    <n v="207"/>
    <n v="209"/>
    <n v="199"/>
    <n v="211"/>
    <n v="165"/>
    <n v="163"/>
    <n v="28"/>
    <n v="30"/>
    <n v="147"/>
    <n v="148"/>
    <n v="0"/>
    <n v="0"/>
    <n v="746"/>
    <n v="761"/>
    <n v="22174006.602118004"/>
    <n v="20709827.841463417"/>
    <n v="15309977.062193127"/>
    <n v="14782675.741890639"/>
    <n v="10973047.424749164"/>
    <n v="9994392.1265281178"/>
    <n v="1440601.6535433072"/>
    <n v="1328265"/>
    <n v="7349625.285608856"/>
    <n v="6729003.7342105256"/>
    <n v="0"/>
    <n v="0"/>
    <n v="57247258.028212473"/>
    <n v="53544164.444092698"/>
  </r>
  <r>
    <x v="14"/>
    <s v="University of Virginia"/>
    <m/>
    <n v="234076"/>
    <x v="0"/>
    <n v="417"/>
    <n v="453"/>
    <m/>
    <m/>
    <n v="115"/>
    <m/>
    <m/>
    <n v="113"/>
    <n v="258"/>
    <n v="289"/>
    <m/>
    <m/>
    <n v="66"/>
    <m/>
    <m/>
    <n v="65"/>
    <n v="168"/>
    <n v="171"/>
    <m/>
    <m/>
    <n v="29"/>
    <m/>
    <m/>
    <n v="34"/>
    <n v="5"/>
    <n v="4"/>
    <m/>
    <m/>
    <n v="1"/>
    <m/>
    <m/>
    <n v="1"/>
    <n v="62"/>
    <n v="84"/>
    <m/>
    <m/>
    <n v="26"/>
    <m/>
    <m/>
    <n v="30"/>
    <m/>
    <m/>
    <m/>
    <m/>
    <m/>
    <m/>
    <m/>
    <m/>
    <n v="78826299"/>
    <n v="81835951"/>
    <n v="32041590"/>
    <n v="33810856"/>
    <n v="16301150"/>
    <n v="17441100"/>
    <n v="315300"/>
    <n v="277300"/>
    <n v="5257026"/>
    <n v="6657944"/>
    <n v="0"/>
    <m/>
    <n v="5018"/>
    <n v="5433"/>
    <n v="3048"/>
    <n v="3381"/>
    <n v="1831"/>
    <n v="1947"/>
    <n v="56"/>
    <n v="48"/>
    <n v="844"/>
    <n v="1116"/>
    <n v="0"/>
    <n v="0"/>
    <n v="15708.708449581507"/>
    <n v="15062.755567826247"/>
    <n v="10512.332677165354"/>
    <n v="10000.253179532683"/>
    <n v="8902.8672856362646"/>
    <n v="8957.935285053929"/>
    <n v="5630.3571428571431"/>
    <n v="5777.083333333333"/>
    <n v="6228.7037914691946"/>
    <n v="5965.8996415770607"/>
    <n v="0"/>
    <n v="0"/>
    <n v="141378.37604623358"/>
    <n v="135564.80011043622"/>
    <n v="94610.994094488182"/>
    <n v="90002.278615794145"/>
    <n v="80125.805570726385"/>
    <n v="80621.417565485361"/>
    <n v="50673.21428571429"/>
    <n v="51993.75"/>
    <n v="56058.334123222754"/>
    <n v="53693.096774193546"/>
    <n v="0"/>
    <n v="0"/>
    <n v="110627.03969415992"/>
    <n v="105706.47578430916"/>
    <n v="532"/>
    <n v="566"/>
    <n v="324"/>
    <n v="354"/>
    <n v="197"/>
    <n v="205"/>
    <n v="6"/>
    <n v="5"/>
    <n v="88"/>
    <n v="114"/>
    <n v="0"/>
    <n v="0"/>
    <n v="1147"/>
    <n v="1244"/>
    <n v="75213296.056596264"/>
    <n v="76729676.862506896"/>
    <n v="30653962.086614169"/>
    <n v="31860806.629991129"/>
    <n v="15784783.697433097"/>
    <n v="16527390.600924499"/>
    <n v="304039.28571428574"/>
    <n v="259968.75"/>
    <n v="4933133.402843602"/>
    <n v="6121013.0322580645"/>
    <n v="0"/>
    <n v="0"/>
    <n v="126889214.52920142"/>
    <n v="131498855.8756806"/>
  </r>
  <r>
    <x v="14"/>
    <s v="Virginia Tech "/>
    <m/>
    <n v="233921"/>
    <x v="0"/>
    <n v="307"/>
    <n v="313"/>
    <m/>
    <n v="4"/>
    <n v="147"/>
    <n v="13"/>
    <m/>
    <n v="239"/>
    <n v="359"/>
    <n v="379"/>
    <m/>
    <n v="4"/>
    <n v="76"/>
    <n v="8"/>
    <m/>
    <n v="129"/>
    <n v="263"/>
    <n v="323"/>
    <m/>
    <n v="2"/>
    <n v="20"/>
    <n v="3"/>
    <m/>
    <n v="69"/>
    <n v="176"/>
    <n v="189"/>
    <m/>
    <m/>
    <n v="17"/>
    <m/>
    <m/>
    <n v="30"/>
    <m/>
    <m/>
    <m/>
    <m/>
    <n v="3"/>
    <m/>
    <m/>
    <n v="5"/>
    <m/>
    <m/>
    <m/>
    <m/>
    <m/>
    <m/>
    <m/>
    <m/>
    <n v="59540765"/>
    <n v="75839711"/>
    <n v="38189955"/>
    <n v="46522411"/>
    <n v="21079607"/>
    <n v="30795278"/>
    <n v="9204514"/>
    <n v="10717580"/>
    <n v="207696"/>
    <n v="317140"/>
    <n v="0"/>
    <m/>
    <n v="4380"/>
    <n v="5868"/>
    <n v="4067"/>
    <n v="5087"/>
    <n v="2587"/>
    <n v="3788"/>
    <n v="1771"/>
    <n v="2061"/>
    <n v="33"/>
    <n v="60"/>
    <n v="0"/>
    <n v="0"/>
    <n v="13593.781963470319"/>
    <n v="12924.286128152693"/>
    <n v="9390.2028522252276"/>
    <n v="9145.3530568114802"/>
    <n v="8148.2825666795516"/>
    <n v="8129.6932418162614"/>
    <n v="5197.3540372670805"/>
    <n v="5200.1843765162539"/>
    <n v="6293.818181818182"/>
    <n v="5285.666666666667"/>
    <n v="0"/>
    <n v="0"/>
    <n v="122344.03767123287"/>
    <n v="116318.57515337423"/>
    <n v="84511.825670027043"/>
    <n v="82308.177511303322"/>
    <n v="73334.54310011596"/>
    <n v="73167.239176346353"/>
    <n v="46776.186335403727"/>
    <n v="46801.659388646287"/>
    <n v="56644.36363636364"/>
    <n v="47571"/>
    <n v="0"/>
    <n v="0"/>
    <n v="89370.065804222453"/>
    <n v="86853.9964486963"/>
    <n v="454"/>
    <n v="569"/>
    <n v="435"/>
    <n v="520"/>
    <n v="283"/>
    <n v="397"/>
    <n v="193"/>
    <n v="219"/>
    <n v="3"/>
    <n v="5"/>
    <n v="0"/>
    <n v="0"/>
    <n v="1368"/>
    <n v="1710"/>
    <n v="55544193.102739722"/>
    <n v="66185269.262269937"/>
    <n v="36762644.166461766"/>
    <n v="42800252.30587773"/>
    <n v="20753675.697332818"/>
    <n v="29047393.953009501"/>
    <n v="9027803.9627329186"/>
    <n v="10249563.406113537"/>
    <n v="169933.09090909091"/>
    <n v="237855"/>
    <n v="0"/>
    <n v="0"/>
    <n v="122258250.02017632"/>
    <n v="148520333.92727068"/>
  </r>
  <r>
    <x v="14"/>
    <s v="College of William &amp; Mary"/>
    <m/>
    <n v="231624"/>
    <x v="1"/>
    <n v="196"/>
    <n v="179"/>
    <m/>
    <n v="19"/>
    <n v="29"/>
    <m/>
    <m/>
    <n v="30"/>
    <n v="175"/>
    <n v="164"/>
    <m/>
    <n v="6"/>
    <n v="13"/>
    <m/>
    <m/>
    <n v="17"/>
    <n v="155"/>
    <n v="157"/>
    <m/>
    <n v="2"/>
    <n v="7"/>
    <m/>
    <m/>
    <n v="6"/>
    <n v="26"/>
    <n v="30"/>
    <m/>
    <n v="5"/>
    <n v="1"/>
    <m/>
    <m/>
    <n v="2"/>
    <n v="8"/>
    <n v="9"/>
    <m/>
    <m/>
    <n v="2"/>
    <m/>
    <m/>
    <n v="2"/>
    <m/>
    <m/>
    <m/>
    <m/>
    <m/>
    <m/>
    <m/>
    <m/>
    <n v="27109750"/>
    <n v="27884241"/>
    <n v="16557325"/>
    <n v="16333353"/>
    <n v="10770872"/>
    <n v="10829270"/>
    <n v="1240358"/>
    <n v="1828600"/>
    <n v="697400"/>
    <n v="752900"/>
    <n v="0"/>
    <m/>
    <n v="2083"/>
    <n v="2161"/>
    <n v="1718"/>
    <n v="1740"/>
    <n v="1472"/>
    <n v="1505"/>
    <n v="245"/>
    <n v="344"/>
    <n v="94"/>
    <n v="105"/>
    <n v="0"/>
    <n v="0"/>
    <n v="13014.762361977917"/>
    <n v="12903.397038408144"/>
    <n v="9637.5582072176949"/>
    <n v="9386.9844827586203"/>
    <n v="7317.16847826087"/>
    <n v="7195.5282392026575"/>
    <n v="5062.6857142857143"/>
    <n v="5315.6976744186049"/>
    <n v="7419.1489361702124"/>
    <n v="7170.4761904761908"/>
    <n v="0"/>
    <n v="0"/>
    <n v="117132.86125780125"/>
    <n v="116130.5733456733"/>
    <n v="86738.02386495925"/>
    <n v="84482.860344827583"/>
    <n v="65854.516304347824"/>
    <n v="64759.754152823916"/>
    <n v="45564.171428571426"/>
    <n v="47841.279069767443"/>
    <n v="66772.340425531918"/>
    <n v="64534.285714285717"/>
    <n v="0"/>
    <n v="0"/>
    <n v="90241.87899305344"/>
    <n v="88282.531068392927"/>
    <n v="225"/>
    <n v="228"/>
    <n v="188"/>
    <n v="187"/>
    <n v="162"/>
    <n v="165"/>
    <n v="27"/>
    <n v="37"/>
    <n v="10"/>
    <n v="11"/>
    <n v="0"/>
    <n v="0"/>
    <n v="612"/>
    <n v="628"/>
    <n v="26354893.783005282"/>
    <n v="26477770.722813513"/>
    <n v="16306748.486612339"/>
    <n v="15798294.884482758"/>
    <n v="10668431.641304348"/>
    <n v="10685359.435215946"/>
    <n v="1230232.6285714286"/>
    <n v="1770127.3255813953"/>
    <n v="667723.40425531915"/>
    <n v="709877.14285714284"/>
    <n v="0"/>
    <n v="0"/>
    <n v="55228029.943748705"/>
    <n v="55441429.510950759"/>
  </r>
  <r>
    <x v="14"/>
    <s v="Virginia Commonwealth University"/>
    <m/>
    <n v="234030"/>
    <x v="1"/>
    <n v="135"/>
    <n v="25"/>
    <m/>
    <n v="1"/>
    <n v="72"/>
    <m/>
    <m/>
    <n v="187"/>
    <n v="234"/>
    <n v="63"/>
    <m/>
    <n v="2"/>
    <n v="88"/>
    <m/>
    <m/>
    <n v="266"/>
    <n v="230"/>
    <n v="208"/>
    <m/>
    <n v="3"/>
    <n v="148"/>
    <m/>
    <m/>
    <n v="174"/>
    <n v="122"/>
    <n v="97"/>
    <m/>
    <n v="6"/>
    <n v="96"/>
    <m/>
    <m/>
    <n v="104"/>
    <m/>
    <m/>
    <m/>
    <m/>
    <m/>
    <m/>
    <m/>
    <m/>
    <m/>
    <m/>
    <m/>
    <m/>
    <m/>
    <m/>
    <m/>
    <m/>
    <n v="24989778"/>
    <n v="26553409"/>
    <n v="27035586"/>
    <n v="27859180"/>
    <n v="26390234"/>
    <n v="27538630"/>
    <n v="11918950"/>
    <n v="11308408"/>
    <n v="0"/>
    <m/>
    <n v="0"/>
    <m/>
    <n v="2007"/>
    <n v="2479"/>
    <n v="3074"/>
    <n v="3779"/>
    <n v="3698"/>
    <n v="3990"/>
    <n v="2154"/>
    <n v="2181"/>
    <n v="0"/>
    <n v="0"/>
    <n v="0"/>
    <n v="0"/>
    <n v="12451.309417040358"/>
    <n v="10711.338846308996"/>
    <n v="8794.9206245933638"/>
    <n v="7372.1037311458058"/>
    <n v="7136.3531638723634"/>
    <n v="6901.9122807017548"/>
    <n v="5533.4029712163419"/>
    <n v="5184.9646950939932"/>
    <n v="0"/>
    <n v="0"/>
    <n v="0"/>
    <n v="0"/>
    <n v="112061.78475336323"/>
    <n v="96402.049616780962"/>
    <n v="79154.28562134027"/>
    <n v="66348.933580312252"/>
    <n v="64227.178474851273"/>
    <n v="62117.210526315794"/>
    <n v="49800.626740947075"/>
    <n v="46664.682255845939"/>
    <n v="0"/>
    <n v="0"/>
    <n v="0"/>
    <n v="0"/>
    <n v="74505.670672922657"/>
    <n v="66962.895125923751"/>
    <n v="207"/>
    <n v="213"/>
    <n v="322"/>
    <n v="331"/>
    <n v="378"/>
    <n v="385"/>
    <n v="218"/>
    <n v="207"/>
    <n v="0"/>
    <n v="0"/>
    <n v="0"/>
    <n v="0"/>
    <n v="1125"/>
    <n v="1136"/>
    <n v="23196789.44394619"/>
    <n v="20533636.568374343"/>
    <n v="25487679.970071565"/>
    <n v="21961497.015083354"/>
    <n v="24277873.463493779"/>
    <n v="23915126.052631579"/>
    <n v="10856536.629526462"/>
    <n v="9659589.2269601095"/>
    <n v="0"/>
    <n v="0"/>
    <n v="0"/>
    <n v="0"/>
    <n v="83818879.507037982"/>
    <n v="76069848.863049388"/>
  </r>
  <r>
    <x v="14"/>
    <s v="James Madison University  "/>
    <m/>
    <n v="232423"/>
    <x v="2"/>
    <n v="227"/>
    <m/>
    <m/>
    <n v="215"/>
    <n v="51"/>
    <m/>
    <m/>
    <n v="55"/>
    <n v="217"/>
    <m/>
    <m/>
    <n v="235"/>
    <n v="19"/>
    <m/>
    <m/>
    <n v="19"/>
    <n v="269"/>
    <m/>
    <m/>
    <n v="271"/>
    <n v="11"/>
    <m/>
    <m/>
    <n v="10"/>
    <n v="117"/>
    <m/>
    <m/>
    <n v="60"/>
    <n v="13"/>
    <m/>
    <m/>
    <n v="9"/>
    <m/>
    <m/>
    <m/>
    <n v="61"/>
    <m/>
    <m/>
    <m/>
    <n v="5"/>
    <m/>
    <m/>
    <m/>
    <m/>
    <m/>
    <m/>
    <m/>
    <m/>
    <n v="25367012"/>
    <n v="24823643"/>
    <n v="16037652"/>
    <n v="17443574"/>
    <n v="17066267"/>
    <n v="17365357"/>
    <n v="6780618"/>
    <n v="3820880"/>
    <n v="0"/>
    <n v="3475030"/>
    <n v="0"/>
    <m/>
    <n v="2604"/>
    <n v="2810"/>
    <n v="2162"/>
    <n v="2578"/>
    <n v="2542"/>
    <n v="2830"/>
    <n v="1196"/>
    <n v="708"/>
    <n v="0"/>
    <n v="670"/>
    <n v="0"/>
    <n v="0"/>
    <n v="9741.5560675883262"/>
    <n v="8834.0366548042712"/>
    <n v="7417.9703977798335"/>
    <n v="6766.3204034134988"/>
    <n v="6713.7163650668763"/>
    <n v="6136.1685512367494"/>
    <n v="5669.413043478261"/>
    <n v="5396.7231638418079"/>
    <n v="0"/>
    <n v="5186.6119402985078"/>
    <n v="0"/>
    <n v="0"/>
    <n v="87674.004608294941"/>
    <n v="79506.329893238435"/>
    <n v="66761.733580018496"/>
    <n v="60896.883630721488"/>
    <n v="60423.447285601884"/>
    <n v="55225.516961130743"/>
    <n v="51024.717391304352"/>
    <n v="48570.508474576272"/>
    <n v="0"/>
    <n v="46679.507462686568"/>
    <n v="0"/>
    <n v="0"/>
    <n v="68918.745570160652"/>
    <n v="62643.723783764312"/>
    <n v="278"/>
    <n v="270"/>
    <n v="236"/>
    <n v="254"/>
    <n v="280"/>
    <n v="281"/>
    <n v="130"/>
    <n v="69"/>
    <n v="0"/>
    <n v="66"/>
    <n v="0"/>
    <n v="0"/>
    <n v="924"/>
    <n v="940"/>
    <n v="24373373.281105995"/>
    <n v="21466709.071174376"/>
    <n v="15755769.124884365"/>
    <n v="15467808.442203257"/>
    <n v="16918565.239968527"/>
    <n v="15518370.266077738"/>
    <n v="6633213.2608695654"/>
    <n v="3351365.0847457629"/>
    <n v="0"/>
    <n v="3080847.4925373136"/>
    <n v="0"/>
    <n v="0"/>
    <n v="63680920.906828441"/>
    <n v="58885100.356738456"/>
  </r>
  <r>
    <x v="14"/>
    <s v="Norfolk State University "/>
    <m/>
    <n v="232937"/>
    <x v="2"/>
    <n v="56"/>
    <n v="57"/>
    <m/>
    <m/>
    <n v="16"/>
    <m/>
    <m/>
    <n v="14"/>
    <n v="50"/>
    <n v="52"/>
    <m/>
    <m/>
    <n v="9"/>
    <m/>
    <m/>
    <n v="12"/>
    <n v="74"/>
    <n v="84"/>
    <m/>
    <m/>
    <n v="6"/>
    <m/>
    <m/>
    <n v="5"/>
    <n v="45"/>
    <n v="45"/>
    <m/>
    <m/>
    <n v="6"/>
    <m/>
    <m/>
    <n v="6"/>
    <m/>
    <m/>
    <m/>
    <m/>
    <m/>
    <m/>
    <m/>
    <n v="3"/>
    <m/>
    <m/>
    <m/>
    <m/>
    <m/>
    <m/>
    <m/>
    <m/>
    <n v="6358472"/>
    <n v="6301757"/>
    <n v="4301271"/>
    <n v="4719853"/>
    <n v="4761138"/>
    <n v="5311741"/>
    <n v="2739126"/>
    <n v="2752011"/>
    <n v="0"/>
    <n v="184101"/>
    <n v="0"/>
    <m/>
    <n v="680"/>
    <n v="681"/>
    <n v="549"/>
    <n v="612"/>
    <n v="732"/>
    <n v="816"/>
    <n v="471"/>
    <n v="477"/>
    <n v="0"/>
    <n v="36"/>
    <n v="0"/>
    <n v="0"/>
    <n v="9350.6941176470591"/>
    <n v="9253.6813509544791"/>
    <n v="7834.7377049180332"/>
    <n v="7712.1781045751632"/>
    <n v="6504.2868852459014"/>
    <n v="6509.4865196078435"/>
    <n v="5815.5541401273886"/>
    <n v="5769.4150943396226"/>
    <n v="0"/>
    <n v="5113.916666666667"/>
    <n v="0"/>
    <n v="0"/>
    <n v="84156.24705882353"/>
    <n v="83283.132158590306"/>
    <n v="70512.639344262294"/>
    <n v="69409.602941176476"/>
    <n v="58538.581967213111"/>
    <n v="58585.378676470595"/>
    <n v="52339.987261146496"/>
    <n v="51924.735849056604"/>
    <n v="0"/>
    <n v="46025.25"/>
    <n v="0"/>
    <n v="0"/>
    <n v="67068.402355886603"/>
    <n v="66027.52860432725"/>
    <n v="72"/>
    <n v="71"/>
    <n v="59"/>
    <n v="64"/>
    <n v="80"/>
    <n v="89"/>
    <n v="51"/>
    <n v="51"/>
    <n v="0"/>
    <n v="3"/>
    <n v="0"/>
    <n v="0"/>
    <n v="262"/>
    <n v="278"/>
    <n v="6059249.7882352937"/>
    <n v="5913102.383259912"/>
    <n v="4160245.7213114752"/>
    <n v="4442214.5882352944"/>
    <n v="4683086.5573770488"/>
    <n v="5214098.7022058833"/>
    <n v="2669339.3503184714"/>
    <n v="2648161.5283018867"/>
    <n v="0"/>
    <n v="138075.75"/>
    <n v="0"/>
    <n v="0"/>
    <n v="17571921.417242289"/>
    <n v="18355652.952002976"/>
  </r>
  <r>
    <x v="14"/>
    <s v="Longwood University "/>
    <s v="Met the criteria for Four-Year 3 in 2011-12 and 2012-13."/>
    <n v="232566"/>
    <x v="3"/>
    <n v="43"/>
    <n v="47"/>
    <m/>
    <m/>
    <m/>
    <m/>
    <m/>
    <m/>
    <n v="70"/>
    <n v="68"/>
    <m/>
    <m/>
    <n v="3"/>
    <n v="2"/>
    <m/>
    <m/>
    <n v="71"/>
    <n v="69"/>
    <m/>
    <m/>
    <n v="1"/>
    <m/>
    <m/>
    <m/>
    <n v="1"/>
    <n v="2"/>
    <m/>
    <m/>
    <n v="1"/>
    <m/>
    <m/>
    <m/>
    <n v="2"/>
    <n v="36"/>
    <m/>
    <m/>
    <m/>
    <n v="1"/>
    <m/>
    <m/>
    <m/>
    <m/>
    <m/>
    <m/>
    <m/>
    <m/>
    <m/>
    <m/>
    <n v="3323728"/>
    <n v="3628160"/>
    <n v="4522417"/>
    <n v="4520263"/>
    <n v="3975426"/>
    <n v="3976311"/>
    <n v="129431"/>
    <n v="95000"/>
    <n v="113000"/>
    <n v="1645355"/>
    <n v="0"/>
    <m/>
    <n v="387"/>
    <n v="423"/>
    <n v="663"/>
    <n v="634"/>
    <n v="650"/>
    <n v="621"/>
    <n v="20"/>
    <n v="18"/>
    <n v="18"/>
    <n v="335"/>
    <n v="0"/>
    <n v="0"/>
    <n v="8588.4444444444453"/>
    <n v="8577.2104018912523"/>
    <n v="6821.1417797888389"/>
    <n v="7129.7523659305998"/>
    <n v="6116.04"/>
    <n v="6403.0772946859906"/>
    <n v="6471.55"/>
    <n v="5277.7777777777774"/>
    <n v="6277.7777777777774"/>
    <n v="4911.5074626865671"/>
    <n v="0"/>
    <n v="0"/>
    <n v="77296"/>
    <n v="77194.893617021269"/>
    <n v="61390.276018099554"/>
    <n v="64167.771293375401"/>
    <n v="55044.36"/>
    <n v="57627.695652173919"/>
    <n v="58243.950000000004"/>
    <n v="47500"/>
    <n v="56500"/>
    <n v="44203.567164179105"/>
    <n v="0"/>
    <n v="0"/>
    <n v="62489.062340214936"/>
    <n v="61452.208780492911"/>
    <n v="43"/>
    <n v="47"/>
    <n v="73"/>
    <n v="70"/>
    <n v="72"/>
    <n v="69"/>
    <n v="2"/>
    <n v="2"/>
    <n v="2"/>
    <n v="37"/>
    <n v="0"/>
    <n v="0"/>
    <n v="192"/>
    <n v="225"/>
    <n v="3323728"/>
    <n v="3628159.9999999995"/>
    <n v="4481490.1493212674"/>
    <n v="4491743.9905362781"/>
    <n v="3963193.92"/>
    <n v="3976311.0000000005"/>
    <n v="116487.90000000001"/>
    <n v="95000"/>
    <n v="113000"/>
    <n v="1635531.985074627"/>
    <n v="0"/>
    <n v="0"/>
    <n v="11997899.969321268"/>
    <n v="13826746.975610904"/>
  </r>
  <r>
    <x v="14"/>
    <s v="Radford University"/>
    <s v="Met the criteria for Four-Year 3 in 2011-12 and 2012-13."/>
    <n v="233277"/>
    <x v="3"/>
    <n v="119"/>
    <n v="120"/>
    <m/>
    <m/>
    <n v="4"/>
    <n v="1"/>
    <m/>
    <n v="3"/>
    <n v="109"/>
    <n v="118"/>
    <m/>
    <m/>
    <n v="3"/>
    <m/>
    <m/>
    <n v="4"/>
    <n v="117"/>
    <n v="110"/>
    <m/>
    <m/>
    <n v="2"/>
    <n v="2"/>
    <m/>
    <m/>
    <n v="50"/>
    <n v="51"/>
    <m/>
    <m/>
    <n v="2"/>
    <n v="1"/>
    <m/>
    <n v="1"/>
    <m/>
    <m/>
    <m/>
    <m/>
    <m/>
    <m/>
    <m/>
    <m/>
    <m/>
    <m/>
    <m/>
    <m/>
    <m/>
    <m/>
    <m/>
    <m/>
    <n v="9755780"/>
    <n v="10180103"/>
    <n v="7440251"/>
    <n v="8390116"/>
    <n v="6986106"/>
    <n v="6808649"/>
    <n v="2752614"/>
    <n v="2808155"/>
    <n v="0"/>
    <m/>
    <n v="0"/>
    <m/>
    <n v="1115"/>
    <n v="1127"/>
    <n v="1014"/>
    <n v="1110"/>
    <n v="1075"/>
    <n v="1012"/>
    <n v="472"/>
    <n v="482"/>
    <n v="0"/>
    <n v="0"/>
    <n v="0"/>
    <n v="0"/>
    <n v="8749.5784753363223"/>
    <n v="9032.9219165927243"/>
    <n v="7337.5256410256407"/>
    <n v="7558.6630630630634"/>
    <n v="6498.7032558139535"/>
    <n v="6727.914031620553"/>
    <n v="5831.8093220338988"/>
    <n v="5826.0477178423234"/>
    <n v="0"/>
    <n v="0"/>
    <n v="0"/>
    <n v="0"/>
    <n v="78746.206278026904"/>
    <n v="81296.297249334515"/>
    <n v="66037.730769230766"/>
    <n v="68027.967567567568"/>
    <n v="58488.329302325583"/>
    <n v="60551.226284584976"/>
    <n v="52486.28389830509"/>
    <n v="52434.429460580912"/>
    <n v="0"/>
    <n v="0"/>
    <n v="0"/>
    <n v="0"/>
    <n v="65939.426522265436"/>
    <n v="67982.761575292039"/>
    <n v="123"/>
    <n v="124"/>
    <n v="112"/>
    <n v="122"/>
    <n v="119"/>
    <n v="112"/>
    <n v="52"/>
    <n v="53"/>
    <n v="0"/>
    <n v="0"/>
    <n v="0"/>
    <n v="0"/>
    <n v="406"/>
    <n v="411"/>
    <n v="9685783.3721973095"/>
    <n v="10080740.85891748"/>
    <n v="7396225.846153846"/>
    <n v="8299412.0432432434"/>
    <n v="6960111.1869767448"/>
    <n v="6781737.3438735176"/>
    <n v="2729286.7627118649"/>
    <n v="2779024.7614107882"/>
    <n v="0"/>
    <n v="0"/>
    <n v="0"/>
    <n v="0"/>
    <n v="26771407.168039765"/>
    <n v="27940915.00744503"/>
  </r>
  <r>
    <x v="14"/>
    <s v="Virginia State University "/>
    <s v="Met the criteria for Four-Year 3 in 2011-12 and 2012-13."/>
    <n v="234155"/>
    <x v="3"/>
    <n v="32"/>
    <n v="32"/>
    <m/>
    <n v="1"/>
    <n v="17"/>
    <n v="4"/>
    <m/>
    <n v="15"/>
    <n v="78"/>
    <n v="79"/>
    <m/>
    <n v="9"/>
    <n v="20"/>
    <n v="3"/>
    <m/>
    <n v="19"/>
    <n v="69"/>
    <n v="63"/>
    <m/>
    <n v="3"/>
    <n v="15"/>
    <n v="2"/>
    <m/>
    <n v="22"/>
    <n v="29"/>
    <n v="26"/>
    <m/>
    <n v="3"/>
    <n v="2"/>
    <n v="1"/>
    <m/>
    <n v="2"/>
    <n v="1"/>
    <m/>
    <m/>
    <m/>
    <n v="1"/>
    <m/>
    <m/>
    <m/>
    <m/>
    <m/>
    <m/>
    <m/>
    <m/>
    <m/>
    <m/>
    <m/>
    <n v="4291741"/>
    <n v="4752855"/>
    <n v="6749096"/>
    <n v="8022764"/>
    <n v="5554647"/>
    <n v="6017683"/>
    <n v="1470948"/>
    <n v="1552625"/>
    <n v="93055"/>
    <m/>
    <n v="0"/>
    <m/>
    <n v="475"/>
    <n v="522"/>
    <n v="922"/>
    <n v="1062"/>
    <n v="786"/>
    <n v="883"/>
    <n v="283"/>
    <n v="299"/>
    <n v="20"/>
    <n v="0"/>
    <n v="0"/>
    <n v="0"/>
    <n v="9035.2442105263162"/>
    <n v="9105.0862068965525"/>
    <n v="7320.0607375271147"/>
    <n v="7554.3917137476456"/>
    <n v="7066.980916030534"/>
    <n v="6815.0430351075875"/>
    <n v="5197.6961130742047"/>
    <n v="5192.7257525083614"/>
    <n v="4652.75"/>
    <n v="0"/>
    <n v="0"/>
    <n v="0"/>
    <n v="81317.197894736848"/>
    <n v="81945.775862068971"/>
    <n v="65880.546637744032"/>
    <n v="67989.525423728803"/>
    <n v="63602.828244274802"/>
    <n v="61335.387315968284"/>
    <n v="46779.265017667843"/>
    <n v="46734.531772575254"/>
    <n v="41874.75"/>
    <n v="0"/>
    <n v="0"/>
    <n v="0"/>
    <n v="65596.138467453813"/>
    <n v="66041.260621821493"/>
    <n v="49"/>
    <n v="52"/>
    <n v="98"/>
    <n v="110"/>
    <n v="84"/>
    <n v="90"/>
    <n v="31"/>
    <n v="32"/>
    <n v="2"/>
    <n v="0"/>
    <n v="0"/>
    <n v="0"/>
    <n v="264"/>
    <n v="284"/>
    <n v="3984542.6968421056"/>
    <n v="4261180.3448275868"/>
    <n v="6456293.5704989154"/>
    <n v="7478847.7966101682"/>
    <n v="5342637.5725190835"/>
    <n v="5520184.8584371451"/>
    <n v="1450157.2155477032"/>
    <n v="1495505.0167224081"/>
    <n v="83749.5"/>
    <n v="0"/>
    <n v="0"/>
    <n v="0"/>
    <n v="17317380.555407807"/>
    <n v="18755718.016597304"/>
  </r>
  <r>
    <x v="14"/>
    <s v="Christopher Newport University"/>
    <s v="Met the criteria for Four-Year 4 in 2011-12 and 2012-13."/>
    <n v="231712"/>
    <x v="4"/>
    <n v="36"/>
    <n v="39"/>
    <m/>
    <m/>
    <m/>
    <m/>
    <m/>
    <m/>
    <n v="82"/>
    <n v="88"/>
    <m/>
    <m/>
    <m/>
    <m/>
    <m/>
    <m/>
    <n v="59"/>
    <n v="50"/>
    <m/>
    <m/>
    <m/>
    <m/>
    <m/>
    <m/>
    <n v="32"/>
    <n v="35"/>
    <m/>
    <m/>
    <m/>
    <m/>
    <m/>
    <m/>
    <n v="37"/>
    <n v="46"/>
    <m/>
    <m/>
    <m/>
    <m/>
    <m/>
    <m/>
    <m/>
    <m/>
    <m/>
    <m/>
    <m/>
    <m/>
    <m/>
    <m/>
    <n v="3448224"/>
    <n v="3694027"/>
    <n v="5902196"/>
    <n v="6250819"/>
    <n v="3479407"/>
    <n v="2878550"/>
    <n v="1596992"/>
    <n v="1765769"/>
    <n v="1956782"/>
    <n v="2441141"/>
    <n v="0"/>
    <m/>
    <n v="324"/>
    <n v="351"/>
    <n v="738"/>
    <n v="792"/>
    <n v="531"/>
    <n v="450"/>
    <n v="288"/>
    <n v="315"/>
    <n v="333"/>
    <n v="414"/>
    <n v="0"/>
    <n v="0"/>
    <n v="10642.666666666666"/>
    <n v="10524.293447293447"/>
    <n v="7997.5555555555557"/>
    <n v="7892.4482323232323"/>
    <n v="6552.5555555555557"/>
    <n v="6396.7777777777774"/>
    <n v="5545.1111111111113"/>
    <n v="5605.6158730158731"/>
    <n v="5876.2222222222226"/>
    <n v="5896.4758454106277"/>
    <n v="0"/>
    <n v="0"/>
    <n v="95784"/>
    <n v="94718.641025641016"/>
    <n v="71978"/>
    <n v="71032.034090909088"/>
    <n v="58973"/>
    <n v="57571"/>
    <n v="49906"/>
    <n v="50450.542857142857"/>
    <n v="52886"/>
    <n v="53068.282608695648"/>
    <n v="0"/>
    <n v="0"/>
    <n v="66600.004065040644"/>
    <n v="66008.937984496122"/>
    <n v="36"/>
    <n v="39"/>
    <n v="82"/>
    <n v="88"/>
    <n v="59"/>
    <n v="50"/>
    <n v="32"/>
    <n v="35"/>
    <n v="37"/>
    <n v="46"/>
    <n v="0"/>
    <n v="0"/>
    <n v="246"/>
    <n v="258"/>
    <n v="3448224"/>
    <n v="3694026.9999999995"/>
    <n v="5902196"/>
    <n v="6250819"/>
    <n v="3479407"/>
    <n v="2878550"/>
    <n v="1596992"/>
    <n v="1765769"/>
    <n v="1956782"/>
    <n v="2441141"/>
    <n v="0"/>
    <n v="0"/>
    <n v="16383600.999999998"/>
    <n v="17030306"/>
  </r>
  <r>
    <x v="14"/>
    <s v="University of Mary Washington "/>
    <s v="Met the criteria for Four-Year 3 in 2011-12 and 2012-13."/>
    <n v="232681"/>
    <x v="4"/>
    <n v="76"/>
    <n v="78"/>
    <m/>
    <m/>
    <n v="5"/>
    <m/>
    <m/>
    <n v="4"/>
    <n v="73"/>
    <n v="72"/>
    <m/>
    <n v="4"/>
    <n v="12"/>
    <m/>
    <m/>
    <n v="7"/>
    <n v="54"/>
    <n v="53"/>
    <m/>
    <m/>
    <n v="4"/>
    <m/>
    <m/>
    <n v="3"/>
    <n v="3"/>
    <n v="3"/>
    <m/>
    <m/>
    <n v="2"/>
    <m/>
    <m/>
    <m/>
    <n v="17"/>
    <n v="14"/>
    <m/>
    <n v="3"/>
    <m/>
    <m/>
    <m/>
    <n v="3"/>
    <m/>
    <m/>
    <m/>
    <m/>
    <m/>
    <m/>
    <m/>
    <m/>
    <n v="6730474"/>
    <n v="6792754"/>
    <n v="5483087"/>
    <n v="5230906"/>
    <n v="3263338"/>
    <n v="3365462"/>
    <n v="278999"/>
    <n v="147500"/>
    <n v="978333"/>
    <n v="1227604"/>
    <n v="0"/>
    <m/>
    <n v="739"/>
    <n v="750"/>
    <n v="789"/>
    <n v="772"/>
    <n v="530"/>
    <n v="513"/>
    <n v="49"/>
    <n v="27"/>
    <n v="153"/>
    <n v="192"/>
    <n v="0"/>
    <n v="0"/>
    <n v="9107.5426251691479"/>
    <n v="9057.0053333333326"/>
    <n v="6949.4131812420783"/>
    <n v="6775.7849740932643"/>
    <n v="6157.2415094339622"/>
    <n v="6560.3547758284603"/>
    <n v="5693.8571428571431"/>
    <n v="5462.9629629629626"/>
    <n v="6394.333333333333"/>
    <n v="6393.770833333333"/>
    <n v="0"/>
    <n v="0"/>
    <n v="81967.883626522336"/>
    <n v="81513.047999999995"/>
    <n v="62544.718631178708"/>
    <n v="60982.064766839379"/>
    <n v="55415.173584905657"/>
    <n v="59043.192982456145"/>
    <n v="51244.71428571429"/>
    <n v="49166.666666666664"/>
    <n v="57549"/>
    <n v="57543.9375"/>
    <n v="0"/>
    <n v="0"/>
    <n v="66684.293889234134"/>
    <n v="67009.749461742671"/>
    <n v="81"/>
    <n v="82"/>
    <n v="85"/>
    <n v="83"/>
    <n v="58"/>
    <n v="56"/>
    <n v="5"/>
    <n v="3"/>
    <n v="17"/>
    <n v="20"/>
    <n v="0"/>
    <n v="0"/>
    <n v="246"/>
    <n v="244"/>
    <n v="6639398.5737483092"/>
    <n v="6684069.9359999998"/>
    <n v="5316301.0836501904"/>
    <n v="5061511.3756476687"/>
    <n v="3214080.0679245279"/>
    <n v="3306418.8070175443"/>
    <n v="256223.57142857145"/>
    <n v="147500"/>
    <n v="978333"/>
    <n v="1150878.75"/>
    <n v="0"/>
    <n v="0"/>
    <n v="16404336.296751596"/>
    <n v="16350378.868665211"/>
  </r>
  <r>
    <x v="14"/>
    <s v="University of Virginia's College at Wise "/>
    <m/>
    <n v="233897"/>
    <x v="5"/>
    <n v="15"/>
    <n v="17"/>
    <m/>
    <m/>
    <m/>
    <m/>
    <m/>
    <m/>
    <n v="30"/>
    <n v="31"/>
    <m/>
    <m/>
    <n v="1"/>
    <m/>
    <m/>
    <n v="1"/>
    <n v="15"/>
    <n v="22"/>
    <m/>
    <m/>
    <m/>
    <m/>
    <m/>
    <m/>
    <n v="24"/>
    <n v="18"/>
    <m/>
    <m/>
    <n v="1"/>
    <m/>
    <m/>
    <n v="1"/>
    <n v="1"/>
    <m/>
    <m/>
    <m/>
    <m/>
    <m/>
    <m/>
    <m/>
    <m/>
    <m/>
    <m/>
    <m/>
    <m/>
    <m/>
    <m/>
    <m/>
    <n v="1148100"/>
    <n v="1250856"/>
    <n v="1922410"/>
    <n v="1971490"/>
    <n v="852105"/>
    <n v="1196450"/>
    <n v="1109404"/>
    <n v="859700"/>
    <n v="60300"/>
    <m/>
    <n v="0"/>
    <m/>
    <n v="135"/>
    <n v="153"/>
    <n v="281"/>
    <n v="291"/>
    <n v="135"/>
    <n v="198"/>
    <n v="227"/>
    <n v="174"/>
    <n v="9"/>
    <n v="0"/>
    <n v="0"/>
    <n v="0"/>
    <n v="8504.4444444444453"/>
    <n v="8175.5294117647063"/>
    <n v="6841.3167259786478"/>
    <n v="6774.8797250859106"/>
    <n v="6311.8888888888887"/>
    <n v="6042.6767676767677"/>
    <n v="4887.242290748899"/>
    <n v="4940.8045977011498"/>
    <n v="6700"/>
    <n v="0"/>
    <n v="0"/>
    <n v="0"/>
    <n v="76540"/>
    <n v="73579.76470588235"/>
    <n v="61571.850533807832"/>
    <n v="60973.917525773199"/>
    <n v="56807"/>
    <n v="54384.090909090912"/>
    <n v="43985.180616740094"/>
    <n v="44467.241379310348"/>
    <n v="60300"/>
    <n v="0"/>
    <n v="0"/>
    <n v="0"/>
    <n v="58262.780252489028"/>
    <n v="58259.432744795988"/>
    <n v="15"/>
    <n v="17"/>
    <n v="31"/>
    <n v="32"/>
    <n v="15"/>
    <n v="22"/>
    <n v="25"/>
    <n v="19"/>
    <n v="1"/>
    <n v="0"/>
    <n v="0"/>
    <n v="0"/>
    <n v="87"/>
    <n v="90"/>
    <n v="1148100"/>
    <n v="1250856"/>
    <n v="1908727.3665480427"/>
    <n v="1951165.3608247424"/>
    <n v="852105"/>
    <n v="1196450"/>
    <n v="1099629.5154185023"/>
    <n v="844877.58620689658"/>
    <n v="60300"/>
    <n v="0"/>
    <n v="0"/>
    <n v="0"/>
    <n v="5068861.8819665452"/>
    <n v="5243348.9470316386"/>
  </r>
  <r>
    <x v="14"/>
    <s v="J.S. Reynolds Community College"/>
    <m/>
    <n v="232414"/>
    <x v="6"/>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Northern Virginia Community College "/>
    <m/>
    <n v="232946"/>
    <x v="6"/>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Thomas Nelson Community College "/>
    <m/>
    <n v="233754"/>
    <x v="6"/>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Tidewater Community College "/>
    <m/>
    <n v="233772"/>
    <x v="6"/>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Blue Ridge Community College "/>
    <m/>
    <n v="231536"/>
    <x v="7"/>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Central Virginia Community College "/>
    <m/>
    <n v="231697"/>
    <x v="7"/>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Danville Community College "/>
    <m/>
    <n v="231882"/>
    <x v="7"/>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Germanna Community College"/>
    <m/>
    <n v="232195"/>
    <x v="7"/>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John Tyler Community College"/>
    <s v="Met the criteria for Two-Year 1 in 2011-12 and 2012-13."/>
    <n v="232450"/>
    <x v="7"/>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Lord Fairfax Community College  "/>
    <m/>
    <n v="232575"/>
    <x v="7"/>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New River Community College "/>
    <m/>
    <n v="232867"/>
    <x v="7"/>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Patrick Henry Community College "/>
    <m/>
    <n v="233019"/>
    <x v="7"/>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Piedmont Virginia Community College "/>
    <m/>
    <n v="233116"/>
    <x v="7"/>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Southside Virginia Community College  "/>
    <m/>
    <n v="233639"/>
    <x v="7"/>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Southwest Virginia Community College "/>
    <s v="Met the criteria for Two-Year 3 in 2012-13."/>
    <n v="233648"/>
    <x v="7"/>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Virginia Western Community College "/>
    <m/>
    <n v="233949"/>
    <x v="7"/>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Wytheville Community College "/>
    <m/>
    <n v="234377"/>
    <x v="7"/>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D.S. Lancaster Community College "/>
    <m/>
    <n v="231873"/>
    <x v="8"/>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Eastern Shore Community College  "/>
    <m/>
    <n v="232052"/>
    <x v="8"/>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Mountain Empire Community College"/>
    <s v="Reclassified: Met the criteria for Two-Year 2 in 2010-11, 2011-12, and 2012-13."/>
    <n v="232788"/>
    <x v="7"/>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Paul D. Camp Community College  "/>
    <m/>
    <n v="233037"/>
    <x v="8"/>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Rappahannock Community College  "/>
    <s v="Met the criteria for Two-Year 2 in 2011-12 and 2012-13."/>
    <n v="233310"/>
    <x v="8"/>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Richard Bland College "/>
    <m/>
    <n v="233338"/>
    <x v="8"/>
    <n v="11"/>
    <n v="9"/>
    <m/>
    <m/>
    <m/>
    <m/>
    <m/>
    <m/>
    <n v="13"/>
    <n v="16"/>
    <m/>
    <m/>
    <m/>
    <m/>
    <m/>
    <m/>
    <n v="10"/>
    <n v="8"/>
    <m/>
    <m/>
    <m/>
    <m/>
    <m/>
    <m/>
    <m/>
    <m/>
    <m/>
    <m/>
    <m/>
    <m/>
    <m/>
    <m/>
    <m/>
    <m/>
    <m/>
    <m/>
    <m/>
    <m/>
    <m/>
    <m/>
    <m/>
    <m/>
    <m/>
    <m/>
    <m/>
    <m/>
    <m/>
    <m/>
    <n v="737935"/>
    <n v="602365"/>
    <n v="702039"/>
    <n v="922484"/>
    <n v="462680"/>
    <n v="370850"/>
    <n v="0"/>
    <m/>
    <n v="0"/>
    <m/>
    <n v="0"/>
    <m/>
    <n v="99"/>
    <n v="81"/>
    <n v="117"/>
    <n v="144"/>
    <n v="90"/>
    <n v="72"/>
    <n v="0"/>
    <n v="0"/>
    <n v="0"/>
    <n v="0"/>
    <n v="0"/>
    <n v="0"/>
    <n v="7453.8888888888887"/>
    <n v="7436.6049382716046"/>
    <n v="6000.333333333333"/>
    <n v="6406.1388888888887"/>
    <n v="5140.8888888888887"/>
    <n v="5150.6944444444443"/>
    <n v="0"/>
    <n v="0"/>
    <n v="0"/>
    <n v="0"/>
    <n v="0"/>
    <n v="0"/>
    <n v="67085"/>
    <n v="66929.444444444438"/>
    <n v="54003"/>
    <n v="57655.25"/>
    <n v="46268"/>
    <n v="46356.25"/>
    <n v="0"/>
    <n v="0"/>
    <n v="0"/>
    <n v="0"/>
    <n v="0"/>
    <n v="0"/>
    <n v="55960.411764705881"/>
    <n v="57445.42424242424"/>
    <n v="11"/>
    <n v="9"/>
    <n v="13"/>
    <n v="16"/>
    <n v="10"/>
    <n v="8"/>
    <n v="0"/>
    <n v="0"/>
    <n v="0"/>
    <n v="0"/>
    <n v="0"/>
    <n v="0"/>
    <n v="34"/>
    <n v="33"/>
    <n v="737935"/>
    <n v="602365"/>
    <n v="702039"/>
    <n v="922484"/>
    <n v="462680"/>
    <n v="370850"/>
    <n v="0"/>
    <n v="0"/>
    <n v="0"/>
    <n v="0"/>
    <n v="0"/>
    <n v="0"/>
    <n v="1902654"/>
    <n v="1895699"/>
  </r>
  <r>
    <x v="14"/>
    <s v="Virginia Highlands Community College "/>
    <m/>
    <n v="233903"/>
    <x v="8"/>
    <m/>
    <m/>
    <m/>
    <m/>
    <m/>
    <m/>
    <m/>
    <m/>
    <m/>
    <m/>
    <m/>
    <m/>
    <m/>
    <m/>
    <m/>
    <m/>
    <m/>
    <m/>
    <m/>
    <m/>
    <m/>
    <m/>
    <m/>
    <m/>
    <m/>
    <m/>
    <m/>
    <m/>
    <m/>
    <m/>
    <m/>
    <m/>
    <m/>
    <m/>
    <m/>
    <m/>
    <m/>
    <m/>
    <m/>
    <m/>
    <m/>
    <m/>
    <m/>
    <m/>
    <m/>
    <m/>
    <m/>
    <m/>
    <n v="0"/>
    <m/>
    <n v="0"/>
    <m/>
    <n v="0"/>
    <m/>
    <n v="0"/>
    <m/>
    <n v="0"/>
    <m/>
    <n v="0"/>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s v="All Community Colleges except R.Bland"/>
    <m/>
    <s v="All CC x Bland"/>
    <x v="13"/>
    <n v="412"/>
    <n v="426"/>
    <m/>
    <m/>
    <n v="31"/>
    <m/>
    <m/>
    <n v="21"/>
    <n v="644"/>
    <n v="671"/>
    <m/>
    <m/>
    <n v="55"/>
    <m/>
    <m/>
    <n v="49"/>
    <n v="626"/>
    <n v="702"/>
    <m/>
    <m/>
    <n v="52"/>
    <m/>
    <m/>
    <n v="39"/>
    <n v="451"/>
    <n v="481"/>
    <m/>
    <m/>
    <n v="69"/>
    <m/>
    <m/>
    <n v="77"/>
    <n v="1"/>
    <n v="11"/>
    <m/>
    <m/>
    <n v="1"/>
    <m/>
    <m/>
    <n v="14"/>
    <m/>
    <m/>
    <m/>
    <m/>
    <m/>
    <m/>
    <m/>
    <m/>
    <n v="30769291"/>
    <n v="31362073"/>
    <n v="43729432"/>
    <n v="45647010"/>
    <n v="38030722"/>
    <n v="42072474"/>
    <n v="26696147"/>
    <n v="29005811"/>
    <n v="120826"/>
    <n v="1156425"/>
    <n v="0"/>
    <m/>
    <n v="4049"/>
    <n v="4086"/>
    <n v="6401"/>
    <n v="6627"/>
    <n v="6206"/>
    <n v="6786"/>
    <n v="4818"/>
    <n v="5253"/>
    <n v="20"/>
    <n v="267"/>
    <n v="0"/>
    <n v="0"/>
    <n v="7599.2321560879227"/>
    <n v="7675.4951052373963"/>
    <n v="6831.6563037025462"/>
    <n v="6888.0353100950661"/>
    <n v="6128.0570415726716"/>
    <n v="6199.8930150309461"/>
    <n v="5540.9188459941888"/>
    <n v="5521.7610889015805"/>
    <n v="6041.3"/>
    <n v="4331.1797752808989"/>
    <n v="0"/>
    <n v="0"/>
    <n v="68393.089404791303"/>
    <n v="69079.455947136565"/>
    <n v="61484.906733322918"/>
    <n v="61992.317790855595"/>
    <n v="55152.513374154041"/>
    <n v="55799.037135278515"/>
    <n v="49868.269613947698"/>
    <n v="49695.849800114222"/>
    <n v="54371.700000000004"/>
    <n v="38980.617977528091"/>
    <n v="0"/>
    <n v="0"/>
    <n v="58373.072621624466"/>
    <n v="58436.319459224971"/>
    <n v="443"/>
    <n v="447"/>
    <n v="699"/>
    <n v="720"/>
    <n v="678"/>
    <n v="741"/>
    <n v="520"/>
    <n v="558"/>
    <n v="2"/>
    <n v="25"/>
    <n v="0"/>
    <n v="0"/>
    <n v="2342"/>
    <n v="2491"/>
    <n v="30298138.606322546"/>
    <n v="30878516.808370043"/>
    <n v="42977949.806592718"/>
    <n v="44634468.809416026"/>
    <n v="37393404.06767644"/>
    <n v="41347086.517241381"/>
    <n v="25931500.199252803"/>
    <n v="27730284.188463736"/>
    <n v="108743.40000000001"/>
    <n v="974515.44943820231"/>
    <n v="0"/>
    <n v="0"/>
    <n v="136709736.0798445"/>
    <n v="145564871.7729294"/>
  </r>
  <r>
    <x v="15"/>
    <s v="West Virginia University"/>
    <m/>
    <n v="238032"/>
    <x v="0"/>
    <n v="211"/>
    <n v="202"/>
    <m/>
    <n v="5"/>
    <n v="81"/>
    <n v="9"/>
    <m/>
    <n v="74"/>
    <n v="221"/>
    <n v="246"/>
    <m/>
    <n v="3"/>
    <n v="41"/>
    <n v="8"/>
    <m/>
    <n v="36"/>
    <n v="321"/>
    <n v="322"/>
    <m/>
    <n v="5"/>
    <n v="39"/>
    <m/>
    <m/>
    <n v="37"/>
    <n v="47"/>
    <n v="48"/>
    <m/>
    <n v="1"/>
    <n v="4"/>
    <m/>
    <m/>
    <n v="3"/>
    <n v="19"/>
    <n v="18"/>
    <m/>
    <m/>
    <n v="6"/>
    <m/>
    <m/>
    <n v="4"/>
    <m/>
    <m/>
    <m/>
    <m/>
    <m/>
    <m/>
    <m/>
    <m/>
    <n v="33484754"/>
    <n v="34130996"/>
    <n v="21559234"/>
    <n v="25157282"/>
    <n v="23708460"/>
    <n v="24579342"/>
    <n v="2184338"/>
    <n v="2233799"/>
    <n v="1445557"/>
    <n v="1287644"/>
    <n v="0"/>
    <m/>
    <n v="2790"/>
    <n v="2855"/>
    <n v="2440"/>
    <n v="2764"/>
    <n v="3318"/>
    <n v="3392"/>
    <n v="467"/>
    <n v="478"/>
    <n v="237"/>
    <n v="210"/>
    <n v="0"/>
    <n v="0"/>
    <n v="12001.70394265233"/>
    <n v="11954.814711033276"/>
    <n v="8835.751639344262"/>
    <n v="9101.7662807525321"/>
    <n v="7145.4068716094034"/>
    <n v="7246.2682783018872"/>
    <n v="4677.3832976445392"/>
    <n v="4673.2196652719667"/>
    <n v="6099.3966244725734"/>
    <n v="6131.638095238095"/>
    <n v="0"/>
    <n v="0"/>
    <n v="108015.33548387096"/>
    <n v="107593.33239929948"/>
    <n v="79521.76475409836"/>
    <n v="81915.896526772791"/>
    <n v="64308.661844484632"/>
    <n v="65216.414504716988"/>
    <n v="42096.449678800855"/>
    <n v="42058.976987447699"/>
    <n v="54894.569620253162"/>
    <n v="55184.742857142854"/>
    <n v="0"/>
    <n v="0"/>
    <n v="79844.021984852268"/>
    <n v="80649.686683704873"/>
    <n v="292"/>
    <n v="290"/>
    <n v="262"/>
    <n v="293"/>
    <n v="360"/>
    <n v="364"/>
    <n v="51"/>
    <n v="52"/>
    <n v="25"/>
    <n v="22"/>
    <n v="0"/>
    <n v="0"/>
    <n v="990"/>
    <n v="1021"/>
    <n v="31540477.961290322"/>
    <n v="31202066.39579685"/>
    <n v="20834702.365573771"/>
    <n v="24001357.682344429"/>
    <n v="23151118.264014468"/>
    <n v="23738774.879716985"/>
    <n v="2146918.9336188436"/>
    <n v="2187066.8033472802"/>
    <n v="1372364.2405063291"/>
    <n v="1214064.3428571427"/>
    <n v="0"/>
    <n v="0"/>
    <n v="79045581.765003741"/>
    <n v="82343330.104062676"/>
  </r>
  <r>
    <x v="15"/>
    <s v="Marshall University "/>
    <m/>
    <n v="237525"/>
    <x v="2"/>
    <n v="181"/>
    <n v="173"/>
    <m/>
    <n v="1"/>
    <n v="22"/>
    <m/>
    <m/>
    <n v="22"/>
    <n v="114"/>
    <n v="121"/>
    <m/>
    <m/>
    <n v="4"/>
    <m/>
    <m/>
    <n v="5"/>
    <n v="113"/>
    <n v="117"/>
    <m/>
    <m/>
    <n v="4"/>
    <m/>
    <m/>
    <n v="8"/>
    <n v="62"/>
    <n v="61"/>
    <m/>
    <m/>
    <m/>
    <m/>
    <m/>
    <m/>
    <m/>
    <m/>
    <m/>
    <m/>
    <m/>
    <m/>
    <m/>
    <m/>
    <m/>
    <m/>
    <m/>
    <m/>
    <m/>
    <m/>
    <m/>
    <m/>
    <n v="15701112"/>
    <n v="15114116"/>
    <n v="7360268"/>
    <n v="7967058"/>
    <n v="6120472"/>
    <n v="6793476"/>
    <n v="2256862"/>
    <n v="2131160"/>
    <m/>
    <m/>
    <n v="0"/>
    <m/>
    <n v="1871"/>
    <n v="1831"/>
    <n v="1070"/>
    <n v="1149"/>
    <n v="1061"/>
    <n v="1149"/>
    <n v="558"/>
    <n v="549"/>
    <n v="0"/>
    <n v="0"/>
    <n v="0"/>
    <n v="0"/>
    <n v="8391.8289684660613"/>
    <n v="8254.5690879300928"/>
    <n v="6878.7551401869159"/>
    <n v="6933.906005221932"/>
    <n v="5768.5881244109332"/>
    <n v="5912.511749347258"/>
    <n v="4044.5555555555557"/>
    <n v="3881.8943533697634"/>
    <n v="0"/>
    <n v="0"/>
    <n v="0"/>
    <n v="0"/>
    <n v="75526.460716194546"/>
    <n v="74291.121791370839"/>
    <n v="61908.796261682241"/>
    <n v="62405.154046997384"/>
    <n v="51917.293119698399"/>
    <n v="53212.605744125322"/>
    <n v="36401"/>
    <n v="34937.049180327871"/>
    <n v="0"/>
    <n v="0"/>
    <n v="0"/>
    <n v="0"/>
    <n v="61936.589558541418"/>
    <n v="61430.797242216577"/>
    <n v="203"/>
    <n v="196"/>
    <n v="118"/>
    <n v="126"/>
    <n v="117"/>
    <n v="125"/>
    <n v="62"/>
    <n v="61"/>
    <n v="0"/>
    <n v="0"/>
    <n v="0"/>
    <n v="0"/>
    <n v="500"/>
    <n v="508"/>
    <n v="15331871.525387492"/>
    <n v="14561059.871108685"/>
    <n v="7305237.9588785041"/>
    <n v="7863049.4099216703"/>
    <n v="6074323.2950047124"/>
    <n v="6651575.7180156652"/>
    <n v="2256862"/>
    <n v="2131160"/>
    <n v="0"/>
    <n v="0"/>
    <n v="0"/>
    <n v="0"/>
    <n v="30968294.779270709"/>
    <n v="31206844.99904602"/>
  </r>
  <r>
    <x v="15"/>
    <s v="Fairmont State University"/>
    <m/>
    <n v="237367"/>
    <x v="4"/>
    <n v="50"/>
    <n v="47"/>
    <m/>
    <m/>
    <n v="6"/>
    <m/>
    <m/>
    <n v="6"/>
    <n v="33"/>
    <n v="32"/>
    <m/>
    <n v="2"/>
    <n v="4"/>
    <n v="4"/>
    <m/>
    <m/>
    <n v="54"/>
    <n v="51"/>
    <m/>
    <n v="2"/>
    <n v="3"/>
    <m/>
    <m/>
    <n v="1"/>
    <n v="9"/>
    <n v="2"/>
    <m/>
    <n v="5"/>
    <n v="6"/>
    <m/>
    <m/>
    <n v="5"/>
    <n v="3"/>
    <n v="6"/>
    <m/>
    <m/>
    <n v="1"/>
    <n v="1"/>
    <m/>
    <n v="1"/>
    <m/>
    <m/>
    <m/>
    <m/>
    <m/>
    <m/>
    <m/>
    <m/>
    <n v="4367702"/>
    <n v="4156151"/>
    <n v="2403558"/>
    <n v="2442049"/>
    <n v="2922138"/>
    <n v="2840688"/>
    <n v="703179"/>
    <n v="526017"/>
    <n v="223044"/>
    <n v="428817"/>
    <n v="0"/>
    <m/>
    <n v="516"/>
    <n v="495"/>
    <n v="341"/>
    <n v="352"/>
    <n v="519"/>
    <n v="491"/>
    <n v="147"/>
    <n v="128"/>
    <n v="38"/>
    <n v="77"/>
    <n v="0"/>
    <n v="0"/>
    <n v="8464.5387596899218"/>
    <n v="8396.2646464646459"/>
    <n v="7048.5571847507335"/>
    <n v="6937.639204545455"/>
    <n v="5630.3236994219651"/>
    <n v="5785.5152749490835"/>
    <n v="4783.5306122448983"/>
    <n v="4109.5078125"/>
    <n v="5869.5789473684208"/>
    <n v="5569.0519480519479"/>
    <n v="0"/>
    <n v="0"/>
    <n v="76180.848837209298"/>
    <n v="75566.381818181806"/>
    <n v="63437.014662756599"/>
    <n v="62438.752840909096"/>
    <n v="50672.913294797683"/>
    <n v="52069.637474541749"/>
    <n v="43051.775510204083"/>
    <n v="36985.5703125"/>
    <n v="52826.210526315786"/>
    <n v="50121.467532467534"/>
    <n v="0"/>
    <n v="0"/>
    <n v="61294.287632943844"/>
    <n v="60813.63546638289"/>
    <n v="56"/>
    <n v="53"/>
    <n v="37"/>
    <n v="38"/>
    <n v="57"/>
    <n v="54"/>
    <n v="15"/>
    <n v="12"/>
    <n v="4"/>
    <n v="8"/>
    <n v="0"/>
    <n v="0"/>
    <n v="169"/>
    <n v="165"/>
    <n v="4266127.5348837208"/>
    <n v="4005018.2363636359"/>
    <n v="2347169.5425219941"/>
    <n v="2372672.6079545454"/>
    <n v="2888356.0578034678"/>
    <n v="2811760.4236252545"/>
    <n v="645776.6326530613"/>
    <n v="443826.84375"/>
    <n v="211304.84210526315"/>
    <n v="400971.74025974027"/>
    <n v="0"/>
    <n v="0"/>
    <n v="10358734.609967509"/>
    <n v="10034249.851953177"/>
  </r>
  <r>
    <x v="15"/>
    <s v="Shepherd University "/>
    <m/>
    <n v="237792"/>
    <x v="4"/>
    <n v="28"/>
    <n v="26"/>
    <m/>
    <n v="2"/>
    <n v="2"/>
    <m/>
    <m/>
    <n v="1"/>
    <n v="40"/>
    <n v="47"/>
    <m/>
    <n v="1"/>
    <m/>
    <m/>
    <m/>
    <m/>
    <n v="52"/>
    <n v="51"/>
    <m/>
    <n v="2"/>
    <m/>
    <m/>
    <m/>
    <m/>
    <m/>
    <m/>
    <m/>
    <m/>
    <m/>
    <m/>
    <m/>
    <m/>
    <n v="11"/>
    <n v="9"/>
    <m/>
    <n v="2"/>
    <n v="1"/>
    <m/>
    <m/>
    <n v="1"/>
    <m/>
    <m/>
    <m/>
    <m/>
    <m/>
    <m/>
    <m/>
    <m/>
    <n v="2297852"/>
    <n v="2198551"/>
    <n v="2561240"/>
    <n v="3023268"/>
    <n v="2897960"/>
    <n v="2886133"/>
    <m/>
    <m/>
    <n v="633387"/>
    <n v="568292"/>
    <n v="0"/>
    <m/>
    <n v="274"/>
    <n v="266"/>
    <n v="360"/>
    <n v="433"/>
    <n v="468"/>
    <n v="479"/>
    <n v="0"/>
    <n v="0"/>
    <n v="110"/>
    <n v="113"/>
    <n v="0"/>
    <n v="0"/>
    <n v="8386.3211678832122"/>
    <n v="8265.229323308271"/>
    <n v="7114.5555555555557"/>
    <n v="6982.1431870669749"/>
    <n v="6192.2222222222226"/>
    <n v="6025.329853862213"/>
    <n v="0"/>
    <n v="0"/>
    <n v="5758.0636363636368"/>
    <n v="5029.1327433628321"/>
    <n v="0"/>
    <n v="0"/>
    <n v="75476.890510948913"/>
    <n v="74387.063909774442"/>
    <n v="64031"/>
    <n v="62839.288683602776"/>
    <n v="55730"/>
    <n v="54227.968684759915"/>
    <n v="0"/>
    <n v="0"/>
    <n v="51822.572727272731"/>
    <n v="45262.194690265489"/>
    <n v="0"/>
    <n v="0"/>
    <n v="62278.937224296576"/>
    <n v="60498.164695576437"/>
    <n v="30"/>
    <n v="29"/>
    <n v="40"/>
    <n v="48"/>
    <n v="52"/>
    <n v="53"/>
    <n v="0"/>
    <n v="0"/>
    <n v="12"/>
    <n v="12"/>
    <n v="0"/>
    <n v="0"/>
    <n v="134"/>
    <n v="142"/>
    <n v="2264306.7153284675"/>
    <n v="2157224.8533834587"/>
    <n v="2561240"/>
    <n v="3016285.8568129335"/>
    <n v="2897960"/>
    <n v="2874082.3402922754"/>
    <n v="0"/>
    <n v="0"/>
    <n v="621870.8727272728"/>
    <n v="543146.33628318587"/>
    <n v="0"/>
    <n v="0"/>
    <n v="8345377.588055741"/>
    <n v="8590739.386771854"/>
  </r>
  <r>
    <x v="15"/>
    <s v="Bluefield State College "/>
    <m/>
    <n v="237215"/>
    <x v="5"/>
    <n v="21"/>
    <n v="20"/>
    <m/>
    <m/>
    <n v="2"/>
    <m/>
    <m/>
    <n v="1"/>
    <n v="18"/>
    <n v="17"/>
    <m/>
    <n v="1"/>
    <n v="1"/>
    <m/>
    <m/>
    <n v="1"/>
    <n v="27"/>
    <n v="26"/>
    <m/>
    <n v="1"/>
    <n v="1"/>
    <m/>
    <m/>
    <m/>
    <n v="2"/>
    <n v="6"/>
    <m/>
    <m/>
    <m/>
    <m/>
    <m/>
    <m/>
    <n v="1"/>
    <n v="1"/>
    <m/>
    <m/>
    <m/>
    <m/>
    <m/>
    <m/>
    <m/>
    <m/>
    <m/>
    <m/>
    <m/>
    <m/>
    <m/>
    <m/>
    <n v="1550070"/>
    <n v="1375872"/>
    <n v="1096206"/>
    <n v="1105968"/>
    <n v="1485144"/>
    <n v="1434468"/>
    <n v="85152"/>
    <n v="240976"/>
    <n v="39564"/>
    <n v="39624"/>
    <n v="0"/>
    <m/>
    <n v="211"/>
    <n v="192"/>
    <n v="173"/>
    <n v="175"/>
    <n v="254"/>
    <n v="244"/>
    <n v="18"/>
    <n v="54"/>
    <n v="9"/>
    <n v="9"/>
    <n v="0"/>
    <n v="0"/>
    <n v="7346.3033175355449"/>
    <n v="7166"/>
    <n v="6336.4508670520236"/>
    <n v="6319.8171428571432"/>
    <n v="5847.0236220472443"/>
    <n v="5878.9672131147545"/>
    <n v="4730.666666666667"/>
    <n v="4462.5185185185182"/>
    <n v="4396"/>
    <n v="4402.666666666667"/>
    <n v="0"/>
    <n v="0"/>
    <n v="66116.729857819912"/>
    <n v="64494"/>
    <n v="57028.057803468211"/>
    <n v="56878.354285714289"/>
    <n v="52623.212598425198"/>
    <n v="52910.704918032789"/>
    <n v="42576"/>
    <n v="40162.666666666664"/>
    <n v="39564"/>
    <n v="39624"/>
    <n v="0"/>
    <n v="0"/>
    <n v="57566.901887009037"/>
    <n v="56003.402219127791"/>
    <n v="23"/>
    <n v="21"/>
    <n v="19"/>
    <n v="19"/>
    <n v="28"/>
    <n v="27"/>
    <n v="2"/>
    <n v="6"/>
    <n v="1"/>
    <n v="1"/>
    <n v="0"/>
    <n v="0"/>
    <n v="73"/>
    <n v="74"/>
    <n v="1520684.786729858"/>
    <n v="1354374"/>
    <n v="1083533.0982658961"/>
    <n v="1080688.7314285715"/>
    <n v="1473449.9527559055"/>
    <n v="1428589.0327868853"/>
    <n v="85152"/>
    <n v="240976"/>
    <n v="39564"/>
    <n v="39624"/>
    <n v="0"/>
    <n v="0"/>
    <n v="4202383.8377516596"/>
    <n v="4144251.7642154563"/>
  </r>
  <r>
    <x v="15"/>
    <s v="Concord University "/>
    <m/>
    <n v="237330"/>
    <x v="5"/>
    <n v="29"/>
    <n v="29"/>
    <m/>
    <n v="1"/>
    <n v="4"/>
    <n v="3"/>
    <m/>
    <n v="3"/>
    <n v="25"/>
    <n v="27"/>
    <m/>
    <m/>
    <m/>
    <n v="2"/>
    <m/>
    <m/>
    <n v="41"/>
    <n v="37"/>
    <m/>
    <m/>
    <m/>
    <m/>
    <m/>
    <n v="1"/>
    <n v="16"/>
    <n v="14"/>
    <m/>
    <n v="2"/>
    <n v="2"/>
    <n v="1"/>
    <m/>
    <n v="1"/>
    <n v="5"/>
    <n v="5"/>
    <m/>
    <m/>
    <m/>
    <m/>
    <m/>
    <n v="1"/>
    <m/>
    <m/>
    <m/>
    <m/>
    <m/>
    <m/>
    <m/>
    <m/>
    <n v="2386537"/>
    <n v="2602117"/>
    <n v="1473525"/>
    <n v="1713496"/>
    <n v="2125973"/>
    <n v="1997717"/>
    <n v="760028"/>
    <n v="753227"/>
    <n v="157500"/>
    <n v="248945"/>
    <n v="0"/>
    <m/>
    <n v="305"/>
    <n v="340"/>
    <n v="225"/>
    <n v="265"/>
    <n v="369"/>
    <n v="345"/>
    <n v="166"/>
    <n v="169"/>
    <n v="45"/>
    <n v="57"/>
    <n v="0"/>
    <n v="0"/>
    <n v="7824.7114754098357"/>
    <n v="7653.285294117647"/>
    <n v="6549"/>
    <n v="6466.0226415094339"/>
    <n v="5761.4444444444443"/>
    <n v="5790.4840579710144"/>
    <n v="4578.4819277108436"/>
    <n v="4456.9644970414201"/>
    <n v="3500"/>
    <n v="4367.4561403508769"/>
    <n v="0"/>
    <n v="0"/>
    <n v="70422.403278688522"/>
    <n v="68879.567647058822"/>
    <n v="58941"/>
    <n v="58194.203773584908"/>
    <n v="51853"/>
    <n v="52114.35652173913"/>
    <n v="41206.337349397596"/>
    <n v="40112.680473372784"/>
    <n v="31500"/>
    <n v="39307.105263157893"/>
    <n v="0"/>
    <n v="0"/>
    <n v="55923.371971195724"/>
    <n v="55948.919469715154"/>
    <n v="33"/>
    <n v="36"/>
    <n v="25"/>
    <n v="29"/>
    <n v="41"/>
    <n v="38"/>
    <n v="18"/>
    <n v="18"/>
    <n v="5"/>
    <n v="6"/>
    <n v="0"/>
    <n v="0"/>
    <n v="122"/>
    <n v="127"/>
    <n v="2323939.3081967211"/>
    <n v="2479664.4352941178"/>
    <n v="1473525"/>
    <n v="1687631.9094339623"/>
    <n v="2125973"/>
    <n v="1980345.5478260869"/>
    <n v="741714.07228915673"/>
    <n v="722028.24852071016"/>
    <n v="157500"/>
    <n v="235842.63157894736"/>
    <n v="0"/>
    <n v="0"/>
    <n v="6822651.3804858783"/>
    <n v="7105512.7726538246"/>
  </r>
  <r>
    <x v="15"/>
    <s v="Glenville State College "/>
    <m/>
    <n v="237385"/>
    <x v="5"/>
    <n v="8"/>
    <n v="8"/>
    <m/>
    <m/>
    <m/>
    <m/>
    <m/>
    <m/>
    <n v="11"/>
    <n v="10"/>
    <m/>
    <n v="1"/>
    <n v="2"/>
    <m/>
    <m/>
    <n v="2"/>
    <n v="28"/>
    <n v="27"/>
    <m/>
    <m/>
    <m/>
    <m/>
    <m/>
    <m/>
    <n v="16"/>
    <n v="15"/>
    <m/>
    <n v="2"/>
    <n v="1"/>
    <m/>
    <m/>
    <n v="1"/>
    <m/>
    <m/>
    <m/>
    <m/>
    <n v="1"/>
    <m/>
    <m/>
    <m/>
    <m/>
    <m/>
    <m/>
    <m/>
    <m/>
    <m/>
    <m/>
    <m/>
    <n v="561656"/>
    <n v="593245"/>
    <n v="847902"/>
    <n v="875951"/>
    <n v="1402408"/>
    <n v="1416172"/>
    <n v="737321"/>
    <n v="808876"/>
    <n v="45636"/>
    <m/>
    <n v="0"/>
    <m/>
    <n v="72"/>
    <n v="72"/>
    <n v="121"/>
    <n v="124"/>
    <n v="252"/>
    <n v="243"/>
    <n v="155"/>
    <n v="167"/>
    <n v="11"/>
    <n v="0"/>
    <n v="0"/>
    <n v="0"/>
    <n v="7800.7777777777774"/>
    <n v="8239.5138888888887"/>
    <n v="7007.454545454545"/>
    <n v="7064.1209677419356"/>
    <n v="5565.1111111111113"/>
    <n v="5827.8683127572012"/>
    <n v="4756.9096774193549"/>
    <n v="4843.5688622754487"/>
    <n v="4148.727272727273"/>
    <n v="0"/>
    <n v="0"/>
    <n v="0"/>
    <n v="70207"/>
    <n v="74155.625"/>
    <n v="63067.090909090904"/>
    <n v="63577.088709677424"/>
    <n v="50086"/>
    <n v="52450.81481481481"/>
    <n v="42812.187096774192"/>
    <n v="43592.119760479036"/>
    <n v="37338.545454545456"/>
    <n v="0"/>
    <n v="0"/>
    <n v="0"/>
    <n v="52971.371759968482"/>
    <n v="54857.231953248927"/>
    <n v="8"/>
    <n v="8"/>
    <n v="13"/>
    <n v="13"/>
    <n v="28"/>
    <n v="27"/>
    <n v="17"/>
    <n v="18"/>
    <n v="1"/>
    <n v="0"/>
    <n v="0"/>
    <n v="0"/>
    <n v="67"/>
    <n v="66"/>
    <n v="561656"/>
    <n v="593245"/>
    <n v="819872.18181818177"/>
    <n v="826502.15322580654"/>
    <n v="1402408"/>
    <n v="1416171.9999999998"/>
    <n v="727807.18064516131"/>
    <n v="784658.15568862262"/>
    <n v="37338.545454545456"/>
    <n v="0"/>
    <n v="0"/>
    <n v="0"/>
    <n v="3549081.9079178884"/>
    <n v="3620577.308914429"/>
  </r>
  <r>
    <x v="15"/>
    <s v="West Liberty University"/>
    <m/>
    <n v="237932"/>
    <x v="5"/>
    <n v="16"/>
    <n v="13"/>
    <m/>
    <n v="4"/>
    <n v="3"/>
    <n v="2"/>
    <m/>
    <n v="5"/>
    <n v="34"/>
    <n v="25"/>
    <m/>
    <n v="10"/>
    <n v="1"/>
    <n v="2"/>
    <m/>
    <n v="4"/>
    <n v="41"/>
    <n v="40"/>
    <m/>
    <n v="5"/>
    <n v="1"/>
    <m/>
    <m/>
    <n v="5"/>
    <n v="32"/>
    <n v="24"/>
    <m/>
    <n v="2"/>
    <n v="1"/>
    <m/>
    <m/>
    <n v="1"/>
    <n v="2"/>
    <n v="3"/>
    <m/>
    <m/>
    <m/>
    <m/>
    <m/>
    <m/>
    <m/>
    <m/>
    <m/>
    <m/>
    <m/>
    <m/>
    <m/>
    <m/>
    <n v="1354882"/>
    <n v="1754833"/>
    <n v="2251710"/>
    <n v="2805919"/>
    <n v="2202334"/>
    <n v="2856628"/>
    <n v="1586515"/>
    <n v="1263749"/>
    <n v="78452"/>
    <n v="118305"/>
    <n v="0"/>
    <m/>
    <n v="177"/>
    <n v="239"/>
    <n v="317"/>
    <n v="395"/>
    <n v="380"/>
    <n v="470"/>
    <n v="299"/>
    <n v="248"/>
    <n v="18"/>
    <n v="27"/>
    <n v="0"/>
    <n v="0"/>
    <n v="7654.7005649717512"/>
    <n v="7342.3974895397487"/>
    <n v="7103.186119873817"/>
    <n v="7103.5924050632912"/>
    <n v="5795.6157894736843"/>
    <n v="6077.9319148936174"/>
    <n v="5306.0702341137121"/>
    <n v="5095.7620967741932"/>
    <n v="4358.4444444444443"/>
    <n v="4381.666666666667"/>
    <n v="0"/>
    <n v="0"/>
    <n v="68892.305084745763"/>
    <n v="66081.577405857737"/>
    <n v="63928.675078864355"/>
    <n v="63932.331645569619"/>
    <n v="52160.542105263157"/>
    <n v="54701.387234042559"/>
    <n v="47754.632107023412"/>
    <n v="45861.858870967742"/>
    <n v="39226"/>
    <n v="39435"/>
    <n v="0"/>
    <n v="0"/>
    <n v="56424.084368879754"/>
    <n v="57233.296596049629"/>
    <n v="19"/>
    <n v="24"/>
    <n v="35"/>
    <n v="41"/>
    <n v="42"/>
    <n v="50"/>
    <n v="33"/>
    <n v="27"/>
    <n v="2"/>
    <n v="3"/>
    <n v="0"/>
    <n v="0"/>
    <n v="131"/>
    <n v="145"/>
    <n v="1308953.7966101696"/>
    <n v="1585957.8577405857"/>
    <n v="2237503.6277602524"/>
    <n v="2621225.5974683543"/>
    <n v="2190742.7684210525"/>
    <n v="2735069.3617021278"/>
    <n v="1575902.8595317726"/>
    <n v="1238270.189516129"/>
    <n v="78452"/>
    <n v="118305"/>
    <n v="0"/>
    <n v="0"/>
    <n v="7391555.0523232482"/>
    <n v="8298828.0064271959"/>
  </r>
  <r>
    <x v="15"/>
    <s v="West Virginia State University "/>
    <m/>
    <n v="237899"/>
    <x v="5"/>
    <n v="28"/>
    <n v="24"/>
    <m/>
    <n v="2"/>
    <n v="1"/>
    <m/>
    <m/>
    <n v="1"/>
    <n v="40"/>
    <n v="40"/>
    <m/>
    <n v="1"/>
    <n v="1"/>
    <n v="1"/>
    <m/>
    <m/>
    <n v="42"/>
    <n v="41"/>
    <m/>
    <n v="2"/>
    <m/>
    <m/>
    <m/>
    <m/>
    <n v="8"/>
    <n v="7"/>
    <m/>
    <m/>
    <m/>
    <m/>
    <m/>
    <m/>
    <m/>
    <m/>
    <m/>
    <m/>
    <m/>
    <m/>
    <m/>
    <m/>
    <m/>
    <m/>
    <m/>
    <m/>
    <m/>
    <m/>
    <m/>
    <m/>
    <n v="1850541"/>
    <n v="1734519"/>
    <n v="2245892"/>
    <n v="2330064"/>
    <n v="2058546"/>
    <n v="2084158"/>
    <n v="310056"/>
    <n v="267394"/>
    <m/>
    <m/>
    <n v="0"/>
    <m/>
    <n v="263"/>
    <n v="248"/>
    <n v="371"/>
    <n v="381"/>
    <n v="378"/>
    <n v="389"/>
    <n v="72"/>
    <n v="63"/>
    <n v="0"/>
    <n v="0"/>
    <n v="0"/>
    <n v="0"/>
    <n v="7036.277566539924"/>
    <n v="6994.0282258064517"/>
    <n v="6053.6172506738549"/>
    <n v="6115.6535433070867"/>
    <n v="5445.8888888888887"/>
    <n v="5357.7326478149098"/>
    <n v="4306.333333333333"/>
    <n v="4244.3492063492067"/>
    <n v="0"/>
    <n v="0"/>
    <n v="0"/>
    <n v="0"/>
    <n v="63326.498098859316"/>
    <n v="62946.254032258068"/>
    <n v="54482.55525606469"/>
    <n v="55040.881889763783"/>
    <n v="49013"/>
    <n v="48219.59383033419"/>
    <n v="38757"/>
    <n v="38199.142857142862"/>
    <n v="0"/>
    <n v="0"/>
    <n v="0"/>
    <n v="0"/>
    <n v="53657.126753046432"/>
    <n v="53379.012041558126"/>
    <n v="29"/>
    <n v="27"/>
    <n v="41"/>
    <n v="42"/>
    <n v="42"/>
    <n v="43"/>
    <n v="8"/>
    <n v="7"/>
    <n v="0"/>
    <n v="0"/>
    <n v="0"/>
    <n v="0"/>
    <n v="120"/>
    <n v="119"/>
    <n v="1836468.4448669201"/>
    <n v="1699548.8588709678"/>
    <n v="2233784.7654986521"/>
    <n v="2311717.0393700791"/>
    <n v="2058546"/>
    <n v="2073442.5347043702"/>
    <n v="310056"/>
    <n v="267394.00000000006"/>
    <n v="0"/>
    <n v="0"/>
    <n v="0"/>
    <n v="0"/>
    <n v="6438855.210365572"/>
    <n v="6352102.4329454172"/>
  </r>
  <r>
    <x v="15"/>
    <s v="West Virginia University Institute of Technology"/>
    <m/>
    <n v="237950"/>
    <x v="5"/>
    <n v="21"/>
    <n v="10"/>
    <m/>
    <n v="7"/>
    <m/>
    <m/>
    <m/>
    <m/>
    <n v="14"/>
    <n v="11"/>
    <m/>
    <n v="5"/>
    <n v="2"/>
    <m/>
    <m/>
    <n v="1"/>
    <n v="29"/>
    <n v="28"/>
    <m/>
    <m/>
    <n v="3"/>
    <m/>
    <m/>
    <n v="3"/>
    <n v="1"/>
    <n v="2"/>
    <m/>
    <m/>
    <m/>
    <m/>
    <m/>
    <m/>
    <n v="11"/>
    <n v="11"/>
    <m/>
    <m/>
    <m/>
    <m/>
    <m/>
    <m/>
    <m/>
    <m/>
    <m/>
    <m/>
    <m/>
    <m/>
    <m/>
    <m/>
    <n v="1618239"/>
    <n v="1371086"/>
    <n v="924068"/>
    <n v="1034721"/>
    <n v="1763889"/>
    <n v="1765094"/>
    <n v="35000"/>
    <n v="79176"/>
    <n v="558305"/>
    <n v="566424"/>
    <n v="0"/>
    <m/>
    <n v="189"/>
    <n v="160"/>
    <n v="148"/>
    <n v="161"/>
    <n v="294"/>
    <n v="288"/>
    <n v="9"/>
    <n v="18"/>
    <n v="99"/>
    <n v="99"/>
    <n v="0"/>
    <n v="0"/>
    <n v="8562.1111111111113"/>
    <n v="8569.2875000000004"/>
    <n v="6243.7027027027025"/>
    <n v="6426.8385093167699"/>
    <n v="5999.6224489795923"/>
    <n v="6128.7986111111113"/>
    <n v="3888.8888888888887"/>
    <n v="4398.666666666667"/>
    <n v="5639.4444444444443"/>
    <n v="5721.454545454545"/>
    <n v="0"/>
    <n v="0"/>
    <n v="77059"/>
    <n v="77123.587500000009"/>
    <n v="56193.32432432432"/>
    <n v="57841.546583850926"/>
    <n v="53996.602040816331"/>
    <n v="55159.1875"/>
    <n v="35000"/>
    <n v="39588"/>
    <n v="50755"/>
    <n v="51493.090909090904"/>
    <n v="0"/>
    <n v="0"/>
    <n v="59734.919191300141"/>
    <n v="59614.642204172633"/>
    <n v="21"/>
    <n v="17"/>
    <n v="16"/>
    <n v="17"/>
    <n v="32"/>
    <n v="31"/>
    <n v="1"/>
    <n v="2"/>
    <n v="11"/>
    <n v="11"/>
    <n v="0"/>
    <n v="0"/>
    <n v="81"/>
    <n v="78"/>
    <n v="1618239"/>
    <n v="1311100.9875"/>
    <n v="899093.18918918911"/>
    <n v="983306.29192546569"/>
    <n v="1727891.2653061226"/>
    <n v="1709934.8125"/>
    <n v="35000"/>
    <n v="79176"/>
    <n v="558305"/>
    <n v="566424"/>
    <n v="0"/>
    <n v="0"/>
    <n v="4838528.4544953117"/>
    <n v="4649942.0919254655"/>
  </r>
  <r>
    <x v="15"/>
    <s v="Potomac State College of West Virginia University"/>
    <m/>
    <n v="237701"/>
    <x v="11"/>
    <n v="12"/>
    <n v="12"/>
    <m/>
    <m/>
    <m/>
    <m/>
    <m/>
    <m/>
    <n v="4"/>
    <n v="2"/>
    <m/>
    <m/>
    <m/>
    <m/>
    <m/>
    <m/>
    <n v="11"/>
    <n v="17"/>
    <m/>
    <m/>
    <m/>
    <m/>
    <m/>
    <m/>
    <n v="12"/>
    <n v="11"/>
    <m/>
    <m/>
    <m/>
    <m/>
    <m/>
    <m/>
    <n v="2"/>
    <m/>
    <m/>
    <m/>
    <m/>
    <m/>
    <m/>
    <m/>
    <m/>
    <m/>
    <m/>
    <m/>
    <m/>
    <m/>
    <m/>
    <m/>
    <n v="830904"/>
    <n v="804422"/>
    <n v="202296"/>
    <n v="99039"/>
    <n v="485276"/>
    <n v="767830"/>
    <n v="495504"/>
    <n v="437354"/>
    <n v="72500"/>
    <m/>
    <n v="0"/>
    <m/>
    <n v="108"/>
    <n v="108"/>
    <n v="36"/>
    <n v="18"/>
    <n v="99"/>
    <n v="153"/>
    <n v="108"/>
    <n v="99"/>
    <n v="18"/>
    <n v="0"/>
    <n v="0"/>
    <n v="0"/>
    <n v="7693.5555555555557"/>
    <n v="7448.3518518518522"/>
    <n v="5619.333333333333"/>
    <n v="5502.166666666667"/>
    <n v="4901.7777777777774"/>
    <n v="5018.4967320261439"/>
    <n v="4588"/>
    <n v="4417.7171717171714"/>
    <n v="4027.7777777777778"/>
    <n v="0"/>
    <n v="0"/>
    <n v="0"/>
    <n v="69242"/>
    <n v="67035.166666666672"/>
    <n v="50574"/>
    <n v="49519.5"/>
    <n v="44116"/>
    <n v="45166.470588235294"/>
    <n v="41292"/>
    <n v="39759.454545454544"/>
    <n v="36250"/>
    <n v="0"/>
    <n v="0"/>
    <n v="0"/>
    <n v="50889.756097560974"/>
    <n v="50205.833333333336"/>
    <n v="12"/>
    <n v="12"/>
    <n v="4"/>
    <n v="2"/>
    <n v="11"/>
    <n v="17"/>
    <n v="12"/>
    <n v="11"/>
    <n v="2"/>
    <n v="0"/>
    <n v="0"/>
    <n v="0"/>
    <n v="41"/>
    <n v="42"/>
    <n v="830904"/>
    <n v="804422"/>
    <n v="202296"/>
    <n v="99039"/>
    <n v="485276"/>
    <n v="767830"/>
    <n v="495504"/>
    <n v="437354"/>
    <n v="72500"/>
    <n v="0"/>
    <n v="0"/>
    <n v="0"/>
    <n v="2086480"/>
    <n v="2108645"/>
  </r>
  <r>
    <x v="15"/>
    <s v="West Virginia University at Parkersburg"/>
    <m/>
    <n v="237686"/>
    <x v="11"/>
    <n v="27"/>
    <n v="26"/>
    <m/>
    <n v="4"/>
    <n v="2"/>
    <m/>
    <m/>
    <n v="2"/>
    <n v="7"/>
    <n v="10"/>
    <m/>
    <n v="1"/>
    <m/>
    <m/>
    <m/>
    <n v="1"/>
    <n v="18"/>
    <n v="21"/>
    <m/>
    <m/>
    <n v="2"/>
    <m/>
    <m/>
    <n v="1"/>
    <n v="24"/>
    <n v="16"/>
    <m/>
    <n v="1"/>
    <n v="1"/>
    <m/>
    <m/>
    <m/>
    <n v="9"/>
    <n v="10"/>
    <m/>
    <m/>
    <n v="1"/>
    <m/>
    <m/>
    <n v="2"/>
    <m/>
    <m/>
    <m/>
    <m/>
    <m/>
    <m/>
    <m/>
    <m/>
    <n v="1710902"/>
    <n v="2016758"/>
    <n v="390292"/>
    <n v="653043"/>
    <n v="924406"/>
    <n v="990657"/>
    <n v="965496"/>
    <n v="633335"/>
    <n v="371850"/>
    <n v="428652"/>
    <n v="0"/>
    <m/>
    <n v="265"/>
    <n v="298"/>
    <n v="63"/>
    <n v="112"/>
    <n v="184"/>
    <n v="201"/>
    <n v="227"/>
    <n v="154"/>
    <n v="92"/>
    <n v="114"/>
    <n v="0"/>
    <n v="0"/>
    <n v="6456.2339622641512"/>
    <n v="6767.6442953020132"/>
    <n v="6195.1111111111113"/>
    <n v="5830.7410714285716"/>
    <n v="5023.945652173913"/>
    <n v="4928.6417910447763"/>
    <n v="4253.2863436123343"/>
    <n v="4112.5649350649346"/>
    <n v="4041.8478260869565"/>
    <n v="3760.1052631578946"/>
    <n v="0"/>
    <n v="0"/>
    <n v="58106.105660377361"/>
    <n v="60908.798657718122"/>
    <n v="55756"/>
    <n v="52476.669642857145"/>
    <n v="45215.510869565216"/>
    <n v="44357.776119402988"/>
    <n v="38279.577092511012"/>
    <n v="37013.08441558441"/>
    <n v="36376.630434782608"/>
    <n v="33840.947368421053"/>
    <n v="0"/>
    <n v="0"/>
    <n v="47257.527617613727"/>
    <n v="48315.647061832839"/>
    <n v="29"/>
    <n v="32"/>
    <n v="7"/>
    <n v="12"/>
    <n v="20"/>
    <n v="22"/>
    <n v="25"/>
    <n v="17"/>
    <n v="10"/>
    <n v="12"/>
    <n v="0"/>
    <n v="0"/>
    <n v="91"/>
    <n v="95"/>
    <n v="1685077.0641509434"/>
    <n v="1949081.5570469799"/>
    <n v="390292"/>
    <n v="629720.03571428568"/>
    <n v="904310.21739130432"/>
    <n v="975871.0746268658"/>
    <n v="956989.42731277528"/>
    <n v="629222.43506493501"/>
    <n v="363766.30434782605"/>
    <n v="406091.36842105264"/>
    <n v="0"/>
    <n v="0"/>
    <n v="4300435.0132028488"/>
    <n v="4589986.4708741195"/>
  </r>
  <r>
    <x v="15"/>
    <s v="New River Community &amp; Technical College"/>
    <s v="Reclassified: met criteria for Two-Year 2 in 2010-11, 2011-12, and 2012-13."/>
    <n v="447582"/>
    <x v="7"/>
    <n v="7"/>
    <n v="7"/>
    <m/>
    <m/>
    <m/>
    <m/>
    <m/>
    <m/>
    <n v="6"/>
    <n v="6"/>
    <m/>
    <m/>
    <n v="1"/>
    <m/>
    <m/>
    <m/>
    <n v="6"/>
    <n v="6"/>
    <m/>
    <m/>
    <m/>
    <m/>
    <m/>
    <m/>
    <n v="15"/>
    <n v="17"/>
    <m/>
    <m/>
    <n v="15"/>
    <n v="6"/>
    <m/>
    <n v="12"/>
    <m/>
    <m/>
    <m/>
    <m/>
    <m/>
    <m/>
    <m/>
    <m/>
    <m/>
    <m/>
    <m/>
    <m/>
    <m/>
    <m/>
    <m/>
    <m/>
    <n v="466935"/>
    <n v="475757"/>
    <n v="406260"/>
    <n v="345311"/>
    <n v="281256"/>
    <n v="290460"/>
    <n v="1354650"/>
    <n v="1660103"/>
    <m/>
    <m/>
    <n v="0"/>
    <m/>
    <n v="63"/>
    <n v="63"/>
    <n v="65"/>
    <n v="54"/>
    <n v="54"/>
    <n v="54"/>
    <n v="300"/>
    <n v="363"/>
    <n v="0"/>
    <n v="0"/>
    <n v="0"/>
    <n v="0"/>
    <n v="7411.666666666667"/>
    <n v="7551.6984126984125"/>
    <n v="6250.1538461538457"/>
    <n v="6394.6481481481478"/>
    <n v="5208.4444444444443"/>
    <n v="5378.8888888888887"/>
    <n v="4515.5"/>
    <n v="4573.2865013774108"/>
    <n v="0"/>
    <n v="0"/>
    <n v="0"/>
    <n v="0"/>
    <n v="66705"/>
    <n v="67965.28571428571"/>
    <n v="56251.38461538461"/>
    <n v="57551.833333333328"/>
    <n v="46876"/>
    <n v="48410"/>
    <n v="40639.5"/>
    <n v="41159.5785123967"/>
    <n v="0"/>
    <n v="0"/>
    <n v="0"/>
    <n v="0"/>
    <n v="47222.713846153842"/>
    <n v="47261.35644322008"/>
    <n v="7"/>
    <n v="7"/>
    <n v="7"/>
    <n v="6"/>
    <n v="6"/>
    <n v="6"/>
    <n v="30"/>
    <n v="35"/>
    <n v="0"/>
    <n v="0"/>
    <n v="0"/>
    <n v="0"/>
    <n v="50"/>
    <n v="54"/>
    <n v="466935"/>
    <n v="475757"/>
    <n v="393759.69230769225"/>
    <n v="345311"/>
    <n v="281256"/>
    <n v="290460"/>
    <n v="1219185"/>
    <n v="1440585.2479338844"/>
    <n v="0"/>
    <n v="0"/>
    <n v="0"/>
    <n v="0"/>
    <n v="2361135.692307692"/>
    <n v="2552113.2479338842"/>
  </r>
  <r>
    <x v="15"/>
    <s v="Pierpont Community &amp; Technical College"/>
    <s v="Reclassified: met criteria for Two-Year 2 in 2010-11, 2011-12, and 2012-13."/>
    <n v="443492"/>
    <x v="7"/>
    <n v="3"/>
    <n v="1"/>
    <m/>
    <n v="4"/>
    <n v="4"/>
    <n v="3"/>
    <m/>
    <n v="1"/>
    <n v="3"/>
    <n v="5"/>
    <m/>
    <n v="4"/>
    <n v="1"/>
    <n v="1"/>
    <m/>
    <n v="1"/>
    <n v="28"/>
    <n v="15"/>
    <m/>
    <n v="7"/>
    <n v="4"/>
    <n v="4"/>
    <m/>
    <n v="1"/>
    <n v="13"/>
    <n v="8"/>
    <m/>
    <n v="4"/>
    <n v="5"/>
    <n v="3"/>
    <m/>
    <n v="1"/>
    <n v="2"/>
    <n v="1"/>
    <m/>
    <n v="1"/>
    <m/>
    <m/>
    <m/>
    <m/>
    <m/>
    <m/>
    <m/>
    <m/>
    <m/>
    <m/>
    <m/>
    <m/>
    <n v="628728"/>
    <n v="778292"/>
    <n v="207408"/>
    <n v="649872"/>
    <n v="1641392"/>
    <n v="1357818"/>
    <n v="849475"/>
    <n v="689960"/>
    <n v="83340"/>
    <n v="92516"/>
    <n v="0"/>
    <m/>
    <n v="71"/>
    <n v="94"/>
    <n v="38"/>
    <n v="108"/>
    <n v="296"/>
    <n v="261"/>
    <n v="172"/>
    <n v="157"/>
    <n v="18"/>
    <n v="19"/>
    <n v="0"/>
    <n v="0"/>
    <n v="8855.3239436619715"/>
    <n v="8279.7021276595751"/>
    <n v="5458.105263157895"/>
    <n v="6017.333333333333"/>
    <n v="5545.2432432432433"/>
    <n v="5202.3678160919544"/>
    <n v="4938.8081395348836"/>
    <n v="4394.6496815286628"/>
    <n v="4630"/>
    <n v="4869.2631578947367"/>
    <n v="0"/>
    <n v="0"/>
    <n v="79697.915492957749"/>
    <n v="74517.319148936178"/>
    <n v="49122.947368421053"/>
    <n v="54156"/>
    <n v="49907.189189189186"/>
    <n v="46821.310344827587"/>
    <n v="44449.273255813954"/>
    <n v="39551.847133757969"/>
    <n v="41670"/>
    <n v="43823.368421052626"/>
    <n v="0"/>
    <n v="0"/>
    <n v="51346.574136239578"/>
    <n v="50015.746809738499"/>
    <n v="7"/>
    <n v="9"/>
    <n v="4"/>
    <n v="11"/>
    <n v="32"/>
    <n v="27"/>
    <n v="18"/>
    <n v="16"/>
    <n v="2"/>
    <n v="2"/>
    <n v="0"/>
    <n v="0"/>
    <n v="63"/>
    <n v="65"/>
    <n v="557885.4084507043"/>
    <n v="670655.87234042562"/>
    <n v="196491.78947368421"/>
    <n v="595716"/>
    <n v="1597030.054054054"/>
    <n v="1264175.3793103448"/>
    <n v="800086.91860465123"/>
    <n v="632829.5541401275"/>
    <n v="83340"/>
    <n v="87646.736842105252"/>
    <n v="0"/>
    <n v="0"/>
    <n v="3234834.1705830935"/>
    <n v="3251023.5426330026"/>
  </r>
  <r>
    <x v="15"/>
    <s v="West Virginia Northern Community College"/>
    <s v="Met the criteria for Two-Year 3 in 2012-13."/>
    <n v="238014"/>
    <x v="7"/>
    <n v="22"/>
    <n v="20"/>
    <m/>
    <m/>
    <m/>
    <m/>
    <m/>
    <m/>
    <n v="9"/>
    <n v="9"/>
    <m/>
    <m/>
    <m/>
    <m/>
    <m/>
    <m/>
    <n v="6"/>
    <n v="5"/>
    <m/>
    <m/>
    <n v="1"/>
    <m/>
    <m/>
    <n v="1"/>
    <n v="20"/>
    <n v="22"/>
    <m/>
    <m/>
    <n v="4"/>
    <m/>
    <m/>
    <n v="3"/>
    <m/>
    <m/>
    <m/>
    <m/>
    <m/>
    <m/>
    <m/>
    <m/>
    <m/>
    <m/>
    <m/>
    <m/>
    <m/>
    <m/>
    <m/>
    <m/>
    <n v="1297252"/>
    <n v="1204020"/>
    <n v="425637"/>
    <n v="430553"/>
    <n v="291546"/>
    <n v="262763"/>
    <n v="836100"/>
    <n v="895815"/>
    <m/>
    <m/>
    <n v="0"/>
    <m/>
    <n v="198"/>
    <n v="180"/>
    <n v="81"/>
    <n v="81"/>
    <n v="65"/>
    <n v="57"/>
    <n v="224"/>
    <n v="234"/>
    <n v="0"/>
    <n v="0"/>
    <n v="0"/>
    <n v="0"/>
    <n v="6551.7777777777774"/>
    <n v="6689"/>
    <n v="5254.7777777777774"/>
    <n v="5315.4691358024693"/>
    <n v="4485.3230769230768"/>
    <n v="4609.8771929824561"/>
    <n v="3732.5892857142858"/>
    <n v="3828.2692307692309"/>
    <n v="0"/>
    <n v="0"/>
    <n v="0"/>
    <n v="0"/>
    <n v="58966"/>
    <n v="60201"/>
    <n v="47293"/>
    <n v="47839.222222222226"/>
    <n v="40367.907692307694"/>
    <n v="41488.894736842107"/>
    <n v="33593.303571428572"/>
    <n v="34454.423076923078"/>
    <n v="0"/>
    <n v="0"/>
    <n v="0"/>
    <n v="0"/>
    <n v="45350.058702587739"/>
    <n v="45747.782422402161"/>
    <n v="22"/>
    <n v="20"/>
    <n v="9"/>
    <n v="9"/>
    <n v="7"/>
    <n v="6"/>
    <n v="24"/>
    <n v="25"/>
    <n v="0"/>
    <n v="0"/>
    <n v="0"/>
    <n v="0"/>
    <n v="62"/>
    <n v="60"/>
    <n v="1297252"/>
    <n v="1204020"/>
    <n v="425637"/>
    <n v="430553.00000000006"/>
    <n v="282575.35384615383"/>
    <n v="248933.36842105264"/>
    <n v="806239.28571428568"/>
    <n v="861360.57692307699"/>
    <n v="0"/>
    <n v="0"/>
    <n v="0"/>
    <n v="0"/>
    <n v="2811703.6395604396"/>
    <n v="2744866.9453441296"/>
  </r>
  <r>
    <x v="15"/>
    <s v="Blue Ridge Community &amp; Technical College"/>
    <m/>
    <n v="446774"/>
    <x v="8"/>
    <m/>
    <m/>
    <m/>
    <m/>
    <n v="1"/>
    <m/>
    <m/>
    <n v="1"/>
    <n v="3"/>
    <n v="3"/>
    <m/>
    <m/>
    <m/>
    <m/>
    <m/>
    <n v="1"/>
    <n v="11"/>
    <n v="11"/>
    <m/>
    <m/>
    <n v="6"/>
    <m/>
    <m/>
    <n v="8"/>
    <n v="3"/>
    <n v="4"/>
    <m/>
    <m/>
    <n v="4"/>
    <m/>
    <m/>
    <n v="9"/>
    <n v="9"/>
    <n v="8"/>
    <m/>
    <m/>
    <n v="6"/>
    <m/>
    <m/>
    <n v="8"/>
    <m/>
    <m/>
    <m/>
    <m/>
    <m/>
    <m/>
    <m/>
    <m/>
    <n v="95270"/>
    <n v="98161"/>
    <n v="193947"/>
    <n v="333261"/>
    <n v="871351"/>
    <n v="1028455"/>
    <n v="296754"/>
    <n v="629219"/>
    <n v="637692"/>
    <n v="708119"/>
    <n v="0"/>
    <m/>
    <n v="11"/>
    <n v="12"/>
    <n v="27"/>
    <n v="39"/>
    <n v="165"/>
    <n v="195"/>
    <n v="71"/>
    <n v="144"/>
    <n v="147"/>
    <n v="168"/>
    <n v="0"/>
    <n v="0"/>
    <n v="8660.9090909090901"/>
    <n v="8180.083333333333"/>
    <n v="7183.2222222222226"/>
    <n v="8545.1538461538457"/>
    <n v="5280.9151515151516"/>
    <n v="5274.1282051282051"/>
    <n v="4179.6338028169012"/>
    <n v="4369.5763888888887"/>
    <n v="4338.0408163265311"/>
    <n v="4214.9940476190477"/>
    <n v="0"/>
    <n v="0"/>
    <n v="77948.181818181809"/>
    <n v="73620.75"/>
    <n v="64649"/>
    <n v="76906.38461538461"/>
    <n v="47528.236363636366"/>
    <n v="47467.153846153844"/>
    <n v="37616.704225352107"/>
    <n v="39326.1875"/>
    <n v="39042.36734693878"/>
    <n v="37934.946428571428"/>
    <n v="0"/>
    <n v="0"/>
    <n v="44856.456739105728"/>
    <n v="45307.958337652912"/>
    <n v="1"/>
    <n v="1"/>
    <n v="3"/>
    <n v="4"/>
    <n v="17"/>
    <n v="19"/>
    <n v="7"/>
    <n v="13"/>
    <n v="15"/>
    <n v="16"/>
    <n v="0"/>
    <n v="0"/>
    <n v="43"/>
    <n v="53"/>
    <n v="77948.181818181809"/>
    <n v="73620.75"/>
    <n v="193947"/>
    <n v="307625.53846153844"/>
    <n v="807980.01818181819"/>
    <n v="901875.92307692301"/>
    <n v="263316.92957746476"/>
    <n v="511240.4375"/>
    <n v="585635.51020408166"/>
    <n v="606959.14285714284"/>
    <n v="0"/>
    <n v="0"/>
    <n v="1928827.6397815463"/>
    <n v="2401321.7918956042"/>
  </r>
  <r>
    <x v="15"/>
    <s v="Bridgemont Community &amp; Technical College"/>
    <m/>
    <n v="445674"/>
    <x v="8"/>
    <n v="6"/>
    <n v="3"/>
    <m/>
    <n v="3"/>
    <n v="2"/>
    <n v="1"/>
    <m/>
    <m/>
    <n v="8"/>
    <n v="6"/>
    <m/>
    <n v="2"/>
    <n v="1"/>
    <m/>
    <m/>
    <m/>
    <n v="8"/>
    <n v="6"/>
    <m/>
    <n v="2"/>
    <m/>
    <m/>
    <m/>
    <n v="1"/>
    <n v="8"/>
    <n v="6"/>
    <m/>
    <n v="2"/>
    <n v="2"/>
    <n v="1"/>
    <m/>
    <n v="2"/>
    <m/>
    <m/>
    <m/>
    <m/>
    <n v="3"/>
    <n v="1"/>
    <m/>
    <n v="1"/>
    <m/>
    <m/>
    <m/>
    <m/>
    <m/>
    <m/>
    <m/>
    <m/>
    <n v="638026"/>
    <n v="554205"/>
    <n v="595228"/>
    <n v="515646"/>
    <n v="410280"/>
    <n v="477441"/>
    <n v="436794"/>
    <n v="455222"/>
    <n v="155166"/>
    <n v="119344"/>
    <n v="0"/>
    <m/>
    <n v="76"/>
    <n v="68"/>
    <n v="83"/>
    <n v="74"/>
    <n v="72"/>
    <n v="86"/>
    <n v="94"/>
    <n v="109"/>
    <n v="33"/>
    <n v="23"/>
    <n v="0"/>
    <n v="0"/>
    <n v="8395.0789473684217"/>
    <n v="8150.0735294117649"/>
    <n v="7171.4216867469877"/>
    <n v="6968.1891891891892"/>
    <n v="5698.333333333333"/>
    <n v="5551.6395348837214"/>
    <n v="4646.744680851064"/>
    <n v="4176.3486238532114"/>
    <n v="4702"/>
    <n v="5188.869565217391"/>
    <n v="0"/>
    <n v="0"/>
    <n v="75555.710526315801"/>
    <n v="73350.661764705888"/>
    <n v="64542.795180722889"/>
    <n v="62713.7027027027"/>
    <n v="51285"/>
    <n v="49964.755813953496"/>
    <n v="41820.702127659577"/>
    <n v="37587.137614678904"/>
    <n v="42318"/>
    <n v="46699.82608695652"/>
    <n v="0"/>
    <n v="0"/>
    <n v="56336.101634569175"/>
    <n v="53289.330330689874"/>
    <n v="8"/>
    <n v="7"/>
    <n v="9"/>
    <n v="8"/>
    <n v="8"/>
    <n v="9"/>
    <n v="10"/>
    <n v="11"/>
    <n v="3"/>
    <n v="2"/>
    <n v="0"/>
    <n v="0"/>
    <n v="38"/>
    <n v="37"/>
    <n v="604445.68421052641"/>
    <n v="513454.6323529412"/>
    <n v="580885.15662650601"/>
    <n v="501709.6216216216"/>
    <n v="410280"/>
    <n v="449682.80232558143"/>
    <n v="418207.02127659577"/>
    <n v="413458.51376146794"/>
    <n v="126954"/>
    <n v="93399.65217391304"/>
    <n v="0"/>
    <n v="0"/>
    <n v="2140771.8621136285"/>
    <n v="1971705.2222355253"/>
  </r>
  <r>
    <x v="15"/>
    <s v="Eastern West Virginia Community &amp; Technical College"/>
    <m/>
    <n v="438708"/>
    <x v="8"/>
    <m/>
    <m/>
    <m/>
    <m/>
    <m/>
    <m/>
    <m/>
    <m/>
    <m/>
    <m/>
    <m/>
    <m/>
    <m/>
    <m/>
    <m/>
    <m/>
    <m/>
    <m/>
    <m/>
    <m/>
    <m/>
    <m/>
    <m/>
    <m/>
    <m/>
    <m/>
    <m/>
    <m/>
    <m/>
    <m/>
    <m/>
    <n v="2"/>
    <m/>
    <m/>
    <m/>
    <m/>
    <n v="5"/>
    <m/>
    <m/>
    <n v="3"/>
    <m/>
    <m/>
    <m/>
    <m/>
    <m/>
    <m/>
    <m/>
    <m/>
    <s v="                     -  "/>
    <m/>
    <s v="                     -  "/>
    <m/>
    <s v="                     -  "/>
    <m/>
    <m/>
    <n v="75678"/>
    <n v="198070"/>
    <n v="127977"/>
    <n v="0"/>
    <m/>
    <n v="0"/>
    <n v="0"/>
    <n v="0"/>
    <n v="0"/>
    <n v="0"/>
    <n v="0"/>
    <n v="0"/>
    <n v="24"/>
    <n v="55"/>
    <n v="36"/>
    <n v="0"/>
    <n v="0"/>
    <n v="0"/>
    <n v="0"/>
    <n v="0"/>
    <n v="0"/>
    <n v="0"/>
    <n v="0"/>
    <n v="0"/>
    <n v="3153.25"/>
    <n v="3601.2727272727275"/>
    <n v="3554.9166666666665"/>
    <n v="0"/>
    <n v="0"/>
    <n v="0"/>
    <n v="0"/>
    <n v="0"/>
    <n v="0"/>
    <n v="0"/>
    <n v="0"/>
    <n v="0"/>
    <n v="28379.25"/>
    <n v="32411.454545454548"/>
    <n v="31994.25"/>
    <n v="0"/>
    <n v="0"/>
    <n v="32411.454545454548"/>
    <n v="30548.25"/>
    <n v="0"/>
    <n v="0"/>
    <n v="0"/>
    <n v="0"/>
    <n v="0"/>
    <n v="0"/>
    <n v="0"/>
    <n v="2"/>
    <n v="5"/>
    <n v="3"/>
    <n v="0"/>
    <n v="0"/>
    <n v="5"/>
    <n v="5"/>
    <n v="0"/>
    <n v="0"/>
    <n v="0"/>
    <n v="0"/>
    <n v="0"/>
    <n v="0"/>
    <n v="0"/>
    <n v="56758.5"/>
    <n v="162057.27272727274"/>
    <n v="95982.75"/>
    <n v="0"/>
    <n v="0"/>
    <n v="162057.27272727274"/>
    <n v="152741.25"/>
  </r>
  <r>
    <x v="15"/>
    <s v="Kanawha Valley Community &amp; Technical College"/>
    <m/>
    <n v="445018"/>
    <x v="8"/>
    <n v="2"/>
    <n v="2"/>
    <m/>
    <m/>
    <m/>
    <m/>
    <m/>
    <m/>
    <n v="2"/>
    <n v="4"/>
    <m/>
    <m/>
    <m/>
    <m/>
    <m/>
    <n v="2"/>
    <n v="7"/>
    <n v="9"/>
    <m/>
    <m/>
    <n v="2"/>
    <n v="1"/>
    <m/>
    <n v="3"/>
    <n v="20"/>
    <n v="23"/>
    <m/>
    <m/>
    <n v="11"/>
    <m/>
    <m/>
    <n v="6"/>
    <n v="8"/>
    <n v="4"/>
    <m/>
    <m/>
    <n v="2"/>
    <m/>
    <m/>
    <m/>
    <m/>
    <m/>
    <m/>
    <m/>
    <m/>
    <m/>
    <m/>
    <m/>
    <n v="126842"/>
    <n v="137474"/>
    <n v="125164"/>
    <n v="349465"/>
    <n v="478854"/>
    <n v="735467"/>
    <n v="1457085"/>
    <n v="1306771"/>
    <n v="490550"/>
    <n v="180443"/>
    <n v="0"/>
    <m/>
    <n v="18"/>
    <n v="18"/>
    <n v="18"/>
    <n v="60"/>
    <n v="85"/>
    <n v="128"/>
    <n v="301"/>
    <n v="279"/>
    <n v="94"/>
    <n v="36"/>
    <n v="0"/>
    <n v="0"/>
    <n v="7046.7777777777774"/>
    <n v="7637.4444444444443"/>
    <n v="6953.5555555555557"/>
    <n v="5824.416666666667"/>
    <n v="5633.5764705882357"/>
    <n v="5745.8359375"/>
    <n v="4840.8139534883721"/>
    <n v="4683.7670250896053"/>
    <n v="5218.6170212765956"/>
    <n v="5012.3055555555557"/>
    <n v="0"/>
    <n v="0"/>
    <n v="63421"/>
    <n v="68737"/>
    <n v="62582"/>
    <n v="52419.75"/>
    <n v="50702.188235294117"/>
    <n v="51712.5234375"/>
    <n v="43567.325581395351"/>
    <n v="42153.903225806447"/>
    <n v="46967.553191489358"/>
    <n v="45110.75"/>
    <n v="0"/>
    <n v="0"/>
    <n v="46825.709612144383"/>
    <n v="46799.287004368278"/>
    <n v="2"/>
    <n v="2"/>
    <n v="2"/>
    <n v="6"/>
    <n v="9"/>
    <n v="13"/>
    <n v="31"/>
    <n v="29"/>
    <n v="10"/>
    <n v="4"/>
    <n v="0"/>
    <n v="0"/>
    <n v="54"/>
    <n v="54"/>
    <n v="126842"/>
    <n v="137474"/>
    <n v="125164"/>
    <n v="314518.5"/>
    <n v="456319.69411764707"/>
    <n v="672262.8046875"/>
    <n v="1350587.0930232559"/>
    <n v="1222463.1935483869"/>
    <n v="469675.5319148936"/>
    <n v="180443"/>
    <n v="0"/>
    <n v="0"/>
    <n v="2528588.3190557966"/>
    <n v="2527161.4982358869"/>
  </r>
  <r>
    <x v="15"/>
    <s v="Mountwest Community &amp; Technical College"/>
    <m/>
    <n v="444954"/>
    <x v="8"/>
    <n v="10"/>
    <n v="5"/>
    <m/>
    <n v="2"/>
    <m/>
    <m/>
    <m/>
    <m/>
    <n v="10"/>
    <n v="5"/>
    <m/>
    <n v="4"/>
    <m/>
    <m/>
    <m/>
    <m/>
    <n v="20"/>
    <n v="21"/>
    <m/>
    <n v="6"/>
    <n v="2"/>
    <n v="1"/>
    <m/>
    <n v="1"/>
    <n v="8"/>
    <n v="7"/>
    <m/>
    <n v="2"/>
    <n v="2"/>
    <m/>
    <m/>
    <n v="2"/>
    <m/>
    <m/>
    <m/>
    <m/>
    <m/>
    <m/>
    <m/>
    <m/>
    <m/>
    <m/>
    <m/>
    <m/>
    <m/>
    <m/>
    <m/>
    <m/>
    <n v="657200"/>
    <n v="486049"/>
    <n v="559210"/>
    <n v="535914"/>
    <n v="926534"/>
    <n v="1222315"/>
    <n v="404250"/>
    <n v="424894"/>
    <m/>
    <m/>
    <n v="0"/>
    <m/>
    <n v="90"/>
    <n v="65"/>
    <n v="90"/>
    <n v="85"/>
    <n v="202"/>
    <n v="272"/>
    <n v="94"/>
    <n v="107"/>
    <n v="0"/>
    <n v="0"/>
    <n v="0"/>
    <n v="0"/>
    <n v="7302.2222222222226"/>
    <n v="7477.6769230769232"/>
    <n v="6213.4444444444443"/>
    <n v="6304.8705882352942"/>
    <n v="4586.8019801980199"/>
    <n v="4493.8051470588234"/>
    <n v="4300.5319148936169"/>
    <n v="3970.9719626168226"/>
    <n v="0"/>
    <n v="0"/>
    <n v="0"/>
    <n v="0"/>
    <n v="65720"/>
    <n v="67299.092307692306"/>
    <n v="55921"/>
    <n v="56743.835294117649"/>
    <n v="41281.217821782178"/>
    <n v="40444.246323529413"/>
    <n v="38704.787234042553"/>
    <n v="35738.747663551403"/>
    <n v="0"/>
    <n v="0"/>
    <n v="0"/>
    <n v="0"/>
    <n v="48300.858931146795"/>
    <n v="45496.38449075578"/>
    <n v="10"/>
    <n v="7"/>
    <n v="10"/>
    <n v="9"/>
    <n v="22"/>
    <n v="29"/>
    <n v="10"/>
    <n v="11"/>
    <n v="0"/>
    <n v="0"/>
    <n v="0"/>
    <n v="0"/>
    <n v="52"/>
    <n v="56"/>
    <n v="657200"/>
    <n v="471093.64615384617"/>
    <n v="559210"/>
    <n v="510694.51764705882"/>
    <n v="908186.79207920795"/>
    <n v="1172883.143382353"/>
    <n v="387047.8723404255"/>
    <n v="393126.22429906542"/>
    <n v="0"/>
    <n v="0"/>
    <n v="0"/>
    <n v="0"/>
    <n v="2511644.6644196333"/>
    <n v="2547797.5314823235"/>
  </r>
  <r>
    <x v="15"/>
    <s v="Southern West Virginia Community &amp; Technical College "/>
    <m/>
    <n v="237817"/>
    <x v="8"/>
    <n v="19"/>
    <n v="11"/>
    <m/>
    <n v="6"/>
    <m/>
    <m/>
    <m/>
    <m/>
    <n v="13"/>
    <n v="9"/>
    <m/>
    <n v="4"/>
    <m/>
    <m/>
    <m/>
    <m/>
    <n v="23"/>
    <n v="18"/>
    <m/>
    <n v="6"/>
    <m/>
    <m/>
    <m/>
    <m/>
    <n v="18"/>
    <n v="20"/>
    <m/>
    <n v="3"/>
    <n v="1"/>
    <m/>
    <m/>
    <m/>
    <m/>
    <m/>
    <m/>
    <m/>
    <m/>
    <m/>
    <m/>
    <m/>
    <m/>
    <m/>
    <m/>
    <m/>
    <m/>
    <m/>
    <m/>
    <m/>
    <n v="1136504"/>
    <n v="1038457"/>
    <n v="628940"/>
    <n v="645072"/>
    <n v="951648"/>
    <n v="1018732"/>
    <n v="630296"/>
    <n v="782862"/>
    <m/>
    <m/>
    <n v="0"/>
    <m/>
    <n v="171"/>
    <n v="159"/>
    <n v="117"/>
    <n v="121"/>
    <n v="207"/>
    <n v="222"/>
    <n v="173"/>
    <n v="210"/>
    <n v="0"/>
    <n v="0"/>
    <n v="0"/>
    <n v="0"/>
    <n v="6646.2222222222226"/>
    <n v="6531.1761006289307"/>
    <n v="5375.5555555555557"/>
    <n v="5331.1735537190079"/>
    <n v="4597.333333333333"/>
    <n v="4588.8828828828828"/>
    <n v="3643.3294797687863"/>
    <n v="3727.9142857142856"/>
    <n v="0"/>
    <n v="0"/>
    <n v="0"/>
    <n v="0"/>
    <n v="59816"/>
    <n v="58780.584905660377"/>
    <n v="48380"/>
    <n v="47980.561983471074"/>
    <n v="41376"/>
    <n v="41299.945945945947"/>
    <n v="32789.965317919079"/>
    <n v="33551.228571428568"/>
    <n v="0"/>
    <n v="0"/>
    <n v="0"/>
    <n v="0"/>
    <n v="45136.504608654897"/>
    <n v="43972.652065284543"/>
    <n v="19"/>
    <n v="17"/>
    <n v="13"/>
    <n v="13"/>
    <n v="23"/>
    <n v="24"/>
    <n v="19"/>
    <n v="23"/>
    <n v="0"/>
    <n v="0"/>
    <n v="0"/>
    <n v="0"/>
    <n v="74"/>
    <n v="77"/>
    <n v="1136504"/>
    <n v="999269.94339622639"/>
    <n v="628940"/>
    <n v="623747.30578512396"/>
    <n v="951648"/>
    <n v="991198.70270270272"/>
    <n v="623009.34104046249"/>
    <n v="771678.25714285707"/>
    <n v="0"/>
    <n v="0"/>
    <n v="0"/>
    <n v="0"/>
    <n v="3340101.3410404623"/>
    <n v="3385894.20902690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 dataOnRows="1" applyNumberFormats="0" applyBorderFormats="0" applyFontFormats="0" applyPatternFormats="0" applyAlignmentFormats="0" applyWidthHeightFormats="1" dataCaption="Values" updatedVersion="4" minRefreshableVersion="3" useAutoFormatting="1" colGrandTotals="0" itemPrintTitles="1" createdVersion="4" indent="0" outline="1" outlineData="1" multipleFieldFilters="0">
  <location ref="A1:Q495" firstHeaderRow="1" firstDataRow="3" firstDataCol="1"/>
  <pivotFields count="132">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axis="axisCol" showAll="0">
      <items count="15">
        <item x="0"/>
        <item x="1"/>
        <item x="2"/>
        <item x="3"/>
        <item x="4"/>
        <item x="5"/>
        <item x="11"/>
        <item x="6"/>
        <item x="7"/>
        <item x="8"/>
        <item x="13"/>
        <item x="9"/>
        <item x="10"/>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axis="axisCol" showAll="0">
      <items count="5">
        <item n="Four-Year" x="1"/>
        <item n="Two-Year" x="2"/>
        <item n="Technical" x="3"/>
        <item h="1" x="0"/>
        <item t="default"/>
      </items>
    </pivotField>
  </pivotFields>
  <rowFields count="2">
    <field x="0"/>
    <field x="-2"/>
  </rowFields>
  <rowItems count="492">
    <i>
      <x/>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2"/>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3"/>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4"/>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5"/>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6"/>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7"/>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8"/>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9"/>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0"/>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1"/>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2"/>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3"/>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4"/>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5"/>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rowItems>
  <colFields count="2">
    <field x="131"/>
    <field x="4"/>
  </colFields>
  <colItems count="16">
    <i>
      <x/>
      <x/>
    </i>
    <i r="1">
      <x v="1"/>
    </i>
    <i r="1">
      <x v="2"/>
    </i>
    <i r="1">
      <x v="3"/>
    </i>
    <i r="1">
      <x v="4"/>
    </i>
    <i r="1">
      <x v="5"/>
    </i>
    <i t="default">
      <x/>
    </i>
    <i>
      <x v="1"/>
      <x v="6"/>
    </i>
    <i r="1">
      <x v="7"/>
    </i>
    <i r="1">
      <x v="8"/>
    </i>
    <i r="1">
      <x v="9"/>
    </i>
    <i r="1">
      <x v="10"/>
    </i>
    <i t="default">
      <x v="1"/>
    </i>
    <i>
      <x v="2"/>
      <x v="11"/>
    </i>
    <i r="1">
      <x v="12"/>
    </i>
    <i t="default">
      <x v="2"/>
    </i>
  </colItems>
  <dataFields count="28">
    <dataField name=" Old # Prof Tot" fld="103" baseField="0" baseItem="0" numFmtId="164"/>
    <dataField name=" Old 9mEqv Outlay Prof" fld="117" baseField="0" baseItem="0" numFmtId="164"/>
    <dataField name=" New # Prof Tot" fld="104" baseField="0" baseItem="0" numFmtId="164"/>
    <dataField name=" New 9mEqv Outlay Prof" fld="118" baseField="0" baseItem="0" numFmtId="164"/>
    <dataField name=" Old # Asc Tot" fld="105" baseField="0" baseItem="0" numFmtId="164"/>
    <dataField name=" Old 9mEqv Outlay Asc" fld="119" baseField="0" baseItem="0" numFmtId="164"/>
    <dataField name=" New # Asc Tot" fld="106" baseField="0" baseItem="0" numFmtId="164"/>
    <dataField name=" New 9mEqv Outlay Asc" fld="120" baseField="0" baseItem="0" numFmtId="164"/>
    <dataField name=" Old # Ast Tot" fld="107" baseField="0" baseItem="0" numFmtId="164"/>
    <dataField name=" Old 9mEqv Outlay Ast" fld="121" baseField="0" baseItem="0" numFmtId="164"/>
    <dataField name=" New # Ast Tot" fld="108" baseField="0" baseItem="0" numFmtId="164"/>
    <dataField name=" New 9mEqv Outlay Ast" fld="122" baseField="0" baseItem="0" numFmtId="164"/>
    <dataField name=" Old # Inst Tot" fld="109" baseField="0" baseItem="0" numFmtId="164"/>
    <dataField name=" Old 9mEqv Outlay Inst" fld="123" baseField="0" baseItem="0" numFmtId="164"/>
    <dataField name=" New # Inst Tot" fld="110" baseField="0" baseItem="0" numFmtId="164"/>
    <dataField name=" New 9mEqv Outlay Inst" fld="124" baseField="0" baseItem="0" numFmtId="164"/>
    <dataField name=" Old # Oth Tot" fld="111" baseField="0" baseItem="0" numFmtId="164"/>
    <dataField name=" Old 9mEqv Outlay Oth" fld="125" baseField="0" baseItem="0" numFmtId="164"/>
    <dataField name=" New # Oth Tot" fld="112" baseField="0" baseItem="0" numFmtId="164"/>
    <dataField name=" New 9mEqv Outlay Oth" fld="126" baseField="0" baseItem="0" numFmtId="164"/>
    <dataField name=" Old # SR Tot" fld="113" baseField="0" baseItem="0" numFmtId="164"/>
    <dataField name=" Old 9mEqv Outlay SR" fld="127" baseField="0" baseItem="0" numFmtId="164"/>
    <dataField name=" New # SR Tot" fld="114" baseField="0" baseItem="0" numFmtId="164"/>
    <dataField name=" New 9mEqv Outlay SR" fld="128" baseField="0" baseItem="0" numFmtId="164"/>
    <dataField name=" Old # AR Tot" fld="115" baseField="0" baseItem="0" numFmtId="164"/>
    <dataField name=" Old 9mEqv Outlay AR" fld="129" baseField="0" baseItem="0" numFmtId="164"/>
    <dataField name=" New # AR Tot" fld="116" baseField="0" baseItem="0" numFmtId="164"/>
    <dataField name=" New 9mEqv Outlay AR" fld="130" baseField="0" baseItem="0" numFmtId="164"/>
  </dataFields>
  <formats count="148">
    <format dxfId="340">
      <pivotArea type="all" dataOnly="0" outline="0" fieldPosition="0"/>
    </format>
    <format dxfId="339">
      <pivotArea type="all" dataOnly="0" outline="0" fieldPosition="0"/>
    </format>
    <format dxfId="338">
      <pivotArea collapsedLevelsAreSubtotals="1" fieldPosition="0">
        <references count="1">
          <reference field="0" count="1">
            <x v="9"/>
          </reference>
        </references>
      </pivotArea>
    </format>
    <format dxfId="337">
      <pivotArea collapsedLevelsAreSubtotals="1" fieldPosition="0">
        <references count="2">
          <reference field="4294967294" count="26">
            <x v="0"/>
            <x v="1"/>
            <x v="2"/>
            <x v="3"/>
            <x v="4"/>
            <x v="5"/>
            <x v="6"/>
            <x v="7"/>
            <x v="8"/>
            <x v="9"/>
            <x v="10"/>
            <x v="11"/>
            <x v="12"/>
            <x v="13"/>
            <x v="14"/>
            <x v="15"/>
            <x v="16"/>
            <x v="17"/>
            <x v="18"/>
            <x v="19"/>
            <x v="20"/>
            <x v="21"/>
            <x v="22"/>
            <x v="23"/>
            <x v="24"/>
            <x v="26"/>
          </reference>
          <reference field="0" count="1" selected="0">
            <x v="9"/>
          </reference>
        </references>
      </pivotArea>
    </format>
    <format dxfId="336">
      <pivotArea field="0" grandRow="1" outline="0" collapsedLevelsAreSubtotals="1" axis="axisRow" fieldPosition="0">
        <references count="1">
          <reference field="4294967294" count="26" selected="0">
            <x v="0"/>
            <x v="1"/>
            <x v="2"/>
            <x v="3"/>
            <x v="4"/>
            <x v="5"/>
            <x v="6"/>
            <x v="7"/>
            <x v="8"/>
            <x v="9"/>
            <x v="10"/>
            <x v="11"/>
            <x v="12"/>
            <x v="13"/>
            <x v="14"/>
            <x v="15"/>
            <x v="16"/>
            <x v="17"/>
            <x v="18"/>
            <x v="19"/>
            <x v="20"/>
            <x v="21"/>
            <x v="22"/>
            <x v="23"/>
            <x v="24"/>
            <x v="26"/>
          </reference>
        </references>
      </pivotArea>
    </format>
    <format dxfId="335">
      <pivotArea dataOnly="0" outline="0" fieldPosition="0">
        <references count="1">
          <reference field="4294967294" count="1">
            <x v="5"/>
          </reference>
        </references>
      </pivotArea>
    </format>
    <format dxfId="334">
      <pivotArea outline="0" collapsedLevelsAreSubtotals="1" fieldPosition="0"/>
    </format>
    <format dxfId="333">
      <pivotArea field="131" type="button" dataOnly="0" labelOnly="1" outline="0" axis="axisCol" fieldPosition="0"/>
    </format>
    <format dxfId="332">
      <pivotArea field="4" type="button" dataOnly="0" labelOnly="1" outline="0" axis="axisCol" fieldPosition="1"/>
    </format>
    <format dxfId="331">
      <pivotArea type="topRight" dataOnly="0" labelOnly="1" outline="0" fieldPosition="0"/>
    </format>
    <format dxfId="330">
      <pivotArea dataOnly="0" labelOnly="1" fieldPosition="0">
        <references count="1">
          <reference field="131" count="0"/>
        </references>
      </pivotArea>
    </format>
    <format dxfId="329">
      <pivotArea dataOnly="0" labelOnly="1" fieldPosition="0">
        <references count="1">
          <reference field="131" count="0" defaultSubtotal="1"/>
        </references>
      </pivotArea>
    </format>
    <format dxfId="328">
      <pivotArea dataOnly="0" labelOnly="1" fieldPosition="0">
        <references count="2">
          <reference field="4" count="6">
            <x v="0"/>
            <x v="1"/>
            <x v="2"/>
            <x v="3"/>
            <x v="4"/>
            <x v="5"/>
          </reference>
          <reference field="131" count="1" selected="0">
            <x v="0"/>
          </reference>
        </references>
      </pivotArea>
    </format>
    <format dxfId="327">
      <pivotArea dataOnly="0" labelOnly="1" fieldPosition="0">
        <references count="2">
          <reference field="4" count="5">
            <x v="6"/>
            <x v="7"/>
            <x v="8"/>
            <x v="9"/>
            <x v="10"/>
          </reference>
          <reference field="131" count="1" selected="0">
            <x v="1"/>
          </reference>
        </references>
      </pivotArea>
    </format>
    <format dxfId="326">
      <pivotArea dataOnly="0" labelOnly="1" fieldPosition="0">
        <references count="2">
          <reference field="4" count="2">
            <x v="11"/>
            <x v="12"/>
          </reference>
          <reference field="131" count="1" selected="0">
            <x v="2"/>
          </reference>
        </references>
      </pivotArea>
    </format>
    <format dxfId="325">
      <pivotArea dataOnly="0" outline="0" fieldPosition="0">
        <references count="1">
          <reference field="4294967294" count="1">
            <x v="27"/>
          </reference>
        </references>
      </pivotArea>
    </format>
    <format dxfId="324">
      <pivotArea field="0" dataOnly="0" labelOnly="1" grandRow="1" outline="0" axis="axisRow" fieldPosition="0">
        <references count="1">
          <reference field="4294967294" count="1" selected="0">
            <x v="0"/>
          </reference>
        </references>
      </pivotArea>
    </format>
    <format dxfId="323">
      <pivotArea field="0" dataOnly="0" labelOnly="1" grandRow="1" outline="0" axis="axisRow" fieldPosition="0">
        <references count="1">
          <reference field="4294967294" count="1" selected="0">
            <x v="1"/>
          </reference>
        </references>
      </pivotArea>
    </format>
    <format dxfId="322">
      <pivotArea field="0" dataOnly="0" labelOnly="1" grandRow="1" outline="0" axis="axisRow" fieldPosition="0">
        <references count="1">
          <reference field="4294967294" count="1" selected="0">
            <x v="2"/>
          </reference>
        </references>
      </pivotArea>
    </format>
    <format dxfId="321">
      <pivotArea field="0" dataOnly="0" labelOnly="1" grandRow="1" outline="0" axis="axisRow" fieldPosition="0">
        <references count="1">
          <reference field="4294967294" count="1" selected="0">
            <x v="3"/>
          </reference>
        </references>
      </pivotArea>
    </format>
    <format dxfId="320">
      <pivotArea field="0" dataOnly="0" labelOnly="1" grandRow="1" outline="0" axis="axisRow" fieldPosition="0">
        <references count="1">
          <reference field="4294967294" count="1" selected="0">
            <x v="4"/>
          </reference>
        </references>
      </pivotArea>
    </format>
    <format dxfId="319">
      <pivotArea field="0" dataOnly="0" labelOnly="1" grandRow="1" outline="0" axis="axisRow" fieldPosition="0">
        <references count="1">
          <reference field="4294967294" count="1" selected="0">
            <x v="5"/>
          </reference>
        </references>
      </pivotArea>
    </format>
    <format dxfId="318">
      <pivotArea field="0" dataOnly="0" labelOnly="1" grandRow="1" outline="0" axis="axisRow" fieldPosition="0">
        <references count="1">
          <reference field="4294967294" count="1" selected="0">
            <x v="6"/>
          </reference>
        </references>
      </pivotArea>
    </format>
    <format dxfId="317">
      <pivotArea field="0" dataOnly="0" labelOnly="1" grandRow="1" outline="0" axis="axisRow" fieldPosition="0">
        <references count="1">
          <reference field="4294967294" count="1" selected="0">
            <x v="7"/>
          </reference>
        </references>
      </pivotArea>
    </format>
    <format dxfId="316">
      <pivotArea field="0" dataOnly="0" labelOnly="1" grandRow="1" outline="0" axis="axisRow" fieldPosition="0">
        <references count="1">
          <reference field="4294967294" count="1" selected="0">
            <x v="8"/>
          </reference>
        </references>
      </pivotArea>
    </format>
    <format dxfId="315">
      <pivotArea field="0" dataOnly="0" labelOnly="1" grandRow="1" outline="0" axis="axisRow" fieldPosition="0">
        <references count="1">
          <reference field="4294967294" count="1" selected="0">
            <x v="9"/>
          </reference>
        </references>
      </pivotArea>
    </format>
    <format dxfId="314">
      <pivotArea field="0" dataOnly="0" labelOnly="1" grandRow="1" outline="0" axis="axisRow" fieldPosition="0">
        <references count="1">
          <reference field="4294967294" count="1" selected="0">
            <x v="10"/>
          </reference>
        </references>
      </pivotArea>
    </format>
    <format dxfId="313">
      <pivotArea field="0" dataOnly="0" labelOnly="1" grandRow="1" outline="0" axis="axisRow" fieldPosition="0">
        <references count="1">
          <reference field="4294967294" count="1" selected="0">
            <x v="11"/>
          </reference>
        </references>
      </pivotArea>
    </format>
    <format dxfId="312">
      <pivotArea field="0" dataOnly="0" labelOnly="1" grandRow="1" outline="0" axis="axisRow" fieldPosition="0">
        <references count="1">
          <reference field="4294967294" count="1" selected="0">
            <x v="12"/>
          </reference>
        </references>
      </pivotArea>
    </format>
    <format dxfId="311">
      <pivotArea field="0" dataOnly="0" labelOnly="1" grandRow="1" outline="0" axis="axisRow" fieldPosition="0">
        <references count="1">
          <reference field="4294967294" count="1" selected="0">
            <x v="13"/>
          </reference>
        </references>
      </pivotArea>
    </format>
    <format dxfId="310">
      <pivotArea field="0" dataOnly="0" labelOnly="1" grandRow="1" outline="0" axis="axisRow" fieldPosition="0">
        <references count="1">
          <reference field="4294967294" count="1" selected="0">
            <x v="14"/>
          </reference>
        </references>
      </pivotArea>
    </format>
    <format dxfId="309">
      <pivotArea field="0" dataOnly="0" labelOnly="1" grandRow="1" outline="0" axis="axisRow" fieldPosition="0">
        <references count="1">
          <reference field="4294967294" count="1" selected="0">
            <x v="15"/>
          </reference>
        </references>
      </pivotArea>
    </format>
    <format dxfId="308">
      <pivotArea field="0" dataOnly="0" labelOnly="1" grandRow="1" outline="0" axis="axisRow" fieldPosition="0">
        <references count="1">
          <reference field="4294967294" count="1" selected="0">
            <x v="16"/>
          </reference>
        </references>
      </pivotArea>
    </format>
    <format dxfId="307">
      <pivotArea field="0" dataOnly="0" labelOnly="1" grandRow="1" outline="0" axis="axisRow" fieldPosition="0">
        <references count="1">
          <reference field="4294967294" count="1" selected="0">
            <x v="17"/>
          </reference>
        </references>
      </pivotArea>
    </format>
    <format dxfId="306">
      <pivotArea field="0" dataOnly="0" labelOnly="1" grandRow="1" outline="0" axis="axisRow" fieldPosition="0">
        <references count="1">
          <reference field="4294967294" count="1" selected="0">
            <x v="18"/>
          </reference>
        </references>
      </pivotArea>
    </format>
    <format dxfId="305">
      <pivotArea field="0" dataOnly="0" labelOnly="1" grandRow="1" outline="0" axis="axisRow" fieldPosition="0">
        <references count="1">
          <reference field="4294967294" count="1" selected="0">
            <x v="19"/>
          </reference>
        </references>
      </pivotArea>
    </format>
    <format dxfId="304">
      <pivotArea field="0" dataOnly="0" labelOnly="1" grandRow="1" outline="0" axis="axisRow" fieldPosition="0">
        <references count="1">
          <reference field="4294967294" count="1" selected="0">
            <x v="20"/>
          </reference>
        </references>
      </pivotArea>
    </format>
    <format dxfId="303">
      <pivotArea field="0" dataOnly="0" labelOnly="1" grandRow="1" outline="0" axis="axisRow" fieldPosition="0">
        <references count="1">
          <reference field="4294967294" count="1" selected="0">
            <x v="21"/>
          </reference>
        </references>
      </pivotArea>
    </format>
    <format dxfId="302">
      <pivotArea field="0" dataOnly="0" labelOnly="1" grandRow="1" outline="0" axis="axisRow" fieldPosition="0">
        <references count="1">
          <reference field="4294967294" count="1" selected="0">
            <x v="22"/>
          </reference>
        </references>
      </pivotArea>
    </format>
    <format dxfId="301">
      <pivotArea field="0" dataOnly="0" labelOnly="1" grandRow="1" outline="0" axis="axisRow" fieldPosition="0">
        <references count="1">
          <reference field="4294967294" count="1" selected="0">
            <x v="23"/>
          </reference>
        </references>
      </pivotArea>
    </format>
    <format dxfId="300">
      <pivotArea field="0" dataOnly="0" labelOnly="1" grandRow="1" outline="0" axis="axisRow" fieldPosition="0">
        <references count="1">
          <reference field="4294967294" count="1" selected="0">
            <x v="24"/>
          </reference>
        </references>
      </pivotArea>
    </format>
    <format dxfId="299">
      <pivotArea field="0" dataOnly="0" labelOnly="1" grandRow="1" outline="0" axis="axisRow" fieldPosition="0">
        <references count="1">
          <reference field="4294967294" count="1" selected="0">
            <x v="25"/>
          </reference>
        </references>
      </pivotArea>
    </format>
    <format dxfId="298">
      <pivotArea field="0" dataOnly="0" labelOnly="1" grandRow="1" outline="0" axis="axisRow" fieldPosition="0">
        <references count="1">
          <reference field="4294967294" count="1" selected="0">
            <x v="26"/>
          </reference>
        </references>
      </pivotArea>
    </format>
    <format dxfId="297">
      <pivotArea field="0" dataOnly="0" labelOnly="1" grandRow="1" outline="0" axis="axisRow" fieldPosition="0">
        <references count="1">
          <reference field="4294967294" count="1" selected="0">
            <x v="27"/>
          </reference>
        </references>
      </pivotArea>
    </format>
    <format dxfId="296">
      <pivotArea field="0" dataOnly="0" grandRow="1" axis="axisRow" fieldPosition="0">
        <references count="1">
          <reference field="4294967294" count="1" selected="0">
            <x v="1"/>
          </reference>
        </references>
      </pivotArea>
    </format>
    <format dxfId="295">
      <pivotArea field="0" dataOnly="0" grandRow="1" axis="axisRow" fieldPosition="0">
        <references count="1">
          <reference field="4294967294" count="1" selected="0">
            <x v="3"/>
          </reference>
        </references>
      </pivotArea>
    </format>
    <format dxfId="294">
      <pivotArea field="0" dataOnly="0" grandRow="1" axis="axisRow" fieldPosition="0">
        <references count="1">
          <reference field="4294967294" count="1" selected="0">
            <x v="5"/>
          </reference>
        </references>
      </pivotArea>
    </format>
    <format dxfId="293">
      <pivotArea field="0" dataOnly="0" grandRow="1" axis="axisRow" fieldPosition="0">
        <references count="1">
          <reference field="4294967294" count="1" selected="0">
            <x v="6"/>
          </reference>
        </references>
      </pivotArea>
    </format>
    <format dxfId="292">
      <pivotArea field="0" dataOnly="0" grandRow="1" axis="axisRow" fieldPosition="0">
        <references count="1">
          <reference field="4294967294" count="1" selected="0">
            <x v="7"/>
          </reference>
        </references>
      </pivotArea>
    </format>
    <format dxfId="291">
      <pivotArea field="0" grandRow="1" outline="0" collapsedLevelsAreSubtotals="1" axis="axisRow" fieldPosition="0">
        <references count="1">
          <reference field="4294967294" count="7" selected="0">
            <x v="6"/>
            <x v="7"/>
            <x v="8"/>
            <x v="9"/>
            <x v="10"/>
            <x v="11"/>
            <x v="12"/>
          </reference>
        </references>
      </pivotArea>
    </format>
    <format dxfId="290">
      <pivotArea field="0" grandRow="1" outline="0" collapsedLevelsAreSubtotals="1" axis="axisRow" fieldPosition="0">
        <references count="1">
          <reference field="4294967294" count="1" selected="0">
            <x v="7"/>
          </reference>
        </references>
      </pivotArea>
    </format>
    <format dxfId="289">
      <pivotArea field="0" dataOnly="0" labelOnly="1" grandRow="1" outline="0" axis="axisRow" fieldPosition="0">
        <references count="1">
          <reference field="4294967294" count="1" selected="0">
            <x v="0"/>
          </reference>
        </references>
      </pivotArea>
    </format>
    <format dxfId="288">
      <pivotArea field="0" dataOnly="0" labelOnly="1" grandRow="1" outline="0" axis="axisRow" fieldPosition="0">
        <references count="1">
          <reference field="4294967294" count="1" selected="0">
            <x v="1"/>
          </reference>
        </references>
      </pivotArea>
    </format>
    <format dxfId="287">
      <pivotArea field="0" dataOnly="0" labelOnly="1" grandRow="1" outline="0" axis="axisRow" fieldPosition="0">
        <references count="1">
          <reference field="4294967294" count="1" selected="0">
            <x v="2"/>
          </reference>
        </references>
      </pivotArea>
    </format>
    <format dxfId="286">
      <pivotArea field="0" dataOnly="0" labelOnly="1" grandRow="1" outline="0" axis="axisRow" fieldPosition="0">
        <references count="1">
          <reference field="4294967294" count="1" selected="0">
            <x v="3"/>
          </reference>
        </references>
      </pivotArea>
    </format>
    <format dxfId="285">
      <pivotArea field="0" dataOnly="0" labelOnly="1" grandRow="1" outline="0" axis="axisRow" fieldPosition="0">
        <references count="1">
          <reference field="4294967294" count="1" selected="0">
            <x v="4"/>
          </reference>
        </references>
      </pivotArea>
    </format>
    <format dxfId="284">
      <pivotArea field="0" dataOnly="0" labelOnly="1" grandRow="1" outline="0" axis="axisRow" fieldPosition="0">
        <references count="1">
          <reference field="4294967294" count="1" selected="0">
            <x v="5"/>
          </reference>
        </references>
      </pivotArea>
    </format>
    <format dxfId="283">
      <pivotArea field="0" dataOnly="0" labelOnly="1" grandRow="1" outline="0" axis="axisRow" fieldPosition="0">
        <references count="1">
          <reference field="4294967294" count="1" selected="0">
            <x v="6"/>
          </reference>
        </references>
      </pivotArea>
    </format>
    <format dxfId="282">
      <pivotArea field="0" dataOnly="0" labelOnly="1" grandRow="1" outline="0" axis="axisRow" fieldPosition="0">
        <references count="1">
          <reference field="4294967294" count="1" selected="0">
            <x v="7"/>
          </reference>
        </references>
      </pivotArea>
    </format>
    <format dxfId="281">
      <pivotArea field="0" dataOnly="0" labelOnly="1" grandRow="1" outline="0" axis="axisRow" fieldPosition="0">
        <references count="1">
          <reference field="4294967294" count="1" selected="0">
            <x v="8"/>
          </reference>
        </references>
      </pivotArea>
    </format>
    <format dxfId="280">
      <pivotArea field="0" dataOnly="0" labelOnly="1" grandRow="1" outline="0" axis="axisRow" fieldPosition="0">
        <references count="1">
          <reference field="4294967294" count="1" selected="0">
            <x v="9"/>
          </reference>
        </references>
      </pivotArea>
    </format>
    <format dxfId="279">
      <pivotArea field="0" dataOnly="0" labelOnly="1" grandRow="1" outline="0" axis="axisRow" fieldPosition="0">
        <references count="1">
          <reference field="4294967294" count="1" selected="0">
            <x v="10"/>
          </reference>
        </references>
      </pivotArea>
    </format>
    <format dxfId="278">
      <pivotArea field="0" dataOnly="0" labelOnly="1" grandRow="1" outline="0" axis="axisRow" fieldPosition="0">
        <references count="1">
          <reference field="4294967294" count="1" selected="0">
            <x v="11"/>
          </reference>
        </references>
      </pivotArea>
    </format>
    <format dxfId="277">
      <pivotArea field="0" dataOnly="0" labelOnly="1" grandRow="1" outline="0" axis="axisRow" fieldPosition="0">
        <references count="1">
          <reference field="4294967294" count="1" selected="0">
            <x v="12"/>
          </reference>
        </references>
      </pivotArea>
    </format>
    <format dxfId="276">
      <pivotArea field="0" dataOnly="0" labelOnly="1" grandRow="1" outline="0" axis="axisRow" fieldPosition="0">
        <references count="1">
          <reference field="4294967294" count="1" selected="0">
            <x v="13"/>
          </reference>
        </references>
      </pivotArea>
    </format>
    <format dxfId="275">
      <pivotArea field="0" dataOnly="0" labelOnly="1" grandRow="1" outline="0" axis="axisRow" fieldPosition="0">
        <references count="1">
          <reference field="4294967294" count="1" selected="0">
            <x v="14"/>
          </reference>
        </references>
      </pivotArea>
    </format>
    <format dxfId="274">
      <pivotArea field="0" dataOnly="0" labelOnly="1" grandRow="1" outline="0" axis="axisRow" fieldPosition="0">
        <references count="1">
          <reference field="4294967294" count="1" selected="0">
            <x v="15"/>
          </reference>
        </references>
      </pivotArea>
    </format>
    <format dxfId="273">
      <pivotArea field="0" dataOnly="0" labelOnly="1" grandRow="1" outline="0" axis="axisRow" fieldPosition="0">
        <references count="1">
          <reference field="4294967294" count="1" selected="0">
            <x v="16"/>
          </reference>
        </references>
      </pivotArea>
    </format>
    <format dxfId="272">
      <pivotArea field="0" dataOnly="0" labelOnly="1" grandRow="1" outline="0" axis="axisRow" fieldPosition="0">
        <references count="1">
          <reference field="4294967294" count="1" selected="0">
            <x v="17"/>
          </reference>
        </references>
      </pivotArea>
    </format>
    <format dxfId="271">
      <pivotArea field="0" dataOnly="0" labelOnly="1" grandRow="1" outline="0" axis="axisRow" fieldPosition="0">
        <references count="1">
          <reference field="4294967294" count="1" selected="0">
            <x v="18"/>
          </reference>
        </references>
      </pivotArea>
    </format>
    <format dxfId="270">
      <pivotArea field="0" dataOnly="0" labelOnly="1" grandRow="1" outline="0" axis="axisRow" fieldPosition="0">
        <references count="1">
          <reference field="4294967294" count="1" selected="0">
            <x v="19"/>
          </reference>
        </references>
      </pivotArea>
    </format>
    <format dxfId="269">
      <pivotArea field="0" dataOnly="0" labelOnly="1" grandRow="1" outline="0" axis="axisRow" fieldPosition="0">
        <references count="1">
          <reference field="4294967294" count="1" selected="0">
            <x v="20"/>
          </reference>
        </references>
      </pivotArea>
    </format>
    <format dxfId="268">
      <pivotArea field="0" dataOnly="0" labelOnly="1" grandRow="1" outline="0" axis="axisRow" fieldPosition="0">
        <references count="1">
          <reference field="4294967294" count="1" selected="0">
            <x v="21"/>
          </reference>
        </references>
      </pivotArea>
    </format>
    <format dxfId="267">
      <pivotArea field="0" dataOnly="0" labelOnly="1" grandRow="1" outline="0" axis="axisRow" fieldPosition="0">
        <references count="1">
          <reference field="4294967294" count="1" selected="0">
            <x v="22"/>
          </reference>
        </references>
      </pivotArea>
    </format>
    <format dxfId="266">
      <pivotArea field="0" dataOnly="0" labelOnly="1" grandRow="1" outline="0" axis="axisRow" fieldPosition="0">
        <references count="1">
          <reference field="4294967294" count="1" selected="0">
            <x v="23"/>
          </reference>
        </references>
      </pivotArea>
    </format>
    <format dxfId="265">
      <pivotArea field="0" dataOnly="0" labelOnly="1" grandRow="1" outline="0" axis="axisRow" fieldPosition="0">
        <references count="1">
          <reference field="4294967294" count="1" selected="0">
            <x v="24"/>
          </reference>
        </references>
      </pivotArea>
    </format>
    <format dxfId="264">
      <pivotArea field="0" dataOnly="0" labelOnly="1" grandRow="1" outline="0" axis="axisRow" fieldPosition="0">
        <references count="1">
          <reference field="4294967294" count="1" selected="0">
            <x v="25"/>
          </reference>
        </references>
      </pivotArea>
    </format>
    <format dxfId="263">
      <pivotArea field="0" dataOnly="0" labelOnly="1" grandRow="1" outline="0" axis="axisRow" fieldPosition="0">
        <references count="1">
          <reference field="4294967294" count="1" selected="0">
            <x v="26"/>
          </reference>
        </references>
      </pivotArea>
    </format>
    <format dxfId="262">
      <pivotArea field="0" dataOnly="0" labelOnly="1" grandRow="1" outline="0" axis="axisRow" fieldPosition="0">
        <references count="1">
          <reference field="4294967294" count="1" selected="0">
            <x v="27"/>
          </reference>
        </references>
      </pivotArea>
    </format>
    <format dxfId="261">
      <pivotArea field="0" dataOnly="0" grandRow="1" axis="axisRow" fieldPosition="0">
        <references count="1">
          <reference field="4294967294" count="1" selected="0">
            <x v="9"/>
          </reference>
        </references>
      </pivotArea>
    </format>
    <format dxfId="260">
      <pivotArea field="0" dataOnly="0" grandRow="1" axis="axisRow" fieldPosition="0">
        <references count="1">
          <reference field="4294967294" count="1" selected="0">
            <x v="11"/>
          </reference>
        </references>
      </pivotArea>
    </format>
    <format dxfId="259">
      <pivotArea field="0" dataOnly="0" grandRow="1" axis="axisRow" fieldPosition="0">
        <references count="1">
          <reference field="4294967294" count="1" selected="0">
            <x v="13"/>
          </reference>
        </references>
      </pivotArea>
    </format>
    <format dxfId="258">
      <pivotArea field="0" dataOnly="0" grandRow="1" axis="axisRow" fieldPosition="0">
        <references count="1">
          <reference field="4294967294" count="1" selected="0">
            <x v="15"/>
          </reference>
        </references>
      </pivotArea>
    </format>
    <format dxfId="257">
      <pivotArea field="0" dataOnly="0" grandRow="1" axis="axisRow" fieldPosition="0">
        <references count="1">
          <reference field="4294967294" count="1" selected="0">
            <x v="17"/>
          </reference>
        </references>
      </pivotArea>
    </format>
    <format dxfId="256">
      <pivotArea field="0" dataOnly="0" grandRow="1" axis="axisRow" fieldPosition="0">
        <references count="1">
          <reference field="4294967294" count="1" selected="0">
            <x v="19"/>
          </reference>
        </references>
      </pivotArea>
    </format>
    <format dxfId="255">
      <pivotArea field="0" dataOnly="0" grandRow="1" axis="axisRow" fieldPosition="0">
        <references count="1">
          <reference field="4294967294" count="1" selected="0">
            <x v="21"/>
          </reference>
        </references>
      </pivotArea>
    </format>
    <format dxfId="254">
      <pivotArea field="0" dataOnly="0" grandRow="1" axis="axisRow" fieldPosition="0">
        <references count="1">
          <reference field="4294967294" count="1" selected="0">
            <x v="23"/>
          </reference>
        </references>
      </pivotArea>
    </format>
    <format dxfId="253">
      <pivotArea field="0" dataOnly="0" grandRow="1" axis="axisRow" fieldPosition="0">
        <references count="1">
          <reference field="4294967294" count="1" selected="0">
            <x v="25"/>
          </reference>
        </references>
      </pivotArea>
    </format>
    <format dxfId="252">
      <pivotArea field="0" dataOnly="0" grandRow="1" axis="axisRow" fieldPosition="0">
        <references count="1">
          <reference field="4294967294" count="1" selected="0">
            <x v="27"/>
          </reference>
        </references>
      </pivotArea>
    </format>
    <format dxfId="251">
      <pivotArea field="0" dataOnly="0" grandRow="1" axis="axisRow" fieldPosition="0">
        <references count="1">
          <reference field="4294967294" count="28" selected="0">
            <x v="0"/>
            <x v="1"/>
            <x v="2"/>
            <x v="3"/>
            <x v="4"/>
            <x v="5"/>
            <x v="6"/>
            <x v="7"/>
            <x v="8"/>
            <x v="9"/>
            <x v="10"/>
            <x v="11"/>
            <x v="12"/>
            <x v="13"/>
            <x v="14"/>
            <x v="15"/>
            <x v="16"/>
            <x v="17"/>
            <x v="18"/>
            <x v="19"/>
            <x v="20"/>
            <x v="21"/>
            <x v="22"/>
            <x v="23"/>
            <x v="24"/>
            <x v="25"/>
            <x v="26"/>
            <x v="27"/>
          </reference>
        </references>
      </pivotArea>
    </format>
    <format dxfId="250">
      <pivotArea collapsedLevelsAreSubtotals="1" fieldPosition="0">
        <references count="2">
          <reference field="4294967294" count="1">
            <x v="1"/>
          </reference>
          <reference field="0" count="1" selected="0">
            <x v="0"/>
          </reference>
        </references>
      </pivotArea>
    </format>
    <format dxfId="249">
      <pivotArea dataOnly="0" labelOnly="1" outline="0" fieldPosition="0">
        <references count="2">
          <reference field="4294967294" count="1">
            <x v="1"/>
          </reference>
          <reference field="0" count="1" selected="0">
            <x v="0"/>
          </reference>
        </references>
      </pivotArea>
    </format>
    <format dxfId="248">
      <pivotArea field="0" dataOnly="0" labelOnly="1" grandRow="1" outline="0" axis="axisRow" fieldPosition="0">
        <references count="1">
          <reference field="4294967294" count="1" selected="0">
            <x v="0"/>
          </reference>
        </references>
      </pivotArea>
    </format>
    <format dxfId="247">
      <pivotArea field="0" dataOnly="0" labelOnly="1" grandRow="1" outline="0" axis="axisRow" fieldPosition="0">
        <references count="1">
          <reference field="4294967294" count="1" selected="0">
            <x v="1"/>
          </reference>
        </references>
      </pivotArea>
    </format>
    <format dxfId="246">
      <pivotArea field="0" dataOnly="0" labelOnly="1" grandRow="1" outline="0" axis="axisRow" fieldPosition="0">
        <references count="1">
          <reference field="4294967294" count="1" selected="0">
            <x v="2"/>
          </reference>
        </references>
      </pivotArea>
    </format>
    <format dxfId="245">
      <pivotArea field="0" dataOnly="0" labelOnly="1" grandRow="1" outline="0" axis="axisRow" fieldPosition="0">
        <references count="1">
          <reference field="4294967294" count="1" selected="0">
            <x v="3"/>
          </reference>
        </references>
      </pivotArea>
    </format>
    <format dxfId="244">
      <pivotArea field="0" dataOnly="0" labelOnly="1" grandRow="1" outline="0" axis="axisRow" fieldPosition="0">
        <references count="1">
          <reference field="4294967294" count="1" selected="0">
            <x v="4"/>
          </reference>
        </references>
      </pivotArea>
    </format>
    <format dxfId="243">
      <pivotArea field="0" dataOnly="0" labelOnly="1" grandRow="1" outline="0" axis="axisRow" fieldPosition="0">
        <references count="1">
          <reference field="4294967294" count="1" selected="0">
            <x v="5"/>
          </reference>
        </references>
      </pivotArea>
    </format>
    <format dxfId="242">
      <pivotArea field="0" dataOnly="0" labelOnly="1" grandRow="1" outline="0" axis="axisRow" fieldPosition="0">
        <references count="1">
          <reference field="4294967294" count="1" selected="0">
            <x v="6"/>
          </reference>
        </references>
      </pivotArea>
    </format>
    <format dxfId="241">
      <pivotArea field="0" dataOnly="0" labelOnly="1" grandRow="1" outline="0" axis="axisRow" fieldPosition="0">
        <references count="1">
          <reference field="4294967294" count="1" selected="0">
            <x v="7"/>
          </reference>
        </references>
      </pivotArea>
    </format>
    <format dxfId="240">
      <pivotArea field="0" dataOnly="0" labelOnly="1" grandRow="1" outline="0" axis="axisRow" fieldPosition="0">
        <references count="1">
          <reference field="4294967294" count="1" selected="0">
            <x v="8"/>
          </reference>
        </references>
      </pivotArea>
    </format>
    <format dxfId="239">
      <pivotArea field="0" dataOnly="0" labelOnly="1" grandRow="1" outline="0" axis="axisRow" fieldPosition="0">
        <references count="1">
          <reference field="4294967294" count="1" selected="0">
            <x v="9"/>
          </reference>
        </references>
      </pivotArea>
    </format>
    <format dxfId="238">
      <pivotArea field="0" dataOnly="0" labelOnly="1" grandRow="1" outline="0" axis="axisRow" fieldPosition="0">
        <references count="1">
          <reference field="4294967294" count="1" selected="0">
            <x v="10"/>
          </reference>
        </references>
      </pivotArea>
    </format>
    <format dxfId="237">
      <pivotArea field="0" dataOnly="0" labelOnly="1" grandRow="1" outline="0" axis="axisRow" fieldPosition="0">
        <references count="1">
          <reference field="4294967294" count="1" selected="0">
            <x v="11"/>
          </reference>
        </references>
      </pivotArea>
    </format>
    <format dxfId="236">
      <pivotArea field="0" dataOnly="0" labelOnly="1" grandRow="1" outline="0" axis="axisRow" fieldPosition="0">
        <references count="1">
          <reference field="4294967294" count="1" selected="0">
            <x v="12"/>
          </reference>
        </references>
      </pivotArea>
    </format>
    <format dxfId="235">
      <pivotArea field="0" dataOnly="0" labelOnly="1" grandRow="1" outline="0" axis="axisRow" fieldPosition="0">
        <references count="1">
          <reference field="4294967294" count="1" selected="0">
            <x v="13"/>
          </reference>
        </references>
      </pivotArea>
    </format>
    <format dxfId="234">
      <pivotArea field="0" dataOnly="0" labelOnly="1" grandRow="1" outline="0" axis="axisRow" fieldPosition="0">
        <references count="1">
          <reference field="4294967294" count="1" selected="0">
            <x v="14"/>
          </reference>
        </references>
      </pivotArea>
    </format>
    <format dxfId="233">
      <pivotArea field="0" dataOnly="0" labelOnly="1" grandRow="1" outline="0" axis="axisRow" fieldPosition="0">
        <references count="1">
          <reference field="4294967294" count="1" selected="0">
            <x v="15"/>
          </reference>
        </references>
      </pivotArea>
    </format>
    <format dxfId="232">
      <pivotArea field="0" dataOnly="0" labelOnly="1" grandRow="1" outline="0" axis="axisRow" fieldPosition="0">
        <references count="1">
          <reference field="4294967294" count="1" selected="0">
            <x v="16"/>
          </reference>
        </references>
      </pivotArea>
    </format>
    <format dxfId="231">
      <pivotArea field="0" dataOnly="0" labelOnly="1" grandRow="1" outline="0" axis="axisRow" fieldPosition="0">
        <references count="1">
          <reference field="4294967294" count="1" selected="0">
            <x v="17"/>
          </reference>
        </references>
      </pivotArea>
    </format>
    <format dxfId="230">
      <pivotArea field="0" dataOnly="0" labelOnly="1" grandRow="1" outline="0" axis="axisRow" fieldPosition="0">
        <references count="1">
          <reference field="4294967294" count="1" selected="0">
            <x v="18"/>
          </reference>
        </references>
      </pivotArea>
    </format>
    <format dxfId="229">
      <pivotArea field="0" dataOnly="0" labelOnly="1" grandRow="1" outline="0" axis="axisRow" fieldPosition="0">
        <references count="1">
          <reference field="4294967294" count="1" selected="0">
            <x v="19"/>
          </reference>
        </references>
      </pivotArea>
    </format>
    <format dxfId="228">
      <pivotArea field="0" dataOnly="0" labelOnly="1" grandRow="1" outline="0" axis="axisRow" fieldPosition="0">
        <references count="1">
          <reference field="4294967294" count="1" selected="0">
            <x v="20"/>
          </reference>
        </references>
      </pivotArea>
    </format>
    <format dxfId="227">
      <pivotArea field="0" dataOnly="0" labelOnly="1" grandRow="1" outline="0" axis="axisRow" fieldPosition="0">
        <references count="1">
          <reference field="4294967294" count="1" selected="0">
            <x v="21"/>
          </reference>
        </references>
      </pivotArea>
    </format>
    <format dxfId="226">
      <pivotArea field="0" dataOnly="0" labelOnly="1" grandRow="1" outline="0" axis="axisRow" fieldPosition="0">
        <references count="1">
          <reference field="4294967294" count="1" selected="0">
            <x v="22"/>
          </reference>
        </references>
      </pivotArea>
    </format>
    <format dxfId="225">
      <pivotArea field="0" dataOnly="0" labelOnly="1" grandRow="1" outline="0" axis="axisRow" fieldPosition="0">
        <references count="1">
          <reference field="4294967294" count="1" selected="0">
            <x v="23"/>
          </reference>
        </references>
      </pivotArea>
    </format>
    <format dxfId="224">
      <pivotArea field="0" dataOnly="0" labelOnly="1" grandRow="1" outline="0" axis="axisRow" fieldPosition="0">
        <references count="1">
          <reference field="4294967294" count="1" selected="0">
            <x v="24"/>
          </reference>
        </references>
      </pivotArea>
    </format>
    <format dxfId="223">
      <pivotArea field="0" dataOnly="0" labelOnly="1" grandRow="1" outline="0" axis="axisRow" fieldPosition="0">
        <references count="1">
          <reference field="4294967294" count="1" selected="0">
            <x v="25"/>
          </reference>
        </references>
      </pivotArea>
    </format>
    <format dxfId="222">
      <pivotArea field="0" dataOnly="0" labelOnly="1" grandRow="1" outline="0" axis="axisRow" fieldPosition="0">
        <references count="1">
          <reference field="4294967294" count="1" selected="0">
            <x v="26"/>
          </reference>
        </references>
      </pivotArea>
    </format>
    <format dxfId="221">
      <pivotArea field="0" dataOnly="0" labelOnly="1" grandRow="1" outline="0" axis="axisRow" fieldPosition="0">
        <references count="1">
          <reference field="4294967294" count="1" selected="0">
            <x v="27"/>
          </reference>
        </references>
      </pivotArea>
    </format>
    <format dxfId="220">
      <pivotArea field="0" dataOnly="0" labelOnly="1" grandRow="1" outline="0" axis="axisRow" fieldPosition="0">
        <references count="1">
          <reference field="4294967294" count="1" selected="0">
            <x v="0"/>
          </reference>
        </references>
      </pivotArea>
    </format>
    <format dxfId="219">
      <pivotArea field="0" dataOnly="0" labelOnly="1" grandRow="1" outline="0" axis="axisRow" fieldPosition="0">
        <references count="1">
          <reference field="4294967294" count="1" selected="0">
            <x v="1"/>
          </reference>
        </references>
      </pivotArea>
    </format>
    <format dxfId="218">
      <pivotArea field="0" dataOnly="0" labelOnly="1" grandRow="1" outline="0" axis="axisRow" fieldPosition="0">
        <references count="1">
          <reference field="4294967294" count="1" selected="0">
            <x v="2"/>
          </reference>
        </references>
      </pivotArea>
    </format>
    <format dxfId="217">
      <pivotArea field="0" dataOnly="0" labelOnly="1" grandRow="1" outline="0" axis="axisRow" fieldPosition="0">
        <references count="1">
          <reference field="4294967294" count="1" selected="0">
            <x v="3"/>
          </reference>
        </references>
      </pivotArea>
    </format>
    <format dxfId="216">
      <pivotArea field="0" dataOnly="0" labelOnly="1" grandRow="1" outline="0" axis="axisRow" fieldPosition="0">
        <references count="1">
          <reference field="4294967294" count="1" selected="0">
            <x v="4"/>
          </reference>
        </references>
      </pivotArea>
    </format>
    <format dxfId="215">
      <pivotArea field="0" dataOnly="0" labelOnly="1" grandRow="1" outline="0" axis="axisRow" fieldPosition="0">
        <references count="1">
          <reference field="4294967294" count="1" selected="0">
            <x v="5"/>
          </reference>
        </references>
      </pivotArea>
    </format>
    <format dxfId="214">
      <pivotArea field="0" dataOnly="0" labelOnly="1" grandRow="1" outline="0" axis="axisRow" fieldPosition="0">
        <references count="1">
          <reference field="4294967294" count="1" selected="0">
            <x v="6"/>
          </reference>
        </references>
      </pivotArea>
    </format>
    <format dxfId="213">
      <pivotArea field="0" dataOnly="0" labelOnly="1" grandRow="1" outline="0" axis="axisRow" fieldPosition="0">
        <references count="1">
          <reference field="4294967294" count="1" selected="0">
            <x v="7"/>
          </reference>
        </references>
      </pivotArea>
    </format>
    <format dxfId="212">
      <pivotArea field="0" dataOnly="0" labelOnly="1" grandRow="1" outline="0" axis="axisRow" fieldPosition="0">
        <references count="1">
          <reference field="4294967294" count="1" selected="0">
            <x v="8"/>
          </reference>
        </references>
      </pivotArea>
    </format>
    <format dxfId="211">
      <pivotArea field="0" dataOnly="0" labelOnly="1" grandRow="1" outline="0" axis="axisRow" fieldPosition="0">
        <references count="1">
          <reference field="4294967294" count="1" selected="0">
            <x v="9"/>
          </reference>
        </references>
      </pivotArea>
    </format>
    <format dxfId="210">
      <pivotArea field="0" dataOnly="0" labelOnly="1" grandRow="1" outline="0" axis="axisRow" fieldPosition="0">
        <references count="1">
          <reference field="4294967294" count="1" selected="0">
            <x v="10"/>
          </reference>
        </references>
      </pivotArea>
    </format>
    <format dxfId="209">
      <pivotArea field="0" dataOnly="0" labelOnly="1" grandRow="1" outline="0" axis="axisRow" fieldPosition="0">
        <references count="1">
          <reference field="4294967294" count="1" selected="0">
            <x v="11"/>
          </reference>
        </references>
      </pivotArea>
    </format>
    <format dxfId="208">
      <pivotArea field="0" dataOnly="0" labelOnly="1" grandRow="1" outline="0" axis="axisRow" fieldPosition="0">
        <references count="1">
          <reference field="4294967294" count="1" selected="0">
            <x v="12"/>
          </reference>
        </references>
      </pivotArea>
    </format>
    <format dxfId="207">
      <pivotArea field="0" dataOnly="0" labelOnly="1" grandRow="1" outline="0" axis="axisRow" fieldPosition="0">
        <references count="1">
          <reference field="4294967294" count="1" selected="0">
            <x v="13"/>
          </reference>
        </references>
      </pivotArea>
    </format>
    <format dxfId="206">
      <pivotArea field="0" dataOnly="0" labelOnly="1" grandRow="1" outline="0" axis="axisRow" fieldPosition="0">
        <references count="1">
          <reference field="4294967294" count="1" selected="0">
            <x v="14"/>
          </reference>
        </references>
      </pivotArea>
    </format>
    <format dxfId="205">
      <pivotArea field="0" dataOnly="0" labelOnly="1" grandRow="1" outline="0" axis="axisRow" fieldPosition="0">
        <references count="1">
          <reference field="4294967294" count="1" selected="0">
            <x v="15"/>
          </reference>
        </references>
      </pivotArea>
    </format>
    <format dxfId="204">
      <pivotArea field="0" dataOnly="0" labelOnly="1" grandRow="1" outline="0" axis="axisRow" fieldPosition="0">
        <references count="1">
          <reference field="4294967294" count="1" selected="0">
            <x v="16"/>
          </reference>
        </references>
      </pivotArea>
    </format>
    <format dxfId="203">
      <pivotArea field="0" dataOnly="0" labelOnly="1" grandRow="1" outline="0" axis="axisRow" fieldPosition="0">
        <references count="1">
          <reference field="4294967294" count="1" selected="0">
            <x v="17"/>
          </reference>
        </references>
      </pivotArea>
    </format>
    <format dxfId="202">
      <pivotArea field="0" dataOnly="0" labelOnly="1" grandRow="1" outline="0" axis="axisRow" fieldPosition="0">
        <references count="1">
          <reference field="4294967294" count="1" selected="0">
            <x v="18"/>
          </reference>
        </references>
      </pivotArea>
    </format>
    <format dxfId="201">
      <pivotArea field="0" dataOnly="0" labelOnly="1" grandRow="1" outline="0" axis="axisRow" fieldPosition="0">
        <references count="1">
          <reference field="4294967294" count="1" selected="0">
            <x v="19"/>
          </reference>
        </references>
      </pivotArea>
    </format>
    <format dxfId="200">
      <pivotArea field="0" dataOnly="0" labelOnly="1" grandRow="1" outline="0" axis="axisRow" fieldPosition="0">
        <references count="1">
          <reference field="4294967294" count="1" selected="0">
            <x v="20"/>
          </reference>
        </references>
      </pivotArea>
    </format>
    <format dxfId="199">
      <pivotArea field="0" dataOnly="0" labelOnly="1" grandRow="1" outline="0" axis="axisRow" fieldPosition="0">
        <references count="1">
          <reference field="4294967294" count="1" selected="0">
            <x v="21"/>
          </reference>
        </references>
      </pivotArea>
    </format>
    <format dxfId="198">
      <pivotArea field="0" dataOnly="0" labelOnly="1" grandRow="1" outline="0" axis="axisRow" fieldPosition="0">
        <references count="1">
          <reference field="4294967294" count="1" selected="0">
            <x v="22"/>
          </reference>
        </references>
      </pivotArea>
    </format>
    <format dxfId="197">
      <pivotArea field="0" dataOnly="0" labelOnly="1" grandRow="1" outline="0" axis="axisRow" fieldPosition="0">
        <references count="1">
          <reference field="4294967294" count="1" selected="0">
            <x v="23"/>
          </reference>
        </references>
      </pivotArea>
    </format>
    <format dxfId="196">
      <pivotArea field="0" dataOnly="0" labelOnly="1" grandRow="1" outline="0" axis="axisRow" fieldPosition="0">
        <references count="1">
          <reference field="4294967294" count="1" selected="0">
            <x v="24"/>
          </reference>
        </references>
      </pivotArea>
    </format>
    <format dxfId="195">
      <pivotArea field="0" dataOnly="0" labelOnly="1" grandRow="1" outline="0" axis="axisRow" fieldPosition="0">
        <references count="1">
          <reference field="4294967294" count="1" selected="0">
            <x v="25"/>
          </reference>
        </references>
      </pivotArea>
    </format>
    <format dxfId="194">
      <pivotArea field="0" dataOnly="0" labelOnly="1" grandRow="1" outline="0" axis="axisRow" fieldPosition="0">
        <references count="1">
          <reference field="4294967294" count="1" selected="0">
            <x v="26"/>
          </reference>
        </references>
      </pivotArea>
    </format>
    <format dxfId="193">
      <pivotArea field="0" dataOnly="0" labelOnly="1" grandRow="1" outline="0" axis="axisRow" fieldPosition="0">
        <references count="1">
          <reference field="4294967294" count="1" selected="0">
            <x v="2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2" dataOnRows="1" applyNumberFormats="0" applyBorderFormats="0" applyFontFormats="0" applyPatternFormats="0" applyAlignmentFormats="0" applyWidthHeightFormats="1" dataCaption="Values" updatedVersion="4" minRefreshableVersion="3" useAutoFormatting="1" colGrandTotals="0" itemPrintTitles="1" createdVersion="4" indent="0" outline="1" outlineData="1" multipleFieldFilters="0">
  <location ref="A1:Q138" firstHeaderRow="1" firstDataRow="3" firstDataCol="1"/>
  <pivotFields count="132">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axis="axisCol" showAll="0">
      <items count="15">
        <item x="0"/>
        <item x="1"/>
        <item x="2"/>
        <item x="3"/>
        <item x="4"/>
        <item x="5"/>
        <item x="11"/>
        <item x="6"/>
        <item x="7"/>
        <item x="8"/>
        <item x="13"/>
        <item x="9"/>
        <item x="10"/>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axis="axisCol" showAll="0">
      <items count="5">
        <item n="Four-Year" x="1"/>
        <item n="Two-Year" x="2"/>
        <item n="Technical" x="3"/>
        <item h="1" x="0"/>
        <item t="default"/>
      </items>
    </pivotField>
  </pivotFields>
  <rowFields count="2">
    <field x="0"/>
    <field x="-2"/>
  </rowFields>
  <rowItems count="135">
    <i>
      <x/>
    </i>
    <i r="1">
      <x/>
    </i>
    <i r="1" i="1">
      <x v="1"/>
    </i>
    <i r="1" i="2">
      <x v="2"/>
    </i>
    <i r="1" i="3">
      <x v="3"/>
    </i>
    <i r="1" i="4">
      <x v="4"/>
    </i>
    <i r="1" i="5">
      <x v="5"/>
    </i>
    <i r="1" i="6">
      <x v="6"/>
    </i>
    <i>
      <x v="1"/>
    </i>
    <i r="1">
      <x/>
    </i>
    <i r="1" i="1">
      <x v="1"/>
    </i>
    <i r="1" i="2">
      <x v="2"/>
    </i>
    <i r="1" i="3">
      <x v="3"/>
    </i>
    <i r="1" i="4">
      <x v="4"/>
    </i>
    <i r="1" i="5">
      <x v="5"/>
    </i>
    <i r="1" i="6">
      <x v="6"/>
    </i>
    <i>
      <x v="2"/>
    </i>
    <i r="1">
      <x/>
    </i>
    <i r="1" i="1">
      <x v="1"/>
    </i>
    <i r="1" i="2">
      <x v="2"/>
    </i>
    <i r="1" i="3">
      <x v="3"/>
    </i>
    <i r="1" i="4">
      <x v="4"/>
    </i>
    <i r="1" i="5">
      <x v="5"/>
    </i>
    <i r="1" i="6">
      <x v="6"/>
    </i>
    <i>
      <x v="3"/>
    </i>
    <i r="1">
      <x/>
    </i>
    <i r="1" i="1">
      <x v="1"/>
    </i>
    <i r="1" i="2">
      <x v="2"/>
    </i>
    <i r="1" i="3">
      <x v="3"/>
    </i>
    <i r="1" i="4">
      <x v="4"/>
    </i>
    <i r="1" i="5">
      <x v="5"/>
    </i>
    <i r="1" i="6">
      <x v="6"/>
    </i>
    <i>
      <x v="4"/>
    </i>
    <i r="1">
      <x/>
    </i>
    <i r="1" i="1">
      <x v="1"/>
    </i>
    <i r="1" i="2">
      <x v="2"/>
    </i>
    <i r="1" i="3">
      <x v="3"/>
    </i>
    <i r="1" i="4">
      <x v="4"/>
    </i>
    <i r="1" i="5">
      <x v="5"/>
    </i>
    <i r="1" i="6">
      <x v="6"/>
    </i>
    <i>
      <x v="5"/>
    </i>
    <i r="1">
      <x/>
    </i>
    <i r="1" i="1">
      <x v="1"/>
    </i>
    <i r="1" i="2">
      <x v="2"/>
    </i>
    <i r="1" i="3">
      <x v="3"/>
    </i>
    <i r="1" i="4">
      <x v="4"/>
    </i>
    <i r="1" i="5">
      <x v="5"/>
    </i>
    <i r="1" i="6">
      <x v="6"/>
    </i>
    <i>
      <x v="6"/>
    </i>
    <i r="1">
      <x/>
    </i>
    <i r="1" i="1">
      <x v="1"/>
    </i>
    <i r="1" i="2">
      <x v="2"/>
    </i>
    <i r="1" i="3">
      <x v="3"/>
    </i>
    <i r="1" i="4">
      <x v="4"/>
    </i>
    <i r="1" i="5">
      <x v="5"/>
    </i>
    <i r="1" i="6">
      <x v="6"/>
    </i>
    <i>
      <x v="7"/>
    </i>
    <i r="1">
      <x/>
    </i>
    <i r="1" i="1">
      <x v="1"/>
    </i>
    <i r="1" i="2">
      <x v="2"/>
    </i>
    <i r="1" i="3">
      <x v="3"/>
    </i>
    <i r="1" i="4">
      <x v="4"/>
    </i>
    <i r="1" i="5">
      <x v="5"/>
    </i>
    <i r="1" i="6">
      <x v="6"/>
    </i>
    <i>
      <x v="8"/>
    </i>
    <i r="1">
      <x/>
    </i>
    <i r="1" i="1">
      <x v="1"/>
    </i>
    <i r="1" i="2">
      <x v="2"/>
    </i>
    <i r="1" i="3">
      <x v="3"/>
    </i>
    <i r="1" i="4">
      <x v="4"/>
    </i>
    <i r="1" i="5">
      <x v="5"/>
    </i>
    <i r="1" i="6">
      <x v="6"/>
    </i>
    <i>
      <x v="9"/>
    </i>
    <i r="1">
      <x/>
    </i>
    <i r="1" i="1">
      <x v="1"/>
    </i>
    <i r="1" i="2">
      <x v="2"/>
    </i>
    <i r="1" i="3">
      <x v="3"/>
    </i>
    <i r="1" i="4">
      <x v="4"/>
    </i>
    <i r="1" i="5">
      <x v="5"/>
    </i>
    <i r="1" i="6">
      <x v="6"/>
    </i>
    <i>
      <x v="10"/>
    </i>
    <i r="1">
      <x/>
    </i>
    <i r="1" i="1">
      <x v="1"/>
    </i>
    <i r="1" i="2">
      <x v="2"/>
    </i>
    <i r="1" i="3">
      <x v="3"/>
    </i>
    <i r="1" i="4">
      <x v="4"/>
    </i>
    <i r="1" i="5">
      <x v="5"/>
    </i>
    <i r="1" i="6">
      <x v="6"/>
    </i>
    <i>
      <x v="11"/>
    </i>
    <i r="1">
      <x/>
    </i>
    <i r="1" i="1">
      <x v="1"/>
    </i>
    <i r="1" i="2">
      <x v="2"/>
    </i>
    <i r="1" i="3">
      <x v="3"/>
    </i>
    <i r="1" i="4">
      <x v="4"/>
    </i>
    <i r="1" i="5">
      <x v="5"/>
    </i>
    <i r="1" i="6">
      <x v="6"/>
    </i>
    <i>
      <x v="12"/>
    </i>
    <i r="1">
      <x/>
    </i>
    <i r="1" i="1">
      <x v="1"/>
    </i>
    <i r="1" i="2">
      <x v="2"/>
    </i>
    <i r="1" i="3">
      <x v="3"/>
    </i>
    <i r="1" i="4">
      <x v="4"/>
    </i>
    <i r="1" i="5">
      <x v="5"/>
    </i>
    <i r="1" i="6">
      <x v="6"/>
    </i>
    <i>
      <x v="13"/>
    </i>
    <i r="1">
      <x/>
    </i>
    <i r="1" i="1">
      <x v="1"/>
    </i>
    <i r="1" i="2">
      <x v="2"/>
    </i>
    <i r="1" i="3">
      <x v="3"/>
    </i>
    <i r="1" i="4">
      <x v="4"/>
    </i>
    <i r="1" i="5">
      <x v="5"/>
    </i>
    <i r="1" i="6">
      <x v="6"/>
    </i>
    <i>
      <x v="14"/>
    </i>
    <i r="1">
      <x/>
    </i>
    <i r="1" i="1">
      <x v="1"/>
    </i>
    <i r="1" i="2">
      <x v="2"/>
    </i>
    <i r="1" i="3">
      <x v="3"/>
    </i>
    <i r="1" i="4">
      <x v="4"/>
    </i>
    <i r="1" i="5">
      <x v="5"/>
    </i>
    <i r="1" i="6">
      <x v="6"/>
    </i>
    <i>
      <x v="15"/>
    </i>
    <i r="1">
      <x/>
    </i>
    <i r="1" i="1">
      <x v="1"/>
    </i>
    <i r="1" i="2">
      <x v="2"/>
    </i>
    <i r="1" i="3">
      <x v="3"/>
    </i>
    <i r="1" i="4">
      <x v="4"/>
    </i>
    <i r="1" i="5">
      <x v="5"/>
    </i>
    <i r="1" i="6">
      <x v="6"/>
    </i>
    <i t="grand">
      <x/>
    </i>
    <i t="grand" i="1">
      <x/>
    </i>
    <i t="grand" i="2">
      <x/>
    </i>
    <i t="grand" i="3">
      <x/>
    </i>
    <i t="grand" i="4">
      <x/>
    </i>
    <i t="grand" i="5">
      <x/>
    </i>
    <i t="grand" i="6">
      <x/>
    </i>
  </rowItems>
  <colFields count="2">
    <field x="131"/>
    <field x="4"/>
  </colFields>
  <colItems count="16">
    <i>
      <x/>
      <x/>
    </i>
    <i r="1">
      <x v="1"/>
    </i>
    <i r="1">
      <x v="2"/>
    </i>
    <i r="1">
      <x v="3"/>
    </i>
    <i r="1">
      <x v="4"/>
    </i>
    <i r="1">
      <x v="5"/>
    </i>
    <i t="default">
      <x/>
    </i>
    <i>
      <x v="1"/>
      <x v="6"/>
    </i>
    <i r="1">
      <x v="7"/>
    </i>
    <i r="1">
      <x v="8"/>
    </i>
    <i r="1">
      <x v="9"/>
    </i>
    <i r="1">
      <x v="10"/>
    </i>
    <i t="default">
      <x v="1"/>
    </i>
    <i>
      <x v="2"/>
      <x v="11"/>
    </i>
    <i r="1">
      <x v="12"/>
    </i>
    <i t="default">
      <x v="2"/>
    </i>
  </colItems>
  <dataFields count="7">
    <dataField name="Sum of New # Prof Tot" fld="104" baseField="0" baseItem="0" numFmtId="164"/>
    <dataField name="Sum of New # Asc Tot" fld="106" baseField="0" baseItem="0" numFmtId="164"/>
    <dataField name="Sum of New # Ast Tot" fld="108" baseField="0" baseItem="0" numFmtId="164"/>
    <dataField name="Sum of New # Inst Tot" fld="110" baseField="0" baseItem="0" numFmtId="164"/>
    <dataField name="Sum of New # Oth Tot" fld="112" baseField="0" baseItem="0" numFmtId="164"/>
    <dataField name="Sum of New # SR Tot" fld="114" baseField="0" baseItem="0" numFmtId="164"/>
    <dataField name="Sum of New # AR Tot" fld="116" baseField="0" baseItem="0" numFmtId="164"/>
  </dataFields>
  <formats count="29">
    <format dxfId="192">
      <pivotArea type="all" dataOnly="0" outline="0" fieldPosition="0"/>
    </format>
    <format dxfId="191">
      <pivotArea type="all" dataOnly="0" outline="0" fieldPosition="0"/>
    </format>
    <format dxfId="190">
      <pivotArea collapsedLevelsAreSubtotals="1" fieldPosition="0">
        <references count="1">
          <reference field="0" count="1">
            <x v="9"/>
          </reference>
        </references>
      </pivotArea>
    </format>
    <format dxfId="189">
      <pivotArea collapsedLevelsAreSubtotals="1" fieldPosition="0">
        <references count="2">
          <reference field="4294967294" count="6">
            <x v="0"/>
            <x v="1"/>
            <x v="2"/>
            <x v="3"/>
            <x v="4"/>
            <x v="6"/>
          </reference>
          <reference field="0" count="1" selected="0">
            <x v="9"/>
          </reference>
        </references>
      </pivotArea>
    </format>
    <format dxfId="188">
      <pivotArea field="0" grandRow="1" outline="0" collapsedLevelsAreSubtotals="1" axis="axisRow" fieldPosition="0">
        <references count="1">
          <reference field="4294967294" count="6" selected="0">
            <x v="0"/>
            <x v="1"/>
            <x v="2"/>
            <x v="3"/>
            <x v="4"/>
            <x v="6"/>
          </reference>
        </references>
      </pivotArea>
    </format>
    <format dxfId="187">
      <pivotArea outline="0" collapsedLevelsAreSubtotals="1" fieldPosition="0"/>
    </format>
    <format dxfId="186">
      <pivotArea field="131" type="button" dataOnly="0" labelOnly="1" outline="0" axis="axisCol" fieldPosition="0"/>
    </format>
    <format dxfId="185">
      <pivotArea field="4" type="button" dataOnly="0" labelOnly="1" outline="0" axis="axisCol" fieldPosition="1"/>
    </format>
    <format dxfId="184">
      <pivotArea type="topRight" dataOnly="0" labelOnly="1" outline="0" fieldPosition="0"/>
    </format>
    <format dxfId="183">
      <pivotArea dataOnly="0" labelOnly="1" fieldPosition="0">
        <references count="1">
          <reference field="131" count="0"/>
        </references>
      </pivotArea>
    </format>
    <format dxfId="182">
      <pivotArea dataOnly="0" labelOnly="1" fieldPosition="0">
        <references count="1">
          <reference field="131" count="0" defaultSubtotal="1"/>
        </references>
      </pivotArea>
    </format>
    <format dxfId="181">
      <pivotArea dataOnly="0" labelOnly="1" fieldPosition="0">
        <references count="2">
          <reference field="4" count="6">
            <x v="0"/>
            <x v="1"/>
            <x v="2"/>
            <x v="3"/>
            <x v="4"/>
            <x v="5"/>
          </reference>
          <reference field="131" count="1" selected="0">
            <x v="0"/>
          </reference>
        </references>
      </pivotArea>
    </format>
    <format dxfId="180">
      <pivotArea dataOnly="0" labelOnly="1" fieldPosition="0">
        <references count="2">
          <reference field="4" count="5">
            <x v="6"/>
            <x v="7"/>
            <x v="8"/>
            <x v="9"/>
            <x v="10"/>
          </reference>
          <reference field="131" count="1" selected="0">
            <x v="1"/>
          </reference>
        </references>
      </pivotArea>
    </format>
    <format dxfId="179">
      <pivotArea dataOnly="0" labelOnly="1" fieldPosition="0">
        <references count="2">
          <reference field="4" count="2">
            <x v="11"/>
            <x v="12"/>
          </reference>
          <reference field="131" count="1" selected="0">
            <x v="2"/>
          </reference>
        </references>
      </pivotArea>
    </format>
    <format dxfId="178">
      <pivotArea field="0" dataOnly="0" labelOnly="1" grandRow="1" outline="0" axis="axisRow" fieldPosition="0">
        <references count="1">
          <reference field="4294967294" count="1" selected="0">
            <x v="0"/>
          </reference>
        </references>
      </pivotArea>
    </format>
    <format dxfId="177">
      <pivotArea field="0" dataOnly="0" labelOnly="1" grandRow="1" outline="0" axis="axisRow" fieldPosition="0">
        <references count="1">
          <reference field="4294967294" count="1" selected="0">
            <x v="1"/>
          </reference>
        </references>
      </pivotArea>
    </format>
    <format dxfId="176">
      <pivotArea field="0" dataOnly="0" labelOnly="1" grandRow="1" outline="0" axis="axisRow" fieldPosition="0">
        <references count="1">
          <reference field="4294967294" count="1" selected="0">
            <x v="2"/>
          </reference>
        </references>
      </pivotArea>
    </format>
    <format dxfId="175">
      <pivotArea field="0" dataOnly="0" labelOnly="1" grandRow="1" outline="0" axis="axisRow" fieldPosition="0">
        <references count="1">
          <reference field="4294967294" count="1" selected="0">
            <x v="3"/>
          </reference>
        </references>
      </pivotArea>
    </format>
    <format dxfId="174">
      <pivotArea field="0" dataOnly="0" labelOnly="1" grandRow="1" outline="0" axis="axisRow" fieldPosition="0">
        <references count="1">
          <reference field="4294967294" count="1" selected="0">
            <x v="4"/>
          </reference>
        </references>
      </pivotArea>
    </format>
    <format dxfId="173">
      <pivotArea field="0" dataOnly="0" labelOnly="1" grandRow="1" outline="0" axis="axisRow" fieldPosition="0">
        <references count="1">
          <reference field="4294967294" count="1" selected="0">
            <x v="6"/>
          </reference>
        </references>
      </pivotArea>
    </format>
    <format dxfId="172">
      <pivotArea field="0" dataOnly="0" grandRow="1" axis="axisRow" fieldPosition="0">
        <references count="1">
          <reference field="4294967294" count="1" selected="0">
            <x v="1"/>
          </reference>
        </references>
      </pivotArea>
    </format>
    <format dxfId="171">
      <pivotArea field="0" grandRow="1" outline="0" collapsedLevelsAreSubtotals="1" axis="axisRow" fieldPosition="0">
        <references count="1">
          <reference field="4294967294" count="2" selected="0">
            <x v="1"/>
            <x v="2"/>
          </reference>
        </references>
      </pivotArea>
    </format>
    <format dxfId="170">
      <pivotArea field="0" dataOnly="0" labelOnly="1" grandRow="1" outline="0" axis="axisRow" fieldPosition="0">
        <references count="1">
          <reference field="4294967294" count="1" selected="0">
            <x v="0"/>
          </reference>
        </references>
      </pivotArea>
    </format>
    <format dxfId="169">
      <pivotArea field="0" dataOnly="0" labelOnly="1" grandRow="1" outline="0" axis="axisRow" fieldPosition="0">
        <references count="1">
          <reference field="4294967294" count="1" selected="0">
            <x v="1"/>
          </reference>
        </references>
      </pivotArea>
    </format>
    <format dxfId="168">
      <pivotArea field="0" dataOnly="0" labelOnly="1" grandRow="1" outline="0" axis="axisRow" fieldPosition="0">
        <references count="1">
          <reference field="4294967294" count="1" selected="0">
            <x v="2"/>
          </reference>
        </references>
      </pivotArea>
    </format>
    <format dxfId="167">
      <pivotArea field="0" dataOnly="0" labelOnly="1" grandRow="1" outline="0" axis="axisRow" fieldPosition="0">
        <references count="1">
          <reference field="4294967294" count="1" selected="0">
            <x v="3"/>
          </reference>
        </references>
      </pivotArea>
    </format>
    <format dxfId="166">
      <pivotArea field="0" dataOnly="0" labelOnly="1" grandRow="1" outline="0" axis="axisRow" fieldPosition="0">
        <references count="1">
          <reference field="4294967294" count="1" selected="0">
            <x v="4"/>
          </reference>
        </references>
      </pivotArea>
    </format>
    <format dxfId="165">
      <pivotArea field="0" dataOnly="0" labelOnly="1" grandRow="1" outline="0" axis="axisRow" fieldPosition="0">
        <references count="1">
          <reference field="4294967294" count="1" selected="0">
            <x v="6"/>
          </reference>
        </references>
      </pivotArea>
    </format>
    <format dxfId="164">
      <pivotArea field="0" dataOnly="0" grandRow="1" axis="axisRow" fieldPosition="0">
        <references count="1">
          <reference field="4294967294" count="6" selected="0">
            <x v="0"/>
            <x v="1"/>
            <x v="2"/>
            <x v="3"/>
            <x v="4"/>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2" dataOnRows="1" applyNumberFormats="0" applyBorderFormats="0" applyFontFormats="0" applyPatternFormats="0" applyAlignmentFormats="0" applyWidthHeightFormats="1" dataCaption="Values" updatedVersion="4" minRefreshableVersion="3" useAutoFormatting="1" colGrandTotals="0" itemPrintTitles="1" createdVersion="4" indent="0" outline="1" outlineData="1" multipleFieldFilters="0">
  <location ref="A1:Q138" firstHeaderRow="1" firstDataRow="3" firstDataCol="1"/>
  <pivotFields count="132">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axis="axisCol" showAll="0">
      <items count="15">
        <item x="0"/>
        <item x="1"/>
        <item x="2"/>
        <item x="3"/>
        <item x="4"/>
        <item x="5"/>
        <item x="11"/>
        <item x="6"/>
        <item x="7"/>
        <item x="8"/>
        <item x="13"/>
        <item x="9"/>
        <item x="10"/>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axis="axisCol" showAll="0">
      <items count="5">
        <item n="Four-Year" x="1"/>
        <item n="Two-Year" x="2"/>
        <item n="Technical" x="3"/>
        <item h="1" x="0"/>
        <item t="default"/>
      </items>
    </pivotField>
  </pivotFields>
  <rowFields count="2">
    <field x="0"/>
    <field x="-2"/>
  </rowFields>
  <rowItems count="135">
    <i>
      <x/>
    </i>
    <i r="1">
      <x/>
    </i>
    <i r="1" i="1">
      <x v="1"/>
    </i>
    <i r="1" i="2">
      <x v="2"/>
    </i>
    <i r="1" i="3">
      <x v="3"/>
    </i>
    <i r="1" i="4">
      <x v="4"/>
    </i>
    <i r="1" i="5">
      <x v="5"/>
    </i>
    <i r="1" i="6">
      <x v="6"/>
    </i>
    <i>
      <x v="1"/>
    </i>
    <i r="1">
      <x/>
    </i>
    <i r="1" i="1">
      <x v="1"/>
    </i>
    <i r="1" i="2">
      <x v="2"/>
    </i>
    <i r="1" i="3">
      <x v="3"/>
    </i>
    <i r="1" i="4">
      <x v="4"/>
    </i>
    <i r="1" i="5">
      <x v="5"/>
    </i>
    <i r="1" i="6">
      <x v="6"/>
    </i>
    <i>
      <x v="2"/>
    </i>
    <i r="1">
      <x/>
    </i>
    <i r="1" i="1">
      <x v="1"/>
    </i>
    <i r="1" i="2">
      <x v="2"/>
    </i>
    <i r="1" i="3">
      <x v="3"/>
    </i>
    <i r="1" i="4">
      <x v="4"/>
    </i>
    <i r="1" i="5">
      <x v="5"/>
    </i>
    <i r="1" i="6">
      <x v="6"/>
    </i>
    <i>
      <x v="3"/>
    </i>
    <i r="1">
      <x/>
    </i>
    <i r="1" i="1">
      <x v="1"/>
    </i>
    <i r="1" i="2">
      <x v="2"/>
    </i>
    <i r="1" i="3">
      <x v="3"/>
    </i>
    <i r="1" i="4">
      <x v="4"/>
    </i>
    <i r="1" i="5">
      <x v="5"/>
    </i>
    <i r="1" i="6">
      <x v="6"/>
    </i>
    <i>
      <x v="4"/>
    </i>
    <i r="1">
      <x/>
    </i>
    <i r="1" i="1">
      <x v="1"/>
    </i>
    <i r="1" i="2">
      <x v="2"/>
    </i>
    <i r="1" i="3">
      <x v="3"/>
    </i>
    <i r="1" i="4">
      <x v="4"/>
    </i>
    <i r="1" i="5">
      <x v="5"/>
    </i>
    <i r="1" i="6">
      <x v="6"/>
    </i>
    <i>
      <x v="5"/>
    </i>
    <i r="1">
      <x/>
    </i>
    <i r="1" i="1">
      <x v="1"/>
    </i>
    <i r="1" i="2">
      <x v="2"/>
    </i>
    <i r="1" i="3">
      <x v="3"/>
    </i>
    <i r="1" i="4">
      <x v="4"/>
    </i>
    <i r="1" i="5">
      <x v="5"/>
    </i>
    <i r="1" i="6">
      <x v="6"/>
    </i>
    <i>
      <x v="6"/>
    </i>
    <i r="1">
      <x/>
    </i>
    <i r="1" i="1">
      <x v="1"/>
    </i>
    <i r="1" i="2">
      <x v="2"/>
    </i>
    <i r="1" i="3">
      <x v="3"/>
    </i>
    <i r="1" i="4">
      <x v="4"/>
    </i>
    <i r="1" i="5">
      <x v="5"/>
    </i>
    <i r="1" i="6">
      <x v="6"/>
    </i>
    <i>
      <x v="7"/>
    </i>
    <i r="1">
      <x/>
    </i>
    <i r="1" i="1">
      <x v="1"/>
    </i>
    <i r="1" i="2">
      <x v="2"/>
    </i>
    <i r="1" i="3">
      <x v="3"/>
    </i>
    <i r="1" i="4">
      <x v="4"/>
    </i>
    <i r="1" i="5">
      <x v="5"/>
    </i>
    <i r="1" i="6">
      <x v="6"/>
    </i>
    <i>
      <x v="8"/>
    </i>
    <i r="1">
      <x/>
    </i>
    <i r="1" i="1">
      <x v="1"/>
    </i>
    <i r="1" i="2">
      <x v="2"/>
    </i>
    <i r="1" i="3">
      <x v="3"/>
    </i>
    <i r="1" i="4">
      <x v="4"/>
    </i>
    <i r="1" i="5">
      <x v="5"/>
    </i>
    <i r="1" i="6">
      <x v="6"/>
    </i>
    <i>
      <x v="9"/>
    </i>
    <i r="1">
      <x/>
    </i>
    <i r="1" i="1">
      <x v="1"/>
    </i>
    <i r="1" i="2">
      <x v="2"/>
    </i>
    <i r="1" i="3">
      <x v="3"/>
    </i>
    <i r="1" i="4">
      <x v="4"/>
    </i>
    <i r="1" i="5">
      <x v="5"/>
    </i>
    <i r="1" i="6">
      <x v="6"/>
    </i>
    <i>
      <x v="10"/>
    </i>
    <i r="1">
      <x/>
    </i>
    <i r="1" i="1">
      <x v="1"/>
    </i>
    <i r="1" i="2">
      <x v="2"/>
    </i>
    <i r="1" i="3">
      <x v="3"/>
    </i>
    <i r="1" i="4">
      <x v="4"/>
    </i>
    <i r="1" i="5">
      <x v="5"/>
    </i>
    <i r="1" i="6">
      <x v="6"/>
    </i>
    <i>
      <x v="11"/>
    </i>
    <i r="1">
      <x/>
    </i>
    <i r="1" i="1">
      <x v="1"/>
    </i>
    <i r="1" i="2">
      <x v="2"/>
    </i>
    <i r="1" i="3">
      <x v="3"/>
    </i>
    <i r="1" i="4">
      <x v="4"/>
    </i>
    <i r="1" i="5">
      <x v="5"/>
    </i>
    <i r="1" i="6">
      <x v="6"/>
    </i>
    <i>
      <x v="12"/>
    </i>
    <i r="1">
      <x/>
    </i>
    <i r="1" i="1">
      <x v="1"/>
    </i>
    <i r="1" i="2">
      <x v="2"/>
    </i>
    <i r="1" i="3">
      <x v="3"/>
    </i>
    <i r="1" i="4">
      <x v="4"/>
    </i>
    <i r="1" i="5">
      <x v="5"/>
    </i>
    <i r="1" i="6">
      <x v="6"/>
    </i>
    <i>
      <x v="13"/>
    </i>
    <i r="1">
      <x/>
    </i>
    <i r="1" i="1">
      <x v="1"/>
    </i>
    <i r="1" i="2">
      <x v="2"/>
    </i>
    <i r="1" i="3">
      <x v="3"/>
    </i>
    <i r="1" i="4">
      <x v="4"/>
    </i>
    <i r="1" i="5">
      <x v="5"/>
    </i>
    <i r="1" i="6">
      <x v="6"/>
    </i>
    <i>
      <x v="14"/>
    </i>
    <i r="1">
      <x/>
    </i>
    <i r="1" i="1">
      <x v="1"/>
    </i>
    <i r="1" i="2">
      <x v="2"/>
    </i>
    <i r="1" i="3">
      <x v="3"/>
    </i>
    <i r="1" i="4">
      <x v="4"/>
    </i>
    <i r="1" i="5">
      <x v="5"/>
    </i>
    <i r="1" i="6">
      <x v="6"/>
    </i>
    <i>
      <x v="15"/>
    </i>
    <i r="1">
      <x/>
    </i>
    <i r="1" i="1">
      <x v="1"/>
    </i>
    <i r="1" i="2">
      <x v="2"/>
    </i>
    <i r="1" i="3">
      <x v="3"/>
    </i>
    <i r="1" i="4">
      <x v="4"/>
    </i>
    <i r="1" i="5">
      <x v="5"/>
    </i>
    <i r="1" i="6">
      <x v="6"/>
    </i>
    <i t="grand">
      <x/>
    </i>
    <i t="grand" i="1">
      <x/>
    </i>
    <i t="grand" i="2">
      <x/>
    </i>
    <i t="grand" i="3">
      <x/>
    </i>
    <i t="grand" i="4">
      <x/>
    </i>
    <i t="grand" i="5">
      <x/>
    </i>
    <i t="grand" i="6">
      <x/>
    </i>
  </rowItems>
  <colFields count="2">
    <field x="131"/>
    <field x="4"/>
  </colFields>
  <colItems count="16">
    <i>
      <x/>
      <x/>
    </i>
    <i r="1">
      <x v="1"/>
    </i>
    <i r="1">
      <x v="2"/>
    </i>
    <i r="1">
      <x v="3"/>
    </i>
    <i r="1">
      <x v="4"/>
    </i>
    <i r="1">
      <x v="5"/>
    </i>
    <i t="default">
      <x/>
    </i>
    <i>
      <x v="1"/>
      <x v="6"/>
    </i>
    <i r="1">
      <x v="7"/>
    </i>
    <i r="1">
      <x v="8"/>
    </i>
    <i r="1">
      <x v="9"/>
    </i>
    <i r="1">
      <x v="10"/>
    </i>
    <i t="default">
      <x v="1"/>
    </i>
    <i>
      <x v="2"/>
      <x v="11"/>
    </i>
    <i r="1">
      <x v="12"/>
    </i>
    <i t="default">
      <x v="2"/>
    </i>
  </colItems>
  <dataFields count="7">
    <dataField name="Sum of Old # Prof Tot" fld="103" baseField="0" baseItem="0" numFmtId="164"/>
    <dataField name="Sum of Old # Asc Tot" fld="105" baseField="0" baseItem="0" numFmtId="164"/>
    <dataField name="Sum of Old # Ast Tot" fld="107" baseField="0" baseItem="0" numFmtId="164"/>
    <dataField name="Sum of Old # Inst Tot" fld="109" baseField="0" baseItem="0" numFmtId="164"/>
    <dataField name="Sum of Old # Oth Tot" fld="111" baseField="0" baseItem="0" numFmtId="164"/>
    <dataField name="Sum of Old # SR Tot" fld="113" baseField="0" baseItem="0" numFmtId="164"/>
    <dataField name="Sum of Old # AR Tot" fld="115" baseField="0" baseItem="0" numFmtId="164"/>
  </dataFields>
  <formats count="12">
    <format dxfId="163">
      <pivotArea type="all" dataOnly="0" outline="0" fieldPosition="0"/>
    </format>
    <format dxfId="162">
      <pivotArea type="all" dataOnly="0" outline="0" fieldPosition="0"/>
    </format>
    <format dxfId="161">
      <pivotArea collapsedLevelsAreSubtotals="1" fieldPosition="0">
        <references count="1">
          <reference field="0" count="1">
            <x v="9"/>
          </reference>
        </references>
      </pivotArea>
    </format>
    <format dxfId="160">
      <pivotArea outline="0" collapsedLevelsAreSubtotals="1" fieldPosition="0"/>
    </format>
    <format dxfId="159">
      <pivotArea field="131" type="button" dataOnly="0" labelOnly="1" outline="0" axis="axisCol" fieldPosition="0"/>
    </format>
    <format dxfId="158">
      <pivotArea field="4" type="button" dataOnly="0" labelOnly="1" outline="0" axis="axisCol" fieldPosition="1"/>
    </format>
    <format dxfId="157">
      <pivotArea type="topRight" dataOnly="0" labelOnly="1" outline="0" fieldPosition="0"/>
    </format>
    <format dxfId="156">
      <pivotArea dataOnly="0" labelOnly="1" fieldPosition="0">
        <references count="1">
          <reference field="131" count="0"/>
        </references>
      </pivotArea>
    </format>
    <format dxfId="155">
      <pivotArea dataOnly="0" labelOnly="1" fieldPosition="0">
        <references count="1">
          <reference field="131" count="0" defaultSubtotal="1"/>
        </references>
      </pivotArea>
    </format>
    <format dxfId="154">
      <pivotArea dataOnly="0" labelOnly="1" fieldPosition="0">
        <references count="2">
          <reference field="4" count="6">
            <x v="0"/>
            <x v="1"/>
            <x v="2"/>
            <x v="3"/>
            <x v="4"/>
            <x v="5"/>
          </reference>
          <reference field="131" count="1" selected="0">
            <x v="0"/>
          </reference>
        </references>
      </pivotArea>
    </format>
    <format dxfId="153">
      <pivotArea dataOnly="0" labelOnly="1" fieldPosition="0">
        <references count="2">
          <reference field="4" count="5">
            <x v="6"/>
            <x v="7"/>
            <x v="8"/>
            <x v="9"/>
            <x v="10"/>
          </reference>
          <reference field="131" count="1" selected="0">
            <x v="1"/>
          </reference>
        </references>
      </pivotArea>
    </format>
    <format dxfId="152">
      <pivotArea dataOnly="0" labelOnly="1" fieldPosition="0">
        <references count="2">
          <reference field="4" count="2">
            <x v="11"/>
            <x v="12"/>
          </reference>
          <reference field="131"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O27"/>
  <sheetViews>
    <sheetView showZeros="0" view="pageBreakPreview" zoomScaleNormal="100" zoomScaleSheetLayoutView="100" workbookViewId="0">
      <selection activeCell="H26" sqref="H26"/>
    </sheetView>
  </sheetViews>
  <sheetFormatPr defaultRowHeight="15.75" x14ac:dyDescent="0.25"/>
  <cols>
    <col min="1" max="1" width="25.5" bestFit="1" customWidth="1"/>
    <col min="6" max="6" width="9.75" bestFit="1" customWidth="1"/>
  </cols>
  <sheetData>
    <row r="1" spans="1:10" ht="18" x14ac:dyDescent="0.25">
      <c r="A1" s="82" t="s">
        <v>162</v>
      </c>
      <c r="B1" s="82"/>
      <c r="C1" s="82"/>
      <c r="D1" s="82"/>
      <c r="E1" s="82"/>
      <c r="F1" s="82"/>
      <c r="G1" s="82"/>
      <c r="H1" s="82"/>
    </row>
    <row r="2" spans="1:10" x14ac:dyDescent="0.25">
      <c r="A2" s="83"/>
      <c r="B2" s="84"/>
      <c r="C2" s="84"/>
      <c r="D2" s="85"/>
      <c r="E2" s="85"/>
      <c r="F2" s="85"/>
      <c r="G2" s="85"/>
      <c r="H2" s="84"/>
    </row>
    <row r="3" spans="1:10" x14ac:dyDescent="0.25">
      <c r="A3" s="705" t="s">
        <v>163</v>
      </c>
      <c r="B3" s="705"/>
      <c r="C3" s="705"/>
      <c r="D3" s="705"/>
      <c r="E3" s="705"/>
      <c r="F3" s="705"/>
      <c r="G3" s="705"/>
      <c r="H3" s="705"/>
    </row>
    <row r="4" spans="1:10" x14ac:dyDescent="0.25">
      <c r="A4" s="705" t="s">
        <v>271</v>
      </c>
      <c r="B4" s="705"/>
      <c r="C4" s="705"/>
      <c r="D4" s="705"/>
      <c r="E4" s="705"/>
      <c r="F4" s="705"/>
      <c r="G4" s="705"/>
      <c r="H4" s="705"/>
    </row>
    <row r="5" spans="1:10" x14ac:dyDescent="0.25">
      <c r="A5" s="86"/>
      <c r="B5" s="86"/>
      <c r="C5" s="86"/>
      <c r="D5" s="87"/>
      <c r="E5" s="87"/>
      <c r="F5" s="87"/>
      <c r="G5" s="87"/>
      <c r="H5" s="86"/>
    </row>
    <row r="6" spans="1:10" x14ac:dyDescent="0.25">
      <c r="A6" s="88"/>
      <c r="B6" s="89"/>
      <c r="C6" s="89" t="s">
        <v>165</v>
      </c>
      <c r="D6" s="90" t="s">
        <v>166</v>
      </c>
      <c r="E6" s="90"/>
      <c r="F6" s="90" t="s">
        <v>167</v>
      </c>
      <c r="G6" s="90" t="s">
        <v>168</v>
      </c>
      <c r="H6" s="89" t="s">
        <v>169</v>
      </c>
    </row>
    <row r="7" spans="1:10" x14ac:dyDescent="0.25">
      <c r="A7" s="91"/>
      <c r="B7" s="92" t="s">
        <v>3</v>
      </c>
      <c r="C7" s="92" t="s">
        <v>3</v>
      </c>
      <c r="D7" s="93" t="s">
        <v>3</v>
      </c>
      <c r="E7" s="93" t="s">
        <v>6</v>
      </c>
      <c r="F7" s="93" t="s">
        <v>26</v>
      </c>
      <c r="G7" s="93" t="s">
        <v>170</v>
      </c>
      <c r="H7" s="92" t="s">
        <v>171</v>
      </c>
    </row>
    <row r="8" spans="1:10" x14ac:dyDescent="0.25">
      <c r="A8" s="94" t="s">
        <v>172</v>
      </c>
      <c r="B8" s="95">
        <f>'Averages Pivot Table'!$S471</f>
        <v>119806.6123245973</v>
      </c>
      <c r="C8" s="95">
        <f>'Averages Pivot Table'!$S475</f>
        <v>82561.633435096126</v>
      </c>
      <c r="D8" s="95">
        <f>'Averages Pivot Table'!$S479</f>
        <v>72324.15592587585</v>
      </c>
      <c r="E8" s="95">
        <f>'Averages Pivot Table'!$S483</f>
        <v>46753.746653484945</v>
      </c>
      <c r="F8" s="95">
        <f>'Averages Pivot Table'!$S487</f>
        <v>54697.587832656078</v>
      </c>
      <c r="G8" s="95">
        <f>'Averages Pivot Table'!$S491</f>
        <v>0</v>
      </c>
      <c r="H8" s="95">
        <f>'Averages Pivot Table'!$S495</f>
        <v>86441.20788294985</v>
      </c>
    </row>
    <row r="9" spans="1:10" x14ac:dyDescent="0.25">
      <c r="A9" s="94" t="s">
        <v>173</v>
      </c>
      <c r="B9" s="96">
        <f>'Averages Pivot Table'!$T471</f>
        <v>108981.64644137709</v>
      </c>
      <c r="C9" s="96">
        <f>'Averages Pivot Table'!$T475</f>
        <v>76560.300698519699</v>
      </c>
      <c r="D9" s="96">
        <f>'Averages Pivot Table'!$T479</f>
        <v>66715.226904270457</v>
      </c>
      <c r="E9" s="96">
        <f>'Averages Pivot Table'!$T483</f>
        <v>44620.017357177087</v>
      </c>
      <c r="F9" s="96">
        <f>'Averages Pivot Table'!$T487</f>
        <v>50693.854825762792</v>
      </c>
      <c r="G9" s="96">
        <f>'Averages Pivot Table'!$T491</f>
        <v>0</v>
      </c>
      <c r="H9" s="96">
        <f>'Averages Pivot Table'!$T495</f>
        <v>75941.651486007569</v>
      </c>
      <c r="J9" s="665"/>
    </row>
    <row r="10" spans="1:10" x14ac:dyDescent="0.25">
      <c r="A10" s="94" t="s">
        <v>174</v>
      </c>
      <c r="B10" s="96">
        <f>'Averages Pivot Table'!$U471</f>
        <v>83065.938722848732</v>
      </c>
      <c r="C10" s="96">
        <f>'Averages Pivot Table'!$U475</f>
        <v>66820.688568500162</v>
      </c>
      <c r="D10" s="96">
        <f>'Averages Pivot Table'!$U479</f>
        <v>57908.86091229201</v>
      </c>
      <c r="E10" s="96">
        <f>'Averages Pivot Table'!$U483</f>
        <v>44188.708019071848</v>
      </c>
      <c r="F10" s="96">
        <f>'Averages Pivot Table'!$U487</f>
        <v>42438.261736543107</v>
      </c>
      <c r="G10" s="96">
        <f>'Averages Pivot Table'!$U491</f>
        <v>0</v>
      </c>
      <c r="H10" s="96">
        <f>'Averages Pivot Table'!$U495</f>
        <v>62990.29365355098</v>
      </c>
    </row>
    <row r="11" spans="1:10" x14ac:dyDescent="0.25">
      <c r="A11" s="94" t="s">
        <v>175</v>
      </c>
      <c r="B11" s="96">
        <f>'Averages Pivot Table'!$V471</f>
        <v>78614.251612713735</v>
      </c>
      <c r="C11" s="96">
        <f>'Averages Pivot Table'!$V475</f>
        <v>64745.119300569917</v>
      </c>
      <c r="D11" s="96">
        <f>'Averages Pivot Table'!$V479</f>
        <v>55451.235195369198</v>
      </c>
      <c r="E11" s="96">
        <f>'Averages Pivot Table'!$V483</f>
        <v>43424.975868397414</v>
      </c>
      <c r="F11" s="96">
        <f>'Averages Pivot Table'!$V487</f>
        <v>44529.288385895365</v>
      </c>
      <c r="G11" s="96">
        <f>'Averages Pivot Table'!$V491</f>
        <v>0</v>
      </c>
      <c r="H11" s="96">
        <f>'Averages Pivot Table'!$V495</f>
        <v>60656.306040924981</v>
      </c>
    </row>
    <row r="12" spans="1:10" x14ac:dyDescent="0.25">
      <c r="A12" s="94" t="s">
        <v>176</v>
      </c>
      <c r="B12" s="96">
        <f>'Averages Pivot Table'!$W471</f>
        <v>75488.757468048498</v>
      </c>
      <c r="C12" s="96">
        <f>'Averages Pivot Table'!$W475</f>
        <v>63430.170333518545</v>
      </c>
      <c r="D12" s="96">
        <f>'Averages Pivot Table'!$W479</f>
        <v>54952.841348757393</v>
      </c>
      <c r="E12" s="96">
        <f>'Averages Pivot Table'!$W483</f>
        <v>42625.76103663192</v>
      </c>
      <c r="F12" s="96">
        <f>'Averages Pivot Table'!$W487</f>
        <v>45988.799643153732</v>
      </c>
      <c r="G12" s="96">
        <f>'Averages Pivot Table'!$W491</f>
        <v>0</v>
      </c>
      <c r="H12" s="96">
        <f>'Averages Pivot Table'!$W495</f>
        <v>58816.312208015683</v>
      </c>
    </row>
    <row r="13" spans="1:10" x14ac:dyDescent="0.25">
      <c r="A13" s="94" t="s">
        <v>177</v>
      </c>
      <c r="B13" s="96">
        <f>'Averages Pivot Table'!$X471</f>
        <v>75834.446953341161</v>
      </c>
      <c r="C13" s="96">
        <f>'Averages Pivot Table'!$X475</f>
        <v>61117.652536902046</v>
      </c>
      <c r="D13" s="96">
        <f>'Averages Pivot Table'!$X479</f>
        <v>53657.470893885555</v>
      </c>
      <c r="E13" s="96">
        <f>'Averages Pivot Table'!$X483</f>
        <v>44778.742759036009</v>
      </c>
      <c r="F13" s="96">
        <f>'Averages Pivot Table'!$X487</f>
        <v>48479.697089908841</v>
      </c>
      <c r="G13" s="96">
        <f>'Averages Pivot Table'!$X491</f>
        <v>0</v>
      </c>
      <c r="H13" s="96">
        <f>'Averages Pivot Table'!$X495</f>
        <v>57992.118919753768</v>
      </c>
    </row>
    <row r="14" spans="1:10" x14ac:dyDescent="0.25">
      <c r="A14" s="97" t="s">
        <v>178</v>
      </c>
      <c r="B14" s="96">
        <f>'Averages Pivot Table'!$Y471</f>
        <v>104883.81223598598</v>
      </c>
      <c r="C14" s="96">
        <f>'Averages Pivot Table'!$Y475</f>
        <v>74822.171703807588</v>
      </c>
      <c r="D14" s="96">
        <f>'Averages Pivot Table'!$Y479</f>
        <v>64021.422919251476</v>
      </c>
      <c r="E14" s="96">
        <f>'Averages Pivot Table'!$Y483</f>
        <v>45031.221222968801</v>
      </c>
      <c r="F14" s="96">
        <f>'Averages Pivot Table'!$Y487</f>
        <v>49538.297696053123</v>
      </c>
      <c r="G14" s="96">
        <f>'Averages Pivot Table'!$Y491</f>
        <v>0</v>
      </c>
      <c r="H14" s="96">
        <f>'Averages Pivot Table'!$Y495</f>
        <v>74682.273896093233</v>
      </c>
    </row>
    <row r="15" spans="1:10" x14ac:dyDescent="0.25">
      <c r="A15" s="94"/>
      <c r="B15" s="96"/>
      <c r="C15" s="96"/>
      <c r="D15" s="96"/>
      <c r="E15" s="96"/>
      <c r="F15" s="96"/>
      <c r="G15" s="96"/>
      <c r="H15" s="96"/>
    </row>
    <row r="16" spans="1:10" x14ac:dyDescent="0.25">
      <c r="A16" s="94" t="s">
        <v>179</v>
      </c>
      <c r="B16" s="96">
        <f>'Averages Pivot Table'!$Z471</f>
        <v>64821.385468806162</v>
      </c>
      <c r="C16" s="96">
        <f>'Averages Pivot Table'!$Z475</f>
        <v>53028.339161896372</v>
      </c>
      <c r="D16" s="96">
        <f>'Averages Pivot Table'!$Z479</f>
        <v>47241.440416295663</v>
      </c>
      <c r="E16" s="96">
        <f>'Averages Pivot Table'!$Z483</f>
        <v>48409.774413096617</v>
      </c>
      <c r="F16" s="96">
        <f>'Averages Pivot Table'!$Z487</f>
        <v>33117.789473684206</v>
      </c>
      <c r="G16" s="96">
        <f>'Averages Pivot Table'!$Z491</f>
        <v>58793.263758166315</v>
      </c>
      <c r="H16" s="96">
        <f>'Averages Pivot Table'!$Z495</f>
        <v>56065.111958396803</v>
      </c>
    </row>
    <row r="17" spans="1:15" x14ac:dyDescent="0.25">
      <c r="A17" s="94" t="s">
        <v>180</v>
      </c>
      <c r="B17" s="96">
        <f>'Averages Pivot Table'!$AA471</f>
        <v>63250.276588728273</v>
      </c>
      <c r="C17" s="96">
        <f>'Averages Pivot Table'!$AA475</f>
        <v>54320.537616368543</v>
      </c>
      <c r="D17" s="96">
        <f>'Averages Pivot Table'!$AA479</f>
        <v>49698.747204512998</v>
      </c>
      <c r="E17" s="96">
        <f>'Averages Pivot Table'!$AA483</f>
        <v>46847.659876790465</v>
      </c>
      <c r="F17" s="96">
        <f>'Averages Pivot Table'!$AA487</f>
        <v>49285.55065798702</v>
      </c>
      <c r="G17" s="96">
        <f>'Averages Pivot Table'!$AA491</f>
        <v>50268.749238989403</v>
      </c>
      <c r="H17" s="96">
        <f>'Averages Pivot Table'!$AA495</f>
        <v>51958.681136994594</v>
      </c>
    </row>
    <row r="18" spans="1:15" x14ac:dyDescent="0.25">
      <c r="A18" s="94" t="s">
        <v>181</v>
      </c>
      <c r="B18" s="96">
        <f>'Averages Pivot Table'!$AB471</f>
        <v>54904.148732423993</v>
      </c>
      <c r="C18" s="96">
        <f>'Averages Pivot Table'!$AB475</f>
        <v>48944.262050521858</v>
      </c>
      <c r="D18" s="96">
        <f>'Averages Pivot Table'!$AB479</f>
        <v>44945.392517581196</v>
      </c>
      <c r="E18" s="96">
        <f>'Averages Pivot Table'!$AB483</f>
        <v>43580.507464115602</v>
      </c>
      <c r="F18" s="96">
        <f>'Averages Pivot Table'!$AB487</f>
        <v>46458.96602440063</v>
      </c>
      <c r="G18" s="96">
        <f>'Averages Pivot Table'!$AB491</f>
        <v>49849.095070144547</v>
      </c>
      <c r="H18" s="96">
        <f>'Averages Pivot Table'!$AB495</f>
        <v>47807.382879844692</v>
      </c>
    </row>
    <row r="19" spans="1:15" x14ac:dyDescent="0.25">
      <c r="A19" s="94" t="s">
        <v>182</v>
      </c>
      <c r="B19" s="96">
        <f>'Averages Pivot Table'!$AC471</f>
        <v>57923.796520491145</v>
      </c>
      <c r="C19" s="96">
        <f>'Averages Pivot Table'!$AC475</f>
        <v>52298.824345538087</v>
      </c>
      <c r="D19" s="96">
        <f>'Averages Pivot Table'!$AC479</f>
        <v>50338.534227342592</v>
      </c>
      <c r="E19" s="96">
        <f>'Averages Pivot Table'!$AC483</f>
        <v>41644.168704916847</v>
      </c>
      <c r="F19" s="96">
        <f>'Averages Pivot Table'!$AC487</f>
        <v>44684.199281466739</v>
      </c>
      <c r="G19" s="96">
        <f>'Averages Pivot Table'!$AC491</f>
        <v>44592.71525308054</v>
      </c>
      <c r="H19" s="96">
        <f>'Averages Pivot Table'!$AC495</f>
        <v>45406.047447329773</v>
      </c>
    </row>
    <row r="20" spans="1:15" x14ac:dyDescent="0.25">
      <c r="A20" s="97" t="s">
        <v>183</v>
      </c>
      <c r="B20" s="96">
        <f>'Averages Pivot Table'!$AE471</f>
        <v>61682.788214439352</v>
      </c>
      <c r="C20" s="96">
        <f>'Averages Pivot Table'!$AE475</f>
        <v>53933.445145508405</v>
      </c>
      <c r="D20" s="96">
        <f>'Averages Pivot Table'!$AE479</f>
        <v>49336.964617500271</v>
      </c>
      <c r="E20" s="96">
        <f>'Averages Pivot Table'!$AE483</f>
        <v>45464.473662657983</v>
      </c>
      <c r="F20" s="96">
        <f>'Averages Pivot Table'!$AE487</f>
        <v>47610.641117655316</v>
      </c>
      <c r="G20" s="96">
        <f>'Averages Pivot Table'!$AE491</f>
        <v>50992.219937961243</v>
      </c>
      <c r="H20" s="96">
        <f>'Averages Pivot Table'!$AE495</f>
        <v>50893.399518102859</v>
      </c>
    </row>
    <row r="21" spans="1:15" x14ac:dyDescent="0.25">
      <c r="A21" s="94"/>
      <c r="B21" s="96"/>
      <c r="C21" s="96"/>
      <c r="D21" s="96"/>
      <c r="E21" s="96"/>
      <c r="F21" s="96"/>
      <c r="G21" s="96"/>
      <c r="H21" s="96"/>
    </row>
    <row r="22" spans="1:15" x14ac:dyDescent="0.25">
      <c r="A22" s="94" t="s">
        <v>184</v>
      </c>
      <c r="B22" s="96">
        <f>'Averages Pivot Table'!$AF471</f>
        <v>47067.310087644553</v>
      </c>
      <c r="C22" s="96">
        <f>'Averages Pivot Table'!$AF475</f>
        <v>43862.328044720562</v>
      </c>
      <c r="D22" s="96">
        <f>'Averages Pivot Table'!$AF479</f>
        <v>26510.367650300086</v>
      </c>
      <c r="E22" s="96">
        <f>'Averages Pivot Table'!$AF483</f>
        <v>35866.340536277632</v>
      </c>
      <c r="F22" s="96">
        <f>'Averages Pivot Table'!$AF487</f>
        <v>34102.279793227062</v>
      </c>
      <c r="G22" s="96">
        <f>'Averages Pivot Table'!$AF491</f>
        <v>42666.379370295304</v>
      </c>
      <c r="H22" s="96">
        <f>'Averages Pivot Table'!$AF495</f>
        <v>41144.201379390543</v>
      </c>
    </row>
    <row r="23" spans="1:15" x14ac:dyDescent="0.25">
      <c r="A23" s="94" t="s">
        <v>185</v>
      </c>
      <c r="B23" s="96">
        <f>'Averages Pivot Table'!$AG471</f>
        <v>0</v>
      </c>
      <c r="C23" s="96">
        <f>'Averages Pivot Table'!$AG475</f>
        <v>0</v>
      </c>
      <c r="D23" s="96">
        <f>'Averages Pivot Table'!$AG479</f>
        <v>0</v>
      </c>
      <c r="E23" s="96">
        <f>'Averages Pivot Table'!$AG483</f>
        <v>0</v>
      </c>
      <c r="F23" s="96">
        <f>'Averages Pivot Table'!$AG487</f>
        <v>0</v>
      </c>
      <c r="G23" s="96">
        <f>'Averages Pivot Table'!$AG491</f>
        <v>42681.169229786276</v>
      </c>
      <c r="H23" s="96">
        <f>'Averages Pivot Table'!$AG495</f>
        <v>42681.169229786276</v>
      </c>
    </row>
    <row r="24" spans="1:15" x14ac:dyDescent="0.25">
      <c r="A24" s="98" t="s">
        <v>186</v>
      </c>
      <c r="B24" s="99">
        <f>'Averages Pivot Table'!$AH471</f>
        <v>47067.310087644553</v>
      </c>
      <c r="C24" s="99">
        <f>'Averages Pivot Table'!$AH475</f>
        <v>43862.328044720562</v>
      </c>
      <c r="D24" s="99">
        <f>'Averages Pivot Table'!$AH479</f>
        <v>26510.367650300086</v>
      </c>
      <c r="E24" s="99">
        <f>'Averages Pivot Table'!$AH483</f>
        <v>35866.340536277632</v>
      </c>
      <c r="F24" s="99">
        <f>'Averages Pivot Table'!$AH487</f>
        <v>34102.279793227062</v>
      </c>
      <c r="G24" s="99">
        <f>'Averages Pivot Table'!$AH491</f>
        <v>42671.714855965205</v>
      </c>
      <c r="H24" s="99">
        <f>'Averages Pivot Table'!$AH495</f>
        <v>41617.922027705943</v>
      </c>
    </row>
    <row r="25" spans="1:15" ht="24.75" customHeight="1" x14ac:dyDescent="0.25">
      <c r="A25" s="706" t="s">
        <v>1127</v>
      </c>
      <c r="B25" s="706"/>
      <c r="C25" s="706"/>
      <c r="D25" s="706"/>
      <c r="E25" s="706"/>
      <c r="F25" s="706"/>
      <c r="G25" s="706"/>
      <c r="H25" s="706"/>
      <c r="I25" s="678"/>
      <c r="J25" s="678"/>
      <c r="K25" s="678"/>
      <c r="L25" s="678"/>
      <c r="M25" s="678"/>
      <c r="N25" s="166"/>
      <c r="O25" s="166"/>
    </row>
    <row r="26" spans="1:15" ht="12" customHeight="1" x14ac:dyDescent="0.25">
      <c r="A26" s="679"/>
      <c r="B26" s="678"/>
      <c r="C26" s="678"/>
      <c r="D26" s="678"/>
      <c r="E26" s="678"/>
      <c r="F26" s="678"/>
      <c r="G26" s="678"/>
      <c r="H26" s="678"/>
      <c r="I26" s="678"/>
      <c r="J26" s="678"/>
      <c r="K26" s="678"/>
      <c r="L26" s="678"/>
      <c r="M26" s="678"/>
      <c r="N26" s="166"/>
      <c r="O26" s="166"/>
    </row>
    <row r="27" spans="1:15" x14ac:dyDescent="0.25">
      <c r="A27" s="100"/>
      <c r="B27" s="100"/>
      <c r="C27" s="100"/>
      <c r="D27" s="101"/>
      <c r="E27" s="101"/>
      <c r="F27" s="101"/>
      <c r="G27" s="101"/>
      <c r="H27" s="102" t="s">
        <v>1128</v>
      </c>
    </row>
  </sheetData>
  <mergeCells count="3">
    <mergeCell ref="A3:H3"/>
    <mergeCell ref="A4:H4"/>
    <mergeCell ref="A25:H25"/>
  </mergeCells>
  <pageMargins left="0.7" right="0.77031249999999996" top="0.75" bottom="0.75" header="0.3" footer="0.3"/>
  <pageSetup firstPageNumber="172" orientation="landscape" useFirstPageNumber="1" r:id="rId1"/>
  <headerFooter alignWithMargins="0">
    <oddHeader>&amp;R&amp;"Arial,Regular"&amp;8SREB-State Data Exchange</oddHeader>
    <oddFooter>&amp;C&amp;"Arial,Regular"&amp;8&amp;P</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indexed="18"/>
  </sheetPr>
  <dimension ref="A1:EA680"/>
  <sheetViews>
    <sheetView topLeftCell="A2" workbookViewId="0">
      <pane xSplit="5" ySplit="6" topLeftCell="BA44" activePane="bottomRight" state="frozen"/>
      <selection activeCell="A2" sqref="A2"/>
      <selection pane="topRight" activeCell="F2" sqref="F2"/>
      <selection pane="bottomLeft" activeCell="A8" sqref="A8"/>
      <selection pane="bottomRight" activeCell="BC47" sqref="BC47"/>
    </sheetView>
  </sheetViews>
  <sheetFormatPr defaultColWidth="9" defaultRowHeight="12.75" x14ac:dyDescent="0.2"/>
  <cols>
    <col min="1" max="1" width="5.5" style="3" customWidth="1"/>
    <col min="2" max="2" width="24.375" style="4" customWidth="1"/>
    <col min="3" max="3" width="28" style="4" customWidth="1"/>
    <col min="4" max="4" width="9.375" style="3" bestFit="1" customWidth="1"/>
    <col min="5" max="5" width="9" style="3" bestFit="1" customWidth="1"/>
    <col min="6" max="11" width="8.375" style="1" customWidth="1"/>
    <col min="12" max="13" width="8.375" style="2" customWidth="1"/>
    <col min="14" max="19" width="8.375" style="6" customWidth="1"/>
    <col min="20" max="21" width="8.375" style="2" customWidth="1"/>
    <col min="22" max="22" width="8" style="2" customWidth="1"/>
    <col min="23" max="25" width="8.375" style="2" customWidth="1"/>
    <col min="26" max="31" width="8.375" style="6" customWidth="1"/>
    <col min="32" max="37" width="8.375" style="2" customWidth="1"/>
    <col min="38" max="39" width="8.375" style="6" customWidth="1"/>
    <col min="40" max="45" width="8.375" style="2" customWidth="1"/>
    <col min="46" max="47" width="8.375" style="6" customWidth="1"/>
    <col min="48" max="53" width="8.375" style="2" customWidth="1"/>
    <col min="54" max="54" width="13.5" style="6" customWidth="1"/>
    <col min="55" max="55" width="13.25" style="6" customWidth="1"/>
    <col min="56" max="56" width="12.875" style="2" customWidth="1"/>
    <col min="57" max="57" width="14.75" style="2" customWidth="1"/>
    <col min="58" max="58" width="13.875" style="2" customWidth="1"/>
    <col min="59" max="59" width="13.375" style="2" customWidth="1"/>
    <col min="60" max="60" width="14.125" style="2" customWidth="1"/>
    <col min="61" max="61" width="15.25" style="2" customWidth="1"/>
    <col min="62" max="62" width="11.625" style="2" customWidth="1"/>
    <col min="63" max="63" width="14.125" style="6" bestFit="1" customWidth="1"/>
    <col min="64" max="64" width="14.75" style="2" customWidth="1"/>
    <col min="65" max="65" width="12.125" style="6" customWidth="1"/>
    <col min="66" max="66" width="7.625" style="1" customWidth="1"/>
    <col min="67" max="71" width="7.625" style="6" customWidth="1"/>
    <col min="72" max="75" width="7.625" style="2" customWidth="1"/>
    <col min="76" max="77" width="7.625" style="6" customWidth="1"/>
    <col min="78" max="87" width="8" style="6" customWidth="1"/>
    <col min="88" max="89" width="8" style="2" customWidth="1"/>
    <col min="90" max="90" width="13" style="1" customWidth="1"/>
    <col min="91" max="92" width="8.125" style="1" customWidth="1"/>
    <col min="93" max="93" width="8.75" style="1" customWidth="1"/>
    <col min="94" max="94" width="8.25" style="1" customWidth="1"/>
    <col min="95" max="95" width="8.375" style="1" customWidth="1"/>
    <col min="96" max="96" width="8.25" style="1" customWidth="1"/>
    <col min="97" max="97" width="8.5" style="1" customWidth="1"/>
    <col min="98" max="98" width="8" style="1" customWidth="1"/>
    <col min="99" max="99" width="8.5" style="1" customWidth="1"/>
    <col min="100" max="100" width="8" style="1" customWidth="1"/>
    <col min="101" max="101" width="8.5" style="1" customWidth="1"/>
    <col min="102" max="103" width="8" style="1" customWidth="1"/>
    <col min="104" max="107" width="8.75" style="6" customWidth="1"/>
    <col min="108" max="111" width="8.75" style="2" customWidth="1"/>
    <col min="112" max="115" width="8.75" style="6" customWidth="1"/>
    <col min="116" max="116" width="9.125" style="1" bestFit="1" customWidth="1"/>
    <col min="117" max="117" width="8.75" style="6" customWidth="1"/>
    <col min="118" max="118" width="10.5" style="6" customWidth="1"/>
    <col min="119" max="120" width="11.25" style="6" customWidth="1"/>
    <col min="121" max="121" width="10.625" style="6" customWidth="1"/>
    <col min="122" max="122" width="10.75" style="2" customWidth="1"/>
    <col min="123" max="123" width="10.875" style="2" customWidth="1"/>
    <col min="124" max="124" width="10.5" style="2" customWidth="1"/>
    <col min="125" max="125" width="11.125" style="2" customWidth="1"/>
    <col min="126" max="126" width="10.125" style="6" customWidth="1"/>
    <col min="127" max="127" width="9.875" style="6" customWidth="1"/>
    <col min="128" max="128" width="10.125" style="6" customWidth="1"/>
    <col min="129" max="129" width="10" style="6" customWidth="1"/>
    <col min="130" max="130" width="11.375" style="1" customWidth="1"/>
    <col min="131" max="131" width="12.125" style="6" customWidth="1"/>
    <col min="132" max="16384" width="9" style="1"/>
  </cols>
  <sheetData>
    <row r="1" spans="1:131" hidden="1" x14ac:dyDescent="0.2">
      <c r="A1" s="313" t="s">
        <v>348</v>
      </c>
      <c r="B1" s="314" t="s">
        <v>349</v>
      </c>
      <c r="C1" s="528"/>
      <c r="D1" s="315"/>
      <c r="E1" s="316"/>
      <c r="F1" s="40">
        <v>275</v>
      </c>
      <c r="G1" s="41"/>
      <c r="H1" s="40"/>
      <c r="I1" s="42"/>
      <c r="J1" s="40">
        <v>172</v>
      </c>
      <c r="K1" s="41"/>
      <c r="L1" s="40"/>
      <c r="M1" s="42"/>
      <c r="N1" s="40">
        <v>281</v>
      </c>
      <c r="O1" s="41"/>
      <c r="P1" s="40"/>
      <c r="Q1" s="42"/>
      <c r="R1" s="40">
        <v>90</v>
      </c>
      <c r="S1" s="41"/>
      <c r="T1" s="40"/>
      <c r="U1" s="42"/>
      <c r="V1" s="40">
        <v>194</v>
      </c>
      <c r="W1" s="41"/>
      <c r="X1" s="40"/>
      <c r="Y1" s="42"/>
      <c r="Z1" s="40">
        <v>61</v>
      </c>
      <c r="AA1" s="41"/>
      <c r="AB1" s="40"/>
      <c r="AC1" s="42"/>
      <c r="AD1" s="40">
        <v>80</v>
      </c>
      <c r="AE1" s="41"/>
      <c r="AF1" s="40"/>
      <c r="AG1" s="42"/>
      <c r="AH1" s="40">
        <v>14</v>
      </c>
      <c r="AI1" s="291"/>
      <c r="AJ1" s="40"/>
      <c r="AK1" s="42"/>
      <c r="AL1" s="40">
        <v>8</v>
      </c>
      <c r="AM1" s="41"/>
      <c r="AN1" s="40"/>
      <c r="AO1" s="42"/>
      <c r="AP1" s="40">
        <v>2</v>
      </c>
      <c r="AQ1" s="291"/>
      <c r="AR1" s="40"/>
      <c r="AS1" s="42"/>
      <c r="AT1" s="40"/>
      <c r="AU1" s="41"/>
      <c r="AV1" s="40"/>
      <c r="AW1" s="42"/>
      <c r="AX1" s="40"/>
      <c r="AY1" s="291"/>
      <c r="AZ1" s="40"/>
      <c r="BA1" s="42"/>
      <c r="BB1" s="43">
        <v>48094471.284999996</v>
      </c>
      <c r="BC1" s="41"/>
      <c r="BD1" s="40">
        <v>28312153.904600002</v>
      </c>
      <c r="BE1" s="41"/>
      <c r="BF1" s="40">
        <v>16833886.9826</v>
      </c>
      <c r="BG1" s="41"/>
      <c r="BH1" s="40">
        <v>3838419.5378</v>
      </c>
      <c r="BI1" s="41"/>
      <c r="BJ1" s="40">
        <v>542109.13840000005</v>
      </c>
      <c r="BK1" s="28"/>
      <c r="BL1" s="40">
        <v>0</v>
      </c>
      <c r="BM1" s="29"/>
      <c r="BN1" s="326">
        <f>((F1*9)+(H1*10)+(J1*11)+(L1*12))</f>
        <v>4367</v>
      </c>
      <c r="BO1" s="327">
        <f>((G1*9)+(I1*10)+(K1*11)+(M1*12))</f>
        <v>0</v>
      </c>
      <c r="BP1" s="328">
        <f>((N1*9)+(P1*10)+(R1*11)+(T1*12))</f>
        <v>3519</v>
      </c>
      <c r="BQ1" s="327">
        <f>((O1*9)+(Q1*10)+(S1*11)+(U1*12))</f>
        <v>0</v>
      </c>
      <c r="BR1" s="328">
        <f>((V1*9)+(X1*10)+(Z1*11)+(AB1*12))</f>
        <v>2417</v>
      </c>
      <c r="BS1" s="327">
        <f>((W1*9)+(Y1*10)+(AA1*11)+(AC1*12))</f>
        <v>0</v>
      </c>
      <c r="BT1" s="328">
        <f>((AD1*9)+(AF1*10)+(AH1*11)+(AJ1*12))</f>
        <v>874</v>
      </c>
      <c r="BU1" s="327">
        <f>((AE1*9)+(AG1*10)+(AI1*11)+(AK1*12))</f>
        <v>0</v>
      </c>
      <c r="BV1" s="328">
        <f>((AL1*9)+(AN1*10)+(AP1*11)+(AR1*12))</f>
        <v>94</v>
      </c>
      <c r="BW1" s="329">
        <f>((AM1*9)+(AO1*10)+(AQ1*11)+(AS1*12))</f>
        <v>0</v>
      </c>
      <c r="BX1" s="328">
        <f>((AT1*9)+(AV1*10)+(AX1*11)+(AZ1*12))</f>
        <v>0</v>
      </c>
      <c r="BY1" s="329">
        <f>((AU1*9)+(AW1*10)+(AY1*11)+(BA1*12))</f>
        <v>0</v>
      </c>
      <c r="BZ1" s="46">
        <f t="shared" ref="BZ1" si="0">IF(BN1&gt;0,BB1/BN1,)</f>
        <v>11013.160358369589</v>
      </c>
      <c r="CA1" s="47">
        <f t="shared" ref="CA1" si="1">IF(BO1&gt;0,BC1/BO1,)</f>
        <v>0</v>
      </c>
      <c r="CB1" s="46">
        <f t="shared" ref="CB1" si="2">IF(BP1&gt;0,BD1/BP1,)</f>
        <v>8045.5111976697926</v>
      </c>
      <c r="CC1" s="47">
        <f t="shared" ref="CC1" si="3">IF(BQ1&gt;0,BE1/BQ1,)</f>
        <v>0</v>
      </c>
      <c r="CD1" s="46">
        <f t="shared" ref="CD1" si="4">IF(BR1&gt;0,BF1/BR1,)</f>
        <v>6964.7856775341334</v>
      </c>
      <c r="CE1" s="47">
        <f t="shared" ref="CE1" si="5">IF(BS1&gt;0,BG1/BS1,)</f>
        <v>0</v>
      </c>
      <c r="CF1" s="46">
        <f t="shared" ref="CF1" si="6">IF(BT1&gt;0,BH1/BT1,)</f>
        <v>4391.7843681922195</v>
      </c>
      <c r="CG1" s="47">
        <f t="shared" ref="CG1" si="7">IF(BU1&gt;0,BI1/BU1,)</f>
        <v>0</v>
      </c>
      <c r="CH1" s="46">
        <f t="shared" ref="CH1" si="8">IF(BV1&gt;0,BJ1/BV1,)</f>
        <v>5767.1184936170221</v>
      </c>
      <c r="CI1" s="47">
        <f t="shared" ref="CI1" si="9">IF(BW1&gt;0,BK1/BW1,)</f>
        <v>0</v>
      </c>
      <c r="CJ1" s="46">
        <f t="shared" ref="CJ1" si="10">IF(BX1&gt;0,BL1/BX1,)</f>
        <v>0</v>
      </c>
      <c r="CK1" s="47">
        <f t="shared" ref="CK1" si="11">IF(BY1&gt;0,BM1/BY1,)</f>
        <v>0</v>
      </c>
      <c r="CL1" s="330">
        <f t="shared" ref="CL1" si="12">+BZ1*9</f>
        <v>99118.443225326293</v>
      </c>
      <c r="CM1" s="329">
        <f t="shared" ref="CM1" si="13">+CA1*9</f>
        <v>0</v>
      </c>
      <c r="CN1" s="331">
        <f t="shared" ref="CN1" si="14">+CB1*9</f>
        <v>72409.600779028129</v>
      </c>
      <c r="CO1" s="327">
        <f t="shared" ref="CO1" si="15">+CC1*9</f>
        <v>0</v>
      </c>
      <c r="CP1" s="328">
        <f t="shared" ref="CP1" si="16">+CD1*9</f>
        <v>62683.071097807202</v>
      </c>
      <c r="CQ1" s="327">
        <f t="shared" ref="CQ1" si="17">+CE1*9</f>
        <v>0</v>
      </c>
      <c r="CR1" s="328">
        <f t="shared" ref="CR1" si="18">+CF1*9</f>
        <v>39526.059313729973</v>
      </c>
      <c r="CS1" s="327">
        <f t="shared" ref="CS1" si="19">+CG1*9</f>
        <v>0</v>
      </c>
      <c r="CT1" s="328">
        <f t="shared" ref="CT1" si="20">+CH1*9</f>
        <v>51904.066442553201</v>
      </c>
      <c r="CU1" s="329">
        <f t="shared" ref="CU1" si="21">+CI1*9</f>
        <v>0</v>
      </c>
      <c r="CV1" s="331"/>
      <c r="CW1" s="329"/>
      <c r="CX1" s="331">
        <f>IF(DL1&gt;0,((CL1*CZ1)+(CN1*DB1)+(CP1*DD1)+(CR1*DF1)+(CT1*DH1)+(CV1*DJ1))/DL1,)</f>
        <v>77645.352065078405</v>
      </c>
      <c r="CY1" s="332">
        <f>IF(DM1&gt;0,((CM1*DA1)+(CO1*DC1)+(CQ1*DE1)+(CS1*DG1)+(CU1*DI1)+(CW1*DK1))/DM1,)</f>
        <v>0</v>
      </c>
      <c r="CZ1" s="44">
        <f t="shared" ref="CZ1" si="22">+F1+H1+J1+L1</f>
        <v>447</v>
      </c>
      <c r="DA1" s="48">
        <f t="shared" ref="DA1" si="23">+G1+I1+K1+M1</f>
        <v>0</v>
      </c>
      <c r="DB1" s="46">
        <f t="shared" ref="DB1" si="24">+N1+P1+R1+T1</f>
        <v>371</v>
      </c>
      <c r="DC1" s="45">
        <f t="shared" ref="DC1" si="25">+O1+Q1+S1+U1</f>
        <v>0</v>
      </c>
      <c r="DD1" s="46">
        <f t="shared" ref="DD1" si="26">+V1+X1+Z1+AB1</f>
        <v>255</v>
      </c>
      <c r="DE1" s="45">
        <f t="shared" ref="DE1" si="27">+W1+Y1+AA1+AC1</f>
        <v>0</v>
      </c>
      <c r="DF1" s="46">
        <f t="shared" ref="DF1" si="28">+AD1+AF1+AH1+AJ1</f>
        <v>94</v>
      </c>
      <c r="DG1" s="45">
        <f t="shared" ref="DG1" si="29">+AE1+AG1+AI1+AK1</f>
        <v>0</v>
      </c>
      <c r="DH1" s="46">
        <f t="shared" ref="DH1" si="30">+AL1+AN1+AP1+AR1</f>
        <v>10</v>
      </c>
      <c r="DI1" s="47">
        <f t="shared" ref="DI1" si="31">+AM1+AO1+AQ1+AS1</f>
        <v>0</v>
      </c>
      <c r="DJ1" s="46">
        <f t="shared" ref="DJ1" si="32">+AT1+AV1+AX1+AZ1</f>
        <v>0</v>
      </c>
      <c r="DK1" s="47">
        <f t="shared" ref="DK1" si="33">+AU1+AW1+AY1+BA1</f>
        <v>0</v>
      </c>
      <c r="DL1" s="46">
        <f>+CZ1+DB1+DD1+DF1+DH1+DJ1</f>
        <v>1177</v>
      </c>
      <c r="DM1" s="47">
        <f>+DA1+DC1+DE1+DG1+DI1+DK1</f>
        <v>0</v>
      </c>
      <c r="DN1" s="46">
        <f>+CZ1*CL1</f>
        <v>44305944.12172085</v>
      </c>
      <c r="DO1" s="48">
        <f t="shared" ref="DO1:EA1" si="34">+DA1*CM1</f>
        <v>0</v>
      </c>
      <c r="DP1" s="46">
        <f t="shared" si="34"/>
        <v>26863961.889019437</v>
      </c>
      <c r="DQ1" s="45">
        <f t="shared" si="34"/>
        <v>0</v>
      </c>
      <c r="DR1" s="46">
        <f t="shared" si="34"/>
        <v>15984183.129940836</v>
      </c>
      <c r="DS1" s="45">
        <f t="shared" si="34"/>
        <v>0</v>
      </c>
      <c r="DT1" s="46">
        <f t="shared" si="34"/>
        <v>3715449.5754906177</v>
      </c>
      <c r="DU1" s="45">
        <f t="shared" si="34"/>
        <v>0</v>
      </c>
      <c r="DV1" s="46">
        <f t="shared" si="34"/>
        <v>519040.66442553198</v>
      </c>
      <c r="DW1" s="47">
        <f t="shared" si="34"/>
        <v>0</v>
      </c>
      <c r="DX1" s="46">
        <f t="shared" si="34"/>
        <v>0</v>
      </c>
      <c r="DY1" s="47">
        <f t="shared" si="34"/>
        <v>0</v>
      </c>
      <c r="DZ1" s="46">
        <f t="shared" si="34"/>
        <v>91388579.380597278</v>
      </c>
      <c r="EA1" s="47">
        <f t="shared" si="34"/>
        <v>0</v>
      </c>
    </row>
    <row r="2" spans="1:131" s="5" customFormat="1" ht="16.5" thickBot="1" x14ac:dyDescent="0.3">
      <c r="A2" s="7" t="s">
        <v>13</v>
      </c>
      <c r="B2" s="7"/>
      <c r="C2" s="7"/>
      <c r="D2" s="7"/>
      <c r="E2" s="7"/>
      <c r="F2" s="54" t="s">
        <v>341</v>
      </c>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3" t="s">
        <v>342</v>
      </c>
      <c r="BC2" s="54"/>
      <c r="BD2" s="54"/>
      <c r="BE2" s="54"/>
      <c r="BF2" s="54"/>
      <c r="BG2" s="54"/>
      <c r="BH2" s="54"/>
      <c r="BI2" s="54"/>
      <c r="BJ2" s="54"/>
      <c r="BK2" s="54"/>
      <c r="BL2" s="54"/>
      <c r="BM2" s="54"/>
      <c r="BN2" s="53" t="s">
        <v>343</v>
      </c>
      <c r="BO2" s="54"/>
      <c r="BP2" s="54"/>
      <c r="BQ2" s="54"/>
      <c r="BR2" s="54"/>
      <c r="BS2" s="54"/>
      <c r="BT2" s="54"/>
      <c r="BU2" s="54"/>
      <c r="BV2" s="54"/>
      <c r="BW2" s="54"/>
      <c r="BX2" s="54"/>
      <c r="BY2" s="54"/>
      <c r="BZ2" s="53" t="s">
        <v>344</v>
      </c>
      <c r="CA2" s="54"/>
      <c r="CB2" s="54"/>
      <c r="CC2" s="54"/>
      <c r="CD2" s="54"/>
      <c r="CE2" s="54"/>
      <c r="CF2" s="54"/>
      <c r="CG2" s="54"/>
      <c r="CH2" s="54"/>
      <c r="CI2" s="54"/>
      <c r="CJ2" s="54"/>
      <c r="CK2" s="54"/>
      <c r="CL2" s="53" t="s">
        <v>345</v>
      </c>
      <c r="CM2" s="54"/>
      <c r="CN2" s="54"/>
      <c r="CO2" s="54"/>
      <c r="CP2" s="54"/>
      <c r="CQ2" s="54"/>
      <c r="CR2" s="54"/>
      <c r="CS2" s="54"/>
      <c r="CT2" s="54"/>
      <c r="CU2" s="54"/>
      <c r="CV2" s="54"/>
      <c r="CW2" s="54"/>
      <c r="CX2" s="54"/>
      <c r="CY2" s="55"/>
      <c r="CZ2" s="53" t="s">
        <v>346</v>
      </c>
      <c r="DA2" s="54"/>
      <c r="DB2" s="54"/>
      <c r="DC2" s="54"/>
      <c r="DD2" s="54"/>
      <c r="DE2" s="54"/>
      <c r="DF2" s="54"/>
      <c r="DG2" s="54"/>
      <c r="DH2" s="54"/>
      <c r="DI2" s="54"/>
      <c r="DJ2" s="54"/>
      <c r="DK2" s="54"/>
      <c r="DL2" s="54"/>
      <c r="DM2" s="54"/>
      <c r="DN2" s="53" t="s">
        <v>347</v>
      </c>
      <c r="DO2" s="54"/>
      <c r="DP2" s="54"/>
      <c r="DQ2" s="54"/>
      <c r="DR2" s="54"/>
      <c r="DS2" s="54"/>
      <c r="DT2" s="54"/>
      <c r="DU2" s="54"/>
      <c r="DV2" s="54"/>
      <c r="DW2" s="54"/>
      <c r="DX2" s="54"/>
      <c r="DY2" s="54"/>
      <c r="DZ2" s="54"/>
      <c r="EA2" s="54"/>
    </row>
    <row r="3" spans="1:131" s="5" customFormat="1" ht="16.5" thickTop="1" x14ac:dyDescent="0.25">
      <c r="A3" s="52"/>
      <c r="B3" s="52"/>
      <c r="C3" s="52"/>
      <c r="D3" s="52"/>
      <c r="E3" s="52"/>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9"/>
      <c r="BC3" s="8"/>
      <c r="BD3" s="8"/>
      <c r="BE3" s="8"/>
      <c r="BF3" s="8"/>
      <c r="BG3" s="8"/>
      <c r="BH3" s="8"/>
      <c r="BI3" s="8"/>
      <c r="BJ3" s="8"/>
      <c r="BK3" s="8"/>
      <c r="BL3" s="8"/>
      <c r="BM3" s="62"/>
      <c r="BN3" s="76" t="s">
        <v>17</v>
      </c>
      <c r="BO3" s="77"/>
      <c r="BP3" s="77"/>
      <c r="BQ3" s="77"/>
      <c r="BR3" s="77"/>
      <c r="BS3" s="77"/>
      <c r="BT3" s="77"/>
      <c r="BU3" s="77"/>
      <c r="BV3" s="77"/>
      <c r="BW3" s="77"/>
      <c r="BX3" s="77"/>
      <c r="BY3" s="78"/>
      <c r="BZ3" s="79" t="s">
        <v>14</v>
      </c>
      <c r="CA3" s="80"/>
      <c r="CB3" s="80"/>
      <c r="CC3" s="80"/>
      <c r="CD3" s="80"/>
      <c r="CE3" s="80"/>
      <c r="CF3" s="80"/>
      <c r="CG3" s="80"/>
      <c r="CH3" s="80"/>
      <c r="CI3" s="80"/>
      <c r="CJ3" s="80"/>
      <c r="CK3" s="81"/>
      <c r="CL3" s="79" t="s">
        <v>15</v>
      </c>
      <c r="CM3" s="80"/>
      <c r="CN3" s="80"/>
      <c r="CO3" s="80"/>
      <c r="CP3" s="80"/>
      <c r="CQ3" s="80"/>
      <c r="CR3" s="80"/>
      <c r="CS3" s="80"/>
      <c r="CT3" s="80"/>
      <c r="CU3" s="80"/>
      <c r="CV3" s="80"/>
      <c r="CW3" s="80"/>
      <c r="CX3" s="80"/>
      <c r="CY3" s="80"/>
      <c r="CZ3" s="79" t="s">
        <v>16</v>
      </c>
      <c r="DA3" s="77"/>
      <c r="DB3" s="77"/>
      <c r="DC3" s="77"/>
      <c r="DD3" s="77"/>
      <c r="DE3" s="77"/>
      <c r="DF3" s="77"/>
      <c r="DG3" s="77"/>
      <c r="DH3" s="77"/>
      <c r="DI3" s="77"/>
      <c r="DJ3" s="77"/>
      <c r="DK3" s="77"/>
      <c r="DL3" s="77"/>
      <c r="DM3" s="77"/>
      <c r="DN3" s="79" t="s">
        <v>321</v>
      </c>
      <c r="DO3" s="77"/>
      <c r="DP3" s="77"/>
      <c r="DQ3" s="77"/>
      <c r="DR3" s="77"/>
      <c r="DS3" s="77"/>
      <c r="DT3" s="77"/>
      <c r="DU3" s="77"/>
      <c r="DV3" s="77"/>
      <c r="DW3" s="77"/>
      <c r="DX3" s="77"/>
      <c r="DY3" s="77"/>
      <c r="DZ3" s="77"/>
      <c r="EA3" s="77"/>
    </row>
    <row r="4" spans="1:131" s="5" customFormat="1" ht="15.75" x14ac:dyDescent="0.25">
      <c r="F4" s="65" t="s">
        <v>12</v>
      </c>
      <c r="G4" s="65"/>
      <c r="H4" s="65"/>
      <c r="I4" s="65"/>
      <c r="J4" s="65"/>
      <c r="K4" s="65"/>
      <c r="L4" s="65"/>
      <c r="M4" s="65"/>
      <c r="N4" s="65" t="s">
        <v>4</v>
      </c>
      <c r="O4" s="65"/>
      <c r="P4" s="65"/>
      <c r="Q4" s="65"/>
      <c r="R4" s="65"/>
      <c r="S4" s="65"/>
      <c r="T4" s="65"/>
      <c r="U4" s="65"/>
      <c r="V4" s="65" t="s">
        <v>5</v>
      </c>
      <c r="W4" s="65"/>
      <c r="X4" s="65"/>
      <c r="Y4" s="65"/>
      <c r="Z4" s="65"/>
      <c r="AA4" s="65"/>
      <c r="AB4" s="65"/>
      <c r="AC4" s="65"/>
      <c r="AD4" s="66" t="s">
        <v>6</v>
      </c>
      <c r="AE4" s="65"/>
      <c r="AF4" s="65"/>
      <c r="AG4" s="65"/>
      <c r="AH4" s="65"/>
      <c r="AI4" s="65"/>
      <c r="AJ4" s="65"/>
      <c r="AK4" s="65"/>
      <c r="AL4" s="66" t="s">
        <v>158</v>
      </c>
      <c r="AM4" s="65"/>
      <c r="AN4" s="65"/>
      <c r="AO4" s="65"/>
      <c r="AP4" s="65"/>
      <c r="AQ4" s="65"/>
      <c r="AR4" s="65"/>
      <c r="AS4" s="65"/>
      <c r="AT4" s="66" t="s">
        <v>161</v>
      </c>
      <c r="AU4" s="65"/>
      <c r="AV4" s="65"/>
      <c r="AW4" s="65"/>
      <c r="AX4" s="65"/>
      <c r="AY4" s="65"/>
      <c r="AZ4" s="65"/>
      <c r="BA4" s="65"/>
      <c r="BB4" s="68"/>
      <c r="BC4" s="69"/>
      <c r="BD4" s="23"/>
      <c r="BE4" s="26"/>
      <c r="BF4" s="23"/>
      <c r="BG4" s="26"/>
      <c r="BH4" s="70"/>
      <c r="BI4" s="54"/>
      <c r="BJ4" s="23"/>
      <c r="BK4" s="26"/>
      <c r="BL4" s="23"/>
      <c r="BM4" s="26"/>
      <c r="BN4" s="27"/>
      <c r="BO4" s="63"/>
      <c r="BP4" s="24"/>
      <c r="BQ4" s="63"/>
      <c r="BR4" s="24"/>
      <c r="BS4" s="63"/>
      <c r="BT4" s="24"/>
      <c r="BU4" s="63"/>
      <c r="BV4" s="24"/>
      <c r="BW4" s="63"/>
      <c r="BX4" s="24"/>
      <c r="BY4" s="64"/>
      <c r="BZ4" s="49"/>
      <c r="CA4" s="50"/>
      <c r="CB4" s="51"/>
      <c r="CC4" s="50"/>
      <c r="CD4" s="51"/>
      <c r="CE4" s="50"/>
      <c r="CF4" s="51"/>
      <c r="CG4" s="50"/>
      <c r="CH4" s="51"/>
      <c r="CI4" s="50"/>
      <c r="CJ4" s="51"/>
      <c r="CK4" s="50"/>
      <c r="CL4" s="49"/>
      <c r="CM4" s="50"/>
      <c r="CN4" s="51"/>
      <c r="CO4" s="50"/>
      <c r="CP4" s="51"/>
      <c r="CQ4" s="50"/>
      <c r="CR4" s="51"/>
      <c r="CS4" s="50"/>
      <c r="CT4" s="51"/>
      <c r="CU4" s="50"/>
      <c r="CV4" s="59"/>
      <c r="CW4" s="50"/>
      <c r="CX4" s="22"/>
      <c r="CY4" s="21"/>
      <c r="CZ4" s="20"/>
      <c r="DA4" s="21"/>
      <c r="DB4" s="24"/>
      <c r="DC4" s="21"/>
      <c r="DD4" s="24"/>
      <c r="DE4" s="21"/>
      <c r="DF4" s="22"/>
      <c r="DG4" s="21"/>
      <c r="DH4" s="56"/>
      <c r="DI4" s="21"/>
      <c r="DJ4" s="56"/>
      <c r="DK4" s="21"/>
      <c r="DL4" s="22"/>
      <c r="DM4" s="21"/>
      <c r="DN4" s="20"/>
      <c r="DO4" s="21"/>
      <c r="DP4" s="24"/>
      <c r="DQ4" s="21"/>
      <c r="DR4" s="24"/>
      <c r="DS4" s="21"/>
      <c r="DT4" s="22"/>
      <c r="DU4" s="21"/>
      <c r="DV4" s="56"/>
      <c r="DW4" s="21"/>
      <c r="DX4" s="56"/>
      <c r="DY4" s="21"/>
      <c r="DZ4" s="22"/>
      <c r="EA4" s="21"/>
    </row>
    <row r="5" spans="1:131" s="5" customFormat="1" ht="42.75" customHeight="1" x14ac:dyDescent="0.2">
      <c r="F5" s="14" t="s">
        <v>8</v>
      </c>
      <c r="G5" s="14"/>
      <c r="H5" s="14" t="s">
        <v>9</v>
      </c>
      <c r="I5" s="14"/>
      <c r="J5" s="14" t="s">
        <v>10</v>
      </c>
      <c r="K5" s="14"/>
      <c r="L5" s="14" t="s">
        <v>11</v>
      </c>
      <c r="M5" s="14"/>
      <c r="N5" s="14" t="s">
        <v>8</v>
      </c>
      <c r="O5" s="14"/>
      <c r="P5" s="14" t="s">
        <v>9</v>
      </c>
      <c r="Q5" s="14"/>
      <c r="R5" s="14" t="s">
        <v>10</v>
      </c>
      <c r="S5" s="14"/>
      <c r="T5" s="14" t="s">
        <v>11</v>
      </c>
      <c r="U5" s="14"/>
      <c r="V5" s="14" t="s">
        <v>8</v>
      </c>
      <c r="W5" s="14"/>
      <c r="X5" s="14" t="s">
        <v>9</v>
      </c>
      <c r="Y5" s="14"/>
      <c r="Z5" s="14" t="s">
        <v>10</v>
      </c>
      <c r="AA5" s="14"/>
      <c r="AB5" s="14" t="s">
        <v>11</v>
      </c>
      <c r="AC5" s="14"/>
      <c r="AD5" s="14" t="s">
        <v>8</v>
      </c>
      <c r="AE5" s="14"/>
      <c r="AF5" s="14" t="s">
        <v>9</v>
      </c>
      <c r="AG5" s="14"/>
      <c r="AH5" s="14" t="s">
        <v>10</v>
      </c>
      <c r="AI5" s="14"/>
      <c r="AJ5" s="14" t="s">
        <v>11</v>
      </c>
      <c r="AK5" s="14"/>
      <c r="AL5" s="14" t="s">
        <v>8</v>
      </c>
      <c r="AM5" s="14"/>
      <c r="AN5" s="14" t="s">
        <v>9</v>
      </c>
      <c r="AO5" s="14"/>
      <c r="AP5" s="14" t="s">
        <v>10</v>
      </c>
      <c r="AQ5" s="14"/>
      <c r="AR5" s="14" t="s">
        <v>11</v>
      </c>
      <c r="AS5" s="14"/>
      <c r="AT5" s="14" t="s">
        <v>8</v>
      </c>
      <c r="AU5" s="14"/>
      <c r="AV5" s="14" t="s">
        <v>9</v>
      </c>
      <c r="AW5" s="14"/>
      <c r="AX5" s="14" t="s">
        <v>10</v>
      </c>
      <c r="AY5" s="14"/>
      <c r="AZ5" s="14" t="s">
        <v>11</v>
      </c>
      <c r="BA5" s="14"/>
      <c r="BB5" s="71" t="s">
        <v>3</v>
      </c>
      <c r="BC5" s="72"/>
      <c r="BD5" s="73" t="s">
        <v>4</v>
      </c>
      <c r="BE5" s="73"/>
      <c r="BF5" s="74" t="s">
        <v>5</v>
      </c>
      <c r="BG5" s="74"/>
      <c r="BH5" s="73" t="s">
        <v>6</v>
      </c>
      <c r="BI5" s="75"/>
      <c r="BJ5" s="60" t="s">
        <v>160</v>
      </c>
      <c r="BK5" s="61"/>
      <c r="BL5" s="60" t="s">
        <v>159</v>
      </c>
      <c r="BM5" s="61"/>
      <c r="BN5" s="49" t="s">
        <v>3</v>
      </c>
      <c r="BO5" s="51"/>
      <c r="BP5" s="51" t="s">
        <v>24</v>
      </c>
      <c r="BQ5" s="51"/>
      <c r="BR5" s="67" t="s">
        <v>25</v>
      </c>
      <c r="BS5" s="67"/>
      <c r="BT5" s="51" t="s">
        <v>6</v>
      </c>
      <c r="BU5" s="11"/>
      <c r="BV5" s="57" t="s">
        <v>160</v>
      </c>
      <c r="BW5" s="58"/>
      <c r="BX5" s="57" t="s">
        <v>159</v>
      </c>
      <c r="BY5" s="58"/>
      <c r="BZ5" s="49" t="s">
        <v>3</v>
      </c>
      <c r="CA5" s="50"/>
      <c r="CB5" s="51" t="s">
        <v>27</v>
      </c>
      <c r="CC5" s="50"/>
      <c r="CD5" s="51" t="s">
        <v>25</v>
      </c>
      <c r="CE5" s="50"/>
      <c r="CF5" s="51" t="s">
        <v>6</v>
      </c>
      <c r="CG5" s="50"/>
      <c r="CH5" s="57" t="s">
        <v>160</v>
      </c>
      <c r="CI5" s="58"/>
      <c r="CJ5" s="57" t="s">
        <v>159</v>
      </c>
      <c r="CK5" s="58"/>
      <c r="CL5" s="49" t="s">
        <v>3</v>
      </c>
      <c r="CM5" s="50"/>
      <c r="CN5" s="51" t="s">
        <v>27</v>
      </c>
      <c r="CO5" s="50"/>
      <c r="CP5" s="51" t="s">
        <v>25</v>
      </c>
      <c r="CQ5" s="50"/>
      <c r="CR5" s="51" t="s">
        <v>6</v>
      </c>
      <c r="CS5" s="50"/>
      <c r="CT5" s="57" t="s">
        <v>160</v>
      </c>
      <c r="CU5" s="58"/>
      <c r="CV5" s="57" t="s">
        <v>159</v>
      </c>
      <c r="CW5" s="58"/>
      <c r="CX5" s="22" t="s">
        <v>20</v>
      </c>
      <c r="CY5" s="13"/>
      <c r="CZ5" s="20" t="s">
        <v>3</v>
      </c>
      <c r="DA5" s="21"/>
      <c r="DB5" s="22" t="s">
        <v>27</v>
      </c>
      <c r="DC5" s="22"/>
      <c r="DD5" s="25" t="s">
        <v>25</v>
      </c>
      <c r="DE5" s="25"/>
      <c r="DF5" s="22" t="s">
        <v>6</v>
      </c>
      <c r="DG5" s="21"/>
      <c r="DH5" s="57" t="s">
        <v>160</v>
      </c>
      <c r="DI5" s="58"/>
      <c r="DJ5" s="57" t="s">
        <v>159</v>
      </c>
      <c r="DK5" s="58"/>
      <c r="DL5" s="22" t="s">
        <v>20</v>
      </c>
      <c r="DM5" s="13"/>
      <c r="DN5" s="20" t="s">
        <v>3</v>
      </c>
      <c r="DO5" s="21"/>
      <c r="DP5" s="22" t="s">
        <v>27</v>
      </c>
      <c r="DQ5" s="22"/>
      <c r="DR5" s="25" t="s">
        <v>25</v>
      </c>
      <c r="DS5" s="25"/>
      <c r="DT5" s="22" t="s">
        <v>6</v>
      </c>
      <c r="DU5" s="21"/>
      <c r="DV5" s="57" t="s">
        <v>160</v>
      </c>
      <c r="DW5" s="58"/>
      <c r="DX5" s="57" t="s">
        <v>159</v>
      </c>
      <c r="DY5" s="58"/>
      <c r="DZ5" s="22" t="s">
        <v>20</v>
      </c>
      <c r="EA5" s="13"/>
    </row>
    <row r="6" spans="1:131" s="5" customFormat="1" ht="12.75" customHeight="1" x14ac:dyDescent="0.2">
      <c r="A6" s="10" t="s">
        <v>2</v>
      </c>
      <c r="B6" s="10" t="s">
        <v>0</v>
      </c>
      <c r="C6" s="10" t="s">
        <v>18</v>
      </c>
      <c r="D6" s="12" t="s">
        <v>19</v>
      </c>
      <c r="E6" s="12" t="s">
        <v>1</v>
      </c>
      <c r="F6" s="15" t="s">
        <v>22</v>
      </c>
      <c r="G6" s="16" t="s">
        <v>28</v>
      </c>
      <c r="H6" s="15" t="s">
        <v>22</v>
      </c>
      <c r="I6" s="16" t="s">
        <v>28</v>
      </c>
      <c r="J6" s="15" t="s">
        <v>22</v>
      </c>
      <c r="K6" s="16" t="s">
        <v>28</v>
      </c>
      <c r="L6" s="15" t="s">
        <v>22</v>
      </c>
      <c r="M6" s="16" t="s">
        <v>28</v>
      </c>
      <c r="N6" s="15" t="s">
        <v>22</v>
      </c>
      <c r="O6" s="16" t="s">
        <v>28</v>
      </c>
      <c r="P6" s="15" t="s">
        <v>22</v>
      </c>
      <c r="Q6" s="16" t="s">
        <v>28</v>
      </c>
      <c r="R6" s="15" t="s">
        <v>22</v>
      </c>
      <c r="S6" s="16" t="s">
        <v>28</v>
      </c>
      <c r="T6" s="15" t="s">
        <v>22</v>
      </c>
      <c r="U6" s="16" t="s">
        <v>28</v>
      </c>
      <c r="V6" s="15" t="s">
        <v>22</v>
      </c>
      <c r="W6" s="16" t="s">
        <v>28</v>
      </c>
      <c r="X6" s="15" t="s">
        <v>22</v>
      </c>
      <c r="Y6" s="16" t="s">
        <v>28</v>
      </c>
      <c r="Z6" s="15" t="s">
        <v>22</v>
      </c>
      <c r="AA6" s="16" t="s">
        <v>28</v>
      </c>
      <c r="AB6" s="15" t="s">
        <v>22</v>
      </c>
      <c r="AC6" s="16" t="s">
        <v>28</v>
      </c>
      <c r="AD6" s="15" t="s">
        <v>22</v>
      </c>
      <c r="AE6" s="16" t="s">
        <v>28</v>
      </c>
      <c r="AF6" s="15" t="s">
        <v>22</v>
      </c>
      <c r="AG6" s="16" t="s">
        <v>28</v>
      </c>
      <c r="AH6" s="15" t="s">
        <v>22</v>
      </c>
      <c r="AI6" s="16" t="s">
        <v>28</v>
      </c>
      <c r="AJ6" s="15" t="s">
        <v>22</v>
      </c>
      <c r="AK6" s="16" t="s">
        <v>28</v>
      </c>
      <c r="AL6" s="15" t="s">
        <v>22</v>
      </c>
      <c r="AM6" s="16" t="s">
        <v>28</v>
      </c>
      <c r="AN6" s="15" t="s">
        <v>22</v>
      </c>
      <c r="AO6" s="16" t="s">
        <v>28</v>
      </c>
      <c r="AP6" s="15" t="s">
        <v>22</v>
      </c>
      <c r="AQ6" s="16" t="s">
        <v>28</v>
      </c>
      <c r="AR6" s="15" t="s">
        <v>22</v>
      </c>
      <c r="AS6" s="16" t="s">
        <v>28</v>
      </c>
      <c r="AT6" s="15" t="s">
        <v>22</v>
      </c>
      <c r="AU6" s="16" t="s">
        <v>28</v>
      </c>
      <c r="AV6" s="15" t="s">
        <v>22</v>
      </c>
      <c r="AW6" s="16" t="s">
        <v>28</v>
      </c>
      <c r="AX6" s="15" t="s">
        <v>22</v>
      </c>
      <c r="AY6" s="16" t="s">
        <v>28</v>
      </c>
      <c r="AZ6" s="15" t="s">
        <v>22</v>
      </c>
      <c r="BA6" s="16" t="s">
        <v>28</v>
      </c>
      <c r="BB6" s="36" t="s">
        <v>22</v>
      </c>
      <c r="BC6" s="16" t="s">
        <v>28</v>
      </c>
      <c r="BD6" s="15" t="s">
        <v>22</v>
      </c>
      <c r="BE6" s="16" t="s">
        <v>28</v>
      </c>
      <c r="BF6" s="15" t="s">
        <v>22</v>
      </c>
      <c r="BG6" s="16" t="s">
        <v>28</v>
      </c>
      <c r="BH6" s="15" t="s">
        <v>22</v>
      </c>
      <c r="BI6" s="16" t="s">
        <v>28</v>
      </c>
      <c r="BJ6" s="15" t="s">
        <v>22</v>
      </c>
      <c r="BK6" s="16" t="s">
        <v>28</v>
      </c>
      <c r="BL6" s="15" t="s">
        <v>22</v>
      </c>
      <c r="BM6" s="38" t="s">
        <v>28</v>
      </c>
      <c r="BN6" s="19" t="s">
        <v>22</v>
      </c>
      <c r="BO6" s="17" t="s">
        <v>28</v>
      </c>
      <c r="BP6" s="18" t="s">
        <v>22</v>
      </c>
      <c r="BQ6" s="17" t="s">
        <v>28</v>
      </c>
      <c r="BR6" s="18" t="s">
        <v>22</v>
      </c>
      <c r="BS6" s="17" t="s">
        <v>28</v>
      </c>
      <c r="BT6" s="18" t="s">
        <v>22</v>
      </c>
      <c r="BU6" s="17" t="s">
        <v>28</v>
      </c>
      <c r="BV6" s="18" t="s">
        <v>22</v>
      </c>
      <c r="BW6" s="17" t="s">
        <v>28</v>
      </c>
      <c r="BX6" s="18" t="s">
        <v>22</v>
      </c>
      <c r="BY6" s="17" t="s">
        <v>28</v>
      </c>
      <c r="BZ6" s="19" t="s">
        <v>22</v>
      </c>
      <c r="CA6" s="17" t="s">
        <v>28</v>
      </c>
      <c r="CB6" s="18" t="s">
        <v>22</v>
      </c>
      <c r="CC6" s="17" t="s">
        <v>28</v>
      </c>
      <c r="CD6" s="18" t="s">
        <v>22</v>
      </c>
      <c r="CE6" s="17" t="s">
        <v>28</v>
      </c>
      <c r="CF6" s="18" t="s">
        <v>22</v>
      </c>
      <c r="CG6" s="17" t="s">
        <v>28</v>
      </c>
      <c r="CH6" s="18" t="s">
        <v>22</v>
      </c>
      <c r="CI6" s="17" t="s">
        <v>28</v>
      </c>
      <c r="CJ6" s="18" t="s">
        <v>22</v>
      </c>
      <c r="CK6" s="17" t="s">
        <v>28</v>
      </c>
      <c r="CL6" s="19" t="s">
        <v>22</v>
      </c>
      <c r="CM6" s="17" t="s">
        <v>28</v>
      </c>
      <c r="CN6" s="18" t="s">
        <v>22</v>
      </c>
      <c r="CO6" s="17" t="s">
        <v>28</v>
      </c>
      <c r="CP6" s="18" t="s">
        <v>22</v>
      </c>
      <c r="CQ6" s="17" t="s">
        <v>28</v>
      </c>
      <c r="CR6" s="18" t="s">
        <v>22</v>
      </c>
      <c r="CS6" s="17" t="s">
        <v>28</v>
      </c>
      <c r="CT6" s="18" t="s">
        <v>22</v>
      </c>
      <c r="CU6" s="17" t="s">
        <v>28</v>
      </c>
      <c r="CV6" s="18" t="s">
        <v>22</v>
      </c>
      <c r="CW6" s="17" t="s">
        <v>28</v>
      </c>
      <c r="CX6" s="18" t="s">
        <v>22</v>
      </c>
      <c r="CY6" s="17" t="s">
        <v>28</v>
      </c>
      <c r="CZ6" s="19" t="s">
        <v>22</v>
      </c>
      <c r="DA6" s="17" t="s">
        <v>28</v>
      </c>
      <c r="DB6" s="18" t="s">
        <v>22</v>
      </c>
      <c r="DC6" s="17" t="s">
        <v>28</v>
      </c>
      <c r="DD6" s="18" t="s">
        <v>22</v>
      </c>
      <c r="DE6" s="17" t="s">
        <v>28</v>
      </c>
      <c r="DF6" s="18" t="s">
        <v>22</v>
      </c>
      <c r="DG6" s="17" t="s">
        <v>28</v>
      </c>
      <c r="DH6" s="18" t="s">
        <v>22</v>
      </c>
      <c r="DI6" s="17" t="s">
        <v>28</v>
      </c>
      <c r="DJ6" s="18" t="s">
        <v>22</v>
      </c>
      <c r="DK6" s="17" t="s">
        <v>28</v>
      </c>
      <c r="DL6" s="18" t="s">
        <v>22</v>
      </c>
      <c r="DM6" s="17" t="s">
        <v>28</v>
      </c>
      <c r="DN6" s="19" t="s">
        <v>22</v>
      </c>
      <c r="DO6" s="17" t="s">
        <v>28</v>
      </c>
      <c r="DP6" s="18" t="s">
        <v>22</v>
      </c>
      <c r="DQ6" s="17" t="s">
        <v>28</v>
      </c>
      <c r="DR6" s="18" t="s">
        <v>22</v>
      </c>
      <c r="DS6" s="17" t="s">
        <v>28</v>
      </c>
      <c r="DT6" s="18" t="s">
        <v>22</v>
      </c>
      <c r="DU6" s="17" t="s">
        <v>28</v>
      </c>
      <c r="DV6" s="18" t="s">
        <v>22</v>
      </c>
      <c r="DW6" s="17" t="s">
        <v>28</v>
      </c>
      <c r="DX6" s="18" t="s">
        <v>22</v>
      </c>
      <c r="DY6" s="17" t="s">
        <v>28</v>
      </c>
      <c r="DZ6" s="18" t="s">
        <v>22</v>
      </c>
      <c r="EA6" s="17" t="s">
        <v>28</v>
      </c>
    </row>
    <row r="7" spans="1:131" s="32" customFormat="1" ht="39" hidden="1" thickBot="1" x14ac:dyDescent="0.25">
      <c r="A7" s="30" t="s">
        <v>2</v>
      </c>
      <c r="B7" s="31" t="s">
        <v>0</v>
      </c>
      <c r="C7" s="31" t="s">
        <v>29</v>
      </c>
      <c r="D7" s="30" t="s">
        <v>30</v>
      </c>
      <c r="E7" s="30" t="s">
        <v>1</v>
      </c>
      <c r="F7" s="35" t="s">
        <v>57</v>
      </c>
      <c r="G7" s="34" t="s">
        <v>46</v>
      </c>
      <c r="H7" s="34" t="s">
        <v>58</v>
      </c>
      <c r="I7" s="33" t="s">
        <v>59</v>
      </c>
      <c r="J7" s="34" t="s">
        <v>60</v>
      </c>
      <c r="K7" s="34" t="s">
        <v>51</v>
      </c>
      <c r="L7" s="35" t="s">
        <v>61</v>
      </c>
      <c r="M7" s="35" t="s">
        <v>62</v>
      </c>
      <c r="N7" s="34" t="s">
        <v>63</v>
      </c>
      <c r="O7" s="34" t="s">
        <v>47</v>
      </c>
      <c r="P7" s="35" t="s">
        <v>64</v>
      </c>
      <c r="Q7" s="34" t="s">
        <v>65</v>
      </c>
      <c r="R7" s="34" t="s">
        <v>66</v>
      </c>
      <c r="S7" s="35" t="s">
        <v>52</v>
      </c>
      <c r="T7" s="35" t="s">
        <v>67</v>
      </c>
      <c r="U7" s="35" t="s">
        <v>68</v>
      </c>
      <c r="V7" s="34" t="s">
        <v>70</v>
      </c>
      <c r="W7" s="34" t="s">
        <v>48</v>
      </c>
      <c r="X7" s="34" t="s">
        <v>71</v>
      </c>
      <c r="Y7" s="34" t="s">
        <v>69</v>
      </c>
      <c r="Z7" s="34" t="s">
        <v>72</v>
      </c>
      <c r="AA7" s="34" t="s">
        <v>53</v>
      </c>
      <c r="AB7" s="34" t="s">
        <v>73</v>
      </c>
      <c r="AC7" s="34" t="s">
        <v>74</v>
      </c>
      <c r="AD7" s="34" t="s">
        <v>75</v>
      </c>
      <c r="AE7" s="35" t="s">
        <v>49</v>
      </c>
      <c r="AF7" s="34" t="s">
        <v>76</v>
      </c>
      <c r="AG7" s="35" t="s">
        <v>77</v>
      </c>
      <c r="AH7" s="34" t="s">
        <v>78</v>
      </c>
      <c r="AI7" s="290" t="s">
        <v>54</v>
      </c>
      <c r="AJ7" s="34" t="s">
        <v>79</v>
      </c>
      <c r="AK7" s="35" t="s">
        <v>80</v>
      </c>
      <c r="AL7" s="34" t="s">
        <v>142</v>
      </c>
      <c r="AM7" s="35" t="s">
        <v>143</v>
      </c>
      <c r="AN7" s="34" t="s">
        <v>144</v>
      </c>
      <c r="AO7" s="35" t="s">
        <v>145</v>
      </c>
      <c r="AP7" s="34" t="s">
        <v>146</v>
      </c>
      <c r="AQ7" s="290" t="s">
        <v>147</v>
      </c>
      <c r="AR7" s="34" t="s">
        <v>148</v>
      </c>
      <c r="AS7" s="35" t="s">
        <v>149</v>
      </c>
      <c r="AT7" s="34" t="s">
        <v>81</v>
      </c>
      <c r="AU7" s="35" t="s">
        <v>50</v>
      </c>
      <c r="AV7" s="34" t="s">
        <v>82</v>
      </c>
      <c r="AW7" s="35" t="s">
        <v>83</v>
      </c>
      <c r="AX7" s="34" t="s">
        <v>84</v>
      </c>
      <c r="AY7" s="290" t="s">
        <v>55</v>
      </c>
      <c r="AZ7" s="34" t="s">
        <v>85</v>
      </c>
      <c r="BA7" s="35" t="s">
        <v>86</v>
      </c>
      <c r="BB7" s="37" t="s">
        <v>98</v>
      </c>
      <c r="BC7" s="34" t="s">
        <v>97</v>
      </c>
      <c r="BD7" s="35" t="s">
        <v>99</v>
      </c>
      <c r="BE7" s="34" t="s">
        <v>100</v>
      </c>
      <c r="BF7" s="35" t="s">
        <v>101</v>
      </c>
      <c r="BG7" s="34" t="s">
        <v>102</v>
      </c>
      <c r="BH7" s="35" t="s">
        <v>103</v>
      </c>
      <c r="BI7" s="34" t="s">
        <v>104</v>
      </c>
      <c r="BJ7" s="35" t="s">
        <v>152</v>
      </c>
      <c r="BK7" s="34" t="s">
        <v>153</v>
      </c>
      <c r="BL7" s="35" t="s">
        <v>105</v>
      </c>
      <c r="BM7" s="34" t="s">
        <v>106</v>
      </c>
      <c r="BN7" s="34" t="s">
        <v>87</v>
      </c>
      <c r="BO7" s="34" t="s">
        <v>88</v>
      </c>
      <c r="BP7" s="34" t="s">
        <v>89</v>
      </c>
      <c r="BQ7" s="34" t="s">
        <v>90</v>
      </c>
      <c r="BR7" s="34" t="s">
        <v>91</v>
      </c>
      <c r="BS7" s="34" t="s">
        <v>92</v>
      </c>
      <c r="BT7" s="34" t="s">
        <v>93</v>
      </c>
      <c r="BU7" s="34" t="s">
        <v>94</v>
      </c>
      <c r="BV7" s="34" t="s">
        <v>150</v>
      </c>
      <c r="BW7" s="34" t="s">
        <v>151</v>
      </c>
      <c r="BX7" s="34" t="s">
        <v>95</v>
      </c>
      <c r="BY7" s="34" t="s">
        <v>96</v>
      </c>
      <c r="BZ7" s="39" t="s">
        <v>107</v>
      </c>
      <c r="CA7" s="34" t="s">
        <v>108</v>
      </c>
      <c r="CB7" s="34" t="s">
        <v>109</v>
      </c>
      <c r="CC7" s="34" t="s">
        <v>110</v>
      </c>
      <c r="CD7" s="34" t="s">
        <v>111</v>
      </c>
      <c r="CE7" s="34" t="s">
        <v>112</v>
      </c>
      <c r="CF7" s="34" t="s">
        <v>113</v>
      </c>
      <c r="CG7" s="34" t="s">
        <v>114</v>
      </c>
      <c r="CH7" s="34" t="s">
        <v>154</v>
      </c>
      <c r="CI7" s="34" t="s">
        <v>155</v>
      </c>
      <c r="CJ7" s="34" t="s">
        <v>115</v>
      </c>
      <c r="CK7" s="34" t="s">
        <v>116</v>
      </c>
      <c r="CL7" s="37" t="s">
        <v>117</v>
      </c>
      <c r="CM7" s="34" t="s">
        <v>56</v>
      </c>
      <c r="CN7" s="35" t="s">
        <v>118</v>
      </c>
      <c r="CO7" s="35" t="s">
        <v>119</v>
      </c>
      <c r="CP7" s="35" t="s">
        <v>120</v>
      </c>
      <c r="CQ7" s="35" t="s">
        <v>121</v>
      </c>
      <c r="CR7" s="35" t="s">
        <v>122</v>
      </c>
      <c r="CS7" s="35" t="s">
        <v>123</v>
      </c>
      <c r="CT7" s="35" t="s">
        <v>156</v>
      </c>
      <c r="CU7" s="35" t="s">
        <v>157</v>
      </c>
      <c r="CV7" s="35" t="s">
        <v>124</v>
      </c>
      <c r="CW7" s="35" t="s">
        <v>125</v>
      </c>
      <c r="CX7" s="35" t="s">
        <v>126</v>
      </c>
      <c r="CY7" s="34" t="s">
        <v>127</v>
      </c>
      <c r="CZ7" s="39" t="s">
        <v>128</v>
      </c>
      <c r="DA7" s="34" t="s">
        <v>129</v>
      </c>
      <c r="DB7" s="35" t="s">
        <v>130</v>
      </c>
      <c r="DC7" s="35" t="s">
        <v>131</v>
      </c>
      <c r="DD7" s="35" t="s">
        <v>132</v>
      </c>
      <c r="DE7" s="35" t="s">
        <v>133</v>
      </c>
      <c r="DF7" s="35" t="s">
        <v>134</v>
      </c>
      <c r="DG7" s="35" t="s">
        <v>135</v>
      </c>
      <c r="DH7" s="35" t="s">
        <v>136</v>
      </c>
      <c r="DI7" s="35" t="s">
        <v>137</v>
      </c>
      <c r="DJ7" s="35" t="s">
        <v>138</v>
      </c>
      <c r="DK7" s="35" t="s">
        <v>139</v>
      </c>
      <c r="DL7" s="35" t="s">
        <v>140</v>
      </c>
      <c r="DM7" s="35" t="s">
        <v>141</v>
      </c>
      <c r="DN7" s="39" t="s">
        <v>322</v>
      </c>
      <c r="DO7" s="39" t="s">
        <v>323</v>
      </c>
      <c r="DP7" s="39" t="s">
        <v>324</v>
      </c>
      <c r="DQ7" s="39" t="s">
        <v>325</v>
      </c>
      <c r="DR7" s="39" t="s">
        <v>326</v>
      </c>
      <c r="DS7" s="39" t="s">
        <v>327</v>
      </c>
      <c r="DT7" s="39" t="s">
        <v>328</v>
      </c>
      <c r="DU7" s="39" t="s">
        <v>329</v>
      </c>
      <c r="DV7" s="39" t="s">
        <v>330</v>
      </c>
      <c r="DW7" s="39" t="s">
        <v>331</v>
      </c>
      <c r="DX7" s="39" t="s">
        <v>332</v>
      </c>
      <c r="DY7" s="39" t="s">
        <v>333</v>
      </c>
      <c r="DZ7" s="39" t="s">
        <v>335</v>
      </c>
      <c r="EA7" s="39" t="s">
        <v>334</v>
      </c>
    </row>
    <row r="8" spans="1:131" ht="15" x14ac:dyDescent="0.2">
      <c r="A8" s="481" t="s">
        <v>31</v>
      </c>
      <c r="B8" s="440" t="s">
        <v>787</v>
      </c>
      <c r="C8" s="443"/>
      <c r="D8" s="377">
        <v>100858</v>
      </c>
      <c r="E8" s="377">
        <v>1</v>
      </c>
      <c r="F8" s="598">
        <v>275</v>
      </c>
      <c r="G8" s="599">
        <v>270</v>
      </c>
      <c r="H8" s="600"/>
      <c r="I8" s="601"/>
      <c r="J8" s="600">
        <v>172</v>
      </c>
      <c r="K8" s="599"/>
      <c r="L8" s="600"/>
      <c r="M8" s="601">
        <v>173</v>
      </c>
      <c r="N8" s="600">
        <v>281</v>
      </c>
      <c r="O8" s="599">
        <v>302</v>
      </c>
      <c r="P8" s="600"/>
      <c r="Q8" s="601"/>
      <c r="R8" s="600">
        <v>90</v>
      </c>
      <c r="S8" s="599"/>
      <c r="T8" s="600"/>
      <c r="U8" s="601">
        <v>95</v>
      </c>
      <c r="V8" s="600">
        <v>194</v>
      </c>
      <c r="W8" s="599">
        <v>192</v>
      </c>
      <c r="X8" s="600"/>
      <c r="Y8" s="601">
        <v>0</v>
      </c>
      <c r="Z8" s="600">
        <v>61</v>
      </c>
      <c r="AA8" s="599"/>
      <c r="AB8" s="600"/>
      <c r="AC8" s="601">
        <v>57</v>
      </c>
      <c r="AD8" s="600">
        <v>80</v>
      </c>
      <c r="AE8" s="599">
        <v>80</v>
      </c>
      <c r="AF8" s="600"/>
      <c r="AG8" s="601">
        <v>0</v>
      </c>
      <c r="AH8" s="600">
        <v>14</v>
      </c>
      <c r="AI8" s="599"/>
      <c r="AJ8" s="600"/>
      <c r="AK8" s="601">
        <v>16</v>
      </c>
      <c r="AL8" s="600">
        <v>8</v>
      </c>
      <c r="AM8" s="599">
        <v>7</v>
      </c>
      <c r="AN8" s="600"/>
      <c r="AO8" s="601"/>
      <c r="AP8" s="600">
        <v>2</v>
      </c>
      <c r="AQ8" s="599"/>
      <c r="AR8" s="600"/>
      <c r="AS8" s="601"/>
      <c r="AT8" s="600"/>
      <c r="AU8" s="599"/>
      <c r="AV8" s="600"/>
      <c r="AW8" s="601"/>
      <c r="AX8" s="600"/>
      <c r="AY8" s="599"/>
      <c r="AZ8" s="600"/>
      <c r="BA8" s="601"/>
      <c r="BB8" s="602">
        <v>52252360</v>
      </c>
      <c r="BC8" s="603">
        <v>52958406</v>
      </c>
      <c r="BD8" s="600">
        <v>29879225</v>
      </c>
      <c r="BE8" s="603">
        <v>32282931</v>
      </c>
      <c r="BF8" s="600">
        <v>17774528</v>
      </c>
      <c r="BG8" s="603">
        <v>17966199</v>
      </c>
      <c r="BH8" s="600">
        <v>3989237</v>
      </c>
      <c r="BI8" s="603">
        <v>4224851</v>
      </c>
      <c r="BJ8" s="600">
        <v>563491</v>
      </c>
      <c r="BK8" s="603">
        <v>404000</v>
      </c>
      <c r="BL8" s="600">
        <v>0</v>
      </c>
      <c r="BM8" s="604"/>
      <c r="BN8" s="605">
        <f t="shared" ref="BN8" si="35">((F8*9)+(H8*10)+(J8*11)+(L8*12))</f>
        <v>4367</v>
      </c>
      <c r="BO8" s="606">
        <f t="shared" ref="BO8" si="36">((G8*9)+(I8*10)+(K8*11)+(M8*12))</f>
        <v>4506</v>
      </c>
      <c r="BP8" s="607">
        <f t="shared" ref="BP8" si="37">((N8*9)+(P8*10)+(R8*11)+(T8*12))</f>
        <v>3519</v>
      </c>
      <c r="BQ8" s="606">
        <f t="shared" ref="BQ8" si="38">((O8*9)+(Q8*10)+(S8*11)+(U8*12))</f>
        <v>3858</v>
      </c>
      <c r="BR8" s="607">
        <f t="shared" ref="BR8" si="39">((V8*9)+(X8*10)+(Z8*11)+(AB8*12))</f>
        <v>2417</v>
      </c>
      <c r="BS8" s="606">
        <f t="shared" ref="BS8" si="40">((W8*9)+(Y8*10)+(AA8*11)+(AC8*12))</f>
        <v>2412</v>
      </c>
      <c r="BT8" s="607">
        <f t="shared" ref="BT8" si="41">((AD8*9)+(AF8*10)+(AH8*11)+(AJ8*12))</f>
        <v>874</v>
      </c>
      <c r="BU8" s="606">
        <f t="shared" ref="BU8" si="42">((AE8*9)+(AG8*10)+(AI8*11)+(AK8*12))</f>
        <v>912</v>
      </c>
      <c r="BV8" s="607">
        <f t="shared" ref="BV8" si="43">((AL8*9)+(AN8*10)+(AP8*11)+(AR8*12))</f>
        <v>94</v>
      </c>
      <c r="BW8" s="608">
        <f t="shared" ref="BW8" si="44">((AM8*9)+(AO8*10)+(AQ8*11)+(AS8*12))</f>
        <v>63</v>
      </c>
      <c r="BX8" s="607">
        <f t="shared" ref="BX8" si="45">((AT8*9)+(AV8*10)+(AX8*11)+(AZ8*12))</f>
        <v>0</v>
      </c>
      <c r="BY8" s="608">
        <f t="shared" ref="BY8" si="46">((AU8*9)+(AW8*10)+(AY8*11)+(BA8*12))</f>
        <v>0</v>
      </c>
      <c r="BZ8" s="607">
        <f t="shared" ref="BZ8" si="47">IF(BN8&gt;0,BB8/BN8,)</f>
        <v>11965.275933134875</v>
      </c>
      <c r="CA8" s="608">
        <f t="shared" ref="CA8" si="48">IF(BO8&gt;0,BC8/BO8,)</f>
        <v>11752.864181091878</v>
      </c>
      <c r="CB8" s="607">
        <f t="shared" ref="CB8" si="49">IF(BP8&gt;0,BD8/BP8,)</f>
        <v>8490.8283603296386</v>
      </c>
      <c r="CC8" s="608">
        <f t="shared" ref="CC8" si="50">IF(BQ8&gt;0,BE8/BQ8,)</f>
        <v>8367.7892690513218</v>
      </c>
      <c r="CD8" s="607">
        <f t="shared" ref="CD8" si="51">IF(BR8&gt;0,BF8/BR8,)</f>
        <v>7353.9627637567228</v>
      </c>
      <c r="CE8" s="608">
        <f t="shared" ref="CE8" si="52">IF(BS8&gt;0,BG8/BS8,)</f>
        <v>7448.6728855721394</v>
      </c>
      <c r="CF8" s="607">
        <f t="shared" ref="CF8" si="53">IF(BT8&gt;0,BH8/BT8,)</f>
        <v>4564.3443935926771</v>
      </c>
      <c r="CG8" s="608">
        <f t="shared" ref="CG8" si="54">IF(BU8&gt;0,BI8/BU8,)</f>
        <v>4632.5120614035086</v>
      </c>
      <c r="CH8" s="607">
        <f t="shared" ref="CH8" si="55">IF(BV8&gt;0,BJ8/BV8,)</f>
        <v>5994.5851063829787</v>
      </c>
      <c r="CI8" s="608">
        <f t="shared" ref="CI8" si="56">IF(BW8&gt;0,BK8/BW8,)</f>
        <v>6412.6984126984125</v>
      </c>
      <c r="CJ8" s="607">
        <f t="shared" ref="CJ8" si="57">IF(BX8&gt;0,BL8/BX8,)</f>
        <v>0</v>
      </c>
      <c r="CK8" s="608">
        <f t="shared" ref="CK8" si="58">IF(BY8&gt;0,BM8/BY8,)</f>
        <v>0</v>
      </c>
      <c r="CL8" s="609">
        <f t="shared" ref="CL8" si="59">+BZ8*9</f>
        <v>107687.48339821388</v>
      </c>
      <c r="CM8" s="608">
        <f t="shared" ref="CM8" si="60">+CA8*9</f>
        <v>105775.7776298269</v>
      </c>
      <c r="CN8" s="610">
        <f t="shared" ref="CN8" si="61">+CB8*9</f>
        <v>76417.455242966753</v>
      </c>
      <c r="CO8" s="606">
        <f t="shared" ref="CO8" si="62">+CC8*9</f>
        <v>75310.103421461899</v>
      </c>
      <c r="CP8" s="607">
        <f t="shared" ref="CP8" si="63">+CD8*9</f>
        <v>66185.6648738105</v>
      </c>
      <c r="CQ8" s="606">
        <f t="shared" ref="CQ8" si="64">+CE8*9</f>
        <v>67038.05597014926</v>
      </c>
      <c r="CR8" s="607">
        <f t="shared" ref="CR8" si="65">+CF8*9</f>
        <v>41079.099542334094</v>
      </c>
      <c r="CS8" s="606">
        <f t="shared" ref="CS8" si="66">+CG8*9</f>
        <v>41692.60855263158</v>
      </c>
      <c r="CT8" s="607">
        <f t="shared" ref="CT8" si="67">+CH8*9</f>
        <v>53951.265957446805</v>
      </c>
      <c r="CU8" s="608">
        <f t="shared" ref="CU8" si="68">+CI8*9</f>
        <v>57714.28571428571</v>
      </c>
      <c r="CV8" s="610">
        <f t="shared" ref="CV8" si="69">+CJ8*9</f>
        <v>0</v>
      </c>
      <c r="CW8" s="608">
        <f t="shared" ref="CW8" si="70">+CK8*9</f>
        <v>0</v>
      </c>
      <c r="CX8" s="610">
        <f t="shared" ref="CX8" si="71">IF(DL8&gt;0,((CL8*CZ8)+(CN8*DB8)+(CP8*DD8)+(CR8*DF8)+(CT8*DH8)+(CV8*DJ8))/DL8,)</f>
        <v>83063.274030176559</v>
      </c>
      <c r="CY8" s="611">
        <f t="shared" ref="CY8" si="72">IF(DM8&gt;0,((CM8*DA8)+(CO8*DC8)+(CQ8*DE8)+(CS8*DG8)+(CU8*DI8)+(CW8*DK8))/DM8,)</f>
        <v>82093.747404323396</v>
      </c>
      <c r="CZ8" s="605">
        <f t="shared" ref="CZ8" si="73">+F8+H8+J8+L8</f>
        <v>447</v>
      </c>
      <c r="DA8" s="612">
        <f t="shared" ref="DA8" si="74">+G8+I8+K8+M8</f>
        <v>443</v>
      </c>
      <c r="DB8" s="607">
        <f t="shared" ref="DB8" si="75">+N8+P8+R8+T8</f>
        <v>371</v>
      </c>
      <c r="DC8" s="606">
        <f t="shared" ref="DC8" si="76">+O8+Q8+S8+U8</f>
        <v>397</v>
      </c>
      <c r="DD8" s="607">
        <f t="shared" ref="DD8" si="77">+V8+X8+Z8+AB8</f>
        <v>255</v>
      </c>
      <c r="DE8" s="606">
        <f t="shared" ref="DE8" si="78">+W8+Y8+AA8+AC8</f>
        <v>249</v>
      </c>
      <c r="DF8" s="607">
        <f t="shared" ref="DF8" si="79">+AD8+AF8+AH8+AJ8</f>
        <v>94</v>
      </c>
      <c r="DG8" s="606">
        <f t="shared" ref="DG8" si="80">+AE8+AG8+AI8+AK8</f>
        <v>96</v>
      </c>
      <c r="DH8" s="607">
        <f t="shared" ref="DH8" si="81">+AL8+AN8+AP8+AR8</f>
        <v>10</v>
      </c>
      <c r="DI8" s="608">
        <f t="shared" ref="DI8" si="82">+AM8+AO8+AQ8+AS8</f>
        <v>7</v>
      </c>
      <c r="DJ8" s="607">
        <f t="shared" ref="DJ8" si="83">+AT8+AV8+AX8+AZ8</f>
        <v>0</v>
      </c>
      <c r="DK8" s="608">
        <f t="shared" ref="DK8" si="84">+AU8+AW8+AY8+BA8</f>
        <v>0</v>
      </c>
      <c r="DL8" s="607">
        <f t="shared" ref="DL8" si="85">+CZ8+DB8+DD8+DF8+DH8+DJ8</f>
        <v>1177</v>
      </c>
      <c r="DM8" s="608">
        <f t="shared" ref="DM8" si="86">+DA8+DC8+DE8+DG8+DI8+DK8</f>
        <v>1192</v>
      </c>
      <c r="DN8" s="607">
        <f t="shared" ref="DN8" si="87">+CZ8*CL8</f>
        <v>48136305.079001606</v>
      </c>
      <c r="DO8" s="612">
        <f t="shared" ref="DO8" si="88">+DA8*CM8</f>
        <v>46858669.490013316</v>
      </c>
      <c r="DP8" s="607">
        <f t="shared" ref="DP8" si="89">+DB8*CN8</f>
        <v>28350875.895140667</v>
      </c>
      <c r="DQ8" s="606">
        <f t="shared" ref="DQ8" si="90">+DC8*CO8</f>
        <v>29898111.058320373</v>
      </c>
      <c r="DR8" s="607">
        <f t="shared" ref="DR8" si="91">+DD8*CP8</f>
        <v>16877344.542821676</v>
      </c>
      <c r="DS8" s="606">
        <f t="shared" ref="DS8" si="92">+DE8*CQ8</f>
        <v>16692475.936567165</v>
      </c>
      <c r="DT8" s="607">
        <f t="shared" ref="DT8" si="93">+DF8*CR8</f>
        <v>3861435.3569794046</v>
      </c>
      <c r="DU8" s="606">
        <f t="shared" ref="DU8" si="94">+DG8*CS8</f>
        <v>4002490.4210526319</v>
      </c>
      <c r="DV8" s="607">
        <f t="shared" ref="DV8" si="95">+DH8*CT8</f>
        <v>539512.65957446804</v>
      </c>
      <c r="DW8" s="608">
        <f t="shared" ref="DW8" si="96">+DI8*CU8</f>
        <v>404000</v>
      </c>
      <c r="DX8" s="607">
        <f t="shared" ref="DX8" si="97">+DJ8*CV8</f>
        <v>0</v>
      </c>
      <c r="DY8" s="608">
        <f t="shared" ref="DY8" si="98">+DK8*CW8</f>
        <v>0</v>
      </c>
      <c r="DZ8" s="607">
        <f t="shared" ref="DZ8" si="99">+DL8*CX8</f>
        <v>97765473.533517808</v>
      </c>
      <c r="EA8" s="608">
        <f t="shared" ref="EA8" si="100">+DM8*CY8</f>
        <v>97855746.905953482</v>
      </c>
    </row>
    <row r="9" spans="1:131" ht="15" x14ac:dyDescent="0.2">
      <c r="A9" s="481" t="s">
        <v>31</v>
      </c>
      <c r="B9" s="440" t="s">
        <v>791</v>
      </c>
      <c r="C9" s="443"/>
      <c r="D9" s="377">
        <v>100751</v>
      </c>
      <c r="E9" s="377">
        <v>1</v>
      </c>
      <c r="F9" s="598">
        <v>302</v>
      </c>
      <c r="G9" s="613">
        <v>304</v>
      </c>
      <c r="H9" s="600"/>
      <c r="I9" s="613"/>
      <c r="J9" s="600">
        <v>31</v>
      </c>
      <c r="K9" s="613"/>
      <c r="L9" s="600"/>
      <c r="M9" s="613">
        <v>34</v>
      </c>
      <c r="N9" s="600">
        <v>258</v>
      </c>
      <c r="O9" s="599">
        <v>274</v>
      </c>
      <c r="P9" s="600"/>
      <c r="Q9" s="613"/>
      <c r="R9" s="600">
        <v>35</v>
      </c>
      <c r="S9" s="613"/>
      <c r="T9" s="600"/>
      <c r="U9" s="601">
        <v>35</v>
      </c>
      <c r="V9" s="600">
        <v>285</v>
      </c>
      <c r="W9" s="599">
        <v>275</v>
      </c>
      <c r="X9" s="600"/>
      <c r="Y9" s="613">
        <v>0</v>
      </c>
      <c r="Z9" s="600">
        <v>59</v>
      </c>
      <c r="AA9" s="613"/>
      <c r="AB9" s="600"/>
      <c r="AC9" s="601">
        <v>52</v>
      </c>
      <c r="AD9" s="600">
        <v>198</v>
      </c>
      <c r="AE9" s="599">
        <v>217</v>
      </c>
      <c r="AF9" s="600"/>
      <c r="AG9" s="601">
        <v>0</v>
      </c>
      <c r="AH9" s="600">
        <v>34</v>
      </c>
      <c r="AI9" s="613"/>
      <c r="AJ9" s="600"/>
      <c r="AK9" s="613">
        <v>36</v>
      </c>
      <c r="AL9" s="600">
        <v>11</v>
      </c>
      <c r="AM9" s="613">
        <v>8</v>
      </c>
      <c r="AN9" s="600"/>
      <c r="AO9" s="613"/>
      <c r="AP9" s="600">
        <v>4</v>
      </c>
      <c r="AQ9" s="613"/>
      <c r="AR9" s="600"/>
      <c r="AS9" s="613">
        <v>4</v>
      </c>
      <c r="AT9" s="600"/>
      <c r="AU9" s="613"/>
      <c r="AV9" s="600"/>
      <c r="AW9" s="613"/>
      <c r="AX9" s="600"/>
      <c r="AY9" s="613"/>
      <c r="AZ9" s="600"/>
      <c r="BA9" s="613"/>
      <c r="BB9" s="602">
        <v>43823231</v>
      </c>
      <c r="BC9" s="603">
        <v>45542930</v>
      </c>
      <c r="BD9" s="600">
        <v>26212908</v>
      </c>
      <c r="BE9" s="603">
        <v>28154504</v>
      </c>
      <c r="BF9" s="600">
        <v>23474762</v>
      </c>
      <c r="BG9" s="603">
        <v>22617295</v>
      </c>
      <c r="BH9" s="600">
        <v>10208079</v>
      </c>
      <c r="BI9" s="603">
        <v>11638062</v>
      </c>
      <c r="BJ9" s="600">
        <v>1154909</v>
      </c>
      <c r="BK9" s="603">
        <v>965220</v>
      </c>
      <c r="BL9" s="600">
        <v>0</v>
      </c>
      <c r="BM9" s="614"/>
      <c r="BN9" s="605">
        <f t="shared" ref="BN9:BN72" si="101">((F9*9)+(H9*10)+(J9*11)+(L9*12))</f>
        <v>3059</v>
      </c>
      <c r="BO9" s="606">
        <f t="shared" ref="BO9:BO72" si="102">((G9*9)+(I9*10)+(K9*11)+(M9*12))</f>
        <v>3144</v>
      </c>
      <c r="BP9" s="607">
        <f t="shared" ref="BP9:BP72" si="103">((N9*9)+(P9*10)+(R9*11)+(T9*12))</f>
        <v>2707</v>
      </c>
      <c r="BQ9" s="606">
        <f t="shared" ref="BQ9:BQ72" si="104">((O9*9)+(Q9*10)+(S9*11)+(U9*12))</f>
        <v>2886</v>
      </c>
      <c r="BR9" s="607">
        <f t="shared" ref="BR9:BR72" si="105">((V9*9)+(X9*10)+(Z9*11)+(AB9*12))</f>
        <v>3214</v>
      </c>
      <c r="BS9" s="606">
        <f t="shared" ref="BS9:BS72" si="106">((W9*9)+(Y9*10)+(AA9*11)+(AC9*12))</f>
        <v>3099</v>
      </c>
      <c r="BT9" s="607">
        <f t="shared" ref="BT9:BT72" si="107">((AD9*9)+(AF9*10)+(AH9*11)+(AJ9*12))</f>
        <v>2156</v>
      </c>
      <c r="BU9" s="606">
        <f t="shared" ref="BU9:BU72" si="108">((AE9*9)+(AG9*10)+(AI9*11)+(AK9*12))</f>
        <v>2385</v>
      </c>
      <c r="BV9" s="607">
        <f t="shared" ref="BV9:BV72" si="109">((AL9*9)+(AN9*10)+(AP9*11)+(AR9*12))</f>
        <v>143</v>
      </c>
      <c r="BW9" s="608">
        <f t="shared" ref="BW9:BW72" si="110">((AM9*9)+(AO9*10)+(AQ9*11)+(AS9*12))</f>
        <v>120</v>
      </c>
      <c r="BX9" s="607">
        <f t="shared" ref="BX9:BX72" si="111">((AT9*9)+(AV9*10)+(AX9*11)+(AZ9*12))</f>
        <v>0</v>
      </c>
      <c r="BY9" s="608">
        <f t="shared" ref="BY9:BY72" si="112">((AU9*9)+(AW9*10)+(AY9*11)+(BA9*12))</f>
        <v>0</v>
      </c>
      <c r="BZ9" s="607">
        <f t="shared" ref="BZ9:BZ72" si="113">IF(BN9&gt;0,BB9/BN9,)</f>
        <v>14325.999019287348</v>
      </c>
      <c r="CA9" s="608">
        <f t="shared" ref="CA9:CA72" si="114">IF(BO9&gt;0,BC9/BO9,)</f>
        <v>14485.664758269721</v>
      </c>
      <c r="CB9" s="607">
        <f t="shared" ref="CB9:CB72" si="115">IF(BP9&gt;0,BD9/BP9,)</f>
        <v>9683.3793867750283</v>
      </c>
      <c r="CC9" s="608">
        <f t="shared" ref="CC9:CC72" si="116">IF(BQ9&gt;0,BE9/BQ9,)</f>
        <v>9755.5453915453909</v>
      </c>
      <c r="CD9" s="607">
        <f t="shared" ref="CD9:CD72" si="117">IF(BR9&gt;0,BF9/BR9,)</f>
        <v>7303.9085252022405</v>
      </c>
      <c r="CE9" s="608">
        <f t="shared" ref="CE9:CE72" si="118">IF(BS9&gt;0,BG9/BS9,)</f>
        <v>7298.2558889964503</v>
      </c>
      <c r="CF9" s="607">
        <f t="shared" ref="CF9:CF72" si="119">IF(BT9&gt;0,BH9/BT9,)</f>
        <v>4734.7305194805194</v>
      </c>
      <c r="CG9" s="608">
        <f t="shared" ref="CG9:CG72" si="120">IF(BU9&gt;0,BI9/BU9,)</f>
        <v>4879.6905660377361</v>
      </c>
      <c r="CH9" s="607">
        <f t="shared" ref="CH9:CH72" si="121">IF(BV9&gt;0,BJ9/BV9,)</f>
        <v>8076.2867132867132</v>
      </c>
      <c r="CI9" s="608">
        <f t="shared" ref="CI9:CI72" si="122">IF(BW9&gt;0,BK9/BW9,)</f>
        <v>8043.5</v>
      </c>
      <c r="CJ9" s="607">
        <f t="shared" ref="CJ9:CJ72" si="123">IF(BX9&gt;0,BL9/BX9,)</f>
        <v>0</v>
      </c>
      <c r="CK9" s="608">
        <f t="shared" ref="CK9:CK72" si="124">IF(BY9&gt;0,BM9/BY9,)</f>
        <v>0</v>
      </c>
      <c r="CL9" s="609">
        <f t="shared" ref="CL9:CL72" si="125">+BZ9*9</f>
        <v>128933.99117358614</v>
      </c>
      <c r="CM9" s="608">
        <f t="shared" ref="CM9:CM72" si="126">+CA9*9</f>
        <v>130370.98282442748</v>
      </c>
      <c r="CN9" s="610">
        <f t="shared" ref="CN9:CN72" si="127">+CB9*9</f>
        <v>87150.414480975247</v>
      </c>
      <c r="CO9" s="606">
        <f t="shared" ref="CO9:CO72" si="128">+CC9*9</f>
        <v>87799.908523908525</v>
      </c>
      <c r="CP9" s="607">
        <f t="shared" ref="CP9:CP72" si="129">+CD9*9</f>
        <v>65735.176726820166</v>
      </c>
      <c r="CQ9" s="606">
        <f t="shared" ref="CQ9:CQ72" si="130">+CE9*9</f>
        <v>65684.303000968051</v>
      </c>
      <c r="CR9" s="607">
        <f t="shared" ref="CR9:CR72" si="131">+CF9*9</f>
        <v>42612.574675324679</v>
      </c>
      <c r="CS9" s="606">
        <f t="shared" ref="CS9:CS72" si="132">+CG9*9</f>
        <v>43917.215094339626</v>
      </c>
      <c r="CT9" s="607">
        <f t="shared" ref="CT9:CT72" si="133">+CH9*9</f>
        <v>72686.580419580423</v>
      </c>
      <c r="CU9" s="608">
        <f t="shared" ref="CU9:CU72" si="134">+CI9*9</f>
        <v>72391.5</v>
      </c>
      <c r="CV9" s="610">
        <f t="shared" ref="CV9:CV72" si="135">+CJ9*9</f>
        <v>0</v>
      </c>
      <c r="CW9" s="608">
        <f t="shared" ref="CW9:CW72" si="136">+CK9*9</f>
        <v>0</v>
      </c>
      <c r="CX9" s="610">
        <f t="shared" ref="CX9:CX72" si="137">IF(DL9&gt;0,((CL9*CZ9)+(CN9*DB9)+(CP9*DD9)+(CR9*DF9)+(CT9*DH9)+(CV9*DJ9))/DL9,)</f>
        <v>83861.468634942546</v>
      </c>
      <c r="CY9" s="611">
        <f t="shared" ref="CY9:CY72" si="138">IF(DM9&gt;0,((CM9*DA9)+(CO9*DC9)+(CQ9*DE9)+(CS9*DG9)+(CU9*DI9)+(CW9*DK9))/DM9,)</f>
        <v>84466.573388804449</v>
      </c>
      <c r="CZ9" s="605">
        <f t="shared" ref="CZ9:CZ72" si="139">+F9+H9+J9+L9</f>
        <v>333</v>
      </c>
      <c r="DA9" s="612">
        <f t="shared" ref="DA9:DA72" si="140">+G9+I9+K9+M9</f>
        <v>338</v>
      </c>
      <c r="DB9" s="607">
        <f t="shared" ref="DB9:DB72" si="141">+N9+P9+R9+T9</f>
        <v>293</v>
      </c>
      <c r="DC9" s="606">
        <f t="shared" ref="DC9:DC72" si="142">+O9+Q9+S9+U9</f>
        <v>309</v>
      </c>
      <c r="DD9" s="607">
        <f t="shared" ref="DD9:DD72" si="143">+V9+X9+Z9+AB9</f>
        <v>344</v>
      </c>
      <c r="DE9" s="606">
        <f t="shared" ref="DE9:DE72" si="144">+W9+Y9+AA9+AC9</f>
        <v>327</v>
      </c>
      <c r="DF9" s="607">
        <f t="shared" ref="DF9:DF72" si="145">+AD9+AF9+AH9+AJ9</f>
        <v>232</v>
      </c>
      <c r="DG9" s="606">
        <f t="shared" ref="DG9:DG72" si="146">+AE9+AG9+AI9+AK9</f>
        <v>253</v>
      </c>
      <c r="DH9" s="607">
        <f t="shared" ref="DH9:DH72" si="147">+AL9+AN9+AP9+AR9</f>
        <v>15</v>
      </c>
      <c r="DI9" s="608">
        <f t="shared" ref="DI9:DI72" si="148">+AM9+AO9+AQ9+AS9</f>
        <v>12</v>
      </c>
      <c r="DJ9" s="607">
        <f t="shared" ref="DJ9:DJ72" si="149">+AT9+AV9+AX9+AZ9</f>
        <v>0</v>
      </c>
      <c r="DK9" s="608">
        <f t="shared" ref="DK9:DK72" si="150">+AU9+AW9+AY9+BA9</f>
        <v>0</v>
      </c>
      <c r="DL9" s="607">
        <f t="shared" ref="DL9:DL72" si="151">+CZ9+DB9+DD9+DF9+DH9+DJ9</f>
        <v>1217</v>
      </c>
      <c r="DM9" s="608">
        <f t="shared" ref="DM9:DM72" si="152">+DA9+DC9+DE9+DG9+DI9+DK9</f>
        <v>1239</v>
      </c>
      <c r="DN9" s="607">
        <f t="shared" ref="DN9:DN72" si="153">+CZ9*CL9</f>
        <v>42935019.060804181</v>
      </c>
      <c r="DO9" s="612">
        <f t="shared" ref="DO9:DO72" si="154">+DA9*CM9</f>
        <v>44065392.194656491</v>
      </c>
      <c r="DP9" s="607">
        <f t="shared" ref="DP9:DP72" si="155">+DB9*CN9</f>
        <v>25535071.442925747</v>
      </c>
      <c r="DQ9" s="606">
        <f t="shared" ref="DQ9:DQ72" si="156">+DC9*CO9</f>
        <v>27130171.733887736</v>
      </c>
      <c r="DR9" s="607">
        <f t="shared" ref="DR9:DR72" si="157">+DD9*CP9</f>
        <v>22612900.794026136</v>
      </c>
      <c r="DS9" s="606">
        <f t="shared" ref="DS9:DS72" si="158">+DE9*CQ9</f>
        <v>21478767.081316553</v>
      </c>
      <c r="DT9" s="607">
        <f t="shared" ref="DT9:DT72" si="159">+DF9*CR9</f>
        <v>9886117.3246753253</v>
      </c>
      <c r="DU9" s="606">
        <f t="shared" ref="DU9:DU72" si="160">+DG9*CS9</f>
        <v>11111055.418867925</v>
      </c>
      <c r="DV9" s="607">
        <f t="shared" ref="DV9:DV72" si="161">+DH9*CT9</f>
        <v>1090298.7062937063</v>
      </c>
      <c r="DW9" s="608">
        <f t="shared" ref="DW9:DW72" si="162">+DI9*CU9</f>
        <v>868698</v>
      </c>
      <c r="DX9" s="607">
        <f t="shared" ref="DX9:DX72" si="163">+DJ9*CV9</f>
        <v>0</v>
      </c>
      <c r="DY9" s="608">
        <f t="shared" ref="DY9:DY72" si="164">+DK9*CW9</f>
        <v>0</v>
      </c>
      <c r="DZ9" s="607">
        <f t="shared" ref="DZ9:DZ72" si="165">+DL9*CX9</f>
        <v>102059407.32872508</v>
      </c>
      <c r="EA9" s="608">
        <f t="shared" ref="EA9:EA72" si="166">+DM9*CY9</f>
        <v>104654084.42872871</v>
      </c>
    </row>
    <row r="10" spans="1:131" ht="15" x14ac:dyDescent="0.2">
      <c r="A10" s="481" t="s">
        <v>31</v>
      </c>
      <c r="B10" s="440" t="s">
        <v>792</v>
      </c>
      <c r="C10" s="444" t="s">
        <v>366</v>
      </c>
      <c r="D10" s="377">
        <v>100663</v>
      </c>
      <c r="E10" s="442">
        <v>2</v>
      </c>
      <c r="F10" s="598">
        <v>88</v>
      </c>
      <c r="G10" s="599">
        <v>94</v>
      </c>
      <c r="H10" s="600"/>
      <c r="I10" s="601"/>
      <c r="J10" s="600">
        <v>129</v>
      </c>
      <c r="K10" s="599"/>
      <c r="L10" s="600"/>
      <c r="M10" s="601">
        <v>127</v>
      </c>
      <c r="N10" s="600">
        <v>135</v>
      </c>
      <c r="O10" s="599">
        <v>136</v>
      </c>
      <c r="P10" s="600"/>
      <c r="Q10" s="601"/>
      <c r="R10" s="600">
        <v>115</v>
      </c>
      <c r="S10" s="599"/>
      <c r="T10" s="600"/>
      <c r="U10" s="601">
        <v>114</v>
      </c>
      <c r="V10" s="600">
        <v>124</v>
      </c>
      <c r="W10" s="599">
        <v>139</v>
      </c>
      <c r="X10" s="600"/>
      <c r="Y10" s="601">
        <v>0</v>
      </c>
      <c r="Z10" s="600">
        <v>164</v>
      </c>
      <c r="AA10" s="599"/>
      <c r="AB10" s="600"/>
      <c r="AC10" s="601">
        <v>147</v>
      </c>
      <c r="AD10" s="600">
        <v>34</v>
      </c>
      <c r="AE10" s="599">
        <v>31</v>
      </c>
      <c r="AF10" s="600"/>
      <c r="AG10" s="601">
        <v>0</v>
      </c>
      <c r="AH10" s="600">
        <v>63</v>
      </c>
      <c r="AI10" s="599"/>
      <c r="AJ10" s="600"/>
      <c r="AK10" s="601">
        <v>65</v>
      </c>
      <c r="AL10" s="600"/>
      <c r="AM10" s="599"/>
      <c r="AN10" s="600"/>
      <c r="AO10" s="601"/>
      <c r="AP10" s="600"/>
      <c r="AQ10" s="599"/>
      <c r="AR10" s="600"/>
      <c r="AS10" s="601"/>
      <c r="AT10" s="600"/>
      <c r="AU10" s="599"/>
      <c r="AV10" s="600"/>
      <c r="AW10" s="601"/>
      <c r="AX10" s="600"/>
      <c r="AY10" s="599"/>
      <c r="AZ10" s="600"/>
      <c r="BA10" s="601"/>
      <c r="BB10" s="602">
        <v>31754621</v>
      </c>
      <c r="BC10" s="603">
        <v>33254059</v>
      </c>
      <c r="BD10" s="600">
        <v>23996744</v>
      </c>
      <c r="BE10" s="603">
        <v>24321998</v>
      </c>
      <c r="BF10" s="600">
        <v>22822623</v>
      </c>
      <c r="BG10" s="603">
        <v>22637130</v>
      </c>
      <c r="BH10" s="600">
        <v>6545482</v>
      </c>
      <c r="BI10" s="603">
        <v>6983766</v>
      </c>
      <c r="BJ10" s="600">
        <v>0</v>
      </c>
      <c r="BK10" s="603"/>
      <c r="BL10" s="600">
        <v>0</v>
      </c>
      <c r="BM10" s="604"/>
      <c r="BN10" s="605">
        <f t="shared" si="101"/>
        <v>2211</v>
      </c>
      <c r="BO10" s="606">
        <f t="shared" si="102"/>
        <v>2370</v>
      </c>
      <c r="BP10" s="607">
        <f t="shared" si="103"/>
        <v>2480</v>
      </c>
      <c r="BQ10" s="606">
        <f t="shared" si="104"/>
        <v>2592</v>
      </c>
      <c r="BR10" s="607">
        <f t="shared" si="105"/>
        <v>2920</v>
      </c>
      <c r="BS10" s="606">
        <f t="shared" si="106"/>
        <v>3015</v>
      </c>
      <c r="BT10" s="607">
        <f t="shared" si="107"/>
        <v>999</v>
      </c>
      <c r="BU10" s="606">
        <f t="shared" si="108"/>
        <v>1059</v>
      </c>
      <c r="BV10" s="607">
        <f t="shared" si="109"/>
        <v>0</v>
      </c>
      <c r="BW10" s="608">
        <f t="shared" si="110"/>
        <v>0</v>
      </c>
      <c r="BX10" s="607">
        <f t="shared" si="111"/>
        <v>0</v>
      </c>
      <c r="BY10" s="608">
        <f t="shared" si="112"/>
        <v>0</v>
      </c>
      <c r="BZ10" s="607">
        <f t="shared" si="113"/>
        <v>14362.108095884216</v>
      </c>
      <c r="CA10" s="608">
        <f t="shared" si="114"/>
        <v>14031.24852320675</v>
      </c>
      <c r="CB10" s="607">
        <f t="shared" si="115"/>
        <v>9676.1064516129027</v>
      </c>
      <c r="CC10" s="608">
        <f t="shared" si="116"/>
        <v>9383.4868827160499</v>
      </c>
      <c r="CD10" s="607">
        <f t="shared" si="117"/>
        <v>7815.9667808219174</v>
      </c>
      <c r="CE10" s="608">
        <f t="shared" si="118"/>
        <v>7508.1691542288554</v>
      </c>
      <c r="CF10" s="607">
        <f t="shared" si="119"/>
        <v>6552.0340340340344</v>
      </c>
      <c r="CG10" s="608">
        <f t="shared" si="120"/>
        <v>6594.6798866855524</v>
      </c>
      <c r="CH10" s="607">
        <f t="shared" si="121"/>
        <v>0</v>
      </c>
      <c r="CI10" s="608">
        <f t="shared" si="122"/>
        <v>0</v>
      </c>
      <c r="CJ10" s="607">
        <f t="shared" si="123"/>
        <v>0</v>
      </c>
      <c r="CK10" s="608">
        <f t="shared" si="124"/>
        <v>0</v>
      </c>
      <c r="CL10" s="609">
        <f t="shared" si="125"/>
        <v>129258.97286295795</v>
      </c>
      <c r="CM10" s="608">
        <f t="shared" si="126"/>
        <v>126281.23670886076</v>
      </c>
      <c r="CN10" s="610">
        <f t="shared" si="127"/>
        <v>87084.958064516119</v>
      </c>
      <c r="CO10" s="606">
        <f t="shared" si="128"/>
        <v>84451.381944444453</v>
      </c>
      <c r="CP10" s="607">
        <f t="shared" si="129"/>
        <v>70343.701027397256</v>
      </c>
      <c r="CQ10" s="606">
        <f t="shared" si="130"/>
        <v>67573.522388059704</v>
      </c>
      <c r="CR10" s="607">
        <f t="shared" si="131"/>
        <v>58968.306306306309</v>
      </c>
      <c r="CS10" s="606">
        <f t="shared" si="132"/>
        <v>59352.118980169973</v>
      </c>
      <c r="CT10" s="607">
        <f t="shared" si="133"/>
        <v>0</v>
      </c>
      <c r="CU10" s="608">
        <f t="shared" si="134"/>
        <v>0</v>
      </c>
      <c r="CV10" s="610">
        <f t="shared" si="135"/>
        <v>0</v>
      </c>
      <c r="CW10" s="608">
        <f t="shared" si="136"/>
        <v>0</v>
      </c>
      <c r="CX10" s="610">
        <f t="shared" si="137"/>
        <v>88966.371167832214</v>
      </c>
      <c r="CY10" s="611">
        <f t="shared" si="138"/>
        <v>86805.192993963341</v>
      </c>
      <c r="CZ10" s="605">
        <f t="shared" si="139"/>
        <v>217</v>
      </c>
      <c r="DA10" s="612">
        <f t="shared" si="140"/>
        <v>221</v>
      </c>
      <c r="DB10" s="607">
        <f t="shared" si="141"/>
        <v>250</v>
      </c>
      <c r="DC10" s="606">
        <f t="shared" si="142"/>
        <v>250</v>
      </c>
      <c r="DD10" s="607">
        <f t="shared" si="143"/>
        <v>288</v>
      </c>
      <c r="DE10" s="606">
        <f t="shared" si="144"/>
        <v>286</v>
      </c>
      <c r="DF10" s="607">
        <f t="shared" si="145"/>
        <v>97</v>
      </c>
      <c r="DG10" s="606">
        <f t="shared" si="146"/>
        <v>96</v>
      </c>
      <c r="DH10" s="607">
        <f t="shared" si="147"/>
        <v>0</v>
      </c>
      <c r="DI10" s="608">
        <f t="shared" si="148"/>
        <v>0</v>
      </c>
      <c r="DJ10" s="607">
        <f t="shared" si="149"/>
        <v>0</v>
      </c>
      <c r="DK10" s="608">
        <f t="shared" si="150"/>
        <v>0</v>
      </c>
      <c r="DL10" s="607">
        <f t="shared" si="151"/>
        <v>852</v>
      </c>
      <c r="DM10" s="608">
        <f t="shared" si="152"/>
        <v>853</v>
      </c>
      <c r="DN10" s="607">
        <f t="shared" si="153"/>
        <v>28049197.111261874</v>
      </c>
      <c r="DO10" s="612">
        <f t="shared" si="154"/>
        <v>27908153.312658228</v>
      </c>
      <c r="DP10" s="607">
        <f t="shared" si="155"/>
        <v>21771239.516129028</v>
      </c>
      <c r="DQ10" s="606">
        <f t="shared" si="156"/>
        <v>21112845.486111112</v>
      </c>
      <c r="DR10" s="607">
        <f t="shared" si="157"/>
        <v>20258985.895890411</v>
      </c>
      <c r="DS10" s="606">
        <f t="shared" si="158"/>
        <v>19326027.402985074</v>
      </c>
      <c r="DT10" s="607">
        <f t="shared" si="159"/>
        <v>5719925.7117117122</v>
      </c>
      <c r="DU10" s="606">
        <f t="shared" si="160"/>
        <v>5697803.4220963176</v>
      </c>
      <c r="DV10" s="607">
        <f t="shared" si="161"/>
        <v>0</v>
      </c>
      <c r="DW10" s="608">
        <f t="shared" si="162"/>
        <v>0</v>
      </c>
      <c r="DX10" s="607">
        <f t="shared" si="163"/>
        <v>0</v>
      </c>
      <c r="DY10" s="608">
        <f t="shared" si="164"/>
        <v>0</v>
      </c>
      <c r="DZ10" s="607">
        <f t="shared" si="165"/>
        <v>75799348.234993041</v>
      </c>
      <c r="EA10" s="608">
        <f t="shared" si="166"/>
        <v>74044829.623850733</v>
      </c>
    </row>
    <row r="11" spans="1:131" ht="15" x14ac:dyDescent="0.2">
      <c r="A11" s="481" t="s">
        <v>31</v>
      </c>
      <c r="B11" s="440" t="s">
        <v>793</v>
      </c>
      <c r="C11" s="443"/>
      <c r="D11" s="377">
        <v>100706</v>
      </c>
      <c r="E11" s="377">
        <v>2</v>
      </c>
      <c r="F11" s="598">
        <v>61</v>
      </c>
      <c r="G11" s="599">
        <v>60</v>
      </c>
      <c r="H11" s="600"/>
      <c r="I11" s="601"/>
      <c r="J11" s="600">
        <v>18</v>
      </c>
      <c r="K11" s="599"/>
      <c r="L11" s="600"/>
      <c r="M11" s="601">
        <v>20</v>
      </c>
      <c r="N11" s="600">
        <v>77</v>
      </c>
      <c r="O11" s="599">
        <v>85</v>
      </c>
      <c r="P11" s="600"/>
      <c r="Q11" s="601"/>
      <c r="R11" s="600">
        <v>9</v>
      </c>
      <c r="S11" s="599"/>
      <c r="T11" s="600"/>
      <c r="U11" s="601">
        <v>10</v>
      </c>
      <c r="V11" s="600">
        <v>84</v>
      </c>
      <c r="W11" s="599">
        <v>81</v>
      </c>
      <c r="X11" s="600"/>
      <c r="Y11" s="601">
        <v>0</v>
      </c>
      <c r="Z11" s="600">
        <v>3</v>
      </c>
      <c r="AA11" s="599"/>
      <c r="AB11" s="600"/>
      <c r="AC11" s="601">
        <v>3</v>
      </c>
      <c r="AD11" s="600">
        <v>14</v>
      </c>
      <c r="AE11" s="599">
        <v>14</v>
      </c>
      <c r="AF11" s="600"/>
      <c r="AG11" s="601">
        <v>0</v>
      </c>
      <c r="AH11" s="600"/>
      <c r="AI11" s="599"/>
      <c r="AJ11" s="600"/>
      <c r="AK11" s="601">
        <v>0</v>
      </c>
      <c r="AL11" s="600">
        <v>30</v>
      </c>
      <c r="AM11" s="599">
        <v>31</v>
      </c>
      <c r="AN11" s="600"/>
      <c r="AO11" s="601"/>
      <c r="AP11" s="600">
        <v>10</v>
      </c>
      <c r="AQ11" s="599"/>
      <c r="AR11" s="600"/>
      <c r="AS11" s="601">
        <v>10</v>
      </c>
      <c r="AT11" s="600"/>
      <c r="AU11" s="599"/>
      <c r="AV11" s="600"/>
      <c r="AW11" s="601"/>
      <c r="AX11" s="600"/>
      <c r="AY11" s="599"/>
      <c r="AZ11" s="600"/>
      <c r="BA11" s="601"/>
      <c r="BB11" s="602">
        <v>9532903</v>
      </c>
      <c r="BC11" s="603">
        <v>9539678</v>
      </c>
      <c r="BD11" s="600">
        <v>7109003</v>
      </c>
      <c r="BE11" s="603">
        <v>8032692</v>
      </c>
      <c r="BF11" s="600">
        <v>5962596</v>
      </c>
      <c r="BG11" s="603">
        <v>5919018</v>
      </c>
      <c r="BH11" s="600">
        <v>724276</v>
      </c>
      <c r="BI11" s="603">
        <v>743259</v>
      </c>
      <c r="BJ11" s="600">
        <v>2006169</v>
      </c>
      <c r="BK11" s="603">
        <v>2134148</v>
      </c>
      <c r="BL11" s="600">
        <v>0</v>
      </c>
      <c r="BM11" s="604"/>
      <c r="BN11" s="605">
        <f t="shared" si="101"/>
        <v>747</v>
      </c>
      <c r="BO11" s="606">
        <f t="shared" si="102"/>
        <v>780</v>
      </c>
      <c r="BP11" s="607">
        <f t="shared" si="103"/>
        <v>792</v>
      </c>
      <c r="BQ11" s="606">
        <f t="shared" si="104"/>
        <v>885</v>
      </c>
      <c r="BR11" s="607">
        <f t="shared" si="105"/>
        <v>789</v>
      </c>
      <c r="BS11" s="606">
        <f t="shared" si="106"/>
        <v>765</v>
      </c>
      <c r="BT11" s="607">
        <f t="shared" si="107"/>
        <v>126</v>
      </c>
      <c r="BU11" s="606">
        <f t="shared" si="108"/>
        <v>126</v>
      </c>
      <c r="BV11" s="607">
        <f t="shared" si="109"/>
        <v>380</v>
      </c>
      <c r="BW11" s="608">
        <f t="shared" si="110"/>
        <v>399</v>
      </c>
      <c r="BX11" s="607">
        <f t="shared" si="111"/>
        <v>0</v>
      </c>
      <c r="BY11" s="608">
        <f t="shared" si="112"/>
        <v>0</v>
      </c>
      <c r="BZ11" s="607">
        <f t="shared" si="113"/>
        <v>12761.583668005354</v>
      </c>
      <c r="CA11" s="608">
        <f t="shared" si="114"/>
        <v>12230.356410256411</v>
      </c>
      <c r="CB11" s="607">
        <f t="shared" si="115"/>
        <v>8976.0138888888887</v>
      </c>
      <c r="CC11" s="608">
        <f t="shared" si="116"/>
        <v>9076.4881355932212</v>
      </c>
      <c r="CD11" s="607">
        <f t="shared" si="117"/>
        <v>7557.1558935361218</v>
      </c>
      <c r="CE11" s="608">
        <f t="shared" si="118"/>
        <v>7737.2784313725488</v>
      </c>
      <c r="CF11" s="607">
        <f t="shared" si="119"/>
        <v>5748.2222222222226</v>
      </c>
      <c r="CG11" s="608">
        <f t="shared" si="120"/>
        <v>5898.8809523809523</v>
      </c>
      <c r="CH11" s="607">
        <f t="shared" si="121"/>
        <v>5279.3921052631576</v>
      </c>
      <c r="CI11" s="608">
        <f t="shared" si="122"/>
        <v>5348.7418546365916</v>
      </c>
      <c r="CJ11" s="607">
        <f t="shared" si="123"/>
        <v>0</v>
      </c>
      <c r="CK11" s="608">
        <f t="shared" si="124"/>
        <v>0</v>
      </c>
      <c r="CL11" s="609">
        <f t="shared" si="125"/>
        <v>114854.2530120482</v>
      </c>
      <c r="CM11" s="608">
        <f t="shared" si="126"/>
        <v>110073.2076923077</v>
      </c>
      <c r="CN11" s="610">
        <f t="shared" si="127"/>
        <v>80784.125</v>
      </c>
      <c r="CO11" s="606">
        <f t="shared" si="128"/>
        <v>81688.393220338985</v>
      </c>
      <c r="CP11" s="607">
        <f t="shared" si="129"/>
        <v>68014.403041825091</v>
      </c>
      <c r="CQ11" s="606">
        <f t="shared" si="130"/>
        <v>69635.50588235294</v>
      </c>
      <c r="CR11" s="607">
        <f t="shared" si="131"/>
        <v>51734</v>
      </c>
      <c r="CS11" s="606">
        <f t="shared" si="132"/>
        <v>53089.928571428572</v>
      </c>
      <c r="CT11" s="607">
        <f t="shared" si="133"/>
        <v>47514.528947368417</v>
      </c>
      <c r="CU11" s="608">
        <f t="shared" si="134"/>
        <v>48138.676691729328</v>
      </c>
      <c r="CV11" s="610">
        <f t="shared" si="135"/>
        <v>0</v>
      </c>
      <c r="CW11" s="608">
        <f t="shared" si="136"/>
        <v>0</v>
      </c>
      <c r="CX11" s="610">
        <f t="shared" si="137"/>
        <v>80271.343008121985</v>
      </c>
      <c r="CY11" s="611">
        <f t="shared" si="138"/>
        <v>80040.067547119004</v>
      </c>
      <c r="CZ11" s="605">
        <f t="shared" si="139"/>
        <v>79</v>
      </c>
      <c r="DA11" s="612">
        <f t="shared" si="140"/>
        <v>80</v>
      </c>
      <c r="DB11" s="607">
        <f t="shared" si="141"/>
        <v>86</v>
      </c>
      <c r="DC11" s="606">
        <f t="shared" si="142"/>
        <v>95</v>
      </c>
      <c r="DD11" s="607">
        <f t="shared" si="143"/>
        <v>87</v>
      </c>
      <c r="DE11" s="606">
        <f t="shared" si="144"/>
        <v>84</v>
      </c>
      <c r="DF11" s="607">
        <f t="shared" si="145"/>
        <v>14</v>
      </c>
      <c r="DG11" s="606">
        <f t="shared" si="146"/>
        <v>14</v>
      </c>
      <c r="DH11" s="607">
        <f t="shared" si="147"/>
        <v>40</v>
      </c>
      <c r="DI11" s="608">
        <f t="shared" si="148"/>
        <v>41</v>
      </c>
      <c r="DJ11" s="607">
        <f t="shared" si="149"/>
        <v>0</v>
      </c>
      <c r="DK11" s="608">
        <f t="shared" si="150"/>
        <v>0</v>
      </c>
      <c r="DL11" s="607">
        <f t="shared" si="151"/>
        <v>306</v>
      </c>
      <c r="DM11" s="608">
        <f t="shared" si="152"/>
        <v>314</v>
      </c>
      <c r="DN11" s="607">
        <f t="shared" si="153"/>
        <v>9073485.9879518077</v>
      </c>
      <c r="DO11" s="612">
        <f t="shared" si="154"/>
        <v>8805856.615384616</v>
      </c>
      <c r="DP11" s="607">
        <f t="shared" si="155"/>
        <v>6947434.75</v>
      </c>
      <c r="DQ11" s="606">
        <f t="shared" si="156"/>
        <v>7760397.3559322031</v>
      </c>
      <c r="DR11" s="607">
        <f t="shared" si="157"/>
        <v>5917253.0646387832</v>
      </c>
      <c r="DS11" s="606">
        <f t="shared" si="158"/>
        <v>5849382.4941176474</v>
      </c>
      <c r="DT11" s="607">
        <f t="shared" si="159"/>
        <v>724276</v>
      </c>
      <c r="DU11" s="606">
        <f t="shared" si="160"/>
        <v>743259</v>
      </c>
      <c r="DV11" s="607">
        <f t="shared" si="161"/>
        <v>1900581.1578947366</v>
      </c>
      <c r="DW11" s="608">
        <f t="shared" si="162"/>
        <v>1973685.7443609023</v>
      </c>
      <c r="DX11" s="607">
        <f t="shared" si="163"/>
        <v>0</v>
      </c>
      <c r="DY11" s="608">
        <f t="shared" si="164"/>
        <v>0</v>
      </c>
      <c r="DZ11" s="607">
        <f t="shared" si="165"/>
        <v>24563030.960485328</v>
      </c>
      <c r="EA11" s="608">
        <f t="shared" si="166"/>
        <v>25132581.209795367</v>
      </c>
    </row>
    <row r="12" spans="1:131" ht="15" x14ac:dyDescent="0.2">
      <c r="A12" s="481" t="s">
        <v>31</v>
      </c>
      <c r="B12" s="440" t="s">
        <v>784</v>
      </c>
      <c r="C12" s="443"/>
      <c r="D12" s="377">
        <v>100654</v>
      </c>
      <c r="E12" s="377">
        <v>3</v>
      </c>
      <c r="F12" s="598">
        <v>38</v>
      </c>
      <c r="G12" s="599">
        <v>45</v>
      </c>
      <c r="H12" s="600"/>
      <c r="I12" s="601"/>
      <c r="J12" s="600">
        <v>10</v>
      </c>
      <c r="K12" s="599"/>
      <c r="L12" s="600"/>
      <c r="M12" s="601">
        <v>3</v>
      </c>
      <c r="N12" s="600">
        <v>54</v>
      </c>
      <c r="O12" s="599">
        <v>59</v>
      </c>
      <c r="P12" s="600"/>
      <c r="Q12" s="601"/>
      <c r="R12" s="600">
        <v>6</v>
      </c>
      <c r="S12" s="599"/>
      <c r="T12" s="600"/>
      <c r="U12" s="601">
        <v>2</v>
      </c>
      <c r="V12" s="600">
        <v>99</v>
      </c>
      <c r="W12" s="599">
        <v>93</v>
      </c>
      <c r="X12" s="600"/>
      <c r="Y12" s="601">
        <v>0</v>
      </c>
      <c r="Z12" s="600">
        <v>6</v>
      </c>
      <c r="AA12" s="599"/>
      <c r="AB12" s="600"/>
      <c r="AC12" s="601">
        <v>2</v>
      </c>
      <c r="AD12" s="600">
        <v>40</v>
      </c>
      <c r="AE12" s="599">
        <v>37</v>
      </c>
      <c r="AF12" s="600"/>
      <c r="AG12" s="601">
        <v>0</v>
      </c>
      <c r="AH12" s="600">
        <v>1</v>
      </c>
      <c r="AI12" s="599"/>
      <c r="AJ12" s="600"/>
      <c r="AK12" s="601">
        <v>0</v>
      </c>
      <c r="AL12" s="600"/>
      <c r="AM12" s="599"/>
      <c r="AN12" s="600"/>
      <c r="AO12" s="601"/>
      <c r="AP12" s="600"/>
      <c r="AQ12" s="599"/>
      <c r="AR12" s="600"/>
      <c r="AS12" s="601"/>
      <c r="AT12" s="600"/>
      <c r="AU12" s="599"/>
      <c r="AV12" s="600"/>
      <c r="AW12" s="601"/>
      <c r="AX12" s="600"/>
      <c r="AY12" s="599"/>
      <c r="AZ12" s="600"/>
      <c r="BA12" s="601"/>
      <c r="BB12" s="602">
        <v>4168527</v>
      </c>
      <c r="BC12" s="603">
        <v>4017859</v>
      </c>
      <c r="BD12" s="600">
        <v>4108135.0000000005</v>
      </c>
      <c r="BE12" s="603">
        <v>3975008</v>
      </c>
      <c r="BF12" s="600">
        <v>5850988</v>
      </c>
      <c r="BG12" s="603">
        <v>5129072</v>
      </c>
      <c r="BH12" s="600">
        <v>1757125</v>
      </c>
      <c r="BI12" s="603">
        <v>1503440</v>
      </c>
      <c r="BJ12" s="600">
        <v>0</v>
      </c>
      <c r="BK12" s="603"/>
      <c r="BL12" s="600">
        <v>0</v>
      </c>
      <c r="BM12" s="604"/>
      <c r="BN12" s="605">
        <f t="shared" si="101"/>
        <v>452</v>
      </c>
      <c r="BO12" s="606">
        <f t="shared" si="102"/>
        <v>441</v>
      </c>
      <c r="BP12" s="607">
        <f t="shared" si="103"/>
        <v>552</v>
      </c>
      <c r="BQ12" s="606">
        <f t="shared" si="104"/>
        <v>555</v>
      </c>
      <c r="BR12" s="607">
        <f t="shared" si="105"/>
        <v>957</v>
      </c>
      <c r="BS12" s="606">
        <f t="shared" si="106"/>
        <v>861</v>
      </c>
      <c r="BT12" s="607">
        <f t="shared" si="107"/>
        <v>371</v>
      </c>
      <c r="BU12" s="606">
        <f t="shared" si="108"/>
        <v>333</v>
      </c>
      <c r="BV12" s="607">
        <f t="shared" si="109"/>
        <v>0</v>
      </c>
      <c r="BW12" s="608">
        <f t="shared" si="110"/>
        <v>0</v>
      </c>
      <c r="BX12" s="607">
        <f t="shared" si="111"/>
        <v>0</v>
      </c>
      <c r="BY12" s="608">
        <f t="shared" si="112"/>
        <v>0</v>
      </c>
      <c r="BZ12" s="607">
        <f t="shared" si="113"/>
        <v>9222.4048672566369</v>
      </c>
      <c r="CA12" s="608">
        <f t="shared" si="114"/>
        <v>9110.7913832199538</v>
      </c>
      <c r="CB12" s="607">
        <f t="shared" si="115"/>
        <v>7442.2735507246389</v>
      </c>
      <c r="CC12" s="608">
        <f t="shared" si="116"/>
        <v>7162.1765765765767</v>
      </c>
      <c r="CD12" s="607">
        <f t="shared" si="117"/>
        <v>6113.8850574712642</v>
      </c>
      <c r="CE12" s="608">
        <f t="shared" si="118"/>
        <v>5957.1103368176537</v>
      </c>
      <c r="CF12" s="607">
        <f t="shared" si="119"/>
        <v>4736.1859838274931</v>
      </c>
      <c r="CG12" s="608">
        <f t="shared" si="120"/>
        <v>4514.8348348348345</v>
      </c>
      <c r="CH12" s="607">
        <f t="shared" si="121"/>
        <v>0</v>
      </c>
      <c r="CI12" s="608">
        <f t="shared" si="122"/>
        <v>0</v>
      </c>
      <c r="CJ12" s="607">
        <f t="shared" si="123"/>
        <v>0</v>
      </c>
      <c r="CK12" s="608">
        <f t="shared" si="124"/>
        <v>0</v>
      </c>
      <c r="CL12" s="609">
        <f t="shared" si="125"/>
        <v>83001.643805309737</v>
      </c>
      <c r="CM12" s="608">
        <f t="shared" si="126"/>
        <v>81997.122448979586</v>
      </c>
      <c r="CN12" s="610">
        <f t="shared" si="127"/>
        <v>66980.461956521744</v>
      </c>
      <c r="CO12" s="606">
        <f t="shared" si="128"/>
        <v>64459.589189189188</v>
      </c>
      <c r="CP12" s="607">
        <f t="shared" si="129"/>
        <v>55024.965517241377</v>
      </c>
      <c r="CQ12" s="606">
        <f t="shared" si="130"/>
        <v>53613.993031358885</v>
      </c>
      <c r="CR12" s="607">
        <f t="shared" si="131"/>
        <v>42625.673854447436</v>
      </c>
      <c r="CS12" s="606">
        <f t="shared" si="132"/>
        <v>40633.513513513513</v>
      </c>
      <c r="CT12" s="607">
        <f t="shared" si="133"/>
        <v>0</v>
      </c>
      <c r="CU12" s="608">
        <f t="shared" si="134"/>
        <v>0</v>
      </c>
      <c r="CV12" s="610">
        <f t="shared" si="135"/>
        <v>0</v>
      </c>
      <c r="CW12" s="608">
        <f t="shared" si="136"/>
        <v>0</v>
      </c>
      <c r="CX12" s="610">
        <f t="shared" si="137"/>
        <v>61134.569399168744</v>
      </c>
      <c r="CY12" s="611">
        <f t="shared" si="138"/>
        <v>60019.361643446697</v>
      </c>
      <c r="CZ12" s="605">
        <f t="shared" si="139"/>
        <v>48</v>
      </c>
      <c r="DA12" s="612">
        <f t="shared" si="140"/>
        <v>48</v>
      </c>
      <c r="DB12" s="607">
        <f t="shared" si="141"/>
        <v>60</v>
      </c>
      <c r="DC12" s="606">
        <f t="shared" si="142"/>
        <v>61</v>
      </c>
      <c r="DD12" s="607">
        <f t="shared" si="143"/>
        <v>105</v>
      </c>
      <c r="DE12" s="606">
        <f t="shared" si="144"/>
        <v>95</v>
      </c>
      <c r="DF12" s="607">
        <f t="shared" si="145"/>
        <v>41</v>
      </c>
      <c r="DG12" s="606">
        <f t="shared" si="146"/>
        <v>37</v>
      </c>
      <c r="DH12" s="607">
        <f t="shared" si="147"/>
        <v>0</v>
      </c>
      <c r="DI12" s="608">
        <f t="shared" si="148"/>
        <v>0</v>
      </c>
      <c r="DJ12" s="607">
        <f t="shared" si="149"/>
        <v>0</v>
      </c>
      <c r="DK12" s="608">
        <f t="shared" si="150"/>
        <v>0</v>
      </c>
      <c r="DL12" s="607">
        <f t="shared" si="151"/>
        <v>254</v>
      </c>
      <c r="DM12" s="608">
        <f t="shared" si="152"/>
        <v>241</v>
      </c>
      <c r="DN12" s="607">
        <f t="shared" si="153"/>
        <v>3984078.9026548676</v>
      </c>
      <c r="DO12" s="612">
        <f t="shared" si="154"/>
        <v>3935861.8775510201</v>
      </c>
      <c r="DP12" s="607">
        <f t="shared" si="155"/>
        <v>4018827.7173913047</v>
      </c>
      <c r="DQ12" s="606">
        <f t="shared" si="156"/>
        <v>3932034.9405405405</v>
      </c>
      <c r="DR12" s="607">
        <f t="shared" si="157"/>
        <v>5777621.3793103443</v>
      </c>
      <c r="DS12" s="606">
        <f t="shared" si="158"/>
        <v>5093329.3379790941</v>
      </c>
      <c r="DT12" s="607">
        <f t="shared" si="159"/>
        <v>1747652.6280323449</v>
      </c>
      <c r="DU12" s="606">
        <f t="shared" si="160"/>
        <v>1503440</v>
      </c>
      <c r="DV12" s="607">
        <f t="shared" si="161"/>
        <v>0</v>
      </c>
      <c r="DW12" s="608">
        <f t="shared" si="162"/>
        <v>0</v>
      </c>
      <c r="DX12" s="607">
        <f t="shared" si="163"/>
        <v>0</v>
      </c>
      <c r="DY12" s="608">
        <f t="shared" si="164"/>
        <v>0</v>
      </c>
      <c r="DZ12" s="607">
        <f t="shared" si="165"/>
        <v>15528180.627388861</v>
      </c>
      <c r="EA12" s="608">
        <f t="shared" si="166"/>
        <v>14464666.156070653</v>
      </c>
    </row>
    <row r="13" spans="1:131" ht="15" x14ac:dyDescent="0.2">
      <c r="A13" s="481" t="s">
        <v>31</v>
      </c>
      <c r="B13" s="440" t="s">
        <v>789</v>
      </c>
      <c r="C13" s="443"/>
      <c r="D13" s="377">
        <v>101480</v>
      </c>
      <c r="E13" s="377">
        <v>3</v>
      </c>
      <c r="F13" s="598">
        <v>61</v>
      </c>
      <c r="G13" s="599">
        <v>73</v>
      </c>
      <c r="H13" s="600"/>
      <c r="I13" s="601"/>
      <c r="J13" s="600">
        <v>22</v>
      </c>
      <c r="K13" s="599"/>
      <c r="L13" s="600"/>
      <c r="M13" s="601">
        <v>20</v>
      </c>
      <c r="N13" s="600">
        <v>68</v>
      </c>
      <c r="O13" s="599">
        <v>66</v>
      </c>
      <c r="P13" s="600"/>
      <c r="Q13" s="601"/>
      <c r="R13" s="600">
        <v>4</v>
      </c>
      <c r="S13" s="599"/>
      <c r="T13" s="600"/>
      <c r="U13" s="601">
        <v>5</v>
      </c>
      <c r="V13" s="600">
        <v>82</v>
      </c>
      <c r="W13" s="599">
        <v>64</v>
      </c>
      <c r="X13" s="600"/>
      <c r="Y13" s="601">
        <v>0</v>
      </c>
      <c r="Z13" s="600"/>
      <c r="AA13" s="599"/>
      <c r="AB13" s="600"/>
      <c r="AC13" s="601">
        <v>1</v>
      </c>
      <c r="AD13" s="600">
        <v>83</v>
      </c>
      <c r="AE13" s="599">
        <v>89</v>
      </c>
      <c r="AF13" s="600"/>
      <c r="AG13" s="601">
        <v>0</v>
      </c>
      <c r="AH13" s="600">
        <v>1</v>
      </c>
      <c r="AI13" s="599"/>
      <c r="AJ13" s="600"/>
      <c r="AK13" s="601">
        <v>1</v>
      </c>
      <c r="AL13" s="600"/>
      <c r="AM13" s="599"/>
      <c r="AN13" s="600"/>
      <c r="AO13" s="601"/>
      <c r="AP13" s="600"/>
      <c r="AQ13" s="599"/>
      <c r="AR13" s="600"/>
      <c r="AS13" s="601"/>
      <c r="AT13" s="600"/>
      <c r="AU13" s="599"/>
      <c r="AV13" s="600"/>
      <c r="AW13" s="601"/>
      <c r="AX13" s="600"/>
      <c r="AY13" s="599"/>
      <c r="AZ13" s="600"/>
      <c r="BA13" s="601"/>
      <c r="BB13" s="602">
        <v>7000497</v>
      </c>
      <c r="BC13" s="603">
        <v>7586136</v>
      </c>
      <c r="BD13" s="600">
        <v>4728197</v>
      </c>
      <c r="BE13" s="603">
        <v>4495770</v>
      </c>
      <c r="BF13" s="600">
        <v>4489094</v>
      </c>
      <c r="BG13" s="603">
        <v>3524973</v>
      </c>
      <c r="BH13" s="600">
        <v>3988769</v>
      </c>
      <c r="BI13" s="603">
        <v>4238314</v>
      </c>
      <c r="BJ13" s="600">
        <v>0</v>
      </c>
      <c r="BK13" s="603">
        <v>0</v>
      </c>
      <c r="BL13" s="600">
        <v>0</v>
      </c>
      <c r="BM13" s="604"/>
      <c r="BN13" s="605">
        <f t="shared" si="101"/>
        <v>791</v>
      </c>
      <c r="BO13" s="606">
        <f t="shared" si="102"/>
        <v>897</v>
      </c>
      <c r="BP13" s="607">
        <f t="shared" si="103"/>
        <v>656</v>
      </c>
      <c r="BQ13" s="606">
        <f t="shared" si="104"/>
        <v>654</v>
      </c>
      <c r="BR13" s="607">
        <f t="shared" si="105"/>
        <v>738</v>
      </c>
      <c r="BS13" s="606">
        <f t="shared" si="106"/>
        <v>588</v>
      </c>
      <c r="BT13" s="607">
        <f t="shared" si="107"/>
        <v>758</v>
      </c>
      <c r="BU13" s="606">
        <f t="shared" si="108"/>
        <v>813</v>
      </c>
      <c r="BV13" s="607">
        <f t="shared" si="109"/>
        <v>0</v>
      </c>
      <c r="BW13" s="608">
        <f t="shared" si="110"/>
        <v>0</v>
      </c>
      <c r="BX13" s="607">
        <f t="shared" si="111"/>
        <v>0</v>
      </c>
      <c r="BY13" s="608">
        <f t="shared" si="112"/>
        <v>0</v>
      </c>
      <c r="BZ13" s="607">
        <f t="shared" si="113"/>
        <v>8850.1858407079653</v>
      </c>
      <c r="CA13" s="608">
        <f t="shared" si="114"/>
        <v>8457.2307692307695</v>
      </c>
      <c r="CB13" s="607">
        <f t="shared" si="115"/>
        <v>7207.6173780487807</v>
      </c>
      <c r="CC13" s="608">
        <f t="shared" si="116"/>
        <v>6874.2660550458713</v>
      </c>
      <c r="CD13" s="607">
        <f t="shared" si="117"/>
        <v>6082.7831978319782</v>
      </c>
      <c r="CE13" s="608">
        <f t="shared" si="118"/>
        <v>5994.8520408163267</v>
      </c>
      <c r="CF13" s="607">
        <f t="shared" si="119"/>
        <v>5262.2282321899738</v>
      </c>
      <c r="CG13" s="608">
        <f t="shared" si="120"/>
        <v>5213.1783517835174</v>
      </c>
      <c r="CH13" s="607">
        <f t="shared" si="121"/>
        <v>0</v>
      </c>
      <c r="CI13" s="608">
        <f t="shared" si="122"/>
        <v>0</v>
      </c>
      <c r="CJ13" s="607">
        <f t="shared" si="123"/>
        <v>0</v>
      </c>
      <c r="CK13" s="608">
        <f t="shared" si="124"/>
        <v>0</v>
      </c>
      <c r="CL13" s="609">
        <f t="shared" si="125"/>
        <v>79651.672566371693</v>
      </c>
      <c r="CM13" s="608">
        <f t="shared" si="126"/>
        <v>76115.076923076922</v>
      </c>
      <c r="CN13" s="610">
        <f t="shared" si="127"/>
        <v>64868.556402439026</v>
      </c>
      <c r="CO13" s="606">
        <f t="shared" si="128"/>
        <v>61868.394495412838</v>
      </c>
      <c r="CP13" s="607">
        <f t="shared" si="129"/>
        <v>54745.048780487807</v>
      </c>
      <c r="CQ13" s="606">
        <f t="shared" si="130"/>
        <v>53953.668367346938</v>
      </c>
      <c r="CR13" s="607">
        <f t="shared" si="131"/>
        <v>47360.054089709767</v>
      </c>
      <c r="CS13" s="606">
        <f t="shared" si="132"/>
        <v>46918.605166051653</v>
      </c>
      <c r="CT13" s="607">
        <f t="shared" si="133"/>
        <v>0</v>
      </c>
      <c r="CU13" s="608">
        <f t="shared" si="134"/>
        <v>0</v>
      </c>
      <c r="CV13" s="610">
        <f t="shared" si="135"/>
        <v>0</v>
      </c>
      <c r="CW13" s="608">
        <f t="shared" si="136"/>
        <v>0</v>
      </c>
      <c r="CX13" s="610">
        <f t="shared" si="137"/>
        <v>61523.250553022059</v>
      </c>
      <c r="CY13" s="611">
        <f t="shared" si="138"/>
        <v>60191.288626466041</v>
      </c>
      <c r="CZ13" s="605">
        <f t="shared" si="139"/>
        <v>83</v>
      </c>
      <c r="DA13" s="612">
        <f t="shared" si="140"/>
        <v>93</v>
      </c>
      <c r="DB13" s="607">
        <f t="shared" si="141"/>
        <v>72</v>
      </c>
      <c r="DC13" s="606">
        <f t="shared" si="142"/>
        <v>71</v>
      </c>
      <c r="DD13" s="607">
        <f t="shared" si="143"/>
        <v>82</v>
      </c>
      <c r="DE13" s="606">
        <f t="shared" si="144"/>
        <v>65</v>
      </c>
      <c r="DF13" s="607">
        <f t="shared" si="145"/>
        <v>84</v>
      </c>
      <c r="DG13" s="606">
        <f t="shared" si="146"/>
        <v>90</v>
      </c>
      <c r="DH13" s="607">
        <f t="shared" si="147"/>
        <v>0</v>
      </c>
      <c r="DI13" s="608">
        <f t="shared" si="148"/>
        <v>0</v>
      </c>
      <c r="DJ13" s="607">
        <f t="shared" si="149"/>
        <v>0</v>
      </c>
      <c r="DK13" s="608">
        <f t="shared" si="150"/>
        <v>0</v>
      </c>
      <c r="DL13" s="607">
        <f t="shared" si="151"/>
        <v>321</v>
      </c>
      <c r="DM13" s="608">
        <f t="shared" si="152"/>
        <v>319</v>
      </c>
      <c r="DN13" s="607">
        <f t="shared" si="153"/>
        <v>6611088.8230088502</v>
      </c>
      <c r="DO13" s="612">
        <f t="shared" si="154"/>
        <v>7078702.153846154</v>
      </c>
      <c r="DP13" s="607">
        <f t="shared" si="155"/>
        <v>4670536.0609756103</v>
      </c>
      <c r="DQ13" s="606">
        <f t="shared" si="156"/>
        <v>4392656.0091743115</v>
      </c>
      <c r="DR13" s="607">
        <f t="shared" si="157"/>
        <v>4489094</v>
      </c>
      <c r="DS13" s="606">
        <f t="shared" si="158"/>
        <v>3506988.4438775508</v>
      </c>
      <c r="DT13" s="607">
        <f t="shared" si="159"/>
        <v>3978244.5435356204</v>
      </c>
      <c r="DU13" s="606">
        <f t="shared" si="160"/>
        <v>4222674.4649446486</v>
      </c>
      <c r="DV13" s="607">
        <f t="shared" si="161"/>
        <v>0</v>
      </c>
      <c r="DW13" s="608">
        <f t="shared" si="162"/>
        <v>0</v>
      </c>
      <c r="DX13" s="607">
        <f t="shared" si="163"/>
        <v>0</v>
      </c>
      <c r="DY13" s="608">
        <f t="shared" si="164"/>
        <v>0</v>
      </c>
      <c r="DZ13" s="607">
        <f t="shared" si="165"/>
        <v>19748963.427520081</v>
      </c>
      <c r="EA13" s="608">
        <f t="shared" si="166"/>
        <v>19201021.071842667</v>
      </c>
    </row>
    <row r="14" spans="1:131" ht="15" x14ac:dyDescent="0.2">
      <c r="A14" s="481" t="s">
        <v>31</v>
      </c>
      <c r="B14" s="440" t="s">
        <v>790</v>
      </c>
      <c r="C14" s="443"/>
      <c r="D14" s="377">
        <v>102368</v>
      </c>
      <c r="E14" s="377">
        <v>3</v>
      </c>
      <c r="F14" s="598">
        <v>39</v>
      </c>
      <c r="G14" s="599">
        <v>0</v>
      </c>
      <c r="H14" s="600"/>
      <c r="I14" s="601">
        <v>37</v>
      </c>
      <c r="J14" s="600">
        <v>26</v>
      </c>
      <c r="K14" s="599"/>
      <c r="L14" s="600"/>
      <c r="M14" s="601">
        <v>44</v>
      </c>
      <c r="N14" s="600">
        <v>73</v>
      </c>
      <c r="O14" s="599">
        <v>0</v>
      </c>
      <c r="P14" s="600"/>
      <c r="Q14" s="601">
        <v>70</v>
      </c>
      <c r="R14" s="600">
        <v>31</v>
      </c>
      <c r="S14" s="599"/>
      <c r="T14" s="600"/>
      <c r="U14" s="601">
        <v>43</v>
      </c>
      <c r="V14" s="600">
        <v>135</v>
      </c>
      <c r="W14" s="599">
        <v>0</v>
      </c>
      <c r="X14" s="600"/>
      <c r="Y14" s="601">
        <v>125</v>
      </c>
      <c r="Z14" s="600">
        <v>31</v>
      </c>
      <c r="AA14" s="599"/>
      <c r="AB14" s="600"/>
      <c r="AC14" s="601">
        <v>37</v>
      </c>
      <c r="AD14" s="600">
        <v>8</v>
      </c>
      <c r="AE14" s="599">
        <v>0</v>
      </c>
      <c r="AF14" s="600"/>
      <c r="AG14" s="601">
        <v>5</v>
      </c>
      <c r="AH14" s="600">
        <v>7</v>
      </c>
      <c r="AI14" s="599"/>
      <c r="AJ14" s="600"/>
      <c r="AK14" s="601">
        <v>2</v>
      </c>
      <c r="AL14" s="600">
        <v>52</v>
      </c>
      <c r="AM14" s="599"/>
      <c r="AN14" s="600"/>
      <c r="AO14" s="601">
        <v>56</v>
      </c>
      <c r="AP14" s="600">
        <v>18</v>
      </c>
      <c r="AQ14" s="599"/>
      <c r="AR14" s="600"/>
      <c r="AS14" s="601">
        <v>20</v>
      </c>
      <c r="AT14" s="600"/>
      <c r="AU14" s="599"/>
      <c r="AV14" s="600"/>
      <c r="AW14" s="601"/>
      <c r="AX14" s="600"/>
      <c r="AY14" s="599"/>
      <c r="AZ14" s="600"/>
      <c r="BA14" s="601"/>
      <c r="BB14" s="602">
        <v>5473333</v>
      </c>
      <c r="BC14" s="603">
        <v>7475858</v>
      </c>
      <c r="BD14" s="600">
        <v>7355103.9999999991</v>
      </c>
      <c r="BE14" s="603">
        <v>8784840</v>
      </c>
      <c r="BF14" s="600">
        <v>9974702</v>
      </c>
      <c r="BG14" s="603">
        <v>10117740</v>
      </c>
      <c r="BH14" s="600">
        <v>688012</v>
      </c>
      <c r="BI14" s="603">
        <v>318243</v>
      </c>
      <c r="BJ14" s="600">
        <v>3183604</v>
      </c>
      <c r="BK14" s="603">
        <v>3613517</v>
      </c>
      <c r="BL14" s="600">
        <v>0</v>
      </c>
      <c r="BM14" s="604"/>
      <c r="BN14" s="605">
        <f t="shared" si="101"/>
        <v>637</v>
      </c>
      <c r="BO14" s="606">
        <f t="shared" si="102"/>
        <v>898</v>
      </c>
      <c r="BP14" s="607">
        <f t="shared" si="103"/>
        <v>998</v>
      </c>
      <c r="BQ14" s="606">
        <f t="shared" si="104"/>
        <v>1216</v>
      </c>
      <c r="BR14" s="607">
        <f t="shared" si="105"/>
        <v>1556</v>
      </c>
      <c r="BS14" s="606">
        <f t="shared" si="106"/>
        <v>1694</v>
      </c>
      <c r="BT14" s="607">
        <f t="shared" si="107"/>
        <v>149</v>
      </c>
      <c r="BU14" s="606">
        <f t="shared" si="108"/>
        <v>74</v>
      </c>
      <c r="BV14" s="607">
        <f t="shared" si="109"/>
        <v>666</v>
      </c>
      <c r="BW14" s="608">
        <f t="shared" si="110"/>
        <v>800</v>
      </c>
      <c r="BX14" s="607">
        <f t="shared" si="111"/>
        <v>0</v>
      </c>
      <c r="BY14" s="608">
        <f t="shared" si="112"/>
        <v>0</v>
      </c>
      <c r="BZ14" s="607">
        <f t="shared" si="113"/>
        <v>8592.3594976452114</v>
      </c>
      <c r="CA14" s="608">
        <f t="shared" si="114"/>
        <v>8325.008908685968</v>
      </c>
      <c r="CB14" s="607">
        <f t="shared" si="115"/>
        <v>7369.8436873747487</v>
      </c>
      <c r="CC14" s="608">
        <f t="shared" si="116"/>
        <v>7224.375</v>
      </c>
      <c r="CD14" s="607">
        <f t="shared" si="117"/>
        <v>6410.4768637532134</v>
      </c>
      <c r="CE14" s="608">
        <f t="shared" si="118"/>
        <v>5972.6918536009443</v>
      </c>
      <c r="CF14" s="607">
        <f t="shared" si="119"/>
        <v>4617.5302013422815</v>
      </c>
      <c r="CG14" s="608">
        <f t="shared" si="120"/>
        <v>4300.5810810810808</v>
      </c>
      <c r="CH14" s="607">
        <f t="shared" si="121"/>
        <v>4780.1861861861862</v>
      </c>
      <c r="CI14" s="608">
        <f t="shared" si="122"/>
        <v>4516.8962499999998</v>
      </c>
      <c r="CJ14" s="607">
        <f t="shared" si="123"/>
        <v>0</v>
      </c>
      <c r="CK14" s="608">
        <f t="shared" si="124"/>
        <v>0</v>
      </c>
      <c r="CL14" s="609">
        <f t="shared" si="125"/>
        <v>77331.235478806906</v>
      </c>
      <c r="CM14" s="608">
        <f t="shared" si="126"/>
        <v>74925.08017817371</v>
      </c>
      <c r="CN14" s="610">
        <f t="shared" si="127"/>
        <v>66328.593186372746</v>
      </c>
      <c r="CO14" s="606">
        <f t="shared" si="128"/>
        <v>65019.375</v>
      </c>
      <c r="CP14" s="607">
        <f t="shared" si="129"/>
        <v>57694.291773778918</v>
      </c>
      <c r="CQ14" s="606">
        <f t="shared" si="130"/>
        <v>53754.226682408502</v>
      </c>
      <c r="CR14" s="607">
        <f t="shared" si="131"/>
        <v>41557.771812080537</v>
      </c>
      <c r="CS14" s="606">
        <f t="shared" si="132"/>
        <v>38705.229729729726</v>
      </c>
      <c r="CT14" s="607">
        <f t="shared" si="133"/>
        <v>43021.675675675673</v>
      </c>
      <c r="CU14" s="608">
        <f t="shared" si="134"/>
        <v>40652.066249999996</v>
      </c>
      <c r="CV14" s="610">
        <f t="shared" si="135"/>
        <v>0</v>
      </c>
      <c r="CW14" s="608">
        <f t="shared" si="136"/>
        <v>0</v>
      </c>
      <c r="CX14" s="610">
        <f t="shared" si="137"/>
        <v>59849.619777216707</v>
      </c>
      <c r="CY14" s="611">
        <f t="shared" si="138"/>
        <v>58051.934476287817</v>
      </c>
      <c r="CZ14" s="605">
        <f t="shared" si="139"/>
        <v>65</v>
      </c>
      <c r="DA14" s="612">
        <f t="shared" si="140"/>
        <v>81</v>
      </c>
      <c r="DB14" s="607">
        <f t="shared" si="141"/>
        <v>104</v>
      </c>
      <c r="DC14" s="606">
        <f t="shared" si="142"/>
        <v>113</v>
      </c>
      <c r="DD14" s="607">
        <f t="shared" si="143"/>
        <v>166</v>
      </c>
      <c r="DE14" s="606">
        <f t="shared" si="144"/>
        <v>162</v>
      </c>
      <c r="DF14" s="607">
        <f t="shared" si="145"/>
        <v>15</v>
      </c>
      <c r="DG14" s="606">
        <f t="shared" si="146"/>
        <v>7</v>
      </c>
      <c r="DH14" s="607">
        <f t="shared" si="147"/>
        <v>70</v>
      </c>
      <c r="DI14" s="608">
        <f t="shared" si="148"/>
        <v>76</v>
      </c>
      <c r="DJ14" s="607">
        <f t="shared" si="149"/>
        <v>0</v>
      </c>
      <c r="DK14" s="608">
        <f t="shared" si="150"/>
        <v>0</v>
      </c>
      <c r="DL14" s="607">
        <f t="shared" si="151"/>
        <v>420</v>
      </c>
      <c r="DM14" s="608">
        <f t="shared" si="152"/>
        <v>439</v>
      </c>
      <c r="DN14" s="607">
        <f t="shared" si="153"/>
        <v>5026530.3061224492</v>
      </c>
      <c r="DO14" s="612">
        <f t="shared" si="154"/>
        <v>6068931.4944320703</v>
      </c>
      <c r="DP14" s="607">
        <f t="shared" si="155"/>
        <v>6898173.6913827658</v>
      </c>
      <c r="DQ14" s="606">
        <f t="shared" si="156"/>
        <v>7347189.375</v>
      </c>
      <c r="DR14" s="607">
        <f t="shared" si="157"/>
        <v>9577252.4344472997</v>
      </c>
      <c r="DS14" s="606">
        <f t="shared" si="158"/>
        <v>8708184.7225501779</v>
      </c>
      <c r="DT14" s="607">
        <f t="shared" si="159"/>
        <v>623366.57718120806</v>
      </c>
      <c r="DU14" s="606">
        <f t="shared" si="160"/>
        <v>270936.60810810811</v>
      </c>
      <c r="DV14" s="607">
        <f t="shared" si="161"/>
        <v>3011517.297297297</v>
      </c>
      <c r="DW14" s="608">
        <f t="shared" si="162"/>
        <v>3089557.0349999997</v>
      </c>
      <c r="DX14" s="607">
        <f t="shared" si="163"/>
        <v>0</v>
      </c>
      <c r="DY14" s="608">
        <f t="shared" si="164"/>
        <v>0</v>
      </c>
      <c r="DZ14" s="607">
        <f t="shared" si="165"/>
        <v>25136840.306431018</v>
      </c>
      <c r="EA14" s="608">
        <f t="shared" si="166"/>
        <v>25484799.235090353</v>
      </c>
    </row>
    <row r="15" spans="1:131" ht="15" x14ac:dyDescent="0.2">
      <c r="A15" s="481" t="s">
        <v>31</v>
      </c>
      <c r="B15" s="440" t="s">
        <v>796</v>
      </c>
      <c r="C15" s="443"/>
      <c r="D15" s="377">
        <v>102094</v>
      </c>
      <c r="E15" s="377">
        <v>3</v>
      </c>
      <c r="F15" s="598">
        <v>71</v>
      </c>
      <c r="G15" s="599">
        <v>70</v>
      </c>
      <c r="H15" s="600"/>
      <c r="I15" s="601"/>
      <c r="J15" s="600">
        <v>47</v>
      </c>
      <c r="K15" s="599"/>
      <c r="L15" s="600"/>
      <c r="M15" s="601">
        <v>58</v>
      </c>
      <c r="N15" s="600">
        <v>102</v>
      </c>
      <c r="O15" s="599">
        <v>102</v>
      </c>
      <c r="P15" s="600"/>
      <c r="Q15" s="601"/>
      <c r="R15" s="600">
        <v>28</v>
      </c>
      <c r="S15" s="599"/>
      <c r="T15" s="600"/>
      <c r="U15" s="601">
        <v>26</v>
      </c>
      <c r="V15" s="600">
        <v>97</v>
      </c>
      <c r="W15" s="599">
        <v>97</v>
      </c>
      <c r="X15" s="600"/>
      <c r="Y15" s="601">
        <v>0</v>
      </c>
      <c r="Z15" s="600">
        <v>45</v>
      </c>
      <c r="AA15" s="599"/>
      <c r="AB15" s="600"/>
      <c r="AC15" s="601">
        <v>53</v>
      </c>
      <c r="AD15" s="600">
        <v>67</v>
      </c>
      <c r="AE15" s="599">
        <v>66</v>
      </c>
      <c r="AF15" s="600"/>
      <c r="AG15" s="601">
        <v>0</v>
      </c>
      <c r="AH15" s="600">
        <v>66</v>
      </c>
      <c r="AI15" s="599"/>
      <c r="AJ15" s="600"/>
      <c r="AK15" s="601">
        <v>56</v>
      </c>
      <c r="AL15" s="600">
        <v>1</v>
      </c>
      <c r="AM15" s="599">
        <v>1</v>
      </c>
      <c r="AN15" s="600"/>
      <c r="AO15" s="601"/>
      <c r="AP15" s="600">
        <v>0</v>
      </c>
      <c r="AQ15" s="599"/>
      <c r="AR15" s="600"/>
      <c r="AS15" s="601"/>
      <c r="AT15" s="600"/>
      <c r="AU15" s="599"/>
      <c r="AV15" s="600"/>
      <c r="AW15" s="601"/>
      <c r="AX15" s="600"/>
      <c r="AY15" s="599"/>
      <c r="AZ15" s="600"/>
      <c r="BA15" s="601"/>
      <c r="BB15" s="602">
        <v>11312483</v>
      </c>
      <c r="BC15" s="603">
        <v>12341987</v>
      </c>
      <c r="BD15" s="600">
        <v>9399811</v>
      </c>
      <c r="BE15" s="603">
        <v>9013737</v>
      </c>
      <c r="BF15" s="600">
        <v>9040449</v>
      </c>
      <c r="BG15" s="603">
        <v>9740456</v>
      </c>
      <c r="BH15" s="600">
        <v>7196981</v>
      </c>
      <c r="BI15" s="603">
        <v>6349110</v>
      </c>
      <c r="BJ15" s="600">
        <v>49078</v>
      </c>
      <c r="BK15" s="603">
        <v>49078</v>
      </c>
      <c r="BL15" s="600">
        <v>0</v>
      </c>
      <c r="BM15" s="604"/>
      <c r="BN15" s="605">
        <f t="shared" si="101"/>
        <v>1156</v>
      </c>
      <c r="BO15" s="606">
        <f t="shared" si="102"/>
        <v>1326</v>
      </c>
      <c r="BP15" s="607">
        <f t="shared" si="103"/>
        <v>1226</v>
      </c>
      <c r="BQ15" s="606">
        <f t="shared" si="104"/>
        <v>1230</v>
      </c>
      <c r="BR15" s="607">
        <f t="shared" si="105"/>
        <v>1368</v>
      </c>
      <c r="BS15" s="606">
        <f t="shared" si="106"/>
        <v>1509</v>
      </c>
      <c r="BT15" s="607">
        <f t="shared" si="107"/>
        <v>1329</v>
      </c>
      <c r="BU15" s="606">
        <f t="shared" si="108"/>
        <v>1266</v>
      </c>
      <c r="BV15" s="607">
        <f t="shared" si="109"/>
        <v>9</v>
      </c>
      <c r="BW15" s="608">
        <f t="shared" si="110"/>
        <v>9</v>
      </c>
      <c r="BX15" s="607">
        <f t="shared" si="111"/>
        <v>0</v>
      </c>
      <c r="BY15" s="608">
        <f t="shared" si="112"/>
        <v>0</v>
      </c>
      <c r="BZ15" s="607">
        <f t="shared" si="113"/>
        <v>9785.8849480968856</v>
      </c>
      <c r="CA15" s="608">
        <f t="shared" si="114"/>
        <v>9307.6825037707385</v>
      </c>
      <c r="CB15" s="607">
        <f t="shared" si="115"/>
        <v>7667.056280587276</v>
      </c>
      <c r="CC15" s="608">
        <f t="shared" si="116"/>
        <v>7328.2414634146344</v>
      </c>
      <c r="CD15" s="607">
        <f t="shared" si="117"/>
        <v>6608.5153508771928</v>
      </c>
      <c r="CE15" s="608">
        <f t="shared" si="118"/>
        <v>6454.9078860172303</v>
      </c>
      <c r="CF15" s="607">
        <f t="shared" si="119"/>
        <v>5415.3355906696761</v>
      </c>
      <c r="CG15" s="608">
        <f t="shared" si="120"/>
        <v>5015.0947867298582</v>
      </c>
      <c r="CH15" s="607">
        <f t="shared" si="121"/>
        <v>5453.1111111111113</v>
      </c>
      <c r="CI15" s="608">
        <f t="shared" si="122"/>
        <v>5453.1111111111113</v>
      </c>
      <c r="CJ15" s="607">
        <f t="shared" si="123"/>
        <v>0</v>
      </c>
      <c r="CK15" s="608">
        <f t="shared" si="124"/>
        <v>0</v>
      </c>
      <c r="CL15" s="609">
        <f t="shared" si="125"/>
        <v>88072.964532871963</v>
      </c>
      <c r="CM15" s="608">
        <f t="shared" si="126"/>
        <v>83769.142533936654</v>
      </c>
      <c r="CN15" s="610">
        <f t="shared" si="127"/>
        <v>69003.506525285484</v>
      </c>
      <c r="CO15" s="606">
        <f t="shared" si="128"/>
        <v>65954.173170731709</v>
      </c>
      <c r="CP15" s="607">
        <f t="shared" si="129"/>
        <v>59476.638157894733</v>
      </c>
      <c r="CQ15" s="606">
        <f t="shared" si="130"/>
        <v>58094.170974155073</v>
      </c>
      <c r="CR15" s="607">
        <f t="shared" si="131"/>
        <v>48738.020316027083</v>
      </c>
      <c r="CS15" s="606">
        <f t="shared" si="132"/>
        <v>45135.853080568726</v>
      </c>
      <c r="CT15" s="607">
        <f t="shared" si="133"/>
        <v>49078</v>
      </c>
      <c r="CU15" s="608">
        <f t="shared" si="134"/>
        <v>49078</v>
      </c>
      <c r="CV15" s="610">
        <f t="shared" si="135"/>
        <v>0</v>
      </c>
      <c r="CW15" s="608">
        <f t="shared" si="136"/>
        <v>0</v>
      </c>
      <c r="CX15" s="610">
        <f t="shared" si="137"/>
        <v>65534.318671027977</v>
      </c>
      <c r="CY15" s="611">
        <f t="shared" si="138"/>
        <v>63202.952990832127</v>
      </c>
      <c r="CZ15" s="605">
        <f t="shared" si="139"/>
        <v>118</v>
      </c>
      <c r="DA15" s="612">
        <f t="shared" si="140"/>
        <v>128</v>
      </c>
      <c r="DB15" s="607">
        <f t="shared" si="141"/>
        <v>130</v>
      </c>
      <c r="DC15" s="606">
        <f t="shared" si="142"/>
        <v>128</v>
      </c>
      <c r="DD15" s="607">
        <f t="shared" si="143"/>
        <v>142</v>
      </c>
      <c r="DE15" s="606">
        <f t="shared" si="144"/>
        <v>150</v>
      </c>
      <c r="DF15" s="607">
        <f t="shared" si="145"/>
        <v>133</v>
      </c>
      <c r="DG15" s="606">
        <f t="shared" si="146"/>
        <v>122</v>
      </c>
      <c r="DH15" s="607">
        <f t="shared" si="147"/>
        <v>1</v>
      </c>
      <c r="DI15" s="608">
        <f t="shared" si="148"/>
        <v>1</v>
      </c>
      <c r="DJ15" s="607">
        <f t="shared" si="149"/>
        <v>0</v>
      </c>
      <c r="DK15" s="608">
        <f t="shared" si="150"/>
        <v>0</v>
      </c>
      <c r="DL15" s="607">
        <f t="shared" si="151"/>
        <v>524</v>
      </c>
      <c r="DM15" s="608">
        <f t="shared" si="152"/>
        <v>529</v>
      </c>
      <c r="DN15" s="607">
        <f t="shared" si="153"/>
        <v>10392609.814878892</v>
      </c>
      <c r="DO15" s="612">
        <f t="shared" si="154"/>
        <v>10722450.244343892</v>
      </c>
      <c r="DP15" s="607">
        <f t="shared" si="155"/>
        <v>8970455.848287113</v>
      </c>
      <c r="DQ15" s="606">
        <f t="shared" si="156"/>
        <v>8442134.1658536587</v>
      </c>
      <c r="DR15" s="607">
        <f t="shared" si="157"/>
        <v>8445682.6184210517</v>
      </c>
      <c r="DS15" s="606">
        <f t="shared" si="158"/>
        <v>8714125.6461232603</v>
      </c>
      <c r="DT15" s="607">
        <f t="shared" si="159"/>
        <v>6482156.7020316022</v>
      </c>
      <c r="DU15" s="606">
        <f t="shared" si="160"/>
        <v>5506574.0758293848</v>
      </c>
      <c r="DV15" s="607">
        <f t="shared" si="161"/>
        <v>49078</v>
      </c>
      <c r="DW15" s="608">
        <f t="shared" si="162"/>
        <v>49078</v>
      </c>
      <c r="DX15" s="607">
        <f t="shared" si="163"/>
        <v>0</v>
      </c>
      <c r="DY15" s="608">
        <f t="shared" si="164"/>
        <v>0</v>
      </c>
      <c r="DZ15" s="607">
        <f t="shared" si="165"/>
        <v>34339982.983618662</v>
      </c>
      <c r="EA15" s="608">
        <f t="shared" si="166"/>
        <v>33434362.132150196</v>
      </c>
    </row>
    <row r="16" spans="1:131" ht="15" x14ac:dyDescent="0.2">
      <c r="A16" s="481" t="s">
        <v>31</v>
      </c>
      <c r="B16" s="440" t="s">
        <v>785</v>
      </c>
      <c r="C16" s="443"/>
      <c r="D16" s="377">
        <v>100724</v>
      </c>
      <c r="E16" s="377">
        <v>4</v>
      </c>
      <c r="F16" s="598">
        <v>61</v>
      </c>
      <c r="G16" s="599">
        <v>5</v>
      </c>
      <c r="H16" s="600"/>
      <c r="I16" s="601">
        <v>59</v>
      </c>
      <c r="J16" s="600">
        <v>3</v>
      </c>
      <c r="K16" s="599"/>
      <c r="L16" s="600"/>
      <c r="M16" s="601">
        <v>0</v>
      </c>
      <c r="N16" s="600">
        <v>52</v>
      </c>
      <c r="O16" s="599">
        <v>3</v>
      </c>
      <c r="P16" s="600"/>
      <c r="Q16" s="601">
        <v>62</v>
      </c>
      <c r="R16" s="600">
        <v>7</v>
      </c>
      <c r="S16" s="599"/>
      <c r="T16" s="600"/>
      <c r="U16" s="601">
        <v>0</v>
      </c>
      <c r="V16" s="600">
        <v>75</v>
      </c>
      <c r="W16" s="599">
        <v>9</v>
      </c>
      <c r="X16" s="600"/>
      <c r="Y16" s="601">
        <v>80</v>
      </c>
      <c r="Z16" s="600">
        <v>4</v>
      </c>
      <c r="AA16" s="599"/>
      <c r="AB16" s="600"/>
      <c r="AC16" s="601">
        <v>0</v>
      </c>
      <c r="AD16" s="600">
        <v>49</v>
      </c>
      <c r="AE16" s="599">
        <v>1</v>
      </c>
      <c r="AF16" s="600"/>
      <c r="AG16" s="601">
        <v>57</v>
      </c>
      <c r="AH16" s="600">
        <v>5</v>
      </c>
      <c r="AI16" s="599"/>
      <c r="AJ16" s="600"/>
      <c r="AK16" s="601">
        <v>0</v>
      </c>
      <c r="AL16" s="600"/>
      <c r="AM16" s="599"/>
      <c r="AN16" s="600"/>
      <c r="AO16" s="601"/>
      <c r="AP16" s="600">
        <v>0</v>
      </c>
      <c r="AQ16" s="599"/>
      <c r="AR16" s="600"/>
      <c r="AS16" s="601"/>
      <c r="AT16" s="600"/>
      <c r="AU16" s="599"/>
      <c r="AV16" s="600"/>
      <c r="AW16" s="601"/>
      <c r="AX16" s="600"/>
      <c r="AY16" s="599"/>
      <c r="AZ16" s="600"/>
      <c r="BA16" s="601"/>
      <c r="BB16" s="602">
        <v>5527743</v>
      </c>
      <c r="BC16" s="603">
        <v>5323549</v>
      </c>
      <c r="BD16" s="600">
        <v>4185144</v>
      </c>
      <c r="BE16" s="603">
        <v>4510455</v>
      </c>
      <c r="BF16" s="600">
        <v>4550439</v>
      </c>
      <c r="BG16" s="603">
        <v>5097881</v>
      </c>
      <c r="BH16" s="600">
        <v>2516638</v>
      </c>
      <c r="BI16" s="603">
        <v>2637988</v>
      </c>
      <c r="BJ16" s="600">
        <v>0</v>
      </c>
      <c r="BK16" s="603"/>
      <c r="BL16" s="600">
        <v>0</v>
      </c>
      <c r="BM16" s="604"/>
      <c r="BN16" s="605">
        <f t="shared" si="101"/>
        <v>582</v>
      </c>
      <c r="BO16" s="606">
        <f t="shared" si="102"/>
        <v>635</v>
      </c>
      <c r="BP16" s="607">
        <f t="shared" si="103"/>
        <v>545</v>
      </c>
      <c r="BQ16" s="606">
        <f t="shared" si="104"/>
        <v>647</v>
      </c>
      <c r="BR16" s="607">
        <f t="shared" si="105"/>
        <v>719</v>
      </c>
      <c r="BS16" s="606">
        <f t="shared" si="106"/>
        <v>881</v>
      </c>
      <c r="BT16" s="607">
        <f t="shared" si="107"/>
        <v>496</v>
      </c>
      <c r="BU16" s="606">
        <f t="shared" si="108"/>
        <v>579</v>
      </c>
      <c r="BV16" s="607">
        <f t="shared" si="109"/>
        <v>0</v>
      </c>
      <c r="BW16" s="608">
        <f t="shared" si="110"/>
        <v>0</v>
      </c>
      <c r="BX16" s="607">
        <f t="shared" si="111"/>
        <v>0</v>
      </c>
      <c r="BY16" s="608">
        <f t="shared" si="112"/>
        <v>0</v>
      </c>
      <c r="BZ16" s="607">
        <f t="shared" si="113"/>
        <v>9497.8402061855668</v>
      </c>
      <c r="CA16" s="608">
        <f t="shared" si="114"/>
        <v>8383.5417322834637</v>
      </c>
      <c r="CB16" s="607">
        <f t="shared" si="115"/>
        <v>7679.1633027522939</v>
      </c>
      <c r="CC16" s="608">
        <f t="shared" si="116"/>
        <v>6971.336939721793</v>
      </c>
      <c r="CD16" s="607">
        <f t="shared" si="117"/>
        <v>6328.8442280945756</v>
      </c>
      <c r="CE16" s="608">
        <f t="shared" si="118"/>
        <v>5786.4710556186155</v>
      </c>
      <c r="CF16" s="607">
        <f t="shared" si="119"/>
        <v>5073.8669354838712</v>
      </c>
      <c r="CG16" s="608">
        <f t="shared" si="120"/>
        <v>4556.1105354058718</v>
      </c>
      <c r="CH16" s="607">
        <f t="shared" si="121"/>
        <v>0</v>
      </c>
      <c r="CI16" s="608">
        <f t="shared" si="122"/>
        <v>0</v>
      </c>
      <c r="CJ16" s="607">
        <f t="shared" si="123"/>
        <v>0</v>
      </c>
      <c r="CK16" s="608">
        <f t="shared" si="124"/>
        <v>0</v>
      </c>
      <c r="CL16" s="609">
        <f t="shared" si="125"/>
        <v>85480.561855670094</v>
      </c>
      <c r="CM16" s="608">
        <f t="shared" si="126"/>
        <v>75451.875590551179</v>
      </c>
      <c r="CN16" s="610">
        <f t="shared" si="127"/>
        <v>69112.46972477065</v>
      </c>
      <c r="CO16" s="606">
        <f t="shared" si="128"/>
        <v>62742.032457496134</v>
      </c>
      <c r="CP16" s="607">
        <f t="shared" si="129"/>
        <v>56959.598052851179</v>
      </c>
      <c r="CQ16" s="606">
        <f t="shared" si="130"/>
        <v>52078.239500567543</v>
      </c>
      <c r="CR16" s="607">
        <f t="shared" si="131"/>
        <v>45664.802419354841</v>
      </c>
      <c r="CS16" s="606">
        <f t="shared" si="132"/>
        <v>41004.994818652849</v>
      </c>
      <c r="CT16" s="607">
        <f t="shared" si="133"/>
        <v>0</v>
      </c>
      <c r="CU16" s="608">
        <f t="shared" si="134"/>
        <v>0</v>
      </c>
      <c r="CV16" s="610">
        <f t="shared" si="135"/>
        <v>0</v>
      </c>
      <c r="CW16" s="608">
        <f t="shared" si="136"/>
        <v>0</v>
      </c>
      <c r="CX16" s="610">
        <f t="shared" si="137"/>
        <v>64508.200192752971</v>
      </c>
      <c r="CY16" s="611">
        <f t="shared" si="138"/>
        <v>57682.62740059747</v>
      </c>
      <c r="CZ16" s="605">
        <f t="shared" si="139"/>
        <v>64</v>
      </c>
      <c r="DA16" s="612">
        <f t="shared" si="140"/>
        <v>64</v>
      </c>
      <c r="DB16" s="607">
        <f t="shared" si="141"/>
        <v>59</v>
      </c>
      <c r="DC16" s="606">
        <f t="shared" si="142"/>
        <v>65</v>
      </c>
      <c r="DD16" s="607">
        <f t="shared" si="143"/>
        <v>79</v>
      </c>
      <c r="DE16" s="606">
        <f t="shared" si="144"/>
        <v>89</v>
      </c>
      <c r="DF16" s="607">
        <f t="shared" si="145"/>
        <v>54</v>
      </c>
      <c r="DG16" s="606">
        <f t="shared" si="146"/>
        <v>58</v>
      </c>
      <c r="DH16" s="607">
        <f t="shared" si="147"/>
        <v>0</v>
      </c>
      <c r="DI16" s="608">
        <f t="shared" si="148"/>
        <v>0</v>
      </c>
      <c r="DJ16" s="607">
        <f t="shared" si="149"/>
        <v>0</v>
      </c>
      <c r="DK16" s="608">
        <f t="shared" si="150"/>
        <v>0</v>
      </c>
      <c r="DL16" s="607">
        <f t="shared" si="151"/>
        <v>256</v>
      </c>
      <c r="DM16" s="608">
        <f t="shared" si="152"/>
        <v>276</v>
      </c>
      <c r="DN16" s="607">
        <f t="shared" si="153"/>
        <v>5470755.958762886</v>
      </c>
      <c r="DO16" s="612">
        <f t="shared" si="154"/>
        <v>4828920.0377952754</v>
      </c>
      <c r="DP16" s="607">
        <f t="shared" si="155"/>
        <v>4077635.7137614684</v>
      </c>
      <c r="DQ16" s="606">
        <f t="shared" si="156"/>
        <v>4078232.1097372486</v>
      </c>
      <c r="DR16" s="607">
        <f t="shared" si="157"/>
        <v>4499808.2461752435</v>
      </c>
      <c r="DS16" s="606">
        <f t="shared" si="158"/>
        <v>4634963.3155505117</v>
      </c>
      <c r="DT16" s="607">
        <f t="shared" si="159"/>
        <v>2465899.3306451612</v>
      </c>
      <c r="DU16" s="606">
        <f t="shared" si="160"/>
        <v>2378289.6994818654</v>
      </c>
      <c r="DV16" s="607">
        <f t="shared" si="161"/>
        <v>0</v>
      </c>
      <c r="DW16" s="608">
        <f t="shared" si="162"/>
        <v>0</v>
      </c>
      <c r="DX16" s="607">
        <f t="shared" si="163"/>
        <v>0</v>
      </c>
      <c r="DY16" s="608">
        <f t="shared" si="164"/>
        <v>0</v>
      </c>
      <c r="DZ16" s="607">
        <f t="shared" si="165"/>
        <v>16514099.249344761</v>
      </c>
      <c r="EA16" s="608">
        <f t="shared" si="166"/>
        <v>15920405.162564902</v>
      </c>
    </row>
    <row r="17" spans="1:131" ht="15" x14ac:dyDescent="0.2">
      <c r="A17" s="481" t="s">
        <v>31</v>
      </c>
      <c r="B17" s="440" t="s">
        <v>788</v>
      </c>
      <c r="C17" s="443"/>
      <c r="D17" s="377">
        <v>100830</v>
      </c>
      <c r="E17" s="377">
        <v>4</v>
      </c>
      <c r="F17" s="598">
        <v>42</v>
      </c>
      <c r="G17" s="599">
        <v>38</v>
      </c>
      <c r="H17" s="600"/>
      <c r="I17" s="601"/>
      <c r="J17" s="600">
        <v>11</v>
      </c>
      <c r="K17" s="599"/>
      <c r="L17" s="600"/>
      <c r="M17" s="601">
        <v>11</v>
      </c>
      <c r="N17" s="600">
        <v>47</v>
      </c>
      <c r="O17" s="599">
        <v>50</v>
      </c>
      <c r="P17" s="600"/>
      <c r="Q17" s="601"/>
      <c r="R17" s="600">
        <v>15</v>
      </c>
      <c r="S17" s="599"/>
      <c r="T17" s="600"/>
      <c r="U17" s="601">
        <v>17</v>
      </c>
      <c r="V17" s="600">
        <v>51</v>
      </c>
      <c r="W17" s="599">
        <v>46</v>
      </c>
      <c r="X17" s="600"/>
      <c r="Y17" s="601">
        <v>0</v>
      </c>
      <c r="Z17" s="600">
        <v>12</v>
      </c>
      <c r="AA17" s="599"/>
      <c r="AB17" s="600"/>
      <c r="AC17" s="601">
        <v>15</v>
      </c>
      <c r="AD17" s="600">
        <v>16</v>
      </c>
      <c r="AE17" s="599">
        <v>14</v>
      </c>
      <c r="AF17" s="600"/>
      <c r="AG17" s="601">
        <v>0</v>
      </c>
      <c r="AH17" s="600">
        <v>3</v>
      </c>
      <c r="AI17" s="599"/>
      <c r="AJ17" s="600"/>
      <c r="AK17" s="601">
        <v>3</v>
      </c>
      <c r="AL17" s="600"/>
      <c r="AM17" s="599">
        <v>2</v>
      </c>
      <c r="AN17" s="600"/>
      <c r="AO17" s="601"/>
      <c r="AP17" s="600">
        <v>1</v>
      </c>
      <c r="AQ17" s="599"/>
      <c r="AR17" s="600"/>
      <c r="AS17" s="601">
        <v>2</v>
      </c>
      <c r="AT17" s="600"/>
      <c r="AU17" s="599"/>
      <c r="AV17" s="600"/>
      <c r="AW17" s="601"/>
      <c r="AX17" s="600"/>
      <c r="AY17" s="599"/>
      <c r="AZ17" s="600"/>
      <c r="BA17" s="601"/>
      <c r="BB17" s="602">
        <v>4583343</v>
      </c>
      <c r="BC17" s="603">
        <v>4220041</v>
      </c>
      <c r="BD17" s="600">
        <v>4489776</v>
      </c>
      <c r="BE17" s="603">
        <v>5000860</v>
      </c>
      <c r="BF17" s="600">
        <v>3377106</v>
      </c>
      <c r="BG17" s="603">
        <v>3424060</v>
      </c>
      <c r="BH17" s="600">
        <v>757928</v>
      </c>
      <c r="BI17" s="603">
        <v>668052</v>
      </c>
      <c r="BJ17" s="600">
        <v>81736</v>
      </c>
      <c r="BK17" s="603">
        <v>284476</v>
      </c>
      <c r="BL17" s="600">
        <v>0</v>
      </c>
      <c r="BM17" s="604"/>
      <c r="BN17" s="605">
        <f t="shared" si="101"/>
        <v>499</v>
      </c>
      <c r="BO17" s="606">
        <f t="shared" si="102"/>
        <v>474</v>
      </c>
      <c r="BP17" s="607">
        <f t="shared" si="103"/>
        <v>588</v>
      </c>
      <c r="BQ17" s="606">
        <f t="shared" si="104"/>
        <v>654</v>
      </c>
      <c r="BR17" s="607">
        <f t="shared" si="105"/>
        <v>591</v>
      </c>
      <c r="BS17" s="606">
        <f t="shared" si="106"/>
        <v>594</v>
      </c>
      <c r="BT17" s="607">
        <f t="shared" si="107"/>
        <v>177</v>
      </c>
      <c r="BU17" s="606">
        <f t="shared" si="108"/>
        <v>162</v>
      </c>
      <c r="BV17" s="607">
        <f t="shared" si="109"/>
        <v>11</v>
      </c>
      <c r="BW17" s="608">
        <f t="shared" si="110"/>
        <v>42</v>
      </c>
      <c r="BX17" s="607">
        <f t="shared" si="111"/>
        <v>0</v>
      </c>
      <c r="BY17" s="608">
        <f t="shared" si="112"/>
        <v>0</v>
      </c>
      <c r="BZ17" s="607">
        <f t="shared" si="113"/>
        <v>9185.056112224449</v>
      </c>
      <c r="CA17" s="608">
        <f t="shared" si="114"/>
        <v>8903.0400843881853</v>
      </c>
      <c r="CB17" s="607">
        <f t="shared" si="115"/>
        <v>7635.6734693877552</v>
      </c>
      <c r="CC17" s="608">
        <f t="shared" si="116"/>
        <v>7646.5749235474004</v>
      </c>
      <c r="CD17" s="607">
        <f t="shared" si="117"/>
        <v>5714.2233502538074</v>
      </c>
      <c r="CE17" s="608">
        <f t="shared" si="118"/>
        <v>5764.4107744107741</v>
      </c>
      <c r="CF17" s="607">
        <f t="shared" si="119"/>
        <v>4282.0790960451977</v>
      </c>
      <c r="CG17" s="608">
        <f t="shared" si="120"/>
        <v>4123.7777777777774</v>
      </c>
      <c r="CH17" s="607">
        <f t="shared" si="121"/>
        <v>7430.545454545455</v>
      </c>
      <c r="CI17" s="608">
        <f t="shared" si="122"/>
        <v>6773.2380952380954</v>
      </c>
      <c r="CJ17" s="607">
        <f t="shared" si="123"/>
        <v>0</v>
      </c>
      <c r="CK17" s="608">
        <f t="shared" si="124"/>
        <v>0</v>
      </c>
      <c r="CL17" s="609">
        <f t="shared" si="125"/>
        <v>82665.505010020046</v>
      </c>
      <c r="CM17" s="608">
        <f t="shared" si="126"/>
        <v>80127.360759493662</v>
      </c>
      <c r="CN17" s="610">
        <f t="shared" si="127"/>
        <v>68721.061224489793</v>
      </c>
      <c r="CO17" s="606">
        <f t="shared" si="128"/>
        <v>68819.174311926603</v>
      </c>
      <c r="CP17" s="607">
        <f t="shared" si="129"/>
        <v>51428.010152284267</v>
      </c>
      <c r="CQ17" s="606">
        <f t="shared" si="130"/>
        <v>51879.696969696968</v>
      </c>
      <c r="CR17" s="607">
        <f t="shared" si="131"/>
        <v>38538.711864406781</v>
      </c>
      <c r="CS17" s="606">
        <f t="shared" si="132"/>
        <v>37114</v>
      </c>
      <c r="CT17" s="607">
        <f t="shared" si="133"/>
        <v>66874.909090909088</v>
      </c>
      <c r="CU17" s="608">
        <f t="shared" si="134"/>
        <v>60959.142857142855</v>
      </c>
      <c r="CV17" s="610">
        <f t="shared" si="135"/>
        <v>0</v>
      </c>
      <c r="CW17" s="608">
        <f t="shared" si="136"/>
        <v>0</v>
      </c>
      <c r="CX17" s="610">
        <f t="shared" si="137"/>
        <v>64045.720381605926</v>
      </c>
      <c r="CY17" s="611">
        <f t="shared" si="138"/>
        <v>63517.98708431494</v>
      </c>
      <c r="CZ17" s="605">
        <f t="shared" si="139"/>
        <v>53</v>
      </c>
      <c r="DA17" s="612">
        <f t="shared" si="140"/>
        <v>49</v>
      </c>
      <c r="DB17" s="607">
        <f t="shared" si="141"/>
        <v>62</v>
      </c>
      <c r="DC17" s="606">
        <f t="shared" si="142"/>
        <v>67</v>
      </c>
      <c r="DD17" s="607">
        <f t="shared" si="143"/>
        <v>63</v>
      </c>
      <c r="DE17" s="606">
        <f t="shared" si="144"/>
        <v>61</v>
      </c>
      <c r="DF17" s="607">
        <f t="shared" si="145"/>
        <v>19</v>
      </c>
      <c r="DG17" s="606">
        <f t="shared" si="146"/>
        <v>17</v>
      </c>
      <c r="DH17" s="607">
        <f t="shared" si="147"/>
        <v>1</v>
      </c>
      <c r="DI17" s="608">
        <f t="shared" si="148"/>
        <v>4</v>
      </c>
      <c r="DJ17" s="607">
        <f t="shared" si="149"/>
        <v>0</v>
      </c>
      <c r="DK17" s="608">
        <f t="shared" si="150"/>
        <v>0</v>
      </c>
      <c r="DL17" s="607">
        <f t="shared" si="151"/>
        <v>198</v>
      </c>
      <c r="DM17" s="608">
        <f t="shared" si="152"/>
        <v>198</v>
      </c>
      <c r="DN17" s="607">
        <f t="shared" si="153"/>
        <v>4381271.7655310621</v>
      </c>
      <c r="DO17" s="612">
        <f t="shared" si="154"/>
        <v>3926240.6772151897</v>
      </c>
      <c r="DP17" s="607">
        <f t="shared" si="155"/>
        <v>4260705.7959183669</v>
      </c>
      <c r="DQ17" s="606">
        <f t="shared" si="156"/>
        <v>4610884.6788990824</v>
      </c>
      <c r="DR17" s="607">
        <f t="shared" si="157"/>
        <v>3239964.639593909</v>
      </c>
      <c r="DS17" s="606">
        <f t="shared" si="158"/>
        <v>3164661.5151515151</v>
      </c>
      <c r="DT17" s="607">
        <f t="shared" si="159"/>
        <v>732235.52542372886</v>
      </c>
      <c r="DU17" s="606">
        <f t="shared" si="160"/>
        <v>630938</v>
      </c>
      <c r="DV17" s="607">
        <f t="shared" si="161"/>
        <v>66874.909090909088</v>
      </c>
      <c r="DW17" s="608">
        <f t="shared" si="162"/>
        <v>243836.57142857142</v>
      </c>
      <c r="DX17" s="607">
        <f t="shared" si="163"/>
        <v>0</v>
      </c>
      <c r="DY17" s="608">
        <f t="shared" si="164"/>
        <v>0</v>
      </c>
      <c r="DZ17" s="607">
        <f t="shared" si="165"/>
        <v>12681052.635557974</v>
      </c>
      <c r="EA17" s="608">
        <f t="shared" si="166"/>
        <v>12576561.442694359</v>
      </c>
    </row>
    <row r="18" spans="1:131" ht="15" x14ac:dyDescent="0.2">
      <c r="A18" s="481" t="s">
        <v>31</v>
      </c>
      <c r="B18" s="440" t="s">
        <v>795</v>
      </c>
      <c r="C18" s="443"/>
      <c r="D18" s="377">
        <v>101879</v>
      </c>
      <c r="E18" s="377">
        <v>4</v>
      </c>
      <c r="F18" s="598">
        <v>78</v>
      </c>
      <c r="G18" s="599">
        <v>73</v>
      </c>
      <c r="H18" s="600"/>
      <c r="I18" s="601"/>
      <c r="J18" s="600">
        <v>3</v>
      </c>
      <c r="K18" s="599"/>
      <c r="L18" s="600"/>
      <c r="M18" s="601">
        <v>2</v>
      </c>
      <c r="N18" s="600">
        <v>48</v>
      </c>
      <c r="O18" s="599">
        <v>51</v>
      </c>
      <c r="P18" s="600"/>
      <c r="Q18" s="601"/>
      <c r="R18" s="600">
        <v>1</v>
      </c>
      <c r="S18" s="599"/>
      <c r="T18" s="600"/>
      <c r="U18" s="601">
        <v>1</v>
      </c>
      <c r="V18" s="600">
        <v>75</v>
      </c>
      <c r="W18" s="599">
        <v>76</v>
      </c>
      <c r="X18" s="600"/>
      <c r="Y18" s="601">
        <v>0</v>
      </c>
      <c r="Z18" s="600">
        <v>3</v>
      </c>
      <c r="AA18" s="599"/>
      <c r="AB18" s="600"/>
      <c r="AC18" s="601">
        <v>2</v>
      </c>
      <c r="AD18" s="600">
        <v>23</v>
      </c>
      <c r="AE18" s="599">
        <v>28</v>
      </c>
      <c r="AF18" s="600"/>
      <c r="AG18" s="601">
        <v>0</v>
      </c>
      <c r="AH18" s="600">
        <v>1</v>
      </c>
      <c r="AI18" s="599"/>
      <c r="AJ18" s="600"/>
      <c r="AK18" s="601">
        <v>1</v>
      </c>
      <c r="AL18" s="600"/>
      <c r="AM18" s="599"/>
      <c r="AN18" s="600"/>
      <c r="AO18" s="601"/>
      <c r="AP18" s="600"/>
      <c r="AQ18" s="599"/>
      <c r="AR18" s="600"/>
      <c r="AS18" s="601"/>
      <c r="AT18" s="600"/>
      <c r="AU18" s="599"/>
      <c r="AV18" s="600"/>
      <c r="AW18" s="601"/>
      <c r="AX18" s="600"/>
      <c r="AY18" s="599"/>
      <c r="AZ18" s="600"/>
      <c r="BA18" s="601"/>
      <c r="BB18" s="602">
        <v>6408682</v>
      </c>
      <c r="BC18" s="603">
        <v>5985593</v>
      </c>
      <c r="BD18" s="600">
        <v>3326524</v>
      </c>
      <c r="BE18" s="603">
        <v>3446048</v>
      </c>
      <c r="BF18" s="600">
        <v>4419899</v>
      </c>
      <c r="BG18" s="603">
        <v>4482990</v>
      </c>
      <c r="BH18" s="600">
        <v>1180885</v>
      </c>
      <c r="BI18" s="603">
        <v>1397478</v>
      </c>
      <c r="BJ18" s="600">
        <v>0</v>
      </c>
      <c r="BK18" s="603"/>
      <c r="BL18" s="600">
        <v>0</v>
      </c>
      <c r="BM18" s="604"/>
      <c r="BN18" s="605">
        <f t="shared" si="101"/>
        <v>735</v>
      </c>
      <c r="BO18" s="606">
        <f t="shared" si="102"/>
        <v>681</v>
      </c>
      <c r="BP18" s="607">
        <f t="shared" si="103"/>
        <v>443</v>
      </c>
      <c r="BQ18" s="606">
        <f t="shared" si="104"/>
        <v>471</v>
      </c>
      <c r="BR18" s="607">
        <f t="shared" si="105"/>
        <v>708</v>
      </c>
      <c r="BS18" s="606">
        <f t="shared" si="106"/>
        <v>708</v>
      </c>
      <c r="BT18" s="607">
        <f t="shared" si="107"/>
        <v>218</v>
      </c>
      <c r="BU18" s="606">
        <f t="shared" si="108"/>
        <v>264</v>
      </c>
      <c r="BV18" s="607">
        <f t="shared" si="109"/>
        <v>0</v>
      </c>
      <c r="BW18" s="608">
        <f t="shared" si="110"/>
        <v>0</v>
      </c>
      <c r="BX18" s="607">
        <f t="shared" si="111"/>
        <v>0</v>
      </c>
      <c r="BY18" s="608">
        <f t="shared" si="112"/>
        <v>0</v>
      </c>
      <c r="BZ18" s="607">
        <f t="shared" si="113"/>
        <v>8719.2952380952374</v>
      </c>
      <c r="CA18" s="608">
        <f t="shared" si="114"/>
        <v>8789.4170337738615</v>
      </c>
      <c r="CB18" s="607">
        <f t="shared" si="115"/>
        <v>7509.0835214446952</v>
      </c>
      <c r="CC18" s="608">
        <f t="shared" si="116"/>
        <v>7316.4501061571127</v>
      </c>
      <c r="CD18" s="607">
        <f t="shared" si="117"/>
        <v>6242.7951977401126</v>
      </c>
      <c r="CE18" s="608">
        <f t="shared" si="118"/>
        <v>6331.906779661017</v>
      </c>
      <c r="CF18" s="607">
        <f t="shared" si="119"/>
        <v>5416.9036697247702</v>
      </c>
      <c r="CG18" s="608">
        <f t="shared" si="120"/>
        <v>5293.477272727273</v>
      </c>
      <c r="CH18" s="607">
        <f t="shared" si="121"/>
        <v>0</v>
      </c>
      <c r="CI18" s="608">
        <f t="shared" si="122"/>
        <v>0</v>
      </c>
      <c r="CJ18" s="607">
        <f t="shared" si="123"/>
        <v>0</v>
      </c>
      <c r="CK18" s="608">
        <f t="shared" si="124"/>
        <v>0</v>
      </c>
      <c r="CL18" s="609">
        <f t="shared" si="125"/>
        <v>78473.657142857133</v>
      </c>
      <c r="CM18" s="608">
        <f t="shared" si="126"/>
        <v>79104.753303964753</v>
      </c>
      <c r="CN18" s="610">
        <f t="shared" si="127"/>
        <v>67581.751693002254</v>
      </c>
      <c r="CO18" s="606">
        <f t="shared" si="128"/>
        <v>65848.050955414015</v>
      </c>
      <c r="CP18" s="607">
        <f t="shared" si="129"/>
        <v>56185.156779661011</v>
      </c>
      <c r="CQ18" s="606">
        <f t="shared" si="130"/>
        <v>56987.161016949154</v>
      </c>
      <c r="CR18" s="607">
        <f t="shared" si="131"/>
        <v>48752.133027522934</v>
      </c>
      <c r="CS18" s="606">
        <f t="shared" si="132"/>
        <v>47641.295454545456</v>
      </c>
      <c r="CT18" s="607">
        <f t="shared" si="133"/>
        <v>0</v>
      </c>
      <c r="CU18" s="608">
        <f t="shared" si="134"/>
        <v>0</v>
      </c>
      <c r="CV18" s="610">
        <f t="shared" si="135"/>
        <v>0</v>
      </c>
      <c r="CW18" s="608">
        <f t="shared" si="136"/>
        <v>0</v>
      </c>
      <c r="CX18" s="610">
        <f t="shared" si="137"/>
        <v>65605.023633632096</v>
      </c>
      <c r="CY18" s="611">
        <f t="shared" si="138"/>
        <v>64886.971260609986</v>
      </c>
      <c r="CZ18" s="605">
        <f t="shared" si="139"/>
        <v>81</v>
      </c>
      <c r="DA18" s="612">
        <f t="shared" si="140"/>
        <v>75</v>
      </c>
      <c r="DB18" s="607">
        <f t="shared" si="141"/>
        <v>49</v>
      </c>
      <c r="DC18" s="606">
        <f t="shared" si="142"/>
        <v>52</v>
      </c>
      <c r="DD18" s="607">
        <f t="shared" si="143"/>
        <v>78</v>
      </c>
      <c r="DE18" s="606">
        <f t="shared" si="144"/>
        <v>78</v>
      </c>
      <c r="DF18" s="607">
        <f t="shared" si="145"/>
        <v>24</v>
      </c>
      <c r="DG18" s="606">
        <f t="shared" si="146"/>
        <v>29</v>
      </c>
      <c r="DH18" s="607">
        <f t="shared" si="147"/>
        <v>0</v>
      </c>
      <c r="DI18" s="608">
        <f t="shared" si="148"/>
        <v>0</v>
      </c>
      <c r="DJ18" s="607">
        <f t="shared" si="149"/>
        <v>0</v>
      </c>
      <c r="DK18" s="608">
        <f t="shared" si="150"/>
        <v>0</v>
      </c>
      <c r="DL18" s="607">
        <f t="shared" si="151"/>
        <v>232</v>
      </c>
      <c r="DM18" s="608">
        <f t="shared" si="152"/>
        <v>234</v>
      </c>
      <c r="DN18" s="607">
        <f t="shared" si="153"/>
        <v>6356366.228571428</v>
      </c>
      <c r="DO18" s="612">
        <f t="shared" si="154"/>
        <v>5932856.4977973569</v>
      </c>
      <c r="DP18" s="607">
        <f t="shared" si="155"/>
        <v>3311505.8329571104</v>
      </c>
      <c r="DQ18" s="606">
        <f t="shared" si="156"/>
        <v>3424098.649681529</v>
      </c>
      <c r="DR18" s="607">
        <f t="shared" si="157"/>
        <v>4382442.2288135588</v>
      </c>
      <c r="DS18" s="606">
        <f t="shared" si="158"/>
        <v>4444998.559322034</v>
      </c>
      <c r="DT18" s="607">
        <f t="shared" si="159"/>
        <v>1170051.1926605504</v>
      </c>
      <c r="DU18" s="606">
        <f t="shared" si="160"/>
        <v>1381597.5681818181</v>
      </c>
      <c r="DV18" s="607">
        <f t="shared" si="161"/>
        <v>0</v>
      </c>
      <c r="DW18" s="608">
        <f t="shared" si="162"/>
        <v>0</v>
      </c>
      <c r="DX18" s="607">
        <f t="shared" si="163"/>
        <v>0</v>
      </c>
      <c r="DY18" s="608">
        <f t="shared" si="164"/>
        <v>0</v>
      </c>
      <c r="DZ18" s="607">
        <f t="shared" si="165"/>
        <v>15220365.483002646</v>
      </c>
      <c r="EA18" s="608">
        <f t="shared" si="166"/>
        <v>15183551.274982737</v>
      </c>
    </row>
    <row r="19" spans="1:131" ht="15" x14ac:dyDescent="0.2">
      <c r="A19" s="481" t="s">
        <v>31</v>
      </c>
      <c r="B19" s="440" t="s">
        <v>794</v>
      </c>
      <c r="C19" s="443"/>
      <c r="D19" s="377">
        <v>101709</v>
      </c>
      <c r="E19" s="377">
        <v>5</v>
      </c>
      <c r="F19" s="598">
        <v>32</v>
      </c>
      <c r="G19" s="599">
        <v>43</v>
      </c>
      <c r="H19" s="600"/>
      <c r="I19" s="601"/>
      <c r="J19" s="600"/>
      <c r="K19" s="599"/>
      <c r="L19" s="600"/>
      <c r="M19" s="601">
        <v>0</v>
      </c>
      <c r="N19" s="600">
        <v>43</v>
      </c>
      <c r="O19" s="599">
        <v>42</v>
      </c>
      <c r="P19" s="600"/>
      <c r="Q19" s="601"/>
      <c r="R19" s="600"/>
      <c r="S19" s="599"/>
      <c r="T19" s="600"/>
      <c r="U19" s="601">
        <v>0</v>
      </c>
      <c r="V19" s="600">
        <v>47</v>
      </c>
      <c r="W19" s="599">
        <v>51</v>
      </c>
      <c r="X19" s="600"/>
      <c r="Y19" s="601">
        <v>0</v>
      </c>
      <c r="Z19" s="600"/>
      <c r="AA19" s="599"/>
      <c r="AB19" s="600"/>
      <c r="AC19" s="601">
        <v>0</v>
      </c>
      <c r="AD19" s="600">
        <v>3</v>
      </c>
      <c r="AE19" s="599">
        <v>5</v>
      </c>
      <c r="AF19" s="600"/>
      <c r="AG19" s="601">
        <v>0</v>
      </c>
      <c r="AH19" s="600"/>
      <c r="AI19" s="599"/>
      <c r="AJ19" s="600"/>
      <c r="AK19" s="601">
        <v>0</v>
      </c>
      <c r="AL19" s="600"/>
      <c r="AM19" s="599"/>
      <c r="AN19" s="600"/>
      <c r="AO19" s="601"/>
      <c r="AP19" s="600"/>
      <c r="AQ19" s="599"/>
      <c r="AR19" s="600"/>
      <c r="AS19" s="601"/>
      <c r="AT19" s="600"/>
      <c r="AU19" s="599"/>
      <c r="AV19" s="600"/>
      <c r="AW19" s="601"/>
      <c r="AX19" s="600"/>
      <c r="AY19" s="599"/>
      <c r="AZ19" s="600"/>
      <c r="BA19" s="601"/>
      <c r="BB19" s="602">
        <v>2485984</v>
      </c>
      <c r="BC19" s="603">
        <v>3211801</v>
      </c>
      <c r="BD19" s="600">
        <v>2575573</v>
      </c>
      <c r="BE19" s="603">
        <v>2509459</v>
      </c>
      <c r="BF19" s="600">
        <v>2407335</v>
      </c>
      <c r="BG19" s="603">
        <v>2674618</v>
      </c>
      <c r="BH19" s="600">
        <v>143243</v>
      </c>
      <c r="BI19" s="603">
        <v>215421</v>
      </c>
      <c r="BJ19" s="600">
        <v>0</v>
      </c>
      <c r="BK19" s="603"/>
      <c r="BL19" s="600">
        <v>0</v>
      </c>
      <c r="BM19" s="604"/>
      <c r="BN19" s="605">
        <f t="shared" si="101"/>
        <v>288</v>
      </c>
      <c r="BO19" s="606">
        <f t="shared" si="102"/>
        <v>387</v>
      </c>
      <c r="BP19" s="607">
        <f t="shared" si="103"/>
        <v>387</v>
      </c>
      <c r="BQ19" s="606">
        <f t="shared" si="104"/>
        <v>378</v>
      </c>
      <c r="BR19" s="607">
        <f t="shared" si="105"/>
        <v>423</v>
      </c>
      <c r="BS19" s="606">
        <f t="shared" si="106"/>
        <v>459</v>
      </c>
      <c r="BT19" s="607">
        <f t="shared" si="107"/>
        <v>27</v>
      </c>
      <c r="BU19" s="606">
        <f t="shared" si="108"/>
        <v>45</v>
      </c>
      <c r="BV19" s="607">
        <f t="shared" si="109"/>
        <v>0</v>
      </c>
      <c r="BW19" s="608">
        <f t="shared" si="110"/>
        <v>0</v>
      </c>
      <c r="BX19" s="607">
        <f t="shared" si="111"/>
        <v>0</v>
      </c>
      <c r="BY19" s="608">
        <f t="shared" si="112"/>
        <v>0</v>
      </c>
      <c r="BZ19" s="607">
        <f t="shared" si="113"/>
        <v>8631.8888888888887</v>
      </c>
      <c r="CA19" s="608">
        <f t="shared" si="114"/>
        <v>8299.2273901808785</v>
      </c>
      <c r="CB19" s="607">
        <f t="shared" si="115"/>
        <v>6655.2273901808785</v>
      </c>
      <c r="CC19" s="608">
        <f t="shared" si="116"/>
        <v>6638.7804232804228</v>
      </c>
      <c r="CD19" s="607">
        <f t="shared" si="117"/>
        <v>5691.0992907801419</v>
      </c>
      <c r="CE19" s="608">
        <f t="shared" si="118"/>
        <v>5827.0544662309367</v>
      </c>
      <c r="CF19" s="607">
        <f t="shared" si="119"/>
        <v>5305.2962962962965</v>
      </c>
      <c r="CG19" s="608">
        <f t="shared" si="120"/>
        <v>4787.1333333333332</v>
      </c>
      <c r="CH19" s="607">
        <f t="shared" si="121"/>
        <v>0</v>
      </c>
      <c r="CI19" s="608">
        <f t="shared" si="122"/>
        <v>0</v>
      </c>
      <c r="CJ19" s="607">
        <f t="shared" si="123"/>
        <v>0</v>
      </c>
      <c r="CK19" s="608">
        <f t="shared" si="124"/>
        <v>0</v>
      </c>
      <c r="CL19" s="609">
        <f t="shared" si="125"/>
        <v>77687</v>
      </c>
      <c r="CM19" s="608">
        <f t="shared" si="126"/>
        <v>74693.046511627908</v>
      </c>
      <c r="CN19" s="610">
        <f t="shared" si="127"/>
        <v>59897.046511627908</v>
      </c>
      <c r="CO19" s="606">
        <f t="shared" si="128"/>
        <v>59749.023809523802</v>
      </c>
      <c r="CP19" s="607">
        <f t="shared" si="129"/>
        <v>51219.893617021276</v>
      </c>
      <c r="CQ19" s="606">
        <f t="shared" si="130"/>
        <v>52443.490196078434</v>
      </c>
      <c r="CR19" s="607">
        <f t="shared" si="131"/>
        <v>47747.666666666672</v>
      </c>
      <c r="CS19" s="606">
        <f t="shared" si="132"/>
        <v>43084.2</v>
      </c>
      <c r="CT19" s="607">
        <f t="shared" si="133"/>
        <v>0</v>
      </c>
      <c r="CU19" s="608">
        <f t="shared" si="134"/>
        <v>0</v>
      </c>
      <c r="CV19" s="610">
        <f t="shared" si="135"/>
        <v>0</v>
      </c>
      <c r="CW19" s="608">
        <f t="shared" si="136"/>
        <v>0</v>
      </c>
      <c r="CX19" s="610">
        <f t="shared" si="137"/>
        <v>60897.08</v>
      </c>
      <c r="CY19" s="611">
        <f t="shared" si="138"/>
        <v>61073.042553191488</v>
      </c>
      <c r="CZ19" s="605">
        <f t="shared" si="139"/>
        <v>32</v>
      </c>
      <c r="DA19" s="612">
        <f t="shared" si="140"/>
        <v>43</v>
      </c>
      <c r="DB19" s="607">
        <f t="shared" si="141"/>
        <v>43</v>
      </c>
      <c r="DC19" s="606">
        <f t="shared" si="142"/>
        <v>42</v>
      </c>
      <c r="DD19" s="607">
        <f t="shared" si="143"/>
        <v>47</v>
      </c>
      <c r="DE19" s="606">
        <f t="shared" si="144"/>
        <v>51</v>
      </c>
      <c r="DF19" s="607">
        <f t="shared" si="145"/>
        <v>3</v>
      </c>
      <c r="DG19" s="606">
        <f t="shared" si="146"/>
        <v>5</v>
      </c>
      <c r="DH19" s="607">
        <f t="shared" si="147"/>
        <v>0</v>
      </c>
      <c r="DI19" s="608">
        <f t="shared" si="148"/>
        <v>0</v>
      </c>
      <c r="DJ19" s="607">
        <f t="shared" si="149"/>
        <v>0</v>
      </c>
      <c r="DK19" s="608">
        <f t="shared" si="150"/>
        <v>0</v>
      </c>
      <c r="DL19" s="607">
        <f t="shared" si="151"/>
        <v>125</v>
      </c>
      <c r="DM19" s="608">
        <f t="shared" si="152"/>
        <v>141</v>
      </c>
      <c r="DN19" s="607">
        <f t="shared" si="153"/>
        <v>2485984</v>
      </c>
      <c r="DO19" s="612">
        <f t="shared" si="154"/>
        <v>3211801</v>
      </c>
      <c r="DP19" s="607">
        <f t="shared" si="155"/>
        <v>2575573</v>
      </c>
      <c r="DQ19" s="606">
        <f t="shared" si="156"/>
        <v>2509458.9999999995</v>
      </c>
      <c r="DR19" s="607">
        <f t="shared" si="157"/>
        <v>2407335</v>
      </c>
      <c r="DS19" s="606">
        <f t="shared" si="158"/>
        <v>2674618</v>
      </c>
      <c r="DT19" s="607">
        <f t="shared" si="159"/>
        <v>143243</v>
      </c>
      <c r="DU19" s="606">
        <f t="shared" si="160"/>
        <v>215421</v>
      </c>
      <c r="DV19" s="607">
        <f t="shared" si="161"/>
        <v>0</v>
      </c>
      <c r="DW19" s="608">
        <f t="shared" si="162"/>
        <v>0</v>
      </c>
      <c r="DX19" s="607">
        <f t="shared" si="163"/>
        <v>0</v>
      </c>
      <c r="DY19" s="608">
        <f t="shared" si="164"/>
        <v>0</v>
      </c>
      <c r="DZ19" s="607">
        <f t="shared" si="165"/>
        <v>7612135</v>
      </c>
      <c r="EA19" s="608">
        <f t="shared" si="166"/>
        <v>8611299</v>
      </c>
    </row>
    <row r="20" spans="1:131" ht="15" x14ac:dyDescent="0.2">
      <c r="A20" s="481" t="s">
        <v>31</v>
      </c>
      <c r="B20" s="440" t="s">
        <v>797</v>
      </c>
      <c r="C20" s="443"/>
      <c r="D20" s="377">
        <v>101587</v>
      </c>
      <c r="E20" s="377">
        <v>5</v>
      </c>
      <c r="F20" s="598">
        <v>13</v>
      </c>
      <c r="G20" s="599">
        <v>2</v>
      </c>
      <c r="H20" s="600"/>
      <c r="I20" s="601"/>
      <c r="J20" s="600"/>
      <c r="K20" s="599"/>
      <c r="L20" s="600"/>
      <c r="M20" s="601">
        <v>15</v>
      </c>
      <c r="N20" s="600">
        <v>21</v>
      </c>
      <c r="O20" s="599">
        <v>3</v>
      </c>
      <c r="P20" s="600"/>
      <c r="Q20" s="601"/>
      <c r="R20" s="600"/>
      <c r="S20" s="599"/>
      <c r="T20" s="600"/>
      <c r="U20" s="601">
        <v>23</v>
      </c>
      <c r="V20" s="600">
        <v>57</v>
      </c>
      <c r="W20" s="599">
        <v>13</v>
      </c>
      <c r="X20" s="600"/>
      <c r="Y20" s="601">
        <v>0</v>
      </c>
      <c r="Z20" s="600"/>
      <c r="AA20" s="599"/>
      <c r="AB20" s="600"/>
      <c r="AC20" s="601">
        <v>47</v>
      </c>
      <c r="AD20" s="600">
        <v>12</v>
      </c>
      <c r="AE20" s="599">
        <v>2</v>
      </c>
      <c r="AF20" s="600"/>
      <c r="AG20" s="601">
        <v>0</v>
      </c>
      <c r="AH20" s="600"/>
      <c r="AI20" s="599">
        <v>4</v>
      </c>
      <c r="AJ20" s="600"/>
      <c r="AK20" s="601">
        <v>9</v>
      </c>
      <c r="AL20" s="600">
        <v>5</v>
      </c>
      <c r="AM20" s="599">
        <v>4</v>
      </c>
      <c r="AN20" s="600"/>
      <c r="AO20" s="601"/>
      <c r="AP20" s="600">
        <v>4</v>
      </c>
      <c r="AQ20" s="599"/>
      <c r="AR20" s="600"/>
      <c r="AS20" s="601"/>
      <c r="AT20" s="600"/>
      <c r="AU20" s="599"/>
      <c r="AV20" s="600"/>
      <c r="AW20" s="601"/>
      <c r="AX20" s="600"/>
      <c r="AY20" s="599"/>
      <c r="AZ20" s="600"/>
      <c r="BA20" s="601"/>
      <c r="BB20" s="602">
        <v>939382</v>
      </c>
      <c r="BC20" s="603">
        <v>1177799</v>
      </c>
      <c r="BD20" s="600">
        <v>1301707</v>
      </c>
      <c r="BE20" s="603">
        <v>1629171</v>
      </c>
      <c r="BF20" s="600">
        <v>2807229</v>
      </c>
      <c r="BG20" s="603">
        <v>2688255</v>
      </c>
      <c r="BH20" s="600">
        <v>484482</v>
      </c>
      <c r="BI20" s="603">
        <v>614162</v>
      </c>
      <c r="BJ20" s="600">
        <v>648052</v>
      </c>
      <c r="BK20" s="603">
        <v>126097</v>
      </c>
      <c r="BL20" s="600">
        <v>0</v>
      </c>
      <c r="BM20" s="604"/>
      <c r="BN20" s="605">
        <f t="shared" si="101"/>
        <v>117</v>
      </c>
      <c r="BO20" s="606">
        <f t="shared" si="102"/>
        <v>198</v>
      </c>
      <c r="BP20" s="607">
        <f t="shared" si="103"/>
        <v>189</v>
      </c>
      <c r="BQ20" s="606">
        <f t="shared" si="104"/>
        <v>303</v>
      </c>
      <c r="BR20" s="607">
        <f t="shared" si="105"/>
        <v>513</v>
      </c>
      <c r="BS20" s="606">
        <f t="shared" si="106"/>
        <v>681</v>
      </c>
      <c r="BT20" s="607">
        <f t="shared" si="107"/>
        <v>108</v>
      </c>
      <c r="BU20" s="606">
        <f t="shared" si="108"/>
        <v>170</v>
      </c>
      <c r="BV20" s="607">
        <f t="shared" si="109"/>
        <v>89</v>
      </c>
      <c r="BW20" s="608">
        <f t="shared" si="110"/>
        <v>36</v>
      </c>
      <c r="BX20" s="607">
        <f t="shared" si="111"/>
        <v>0</v>
      </c>
      <c r="BY20" s="608">
        <f t="shared" si="112"/>
        <v>0</v>
      </c>
      <c r="BZ20" s="607">
        <f t="shared" si="113"/>
        <v>8028.9059829059825</v>
      </c>
      <c r="CA20" s="608">
        <f t="shared" si="114"/>
        <v>5948.4797979797977</v>
      </c>
      <c r="CB20" s="607">
        <f t="shared" si="115"/>
        <v>6887.338624338624</v>
      </c>
      <c r="CC20" s="608">
        <f t="shared" si="116"/>
        <v>5376.8019801980199</v>
      </c>
      <c r="CD20" s="607">
        <f t="shared" si="117"/>
        <v>5472.1812865497077</v>
      </c>
      <c r="CE20" s="608">
        <f t="shared" si="118"/>
        <v>3947.5110132158588</v>
      </c>
      <c r="CF20" s="607">
        <f t="shared" si="119"/>
        <v>4485.9444444444443</v>
      </c>
      <c r="CG20" s="608">
        <f t="shared" si="120"/>
        <v>3612.7176470588233</v>
      </c>
      <c r="CH20" s="607">
        <f t="shared" si="121"/>
        <v>7281.4831460674159</v>
      </c>
      <c r="CI20" s="608">
        <f t="shared" si="122"/>
        <v>3502.6944444444443</v>
      </c>
      <c r="CJ20" s="607">
        <f t="shared" si="123"/>
        <v>0</v>
      </c>
      <c r="CK20" s="608">
        <f t="shared" si="124"/>
        <v>0</v>
      </c>
      <c r="CL20" s="609">
        <f t="shared" si="125"/>
        <v>72260.153846153844</v>
      </c>
      <c r="CM20" s="608">
        <f t="shared" si="126"/>
        <v>53536.318181818177</v>
      </c>
      <c r="CN20" s="610">
        <f t="shared" si="127"/>
        <v>61986.047619047618</v>
      </c>
      <c r="CO20" s="606">
        <f t="shared" si="128"/>
        <v>48391.217821782178</v>
      </c>
      <c r="CP20" s="607">
        <f t="shared" si="129"/>
        <v>49249.631578947367</v>
      </c>
      <c r="CQ20" s="606">
        <f t="shared" si="130"/>
        <v>35527.59911894273</v>
      </c>
      <c r="CR20" s="607">
        <f t="shared" si="131"/>
        <v>40373.5</v>
      </c>
      <c r="CS20" s="606">
        <f t="shared" si="132"/>
        <v>32514.45882352941</v>
      </c>
      <c r="CT20" s="607">
        <f t="shared" si="133"/>
        <v>65533.348314606745</v>
      </c>
      <c r="CU20" s="608">
        <f t="shared" si="134"/>
        <v>31524.25</v>
      </c>
      <c r="CV20" s="610">
        <f t="shared" si="135"/>
        <v>0</v>
      </c>
      <c r="CW20" s="608">
        <f t="shared" si="136"/>
        <v>0</v>
      </c>
      <c r="CX20" s="610">
        <f t="shared" si="137"/>
        <v>54666.072632423755</v>
      </c>
      <c r="CY20" s="611">
        <f t="shared" si="138"/>
        <v>40276.712311038929</v>
      </c>
      <c r="CZ20" s="605">
        <f t="shared" si="139"/>
        <v>13</v>
      </c>
      <c r="DA20" s="612">
        <f t="shared" si="140"/>
        <v>17</v>
      </c>
      <c r="DB20" s="607">
        <f t="shared" si="141"/>
        <v>21</v>
      </c>
      <c r="DC20" s="606">
        <f t="shared" si="142"/>
        <v>26</v>
      </c>
      <c r="DD20" s="607">
        <f t="shared" si="143"/>
        <v>57</v>
      </c>
      <c r="DE20" s="606">
        <f t="shared" si="144"/>
        <v>60</v>
      </c>
      <c r="DF20" s="607">
        <f t="shared" si="145"/>
        <v>12</v>
      </c>
      <c r="DG20" s="606">
        <f t="shared" si="146"/>
        <v>15</v>
      </c>
      <c r="DH20" s="607">
        <f t="shared" si="147"/>
        <v>9</v>
      </c>
      <c r="DI20" s="608">
        <f t="shared" si="148"/>
        <v>4</v>
      </c>
      <c r="DJ20" s="607">
        <f t="shared" si="149"/>
        <v>0</v>
      </c>
      <c r="DK20" s="608">
        <f t="shared" si="150"/>
        <v>0</v>
      </c>
      <c r="DL20" s="607">
        <f t="shared" si="151"/>
        <v>112</v>
      </c>
      <c r="DM20" s="608">
        <f t="shared" si="152"/>
        <v>122</v>
      </c>
      <c r="DN20" s="607">
        <f t="shared" si="153"/>
        <v>939382</v>
      </c>
      <c r="DO20" s="612">
        <f t="shared" si="154"/>
        <v>910117.40909090894</v>
      </c>
      <c r="DP20" s="607">
        <f t="shared" si="155"/>
        <v>1301707</v>
      </c>
      <c r="DQ20" s="606">
        <f t="shared" si="156"/>
        <v>1258171.6633663366</v>
      </c>
      <c r="DR20" s="607">
        <f t="shared" si="157"/>
        <v>2807229</v>
      </c>
      <c r="DS20" s="606">
        <f t="shared" si="158"/>
        <v>2131655.9471365637</v>
      </c>
      <c r="DT20" s="607">
        <f t="shared" si="159"/>
        <v>484482</v>
      </c>
      <c r="DU20" s="606">
        <f t="shared" si="160"/>
        <v>487716.88235294115</v>
      </c>
      <c r="DV20" s="607">
        <f t="shared" si="161"/>
        <v>589800.13483146066</v>
      </c>
      <c r="DW20" s="608">
        <f t="shared" si="162"/>
        <v>126097</v>
      </c>
      <c r="DX20" s="607">
        <f t="shared" si="163"/>
        <v>0</v>
      </c>
      <c r="DY20" s="608">
        <f t="shared" si="164"/>
        <v>0</v>
      </c>
      <c r="DZ20" s="607">
        <f t="shared" si="165"/>
        <v>6122600.1348314602</v>
      </c>
      <c r="EA20" s="608">
        <f t="shared" si="166"/>
        <v>4913758.9019467495</v>
      </c>
    </row>
    <row r="21" spans="1:131" ht="15" x14ac:dyDescent="0.2">
      <c r="A21" s="481" t="s">
        <v>31</v>
      </c>
      <c r="B21" s="441" t="s">
        <v>786</v>
      </c>
      <c r="C21" s="445"/>
      <c r="D21" s="446">
        <v>100812</v>
      </c>
      <c r="E21" s="377">
        <v>6</v>
      </c>
      <c r="F21" s="598">
        <v>16</v>
      </c>
      <c r="G21" s="599">
        <v>17</v>
      </c>
      <c r="H21" s="600"/>
      <c r="I21" s="601"/>
      <c r="J21" s="600">
        <v>4</v>
      </c>
      <c r="K21" s="599"/>
      <c r="L21" s="600"/>
      <c r="M21" s="601">
        <v>3</v>
      </c>
      <c r="N21" s="600">
        <v>17</v>
      </c>
      <c r="O21" s="599">
        <v>18</v>
      </c>
      <c r="P21" s="600"/>
      <c r="Q21" s="601"/>
      <c r="R21" s="600">
        <v>6</v>
      </c>
      <c r="S21" s="599"/>
      <c r="T21" s="600"/>
      <c r="U21" s="601">
        <v>8</v>
      </c>
      <c r="V21" s="600">
        <v>35</v>
      </c>
      <c r="W21" s="599">
        <v>36</v>
      </c>
      <c r="X21" s="600"/>
      <c r="Y21" s="601">
        <v>0</v>
      </c>
      <c r="Z21" s="600">
        <v>4</v>
      </c>
      <c r="AA21" s="599"/>
      <c r="AB21" s="600"/>
      <c r="AC21" s="601">
        <v>3</v>
      </c>
      <c r="AD21" s="600">
        <v>1</v>
      </c>
      <c r="AE21" s="599">
        <v>1</v>
      </c>
      <c r="AF21" s="600"/>
      <c r="AG21" s="601">
        <v>0</v>
      </c>
      <c r="AH21" s="600">
        <v>2</v>
      </c>
      <c r="AI21" s="599"/>
      <c r="AJ21" s="600"/>
      <c r="AK21" s="601">
        <v>2</v>
      </c>
      <c r="AL21" s="600"/>
      <c r="AM21" s="599"/>
      <c r="AN21" s="600"/>
      <c r="AO21" s="601"/>
      <c r="AP21" s="600"/>
      <c r="AQ21" s="599"/>
      <c r="AR21" s="600"/>
      <c r="AS21" s="601"/>
      <c r="AT21" s="600"/>
      <c r="AU21" s="599"/>
      <c r="AV21" s="600"/>
      <c r="AW21" s="601"/>
      <c r="AX21" s="600"/>
      <c r="AY21" s="599"/>
      <c r="AZ21" s="600"/>
      <c r="BA21" s="601"/>
      <c r="BB21" s="602">
        <v>1769282</v>
      </c>
      <c r="BC21" s="603">
        <v>1747631</v>
      </c>
      <c r="BD21" s="600">
        <v>1787410</v>
      </c>
      <c r="BE21" s="603">
        <v>2050639</v>
      </c>
      <c r="BF21" s="600">
        <v>2447083</v>
      </c>
      <c r="BG21" s="603">
        <v>2376360</v>
      </c>
      <c r="BH21" s="600">
        <v>152551</v>
      </c>
      <c r="BI21" s="603">
        <v>152551</v>
      </c>
      <c r="BJ21" s="600">
        <v>0</v>
      </c>
      <c r="BK21" s="603"/>
      <c r="BL21" s="600">
        <v>0</v>
      </c>
      <c r="BM21" s="604"/>
      <c r="BN21" s="605">
        <f t="shared" si="101"/>
        <v>188</v>
      </c>
      <c r="BO21" s="606">
        <f t="shared" si="102"/>
        <v>189</v>
      </c>
      <c r="BP21" s="607">
        <f t="shared" si="103"/>
        <v>219</v>
      </c>
      <c r="BQ21" s="606">
        <f t="shared" si="104"/>
        <v>258</v>
      </c>
      <c r="BR21" s="607">
        <f t="shared" si="105"/>
        <v>359</v>
      </c>
      <c r="BS21" s="606">
        <f t="shared" si="106"/>
        <v>360</v>
      </c>
      <c r="BT21" s="607">
        <f t="shared" si="107"/>
        <v>31</v>
      </c>
      <c r="BU21" s="606">
        <f t="shared" si="108"/>
        <v>33</v>
      </c>
      <c r="BV21" s="607">
        <f t="shared" si="109"/>
        <v>0</v>
      </c>
      <c r="BW21" s="608">
        <f t="shared" si="110"/>
        <v>0</v>
      </c>
      <c r="BX21" s="607">
        <f t="shared" si="111"/>
        <v>0</v>
      </c>
      <c r="BY21" s="608">
        <f t="shared" si="112"/>
        <v>0</v>
      </c>
      <c r="BZ21" s="607">
        <f t="shared" si="113"/>
        <v>9411.0744680851058</v>
      </c>
      <c r="CA21" s="608">
        <f t="shared" si="114"/>
        <v>9246.7248677248681</v>
      </c>
      <c r="CB21" s="607">
        <f t="shared" si="115"/>
        <v>8161.6894977168949</v>
      </c>
      <c r="CC21" s="608">
        <f t="shared" si="116"/>
        <v>7948.2131782945735</v>
      </c>
      <c r="CD21" s="607">
        <f t="shared" si="117"/>
        <v>6816.3871866295267</v>
      </c>
      <c r="CE21" s="608">
        <f t="shared" si="118"/>
        <v>6601</v>
      </c>
      <c r="CF21" s="607">
        <f t="shared" si="119"/>
        <v>4921</v>
      </c>
      <c r="CG21" s="608">
        <f t="shared" si="120"/>
        <v>4622.757575757576</v>
      </c>
      <c r="CH21" s="607">
        <f t="shared" si="121"/>
        <v>0</v>
      </c>
      <c r="CI21" s="608">
        <f t="shared" si="122"/>
        <v>0</v>
      </c>
      <c r="CJ21" s="607">
        <f t="shared" si="123"/>
        <v>0</v>
      </c>
      <c r="CK21" s="608">
        <f t="shared" si="124"/>
        <v>0</v>
      </c>
      <c r="CL21" s="609">
        <f t="shared" si="125"/>
        <v>84699.670212765952</v>
      </c>
      <c r="CM21" s="608">
        <f t="shared" si="126"/>
        <v>83220.523809523816</v>
      </c>
      <c r="CN21" s="610">
        <f t="shared" si="127"/>
        <v>73455.205479452052</v>
      </c>
      <c r="CO21" s="606">
        <f t="shared" si="128"/>
        <v>71533.91860465116</v>
      </c>
      <c r="CP21" s="607">
        <f t="shared" si="129"/>
        <v>61347.484679665737</v>
      </c>
      <c r="CQ21" s="606">
        <f t="shared" si="130"/>
        <v>59409</v>
      </c>
      <c r="CR21" s="607">
        <f t="shared" si="131"/>
        <v>44289</v>
      </c>
      <c r="CS21" s="606">
        <f t="shared" si="132"/>
        <v>41604.818181818184</v>
      </c>
      <c r="CT21" s="607">
        <f t="shared" si="133"/>
        <v>0</v>
      </c>
      <c r="CU21" s="608">
        <f t="shared" si="134"/>
        <v>0</v>
      </c>
      <c r="CV21" s="610">
        <f t="shared" si="135"/>
        <v>0</v>
      </c>
      <c r="CW21" s="608">
        <f t="shared" si="136"/>
        <v>0</v>
      </c>
      <c r="CX21" s="610">
        <f t="shared" si="137"/>
        <v>69516.259209290351</v>
      </c>
      <c r="CY21" s="611">
        <f t="shared" si="138"/>
        <v>67796.111527918867</v>
      </c>
      <c r="CZ21" s="605">
        <f t="shared" si="139"/>
        <v>20</v>
      </c>
      <c r="DA21" s="612">
        <f t="shared" si="140"/>
        <v>20</v>
      </c>
      <c r="DB21" s="607">
        <f t="shared" si="141"/>
        <v>23</v>
      </c>
      <c r="DC21" s="606">
        <f t="shared" si="142"/>
        <v>26</v>
      </c>
      <c r="DD21" s="607">
        <f t="shared" si="143"/>
        <v>39</v>
      </c>
      <c r="DE21" s="606">
        <f t="shared" si="144"/>
        <v>39</v>
      </c>
      <c r="DF21" s="607">
        <f t="shared" si="145"/>
        <v>3</v>
      </c>
      <c r="DG21" s="606">
        <f t="shared" si="146"/>
        <v>3</v>
      </c>
      <c r="DH21" s="607">
        <f t="shared" si="147"/>
        <v>0</v>
      </c>
      <c r="DI21" s="608">
        <f t="shared" si="148"/>
        <v>0</v>
      </c>
      <c r="DJ21" s="607">
        <f t="shared" si="149"/>
        <v>0</v>
      </c>
      <c r="DK21" s="608">
        <f t="shared" si="150"/>
        <v>0</v>
      </c>
      <c r="DL21" s="607">
        <f t="shared" si="151"/>
        <v>85</v>
      </c>
      <c r="DM21" s="608">
        <f t="shared" si="152"/>
        <v>88</v>
      </c>
      <c r="DN21" s="607">
        <f t="shared" si="153"/>
        <v>1693993.4042553189</v>
      </c>
      <c r="DO21" s="612">
        <f t="shared" si="154"/>
        <v>1664410.4761904762</v>
      </c>
      <c r="DP21" s="607">
        <f t="shared" si="155"/>
        <v>1689469.7260273972</v>
      </c>
      <c r="DQ21" s="606">
        <f t="shared" si="156"/>
        <v>1859881.8837209302</v>
      </c>
      <c r="DR21" s="607">
        <f t="shared" si="157"/>
        <v>2392551.9025069638</v>
      </c>
      <c r="DS21" s="606">
        <f t="shared" si="158"/>
        <v>2316951</v>
      </c>
      <c r="DT21" s="607">
        <f t="shared" si="159"/>
        <v>132867</v>
      </c>
      <c r="DU21" s="606">
        <f t="shared" si="160"/>
        <v>124814.45454545456</v>
      </c>
      <c r="DV21" s="607">
        <f t="shared" si="161"/>
        <v>0</v>
      </c>
      <c r="DW21" s="608">
        <f t="shared" si="162"/>
        <v>0</v>
      </c>
      <c r="DX21" s="607">
        <f t="shared" si="163"/>
        <v>0</v>
      </c>
      <c r="DY21" s="608">
        <f t="shared" si="164"/>
        <v>0</v>
      </c>
      <c r="DZ21" s="607">
        <f t="shared" si="165"/>
        <v>5908882.0327896802</v>
      </c>
      <c r="EA21" s="608">
        <f t="shared" si="166"/>
        <v>5966057.8144568605</v>
      </c>
    </row>
    <row r="22" spans="1:131" x14ac:dyDescent="0.2">
      <c r="A22" s="481" t="s">
        <v>31</v>
      </c>
      <c r="B22" s="440" t="s">
        <v>807</v>
      </c>
      <c r="C22" s="529"/>
      <c r="D22" s="407">
        <v>101240</v>
      </c>
      <c r="E22" s="447">
        <v>8</v>
      </c>
      <c r="F22" s="598"/>
      <c r="G22" s="599"/>
      <c r="H22" s="600"/>
      <c r="I22" s="601"/>
      <c r="J22" s="600"/>
      <c r="K22" s="599"/>
      <c r="L22" s="600"/>
      <c r="M22" s="601"/>
      <c r="N22" s="600"/>
      <c r="O22" s="599"/>
      <c r="P22" s="600"/>
      <c r="Q22" s="601"/>
      <c r="R22" s="600"/>
      <c r="S22" s="599"/>
      <c r="T22" s="600"/>
      <c r="U22" s="601"/>
      <c r="V22" s="600"/>
      <c r="W22" s="599"/>
      <c r="X22" s="600"/>
      <c r="Y22" s="601"/>
      <c r="Z22" s="600"/>
      <c r="AA22" s="599"/>
      <c r="AB22" s="600"/>
      <c r="AC22" s="601"/>
      <c r="AD22" s="600"/>
      <c r="AE22" s="599"/>
      <c r="AF22" s="600"/>
      <c r="AG22" s="601"/>
      <c r="AH22" s="600"/>
      <c r="AI22" s="599"/>
      <c r="AJ22" s="600"/>
      <c r="AK22" s="601"/>
      <c r="AL22" s="600"/>
      <c r="AM22" s="599"/>
      <c r="AN22" s="600"/>
      <c r="AO22" s="601"/>
      <c r="AP22" s="600"/>
      <c r="AQ22" s="599"/>
      <c r="AR22" s="600"/>
      <c r="AS22" s="601"/>
      <c r="AT22" s="600">
        <v>152</v>
      </c>
      <c r="AU22" s="599">
        <v>152</v>
      </c>
      <c r="AV22" s="600"/>
      <c r="AW22" s="601"/>
      <c r="AX22" s="600">
        <v>1</v>
      </c>
      <c r="AY22" s="599"/>
      <c r="AZ22" s="600"/>
      <c r="BA22" s="601">
        <v>2</v>
      </c>
      <c r="BB22" s="602">
        <v>0</v>
      </c>
      <c r="BC22" s="599"/>
      <c r="BD22" s="600">
        <v>0</v>
      </c>
      <c r="BE22" s="599"/>
      <c r="BF22" s="600">
        <v>0</v>
      </c>
      <c r="BG22" s="599"/>
      <c r="BH22" s="600">
        <v>0</v>
      </c>
      <c r="BI22" s="599"/>
      <c r="BJ22" s="600">
        <v>0</v>
      </c>
      <c r="BK22" s="615"/>
      <c r="BL22" s="600">
        <v>8302419</v>
      </c>
      <c r="BM22" s="604">
        <v>8343168</v>
      </c>
      <c r="BN22" s="605">
        <f t="shared" si="101"/>
        <v>0</v>
      </c>
      <c r="BO22" s="606">
        <f t="shared" si="102"/>
        <v>0</v>
      </c>
      <c r="BP22" s="607">
        <f t="shared" si="103"/>
        <v>0</v>
      </c>
      <c r="BQ22" s="606">
        <f t="shared" si="104"/>
        <v>0</v>
      </c>
      <c r="BR22" s="607">
        <f t="shared" si="105"/>
        <v>0</v>
      </c>
      <c r="BS22" s="606">
        <f t="shared" si="106"/>
        <v>0</v>
      </c>
      <c r="BT22" s="607">
        <f t="shared" si="107"/>
        <v>0</v>
      </c>
      <c r="BU22" s="606">
        <f t="shared" si="108"/>
        <v>0</v>
      </c>
      <c r="BV22" s="607">
        <f t="shared" si="109"/>
        <v>0</v>
      </c>
      <c r="BW22" s="608">
        <f t="shared" si="110"/>
        <v>0</v>
      </c>
      <c r="BX22" s="607">
        <f t="shared" si="111"/>
        <v>1379</v>
      </c>
      <c r="BY22" s="608">
        <f t="shared" si="112"/>
        <v>1392</v>
      </c>
      <c r="BZ22" s="607">
        <f t="shared" si="113"/>
        <v>0</v>
      </c>
      <c r="CA22" s="608">
        <f t="shared" si="114"/>
        <v>0</v>
      </c>
      <c r="CB22" s="607">
        <f t="shared" si="115"/>
        <v>0</v>
      </c>
      <c r="CC22" s="608">
        <f t="shared" si="116"/>
        <v>0</v>
      </c>
      <c r="CD22" s="607">
        <f t="shared" si="117"/>
        <v>0</v>
      </c>
      <c r="CE22" s="608">
        <f t="shared" si="118"/>
        <v>0</v>
      </c>
      <c r="CF22" s="607">
        <f t="shared" si="119"/>
        <v>0</v>
      </c>
      <c r="CG22" s="608">
        <f t="shared" si="120"/>
        <v>0</v>
      </c>
      <c r="CH22" s="607">
        <f t="shared" si="121"/>
        <v>0</v>
      </c>
      <c r="CI22" s="608">
        <f t="shared" si="122"/>
        <v>0</v>
      </c>
      <c r="CJ22" s="607">
        <f t="shared" si="123"/>
        <v>6020.6084118926756</v>
      </c>
      <c r="CK22" s="608">
        <f t="shared" si="124"/>
        <v>5993.6551724137935</v>
      </c>
      <c r="CL22" s="609">
        <f t="shared" si="125"/>
        <v>0</v>
      </c>
      <c r="CM22" s="608">
        <f t="shared" si="126"/>
        <v>0</v>
      </c>
      <c r="CN22" s="610">
        <f t="shared" si="127"/>
        <v>0</v>
      </c>
      <c r="CO22" s="606">
        <f t="shared" si="128"/>
        <v>0</v>
      </c>
      <c r="CP22" s="607">
        <f t="shared" si="129"/>
        <v>0</v>
      </c>
      <c r="CQ22" s="606">
        <f t="shared" si="130"/>
        <v>0</v>
      </c>
      <c r="CR22" s="607">
        <f t="shared" si="131"/>
        <v>0</v>
      </c>
      <c r="CS22" s="606">
        <f t="shared" si="132"/>
        <v>0</v>
      </c>
      <c r="CT22" s="607">
        <f t="shared" si="133"/>
        <v>0</v>
      </c>
      <c r="CU22" s="608">
        <f t="shared" si="134"/>
        <v>0</v>
      </c>
      <c r="CV22" s="610">
        <f t="shared" si="135"/>
        <v>54185.475707034078</v>
      </c>
      <c r="CW22" s="608">
        <f t="shared" si="136"/>
        <v>53942.896551724145</v>
      </c>
      <c r="CX22" s="610">
        <f t="shared" si="137"/>
        <v>54185.475707034078</v>
      </c>
      <c r="CY22" s="611">
        <f t="shared" si="138"/>
        <v>53942.896551724145</v>
      </c>
      <c r="CZ22" s="605">
        <f t="shared" si="139"/>
        <v>0</v>
      </c>
      <c r="DA22" s="612">
        <f t="shared" si="140"/>
        <v>0</v>
      </c>
      <c r="DB22" s="607">
        <f t="shared" si="141"/>
        <v>0</v>
      </c>
      <c r="DC22" s="606">
        <f t="shared" si="142"/>
        <v>0</v>
      </c>
      <c r="DD22" s="607">
        <f t="shared" si="143"/>
        <v>0</v>
      </c>
      <c r="DE22" s="606">
        <f t="shared" si="144"/>
        <v>0</v>
      </c>
      <c r="DF22" s="607">
        <f t="shared" si="145"/>
        <v>0</v>
      </c>
      <c r="DG22" s="606">
        <f t="shared" si="146"/>
        <v>0</v>
      </c>
      <c r="DH22" s="607">
        <f t="shared" si="147"/>
        <v>0</v>
      </c>
      <c r="DI22" s="608">
        <f t="shared" si="148"/>
        <v>0</v>
      </c>
      <c r="DJ22" s="607">
        <f t="shared" si="149"/>
        <v>153</v>
      </c>
      <c r="DK22" s="608">
        <f t="shared" si="150"/>
        <v>154</v>
      </c>
      <c r="DL22" s="607">
        <f t="shared" si="151"/>
        <v>153</v>
      </c>
      <c r="DM22" s="608">
        <f t="shared" si="152"/>
        <v>154</v>
      </c>
      <c r="DN22" s="607">
        <f t="shared" si="153"/>
        <v>0</v>
      </c>
      <c r="DO22" s="612">
        <f t="shared" si="154"/>
        <v>0</v>
      </c>
      <c r="DP22" s="607">
        <f t="shared" si="155"/>
        <v>0</v>
      </c>
      <c r="DQ22" s="606">
        <f t="shared" si="156"/>
        <v>0</v>
      </c>
      <c r="DR22" s="607">
        <f t="shared" si="157"/>
        <v>0</v>
      </c>
      <c r="DS22" s="606">
        <f t="shared" si="158"/>
        <v>0</v>
      </c>
      <c r="DT22" s="607">
        <f t="shared" si="159"/>
        <v>0</v>
      </c>
      <c r="DU22" s="606">
        <f t="shared" si="160"/>
        <v>0</v>
      </c>
      <c r="DV22" s="607">
        <f t="shared" si="161"/>
        <v>0</v>
      </c>
      <c r="DW22" s="608">
        <f t="shared" si="162"/>
        <v>0</v>
      </c>
      <c r="DX22" s="607">
        <f t="shared" si="163"/>
        <v>8290377.7831762144</v>
      </c>
      <c r="DY22" s="608">
        <f t="shared" si="164"/>
        <v>8307206.0689655179</v>
      </c>
      <c r="DZ22" s="607">
        <f t="shared" si="165"/>
        <v>8290377.7831762144</v>
      </c>
      <c r="EA22" s="608">
        <f t="shared" si="166"/>
        <v>8307206.0689655179</v>
      </c>
    </row>
    <row r="23" spans="1:131" x14ac:dyDescent="0.2">
      <c r="A23" s="481" t="s">
        <v>31</v>
      </c>
      <c r="B23" s="440" t="s">
        <v>810</v>
      </c>
      <c r="C23" s="530"/>
      <c r="D23" s="407">
        <v>101505</v>
      </c>
      <c r="E23" s="407">
        <v>8</v>
      </c>
      <c r="F23" s="598"/>
      <c r="G23" s="599"/>
      <c r="H23" s="600"/>
      <c r="I23" s="601"/>
      <c r="J23" s="600"/>
      <c r="K23" s="599"/>
      <c r="L23" s="600"/>
      <c r="M23" s="601"/>
      <c r="N23" s="600"/>
      <c r="O23" s="599"/>
      <c r="P23" s="600"/>
      <c r="Q23" s="601"/>
      <c r="R23" s="600"/>
      <c r="S23" s="599"/>
      <c r="T23" s="600"/>
      <c r="U23" s="601"/>
      <c r="V23" s="600"/>
      <c r="W23" s="599"/>
      <c r="X23" s="600"/>
      <c r="Y23" s="601"/>
      <c r="Z23" s="600"/>
      <c r="AA23" s="599"/>
      <c r="AB23" s="600"/>
      <c r="AC23" s="601"/>
      <c r="AD23" s="600"/>
      <c r="AE23" s="599"/>
      <c r="AF23" s="600"/>
      <c r="AG23" s="601"/>
      <c r="AH23" s="600"/>
      <c r="AI23" s="599"/>
      <c r="AJ23" s="600"/>
      <c r="AK23" s="601"/>
      <c r="AL23" s="600"/>
      <c r="AM23" s="599"/>
      <c r="AN23" s="600"/>
      <c r="AO23" s="601"/>
      <c r="AP23" s="600"/>
      <c r="AQ23" s="599"/>
      <c r="AR23" s="600"/>
      <c r="AS23" s="601"/>
      <c r="AT23" s="600">
        <v>120</v>
      </c>
      <c r="AU23" s="599">
        <v>129</v>
      </c>
      <c r="AV23" s="600"/>
      <c r="AW23" s="601"/>
      <c r="AX23" s="600">
        <v>12</v>
      </c>
      <c r="AY23" s="599"/>
      <c r="AZ23" s="600"/>
      <c r="BA23" s="601">
        <v>15</v>
      </c>
      <c r="BB23" s="602">
        <v>0</v>
      </c>
      <c r="BC23" s="599"/>
      <c r="BD23" s="600">
        <v>0</v>
      </c>
      <c r="BE23" s="599"/>
      <c r="BF23" s="600">
        <v>0</v>
      </c>
      <c r="BG23" s="599"/>
      <c r="BH23" s="600">
        <v>0</v>
      </c>
      <c r="BI23" s="599"/>
      <c r="BJ23" s="600">
        <v>0</v>
      </c>
      <c r="BK23" s="615"/>
      <c r="BL23" s="600">
        <v>7267396</v>
      </c>
      <c r="BM23" s="604">
        <v>8245093</v>
      </c>
      <c r="BN23" s="605">
        <f t="shared" si="101"/>
        <v>0</v>
      </c>
      <c r="BO23" s="606">
        <f t="shared" si="102"/>
        <v>0</v>
      </c>
      <c r="BP23" s="607">
        <f t="shared" si="103"/>
        <v>0</v>
      </c>
      <c r="BQ23" s="606">
        <f t="shared" si="104"/>
        <v>0</v>
      </c>
      <c r="BR23" s="607">
        <f t="shared" si="105"/>
        <v>0</v>
      </c>
      <c r="BS23" s="606">
        <f t="shared" si="106"/>
        <v>0</v>
      </c>
      <c r="BT23" s="607">
        <f t="shared" si="107"/>
        <v>0</v>
      </c>
      <c r="BU23" s="606">
        <f t="shared" si="108"/>
        <v>0</v>
      </c>
      <c r="BV23" s="607">
        <f t="shared" si="109"/>
        <v>0</v>
      </c>
      <c r="BW23" s="608">
        <f t="shared" si="110"/>
        <v>0</v>
      </c>
      <c r="BX23" s="607">
        <f t="shared" si="111"/>
        <v>1212</v>
      </c>
      <c r="BY23" s="608">
        <f t="shared" si="112"/>
        <v>1341</v>
      </c>
      <c r="BZ23" s="607">
        <f t="shared" si="113"/>
        <v>0</v>
      </c>
      <c r="CA23" s="608">
        <f t="shared" si="114"/>
        <v>0</v>
      </c>
      <c r="CB23" s="607">
        <f t="shared" si="115"/>
        <v>0</v>
      </c>
      <c r="CC23" s="608">
        <f t="shared" si="116"/>
        <v>0</v>
      </c>
      <c r="CD23" s="607">
        <f t="shared" si="117"/>
        <v>0</v>
      </c>
      <c r="CE23" s="608">
        <f t="shared" si="118"/>
        <v>0</v>
      </c>
      <c r="CF23" s="607">
        <f t="shared" si="119"/>
        <v>0</v>
      </c>
      <c r="CG23" s="608">
        <f t="shared" si="120"/>
        <v>0</v>
      </c>
      <c r="CH23" s="607">
        <f t="shared" si="121"/>
        <v>0</v>
      </c>
      <c r="CI23" s="608">
        <f t="shared" si="122"/>
        <v>0</v>
      </c>
      <c r="CJ23" s="607">
        <f t="shared" si="123"/>
        <v>5996.2013201320133</v>
      </c>
      <c r="CK23" s="608">
        <f t="shared" si="124"/>
        <v>6148.4660700969425</v>
      </c>
      <c r="CL23" s="609">
        <f t="shared" si="125"/>
        <v>0</v>
      </c>
      <c r="CM23" s="608">
        <f t="shared" si="126"/>
        <v>0</v>
      </c>
      <c r="CN23" s="610">
        <f t="shared" si="127"/>
        <v>0</v>
      </c>
      <c r="CO23" s="606">
        <f t="shared" si="128"/>
        <v>0</v>
      </c>
      <c r="CP23" s="607">
        <f t="shared" si="129"/>
        <v>0</v>
      </c>
      <c r="CQ23" s="606">
        <f t="shared" si="130"/>
        <v>0</v>
      </c>
      <c r="CR23" s="607">
        <f t="shared" si="131"/>
        <v>0</v>
      </c>
      <c r="CS23" s="606">
        <f t="shared" si="132"/>
        <v>0</v>
      </c>
      <c r="CT23" s="607">
        <f t="shared" si="133"/>
        <v>0</v>
      </c>
      <c r="CU23" s="608">
        <f t="shared" si="134"/>
        <v>0</v>
      </c>
      <c r="CV23" s="610">
        <f t="shared" si="135"/>
        <v>53965.811881188121</v>
      </c>
      <c r="CW23" s="608">
        <f t="shared" si="136"/>
        <v>55336.19463087248</v>
      </c>
      <c r="CX23" s="610">
        <f t="shared" si="137"/>
        <v>53965.811881188121</v>
      </c>
      <c r="CY23" s="611">
        <f t="shared" si="138"/>
        <v>55336.19463087248</v>
      </c>
      <c r="CZ23" s="605">
        <f t="shared" si="139"/>
        <v>0</v>
      </c>
      <c r="DA23" s="612">
        <f t="shared" si="140"/>
        <v>0</v>
      </c>
      <c r="DB23" s="607">
        <f t="shared" si="141"/>
        <v>0</v>
      </c>
      <c r="DC23" s="606">
        <f t="shared" si="142"/>
        <v>0</v>
      </c>
      <c r="DD23" s="607">
        <f t="shared" si="143"/>
        <v>0</v>
      </c>
      <c r="DE23" s="606">
        <f t="shared" si="144"/>
        <v>0</v>
      </c>
      <c r="DF23" s="607">
        <f t="shared" si="145"/>
        <v>0</v>
      </c>
      <c r="DG23" s="606">
        <f t="shared" si="146"/>
        <v>0</v>
      </c>
      <c r="DH23" s="607">
        <f t="shared" si="147"/>
        <v>0</v>
      </c>
      <c r="DI23" s="608">
        <f t="shared" si="148"/>
        <v>0</v>
      </c>
      <c r="DJ23" s="607">
        <f t="shared" si="149"/>
        <v>132</v>
      </c>
      <c r="DK23" s="608">
        <f t="shared" si="150"/>
        <v>144</v>
      </c>
      <c r="DL23" s="607">
        <f t="shared" si="151"/>
        <v>132</v>
      </c>
      <c r="DM23" s="608">
        <f t="shared" si="152"/>
        <v>144</v>
      </c>
      <c r="DN23" s="607">
        <f t="shared" si="153"/>
        <v>0</v>
      </c>
      <c r="DO23" s="612">
        <f t="shared" si="154"/>
        <v>0</v>
      </c>
      <c r="DP23" s="607">
        <f t="shared" si="155"/>
        <v>0</v>
      </c>
      <c r="DQ23" s="606">
        <f t="shared" si="156"/>
        <v>0</v>
      </c>
      <c r="DR23" s="607">
        <f t="shared" si="157"/>
        <v>0</v>
      </c>
      <c r="DS23" s="606">
        <f t="shared" si="158"/>
        <v>0</v>
      </c>
      <c r="DT23" s="607">
        <f t="shared" si="159"/>
        <v>0</v>
      </c>
      <c r="DU23" s="606">
        <f t="shared" si="160"/>
        <v>0</v>
      </c>
      <c r="DV23" s="607">
        <f t="shared" si="161"/>
        <v>0</v>
      </c>
      <c r="DW23" s="608">
        <f t="shared" si="162"/>
        <v>0</v>
      </c>
      <c r="DX23" s="607">
        <f t="shared" si="163"/>
        <v>7123487.1683168318</v>
      </c>
      <c r="DY23" s="608">
        <f t="shared" si="164"/>
        <v>7968412.0268456368</v>
      </c>
      <c r="DZ23" s="607">
        <f t="shared" si="165"/>
        <v>7123487.1683168318</v>
      </c>
      <c r="EA23" s="608">
        <f t="shared" si="166"/>
        <v>7968412.0268456368</v>
      </c>
    </row>
    <row r="24" spans="1:131" x14ac:dyDescent="0.2">
      <c r="A24" s="481" t="s">
        <v>31</v>
      </c>
      <c r="B24" s="440" t="s">
        <v>801</v>
      </c>
      <c r="C24" s="530"/>
      <c r="D24" s="407">
        <v>101514</v>
      </c>
      <c r="E24" s="407">
        <v>8</v>
      </c>
      <c r="F24" s="598"/>
      <c r="G24" s="599"/>
      <c r="H24" s="600"/>
      <c r="I24" s="601"/>
      <c r="J24" s="600"/>
      <c r="K24" s="599"/>
      <c r="L24" s="600"/>
      <c r="M24" s="601"/>
      <c r="N24" s="600"/>
      <c r="O24" s="599"/>
      <c r="P24" s="600"/>
      <c r="Q24" s="601"/>
      <c r="R24" s="600"/>
      <c r="S24" s="599"/>
      <c r="T24" s="600"/>
      <c r="U24" s="601"/>
      <c r="V24" s="600"/>
      <c r="W24" s="599"/>
      <c r="X24" s="600"/>
      <c r="Y24" s="601"/>
      <c r="Z24" s="600"/>
      <c r="AA24" s="599"/>
      <c r="AB24" s="600"/>
      <c r="AC24" s="601"/>
      <c r="AD24" s="600"/>
      <c r="AE24" s="599"/>
      <c r="AF24" s="600"/>
      <c r="AG24" s="601"/>
      <c r="AH24" s="600"/>
      <c r="AI24" s="599"/>
      <c r="AJ24" s="600"/>
      <c r="AK24" s="601"/>
      <c r="AL24" s="600"/>
      <c r="AM24" s="599"/>
      <c r="AN24" s="600"/>
      <c r="AO24" s="601"/>
      <c r="AP24" s="600"/>
      <c r="AQ24" s="599"/>
      <c r="AR24" s="600"/>
      <c r="AS24" s="601"/>
      <c r="AT24" s="600">
        <v>147</v>
      </c>
      <c r="AU24" s="599">
        <v>93</v>
      </c>
      <c r="AV24" s="600"/>
      <c r="AW24" s="601"/>
      <c r="AX24" s="600">
        <v>1</v>
      </c>
      <c r="AY24" s="599"/>
      <c r="AZ24" s="600"/>
      <c r="BA24" s="601">
        <v>0</v>
      </c>
      <c r="BB24" s="602">
        <v>0</v>
      </c>
      <c r="BC24" s="599"/>
      <c r="BD24" s="600">
        <v>0</v>
      </c>
      <c r="BE24" s="599"/>
      <c r="BF24" s="600">
        <v>0</v>
      </c>
      <c r="BG24" s="599"/>
      <c r="BH24" s="600">
        <v>0</v>
      </c>
      <c r="BI24" s="599"/>
      <c r="BJ24" s="600">
        <v>0</v>
      </c>
      <c r="BK24" s="615"/>
      <c r="BL24" s="600">
        <v>8041351</v>
      </c>
      <c r="BM24" s="604">
        <v>7541316</v>
      </c>
      <c r="BN24" s="605">
        <f t="shared" si="101"/>
        <v>0</v>
      </c>
      <c r="BO24" s="606">
        <f t="shared" si="102"/>
        <v>0</v>
      </c>
      <c r="BP24" s="607">
        <f t="shared" si="103"/>
        <v>0</v>
      </c>
      <c r="BQ24" s="606">
        <f t="shared" si="104"/>
        <v>0</v>
      </c>
      <c r="BR24" s="607">
        <f t="shared" si="105"/>
        <v>0</v>
      </c>
      <c r="BS24" s="606">
        <f t="shared" si="106"/>
        <v>0</v>
      </c>
      <c r="BT24" s="607">
        <f t="shared" si="107"/>
        <v>0</v>
      </c>
      <c r="BU24" s="606">
        <f t="shared" si="108"/>
        <v>0</v>
      </c>
      <c r="BV24" s="607">
        <f t="shared" si="109"/>
        <v>0</v>
      </c>
      <c r="BW24" s="608">
        <f t="shared" si="110"/>
        <v>0</v>
      </c>
      <c r="BX24" s="607">
        <f t="shared" si="111"/>
        <v>1334</v>
      </c>
      <c r="BY24" s="608">
        <f t="shared" si="112"/>
        <v>837</v>
      </c>
      <c r="BZ24" s="607">
        <f t="shared" si="113"/>
        <v>0</v>
      </c>
      <c r="CA24" s="608">
        <f t="shared" si="114"/>
        <v>0</v>
      </c>
      <c r="CB24" s="607">
        <f t="shared" si="115"/>
        <v>0</v>
      </c>
      <c r="CC24" s="608">
        <f t="shared" si="116"/>
        <v>0</v>
      </c>
      <c r="CD24" s="607">
        <f t="shared" si="117"/>
        <v>0</v>
      </c>
      <c r="CE24" s="608">
        <f t="shared" si="118"/>
        <v>0</v>
      </c>
      <c r="CF24" s="607">
        <f t="shared" si="119"/>
        <v>0</v>
      </c>
      <c r="CG24" s="608">
        <f t="shared" si="120"/>
        <v>0</v>
      </c>
      <c r="CH24" s="607">
        <f t="shared" si="121"/>
        <v>0</v>
      </c>
      <c r="CI24" s="608">
        <f t="shared" si="122"/>
        <v>0</v>
      </c>
      <c r="CJ24" s="607">
        <f t="shared" si="123"/>
        <v>6027.9992503748126</v>
      </c>
      <c r="CK24" s="608">
        <f t="shared" si="124"/>
        <v>9009.9354838709678</v>
      </c>
      <c r="CL24" s="609">
        <f t="shared" si="125"/>
        <v>0</v>
      </c>
      <c r="CM24" s="608">
        <f t="shared" si="126"/>
        <v>0</v>
      </c>
      <c r="CN24" s="610">
        <f t="shared" si="127"/>
        <v>0</v>
      </c>
      <c r="CO24" s="606">
        <f t="shared" si="128"/>
        <v>0</v>
      </c>
      <c r="CP24" s="607">
        <f t="shared" si="129"/>
        <v>0</v>
      </c>
      <c r="CQ24" s="606">
        <f t="shared" si="130"/>
        <v>0</v>
      </c>
      <c r="CR24" s="607">
        <f t="shared" si="131"/>
        <v>0</v>
      </c>
      <c r="CS24" s="606">
        <f t="shared" si="132"/>
        <v>0</v>
      </c>
      <c r="CT24" s="607">
        <f t="shared" si="133"/>
        <v>0</v>
      </c>
      <c r="CU24" s="608">
        <f t="shared" si="134"/>
        <v>0</v>
      </c>
      <c r="CV24" s="610">
        <f t="shared" si="135"/>
        <v>54251.993253373315</v>
      </c>
      <c r="CW24" s="608">
        <f t="shared" si="136"/>
        <v>81089.419354838712</v>
      </c>
      <c r="CX24" s="610">
        <f t="shared" si="137"/>
        <v>54251.993253373315</v>
      </c>
      <c r="CY24" s="611">
        <f t="shared" si="138"/>
        <v>81089.419354838712</v>
      </c>
      <c r="CZ24" s="605">
        <f t="shared" si="139"/>
        <v>0</v>
      </c>
      <c r="DA24" s="612">
        <f t="shared" si="140"/>
        <v>0</v>
      </c>
      <c r="DB24" s="607">
        <f t="shared" si="141"/>
        <v>0</v>
      </c>
      <c r="DC24" s="606">
        <f t="shared" si="142"/>
        <v>0</v>
      </c>
      <c r="DD24" s="607">
        <f t="shared" si="143"/>
        <v>0</v>
      </c>
      <c r="DE24" s="606">
        <f t="shared" si="144"/>
        <v>0</v>
      </c>
      <c r="DF24" s="607">
        <f t="shared" si="145"/>
        <v>0</v>
      </c>
      <c r="DG24" s="606">
        <f t="shared" si="146"/>
        <v>0</v>
      </c>
      <c r="DH24" s="607">
        <f t="shared" si="147"/>
        <v>0</v>
      </c>
      <c r="DI24" s="608">
        <f t="shared" si="148"/>
        <v>0</v>
      </c>
      <c r="DJ24" s="607">
        <f t="shared" si="149"/>
        <v>148</v>
      </c>
      <c r="DK24" s="608">
        <f t="shared" si="150"/>
        <v>93</v>
      </c>
      <c r="DL24" s="607">
        <f t="shared" si="151"/>
        <v>148</v>
      </c>
      <c r="DM24" s="608">
        <f t="shared" si="152"/>
        <v>93</v>
      </c>
      <c r="DN24" s="607">
        <f t="shared" si="153"/>
        <v>0</v>
      </c>
      <c r="DO24" s="612">
        <f t="shared" si="154"/>
        <v>0</v>
      </c>
      <c r="DP24" s="607">
        <f t="shared" si="155"/>
        <v>0</v>
      </c>
      <c r="DQ24" s="606">
        <f t="shared" si="156"/>
        <v>0</v>
      </c>
      <c r="DR24" s="607">
        <f t="shared" si="157"/>
        <v>0</v>
      </c>
      <c r="DS24" s="606">
        <f t="shared" si="158"/>
        <v>0</v>
      </c>
      <c r="DT24" s="607">
        <f t="shared" si="159"/>
        <v>0</v>
      </c>
      <c r="DU24" s="606">
        <f t="shared" si="160"/>
        <v>0</v>
      </c>
      <c r="DV24" s="607">
        <f t="shared" si="161"/>
        <v>0</v>
      </c>
      <c r="DW24" s="608">
        <f t="shared" si="162"/>
        <v>0</v>
      </c>
      <c r="DX24" s="607">
        <f t="shared" si="163"/>
        <v>8029295.0014992505</v>
      </c>
      <c r="DY24" s="608">
        <f t="shared" si="164"/>
        <v>7541316</v>
      </c>
      <c r="DZ24" s="607">
        <f t="shared" si="165"/>
        <v>8029295.0014992505</v>
      </c>
      <c r="EA24" s="608">
        <f t="shared" si="166"/>
        <v>7541316</v>
      </c>
    </row>
    <row r="25" spans="1:131" x14ac:dyDescent="0.2">
      <c r="A25" s="481" t="s">
        <v>31</v>
      </c>
      <c r="B25" s="440" t="s">
        <v>821</v>
      </c>
      <c r="C25" s="531" t="s">
        <v>680</v>
      </c>
      <c r="D25" s="407">
        <v>101295</v>
      </c>
      <c r="E25" s="447">
        <v>8</v>
      </c>
      <c r="F25" s="598"/>
      <c r="G25" s="599"/>
      <c r="H25" s="600"/>
      <c r="I25" s="601"/>
      <c r="J25" s="600"/>
      <c r="K25" s="599"/>
      <c r="L25" s="600"/>
      <c r="M25" s="601"/>
      <c r="N25" s="600"/>
      <c r="O25" s="599"/>
      <c r="P25" s="600"/>
      <c r="Q25" s="601"/>
      <c r="R25" s="600"/>
      <c r="S25" s="599"/>
      <c r="T25" s="600"/>
      <c r="U25" s="601"/>
      <c r="V25" s="600"/>
      <c r="W25" s="599"/>
      <c r="X25" s="600"/>
      <c r="Y25" s="601"/>
      <c r="Z25" s="600"/>
      <c r="AA25" s="599"/>
      <c r="AB25" s="600"/>
      <c r="AC25" s="601"/>
      <c r="AD25" s="600"/>
      <c r="AE25" s="599"/>
      <c r="AF25" s="600"/>
      <c r="AG25" s="601"/>
      <c r="AH25" s="600"/>
      <c r="AI25" s="599"/>
      <c r="AJ25" s="600"/>
      <c r="AK25" s="601"/>
      <c r="AL25" s="600"/>
      <c r="AM25" s="599"/>
      <c r="AN25" s="600"/>
      <c r="AO25" s="601"/>
      <c r="AP25" s="600"/>
      <c r="AQ25" s="599"/>
      <c r="AR25" s="600"/>
      <c r="AS25" s="601"/>
      <c r="AT25" s="600">
        <v>122</v>
      </c>
      <c r="AU25" s="599">
        <v>125</v>
      </c>
      <c r="AV25" s="600"/>
      <c r="AW25" s="601"/>
      <c r="AX25" s="600">
        <v>5</v>
      </c>
      <c r="AY25" s="599"/>
      <c r="AZ25" s="600"/>
      <c r="BA25" s="601">
        <v>1</v>
      </c>
      <c r="BB25" s="602">
        <v>0</v>
      </c>
      <c r="BC25" s="599"/>
      <c r="BD25" s="600">
        <v>0</v>
      </c>
      <c r="BE25" s="599"/>
      <c r="BF25" s="600">
        <v>0</v>
      </c>
      <c r="BG25" s="599"/>
      <c r="BH25" s="600">
        <v>0</v>
      </c>
      <c r="BI25" s="599"/>
      <c r="BJ25" s="600">
        <v>0</v>
      </c>
      <c r="BK25" s="615"/>
      <c r="BL25" s="600">
        <v>6659274</v>
      </c>
      <c r="BM25" s="604">
        <v>6753048</v>
      </c>
      <c r="BN25" s="605">
        <f t="shared" si="101"/>
        <v>0</v>
      </c>
      <c r="BO25" s="606">
        <f t="shared" si="102"/>
        <v>0</v>
      </c>
      <c r="BP25" s="607">
        <f t="shared" si="103"/>
        <v>0</v>
      </c>
      <c r="BQ25" s="606">
        <f t="shared" si="104"/>
        <v>0</v>
      </c>
      <c r="BR25" s="607">
        <f t="shared" si="105"/>
        <v>0</v>
      </c>
      <c r="BS25" s="606">
        <f t="shared" si="106"/>
        <v>0</v>
      </c>
      <c r="BT25" s="607">
        <f t="shared" si="107"/>
        <v>0</v>
      </c>
      <c r="BU25" s="606">
        <f t="shared" si="108"/>
        <v>0</v>
      </c>
      <c r="BV25" s="607">
        <f t="shared" si="109"/>
        <v>0</v>
      </c>
      <c r="BW25" s="608">
        <f t="shared" si="110"/>
        <v>0</v>
      </c>
      <c r="BX25" s="607">
        <f t="shared" si="111"/>
        <v>1153</v>
      </c>
      <c r="BY25" s="608">
        <f t="shared" si="112"/>
        <v>1137</v>
      </c>
      <c r="BZ25" s="607">
        <f t="shared" si="113"/>
        <v>0</v>
      </c>
      <c r="CA25" s="608">
        <f t="shared" si="114"/>
        <v>0</v>
      </c>
      <c r="CB25" s="607">
        <f t="shared" si="115"/>
        <v>0</v>
      </c>
      <c r="CC25" s="608">
        <f t="shared" si="116"/>
        <v>0</v>
      </c>
      <c r="CD25" s="607">
        <f t="shared" si="117"/>
        <v>0</v>
      </c>
      <c r="CE25" s="608">
        <f t="shared" si="118"/>
        <v>0</v>
      </c>
      <c r="CF25" s="607">
        <f t="shared" si="119"/>
        <v>0</v>
      </c>
      <c r="CG25" s="608">
        <f t="shared" si="120"/>
        <v>0</v>
      </c>
      <c r="CH25" s="607">
        <f t="shared" si="121"/>
        <v>0</v>
      </c>
      <c r="CI25" s="608">
        <f t="shared" si="122"/>
        <v>0</v>
      </c>
      <c r="CJ25" s="607">
        <f t="shared" si="123"/>
        <v>5775.6062445793586</v>
      </c>
      <c r="CK25" s="608">
        <f t="shared" si="124"/>
        <v>5939.3562005277045</v>
      </c>
      <c r="CL25" s="609">
        <f t="shared" si="125"/>
        <v>0</v>
      </c>
      <c r="CM25" s="608">
        <f t="shared" si="126"/>
        <v>0</v>
      </c>
      <c r="CN25" s="610">
        <f t="shared" si="127"/>
        <v>0</v>
      </c>
      <c r="CO25" s="606">
        <f t="shared" si="128"/>
        <v>0</v>
      </c>
      <c r="CP25" s="607">
        <f t="shared" si="129"/>
        <v>0</v>
      </c>
      <c r="CQ25" s="606">
        <f t="shared" si="130"/>
        <v>0</v>
      </c>
      <c r="CR25" s="607">
        <f t="shared" si="131"/>
        <v>0</v>
      </c>
      <c r="CS25" s="606">
        <f t="shared" si="132"/>
        <v>0</v>
      </c>
      <c r="CT25" s="607">
        <f t="shared" si="133"/>
        <v>0</v>
      </c>
      <c r="CU25" s="608">
        <f t="shared" si="134"/>
        <v>0</v>
      </c>
      <c r="CV25" s="610">
        <f t="shared" si="135"/>
        <v>51980.456201214227</v>
      </c>
      <c r="CW25" s="608">
        <f t="shared" si="136"/>
        <v>53454.205804749341</v>
      </c>
      <c r="CX25" s="610">
        <f t="shared" si="137"/>
        <v>51980.456201214227</v>
      </c>
      <c r="CY25" s="611">
        <f t="shared" si="138"/>
        <v>53454.205804749341</v>
      </c>
      <c r="CZ25" s="605">
        <f t="shared" si="139"/>
        <v>0</v>
      </c>
      <c r="DA25" s="612">
        <f t="shared" si="140"/>
        <v>0</v>
      </c>
      <c r="DB25" s="607">
        <f t="shared" si="141"/>
        <v>0</v>
      </c>
      <c r="DC25" s="606">
        <f t="shared" si="142"/>
        <v>0</v>
      </c>
      <c r="DD25" s="607">
        <f t="shared" si="143"/>
        <v>0</v>
      </c>
      <c r="DE25" s="606">
        <f t="shared" si="144"/>
        <v>0</v>
      </c>
      <c r="DF25" s="607">
        <f t="shared" si="145"/>
        <v>0</v>
      </c>
      <c r="DG25" s="606">
        <f t="shared" si="146"/>
        <v>0</v>
      </c>
      <c r="DH25" s="607">
        <f t="shared" si="147"/>
        <v>0</v>
      </c>
      <c r="DI25" s="608">
        <f t="shared" si="148"/>
        <v>0</v>
      </c>
      <c r="DJ25" s="607">
        <f t="shared" si="149"/>
        <v>127</v>
      </c>
      <c r="DK25" s="608">
        <f t="shared" si="150"/>
        <v>126</v>
      </c>
      <c r="DL25" s="607">
        <f t="shared" si="151"/>
        <v>127</v>
      </c>
      <c r="DM25" s="608">
        <f t="shared" si="152"/>
        <v>126</v>
      </c>
      <c r="DN25" s="607">
        <f t="shared" si="153"/>
        <v>0</v>
      </c>
      <c r="DO25" s="612">
        <f t="shared" si="154"/>
        <v>0</v>
      </c>
      <c r="DP25" s="607">
        <f t="shared" si="155"/>
        <v>0</v>
      </c>
      <c r="DQ25" s="606">
        <f t="shared" si="156"/>
        <v>0</v>
      </c>
      <c r="DR25" s="607">
        <f t="shared" si="157"/>
        <v>0</v>
      </c>
      <c r="DS25" s="606">
        <f t="shared" si="158"/>
        <v>0</v>
      </c>
      <c r="DT25" s="607">
        <f t="shared" si="159"/>
        <v>0</v>
      </c>
      <c r="DU25" s="606">
        <f t="shared" si="160"/>
        <v>0</v>
      </c>
      <c r="DV25" s="607">
        <f t="shared" si="161"/>
        <v>0</v>
      </c>
      <c r="DW25" s="608">
        <f t="shared" si="162"/>
        <v>0</v>
      </c>
      <c r="DX25" s="607">
        <f t="shared" si="163"/>
        <v>6601517.9375542067</v>
      </c>
      <c r="DY25" s="608">
        <f t="shared" si="164"/>
        <v>6735229.9313984169</v>
      </c>
      <c r="DZ25" s="607">
        <f t="shared" si="165"/>
        <v>6601517.9375542067</v>
      </c>
      <c r="EA25" s="608">
        <f t="shared" si="166"/>
        <v>6735229.9313984169</v>
      </c>
    </row>
    <row r="26" spans="1:131" x14ac:dyDescent="0.2">
      <c r="A26" s="481" t="s">
        <v>31</v>
      </c>
      <c r="B26" s="440" t="s">
        <v>799</v>
      </c>
      <c r="C26" s="530"/>
      <c r="D26" s="407">
        <v>102429</v>
      </c>
      <c r="E26" s="407">
        <v>9</v>
      </c>
      <c r="F26" s="598"/>
      <c r="G26" s="599"/>
      <c r="H26" s="600"/>
      <c r="I26" s="601"/>
      <c r="J26" s="600"/>
      <c r="K26" s="599"/>
      <c r="L26" s="600"/>
      <c r="M26" s="601"/>
      <c r="N26" s="600"/>
      <c r="O26" s="599"/>
      <c r="P26" s="600"/>
      <c r="Q26" s="601"/>
      <c r="R26" s="600"/>
      <c r="S26" s="599"/>
      <c r="T26" s="600"/>
      <c r="U26" s="601"/>
      <c r="V26" s="600"/>
      <c r="W26" s="599"/>
      <c r="X26" s="600"/>
      <c r="Y26" s="601"/>
      <c r="Z26" s="600"/>
      <c r="AA26" s="599"/>
      <c r="AB26" s="600"/>
      <c r="AC26" s="601"/>
      <c r="AD26" s="600"/>
      <c r="AE26" s="599"/>
      <c r="AF26" s="600"/>
      <c r="AG26" s="601"/>
      <c r="AH26" s="600"/>
      <c r="AI26" s="599"/>
      <c r="AJ26" s="600"/>
      <c r="AK26" s="601"/>
      <c r="AL26" s="600"/>
      <c r="AM26" s="599"/>
      <c r="AN26" s="600"/>
      <c r="AO26" s="601"/>
      <c r="AP26" s="600"/>
      <c r="AQ26" s="599"/>
      <c r="AR26" s="600"/>
      <c r="AS26" s="601"/>
      <c r="AT26" s="600">
        <v>114</v>
      </c>
      <c r="AU26" s="599">
        <v>114</v>
      </c>
      <c r="AV26" s="600"/>
      <c r="AW26" s="601"/>
      <c r="AX26" s="600">
        <v>1</v>
      </c>
      <c r="AY26" s="599"/>
      <c r="AZ26" s="600"/>
      <c r="BA26" s="601">
        <v>0</v>
      </c>
      <c r="BB26" s="602">
        <v>0</v>
      </c>
      <c r="BC26" s="599"/>
      <c r="BD26" s="600">
        <v>0</v>
      </c>
      <c r="BE26" s="599"/>
      <c r="BF26" s="600">
        <v>0</v>
      </c>
      <c r="BG26" s="599"/>
      <c r="BH26" s="600">
        <v>0</v>
      </c>
      <c r="BI26" s="599"/>
      <c r="BJ26" s="600">
        <v>0</v>
      </c>
      <c r="BK26" s="615"/>
      <c r="BL26" s="600">
        <v>6245104</v>
      </c>
      <c r="BM26" s="604">
        <v>6282971</v>
      </c>
      <c r="BN26" s="605">
        <f t="shared" si="101"/>
        <v>0</v>
      </c>
      <c r="BO26" s="606">
        <f t="shared" si="102"/>
        <v>0</v>
      </c>
      <c r="BP26" s="607">
        <f t="shared" si="103"/>
        <v>0</v>
      </c>
      <c r="BQ26" s="606">
        <f t="shared" si="104"/>
        <v>0</v>
      </c>
      <c r="BR26" s="607">
        <f t="shared" si="105"/>
        <v>0</v>
      </c>
      <c r="BS26" s="606">
        <f t="shared" si="106"/>
        <v>0</v>
      </c>
      <c r="BT26" s="607">
        <f t="shared" si="107"/>
        <v>0</v>
      </c>
      <c r="BU26" s="606">
        <f t="shared" si="108"/>
        <v>0</v>
      </c>
      <c r="BV26" s="607">
        <f t="shared" si="109"/>
        <v>0</v>
      </c>
      <c r="BW26" s="608">
        <f t="shared" si="110"/>
        <v>0</v>
      </c>
      <c r="BX26" s="607">
        <f t="shared" si="111"/>
        <v>1037</v>
      </c>
      <c r="BY26" s="608">
        <f t="shared" si="112"/>
        <v>1026</v>
      </c>
      <c r="BZ26" s="607">
        <f t="shared" si="113"/>
        <v>0</v>
      </c>
      <c r="CA26" s="608">
        <f t="shared" si="114"/>
        <v>0</v>
      </c>
      <c r="CB26" s="607">
        <f t="shared" si="115"/>
        <v>0</v>
      </c>
      <c r="CC26" s="608">
        <f t="shared" si="116"/>
        <v>0</v>
      </c>
      <c r="CD26" s="607">
        <f t="shared" si="117"/>
        <v>0</v>
      </c>
      <c r="CE26" s="608">
        <f t="shared" si="118"/>
        <v>0</v>
      </c>
      <c r="CF26" s="607">
        <f t="shared" si="119"/>
        <v>0</v>
      </c>
      <c r="CG26" s="608">
        <f t="shared" si="120"/>
        <v>0</v>
      </c>
      <c r="CH26" s="607">
        <f t="shared" si="121"/>
        <v>0</v>
      </c>
      <c r="CI26" s="608">
        <f t="shared" si="122"/>
        <v>0</v>
      </c>
      <c r="CJ26" s="607">
        <f t="shared" si="123"/>
        <v>6022.2796528447443</v>
      </c>
      <c r="CK26" s="608">
        <f t="shared" si="124"/>
        <v>6123.7534113060428</v>
      </c>
      <c r="CL26" s="609">
        <f t="shared" si="125"/>
        <v>0</v>
      </c>
      <c r="CM26" s="608">
        <f t="shared" si="126"/>
        <v>0</v>
      </c>
      <c r="CN26" s="610">
        <f t="shared" si="127"/>
        <v>0</v>
      </c>
      <c r="CO26" s="606">
        <f t="shared" si="128"/>
        <v>0</v>
      </c>
      <c r="CP26" s="607">
        <f t="shared" si="129"/>
        <v>0</v>
      </c>
      <c r="CQ26" s="606">
        <f t="shared" si="130"/>
        <v>0</v>
      </c>
      <c r="CR26" s="607">
        <f t="shared" si="131"/>
        <v>0</v>
      </c>
      <c r="CS26" s="606">
        <f t="shared" si="132"/>
        <v>0</v>
      </c>
      <c r="CT26" s="607">
        <f t="shared" si="133"/>
        <v>0</v>
      </c>
      <c r="CU26" s="608">
        <f t="shared" si="134"/>
        <v>0</v>
      </c>
      <c r="CV26" s="610">
        <f t="shared" si="135"/>
        <v>54200.516875602698</v>
      </c>
      <c r="CW26" s="608">
        <f t="shared" si="136"/>
        <v>55113.780701754382</v>
      </c>
      <c r="CX26" s="610">
        <f t="shared" si="137"/>
        <v>54200.516875602705</v>
      </c>
      <c r="CY26" s="611">
        <f t="shared" si="138"/>
        <v>55113.780701754389</v>
      </c>
      <c r="CZ26" s="605">
        <f t="shared" si="139"/>
        <v>0</v>
      </c>
      <c r="DA26" s="612">
        <f t="shared" si="140"/>
        <v>0</v>
      </c>
      <c r="DB26" s="607">
        <f t="shared" si="141"/>
        <v>0</v>
      </c>
      <c r="DC26" s="606">
        <f t="shared" si="142"/>
        <v>0</v>
      </c>
      <c r="DD26" s="607">
        <f t="shared" si="143"/>
        <v>0</v>
      </c>
      <c r="DE26" s="606">
        <f t="shared" si="144"/>
        <v>0</v>
      </c>
      <c r="DF26" s="607">
        <f t="shared" si="145"/>
        <v>0</v>
      </c>
      <c r="DG26" s="606">
        <f t="shared" si="146"/>
        <v>0</v>
      </c>
      <c r="DH26" s="607">
        <f t="shared" si="147"/>
        <v>0</v>
      </c>
      <c r="DI26" s="608">
        <f t="shared" si="148"/>
        <v>0</v>
      </c>
      <c r="DJ26" s="607">
        <f t="shared" si="149"/>
        <v>115</v>
      </c>
      <c r="DK26" s="608">
        <f t="shared" si="150"/>
        <v>114</v>
      </c>
      <c r="DL26" s="607">
        <f t="shared" si="151"/>
        <v>115</v>
      </c>
      <c r="DM26" s="608">
        <f t="shared" si="152"/>
        <v>114</v>
      </c>
      <c r="DN26" s="607">
        <f t="shared" si="153"/>
        <v>0</v>
      </c>
      <c r="DO26" s="612">
        <f t="shared" si="154"/>
        <v>0</v>
      </c>
      <c r="DP26" s="607">
        <f t="shared" si="155"/>
        <v>0</v>
      </c>
      <c r="DQ26" s="606">
        <f t="shared" si="156"/>
        <v>0</v>
      </c>
      <c r="DR26" s="607">
        <f t="shared" si="157"/>
        <v>0</v>
      </c>
      <c r="DS26" s="606">
        <f t="shared" si="158"/>
        <v>0</v>
      </c>
      <c r="DT26" s="607">
        <f t="shared" si="159"/>
        <v>0</v>
      </c>
      <c r="DU26" s="606">
        <f t="shared" si="160"/>
        <v>0</v>
      </c>
      <c r="DV26" s="607">
        <f t="shared" si="161"/>
        <v>0</v>
      </c>
      <c r="DW26" s="608">
        <f t="shared" si="162"/>
        <v>0</v>
      </c>
      <c r="DX26" s="607">
        <f t="shared" si="163"/>
        <v>6233059.4406943107</v>
      </c>
      <c r="DY26" s="608">
        <f t="shared" si="164"/>
        <v>6282971</v>
      </c>
      <c r="DZ26" s="607">
        <f t="shared" si="165"/>
        <v>6233059.4406943107</v>
      </c>
      <c r="EA26" s="608">
        <f t="shared" si="166"/>
        <v>6282971</v>
      </c>
    </row>
    <row r="27" spans="1:131" x14ac:dyDescent="0.2">
      <c r="A27" s="481" t="s">
        <v>31</v>
      </c>
      <c r="B27" s="406" t="s">
        <v>800</v>
      </c>
      <c r="C27" s="532"/>
      <c r="D27" s="407">
        <v>102030</v>
      </c>
      <c r="E27" s="407">
        <v>9</v>
      </c>
      <c r="F27" s="598"/>
      <c r="G27" s="599"/>
      <c r="H27" s="600"/>
      <c r="I27" s="601"/>
      <c r="J27" s="600"/>
      <c r="K27" s="599"/>
      <c r="L27" s="600"/>
      <c r="M27" s="601"/>
      <c r="N27" s="600"/>
      <c r="O27" s="599"/>
      <c r="P27" s="600"/>
      <c r="Q27" s="601"/>
      <c r="R27" s="600"/>
      <c r="S27" s="599"/>
      <c r="T27" s="600"/>
      <c r="U27" s="601"/>
      <c r="V27" s="600"/>
      <c r="W27" s="599"/>
      <c r="X27" s="600"/>
      <c r="Y27" s="601"/>
      <c r="Z27" s="600"/>
      <c r="AA27" s="599"/>
      <c r="AB27" s="600"/>
      <c r="AC27" s="601"/>
      <c r="AD27" s="600"/>
      <c r="AE27" s="599"/>
      <c r="AF27" s="600"/>
      <c r="AG27" s="601"/>
      <c r="AH27" s="600"/>
      <c r="AI27" s="599"/>
      <c r="AJ27" s="600"/>
      <c r="AK27" s="601"/>
      <c r="AL27" s="600"/>
      <c r="AM27" s="599"/>
      <c r="AN27" s="600"/>
      <c r="AO27" s="601"/>
      <c r="AP27" s="600"/>
      <c r="AQ27" s="599"/>
      <c r="AR27" s="600"/>
      <c r="AS27" s="601"/>
      <c r="AT27" s="600">
        <v>80</v>
      </c>
      <c r="AU27" s="599">
        <v>82</v>
      </c>
      <c r="AV27" s="600"/>
      <c r="AW27" s="601"/>
      <c r="AX27" s="600">
        <v>6</v>
      </c>
      <c r="AY27" s="599"/>
      <c r="AZ27" s="600"/>
      <c r="BA27" s="601">
        <v>0</v>
      </c>
      <c r="BB27" s="602">
        <v>0</v>
      </c>
      <c r="BC27" s="599"/>
      <c r="BD27" s="600">
        <v>0</v>
      </c>
      <c r="BE27" s="599"/>
      <c r="BF27" s="600">
        <v>0</v>
      </c>
      <c r="BG27" s="599"/>
      <c r="BH27" s="600">
        <v>0</v>
      </c>
      <c r="BI27" s="599"/>
      <c r="BJ27" s="600">
        <v>0</v>
      </c>
      <c r="BK27" s="615"/>
      <c r="BL27" s="600">
        <v>4691204</v>
      </c>
      <c r="BM27" s="604">
        <v>4557075</v>
      </c>
      <c r="BN27" s="605">
        <f t="shared" si="101"/>
        <v>0</v>
      </c>
      <c r="BO27" s="606">
        <f t="shared" si="102"/>
        <v>0</v>
      </c>
      <c r="BP27" s="607">
        <f t="shared" si="103"/>
        <v>0</v>
      </c>
      <c r="BQ27" s="606">
        <f t="shared" si="104"/>
        <v>0</v>
      </c>
      <c r="BR27" s="607">
        <f t="shared" si="105"/>
        <v>0</v>
      </c>
      <c r="BS27" s="606">
        <f t="shared" si="106"/>
        <v>0</v>
      </c>
      <c r="BT27" s="607">
        <f t="shared" si="107"/>
        <v>0</v>
      </c>
      <c r="BU27" s="606">
        <f t="shared" si="108"/>
        <v>0</v>
      </c>
      <c r="BV27" s="607">
        <f t="shared" si="109"/>
        <v>0</v>
      </c>
      <c r="BW27" s="608">
        <f t="shared" si="110"/>
        <v>0</v>
      </c>
      <c r="BX27" s="607">
        <f t="shared" si="111"/>
        <v>786</v>
      </c>
      <c r="BY27" s="608">
        <f t="shared" si="112"/>
        <v>738</v>
      </c>
      <c r="BZ27" s="607">
        <f t="shared" si="113"/>
        <v>0</v>
      </c>
      <c r="CA27" s="608">
        <f t="shared" si="114"/>
        <v>0</v>
      </c>
      <c r="CB27" s="607">
        <f t="shared" si="115"/>
        <v>0</v>
      </c>
      <c r="CC27" s="608">
        <f t="shared" si="116"/>
        <v>0</v>
      </c>
      <c r="CD27" s="607">
        <f t="shared" si="117"/>
        <v>0</v>
      </c>
      <c r="CE27" s="608">
        <f t="shared" si="118"/>
        <v>0</v>
      </c>
      <c r="CF27" s="607">
        <f t="shared" si="119"/>
        <v>0</v>
      </c>
      <c r="CG27" s="608">
        <f t="shared" si="120"/>
        <v>0</v>
      </c>
      <c r="CH27" s="607">
        <f t="shared" si="121"/>
        <v>0</v>
      </c>
      <c r="CI27" s="608">
        <f t="shared" si="122"/>
        <v>0</v>
      </c>
      <c r="CJ27" s="607">
        <f t="shared" si="123"/>
        <v>5968.4529262086517</v>
      </c>
      <c r="CK27" s="608">
        <f t="shared" si="124"/>
        <v>6174.8983739837395</v>
      </c>
      <c r="CL27" s="609">
        <f t="shared" si="125"/>
        <v>0</v>
      </c>
      <c r="CM27" s="608">
        <f t="shared" si="126"/>
        <v>0</v>
      </c>
      <c r="CN27" s="610">
        <f t="shared" si="127"/>
        <v>0</v>
      </c>
      <c r="CO27" s="606">
        <f t="shared" si="128"/>
        <v>0</v>
      </c>
      <c r="CP27" s="607">
        <f t="shared" si="129"/>
        <v>0</v>
      </c>
      <c r="CQ27" s="606">
        <f t="shared" si="130"/>
        <v>0</v>
      </c>
      <c r="CR27" s="607">
        <f t="shared" si="131"/>
        <v>0</v>
      </c>
      <c r="CS27" s="606">
        <f t="shared" si="132"/>
        <v>0</v>
      </c>
      <c r="CT27" s="607">
        <f t="shared" si="133"/>
        <v>0</v>
      </c>
      <c r="CU27" s="608">
        <f t="shared" si="134"/>
        <v>0</v>
      </c>
      <c r="CV27" s="610">
        <f t="shared" si="135"/>
        <v>53716.076335877864</v>
      </c>
      <c r="CW27" s="608">
        <f t="shared" si="136"/>
        <v>55574.085365853658</v>
      </c>
      <c r="CX27" s="610">
        <f t="shared" si="137"/>
        <v>53716.076335877864</v>
      </c>
      <c r="CY27" s="611">
        <f t="shared" si="138"/>
        <v>55574.085365853658</v>
      </c>
      <c r="CZ27" s="605">
        <f t="shared" si="139"/>
        <v>0</v>
      </c>
      <c r="DA27" s="612">
        <f t="shared" si="140"/>
        <v>0</v>
      </c>
      <c r="DB27" s="607">
        <f t="shared" si="141"/>
        <v>0</v>
      </c>
      <c r="DC27" s="606">
        <f t="shared" si="142"/>
        <v>0</v>
      </c>
      <c r="DD27" s="607">
        <f t="shared" si="143"/>
        <v>0</v>
      </c>
      <c r="DE27" s="606">
        <f t="shared" si="144"/>
        <v>0</v>
      </c>
      <c r="DF27" s="607">
        <f t="shared" si="145"/>
        <v>0</v>
      </c>
      <c r="DG27" s="606">
        <f t="shared" si="146"/>
        <v>0</v>
      </c>
      <c r="DH27" s="607">
        <f t="shared" si="147"/>
        <v>0</v>
      </c>
      <c r="DI27" s="608">
        <f t="shared" si="148"/>
        <v>0</v>
      </c>
      <c r="DJ27" s="607">
        <f t="shared" si="149"/>
        <v>86</v>
      </c>
      <c r="DK27" s="608">
        <f t="shared" si="150"/>
        <v>82</v>
      </c>
      <c r="DL27" s="607">
        <f t="shared" si="151"/>
        <v>86</v>
      </c>
      <c r="DM27" s="608">
        <f t="shared" si="152"/>
        <v>82</v>
      </c>
      <c r="DN27" s="607">
        <f t="shared" si="153"/>
        <v>0</v>
      </c>
      <c r="DO27" s="612">
        <f t="shared" si="154"/>
        <v>0</v>
      </c>
      <c r="DP27" s="607">
        <f t="shared" si="155"/>
        <v>0</v>
      </c>
      <c r="DQ27" s="606">
        <f t="shared" si="156"/>
        <v>0</v>
      </c>
      <c r="DR27" s="607">
        <f t="shared" si="157"/>
        <v>0</v>
      </c>
      <c r="DS27" s="606">
        <f t="shared" si="158"/>
        <v>0</v>
      </c>
      <c r="DT27" s="607">
        <f t="shared" si="159"/>
        <v>0</v>
      </c>
      <c r="DU27" s="606">
        <f t="shared" si="160"/>
        <v>0</v>
      </c>
      <c r="DV27" s="607">
        <f t="shared" si="161"/>
        <v>0</v>
      </c>
      <c r="DW27" s="608">
        <f t="shared" si="162"/>
        <v>0</v>
      </c>
      <c r="DX27" s="607">
        <f t="shared" si="163"/>
        <v>4619582.5648854962</v>
      </c>
      <c r="DY27" s="608">
        <f t="shared" si="164"/>
        <v>4557075</v>
      </c>
      <c r="DZ27" s="607">
        <f t="shared" si="165"/>
        <v>4619582.5648854962</v>
      </c>
      <c r="EA27" s="608">
        <f t="shared" si="166"/>
        <v>4557075</v>
      </c>
    </row>
    <row r="28" spans="1:131" x14ac:dyDescent="0.2">
      <c r="A28" s="481" t="s">
        <v>31</v>
      </c>
      <c r="B28" s="440" t="s">
        <v>802</v>
      </c>
      <c r="C28" s="531" t="s">
        <v>388</v>
      </c>
      <c r="D28" s="407">
        <v>100760</v>
      </c>
      <c r="E28" s="447">
        <v>9</v>
      </c>
      <c r="F28" s="598"/>
      <c r="G28" s="599"/>
      <c r="H28" s="600"/>
      <c r="I28" s="601"/>
      <c r="J28" s="600"/>
      <c r="K28" s="599"/>
      <c r="L28" s="600"/>
      <c r="M28" s="601"/>
      <c r="N28" s="600"/>
      <c r="O28" s="599"/>
      <c r="P28" s="600"/>
      <c r="Q28" s="601"/>
      <c r="R28" s="600"/>
      <c r="S28" s="599"/>
      <c r="T28" s="600"/>
      <c r="U28" s="601"/>
      <c r="V28" s="600"/>
      <c r="W28" s="599"/>
      <c r="X28" s="600"/>
      <c r="Y28" s="601"/>
      <c r="Z28" s="600"/>
      <c r="AA28" s="599"/>
      <c r="AB28" s="600"/>
      <c r="AC28" s="601"/>
      <c r="AD28" s="600"/>
      <c r="AE28" s="599"/>
      <c r="AF28" s="600"/>
      <c r="AG28" s="601"/>
      <c r="AH28" s="600"/>
      <c r="AI28" s="599"/>
      <c r="AJ28" s="600"/>
      <c r="AK28" s="601"/>
      <c r="AL28" s="600"/>
      <c r="AM28" s="599"/>
      <c r="AN28" s="600"/>
      <c r="AO28" s="601"/>
      <c r="AP28" s="600"/>
      <c r="AQ28" s="599"/>
      <c r="AR28" s="600"/>
      <c r="AS28" s="601"/>
      <c r="AT28" s="600">
        <v>55</v>
      </c>
      <c r="AU28" s="599">
        <v>57</v>
      </c>
      <c r="AV28" s="600"/>
      <c r="AW28" s="601"/>
      <c r="AX28" s="600">
        <v>7</v>
      </c>
      <c r="AY28" s="599"/>
      <c r="AZ28" s="600"/>
      <c r="BA28" s="601">
        <v>0</v>
      </c>
      <c r="BB28" s="602">
        <v>0</v>
      </c>
      <c r="BC28" s="599"/>
      <c r="BD28" s="600">
        <v>0</v>
      </c>
      <c r="BE28" s="599"/>
      <c r="BF28" s="600">
        <v>0</v>
      </c>
      <c r="BG28" s="599"/>
      <c r="BH28" s="600">
        <v>0</v>
      </c>
      <c r="BI28" s="599"/>
      <c r="BJ28" s="600">
        <v>0</v>
      </c>
      <c r="BK28" s="615"/>
      <c r="BL28" s="600">
        <v>3315117</v>
      </c>
      <c r="BM28" s="604">
        <v>3003714</v>
      </c>
      <c r="BN28" s="605">
        <f t="shared" si="101"/>
        <v>0</v>
      </c>
      <c r="BO28" s="606">
        <f t="shared" si="102"/>
        <v>0</v>
      </c>
      <c r="BP28" s="607">
        <f t="shared" si="103"/>
        <v>0</v>
      </c>
      <c r="BQ28" s="606">
        <f t="shared" si="104"/>
        <v>0</v>
      </c>
      <c r="BR28" s="607">
        <f t="shared" si="105"/>
        <v>0</v>
      </c>
      <c r="BS28" s="606">
        <f t="shared" si="106"/>
        <v>0</v>
      </c>
      <c r="BT28" s="607">
        <f t="shared" si="107"/>
        <v>0</v>
      </c>
      <c r="BU28" s="606">
        <f t="shared" si="108"/>
        <v>0</v>
      </c>
      <c r="BV28" s="607">
        <f t="shared" si="109"/>
        <v>0</v>
      </c>
      <c r="BW28" s="608">
        <f t="shared" si="110"/>
        <v>0</v>
      </c>
      <c r="BX28" s="607">
        <f t="shared" si="111"/>
        <v>572</v>
      </c>
      <c r="BY28" s="608">
        <f t="shared" si="112"/>
        <v>513</v>
      </c>
      <c r="BZ28" s="607">
        <f t="shared" si="113"/>
        <v>0</v>
      </c>
      <c r="CA28" s="608">
        <f t="shared" si="114"/>
        <v>0</v>
      </c>
      <c r="CB28" s="607">
        <f t="shared" si="115"/>
        <v>0</v>
      </c>
      <c r="CC28" s="608">
        <f t="shared" si="116"/>
        <v>0</v>
      </c>
      <c r="CD28" s="607">
        <f t="shared" si="117"/>
        <v>0</v>
      </c>
      <c r="CE28" s="608">
        <f t="shared" si="118"/>
        <v>0</v>
      </c>
      <c r="CF28" s="607">
        <f t="shared" si="119"/>
        <v>0</v>
      </c>
      <c r="CG28" s="608">
        <f t="shared" si="120"/>
        <v>0</v>
      </c>
      <c r="CH28" s="607">
        <f t="shared" si="121"/>
        <v>0</v>
      </c>
      <c r="CI28" s="608">
        <f t="shared" si="122"/>
        <v>0</v>
      </c>
      <c r="CJ28" s="607">
        <f t="shared" si="123"/>
        <v>5795.659090909091</v>
      </c>
      <c r="CK28" s="608">
        <f t="shared" si="124"/>
        <v>5855.1929824561403</v>
      </c>
      <c r="CL28" s="609">
        <f t="shared" si="125"/>
        <v>0</v>
      </c>
      <c r="CM28" s="608">
        <f t="shared" si="126"/>
        <v>0</v>
      </c>
      <c r="CN28" s="610">
        <f t="shared" si="127"/>
        <v>0</v>
      </c>
      <c r="CO28" s="606">
        <f t="shared" si="128"/>
        <v>0</v>
      </c>
      <c r="CP28" s="607">
        <f t="shared" si="129"/>
        <v>0</v>
      </c>
      <c r="CQ28" s="606">
        <f t="shared" si="130"/>
        <v>0</v>
      </c>
      <c r="CR28" s="607">
        <f t="shared" si="131"/>
        <v>0</v>
      </c>
      <c r="CS28" s="606">
        <f t="shared" si="132"/>
        <v>0</v>
      </c>
      <c r="CT28" s="607">
        <f t="shared" si="133"/>
        <v>0</v>
      </c>
      <c r="CU28" s="608">
        <f t="shared" si="134"/>
        <v>0</v>
      </c>
      <c r="CV28" s="610">
        <f t="shared" si="135"/>
        <v>52160.931818181816</v>
      </c>
      <c r="CW28" s="608">
        <f t="shared" si="136"/>
        <v>52696.73684210526</v>
      </c>
      <c r="CX28" s="610">
        <f t="shared" si="137"/>
        <v>52160.931818181816</v>
      </c>
      <c r="CY28" s="611">
        <f t="shared" si="138"/>
        <v>52696.73684210526</v>
      </c>
      <c r="CZ28" s="605">
        <f t="shared" si="139"/>
        <v>0</v>
      </c>
      <c r="DA28" s="612">
        <f t="shared" si="140"/>
        <v>0</v>
      </c>
      <c r="DB28" s="607">
        <f t="shared" si="141"/>
        <v>0</v>
      </c>
      <c r="DC28" s="606">
        <f t="shared" si="142"/>
        <v>0</v>
      </c>
      <c r="DD28" s="607">
        <f t="shared" si="143"/>
        <v>0</v>
      </c>
      <c r="DE28" s="606">
        <f t="shared" si="144"/>
        <v>0</v>
      </c>
      <c r="DF28" s="607">
        <f t="shared" si="145"/>
        <v>0</v>
      </c>
      <c r="DG28" s="606">
        <f t="shared" si="146"/>
        <v>0</v>
      </c>
      <c r="DH28" s="607">
        <f t="shared" si="147"/>
        <v>0</v>
      </c>
      <c r="DI28" s="608">
        <f t="shared" si="148"/>
        <v>0</v>
      </c>
      <c r="DJ28" s="607">
        <f t="shared" si="149"/>
        <v>62</v>
      </c>
      <c r="DK28" s="608">
        <f t="shared" si="150"/>
        <v>57</v>
      </c>
      <c r="DL28" s="607">
        <f t="shared" si="151"/>
        <v>62</v>
      </c>
      <c r="DM28" s="608">
        <f t="shared" si="152"/>
        <v>57</v>
      </c>
      <c r="DN28" s="607">
        <f t="shared" si="153"/>
        <v>0</v>
      </c>
      <c r="DO28" s="612">
        <f t="shared" si="154"/>
        <v>0</v>
      </c>
      <c r="DP28" s="607">
        <f t="shared" si="155"/>
        <v>0</v>
      </c>
      <c r="DQ28" s="606">
        <f t="shared" si="156"/>
        <v>0</v>
      </c>
      <c r="DR28" s="607">
        <f t="shared" si="157"/>
        <v>0</v>
      </c>
      <c r="DS28" s="606">
        <f t="shared" si="158"/>
        <v>0</v>
      </c>
      <c r="DT28" s="607">
        <f t="shared" si="159"/>
        <v>0</v>
      </c>
      <c r="DU28" s="606">
        <f t="shared" si="160"/>
        <v>0</v>
      </c>
      <c r="DV28" s="607">
        <f t="shared" si="161"/>
        <v>0</v>
      </c>
      <c r="DW28" s="608">
        <f t="shared" si="162"/>
        <v>0</v>
      </c>
      <c r="DX28" s="607">
        <f t="shared" si="163"/>
        <v>3233977.7727272725</v>
      </c>
      <c r="DY28" s="608">
        <f t="shared" si="164"/>
        <v>3003714</v>
      </c>
      <c r="DZ28" s="607">
        <f t="shared" si="165"/>
        <v>3233977.7727272725</v>
      </c>
      <c r="EA28" s="608">
        <f t="shared" si="166"/>
        <v>3003714</v>
      </c>
    </row>
    <row r="29" spans="1:131" x14ac:dyDescent="0.2">
      <c r="A29" s="481" t="s">
        <v>31</v>
      </c>
      <c r="B29" s="440" t="s">
        <v>805</v>
      </c>
      <c r="C29" s="529"/>
      <c r="D29" s="407">
        <v>101143</v>
      </c>
      <c r="E29" s="447">
        <v>9</v>
      </c>
      <c r="F29" s="598"/>
      <c r="G29" s="599"/>
      <c r="H29" s="600"/>
      <c r="I29" s="601"/>
      <c r="J29" s="600"/>
      <c r="K29" s="599"/>
      <c r="L29" s="600"/>
      <c r="M29" s="601"/>
      <c r="N29" s="600"/>
      <c r="O29" s="599"/>
      <c r="P29" s="600"/>
      <c r="Q29" s="601"/>
      <c r="R29" s="600"/>
      <c r="S29" s="599"/>
      <c r="T29" s="600"/>
      <c r="U29" s="601"/>
      <c r="V29" s="600"/>
      <c r="W29" s="599"/>
      <c r="X29" s="600"/>
      <c r="Y29" s="601"/>
      <c r="Z29" s="600"/>
      <c r="AA29" s="599"/>
      <c r="AB29" s="600"/>
      <c r="AC29" s="601"/>
      <c r="AD29" s="600"/>
      <c r="AE29" s="599"/>
      <c r="AF29" s="600"/>
      <c r="AG29" s="601"/>
      <c r="AH29" s="600"/>
      <c r="AI29" s="599"/>
      <c r="AJ29" s="600"/>
      <c r="AK29" s="601"/>
      <c r="AL29" s="600"/>
      <c r="AM29" s="599"/>
      <c r="AN29" s="600"/>
      <c r="AO29" s="601"/>
      <c r="AP29" s="600"/>
      <c r="AQ29" s="599"/>
      <c r="AR29" s="600"/>
      <c r="AS29" s="601"/>
      <c r="AT29" s="600">
        <v>65</v>
      </c>
      <c r="AU29" s="599">
        <v>69</v>
      </c>
      <c r="AV29" s="600"/>
      <c r="AW29" s="601"/>
      <c r="AX29" s="600">
        <v>2</v>
      </c>
      <c r="AY29" s="599"/>
      <c r="AZ29" s="600"/>
      <c r="BA29" s="601">
        <v>2</v>
      </c>
      <c r="BB29" s="602">
        <v>0</v>
      </c>
      <c r="BC29" s="599"/>
      <c r="BD29" s="600">
        <v>0</v>
      </c>
      <c r="BE29" s="599"/>
      <c r="BF29" s="600">
        <v>0</v>
      </c>
      <c r="BG29" s="599"/>
      <c r="BH29" s="600">
        <v>0</v>
      </c>
      <c r="BI29" s="599"/>
      <c r="BJ29" s="600">
        <v>0</v>
      </c>
      <c r="BK29" s="615"/>
      <c r="BL29" s="600">
        <v>3462622</v>
      </c>
      <c r="BM29" s="604">
        <v>3924862</v>
      </c>
      <c r="BN29" s="605">
        <f t="shared" si="101"/>
        <v>0</v>
      </c>
      <c r="BO29" s="606">
        <f t="shared" si="102"/>
        <v>0</v>
      </c>
      <c r="BP29" s="607">
        <f t="shared" si="103"/>
        <v>0</v>
      </c>
      <c r="BQ29" s="606">
        <f t="shared" si="104"/>
        <v>0</v>
      </c>
      <c r="BR29" s="607">
        <f t="shared" si="105"/>
        <v>0</v>
      </c>
      <c r="BS29" s="606">
        <f t="shared" si="106"/>
        <v>0</v>
      </c>
      <c r="BT29" s="607">
        <f t="shared" si="107"/>
        <v>0</v>
      </c>
      <c r="BU29" s="606">
        <f t="shared" si="108"/>
        <v>0</v>
      </c>
      <c r="BV29" s="607">
        <f t="shared" si="109"/>
        <v>0</v>
      </c>
      <c r="BW29" s="608">
        <f t="shared" si="110"/>
        <v>0</v>
      </c>
      <c r="BX29" s="607">
        <f t="shared" si="111"/>
        <v>607</v>
      </c>
      <c r="BY29" s="608">
        <f t="shared" si="112"/>
        <v>645</v>
      </c>
      <c r="BZ29" s="607">
        <f t="shared" si="113"/>
        <v>0</v>
      </c>
      <c r="CA29" s="608">
        <f t="shared" si="114"/>
        <v>0</v>
      </c>
      <c r="CB29" s="607">
        <f t="shared" si="115"/>
        <v>0</v>
      </c>
      <c r="CC29" s="608">
        <f t="shared" si="116"/>
        <v>0</v>
      </c>
      <c r="CD29" s="607">
        <f t="shared" si="117"/>
        <v>0</v>
      </c>
      <c r="CE29" s="608">
        <f t="shared" si="118"/>
        <v>0</v>
      </c>
      <c r="CF29" s="607">
        <f t="shared" si="119"/>
        <v>0</v>
      </c>
      <c r="CG29" s="608">
        <f t="shared" si="120"/>
        <v>0</v>
      </c>
      <c r="CH29" s="607">
        <f t="shared" si="121"/>
        <v>0</v>
      </c>
      <c r="CI29" s="608">
        <f t="shared" si="122"/>
        <v>0</v>
      </c>
      <c r="CJ29" s="607">
        <f t="shared" si="123"/>
        <v>5704.4843492586488</v>
      </c>
      <c r="CK29" s="608">
        <f t="shared" si="124"/>
        <v>6085.0573643410853</v>
      </c>
      <c r="CL29" s="609">
        <f t="shared" si="125"/>
        <v>0</v>
      </c>
      <c r="CM29" s="608">
        <f t="shared" si="126"/>
        <v>0</v>
      </c>
      <c r="CN29" s="610">
        <f t="shared" si="127"/>
        <v>0</v>
      </c>
      <c r="CO29" s="606">
        <f t="shared" si="128"/>
        <v>0</v>
      </c>
      <c r="CP29" s="607">
        <f t="shared" si="129"/>
        <v>0</v>
      </c>
      <c r="CQ29" s="606">
        <f t="shared" si="130"/>
        <v>0</v>
      </c>
      <c r="CR29" s="607">
        <f t="shared" si="131"/>
        <v>0</v>
      </c>
      <c r="CS29" s="606">
        <f t="shared" si="132"/>
        <v>0</v>
      </c>
      <c r="CT29" s="607">
        <f t="shared" si="133"/>
        <v>0</v>
      </c>
      <c r="CU29" s="608">
        <f t="shared" si="134"/>
        <v>0</v>
      </c>
      <c r="CV29" s="610">
        <f t="shared" si="135"/>
        <v>51340.359143327842</v>
      </c>
      <c r="CW29" s="608">
        <f t="shared" si="136"/>
        <v>54765.516279069765</v>
      </c>
      <c r="CX29" s="610">
        <f t="shared" si="137"/>
        <v>51340.359143327842</v>
      </c>
      <c r="CY29" s="611">
        <f t="shared" si="138"/>
        <v>54765.516279069765</v>
      </c>
      <c r="CZ29" s="605">
        <f t="shared" si="139"/>
        <v>0</v>
      </c>
      <c r="DA29" s="612">
        <f t="shared" si="140"/>
        <v>0</v>
      </c>
      <c r="DB29" s="607">
        <f t="shared" si="141"/>
        <v>0</v>
      </c>
      <c r="DC29" s="606">
        <f t="shared" si="142"/>
        <v>0</v>
      </c>
      <c r="DD29" s="607">
        <f t="shared" si="143"/>
        <v>0</v>
      </c>
      <c r="DE29" s="606">
        <f t="shared" si="144"/>
        <v>0</v>
      </c>
      <c r="DF29" s="607">
        <f t="shared" si="145"/>
        <v>0</v>
      </c>
      <c r="DG29" s="606">
        <f t="shared" si="146"/>
        <v>0</v>
      </c>
      <c r="DH29" s="607">
        <f t="shared" si="147"/>
        <v>0</v>
      </c>
      <c r="DI29" s="608">
        <f t="shared" si="148"/>
        <v>0</v>
      </c>
      <c r="DJ29" s="607">
        <f t="shared" si="149"/>
        <v>67</v>
      </c>
      <c r="DK29" s="608">
        <f t="shared" si="150"/>
        <v>71</v>
      </c>
      <c r="DL29" s="607">
        <f t="shared" si="151"/>
        <v>67</v>
      </c>
      <c r="DM29" s="608">
        <f t="shared" si="152"/>
        <v>71</v>
      </c>
      <c r="DN29" s="607">
        <f t="shared" si="153"/>
        <v>0</v>
      </c>
      <c r="DO29" s="612">
        <f t="shared" si="154"/>
        <v>0</v>
      </c>
      <c r="DP29" s="607">
        <f t="shared" si="155"/>
        <v>0</v>
      </c>
      <c r="DQ29" s="606">
        <f t="shared" si="156"/>
        <v>0</v>
      </c>
      <c r="DR29" s="607">
        <f t="shared" si="157"/>
        <v>0</v>
      </c>
      <c r="DS29" s="606">
        <f t="shared" si="158"/>
        <v>0</v>
      </c>
      <c r="DT29" s="607">
        <f t="shared" si="159"/>
        <v>0</v>
      </c>
      <c r="DU29" s="606">
        <f t="shared" si="160"/>
        <v>0</v>
      </c>
      <c r="DV29" s="607">
        <f t="shared" si="161"/>
        <v>0</v>
      </c>
      <c r="DW29" s="608">
        <f t="shared" si="162"/>
        <v>0</v>
      </c>
      <c r="DX29" s="607">
        <f t="shared" si="163"/>
        <v>3439804.0626029652</v>
      </c>
      <c r="DY29" s="608">
        <f t="shared" si="164"/>
        <v>3888351.6558139534</v>
      </c>
      <c r="DZ29" s="607">
        <f t="shared" si="165"/>
        <v>3439804.0626029652</v>
      </c>
      <c r="EA29" s="608">
        <f t="shared" si="166"/>
        <v>3888351.6558139534</v>
      </c>
    </row>
    <row r="30" spans="1:131" x14ac:dyDescent="0.2">
      <c r="A30" s="481" t="s">
        <v>31</v>
      </c>
      <c r="B30" s="440" t="s">
        <v>820</v>
      </c>
      <c r="C30" s="530"/>
      <c r="D30" s="407">
        <v>101286</v>
      </c>
      <c r="E30" s="407">
        <v>9</v>
      </c>
      <c r="F30" s="598"/>
      <c r="G30" s="599"/>
      <c r="H30" s="600"/>
      <c r="I30" s="601"/>
      <c r="J30" s="600"/>
      <c r="K30" s="599"/>
      <c r="L30" s="600"/>
      <c r="M30" s="601"/>
      <c r="N30" s="600"/>
      <c r="O30" s="599"/>
      <c r="P30" s="600"/>
      <c r="Q30" s="601"/>
      <c r="R30" s="600"/>
      <c r="S30" s="599"/>
      <c r="T30" s="600"/>
      <c r="U30" s="601"/>
      <c r="V30" s="600"/>
      <c r="W30" s="599"/>
      <c r="X30" s="600"/>
      <c r="Y30" s="601"/>
      <c r="Z30" s="600"/>
      <c r="AA30" s="599"/>
      <c r="AB30" s="600"/>
      <c r="AC30" s="601"/>
      <c r="AD30" s="600"/>
      <c r="AE30" s="599"/>
      <c r="AF30" s="600"/>
      <c r="AG30" s="601"/>
      <c r="AH30" s="600"/>
      <c r="AI30" s="599"/>
      <c r="AJ30" s="600"/>
      <c r="AK30" s="601"/>
      <c r="AL30" s="600"/>
      <c r="AM30" s="599"/>
      <c r="AN30" s="600"/>
      <c r="AO30" s="601"/>
      <c r="AP30" s="600"/>
      <c r="AQ30" s="599"/>
      <c r="AR30" s="600"/>
      <c r="AS30" s="601"/>
      <c r="AT30" s="600">
        <v>126</v>
      </c>
      <c r="AU30" s="599">
        <v>128</v>
      </c>
      <c r="AV30" s="600"/>
      <c r="AW30" s="601"/>
      <c r="AX30" s="600">
        <v>2</v>
      </c>
      <c r="AY30" s="599"/>
      <c r="AZ30" s="600"/>
      <c r="BA30" s="601">
        <v>1</v>
      </c>
      <c r="BB30" s="602">
        <v>0</v>
      </c>
      <c r="BC30" s="599"/>
      <c r="BD30" s="600">
        <v>0</v>
      </c>
      <c r="BE30" s="599"/>
      <c r="BF30" s="600">
        <v>0</v>
      </c>
      <c r="BG30" s="599"/>
      <c r="BH30" s="600">
        <v>0</v>
      </c>
      <c r="BI30" s="599"/>
      <c r="BJ30" s="600">
        <v>0</v>
      </c>
      <c r="BK30" s="615"/>
      <c r="BL30" s="600">
        <v>6495590</v>
      </c>
      <c r="BM30" s="604">
        <v>6512615</v>
      </c>
      <c r="BN30" s="605">
        <f t="shared" si="101"/>
        <v>0</v>
      </c>
      <c r="BO30" s="606">
        <f t="shared" si="102"/>
        <v>0</v>
      </c>
      <c r="BP30" s="607">
        <f t="shared" si="103"/>
        <v>0</v>
      </c>
      <c r="BQ30" s="606">
        <f t="shared" si="104"/>
        <v>0</v>
      </c>
      <c r="BR30" s="607">
        <f t="shared" si="105"/>
        <v>0</v>
      </c>
      <c r="BS30" s="606">
        <f t="shared" si="106"/>
        <v>0</v>
      </c>
      <c r="BT30" s="607">
        <f t="shared" si="107"/>
        <v>0</v>
      </c>
      <c r="BU30" s="606">
        <f t="shared" si="108"/>
        <v>0</v>
      </c>
      <c r="BV30" s="607">
        <f t="shared" si="109"/>
        <v>0</v>
      </c>
      <c r="BW30" s="608">
        <f t="shared" si="110"/>
        <v>0</v>
      </c>
      <c r="BX30" s="607">
        <f t="shared" si="111"/>
        <v>1156</v>
      </c>
      <c r="BY30" s="608">
        <f t="shared" si="112"/>
        <v>1164</v>
      </c>
      <c r="BZ30" s="607">
        <f t="shared" si="113"/>
        <v>0</v>
      </c>
      <c r="CA30" s="608">
        <f t="shared" si="114"/>
        <v>0</v>
      </c>
      <c r="CB30" s="607">
        <f t="shared" si="115"/>
        <v>0</v>
      </c>
      <c r="CC30" s="608">
        <f t="shared" si="116"/>
        <v>0</v>
      </c>
      <c r="CD30" s="607">
        <f t="shared" si="117"/>
        <v>0</v>
      </c>
      <c r="CE30" s="608">
        <f t="shared" si="118"/>
        <v>0</v>
      </c>
      <c r="CF30" s="607">
        <f t="shared" si="119"/>
        <v>0</v>
      </c>
      <c r="CG30" s="608">
        <f t="shared" si="120"/>
        <v>0</v>
      </c>
      <c r="CH30" s="607">
        <f t="shared" si="121"/>
        <v>0</v>
      </c>
      <c r="CI30" s="608">
        <f t="shared" si="122"/>
        <v>0</v>
      </c>
      <c r="CJ30" s="607">
        <f t="shared" si="123"/>
        <v>5619.0224913494812</v>
      </c>
      <c r="CK30" s="608">
        <f t="shared" si="124"/>
        <v>5595.0300687285226</v>
      </c>
      <c r="CL30" s="609">
        <f t="shared" si="125"/>
        <v>0</v>
      </c>
      <c r="CM30" s="608">
        <f t="shared" si="126"/>
        <v>0</v>
      </c>
      <c r="CN30" s="610">
        <f t="shared" si="127"/>
        <v>0</v>
      </c>
      <c r="CO30" s="606">
        <f t="shared" si="128"/>
        <v>0</v>
      </c>
      <c r="CP30" s="607">
        <f t="shared" si="129"/>
        <v>0</v>
      </c>
      <c r="CQ30" s="606">
        <f t="shared" si="130"/>
        <v>0</v>
      </c>
      <c r="CR30" s="607">
        <f t="shared" si="131"/>
        <v>0</v>
      </c>
      <c r="CS30" s="606">
        <f t="shared" si="132"/>
        <v>0</v>
      </c>
      <c r="CT30" s="607">
        <f t="shared" si="133"/>
        <v>0</v>
      </c>
      <c r="CU30" s="608">
        <f t="shared" si="134"/>
        <v>0</v>
      </c>
      <c r="CV30" s="610">
        <f t="shared" si="135"/>
        <v>50571.202422145332</v>
      </c>
      <c r="CW30" s="608">
        <f t="shared" si="136"/>
        <v>50355.2706185567</v>
      </c>
      <c r="CX30" s="610">
        <f t="shared" si="137"/>
        <v>50571.202422145332</v>
      </c>
      <c r="CY30" s="611">
        <f t="shared" si="138"/>
        <v>50355.2706185567</v>
      </c>
      <c r="CZ30" s="605">
        <f t="shared" si="139"/>
        <v>0</v>
      </c>
      <c r="DA30" s="612">
        <f t="shared" si="140"/>
        <v>0</v>
      </c>
      <c r="DB30" s="607">
        <f t="shared" si="141"/>
        <v>0</v>
      </c>
      <c r="DC30" s="606">
        <f t="shared" si="142"/>
        <v>0</v>
      </c>
      <c r="DD30" s="607">
        <f t="shared" si="143"/>
        <v>0</v>
      </c>
      <c r="DE30" s="606">
        <f t="shared" si="144"/>
        <v>0</v>
      </c>
      <c r="DF30" s="607">
        <f t="shared" si="145"/>
        <v>0</v>
      </c>
      <c r="DG30" s="606">
        <f t="shared" si="146"/>
        <v>0</v>
      </c>
      <c r="DH30" s="607">
        <f t="shared" si="147"/>
        <v>0</v>
      </c>
      <c r="DI30" s="608">
        <f t="shared" si="148"/>
        <v>0</v>
      </c>
      <c r="DJ30" s="607">
        <f t="shared" si="149"/>
        <v>128</v>
      </c>
      <c r="DK30" s="608">
        <f t="shared" si="150"/>
        <v>129</v>
      </c>
      <c r="DL30" s="607">
        <f t="shared" si="151"/>
        <v>128</v>
      </c>
      <c r="DM30" s="608">
        <f t="shared" si="152"/>
        <v>129</v>
      </c>
      <c r="DN30" s="607">
        <f t="shared" si="153"/>
        <v>0</v>
      </c>
      <c r="DO30" s="612">
        <f t="shared" si="154"/>
        <v>0</v>
      </c>
      <c r="DP30" s="607">
        <f t="shared" si="155"/>
        <v>0</v>
      </c>
      <c r="DQ30" s="606">
        <f t="shared" si="156"/>
        <v>0</v>
      </c>
      <c r="DR30" s="607">
        <f t="shared" si="157"/>
        <v>0</v>
      </c>
      <c r="DS30" s="606">
        <f t="shared" si="158"/>
        <v>0</v>
      </c>
      <c r="DT30" s="607">
        <f t="shared" si="159"/>
        <v>0</v>
      </c>
      <c r="DU30" s="606">
        <f t="shared" si="160"/>
        <v>0</v>
      </c>
      <c r="DV30" s="607">
        <f t="shared" si="161"/>
        <v>0</v>
      </c>
      <c r="DW30" s="608">
        <f t="shared" si="162"/>
        <v>0</v>
      </c>
      <c r="DX30" s="607">
        <f t="shared" si="163"/>
        <v>6473113.9100346025</v>
      </c>
      <c r="DY30" s="608">
        <f t="shared" si="164"/>
        <v>6495829.9097938146</v>
      </c>
      <c r="DZ30" s="607">
        <f t="shared" si="165"/>
        <v>6473113.9100346025</v>
      </c>
      <c r="EA30" s="608">
        <f t="shared" si="166"/>
        <v>6495829.9097938146</v>
      </c>
    </row>
    <row r="31" spans="1:131" x14ac:dyDescent="0.2">
      <c r="A31" s="481" t="s">
        <v>31</v>
      </c>
      <c r="B31" s="440" t="s">
        <v>806</v>
      </c>
      <c r="C31" s="530"/>
      <c r="D31" s="407">
        <v>101161</v>
      </c>
      <c r="E31" s="407">
        <v>9</v>
      </c>
      <c r="F31" s="598"/>
      <c r="G31" s="599"/>
      <c r="H31" s="600"/>
      <c r="I31" s="601"/>
      <c r="J31" s="600"/>
      <c r="K31" s="599"/>
      <c r="L31" s="600"/>
      <c r="M31" s="601"/>
      <c r="N31" s="600"/>
      <c r="O31" s="599"/>
      <c r="P31" s="600"/>
      <c r="Q31" s="601"/>
      <c r="R31" s="600"/>
      <c r="S31" s="599"/>
      <c r="T31" s="600"/>
      <c r="U31" s="601"/>
      <c r="V31" s="600"/>
      <c r="W31" s="599"/>
      <c r="X31" s="600"/>
      <c r="Y31" s="601"/>
      <c r="Z31" s="600"/>
      <c r="AA31" s="599"/>
      <c r="AB31" s="600"/>
      <c r="AC31" s="601"/>
      <c r="AD31" s="600"/>
      <c r="AE31" s="599"/>
      <c r="AF31" s="600"/>
      <c r="AG31" s="601"/>
      <c r="AH31" s="600"/>
      <c r="AI31" s="599"/>
      <c r="AJ31" s="600"/>
      <c r="AK31" s="601"/>
      <c r="AL31" s="600"/>
      <c r="AM31" s="599"/>
      <c r="AN31" s="600"/>
      <c r="AO31" s="601"/>
      <c r="AP31" s="600"/>
      <c r="AQ31" s="599"/>
      <c r="AR31" s="600"/>
      <c r="AS31" s="601"/>
      <c r="AT31" s="600">
        <v>62</v>
      </c>
      <c r="AU31" s="599">
        <v>63</v>
      </c>
      <c r="AV31" s="600"/>
      <c r="AW31" s="601"/>
      <c r="AX31" s="600">
        <v>12</v>
      </c>
      <c r="AY31" s="599"/>
      <c r="AZ31" s="600"/>
      <c r="BA31" s="601">
        <v>15</v>
      </c>
      <c r="BB31" s="602">
        <v>0</v>
      </c>
      <c r="BC31" s="599"/>
      <c r="BD31" s="600">
        <v>0</v>
      </c>
      <c r="BE31" s="599"/>
      <c r="BF31" s="600">
        <v>0</v>
      </c>
      <c r="BG31" s="599"/>
      <c r="BH31" s="600">
        <v>0</v>
      </c>
      <c r="BI31" s="599"/>
      <c r="BJ31" s="600">
        <v>0</v>
      </c>
      <c r="BK31" s="615"/>
      <c r="BL31" s="600">
        <v>4191771</v>
      </c>
      <c r="BM31" s="604">
        <v>4541958</v>
      </c>
      <c r="BN31" s="605">
        <f t="shared" si="101"/>
        <v>0</v>
      </c>
      <c r="BO31" s="606">
        <f t="shared" si="102"/>
        <v>0</v>
      </c>
      <c r="BP31" s="607">
        <f t="shared" si="103"/>
        <v>0</v>
      </c>
      <c r="BQ31" s="606">
        <f t="shared" si="104"/>
        <v>0</v>
      </c>
      <c r="BR31" s="607">
        <f t="shared" si="105"/>
        <v>0</v>
      </c>
      <c r="BS31" s="606">
        <f t="shared" si="106"/>
        <v>0</v>
      </c>
      <c r="BT31" s="607">
        <f t="shared" si="107"/>
        <v>0</v>
      </c>
      <c r="BU31" s="606">
        <f t="shared" si="108"/>
        <v>0</v>
      </c>
      <c r="BV31" s="607">
        <f t="shared" si="109"/>
        <v>0</v>
      </c>
      <c r="BW31" s="608">
        <f t="shared" si="110"/>
        <v>0</v>
      </c>
      <c r="BX31" s="607">
        <f t="shared" si="111"/>
        <v>690</v>
      </c>
      <c r="BY31" s="608">
        <f t="shared" si="112"/>
        <v>747</v>
      </c>
      <c r="BZ31" s="607">
        <f t="shared" si="113"/>
        <v>0</v>
      </c>
      <c r="CA31" s="608">
        <f t="shared" si="114"/>
        <v>0</v>
      </c>
      <c r="CB31" s="607">
        <f t="shared" si="115"/>
        <v>0</v>
      </c>
      <c r="CC31" s="608">
        <f t="shared" si="116"/>
        <v>0</v>
      </c>
      <c r="CD31" s="607">
        <f t="shared" si="117"/>
        <v>0</v>
      </c>
      <c r="CE31" s="608">
        <f t="shared" si="118"/>
        <v>0</v>
      </c>
      <c r="CF31" s="607">
        <f t="shared" si="119"/>
        <v>0</v>
      </c>
      <c r="CG31" s="608">
        <f t="shared" si="120"/>
        <v>0</v>
      </c>
      <c r="CH31" s="607">
        <f t="shared" si="121"/>
        <v>0</v>
      </c>
      <c r="CI31" s="608">
        <f t="shared" si="122"/>
        <v>0</v>
      </c>
      <c r="CJ31" s="607">
        <f t="shared" si="123"/>
        <v>6075.0304347826086</v>
      </c>
      <c r="CK31" s="608">
        <f t="shared" si="124"/>
        <v>6080.265060240964</v>
      </c>
      <c r="CL31" s="609">
        <f t="shared" si="125"/>
        <v>0</v>
      </c>
      <c r="CM31" s="608">
        <f t="shared" si="126"/>
        <v>0</v>
      </c>
      <c r="CN31" s="610">
        <f t="shared" si="127"/>
        <v>0</v>
      </c>
      <c r="CO31" s="606">
        <f t="shared" si="128"/>
        <v>0</v>
      </c>
      <c r="CP31" s="607">
        <f t="shared" si="129"/>
        <v>0</v>
      </c>
      <c r="CQ31" s="606">
        <f t="shared" si="130"/>
        <v>0</v>
      </c>
      <c r="CR31" s="607">
        <f t="shared" si="131"/>
        <v>0</v>
      </c>
      <c r="CS31" s="606">
        <f t="shared" si="132"/>
        <v>0</v>
      </c>
      <c r="CT31" s="607">
        <f t="shared" si="133"/>
        <v>0</v>
      </c>
      <c r="CU31" s="608">
        <f t="shared" si="134"/>
        <v>0</v>
      </c>
      <c r="CV31" s="610">
        <f t="shared" si="135"/>
        <v>54675.273913043478</v>
      </c>
      <c r="CW31" s="608">
        <f t="shared" si="136"/>
        <v>54722.385542168675</v>
      </c>
      <c r="CX31" s="610">
        <f t="shared" si="137"/>
        <v>54675.273913043478</v>
      </c>
      <c r="CY31" s="611">
        <f t="shared" si="138"/>
        <v>54722.385542168675</v>
      </c>
      <c r="CZ31" s="605">
        <f t="shared" si="139"/>
        <v>0</v>
      </c>
      <c r="DA31" s="612">
        <f t="shared" si="140"/>
        <v>0</v>
      </c>
      <c r="DB31" s="607">
        <f t="shared" si="141"/>
        <v>0</v>
      </c>
      <c r="DC31" s="606">
        <f t="shared" si="142"/>
        <v>0</v>
      </c>
      <c r="DD31" s="607">
        <f t="shared" si="143"/>
        <v>0</v>
      </c>
      <c r="DE31" s="606">
        <f t="shared" si="144"/>
        <v>0</v>
      </c>
      <c r="DF31" s="607">
        <f t="shared" si="145"/>
        <v>0</v>
      </c>
      <c r="DG31" s="606">
        <f t="shared" si="146"/>
        <v>0</v>
      </c>
      <c r="DH31" s="607">
        <f t="shared" si="147"/>
        <v>0</v>
      </c>
      <c r="DI31" s="608">
        <f t="shared" si="148"/>
        <v>0</v>
      </c>
      <c r="DJ31" s="607">
        <f t="shared" si="149"/>
        <v>74</v>
      </c>
      <c r="DK31" s="608">
        <f t="shared" si="150"/>
        <v>78</v>
      </c>
      <c r="DL31" s="607">
        <f t="shared" si="151"/>
        <v>74</v>
      </c>
      <c r="DM31" s="608">
        <f t="shared" si="152"/>
        <v>78</v>
      </c>
      <c r="DN31" s="607">
        <f t="shared" si="153"/>
        <v>0</v>
      </c>
      <c r="DO31" s="612">
        <f t="shared" si="154"/>
        <v>0</v>
      </c>
      <c r="DP31" s="607">
        <f t="shared" si="155"/>
        <v>0</v>
      </c>
      <c r="DQ31" s="606">
        <f t="shared" si="156"/>
        <v>0</v>
      </c>
      <c r="DR31" s="607">
        <f t="shared" si="157"/>
        <v>0</v>
      </c>
      <c r="DS31" s="606">
        <f t="shared" si="158"/>
        <v>0</v>
      </c>
      <c r="DT31" s="607">
        <f t="shared" si="159"/>
        <v>0</v>
      </c>
      <c r="DU31" s="606">
        <f t="shared" si="160"/>
        <v>0</v>
      </c>
      <c r="DV31" s="607">
        <f t="shared" si="161"/>
        <v>0</v>
      </c>
      <c r="DW31" s="608">
        <f t="shared" si="162"/>
        <v>0</v>
      </c>
      <c r="DX31" s="607">
        <f t="shared" si="163"/>
        <v>4045970.2695652172</v>
      </c>
      <c r="DY31" s="608">
        <f t="shared" si="164"/>
        <v>4268346.0722891567</v>
      </c>
      <c r="DZ31" s="607">
        <f t="shared" si="165"/>
        <v>4045970.2695652172</v>
      </c>
      <c r="EA31" s="608">
        <f t="shared" si="166"/>
        <v>4268346.0722891567</v>
      </c>
    </row>
    <row r="32" spans="1:131" x14ac:dyDescent="0.2">
      <c r="A32" s="481" t="s">
        <v>31</v>
      </c>
      <c r="B32" s="440" t="s">
        <v>811</v>
      </c>
      <c r="C32" s="530"/>
      <c r="D32" s="407">
        <v>101569</v>
      </c>
      <c r="E32" s="407">
        <v>9</v>
      </c>
      <c r="F32" s="598"/>
      <c r="G32" s="599"/>
      <c r="H32" s="600"/>
      <c r="I32" s="601"/>
      <c r="J32" s="600"/>
      <c r="K32" s="599"/>
      <c r="L32" s="600"/>
      <c r="M32" s="601"/>
      <c r="N32" s="600"/>
      <c r="O32" s="599"/>
      <c r="P32" s="600"/>
      <c r="Q32" s="601"/>
      <c r="R32" s="600"/>
      <c r="S32" s="599"/>
      <c r="T32" s="600"/>
      <c r="U32" s="601"/>
      <c r="V32" s="600"/>
      <c r="W32" s="599"/>
      <c r="X32" s="600"/>
      <c r="Y32" s="601"/>
      <c r="Z32" s="600"/>
      <c r="AA32" s="599"/>
      <c r="AB32" s="600"/>
      <c r="AC32" s="601"/>
      <c r="AD32" s="600"/>
      <c r="AE32" s="599"/>
      <c r="AF32" s="600"/>
      <c r="AG32" s="601"/>
      <c r="AH32" s="600"/>
      <c r="AI32" s="599"/>
      <c r="AJ32" s="600"/>
      <c r="AK32" s="601"/>
      <c r="AL32" s="600"/>
      <c r="AM32" s="599"/>
      <c r="AN32" s="600"/>
      <c r="AO32" s="601"/>
      <c r="AP32" s="600"/>
      <c r="AQ32" s="599"/>
      <c r="AR32" s="600"/>
      <c r="AS32" s="601"/>
      <c r="AT32" s="600">
        <v>95</v>
      </c>
      <c r="AU32" s="599">
        <v>86</v>
      </c>
      <c r="AV32" s="600"/>
      <c r="AW32" s="601"/>
      <c r="AX32" s="600"/>
      <c r="AY32" s="599"/>
      <c r="AZ32" s="600"/>
      <c r="BA32" s="601">
        <v>1</v>
      </c>
      <c r="BB32" s="602">
        <v>0</v>
      </c>
      <c r="BC32" s="599"/>
      <c r="BD32" s="600">
        <v>0</v>
      </c>
      <c r="BE32" s="599"/>
      <c r="BF32" s="600">
        <v>0</v>
      </c>
      <c r="BG32" s="599"/>
      <c r="BH32" s="600">
        <v>0</v>
      </c>
      <c r="BI32" s="599"/>
      <c r="BJ32" s="600">
        <v>0</v>
      </c>
      <c r="BK32" s="615"/>
      <c r="BL32" s="600">
        <v>5151240</v>
      </c>
      <c r="BM32" s="604">
        <v>4693105</v>
      </c>
      <c r="BN32" s="605">
        <f t="shared" si="101"/>
        <v>0</v>
      </c>
      <c r="BO32" s="606">
        <f t="shared" si="102"/>
        <v>0</v>
      </c>
      <c r="BP32" s="607">
        <f t="shared" si="103"/>
        <v>0</v>
      </c>
      <c r="BQ32" s="606">
        <f t="shared" si="104"/>
        <v>0</v>
      </c>
      <c r="BR32" s="607">
        <f t="shared" si="105"/>
        <v>0</v>
      </c>
      <c r="BS32" s="606">
        <f t="shared" si="106"/>
        <v>0</v>
      </c>
      <c r="BT32" s="607">
        <f t="shared" si="107"/>
        <v>0</v>
      </c>
      <c r="BU32" s="606">
        <f t="shared" si="108"/>
        <v>0</v>
      </c>
      <c r="BV32" s="607">
        <f t="shared" si="109"/>
        <v>0</v>
      </c>
      <c r="BW32" s="608">
        <f t="shared" si="110"/>
        <v>0</v>
      </c>
      <c r="BX32" s="607">
        <f t="shared" si="111"/>
        <v>855</v>
      </c>
      <c r="BY32" s="608">
        <f t="shared" si="112"/>
        <v>786</v>
      </c>
      <c r="BZ32" s="607">
        <f t="shared" si="113"/>
        <v>0</v>
      </c>
      <c r="CA32" s="608">
        <f t="shared" si="114"/>
        <v>0</v>
      </c>
      <c r="CB32" s="607">
        <f t="shared" si="115"/>
        <v>0</v>
      </c>
      <c r="CC32" s="608">
        <f t="shared" si="116"/>
        <v>0</v>
      </c>
      <c r="CD32" s="607">
        <f t="shared" si="117"/>
        <v>0</v>
      </c>
      <c r="CE32" s="608">
        <f t="shared" si="118"/>
        <v>0</v>
      </c>
      <c r="CF32" s="607">
        <f t="shared" si="119"/>
        <v>0</v>
      </c>
      <c r="CG32" s="608">
        <f t="shared" si="120"/>
        <v>0</v>
      </c>
      <c r="CH32" s="607">
        <f t="shared" si="121"/>
        <v>0</v>
      </c>
      <c r="CI32" s="608">
        <f t="shared" si="122"/>
        <v>0</v>
      </c>
      <c r="CJ32" s="607">
        <f t="shared" si="123"/>
        <v>6024.8421052631575</v>
      </c>
      <c r="CK32" s="608">
        <f t="shared" si="124"/>
        <v>5970.871501272265</v>
      </c>
      <c r="CL32" s="609">
        <f t="shared" si="125"/>
        <v>0</v>
      </c>
      <c r="CM32" s="608">
        <f t="shared" si="126"/>
        <v>0</v>
      </c>
      <c r="CN32" s="610">
        <f t="shared" si="127"/>
        <v>0</v>
      </c>
      <c r="CO32" s="606">
        <f t="shared" si="128"/>
        <v>0</v>
      </c>
      <c r="CP32" s="607">
        <f t="shared" si="129"/>
        <v>0</v>
      </c>
      <c r="CQ32" s="606">
        <f t="shared" si="130"/>
        <v>0</v>
      </c>
      <c r="CR32" s="607">
        <f t="shared" si="131"/>
        <v>0</v>
      </c>
      <c r="CS32" s="606">
        <f t="shared" si="132"/>
        <v>0</v>
      </c>
      <c r="CT32" s="607">
        <f t="shared" si="133"/>
        <v>0</v>
      </c>
      <c r="CU32" s="608">
        <f t="shared" si="134"/>
        <v>0</v>
      </c>
      <c r="CV32" s="610">
        <f t="shared" si="135"/>
        <v>54223.57894736842</v>
      </c>
      <c r="CW32" s="608">
        <f t="shared" si="136"/>
        <v>53737.843511450388</v>
      </c>
      <c r="CX32" s="610">
        <f t="shared" si="137"/>
        <v>54223.57894736842</v>
      </c>
      <c r="CY32" s="611">
        <f t="shared" si="138"/>
        <v>53737.843511450395</v>
      </c>
      <c r="CZ32" s="605">
        <f t="shared" si="139"/>
        <v>0</v>
      </c>
      <c r="DA32" s="612">
        <f t="shared" si="140"/>
        <v>0</v>
      </c>
      <c r="DB32" s="607">
        <f t="shared" si="141"/>
        <v>0</v>
      </c>
      <c r="DC32" s="606">
        <f t="shared" si="142"/>
        <v>0</v>
      </c>
      <c r="DD32" s="607">
        <f t="shared" si="143"/>
        <v>0</v>
      </c>
      <c r="DE32" s="606">
        <f t="shared" si="144"/>
        <v>0</v>
      </c>
      <c r="DF32" s="607">
        <f t="shared" si="145"/>
        <v>0</v>
      </c>
      <c r="DG32" s="606">
        <f t="shared" si="146"/>
        <v>0</v>
      </c>
      <c r="DH32" s="607">
        <f t="shared" si="147"/>
        <v>0</v>
      </c>
      <c r="DI32" s="608">
        <f t="shared" si="148"/>
        <v>0</v>
      </c>
      <c r="DJ32" s="607">
        <f t="shared" si="149"/>
        <v>95</v>
      </c>
      <c r="DK32" s="608">
        <f t="shared" si="150"/>
        <v>87</v>
      </c>
      <c r="DL32" s="607">
        <f t="shared" si="151"/>
        <v>95</v>
      </c>
      <c r="DM32" s="608">
        <f t="shared" si="152"/>
        <v>87</v>
      </c>
      <c r="DN32" s="607">
        <f t="shared" si="153"/>
        <v>0</v>
      </c>
      <c r="DO32" s="612">
        <f t="shared" si="154"/>
        <v>0</v>
      </c>
      <c r="DP32" s="607">
        <f t="shared" si="155"/>
        <v>0</v>
      </c>
      <c r="DQ32" s="606">
        <f t="shared" si="156"/>
        <v>0</v>
      </c>
      <c r="DR32" s="607">
        <f t="shared" si="157"/>
        <v>0</v>
      </c>
      <c r="DS32" s="606">
        <f t="shared" si="158"/>
        <v>0</v>
      </c>
      <c r="DT32" s="607">
        <f t="shared" si="159"/>
        <v>0</v>
      </c>
      <c r="DU32" s="606">
        <f t="shared" si="160"/>
        <v>0</v>
      </c>
      <c r="DV32" s="607">
        <f t="shared" si="161"/>
        <v>0</v>
      </c>
      <c r="DW32" s="608">
        <f t="shared" si="162"/>
        <v>0</v>
      </c>
      <c r="DX32" s="607">
        <f t="shared" si="163"/>
        <v>5151240</v>
      </c>
      <c r="DY32" s="608">
        <f t="shared" si="164"/>
        <v>4675192.3854961842</v>
      </c>
      <c r="DZ32" s="607">
        <f t="shared" si="165"/>
        <v>5151240</v>
      </c>
      <c r="EA32" s="608">
        <f t="shared" si="166"/>
        <v>4675192.3854961842</v>
      </c>
    </row>
    <row r="33" spans="1:131" x14ac:dyDescent="0.2">
      <c r="A33" s="481" t="s">
        <v>31</v>
      </c>
      <c r="B33" s="406" t="s">
        <v>813</v>
      </c>
      <c r="C33" s="532"/>
      <c r="D33" s="377">
        <v>101897</v>
      </c>
      <c r="E33" s="447">
        <v>9</v>
      </c>
      <c r="F33" s="598"/>
      <c r="G33" s="599"/>
      <c r="H33" s="600"/>
      <c r="I33" s="601"/>
      <c r="J33" s="600"/>
      <c r="K33" s="599"/>
      <c r="L33" s="600"/>
      <c r="M33" s="601"/>
      <c r="N33" s="600"/>
      <c r="O33" s="599"/>
      <c r="P33" s="600"/>
      <c r="Q33" s="601"/>
      <c r="R33" s="600"/>
      <c r="S33" s="599"/>
      <c r="T33" s="600"/>
      <c r="U33" s="601"/>
      <c r="V33" s="600"/>
      <c r="W33" s="599"/>
      <c r="X33" s="600"/>
      <c r="Y33" s="601"/>
      <c r="Z33" s="600"/>
      <c r="AA33" s="599"/>
      <c r="AB33" s="600"/>
      <c r="AC33" s="601"/>
      <c r="AD33" s="600"/>
      <c r="AE33" s="599"/>
      <c r="AF33" s="600"/>
      <c r="AG33" s="601"/>
      <c r="AH33" s="600"/>
      <c r="AI33" s="599"/>
      <c r="AJ33" s="600"/>
      <c r="AK33" s="601"/>
      <c r="AL33" s="600"/>
      <c r="AM33" s="599"/>
      <c r="AN33" s="600"/>
      <c r="AO33" s="601"/>
      <c r="AP33" s="600"/>
      <c r="AQ33" s="599"/>
      <c r="AR33" s="600"/>
      <c r="AS33" s="601"/>
      <c r="AT33" s="600">
        <v>45</v>
      </c>
      <c r="AU33" s="599">
        <v>5</v>
      </c>
      <c r="AV33" s="600"/>
      <c r="AW33" s="601"/>
      <c r="AX33" s="600">
        <v>12</v>
      </c>
      <c r="AY33" s="599"/>
      <c r="AZ33" s="600"/>
      <c r="BA33" s="601">
        <v>50</v>
      </c>
      <c r="BB33" s="602">
        <v>0</v>
      </c>
      <c r="BC33" s="599"/>
      <c r="BD33" s="600">
        <v>0</v>
      </c>
      <c r="BE33" s="599"/>
      <c r="BF33" s="600">
        <v>0</v>
      </c>
      <c r="BG33" s="599"/>
      <c r="BH33" s="600">
        <v>0</v>
      </c>
      <c r="BI33" s="599"/>
      <c r="BJ33" s="600">
        <v>0</v>
      </c>
      <c r="BK33" s="615"/>
      <c r="BL33" s="600">
        <v>3312285</v>
      </c>
      <c r="BM33" s="604">
        <v>3170064</v>
      </c>
      <c r="BN33" s="605">
        <f t="shared" si="101"/>
        <v>0</v>
      </c>
      <c r="BO33" s="606">
        <f t="shared" si="102"/>
        <v>0</v>
      </c>
      <c r="BP33" s="607">
        <f t="shared" si="103"/>
        <v>0</v>
      </c>
      <c r="BQ33" s="606">
        <f t="shared" si="104"/>
        <v>0</v>
      </c>
      <c r="BR33" s="607">
        <f t="shared" si="105"/>
        <v>0</v>
      </c>
      <c r="BS33" s="606">
        <f t="shared" si="106"/>
        <v>0</v>
      </c>
      <c r="BT33" s="607">
        <f t="shared" si="107"/>
        <v>0</v>
      </c>
      <c r="BU33" s="606">
        <f t="shared" si="108"/>
        <v>0</v>
      </c>
      <c r="BV33" s="607">
        <f t="shared" si="109"/>
        <v>0</v>
      </c>
      <c r="BW33" s="608">
        <f t="shared" si="110"/>
        <v>0</v>
      </c>
      <c r="BX33" s="607">
        <f t="shared" si="111"/>
        <v>537</v>
      </c>
      <c r="BY33" s="608">
        <f t="shared" si="112"/>
        <v>645</v>
      </c>
      <c r="BZ33" s="607">
        <f t="shared" si="113"/>
        <v>0</v>
      </c>
      <c r="CA33" s="608">
        <f t="shared" si="114"/>
        <v>0</v>
      </c>
      <c r="CB33" s="607">
        <f t="shared" si="115"/>
        <v>0</v>
      </c>
      <c r="CC33" s="608">
        <f t="shared" si="116"/>
        <v>0</v>
      </c>
      <c r="CD33" s="607">
        <f t="shared" si="117"/>
        <v>0</v>
      </c>
      <c r="CE33" s="608">
        <f t="shared" si="118"/>
        <v>0</v>
      </c>
      <c r="CF33" s="607">
        <f t="shared" si="119"/>
        <v>0</v>
      </c>
      <c r="CG33" s="608">
        <f t="shared" si="120"/>
        <v>0</v>
      </c>
      <c r="CH33" s="607">
        <f t="shared" si="121"/>
        <v>0</v>
      </c>
      <c r="CI33" s="608">
        <f t="shared" si="122"/>
        <v>0</v>
      </c>
      <c r="CJ33" s="607">
        <f t="shared" si="123"/>
        <v>6168.1284916201121</v>
      </c>
      <c r="CK33" s="608">
        <f t="shared" si="124"/>
        <v>4914.8279069767441</v>
      </c>
      <c r="CL33" s="609">
        <f t="shared" si="125"/>
        <v>0</v>
      </c>
      <c r="CM33" s="608">
        <f t="shared" si="126"/>
        <v>0</v>
      </c>
      <c r="CN33" s="610">
        <f t="shared" si="127"/>
        <v>0</v>
      </c>
      <c r="CO33" s="606">
        <f t="shared" si="128"/>
        <v>0</v>
      </c>
      <c r="CP33" s="607">
        <f t="shared" si="129"/>
        <v>0</v>
      </c>
      <c r="CQ33" s="606">
        <f t="shared" si="130"/>
        <v>0</v>
      </c>
      <c r="CR33" s="607">
        <f t="shared" si="131"/>
        <v>0</v>
      </c>
      <c r="CS33" s="606">
        <f t="shared" si="132"/>
        <v>0</v>
      </c>
      <c r="CT33" s="607">
        <f t="shared" si="133"/>
        <v>0</v>
      </c>
      <c r="CU33" s="608">
        <f t="shared" si="134"/>
        <v>0</v>
      </c>
      <c r="CV33" s="610">
        <f t="shared" si="135"/>
        <v>55513.156424581008</v>
      </c>
      <c r="CW33" s="608">
        <f t="shared" si="136"/>
        <v>44233.451162790698</v>
      </c>
      <c r="CX33" s="610">
        <f t="shared" si="137"/>
        <v>55513.156424581008</v>
      </c>
      <c r="CY33" s="611">
        <f t="shared" si="138"/>
        <v>44233.451162790705</v>
      </c>
      <c r="CZ33" s="605">
        <f t="shared" si="139"/>
        <v>0</v>
      </c>
      <c r="DA33" s="612">
        <f t="shared" si="140"/>
        <v>0</v>
      </c>
      <c r="DB33" s="607">
        <f t="shared" si="141"/>
        <v>0</v>
      </c>
      <c r="DC33" s="606">
        <f t="shared" si="142"/>
        <v>0</v>
      </c>
      <c r="DD33" s="607">
        <f t="shared" si="143"/>
        <v>0</v>
      </c>
      <c r="DE33" s="606">
        <f t="shared" si="144"/>
        <v>0</v>
      </c>
      <c r="DF33" s="607">
        <f t="shared" si="145"/>
        <v>0</v>
      </c>
      <c r="DG33" s="606">
        <f t="shared" si="146"/>
        <v>0</v>
      </c>
      <c r="DH33" s="607">
        <f t="shared" si="147"/>
        <v>0</v>
      </c>
      <c r="DI33" s="608">
        <f t="shared" si="148"/>
        <v>0</v>
      </c>
      <c r="DJ33" s="607">
        <f t="shared" si="149"/>
        <v>57</v>
      </c>
      <c r="DK33" s="608">
        <f t="shared" si="150"/>
        <v>55</v>
      </c>
      <c r="DL33" s="607">
        <f t="shared" si="151"/>
        <v>57</v>
      </c>
      <c r="DM33" s="608">
        <f t="shared" si="152"/>
        <v>55</v>
      </c>
      <c r="DN33" s="607">
        <f t="shared" si="153"/>
        <v>0</v>
      </c>
      <c r="DO33" s="612">
        <f t="shared" si="154"/>
        <v>0</v>
      </c>
      <c r="DP33" s="607">
        <f t="shared" si="155"/>
        <v>0</v>
      </c>
      <c r="DQ33" s="606">
        <f t="shared" si="156"/>
        <v>0</v>
      </c>
      <c r="DR33" s="607">
        <f t="shared" si="157"/>
        <v>0</v>
      </c>
      <c r="DS33" s="606">
        <f t="shared" si="158"/>
        <v>0</v>
      </c>
      <c r="DT33" s="607">
        <f t="shared" si="159"/>
        <v>0</v>
      </c>
      <c r="DU33" s="606">
        <f t="shared" si="160"/>
        <v>0</v>
      </c>
      <c r="DV33" s="607">
        <f t="shared" si="161"/>
        <v>0</v>
      </c>
      <c r="DW33" s="608">
        <f t="shared" si="162"/>
        <v>0</v>
      </c>
      <c r="DX33" s="607">
        <f t="shared" si="163"/>
        <v>3164249.9162011174</v>
      </c>
      <c r="DY33" s="608">
        <f t="shared" si="164"/>
        <v>2432839.8139534886</v>
      </c>
      <c r="DZ33" s="607">
        <f t="shared" si="165"/>
        <v>3164249.9162011174</v>
      </c>
      <c r="EA33" s="608">
        <f t="shared" si="166"/>
        <v>2432839.8139534886</v>
      </c>
    </row>
    <row r="34" spans="1:131" x14ac:dyDescent="0.2">
      <c r="A34" s="481" t="s">
        <v>31</v>
      </c>
      <c r="B34" s="440" t="s">
        <v>814</v>
      </c>
      <c r="C34" s="530"/>
      <c r="D34" s="407">
        <v>101736</v>
      </c>
      <c r="E34" s="407">
        <v>9</v>
      </c>
      <c r="F34" s="598"/>
      <c r="G34" s="599"/>
      <c r="H34" s="600"/>
      <c r="I34" s="601"/>
      <c r="J34" s="600"/>
      <c r="K34" s="599"/>
      <c r="L34" s="600"/>
      <c r="M34" s="601"/>
      <c r="N34" s="600"/>
      <c r="O34" s="599"/>
      <c r="P34" s="600"/>
      <c r="Q34" s="601"/>
      <c r="R34" s="600"/>
      <c r="S34" s="599"/>
      <c r="T34" s="600"/>
      <c r="U34" s="601"/>
      <c r="V34" s="600"/>
      <c r="W34" s="599"/>
      <c r="X34" s="600"/>
      <c r="Y34" s="601"/>
      <c r="Z34" s="600"/>
      <c r="AA34" s="599"/>
      <c r="AB34" s="600"/>
      <c r="AC34" s="601"/>
      <c r="AD34" s="600"/>
      <c r="AE34" s="599"/>
      <c r="AF34" s="600"/>
      <c r="AG34" s="601"/>
      <c r="AH34" s="600"/>
      <c r="AI34" s="599"/>
      <c r="AJ34" s="600"/>
      <c r="AK34" s="601"/>
      <c r="AL34" s="600"/>
      <c r="AM34" s="599"/>
      <c r="AN34" s="600"/>
      <c r="AO34" s="601"/>
      <c r="AP34" s="600"/>
      <c r="AQ34" s="599"/>
      <c r="AR34" s="600"/>
      <c r="AS34" s="601"/>
      <c r="AT34" s="600">
        <v>74</v>
      </c>
      <c r="AU34" s="599">
        <v>74</v>
      </c>
      <c r="AV34" s="600"/>
      <c r="AW34" s="601"/>
      <c r="AX34" s="600">
        <v>7</v>
      </c>
      <c r="AY34" s="599"/>
      <c r="AZ34" s="600"/>
      <c r="BA34" s="601">
        <v>1</v>
      </c>
      <c r="BB34" s="602">
        <v>0</v>
      </c>
      <c r="BC34" s="599"/>
      <c r="BD34" s="600">
        <v>0</v>
      </c>
      <c r="BE34" s="599"/>
      <c r="BF34" s="600">
        <v>0</v>
      </c>
      <c r="BG34" s="599"/>
      <c r="BH34" s="600">
        <v>0</v>
      </c>
      <c r="BI34" s="599"/>
      <c r="BJ34" s="600">
        <v>0</v>
      </c>
      <c r="BK34" s="615"/>
      <c r="BL34" s="600">
        <v>4429877</v>
      </c>
      <c r="BM34" s="604">
        <v>4087677</v>
      </c>
      <c r="BN34" s="605">
        <f t="shared" si="101"/>
        <v>0</v>
      </c>
      <c r="BO34" s="606">
        <f t="shared" si="102"/>
        <v>0</v>
      </c>
      <c r="BP34" s="607">
        <f t="shared" si="103"/>
        <v>0</v>
      </c>
      <c r="BQ34" s="606">
        <f t="shared" si="104"/>
        <v>0</v>
      </c>
      <c r="BR34" s="607">
        <f t="shared" si="105"/>
        <v>0</v>
      </c>
      <c r="BS34" s="606">
        <f t="shared" si="106"/>
        <v>0</v>
      </c>
      <c r="BT34" s="607">
        <f t="shared" si="107"/>
        <v>0</v>
      </c>
      <c r="BU34" s="606">
        <f t="shared" si="108"/>
        <v>0</v>
      </c>
      <c r="BV34" s="607">
        <f t="shared" si="109"/>
        <v>0</v>
      </c>
      <c r="BW34" s="608">
        <f t="shared" si="110"/>
        <v>0</v>
      </c>
      <c r="BX34" s="607">
        <f t="shared" si="111"/>
        <v>743</v>
      </c>
      <c r="BY34" s="608">
        <f t="shared" si="112"/>
        <v>678</v>
      </c>
      <c r="BZ34" s="607">
        <f t="shared" si="113"/>
        <v>0</v>
      </c>
      <c r="CA34" s="608">
        <f t="shared" si="114"/>
        <v>0</v>
      </c>
      <c r="CB34" s="607">
        <f t="shared" si="115"/>
        <v>0</v>
      </c>
      <c r="CC34" s="608">
        <f t="shared" si="116"/>
        <v>0</v>
      </c>
      <c r="CD34" s="607">
        <f t="shared" si="117"/>
        <v>0</v>
      </c>
      <c r="CE34" s="608">
        <f t="shared" si="118"/>
        <v>0</v>
      </c>
      <c r="CF34" s="607">
        <f t="shared" si="119"/>
        <v>0</v>
      </c>
      <c r="CG34" s="608">
        <f t="shared" si="120"/>
        <v>0</v>
      </c>
      <c r="CH34" s="607">
        <f t="shared" si="121"/>
        <v>0</v>
      </c>
      <c r="CI34" s="608">
        <f t="shared" si="122"/>
        <v>0</v>
      </c>
      <c r="CJ34" s="607">
        <f t="shared" si="123"/>
        <v>5962.1493943472406</v>
      </c>
      <c r="CK34" s="608">
        <f t="shared" si="124"/>
        <v>6029.0221238938057</v>
      </c>
      <c r="CL34" s="609">
        <f t="shared" si="125"/>
        <v>0</v>
      </c>
      <c r="CM34" s="608">
        <f t="shared" si="126"/>
        <v>0</v>
      </c>
      <c r="CN34" s="610">
        <f t="shared" si="127"/>
        <v>0</v>
      </c>
      <c r="CO34" s="606">
        <f t="shared" si="128"/>
        <v>0</v>
      </c>
      <c r="CP34" s="607">
        <f t="shared" si="129"/>
        <v>0</v>
      </c>
      <c r="CQ34" s="606">
        <f t="shared" si="130"/>
        <v>0</v>
      </c>
      <c r="CR34" s="607">
        <f t="shared" si="131"/>
        <v>0</v>
      </c>
      <c r="CS34" s="606">
        <f t="shared" si="132"/>
        <v>0</v>
      </c>
      <c r="CT34" s="607">
        <f t="shared" si="133"/>
        <v>0</v>
      </c>
      <c r="CU34" s="608">
        <f t="shared" si="134"/>
        <v>0</v>
      </c>
      <c r="CV34" s="610">
        <f t="shared" si="135"/>
        <v>53659.344549125162</v>
      </c>
      <c r="CW34" s="608">
        <f t="shared" si="136"/>
        <v>54261.199115044248</v>
      </c>
      <c r="CX34" s="610">
        <f t="shared" si="137"/>
        <v>53659.344549125162</v>
      </c>
      <c r="CY34" s="611">
        <f t="shared" si="138"/>
        <v>54261.199115044248</v>
      </c>
      <c r="CZ34" s="605">
        <f t="shared" si="139"/>
        <v>0</v>
      </c>
      <c r="DA34" s="612">
        <f t="shared" si="140"/>
        <v>0</v>
      </c>
      <c r="DB34" s="607">
        <f t="shared" si="141"/>
        <v>0</v>
      </c>
      <c r="DC34" s="606">
        <f t="shared" si="142"/>
        <v>0</v>
      </c>
      <c r="DD34" s="607">
        <f t="shared" si="143"/>
        <v>0</v>
      </c>
      <c r="DE34" s="606">
        <f t="shared" si="144"/>
        <v>0</v>
      </c>
      <c r="DF34" s="607">
        <f t="shared" si="145"/>
        <v>0</v>
      </c>
      <c r="DG34" s="606">
        <f t="shared" si="146"/>
        <v>0</v>
      </c>
      <c r="DH34" s="607">
        <f t="shared" si="147"/>
        <v>0</v>
      </c>
      <c r="DI34" s="608">
        <f t="shared" si="148"/>
        <v>0</v>
      </c>
      <c r="DJ34" s="607">
        <f t="shared" si="149"/>
        <v>81</v>
      </c>
      <c r="DK34" s="608">
        <f t="shared" si="150"/>
        <v>75</v>
      </c>
      <c r="DL34" s="607">
        <f t="shared" si="151"/>
        <v>81</v>
      </c>
      <c r="DM34" s="608">
        <f t="shared" si="152"/>
        <v>75</v>
      </c>
      <c r="DN34" s="607">
        <f t="shared" si="153"/>
        <v>0</v>
      </c>
      <c r="DO34" s="612">
        <f t="shared" si="154"/>
        <v>0</v>
      </c>
      <c r="DP34" s="607">
        <f t="shared" si="155"/>
        <v>0</v>
      </c>
      <c r="DQ34" s="606">
        <f t="shared" si="156"/>
        <v>0</v>
      </c>
      <c r="DR34" s="607">
        <f t="shared" si="157"/>
        <v>0</v>
      </c>
      <c r="DS34" s="606">
        <f t="shared" si="158"/>
        <v>0</v>
      </c>
      <c r="DT34" s="607">
        <f t="shared" si="159"/>
        <v>0</v>
      </c>
      <c r="DU34" s="606">
        <f t="shared" si="160"/>
        <v>0</v>
      </c>
      <c r="DV34" s="607">
        <f t="shared" si="161"/>
        <v>0</v>
      </c>
      <c r="DW34" s="608">
        <f t="shared" si="162"/>
        <v>0</v>
      </c>
      <c r="DX34" s="607">
        <f t="shared" si="163"/>
        <v>4346406.9084791383</v>
      </c>
      <c r="DY34" s="608">
        <f t="shared" si="164"/>
        <v>4069589.9336283188</v>
      </c>
      <c r="DZ34" s="607">
        <f t="shared" si="165"/>
        <v>4346406.9084791383</v>
      </c>
      <c r="EA34" s="608">
        <f t="shared" si="166"/>
        <v>4069589.9336283188</v>
      </c>
    </row>
    <row r="35" spans="1:131" x14ac:dyDescent="0.2">
      <c r="A35" s="481" t="s">
        <v>31</v>
      </c>
      <c r="B35" s="440" t="s">
        <v>816</v>
      </c>
      <c r="C35" s="533"/>
      <c r="D35" s="407">
        <v>102067</v>
      </c>
      <c r="E35" s="407">
        <v>9</v>
      </c>
      <c r="F35" s="598"/>
      <c r="G35" s="599"/>
      <c r="H35" s="600"/>
      <c r="I35" s="601"/>
      <c r="J35" s="600"/>
      <c r="K35" s="599"/>
      <c r="L35" s="600"/>
      <c r="M35" s="601"/>
      <c r="N35" s="600"/>
      <c r="O35" s="599"/>
      <c r="P35" s="600"/>
      <c r="Q35" s="601"/>
      <c r="R35" s="600"/>
      <c r="S35" s="599"/>
      <c r="T35" s="600"/>
      <c r="U35" s="601"/>
      <c r="V35" s="600"/>
      <c r="W35" s="599"/>
      <c r="X35" s="600"/>
      <c r="Y35" s="601"/>
      <c r="Z35" s="600"/>
      <c r="AA35" s="599"/>
      <c r="AB35" s="600"/>
      <c r="AC35" s="601"/>
      <c r="AD35" s="600"/>
      <c r="AE35" s="599"/>
      <c r="AF35" s="600"/>
      <c r="AG35" s="601"/>
      <c r="AH35" s="600"/>
      <c r="AI35" s="599"/>
      <c r="AJ35" s="600"/>
      <c r="AK35" s="601"/>
      <c r="AL35" s="600"/>
      <c r="AM35" s="599"/>
      <c r="AN35" s="600"/>
      <c r="AO35" s="601"/>
      <c r="AP35" s="600"/>
      <c r="AQ35" s="599"/>
      <c r="AR35" s="600"/>
      <c r="AS35" s="601"/>
      <c r="AT35" s="600">
        <v>85</v>
      </c>
      <c r="AU35" s="599">
        <v>2</v>
      </c>
      <c r="AV35" s="600"/>
      <c r="AW35" s="601"/>
      <c r="AX35" s="600">
        <v>6</v>
      </c>
      <c r="AY35" s="599"/>
      <c r="AZ35" s="600"/>
      <c r="BA35" s="601">
        <v>95</v>
      </c>
      <c r="BB35" s="602">
        <v>0</v>
      </c>
      <c r="BC35" s="599"/>
      <c r="BD35" s="600">
        <v>0</v>
      </c>
      <c r="BE35" s="599"/>
      <c r="BF35" s="600">
        <v>0</v>
      </c>
      <c r="BG35" s="599"/>
      <c r="BH35" s="600">
        <v>0</v>
      </c>
      <c r="BI35" s="599"/>
      <c r="BJ35" s="600">
        <v>0</v>
      </c>
      <c r="BK35" s="615"/>
      <c r="BL35" s="600">
        <v>4958680</v>
      </c>
      <c r="BM35" s="604">
        <v>5164035</v>
      </c>
      <c r="BN35" s="605">
        <f t="shared" si="101"/>
        <v>0</v>
      </c>
      <c r="BO35" s="606">
        <f t="shared" si="102"/>
        <v>0</v>
      </c>
      <c r="BP35" s="607">
        <f t="shared" si="103"/>
        <v>0</v>
      </c>
      <c r="BQ35" s="606">
        <f t="shared" si="104"/>
        <v>0</v>
      </c>
      <c r="BR35" s="607">
        <f t="shared" si="105"/>
        <v>0</v>
      </c>
      <c r="BS35" s="606">
        <f t="shared" si="106"/>
        <v>0</v>
      </c>
      <c r="BT35" s="607">
        <f t="shared" si="107"/>
        <v>0</v>
      </c>
      <c r="BU35" s="606">
        <f t="shared" si="108"/>
        <v>0</v>
      </c>
      <c r="BV35" s="607">
        <f t="shared" si="109"/>
        <v>0</v>
      </c>
      <c r="BW35" s="608">
        <f t="shared" si="110"/>
        <v>0</v>
      </c>
      <c r="BX35" s="607">
        <f t="shared" si="111"/>
        <v>831</v>
      </c>
      <c r="BY35" s="608">
        <f t="shared" si="112"/>
        <v>1158</v>
      </c>
      <c r="BZ35" s="607">
        <f t="shared" si="113"/>
        <v>0</v>
      </c>
      <c r="CA35" s="608">
        <f t="shared" si="114"/>
        <v>0</v>
      </c>
      <c r="CB35" s="607">
        <f t="shared" si="115"/>
        <v>0</v>
      </c>
      <c r="CC35" s="608">
        <f t="shared" si="116"/>
        <v>0</v>
      </c>
      <c r="CD35" s="607">
        <f t="shared" si="117"/>
        <v>0</v>
      </c>
      <c r="CE35" s="608">
        <f t="shared" si="118"/>
        <v>0</v>
      </c>
      <c r="CF35" s="607">
        <f t="shared" si="119"/>
        <v>0</v>
      </c>
      <c r="CG35" s="608">
        <f t="shared" si="120"/>
        <v>0</v>
      </c>
      <c r="CH35" s="607">
        <f t="shared" si="121"/>
        <v>0</v>
      </c>
      <c r="CI35" s="608">
        <f t="shared" si="122"/>
        <v>0</v>
      </c>
      <c r="CJ35" s="607">
        <f t="shared" si="123"/>
        <v>5967.1239470517448</v>
      </c>
      <c r="CK35" s="608">
        <f t="shared" si="124"/>
        <v>4459.443005181347</v>
      </c>
      <c r="CL35" s="609">
        <f t="shared" si="125"/>
        <v>0</v>
      </c>
      <c r="CM35" s="608">
        <f t="shared" si="126"/>
        <v>0</v>
      </c>
      <c r="CN35" s="610">
        <f t="shared" si="127"/>
        <v>0</v>
      </c>
      <c r="CO35" s="606">
        <f t="shared" si="128"/>
        <v>0</v>
      </c>
      <c r="CP35" s="607">
        <f t="shared" si="129"/>
        <v>0</v>
      </c>
      <c r="CQ35" s="606">
        <f t="shared" si="130"/>
        <v>0</v>
      </c>
      <c r="CR35" s="607">
        <f t="shared" si="131"/>
        <v>0</v>
      </c>
      <c r="CS35" s="606">
        <f t="shared" si="132"/>
        <v>0</v>
      </c>
      <c r="CT35" s="607">
        <f t="shared" si="133"/>
        <v>0</v>
      </c>
      <c r="CU35" s="608">
        <f t="shared" si="134"/>
        <v>0</v>
      </c>
      <c r="CV35" s="610">
        <f t="shared" si="135"/>
        <v>53704.115523465705</v>
      </c>
      <c r="CW35" s="608">
        <f t="shared" si="136"/>
        <v>40134.987046632123</v>
      </c>
      <c r="CX35" s="610">
        <f t="shared" si="137"/>
        <v>53704.115523465705</v>
      </c>
      <c r="CY35" s="611">
        <f t="shared" si="138"/>
        <v>40134.987046632123</v>
      </c>
      <c r="CZ35" s="605">
        <f t="shared" si="139"/>
        <v>0</v>
      </c>
      <c r="DA35" s="612">
        <f t="shared" si="140"/>
        <v>0</v>
      </c>
      <c r="DB35" s="607">
        <f t="shared" si="141"/>
        <v>0</v>
      </c>
      <c r="DC35" s="606">
        <f t="shared" si="142"/>
        <v>0</v>
      </c>
      <c r="DD35" s="607">
        <f t="shared" si="143"/>
        <v>0</v>
      </c>
      <c r="DE35" s="606">
        <f t="shared" si="144"/>
        <v>0</v>
      </c>
      <c r="DF35" s="607">
        <f t="shared" si="145"/>
        <v>0</v>
      </c>
      <c r="DG35" s="606">
        <f t="shared" si="146"/>
        <v>0</v>
      </c>
      <c r="DH35" s="607">
        <f t="shared" si="147"/>
        <v>0</v>
      </c>
      <c r="DI35" s="608">
        <f t="shared" si="148"/>
        <v>0</v>
      </c>
      <c r="DJ35" s="607">
        <f t="shared" si="149"/>
        <v>91</v>
      </c>
      <c r="DK35" s="608">
        <f t="shared" si="150"/>
        <v>97</v>
      </c>
      <c r="DL35" s="607">
        <f t="shared" si="151"/>
        <v>91</v>
      </c>
      <c r="DM35" s="608">
        <f t="shared" si="152"/>
        <v>97</v>
      </c>
      <c r="DN35" s="607">
        <f t="shared" si="153"/>
        <v>0</v>
      </c>
      <c r="DO35" s="612">
        <f t="shared" si="154"/>
        <v>0</v>
      </c>
      <c r="DP35" s="607">
        <f t="shared" si="155"/>
        <v>0</v>
      </c>
      <c r="DQ35" s="606">
        <f t="shared" si="156"/>
        <v>0</v>
      </c>
      <c r="DR35" s="607">
        <f t="shared" si="157"/>
        <v>0</v>
      </c>
      <c r="DS35" s="606">
        <f t="shared" si="158"/>
        <v>0</v>
      </c>
      <c r="DT35" s="607">
        <f t="shared" si="159"/>
        <v>0</v>
      </c>
      <c r="DU35" s="606">
        <f t="shared" si="160"/>
        <v>0</v>
      </c>
      <c r="DV35" s="607">
        <f t="shared" si="161"/>
        <v>0</v>
      </c>
      <c r="DW35" s="608">
        <f t="shared" si="162"/>
        <v>0</v>
      </c>
      <c r="DX35" s="607">
        <f t="shared" si="163"/>
        <v>4887074.5126353791</v>
      </c>
      <c r="DY35" s="608">
        <f t="shared" si="164"/>
        <v>3893093.743523316</v>
      </c>
      <c r="DZ35" s="607">
        <f t="shared" si="165"/>
        <v>4887074.5126353791</v>
      </c>
      <c r="EA35" s="608">
        <f t="shared" si="166"/>
        <v>3893093.743523316</v>
      </c>
    </row>
    <row r="36" spans="1:131" x14ac:dyDescent="0.2">
      <c r="A36" s="481" t="s">
        <v>31</v>
      </c>
      <c r="B36" s="440" t="s">
        <v>818</v>
      </c>
      <c r="C36" s="530"/>
      <c r="D36" s="407">
        <v>251260</v>
      </c>
      <c r="E36" s="407">
        <v>9</v>
      </c>
      <c r="F36" s="598"/>
      <c r="G36" s="599"/>
      <c r="H36" s="600"/>
      <c r="I36" s="601"/>
      <c r="J36" s="600"/>
      <c r="K36" s="599"/>
      <c r="L36" s="600"/>
      <c r="M36" s="601"/>
      <c r="N36" s="600"/>
      <c r="O36" s="599"/>
      <c r="P36" s="600"/>
      <c r="Q36" s="601"/>
      <c r="R36" s="600"/>
      <c r="S36" s="599"/>
      <c r="T36" s="600"/>
      <c r="U36" s="601"/>
      <c r="V36" s="600"/>
      <c r="W36" s="599"/>
      <c r="X36" s="600"/>
      <c r="Y36" s="601"/>
      <c r="Z36" s="600"/>
      <c r="AA36" s="599"/>
      <c r="AB36" s="600"/>
      <c r="AC36" s="601"/>
      <c r="AD36" s="600"/>
      <c r="AE36" s="599"/>
      <c r="AF36" s="600"/>
      <c r="AG36" s="601"/>
      <c r="AH36" s="600"/>
      <c r="AI36" s="599"/>
      <c r="AJ36" s="600"/>
      <c r="AK36" s="601"/>
      <c r="AL36" s="600"/>
      <c r="AM36" s="599"/>
      <c r="AN36" s="600"/>
      <c r="AO36" s="601"/>
      <c r="AP36" s="600"/>
      <c r="AQ36" s="599"/>
      <c r="AR36" s="600"/>
      <c r="AS36" s="601"/>
      <c r="AT36" s="600">
        <v>82</v>
      </c>
      <c r="AU36" s="599">
        <v>85</v>
      </c>
      <c r="AV36" s="600"/>
      <c r="AW36" s="601"/>
      <c r="AX36" s="600">
        <v>4</v>
      </c>
      <c r="AY36" s="599"/>
      <c r="AZ36" s="600"/>
      <c r="BA36" s="601">
        <v>3</v>
      </c>
      <c r="BB36" s="602">
        <v>0</v>
      </c>
      <c r="BC36" s="599"/>
      <c r="BD36" s="600">
        <v>0</v>
      </c>
      <c r="BE36" s="599"/>
      <c r="BF36" s="600">
        <v>0</v>
      </c>
      <c r="BG36" s="599"/>
      <c r="BH36" s="600">
        <v>0</v>
      </c>
      <c r="BI36" s="599"/>
      <c r="BJ36" s="600">
        <v>0</v>
      </c>
      <c r="BK36" s="615"/>
      <c r="BL36" s="600">
        <v>4458341</v>
      </c>
      <c r="BM36" s="604">
        <v>4543232</v>
      </c>
      <c r="BN36" s="605">
        <f t="shared" si="101"/>
        <v>0</v>
      </c>
      <c r="BO36" s="606">
        <f t="shared" si="102"/>
        <v>0</v>
      </c>
      <c r="BP36" s="607">
        <f t="shared" si="103"/>
        <v>0</v>
      </c>
      <c r="BQ36" s="606">
        <f t="shared" si="104"/>
        <v>0</v>
      </c>
      <c r="BR36" s="607">
        <f t="shared" si="105"/>
        <v>0</v>
      </c>
      <c r="BS36" s="606">
        <f t="shared" si="106"/>
        <v>0</v>
      </c>
      <c r="BT36" s="607">
        <f t="shared" si="107"/>
        <v>0</v>
      </c>
      <c r="BU36" s="606">
        <f t="shared" si="108"/>
        <v>0</v>
      </c>
      <c r="BV36" s="607">
        <f t="shared" si="109"/>
        <v>0</v>
      </c>
      <c r="BW36" s="608">
        <f t="shared" si="110"/>
        <v>0</v>
      </c>
      <c r="BX36" s="607">
        <f t="shared" si="111"/>
        <v>782</v>
      </c>
      <c r="BY36" s="608">
        <f t="shared" si="112"/>
        <v>801</v>
      </c>
      <c r="BZ36" s="607">
        <f t="shared" si="113"/>
        <v>0</v>
      </c>
      <c r="CA36" s="608">
        <f t="shared" si="114"/>
        <v>0</v>
      </c>
      <c r="CB36" s="607">
        <f t="shared" si="115"/>
        <v>0</v>
      </c>
      <c r="CC36" s="608">
        <f t="shared" si="116"/>
        <v>0</v>
      </c>
      <c r="CD36" s="607">
        <f t="shared" si="117"/>
        <v>0</v>
      </c>
      <c r="CE36" s="608">
        <f t="shared" si="118"/>
        <v>0</v>
      </c>
      <c r="CF36" s="607">
        <f t="shared" si="119"/>
        <v>0</v>
      </c>
      <c r="CG36" s="608">
        <f t="shared" si="120"/>
        <v>0</v>
      </c>
      <c r="CH36" s="607">
        <f t="shared" si="121"/>
        <v>0</v>
      </c>
      <c r="CI36" s="608">
        <f t="shared" si="122"/>
        <v>0</v>
      </c>
      <c r="CJ36" s="607">
        <f t="shared" si="123"/>
        <v>5701.2033248081843</v>
      </c>
      <c r="CK36" s="608">
        <f t="shared" si="124"/>
        <v>5671.9500624219727</v>
      </c>
      <c r="CL36" s="609">
        <f t="shared" si="125"/>
        <v>0</v>
      </c>
      <c r="CM36" s="608">
        <f t="shared" si="126"/>
        <v>0</v>
      </c>
      <c r="CN36" s="610">
        <f t="shared" si="127"/>
        <v>0</v>
      </c>
      <c r="CO36" s="606">
        <f t="shared" si="128"/>
        <v>0</v>
      </c>
      <c r="CP36" s="607">
        <f t="shared" si="129"/>
        <v>0</v>
      </c>
      <c r="CQ36" s="606">
        <f t="shared" si="130"/>
        <v>0</v>
      </c>
      <c r="CR36" s="607">
        <f t="shared" si="131"/>
        <v>0</v>
      </c>
      <c r="CS36" s="606">
        <f t="shared" si="132"/>
        <v>0</v>
      </c>
      <c r="CT36" s="607">
        <f t="shared" si="133"/>
        <v>0</v>
      </c>
      <c r="CU36" s="608">
        <f t="shared" si="134"/>
        <v>0</v>
      </c>
      <c r="CV36" s="610">
        <f t="shared" si="135"/>
        <v>51310.829923273661</v>
      </c>
      <c r="CW36" s="608">
        <f t="shared" si="136"/>
        <v>51047.550561797754</v>
      </c>
      <c r="CX36" s="610">
        <f t="shared" si="137"/>
        <v>51310.829923273661</v>
      </c>
      <c r="CY36" s="611">
        <f t="shared" si="138"/>
        <v>51047.550561797754</v>
      </c>
      <c r="CZ36" s="605">
        <f t="shared" si="139"/>
        <v>0</v>
      </c>
      <c r="DA36" s="612">
        <f t="shared" si="140"/>
        <v>0</v>
      </c>
      <c r="DB36" s="607">
        <f t="shared" si="141"/>
        <v>0</v>
      </c>
      <c r="DC36" s="606">
        <f t="shared" si="142"/>
        <v>0</v>
      </c>
      <c r="DD36" s="607">
        <f t="shared" si="143"/>
        <v>0</v>
      </c>
      <c r="DE36" s="606">
        <f t="shared" si="144"/>
        <v>0</v>
      </c>
      <c r="DF36" s="607">
        <f t="shared" si="145"/>
        <v>0</v>
      </c>
      <c r="DG36" s="606">
        <f t="shared" si="146"/>
        <v>0</v>
      </c>
      <c r="DH36" s="607">
        <f t="shared" si="147"/>
        <v>0</v>
      </c>
      <c r="DI36" s="608">
        <f t="shared" si="148"/>
        <v>0</v>
      </c>
      <c r="DJ36" s="607">
        <f t="shared" si="149"/>
        <v>86</v>
      </c>
      <c r="DK36" s="608">
        <f t="shared" si="150"/>
        <v>88</v>
      </c>
      <c r="DL36" s="607">
        <f t="shared" si="151"/>
        <v>86</v>
      </c>
      <c r="DM36" s="608">
        <f t="shared" si="152"/>
        <v>88</v>
      </c>
      <c r="DN36" s="607">
        <f t="shared" si="153"/>
        <v>0</v>
      </c>
      <c r="DO36" s="612">
        <f t="shared" si="154"/>
        <v>0</v>
      </c>
      <c r="DP36" s="607">
        <f t="shared" si="155"/>
        <v>0</v>
      </c>
      <c r="DQ36" s="606">
        <f t="shared" si="156"/>
        <v>0</v>
      </c>
      <c r="DR36" s="607">
        <f t="shared" si="157"/>
        <v>0</v>
      </c>
      <c r="DS36" s="606">
        <f t="shared" si="158"/>
        <v>0</v>
      </c>
      <c r="DT36" s="607">
        <f t="shared" si="159"/>
        <v>0</v>
      </c>
      <c r="DU36" s="606">
        <f t="shared" si="160"/>
        <v>0</v>
      </c>
      <c r="DV36" s="607">
        <f t="shared" si="161"/>
        <v>0</v>
      </c>
      <c r="DW36" s="608">
        <f t="shared" si="162"/>
        <v>0</v>
      </c>
      <c r="DX36" s="607">
        <f t="shared" si="163"/>
        <v>4412731.3734015347</v>
      </c>
      <c r="DY36" s="608">
        <f t="shared" si="164"/>
        <v>4492184.4494382022</v>
      </c>
      <c r="DZ36" s="607">
        <f t="shared" si="165"/>
        <v>4412731.3734015347</v>
      </c>
      <c r="EA36" s="608">
        <f t="shared" si="166"/>
        <v>4492184.4494382022</v>
      </c>
    </row>
    <row r="37" spans="1:131" x14ac:dyDescent="0.2">
      <c r="A37" s="481" t="s">
        <v>31</v>
      </c>
      <c r="B37" s="440" t="s">
        <v>798</v>
      </c>
      <c r="C37" s="533"/>
      <c r="D37" s="407">
        <v>101949</v>
      </c>
      <c r="E37" s="407">
        <v>10</v>
      </c>
      <c r="F37" s="598"/>
      <c r="G37" s="599"/>
      <c r="H37" s="600"/>
      <c r="I37" s="601"/>
      <c r="J37" s="600"/>
      <c r="K37" s="599"/>
      <c r="L37" s="600"/>
      <c r="M37" s="601"/>
      <c r="N37" s="600"/>
      <c r="O37" s="599"/>
      <c r="P37" s="600"/>
      <c r="Q37" s="601"/>
      <c r="R37" s="600"/>
      <c r="S37" s="599"/>
      <c r="T37" s="600"/>
      <c r="U37" s="601"/>
      <c r="V37" s="600"/>
      <c r="W37" s="599"/>
      <c r="X37" s="600"/>
      <c r="Y37" s="601"/>
      <c r="Z37" s="600"/>
      <c r="AA37" s="599"/>
      <c r="AB37" s="600"/>
      <c r="AC37" s="601"/>
      <c r="AD37" s="600"/>
      <c r="AE37" s="599"/>
      <c r="AF37" s="600"/>
      <c r="AG37" s="601"/>
      <c r="AH37" s="600"/>
      <c r="AI37" s="599"/>
      <c r="AJ37" s="600"/>
      <c r="AK37" s="601"/>
      <c r="AL37" s="600"/>
      <c r="AM37" s="599"/>
      <c r="AN37" s="600"/>
      <c r="AO37" s="601"/>
      <c r="AP37" s="600"/>
      <c r="AQ37" s="599"/>
      <c r="AR37" s="600"/>
      <c r="AS37" s="601"/>
      <c r="AT37" s="600">
        <v>42</v>
      </c>
      <c r="AU37" s="599">
        <v>39</v>
      </c>
      <c r="AV37" s="600"/>
      <c r="AW37" s="601"/>
      <c r="AX37" s="600">
        <v>16</v>
      </c>
      <c r="AY37" s="599"/>
      <c r="AZ37" s="600"/>
      <c r="BA37" s="601">
        <v>0</v>
      </c>
      <c r="BB37" s="602">
        <v>0</v>
      </c>
      <c r="BC37" s="599"/>
      <c r="BD37" s="600">
        <v>0</v>
      </c>
      <c r="BE37" s="599"/>
      <c r="BF37" s="600">
        <v>0</v>
      </c>
      <c r="BG37" s="599"/>
      <c r="BH37" s="600">
        <v>0</v>
      </c>
      <c r="BI37" s="599"/>
      <c r="BJ37" s="600">
        <v>0</v>
      </c>
      <c r="BK37" s="615"/>
      <c r="BL37" s="600">
        <v>2966999</v>
      </c>
      <c r="BM37" s="604">
        <v>2043562</v>
      </c>
      <c r="BN37" s="605">
        <f t="shared" si="101"/>
        <v>0</v>
      </c>
      <c r="BO37" s="606">
        <f t="shared" si="102"/>
        <v>0</v>
      </c>
      <c r="BP37" s="607">
        <f t="shared" si="103"/>
        <v>0</v>
      </c>
      <c r="BQ37" s="606">
        <f t="shared" si="104"/>
        <v>0</v>
      </c>
      <c r="BR37" s="607">
        <f t="shared" si="105"/>
        <v>0</v>
      </c>
      <c r="BS37" s="606">
        <f t="shared" si="106"/>
        <v>0</v>
      </c>
      <c r="BT37" s="607">
        <f t="shared" si="107"/>
        <v>0</v>
      </c>
      <c r="BU37" s="606">
        <f t="shared" si="108"/>
        <v>0</v>
      </c>
      <c r="BV37" s="607">
        <f t="shared" si="109"/>
        <v>0</v>
      </c>
      <c r="BW37" s="608">
        <f t="shared" si="110"/>
        <v>0</v>
      </c>
      <c r="BX37" s="607">
        <f t="shared" si="111"/>
        <v>554</v>
      </c>
      <c r="BY37" s="608">
        <f t="shared" si="112"/>
        <v>351</v>
      </c>
      <c r="BZ37" s="607">
        <f t="shared" si="113"/>
        <v>0</v>
      </c>
      <c r="CA37" s="608">
        <f t="shared" si="114"/>
        <v>0</v>
      </c>
      <c r="CB37" s="607">
        <f t="shared" si="115"/>
        <v>0</v>
      </c>
      <c r="CC37" s="608">
        <f t="shared" si="116"/>
        <v>0</v>
      </c>
      <c r="CD37" s="607">
        <f t="shared" si="117"/>
        <v>0</v>
      </c>
      <c r="CE37" s="608">
        <f t="shared" si="118"/>
        <v>0</v>
      </c>
      <c r="CF37" s="607">
        <f t="shared" si="119"/>
        <v>0</v>
      </c>
      <c r="CG37" s="608">
        <f t="shared" si="120"/>
        <v>0</v>
      </c>
      <c r="CH37" s="607">
        <f t="shared" si="121"/>
        <v>0</v>
      </c>
      <c r="CI37" s="608">
        <f t="shared" si="122"/>
        <v>0</v>
      </c>
      <c r="CJ37" s="607">
        <f t="shared" si="123"/>
        <v>5355.5938628158847</v>
      </c>
      <c r="CK37" s="608">
        <f t="shared" si="124"/>
        <v>5822.1139601139603</v>
      </c>
      <c r="CL37" s="609">
        <f t="shared" si="125"/>
        <v>0</v>
      </c>
      <c r="CM37" s="608">
        <f t="shared" si="126"/>
        <v>0</v>
      </c>
      <c r="CN37" s="610">
        <f t="shared" si="127"/>
        <v>0</v>
      </c>
      <c r="CO37" s="606">
        <f t="shared" si="128"/>
        <v>0</v>
      </c>
      <c r="CP37" s="607">
        <f t="shared" si="129"/>
        <v>0</v>
      </c>
      <c r="CQ37" s="606">
        <f t="shared" si="130"/>
        <v>0</v>
      </c>
      <c r="CR37" s="607">
        <f t="shared" si="131"/>
        <v>0</v>
      </c>
      <c r="CS37" s="606">
        <f t="shared" si="132"/>
        <v>0</v>
      </c>
      <c r="CT37" s="607">
        <f t="shared" si="133"/>
        <v>0</v>
      </c>
      <c r="CU37" s="608">
        <f t="shared" si="134"/>
        <v>0</v>
      </c>
      <c r="CV37" s="610">
        <f t="shared" si="135"/>
        <v>48200.344765342961</v>
      </c>
      <c r="CW37" s="608">
        <f t="shared" si="136"/>
        <v>52399.025641025641</v>
      </c>
      <c r="CX37" s="610">
        <f t="shared" si="137"/>
        <v>48200.344765342961</v>
      </c>
      <c r="CY37" s="611">
        <f t="shared" si="138"/>
        <v>52399.025641025641</v>
      </c>
      <c r="CZ37" s="605">
        <f t="shared" si="139"/>
        <v>0</v>
      </c>
      <c r="DA37" s="612">
        <f t="shared" si="140"/>
        <v>0</v>
      </c>
      <c r="DB37" s="607">
        <f t="shared" si="141"/>
        <v>0</v>
      </c>
      <c r="DC37" s="606">
        <f t="shared" si="142"/>
        <v>0</v>
      </c>
      <c r="DD37" s="607">
        <f t="shared" si="143"/>
        <v>0</v>
      </c>
      <c r="DE37" s="606">
        <f t="shared" si="144"/>
        <v>0</v>
      </c>
      <c r="DF37" s="607">
        <f t="shared" si="145"/>
        <v>0</v>
      </c>
      <c r="DG37" s="606">
        <f t="shared" si="146"/>
        <v>0</v>
      </c>
      <c r="DH37" s="607">
        <f t="shared" si="147"/>
        <v>0</v>
      </c>
      <c r="DI37" s="608">
        <f t="shared" si="148"/>
        <v>0</v>
      </c>
      <c r="DJ37" s="607">
        <f t="shared" si="149"/>
        <v>58</v>
      </c>
      <c r="DK37" s="608">
        <f t="shared" si="150"/>
        <v>39</v>
      </c>
      <c r="DL37" s="607">
        <f t="shared" si="151"/>
        <v>58</v>
      </c>
      <c r="DM37" s="608">
        <f t="shared" si="152"/>
        <v>39</v>
      </c>
      <c r="DN37" s="607">
        <f t="shared" si="153"/>
        <v>0</v>
      </c>
      <c r="DO37" s="612">
        <f t="shared" si="154"/>
        <v>0</v>
      </c>
      <c r="DP37" s="607">
        <f t="shared" si="155"/>
        <v>0</v>
      </c>
      <c r="DQ37" s="606">
        <f t="shared" si="156"/>
        <v>0</v>
      </c>
      <c r="DR37" s="607">
        <f t="shared" si="157"/>
        <v>0</v>
      </c>
      <c r="DS37" s="606">
        <f t="shared" si="158"/>
        <v>0</v>
      </c>
      <c r="DT37" s="607">
        <f t="shared" si="159"/>
        <v>0</v>
      </c>
      <c r="DU37" s="606">
        <f t="shared" si="160"/>
        <v>0</v>
      </c>
      <c r="DV37" s="607">
        <f t="shared" si="161"/>
        <v>0</v>
      </c>
      <c r="DW37" s="608">
        <f t="shared" si="162"/>
        <v>0</v>
      </c>
      <c r="DX37" s="607">
        <f t="shared" si="163"/>
        <v>2795619.996389892</v>
      </c>
      <c r="DY37" s="608">
        <f t="shared" si="164"/>
        <v>2043562</v>
      </c>
      <c r="DZ37" s="607">
        <f t="shared" si="165"/>
        <v>2795619.996389892</v>
      </c>
      <c r="EA37" s="608">
        <f t="shared" si="166"/>
        <v>2043562</v>
      </c>
    </row>
    <row r="38" spans="1:131" x14ac:dyDescent="0.2">
      <c r="A38" s="481" t="s">
        <v>31</v>
      </c>
      <c r="B38" s="440" t="s">
        <v>803</v>
      </c>
      <c r="C38" s="533"/>
      <c r="D38" s="407">
        <v>101028</v>
      </c>
      <c r="E38" s="407">
        <v>10</v>
      </c>
      <c r="F38" s="598"/>
      <c r="G38" s="599"/>
      <c r="H38" s="600"/>
      <c r="I38" s="601"/>
      <c r="J38" s="600"/>
      <c r="K38" s="599"/>
      <c r="L38" s="600"/>
      <c r="M38" s="601"/>
      <c r="N38" s="600"/>
      <c r="O38" s="599"/>
      <c r="P38" s="600"/>
      <c r="Q38" s="601"/>
      <c r="R38" s="600"/>
      <c r="S38" s="599"/>
      <c r="T38" s="600"/>
      <c r="U38" s="601"/>
      <c r="V38" s="600"/>
      <c r="W38" s="599"/>
      <c r="X38" s="600"/>
      <c r="Y38" s="601"/>
      <c r="Z38" s="600"/>
      <c r="AA38" s="599"/>
      <c r="AB38" s="600"/>
      <c r="AC38" s="601"/>
      <c r="AD38" s="600"/>
      <c r="AE38" s="599"/>
      <c r="AF38" s="600"/>
      <c r="AG38" s="601"/>
      <c r="AH38" s="600"/>
      <c r="AI38" s="599"/>
      <c r="AJ38" s="600"/>
      <c r="AK38" s="601"/>
      <c r="AL38" s="600"/>
      <c r="AM38" s="599"/>
      <c r="AN38" s="600"/>
      <c r="AO38" s="601"/>
      <c r="AP38" s="600"/>
      <c r="AQ38" s="599"/>
      <c r="AR38" s="600"/>
      <c r="AS38" s="601"/>
      <c r="AT38" s="600">
        <v>35</v>
      </c>
      <c r="AU38" s="599">
        <v>20</v>
      </c>
      <c r="AV38" s="600"/>
      <c r="AW38" s="601"/>
      <c r="AX38" s="600"/>
      <c r="AY38" s="599"/>
      <c r="AZ38" s="600"/>
      <c r="BA38" s="601">
        <v>16</v>
      </c>
      <c r="BB38" s="602">
        <v>0</v>
      </c>
      <c r="BC38" s="599"/>
      <c r="BD38" s="600">
        <v>0</v>
      </c>
      <c r="BE38" s="599"/>
      <c r="BF38" s="600">
        <v>0</v>
      </c>
      <c r="BG38" s="599"/>
      <c r="BH38" s="600">
        <v>0</v>
      </c>
      <c r="BI38" s="599"/>
      <c r="BJ38" s="600">
        <v>0</v>
      </c>
      <c r="BK38" s="615"/>
      <c r="BL38" s="600">
        <v>1884434</v>
      </c>
      <c r="BM38" s="604">
        <v>2027915</v>
      </c>
      <c r="BN38" s="605">
        <f t="shared" si="101"/>
        <v>0</v>
      </c>
      <c r="BO38" s="606">
        <f t="shared" si="102"/>
        <v>0</v>
      </c>
      <c r="BP38" s="607">
        <f t="shared" si="103"/>
        <v>0</v>
      </c>
      <c r="BQ38" s="606">
        <f t="shared" si="104"/>
        <v>0</v>
      </c>
      <c r="BR38" s="607">
        <f t="shared" si="105"/>
        <v>0</v>
      </c>
      <c r="BS38" s="606">
        <f t="shared" si="106"/>
        <v>0</v>
      </c>
      <c r="BT38" s="607">
        <f t="shared" si="107"/>
        <v>0</v>
      </c>
      <c r="BU38" s="606">
        <f t="shared" si="108"/>
        <v>0</v>
      </c>
      <c r="BV38" s="607">
        <f t="shared" si="109"/>
        <v>0</v>
      </c>
      <c r="BW38" s="608">
        <f t="shared" si="110"/>
        <v>0</v>
      </c>
      <c r="BX38" s="607">
        <f t="shared" si="111"/>
        <v>315</v>
      </c>
      <c r="BY38" s="608">
        <f t="shared" si="112"/>
        <v>372</v>
      </c>
      <c r="BZ38" s="607">
        <f t="shared" si="113"/>
        <v>0</v>
      </c>
      <c r="CA38" s="608">
        <f t="shared" si="114"/>
        <v>0</v>
      </c>
      <c r="CB38" s="607">
        <f t="shared" si="115"/>
        <v>0</v>
      </c>
      <c r="CC38" s="608">
        <f t="shared" si="116"/>
        <v>0</v>
      </c>
      <c r="CD38" s="607">
        <f t="shared" si="117"/>
        <v>0</v>
      </c>
      <c r="CE38" s="608">
        <f t="shared" si="118"/>
        <v>0</v>
      </c>
      <c r="CF38" s="607">
        <f t="shared" si="119"/>
        <v>0</v>
      </c>
      <c r="CG38" s="608">
        <f t="shared" si="120"/>
        <v>0</v>
      </c>
      <c r="CH38" s="607">
        <f t="shared" si="121"/>
        <v>0</v>
      </c>
      <c r="CI38" s="608">
        <f t="shared" si="122"/>
        <v>0</v>
      </c>
      <c r="CJ38" s="607">
        <f t="shared" si="123"/>
        <v>5982.3301587301585</v>
      </c>
      <c r="CK38" s="608">
        <f t="shared" si="124"/>
        <v>5451.3844086021509</v>
      </c>
      <c r="CL38" s="609">
        <f t="shared" si="125"/>
        <v>0</v>
      </c>
      <c r="CM38" s="608">
        <f t="shared" si="126"/>
        <v>0</v>
      </c>
      <c r="CN38" s="610">
        <f t="shared" si="127"/>
        <v>0</v>
      </c>
      <c r="CO38" s="606">
        <f t="shared" si="128"/>
        <v>0</v>
      </c>
      <c r="CP38" s="607">
        <f t="shared" si="129"/>
        <v>0</v>
      </c>
      <c r="CQ38" s="606">
        <f t="shared" si="130"/>
        <v>0</v>
      </c>
      <c r="CR38" s="607">
        <f t="shared" si="131"/>
        <v>0</v>
      </c>
      <c r="CS38" s="606">
        <f t="shared" si="132"/>
        <v>0</v>
      </c>
      <c r="CT38" s="607">
        <f t="shared" si="133"/>
        <v>0</v>
      </c>
      <c r="CU38" s="608">
        <f t="shared" si="134"/>
        <v>0</v>
      </c>
      <c r="CV38" s="610">
        <f t="shared" si="135"/>
        <v>53840.971428571429</v>
      </c>
      <c r="CW38" s="608">
        <f t="shared" si="136"/>
        <v>49062.459677419356</v>
      </c>
      <c r="CX38" s="610">
        <f t="shared" si="137"/>
        <v>53840.971428571429</v>
      </c>
      <c r="CY38" s="611">
        <f t="shared" si="138"/>
        <v>49062.459677419356</v>
      </c>
      <c r="CZ38" s="605">
        <f t="shared" si="139"/>
        <v>0</v>
      </c>
      <c r="DA38" s="612">
        <f t="shared" si="140"/>
        <v>0</v>
      </c>
      <c r="DB38" s="607">
        <f t="shared" si="141"/>
        <v>0</v>
      </c>
      <c r="DC38" s="606">
        <f t="shared" si="142"/>
        <v>0</v>
      </c>
      <c r="DD38" s="607">
        <f t="shared" si="143"/>
        <v>0</v>
      </c>
      <c r="DE38" s="606">
        <f t="shared" si="144"/>
        <v>0</v>
      </c>
      <c r="DF38" s="607">
        <f t="shared" si="145"/>
        <v>0</v>
      </c>
      <c r="DG38" s="606">
        <f t="shared" si="146"/>
        <v>0</v>
      </c>
      <c r="DH38" s="607">
        <f t="shared" si="147"/>
        <v>0</v>
      </c>
      <c r="DI38" s="608">
        <f t="shared" si="148"/>
        <v>0</v>
      </c>
      <c r="DJ38" s="607">
        <f t="shared" si="149"/>
        <v>35</v>
      </c>
      <c r="DK38" s="608">
        <f t="shared" si="150"/>
        <v>36</v>
      </c>
      <c r="DL38" s="607">
        <f t="shared" si="151"/>
        <v>35</v>
      </c>
      <c r="DM38" s="608">
        <f t="shared" si="152"/>
        <v>36</v>
      </c>
      <c r="DN38" s="607">
        <f t="shared" si="153"/>
        <v>0</v>
      </c>
      <c r="DO38" s="612">
        <f t="shared" si="154"/>
        <v>0</v>
      </c>
      <c r="DP38" s="607">
        <f t="shared" si="155"/>
        <v>0</v>
      </c>
      <c r="DQ38" s="606">
        <f t="shared" si="156"/>
        <v>0</v>
      </c>
      <c r="DR38" s="607">
        <f t="shared" si="157"/>
        <v>0</v>
      </c>
      <c r="DS38" s="606">
        <f t="shared" si="158"/>
        <v>0</v>
      </c>
      <c r="DT38" s="607">
        <f t="shared" si="159"/>
        <v>0</v>
      </c>
      <c r="DU38" s="606">
        <f t="shared" si="160"/>
        <v>0</v>
      </c>
      <c r="DV38" s="607">
        <f t="shared" si="161"/>
        <v>0</v>
      </c>
      <c r="DW38" s="608">
        <f t="shared" si="162"/>
        <v>0</v>
      </c>
      <c r="DX38" s="607">
        <f t="shared" si="163"/>
        <v>1884434</v>
      </c>
      <c r="DY38" s="608">
        <f t="shared" si="164"/>
        <v>1766248.5483870967</v>
      </c>
      <c r="DZ38" s="607">
        <f t="shared" si="165"/>
        <v>1884434</v>
      </c>
      <c r="EA38" s="608">
        <f t="shared" si="166"/>
        <v>1766248.5483870967</v>
      </c>
    </row>
    <row r="39" spans="1:131" x14ac:dyDescent="0.2">
      <c r="A39" s="481" t="s">
        <v>31</v>
      </c>
      <c r="B39" s="440" t="s">
        <v>822</v>
      </c>
      <c r="C39" s="533"/>
      <c r="D39" s="407">
        <v>101301</v>
      </c>
      <c r="E39" s="407">
        <v>10</v>
      </c>
      <c r="F39" s="598"/>
      <c r="G39" s="599"/>
      <c r="H39" s="600"/>
      <c r="I39" s="601"/>
      <c r="J39" s="600"/>
      <c r="K39" s="599"/>
      <c r="L39" s="600"/>
      <c r="M39" s="601"/>
      <c r="N39" s="600"/>
      <c r="O39" s="599"/>
      <c r="P39" s="600"/>
      <c r="Q39" s="601"/>
      <c r="R39" s="600"/>
      <c r="S39" s="599"/>
      <c r="T39" s="600"/>
      <c r="U39" s="601"/>
      <c r="V39" s="600"/>
      <c r="W39" s="599"/>
      <c r="X39" s="600"/>
      <c r="Y39" s="601"/>
      <c r="Z39" s="600"/>
      <c r="AA39" s="599"/>
      <c r="AB39" s="600"/>
      <c r="AC39" s="601"/>
      <c r="AD39" s="600"/>
      <c r="AE39" s="599"/>
      <c r="AF39" s="600"/>
      <c r="AG39" s="601"/>
      <c r="AH39" s="600"/>
      <c r="AI39" s="599"/>
      <c r="AJ39" s="600"/>
      <c r="AK39" s="601"/>
      <c r="AL39" s="600"/>
      <c r="AM39" s="599"/>
      <c r="AN39" s="600"/>
      <c r="AO39" s="601"/>
      <c r="AP39" s="600"/>
      <c r="AQ39" s="599"/>
      <c r="AR39" s="600"/>
      <c r="AS39" s="601"/>
      <c r="AT39" s="600">
        <v>52</v>
      </c>
      <c r="AU39" s="599">
        <v>53</v>
      </c>
      <c r="AV39" s="600"/>
      <c r="AW39" s="601"/>
      <c r="AX39" s="600">
        <v>1</v>
      </c>
      <c r="AY39" s="599"/>
      <c r="AZ39" s="600"/>
      <c r="BA39" s="601">
        <v>0</v>
      </c>
      <c r="BB39" s="602">
        <v>0</v>
      </c>
      <c r="BC39" s="599"/>
      <c r="BD39" s="600">
        <v>0</v>
      </c>
      <c r="BE39" s="599"/>
      <c r="BF39" s="600">
        <v>0</v>
      </c>
      <c r="BG39" s="599"/>
      <c r="BH39" s="600">
        <v>0</v>
      </c>
      <c r="BI39" s="599"/>
      <c r="BJ39" s="600">
        <v>0</v>
      </c>
      <c r="BK39" s="615"/>
      <c r="BL39" s="600">
        <v>2690401</v>
      </c>
      <c r="BM39" s="616">
        <v>2804091</v>
      </c>
      <c r="BN39" s="605">
        <f t="shared" si="101"/>
        <v>0</v>
      </c>
      <c r="BO39" s="606">
        <f t="shared" si="102"/>
        <v>0</v>
      </c>
      <c r="BP39" s="607">
        <f t="shared" si="103"/>
        <v>0</v>
      </c>
      <c r="BQ39" s="606">
        <f t="shared" si="104"/>
        <v>0</v>
      </c>
      <c r="BR39" s="607">
        <f t="shared" si="105"/>
        <v>0</v>
      </c>
      <c r="BS39" s="606">
        <f t="shared" si="106"/>
        <v>0</v>
      </c>
      <c r="BT39" s="607">
        <f t="shared" si="107"/>
        <v>0</v>
      </c>
      <c r="BU39" s="606">
        <f t="shared" si="108"/>
        <v>0</v>
      </c>
      <c r="BV39" s="607">
        <f t="shared" si="109"/>
        <v>0</v>
      </c>
      <c r="BW39" s="608">
        <f t="shared" si="110"/>
        <v>0</v>
      </c>
      <c r="BX39" s="607">
        <f t="shared" si="111"/>
        <v>479</v>
      </c>
      <c r="BY39" s="608">
        <f t="shared" si="112"/>
        <v>477</v>
      </c>
      <c r="BZ39" s="607">
        <f t="shared" si="113"/>
        <v>0</v>
      </c>
      <c r="CA39" s="608">
        <f t="shared" si="114"/>
        <v>0</v>
      </c>
      <c r="CB39" s="607">
        <f t="shared" si="115"/>
        <v>0</v>
      </c>
      <c r="CC39" s="608">
        <f t="shared" si="116"/>
        <v>0</v>
      </c>
      <c r="CD39" s="607">
        <f t="shared" si="117"/>
        <v>0</v>
      </c>
      <c r="CE39" s="608">
        <f t="shared" si="118"/>
        <v>0</v>
      </c>
      <c r="CF39" s="607">
        <f t="shared" si="119"/>
        <v>0</v>
      </c>
      <c r="CG39" s="608">
        <f t="shared" si="120"/>
        <v>0</v>
      </c>
      <c r="CH39" s="607">
        <f t="shared" si="121"/>
        <v>0</v>
      </c>
      <c r="CI39" s="608">
        <f t="shared" si="122"/>
        <v>0</v>
      </c>
      <c r="CJ39" s="607">
        <f t="shared" si="123"/>
        <v>5616.7035490605431</v>
      </c>
      <c r="CK39" s="608">
        <f t="shared" si="124"/>
        <v>5878.5974842767291</v>
      </c>
      <c r="CL39" s="609">
        <f t="shared" si="125"/>
        <v>0</v>
      </c>
      <c r="CM39" s="608">
        <f t="shared" si="126"/>
        <v>0</v>
      </c>
      <c r="CN39" s="610">
        <f t="shared" si="127"/>
        <v>0</v>
      </c>
      <c r="CO39" s="606">
        <f t="shared" si="128"/>
        <v>0</v>
      </c>
      <c r="CP39" s="607">
        <f t="shared" si="129"/>
        <v>0</v>
      </c>
      <c r="CQ39" s="606">
        <f t="shared" si="130"/>
        <v>0</v>
      </c>
      <c r="CR39" s="607">
        <f t="shared" si="131"/>
        <v>0</v>
      </c>
      <c r="CS39" s="606">
        <f t="shared" si="132"/>
        <v>0</v>
      </c>
      <c r="CT39" s="607">
        <f t="shared" si="133"/>
        <v>0</v>
      </c>
      <c r="CU39" s="608">
        <f t="shared" si="134"/>
        <v>0</v>
      </c>
      <c r="CV39" s="610">
        <f t="shared" si="135"/>
        <v>50550.331941544886</v>
      </c>
      <c r="CW39" s="608">
        <f t="shared" si="136"/>
        <v>52907.377358490565</v>
      </c>
      <c r="CX39" s="610">
        <f t="shared" si="137"/>
        <v>50550.331941544886</v>
      </c>
      <c r="CY39" s="611">
        <f t="shared" si="138"/>
        <v>52907.377358490565</v>
      </c>
      <c r="CZ39" s="605">
        <f t="shared" si="139"/>
        <v>0</v>
      </c>
      <c r="DA39" s="612">
        <f t="shared" si="140"/>
        <v>0</v>
      </c>
      <c r="DB39" s="607">
        <f t="shared" si="141"/>
        <v>0</v>
      </c>
      <c r="DC39" s="606">
        <f t="shared" si="142"/>
        <v>0</v>
      </c>
      <c r="DD39" s="607">
        <f t="shared" si="143"/>
        <v>0</v>
      </c>
      <c r="DE39" s="606">
        <f t="shared" si="144"/>
        <v>0</v>
      </c>
      <c r="DF39" s="607">
        <f t="shared" si="145"/>
        <v>0</v>
      </c>
      <c r="DG39" s="606">
        <f t="shared" si="146"/>
        <v>0</v>
      </c>
      <c r="DH39" s="607">
        <f t="shared" si="147"/>
        <v>0</v>
      </c>
      <c r="DI39" s="608">
        <f t="shared" si="148"/>
        <v>0</v>
      </c>
      <c r="DJ39" s="607">
        <f t="shared" si="149"/>
        <v>53</v>
      </c>
      <c r="DK39" s="608">
        <f t="shared" si="150"/>
        <v>53</v>
      </c>
      <c r="DL39" s="607">
        <f t="shared" si="151"/>
        <v>53</v>
      </c>
      <c r="DM39" s="608">
        <f t="shared" si="152"/>
        <v>53</v>
      </c>
      <c r="DN39" s="607">
        <f t="shared" si="153"/>
        <v>0</v>
      </c>
      <c r="DO39" s="612">
        <f t="shared" si="154"/>
        <v>0</v>
      </c>
      <c r="DP39" s="607">
        <f t="shared" si="155"/>
        <v>0</v>
      </c>
      <c r="DQ39" s="606">
        <f t="shared" si="156"/>
        <v>0</v>
      </c>
      <c r="DR39" s="607">
        <f t="shared" si="157"/>
        <v>0</v>
      </c>
      <c r="DS39" s="606">
        <f t="shared" si="158"/>
        <v>0</v>
      </c>
      <c r="DT39" s="607">
        <f t="shared" si="159"/>
        <v>0</v>
      </c>
      <c r="DU39" s="606">
        <f t="shared" si="160"/>
        <v>0</v>
      </c>
      <c r="DV39" s="607">
        <f t="shared" si="161"/>
        <v>0</v>
      </c>
      <c r="DW39" s="608">
        <f t="shared" si="162"/>
        <v>0</v>
      </c>
      <c r="DX39" s="607">
        <f t="shared" si="163"/>
        <v>2679167.592901879</v>
      </c>
      <c r="DY39" s="608">
        <f t="shared" si="164"/>
        <v>2804091</v>
      </c>
      <c r="DZ39" s="607">
        <f t="shared" si="165"/>
        <v>2679167.592901879</v>
      </c>
      <c r="EA39" s="608">
        <f t="shared" si="166"/>
        <v>2804091</v>
      </c>
    </row>
    <row r="40" spans="1:131" x14ac:dyDescent="0.2">
      <c r="A40" s="481" t="s">
        <v>31</v>
      </c>
      <c r="B40" s="440" t="s">
        <v>809</v>
      </c>
      <c r="C40" s="533"/>
      <c r="D40" s="407">
        <v>101499</v>
      </c>
      <c r="E40" s="407">
        <v>10</v>
      </c>
      <c r="F40" s="598"/>
      <c r="G40" s="599"/>
      <c r="H40" s="600"/>
      <c r="I40" s="601"/>
      <c r="J40" s="600"/>
      <c r="K40" s="599"/>
      <c r="L40" s="600"/>
      <c r="M40" s="601"/>
      <c r="N40" s="600"/>
      <c r="O40" s="599"/>
      <c r="P40" s="600"/>
      <c r="Q40" s="601"/>
      <c r="R40" s="600"/>
      <c r="S40" s="599"/>
      <c r="T40" s="600"/>
      <c r="U40" s="601"/>
      <c r="V40" s="600"/>
      <c r="W40" s="599"/>
      <c r="X40" s="600"/>
      <c r="Y40" s="601"/>
      <c r="Z40" s="600"/>
      <c r="AA40" s="599"/>
      <c r="AB40" s="600"/>
      <c r="AC40" s="601"/>
      <c r="AD40" s="600"/>
      <c r="AE40" s="599"/>
      <c r="AF40" s="600"/>
      <c r="AG40" s="601"/>
      <c r="AH40" s="600"/>
      <c r="AI40" s="599"/>
      <c r="AJ40" s="600"/>
      <c r="AK40" s="601"/>
      <c r="AL40" s="600"/>
      <c r="AM40" s="599"/>
      <c r="AN40" s="600"/>
      <c r="AO40" s="601"/>
      <c r="AP40" s="600"/>
      <c r="AQ40" s="599"/>
      <c r="AR40" s="600"/>
      <c r="AS40" s="601"/>
      <c r="AT40" s="600">
        <v>34</v>
      </c>
      <c r="AU40" s="599">
        <v>36</v>
      </c>
      <c r="AV40" s="600"/>
      <c r="AW40" s="601"/>
      <c r="AX40" s="600">
        <v>2</v>
      </c>
      <c r="AY40" s="599"/>
      <c r="AZ40" s="600"/>
      <c r="BA40" s="601">
        <v>3</v>
      </c>
      <c r="BB40" s="602">
        <v>0</v>
      </c>
      <c r="BC40" s="599"/>
      <c r="BD40" s="600">
        <v>0</v>
      </c>
      <c r="BE40" s="599"/>
      <c r="BF40" s="600">
        <v>0</v>
      </c>
      <c r="BG40" s="599"/>
      <c r="BH40" s="600">
        <v>0</v>
      </c>
      <c r="BI40" s="599"/>
      <c r="BJ40" s="600">
        <v>0</v>
      </c>
      <c r="BK40" s="615"/>
      <c r="BL40" s="600">
        <v>1944167</v>
      </c>
      <c r="BM40" s="604">
        <v>2005137</v>
      </c>
      <c r="BN40" s="605">
        <f t="shared" si="101"/>
        <v>0</v>
      </c>
      <c r="BO40" s="606">
        <f t="shared" si="102"/>
        <v>0</v>
      </c>
      <c r="BP40" s="607">
        <f t="shared" si="103"/>
        <v>0</v>
      </c>
      <c r="BQ40" s="606">
        <f t="shared" si="104"/>
        <v>0</v>
      </c>
      <c r="BR40" s="607">
        <f t="shared" si="105"/>
        <v>0</v>
      </c>
      <c r="BS40" s="606">
        <f t="shared" si="106"/>
        <v>0</v>
      </c>
      <c r="BT40" s="607">
        <f t="shared" si="107"/>
        <v>0</v>
      </c>
      <c r="BU40" s="606">
        <f t="shared" si="108"/>
        <v>0</v>
      </c>
      <c r="BV40" s="607">
        <f t="shared" si="109"/>
        <v>0</v>
      </c>
      <c r="BW40" s="608">
        <f t="shared" si="110"/>
        <v>0</v>
      </c>
      <c r="BX40" s="607">
        <f t="shared" si="111"/>
        <v>328</v>
      </c>
      <c r="BY40" s="608">
        <f t="shared" si="112"/>
        <v>360</v>
      </c>
      <c r="BZ40" s="607">
        <f t="shared" si="113"/>
        <v>0</v>
      </c>
      <c r="CA40" s="608">
        <f t="shared" si="114"/>
        <v>0</v>
      </c>
      <c r="CB40" s="607">
        <f t="shared" si="115"/>
        <v>0</v>
      </c>
      <c r="CC40" s="608">
        <f t="shared" si="116"/>
        <v>0</v>
      </c>
      <c r="CD40" s="607">
        <f t="shared" si="117"/>
        <v>0</v>
      </c>
      <c r="CE40" s="608">
        <f t="shared" si="118"/>
        <v>0</v>
      </c>
      <c r="CF40" s="607">
        <f t="shared" si="119"/>
        <v>0</v>
      </c>
      <c r="CG40" s="608">
        <f t="shared" si="120"/>
        <v>0</v>
      </c>
      <c r="CH40" s="607">
        <f t="shared" si="121"/>
        <v>0</v>
      </c>
      <c r="CI40" s="608">
        <f t="shared" si="122"/>
        <v>0</v>
      </c>
      <c r="CJ40" s="607">
        <f t="shared" si="123"/>
        <v>5927.3384146341459</v>
      </c>
      <c r="CK40" s="608">
        <f t="shared" si="124"/>
        <v>5569.8249999999998</v>
      </c>
      <c r="CL40" s="609">
        <f t="shared" si="125"/>
        <v>0</v>
      </c>
      <c r="CM40" s="608">
        <f t="shared" si="126"/>
        <v>0</v>
      </c>
      <c r="CN40" s="610">
        <f t="shared" si="127"/>
        <v>0</v>
      </c>
      <c r="CO40" s="606">
        <f t="shared" si="128"/>
        <v>0</v>
      </c>
      <c r="CP40" s="607">
        <f t="shared" si="129"/>
        <v>0</v>
      </c>
      <c r="CQ40" s="606">
        <f t="shared" si="130"/>
        <v>0</v>
      </c>
      <c r="CR40" s="607">
        <f t="shared" si="131"/>
        <v>0</v>
      </c>
      <c r="CS40" s="606">
        <f t="shared" si="132"/>
        <v>0</v>
      </c>
      <c r="CT40" s="607">
        <f t="shared" si="133"/>
        <v>0</v>
      </c>
      <c r="CU40" s="608">
        <f t="shared" si="134"/>
        <v>0</v>
      </c>
      <c r="CV40" s="610">
        <f t="shared" si="135"/>
        <v>53346.045731707316</v>
      </c>
      <c r="CW40" s="608">
        <f t="shared" si="136"/>
        <v>50128.424999999996</v>
      </c>
      <c r="CX40" s="610">
        <f t="shared" si="137"/>
        <v>53346.045731707316</v>
      </c>
      <c r="CY40" s="611">
        <f t="shared" si="138"/>
        <v>50128.424999999996</v>
      </c>
      <c r="CZ40" s="605">
        <f t="shared" si="139"/>
        <v>0</v>
      </c>
      <c r="DA40" s="612">
        <f t="shared" si="140"/>
        <v>0</v>
      </c>
      <c r="DB40" s="607">
        <f t="shared" si="141"/>
        <v>0</v>
      </c>
      <c r="DC40" s="606">
        <f t="shared" si="142"/>
        <v>0</v>
      </c>
      <c r="DD40" s="607">
        <f t="shared" si="143"/>
        <v>0</v>
      </c>
      <c r="DE40" s="606">
        <f t="shared" si="144"/>
        <v>0</v>
      </c>
      <c r="DF40" s="607">
        <f t="shared" si="145"/>
        <v>0</v>
      </c>
      <c r="DG40" s="606">
        <f t="shared" si="146"/>
        <v>0</v>
      </c>
      <c r="DH40" s="607">
        <f t="shared" si="147"/>
        <v>0</v>
      </c>
      <c r="DI40" s="608">
        <f t="shared" si="148"/>
        <v>0</v>
      </c>
      <c r="DJ40" s="607">
        <f t="shared" si="149"/>
        <v>36</v>
      </c>
      <c r="DK40" s="608">
        <f t="shared" si="150"/>
        <v>39</v>
      </c>
      <c r="DL40" s="607">
        <f t="shared" si="151"/>
        <v>36</v>
      </c>
      <c r="DM40" s="608">
        <f t="shared" si="152"/>
        <v>39</v>
      </c>
      <c r="DN40" s="607">
        <f t="shared" si="153"/>
        <v>0</v>
      </c>
      <c r="DO40" s="612">
        <f t="shared" si="154"/>
        <v>0</v>
      </c>
      <c r="DP40" s="607">
        <f t="shared" si="155"/>
        <v>0</v>
      </c>
      <c r="DQ40" s="606">
        <f t="shared" si="156"/>
        <v>0</v>
      </c>
      <c r="DR40" s="607">
        <f t="shared" si="157"/>
        <v>0</v>
      </c>
      <c r="DS40" s="606">
        <f t="shared" si="158"/>
        <v>0</v>
      </c>
      <c r="DT40" s="607">
        <f t="shared" si="159"/>
        <v>0</v>
      </c>
      <c r="DU40" s="606">
        <f t="shared" si="160"/>
        <v>0</v>
      </c>
      <c r="DV40" s="607">
        <f t="shared" si="161"/>
        <v>0</v>
      </c>
      <c r="DW40" s="608">
        <f t="shared" si="162"/>
        <v>0</v>
      </c>
      <c r="DX40" s="607">
        <f t="shared" si="163"/>
        <v>1920457.6463414633</v>
      </c>
      <c r="DY40" s="608">
        <f t="shared" si="164"/>
        <v>1955008.5749999997</v>
      </c>
      <c r="DZ40" s="607">
        <f t="shared" si="165"/>
        <v>1920457.6463414633</v>
      </c>
      <c r="EA40" s="608">
        <f t="shared" si="166"/>
        <v>1955008.5749999997</v>
      </c>
    </row>
    <row r="41" spans="1:131" x14ac:dyDescent="0.2">
      <c r="A41" s="481" t="s">
        <v>31</v>
      </c>
      <c r="B41" s="440" t="s">
        <v>812</v>
      </c>
      <c r="C41" s="533"/>
      <c r="D41" s="407">
        <v>101602</v>
      </c>
      <c r="E41" s="407">
        <v>10</v>
      </c>
      <c r="F41" s="598"/>
      <c r="G41" s="599"/>
      <c r="H41" s="600"/>
      <c r="I41" s="601"/>
      <c r="J41" s="600"/>
      <c r="K41" s="599"/>
      <c r="L41" s="600"/>
      <c r="M41" s="601"/>
      <c r="N41" s="600"/>
      <c r="O41" s="599"/>
      <c r="P41" s="600"/>
      <c r="Q41" s="601"/>
      <c r="R41" s="600"/>
      <c r="S41" s="599"/>
      <c r="T41" s="600"/>
      <c r="U41" s="601"/>
      <c r="V41" s="600"/>
      <c r="W41" s="599"/>
      <c r="X41" s="600"/>
      <c r="Y41" s="601"/>
      <c r="Z41" s="600"/>
      <c r="AA41" s="599"/>
      <c r="AB41" s="600"/>
      <c r="AC41" s="601"/>
      <c r="AD41" s="600"/>
      <c r="AE41" s="599"/>
      <c r="AF41" s="600"/>
      <c r="AG41" s="601"/>
      <c r="AH41" s="600"/>
      <c r="AI41" s="599"/>
      <c r="AJ41" s="600"/>
      <c r="AK41" s="601"/>
      <c r="AL41" s="600"/>
      <c r="AM41" s="599"/>
      <c r="AN41" s="600"/>
      <c r="AO41" s="601"/>
      <c r="AP41" s="600"/>
      <c r="AQ41" s="599"/>
      <c r="AR41" s="600"/>
      <c r="AS41" s="601"/>
      <c r="AT41" s="600">
        <v>55</v>
      </c>
      <c r="AU41" s="599">
        <v>56</v>
      </c>
      <c r="AV41" s="600"/>
      <c r="AW41" s="601"/>
      <c r="AX41" s="600"/>
      <c r="AY41" s="599"/>
      <c r="AZ41" s="600"/>
      <c r="BA41" s="601">
        <v>1</v>
      </c>
      <c r="BB41" s="602">
        <v>0</v>
      </c>
      <c r="BC41" s="599"/>
      <c r="BD41" s="600">
        <v>0</v>
      </c>
      <c r="BE41" s="599"/>
      <c r="BF41" s="600">
        <v>0</v>
      </c>
      <c r="BG41" s="599"/>
      <c r="BH41" s="600">
        <v>0</v>
      </c>
      <c r="BI41" s="599"/>
      <c r="BJ41" s="600">
        <v>0</v>
      </c>
      <c r="BK41" s="615"/>
      <c r="BL41" s="600">
        <v>2797314</v>
      </c>
      <c r="BM41" s="604">
        <v>2958003</v>
      </c>
      <c r="BN41" s="605">
        <f t="shared" si="101"/>
        <v>0</v>
      </c>
      <c r="BO41" s="606">
        <f t="shared" si="102"/>
        <v>0</v>
      </c>
      <c r="BP41" s="607">
        <f t="shared" si="103"/>
        <v>0</v>
      </c>
      <c r="BQ41" s="606">
        <f t="shared" si="104"/>
        <v>0</v>
      </c>
      <c r="BR41" s="607">
        <f t="shared" si="105"/>
        <v>0</v>
      </c>
      <c r="BS41" s="606">
        <f t="shared" si="106"/>
        <v>0</v>
      </c>
      <c r="BT41" s="607">
        <f t="shared" si="107"/>
        <v>0</v>
      </c>
      <c r="BU41" s="606">
        <f t="shared" si="108"/>
        <v>0</v>
      </c>
      <c r="BV41" s="607">
        <f t="shared" si="109"/>
        <v>0</v>
      </c>
      <c r="BW41" s="608">
        <f t="shared" si="110"/>
        <v>0</v>
      </c>
      <c r="BX41" s="607">
        <f t="shared" si="111"/>
        <v>495</v>
      </c>
      <c r="BY41" s="608">
        <f t="shared" si="112"/>
        <v>516</v>
      </c>
      <c r="BZ41" s="607">
        <f t="shared" si="113"/>
        <v>0</v>
      </c>
      <c r="CA41" s="608">
        <f t="shared" si="114"/>
        <v>0</v>
      </c>
      <c r="CB41" s="607">
        <f t="shared" si="115"/>
        <v>0</v>
      </c>
      <c r="CC41" s="608">
        <f t="shared" si="116"/>
        <v>0</v>
      </c>
      <c r="CD41" s="607">
        <f t="shared" si="117"/>
        <v>0</v>
      </c>
      <c r="CE41" s="608">
        <f t="shared" si="118"/>
        <v>0</v>
      </c>
      <c r="CF41" s="607">
        <f t="shared" si="119"/>
        <v>0</v>
      </c>
      <c r="CG41" s="608">
        <f t="shared" si="120"/>
        <v>0</v>
      </c>
      <c r="CH41" s="607">
        <f t="shared" si="121"/>
        <v>0</v>
      </c>
      <c r="CI41" s="608">
        <f t="shared" si="122"/>
        <v>0</v>
      </c>
      <c r="CJ41" s="607">
        <f t="shared" si="123"/>
        <v>5651.1393939393938</v>
      </c>
      <c r="CK41" s="608">
        <f t="shared" si="124"/>
        <v>5732.5639534883721</v>
      </c>
      <c r="CL41" s="609">
        <f t="shared" si="125"/>
        <v>0</v>
      </c>
      <c r="CM41" s="608">
        <f t="shared" si="126"/>
        <v>0</v>
      </c>
      <c r="CN41" s="610">
        <f t="shared" si="127"/>
        <v>0</v>
      </c>
      <c r="CO41" s="606">
        <f t="shared" si="128"/>
        <v>0</v>
      </c>
      <c r="CP41" s="607">
        <f t="shared" si="129"/>
        <v>0</v>
      </c>
      <c r="CQ41" s="606">
        <f t="shared" si="130"/>
        <v>0</v>
      </c>
      <c r="CR41" s="607">
        <f t="shared" si="131"/>
        <v>0</v>
      </c>
      <c r="CS41" s="606">
        <f t="shared" si="132"/>
        <v>0</v>
      </c>
      <c r="CT41" s="607">
        <f t="shared" si="133"/>
        <v>0</v>
      </c>
      <c r="CU41" s="608">
        <f t="shared" si="134"/>
        <v>0</v>
      </c>
      <c r="CV41" s="610">
        <f t="shared" si="135"/>
        <v>50860.254545454547</v>
      </c>
      <c r="CW41" s="608">
        <f t="shared" si="136"/>
        <v>51593.075581395351</v>
      </c>
      <c r="CX41" s="610">
        <f t="shared" si="137"/>
        <v>50860.254545454547</v>
      </c>
      <c r="CY41" s="611">
        <f t="shared" si="138"/>
        <v>51593.075581395351</v>
      </c>
      <c r="CZ41" s="605">
        <f t="shared" si="139"/>
        <v>0</v>
      </c>
      <c r="DA41" s="612">
        <f t="shared" si="140"/>
        <v>0</v>
      </c>
      <c r="DB41" s="607">
        <f t="shared" si="141"/>
        <v>0</v>
      </c>
      <c r="DC41" s="606">
        <f t="shared" si="142"/>
        <v>0</v>
      </c>
      <c r="DD41" s="607">
        <f t="shared" si="143"/>
        <v>0</v>
      </c>
      <c r="DE41" s="606">
        <f t="shared" si="144"/>
        <v>0</v>
      </c>
      <c r="DF41" s="607">
        <f t="shared" si="145"/>
        <v>0</v>
      </c>
      <c r="DG41" s="606">
        <f t="shared" si="146"/>
        <v>0</v>
      </c>
      <c r="DH41" s="607">
        <f t="shared" si="147"/>
        <v>0</v>
      </c>
      <c r="DI41" s="608">
        <f t="shared" si="148"/>
        <v>0</v>
      </c>
      <c r="DJ41" s="607">
        <f t="shared" si="149"/>
        <v>55</v>
      </c>
      <c r="DK41" s="608">
        <f t="shared" si="150"/>
        <v>57</v>
      </c>
      <c r="DL41" s="607">
        <f t="shared" si="151"/>
        <v>55</v>
      </c>
      <c r="DM41" s="608">
        <f t="shared" si="152"/>
        <v>57</v>
      </c>
      <c r="DN41" s="607">
        <f t="shared" si="153"/>
        <v>0</v>
      </c>
      <c r="DO41" s="612">
        <f t="shared" si="154"/>
        <v>0</v>
      </c>
      <c r="DP41" s="607">
        <f t="shared" si="155"/>
        <v>0</v>
      </c>
      <c r="DQ41" s="606">
        <f t="shared" si="156"/>
        <v>0</v>
      </c>
      <c r="DR41" s="607">
        <f t="shared" si="157"/>
        <v>0</v>
      </c>
      <c r="DS41" s="606">
        <f t="shared" si="158"/>
        <v>0</v>
      </c>
      <c r="DT41" s="607">
        <f t="shared" si="159"/>
        <v>0</v>
      </c>
      <c r="DU41" s="606">
        <f t="shared" si="160"/>
        <v>0</v>
      </c>
      <c r="DV41" s="607">
        <f t="shared" si="161"/>
        <v>0</v>
      </c>
      <c r="DW41" s="608">
        <f t="shared" si="162"/>
        <v>0</v>
      </c>
      <c r="DX41" s="607">
        <f t="shared" si="163"/>
        <v>2797314</v>
      </c>
      <c r="DY41" s="608">
        <f t="shared" si="164"/>
        <v>2940805.3081395351</v>
      </c>
      <c r="DZ41" s="607">
        <f t="shared" si="165"/>
        <v>2797314</v>
      </c>
      <c r="EA41" s="608">
        <f t="shared" si="166"/>
        <v>2940805.3081395351</v>
      </c>
    </row>
    <row r="42" spans="1:131" x14ac:dyDescent="0.2">
      <c r="A42" s="481" t="s">
        <v>31</v>
      </c>
      <c r="B42" s="440" t="s">
        <v>817</v>
      </c>
      <c r="C42" s="533" t="s">
        <v>680</v>
      </c>
      <c r="D42" s="407">
        <v>102076</v>
      </c>
      <c r="E42" s="407">
        <v>10</v>
      </c>
      <c r="F42" s="598"/>
      <c r="G42" s="599"/>
      <c r="H42" s="600"/>
      <c r="I42" s="601"/>
      <c r="J42" s="600"/>
      <c r="K42" s="599"/>
      <c r="L42" s="600"/>
      <c r="M42" s="601"/>
      <c r="N42" s="600"/>
      <c r="O42" s="599"/>
      <c r="P42" s="600"/>
      <c r="Q42" s="601"/>
      <c r="R42" s="600"/>
      <c r="S42" s="599"/>
      <c r="T42" s="600"/>
      <c r="U42" s="601"/>
      <c r="V42" s="600"/>
      <c r="W42" s="599"/>
      <c r="X42" s="600"/>
      <c r="Y42" s="601"/>
      <c r="Z42" s="600"/>
      <c r="AA42" s="599"/>
      <c r="AB42" s="600"/>
      <c r="AC42" s="601"/>
      <c r="AD42" s="600"/>
      <c r="AE42" s="599"/>
      <c r="AF42" s="600"/>
      <c r="AG42" s="601"/>
      <c r="AH42" s="600"/>
      <c r="AI42" s="599"/>
      <c r="AJ42" s="600"/>
      <c r="AK42" s="601"/>
      <c r="AL42" s="600"/>
      <c r="AM42" s="599"/>
      <c r="AN42" s="600"/>
      <c r="AO42" s="601"/>
      <c r="AP42" s="600"/>
      <c r="AQ42" s="599"/>
      <c r="AR42" s="600"/>
      <c r="AS42" s="601"/>
      <c r="AT42" s="600">
        <v>20</v>
      </c>
      <c r="AU42" s="599">
        <v>24</v>
      </c>
      <c r="AV42" s="600"/>
      <c r="AW42" s="601"/>
      <c r="AX42" s="600">
        <v>14</v>
      </c>
      <c r="AY42" s="599"/>
      <c r="AZ42" s="600"/>
      <c r="BA42" s="601">
        <v>10</v>
      </c>
      <c r="BB42" s="602">
        <v>0</v>
      </c>
      <c r="BC42" s="599"/>
      <c r="BD42" s="600">
        <v>0</v>
      </c>
      <c r="BE42" s="599"/>
      <c r="BF42" s="600">
        <v>0</v>
      </c>
      <c r="BG42" s="599"/>
      <c r="BH42" s="600">
        <v>0</v>
      </c>
      <c r="BI42" s="599"/>
      <c r="BJ42" s="600">
        <v>0</v>
      </c>
      <c r="BK42" s="615"/>
      <c r="BL42" s="600">
        <v>2205201</v>
      </c>
      <c r="BM42" s="604">
        <v>2112675</v>
      </c>
      <c r="BN42" s="605">
        <f t="shared" si="101"/>
        <v>0</v>
      </c>
      <c r="BO42" s="606">
        <f t="shared" si="102"/>
        <v>0</v>
      </c>
      <c r="BP42" s="607">
        <f t="shared" si="103"/>
        <v>0</v>
      </c>
      <c r="BQ42" s="606">
        <f t="shared" si="104"/>
        <v>0</v>
      </c>
      <c r="BR42" s="607">
        <f t="shared" si="105"/>
        <v>0</v>
      </c>
      <c r="BS42" s="606">
        <f t="shared" si="106"/>
        <v>0</v>
      </c>
      <c r="BT42" s="607">
        <f t="shared" si="107"/>
        <v>0</v>
      </c>
      <c r="BU42" s="606">
        <f t="shared" si="108"/>
        <v>0</v>
      </c>
      <c r="BV42" s="607">
        <f t="shared" si="109"/>
        <v>0</v>
      </c>
      <c r="BW42" s="608">
        <f t="shared" si="110"/>
        <v>0</v>
      </c>
      <c r="BX42" s="607">
        <f t="shared" si="111"/>
        <v>334</v>
      </c>
      <c r="BY42" s="608">
        <f t="shared" si="112"/>
        <v>336</v>
      </c>
      <c r="BZ42" s="607">
        <f t="shared" si="113"/>
        <v>0</v>
      </c>
      <c r="CA42" s="608">
        <f t="shared" si="114"/>
        <v>0</v>
      </c>
      <c r="CB42" s="607">
        <f t="shared" si="115"/>
        <v>0</v>
      </c>
      <c r="CC42" s="608">
        <f t="shared" si="116"/>
        <v>0</v>
      </c>
      <c r="CD42" s="607">
        <f t="shared" si="117"/>
        <v>0</v>
      </c>
      <c r="CE42" s="608">
        <f t="shared" si="118"/>
        <v>0</v>
      </c>
      <c r="CF42" s="607">
        <f t="shared" si="119"/>
        <v>0</v>
      </c>
      <c r="CG42" s="608">
        <f t="shared" si="120"/>
        <v>0</v>
      </c>
      <c r="CH42" s="607">
        <f t="shared" si="121"/>
        <v>0</v>
      </c>
      <c r="CI42" s="608">
        <f t="shared" si="122"/>
        <v>0</v>
      </c>
      <c r="CJ42" s="607">
        <f t="shared" si="123"/>
        <v>6602.3982035928148</v>
      </c>
      <c r="CK42" s="608">
        <f t="shared" si="124"/>
        <v>6287.7232142857147</v>
      </c>
      <c r="CL42" s="609">
        <f t="shared" si="125"/>
        <v>0</v>
      </c>
      <c r="CM42" s="608">
        <f t="shared" si="126"/>
        <v>0</v>
      </c>
      <c r="CN42" s="610">
        <f t="shared" si="127"/>
        <v>0</v>
      </c>
      <c r="CO42" s="606">
        <f t="shared" si="128"/>
        <v>0</v>
      </c>
      <c r="CP42" s="607">
        <f t="shared" si="129"/>
        <v>0</v>
      </c>
      <c r="CQ42" s="606">
        <f t="shared" si="130"/>
        <v>0</v>
      </c>
      <c r="CR42" s="607">
        <f t="shared" si="131"/>
        <v>0</v>
      </c>
      <c r="CS42" s="606">
        <f t="shared" si="132"/>
        <v>0</v>
      </c>
      <c r="CT42" s="607">
        <f t="shared" si="133"/>
        <v>0</v>
      </c>
      <c r="CU42" s="608">
        <f t="shared" si="134"/>
        <v>0</v>
      </c>
      <c r="CV42" s="610">
        <f t="shared" si="135"/>
        <v>59421.583832335331</v>
      </c>
      <c r="CW42" s="608">
        <f t="shared" si="136"/>
        <v>56589.508928571435</v>
      </c>
      <c r="CX42" s="610">
        <f t="shared" si="137"/>
        <v>59421.583832335331</v>
      </c>
      <c r="CY42" s="611">
        <f t="shared" si="138"/>
        <v>56589.508928571435</v>
      </c>
      <c r="CZ42" s="605">
        <f t="shared" si="139"/>
        <v>0</v>
      </c>
      <c r="DA42" s="612">
        <f t="shared" si="140"/>
        <v>0</v>
      </c>
      <c r="DB42" s="607">
        <f t="shared" si="141"/>
        <v>0</v>
      </c>
      <c r="DC42" s="606">
        <f t="shared" si="142"/>
        <v>0</v>
      </c>
      <c r="DD42" s="607">
        <f t="shared" si="143"/>
        <v>0</v>
      </c>
      <c r="DE42" s="606">
        <f t="shared" si="144"/>
        <v>0</v>
      </c>
      <c r="DF42" s="607">
        <f t="shared" si="145"/>
        <v>0</v>
      </c>
      <c r="DG42" s="606">
        <f t="shared" si="146"/>
        <v>0</v>
      </c>
      <c r="DH42" s="607">
        <f t="shared" si="147"/>
        <v>0</v>
      </c>
      <c r="DI42" s="608">
        <f t="shared" si="148"/>
        <v>0</v>
      </c>
      <c r="DJ42" s="607">
        <f t="shared" si="149"/>
        <v>34</v>
      </c>
      <c r="DK42" s="608">
        <f t="shared" si="150"/>
        <v>34</v>
      </c>
      <c r="DL42" s="607">
        <f t="shared" si="151"/>
        <v>34</v>
      </c>
      <c r="DM42" s="608">
        <f t="shared" si="152"/>
        <v>34</v>
      </c>
      <c r="DN42" s="607">
        <f t="shared" si="153"/>
        <v>0</v>
      </c>
      <c r="DO42" s="612">
        <f t="shared" si="154"/>
        <v>0</v>
      </c>
      <c r="DP42" s="607">
        <f t="shared" si="155"/>
        <v>0</v>
      </c>
      <c r="DQ42" s="606">
        <f t="shared" si="156"/>
        <v>0</v>
      </c>
      <c r="DR42" s="607">
        <f t="shared" si="157"/>
        <v>0</v>
      </c>
      <c r="DS42" s="606">
        <f t="shared" si="158"/>
        <v>0</v>
      </c>
      <c r="DT42" s="607">
        <f t="shared" si="159"/>
        <v>0</v>
      </c>
      <c r="DU42" s="606">
        <f t="shared" si="160"/>
        <v>0</v>
      </c>
      <c r="DV42" s="607">
        <f t="shared" si="161"/>
        <v>0</v>
      </c>
      <c r="DW42" s="608">
        <f t="shared" si="162"/>
        <v>0</v>
      </c>
      <c r="DX42" s="607">
        <f t="shared" si="163"/>
        <v>2020333.8502994012</v>
      </c>
      <c r="DY42" s="608">
        <f t="shared" si="164"/>
        <v>1924043.3035714289</v>
      </c>
      <c r="DZ42" s="607">
        <f t="shared" si="165"/>
        <v>2020333.8502994012</v>
      </c>
      <c r="EA42" s="608">
        <f t="shared" si="166"/>
        <v>1924043.3035714289</v>
      </c>
    </row>
    <row r="43" spans="1:131" x14ac:dyDescent="0.2">
      <c r="A43" s="481" t="s">
        <v>31</v>
      </c>
      <c r="B43" s="440" t="s">
        <v>819</v>
      </c>
      <c r="C43" s="530"/>
      <c r="D43" s="407">
        <v>102313</v>
      </c>
      <c r="E43" s="407">
        <v>12</v>
      </c>
      <c r="F43" s="598"/>
      <c r="G43" s="599"/>
      <c r="H43" s="600"/>
      <c r="I43" s="601"/>
      <c r="J43" s="600"/>
      <c r="K43" s="599"/>
      <c r="L43" s="600"/>
      <c r="M43" s="601"/>
      <c r="N43" s="600"/>
      <c r="O43" s="599"/>
      <c r="P43" s="600"/>
      <c r="Q43" s="601"/>
      <c r="R43" s="600"/>
      <c r="S43" s="599"/>
      <c r="T43" s="600"/>
      <c r="U43" s="601"/>
      <c r="V43" s="600"/>
      <c r="W43" s="599"/>
      <c r="X43" s="600"/>
      <c r="Y43" s="601"/>
      <c r="Z43" s="600"/>
      <c r="AA43" s="599"/>
      <c r="AB43" s="600"/>
      <c r="AC43" s="601"/>
      <c r="AD43" s="600"/>
      <c r="AE43" s="599"/>
      <c r="AF43" s="600"/>
      <c r="AG43" s="601"/>
      <c r="AH43" s="600"/>
      <c r="AI43" s="599"/>
      <c r="AJ43" s="600"/>
      <c r="AK43" s="601"/>
      <c r="AL43" s="600"/>
      <c r="AM43" s="599"/>
      <c r="AN43" s="600"/>
      <c r="AO43" s="601"/>
      <c r="AP43" s="600"/>
      <c r="AQ43" s="599"/>
      <c r="AR43" s="600"/>
      <c r="AS43" s="601"/>
      <c r="AT43" s="600">
        <v>47</v>
      </c>
      <c r="AU43" s="599">
        <v>57</v>
      </c>
      <c r="AV43" s="600"/>
      <c r="AW43" s="601"/>
      <c r="AX43" s="600">
        <v>13</v>
      </c>
      <c r="AY43" s="599"/>
      <c r="AZ43" s="600"/>
      <c r="BA43" s="601">
        <v>7</v>
      </c>
      <c r="BB43" s="602">
        <v>0</v>
      </c>
      <c r="BC43" s="599"/>
      <c r="BD43" s="600">
        <v>0</v>
      </c>
      <c r="BE43" s="599"/>
      <c r="BF43" s="600">
        <v>0</v>
      </c>
      <c r="BG43" s="599"/>
      <c r="BH43" s="600">
        <v>0</v>
      </c>
      <c r="BI43" s="599"/>
      <c r="BJ43" s="600">
        <v>0</v>
      </c>
      <c r="BK43" s="615"/>
      <c r="BL43" s="600">
        <v>3378511</v>
      </c>
      <c r="BM43" s="604">
        <v>3539816</v>
      </c>
      <c r="BN43" s="605">
        <f t="shared" si="101"/>
        <v>0</v>
      </c>
      <c r="BO43" s="606">
        <f t="shared" si="102"/>
        <v>0</v>
      </c>
      <c r="BP43" s="607">
        <f t="shared" si="103"/>
        <v>0</v>
      </c>
      <c r="BQ43" s="606">
        <f t="shared" si="104"/>
        <v>0</v>
      </c>
      <c r="BR43" s="607">
        <f t="shared" si="105"/>
        <v>0</v>
      </c>
      <c r="BS43" s="606">
        <f t="shared" si="106"/>
        <v>0</v>
      </c>
      <c r="BT43" s="607">
        <f t="shared" si="107"/>
        <v>0</v>
      </c>
      <c r="BU43" s="606">
        <f t="shared" si="108"/>
        <v>0</v>
      </c>
      <c r="BV43" s="607">
        <f t="shared" si="109"/>
        <v>0</v>
      </c>
      <c r="BW43" s="608">
        <f t="shared" si="110"/>
        <v>0</v>
      </c>
      <c r="BX43" s="607">
        <f t="shared" si="111"/>
        <v>566</v>
      </c>
      <c r="BY43" s="608">
        <f t="shared" si="112"/>
        <v>597</v>
      </c>
      <c r="BZ43" s="607">
        <f t="shared" si="113"/>
        <v>0</v>
      </c>
      <c r="CA43" s="608">
        <f t="shared" si="114"/>
        <v>0</v>
      </c>
      <c r="CB43" s="607">
        <f t="shared" si="115"/>
        <v>0</v>
      </c>
      <c r="CC43" s="608">
        <f t="shared" si="116"/>
        <v>0</v>
      </c>
      <c r="CD43" s="607">
        <f t="shared" si="117"/>
        <v>0</v>
      </c>
      <c r="CE43" s="608">
        <f t="shared" si="118"/>
        <v>0</v>
      </c>
      <c r="CF43" s="607">
        <f t="shared" si="119"/>
        <v>0</v>
      </c>
      <c r="CG43" s="608">
        <f t="shared" si="120"/>
        <v>0</v>
      </c>
      <c r="CH43" s="607">
        <f t="shared" si="121"/>
        <v>0</v>
      </c>
      <c r="CI43" s="608">
        <f t="shared" si="122"/>
        <v>0</v>
      </c>
      <c r="CJ43" s="607">
        <f t="shared" si="123"/>
        <v>5969.1007067137807</v>
      </c>
      <c r="CK43" s="608">
        <f t="shared" si="124"/>
        <v>5929.3400335008373</v>
      </c>
      <c r="CL43" s="609">
        <f t="shared" si="125"/>
        <v>0</v>
      </c>
      <c r="CM43" s="608">
        <f t="shared" si="126"/>
        <v>0</v>
      </c>
      <c r="CN43" s="610">
        <f t="shared" si="127"/>
        <v>0</v>
      </c>
      <c r="CO43" s="606">
        <f t="shared" si="128"/>
        <v>0</v>
      </c>
      <c r="CP43" s="607">
        <f t="shared" si="129"/>
        <v>0</v>
      </c>
      <c r="CQ43" s="606">
        <f t="shared" si="130"/>
        <v>0</v>
      </c>
      <c r="CR43" s="607">
        <f t="shared" si="131"/>
        <v>0</v>
      </c>
      <c r="CS43" s="606">
        <f t="shared" si="132"/>
        <v>0</v>
      </c>
      <c r="CT43" s="607">
        <f t="shared" si="133"/>
        <v>0</v>
      </c>
      <c r="CU43" s="608">
        <f t="shared" si="134"/>
        <v>0</v>
      </c>
      <c r="CV43" s="610">
        <f t="shared" si="135"/>
        <v>53721.906360424029</v>
      </c>
      <c r="CW43" s="608">
        <f t="shared" si="136"/>
        <v>53364.060301507532</v>
      </c>
      <c r="CX43" s="610">
        <f t="shared" si="137"/>
        <v>53721.906360424029</v>
      </c>
      <c r="CY43" s="611">
        <f t="shared" si="138"/>
        <v>53364.060301507532</v>
      </c>
      <c r="CZ43" s="605">
        <f t="shared" si="139"/>
        <v>0</v>
      </c>
      <c r="DA43" s="612">
        <f t="shared" si="140"/>
        <v>0</v>
      </c>
      <c r="DB43" s="607">
        <f t="shared" si="141"/>
        <v>0</v>
      </c>
      <c r="DC43" s="606">
        <f t="shared" si="142"/>
        <v>0</v>
      </c>
      <c r="DD43" s="607">
        <f t="shared" si="143"/>
        <v>0</v>
      </c>
      <c r="DE43" s="606">
        <f t="shared" si="144"/>
        <v>0</v>
      </c>
      <c r="DF43" s="607">
        <f t="shared" si="145"/>
        <v>0</v>
      </c>
      <c r="DG43" s="606">
        <f t="shared" si="146"/>
        <v>0</v>
      </c>
      <c r="DH43" s="607">
        <f t="shared" si="147"/>
        <v>0</v>
      </c>
      <c r="DI43" s="608">
        <f t="shared" si="148"/>
        <v>0</v>
      </c>
      <c r="DJ43" s="607">
        <f t="shared" si="149"/>
        <v>60</v>
      </c>
      <c r="DK43" s="608">
        <f t="shared" si="150"/>
        <v>64</v>
      </c>
      <c r="DL43" s="607">
        <f t="shared" si="151"/>
        <v>60</v>
      </c>
      <c r="DM43" s="608">
        <f t="shared" si="152"/>
        <v>64</v>
      </c>
      <c r="DN43" s="607">
        <f t="shared" si="153"/>
        <v>0</v>
      </c>
      <c r="DO43" s="612">
        <f t="shared" si="154"/>
        <v>0</v>
      </c>
      <c r="DP43" s="607">
        <f t="shared" si="155"/>
        <v>0</v>
      </c>
      <c r="DQ43" s="606">
        <f t="shared" si="156"/>
        <v>0</v>
      </c>
      <c r="DR43" s="607">
        <f t="shared" si="157"/>
        <v>0</v>
      </c>
      <c r="DS43" s="606">
        <f t="shared" si="158"/>
        <v>0</v>
      </c>
      <c r="DT43" s="607">
        <f t="shared" si="159"/>
        <v>0</v>
      </c>
      <c r="DU43" s="606">
        <f t="shared" si="160"/>
        <v>0</v>
      </c>
      <c r="DV43" s="607">
        <f t="shared" si="161"/>
        <v>0</v>
      </c>
      <c r="DW43" s="608">
        <f t="shared" si="162"/>
        <v>0</v>
      </c>
      <c r="DX43" s="607">
        <f t="shared" si="163"/>
        <v>3223314.3816254418</v>
      </c>
      <c r="DY43" s="608">
        <f t="shared" si="164"/>
        <v>3415299.8592964821</v>
      </c>
      <c r="DZ43" s="607">
        <f t="shared" si="165"/>
        <v>3223314.3816254418</v>
      </c>
      <c r="EA43" s="608">
        <f t="shared" si="166"/>
        <v>3415299.8592964821</v>
      </c>
    </row>
    <row r="44" spans="1:131" x14ac:dyDescent="0.2">
      <c r="A44" s="488" t="s">
        <v>31</v>
      </c>
      <c r="B44" s="440" t="s">
        <v>804</v>
      </c>
      <c r="C44" s="533"/>
      <c r="D44" s="407">
        <v>101462</v>
      </c>
      <c r="E44" s="407">
        <v>13</v>
      </c>
      <c r="F44" s="598"/>
      <c r="G44" s="599"/>
      <c r="H44" s="600"/>
      <c r="I44" s="601"/>
      <c r="J44" s="600"/>
      <c r="K44" s="599"/>
      <c r="L44" s="600"/>
      <c r="M44" s="601"/>
      <c r="N44" s="600"/>
      <c r="O44" s="599"/>
      <c r="P44" s="600"/>
      <c r="Q44" s="601"/>
      <c r="R44" s="600"/>
      <c r="S44" s="599"/>
      <c r="T44" s="600"/>
      <c r="U44" s="601"/>
      <c r="V44" s="600"/>
      <c r="W44" s="599"/>
      <c r="X44" s="600"/>
      <c r="Y44" s="601"/>
      <c r="Z44" s="600"/>
      <c r="AA44" s="599"/>
      <c r="AB44" s="600"/>
      <c r="AC44" s="601"/>
      <c r="AD44" s="600"/>
      <c r="AE44" s="599"/>
      <c r="AF44" s="600"/>
      <c r="AG44" s="601"/>
      <c r="AH44" s="600"/>
      <c r="AI44" s="599"/>
      <c r="AJ44" s="600"/>
      <c r="AK44" s="601"/>
      <c r="AL44" s="600"/>
      <c r="AM44" s="599"/>
      <c r="AN44" s="600"/>
      <c r="AO44" s="601"/>
      <c r="AP44" s="600"/>
      <c r="AQ44" s="599"/>
      <c r="AR44" s="600"/>
      <c r="AS44" s="601"/>
      <c r="AT44" s="600">
        <v>27</v>
      </c>
      <c r="AU44" s="599">
        <v>1</v>
      </c>
      <c r="AV44" s="600"/>
      <c r="AW44" s="601"/>
      <c r="AX44" s="600">
        <v>3</v>
      </c>
      <c r="AY44" s="599"/>
      <c r="AZ44" s="600"/>
      <c r="BA44" s="601">
        <v>31</v>
      </c>
      <c r="BB44" s="602">
        <v>0</v>
      </c>
      <c r="BC44" s="599"/>
      <c r="BD44" s="600">
        <v>0</v>
      </c>
      <c r="BE44" s="599"/>
      <c r="BF44" s="600">
        <v>0</v>
      </c>
      <c r="BG44" s="599"/>
      <c r="BH44" s="600">
        <v>0</v>
      </c>
      <c r="BI44" s="599"/>
      <c r="BJ44" s="600">
        <v>0</v>
      </c>
      <c r="BK44" s="615"/>
      <c r="BL44" s="600">
        <v>1530129</v>
      </c>
      <c r="BM44" s="604">
        <v>1659517</v>
      </c>
      <c r="BN44" s="605">
        <f t="shared" si="101"/>
        <v>0</v>
      </c>
      <c r="BO44" s="606">
        <f t="shared" si="102"/>
        <v>0</v>
      </c>
      <c r="BP44" s="607">
        <f t="shared" si="103"/>
        <v>0</v>
      </c>
      <c r="BQ44" s="606">
        <f t="shared" si="104"/>
        <v>0</v>
      </c>
      <c r="BR44" s="607">
        <f t="shared" si="105"/>
        <v>0</v>
      </c>
      <c r="BS44" s="606">
        <f t="shared" si="106"/>
        <v>0</v>
      </c>
      <c r="BT44" s="607">
        <f t="shared" si="107"/>
        <v>0</v>
      </c>
      <c r="BU44" s="606">
        <f t="shared" si="108"/>
        <v>0</v>
      </c>
      <c r="BV44" s="607">
        <f t="shared" si="109"/>
        <v>0</v>
      </c>
      <c r="BW44" s="608">
        <f t="shared" si="110"/>
        <v>0</v>
      </c>
      <c r="BX44" s="607">
        <f t="shared" si="111"/>
        <v>276</v>
      </c>
      <c r="BY44" s="608">
        <f t="shared" si="112"/>
        <v>381</v>
      </c>
      <c r="BZ44" s="607">
        <f t="shared" si="113"/>
        <v>0</v>
      </c>
      <c r="CA44" s="608">
        <f t="shared" si="114"/>
        <v>0</v>
      </c>
      <c r="CB44" s="607">
        <f t="shared" si="115"/>
        <v>0</v>
      </c>
      <c r="CC44" s="608">
        <f t="shared" si="116"/>
        <v>0</v>
      </c>
      <c r="CD44" s="607">
        <f t="shared" si="117"/>
        <v>0</v>
      </c>
      <c r="CE44" s="608">
        <f t="shared" si="118"/>
        <v>0</v>
      </c>
      <c r="CF44" s="607">
        <f t="shared" si="119"/>
        <v>0</v>
      </c>
      <c r="CG44" s="608">
        <f t="shared" si="120"/>
        <v>0</v>
      </c>
      <c r="CH44" s="607">
        <f t="shared" si="121"/>
        <v>0</v>
      </c>
      <c r="CI44" s="608">
        <f t="shared" si="122"/>
        <v>0</v>
      </c>
      <c r="CJ44" s="607">
        <f t="shared" si="123"/>
        <v>5543.945652173913</v>
      </c>
      <c r="CK44" s="608">
        <f t="shared" si="124"/>
        <v>4355.687664041995</v>
      </c>
      <c r="CL44" s="609">
        <f t="shared" si="125"/>
        <v>0</v>
      </c>
      <c r="CM44" s="608">
        <f t="shared" si="126"/>
        <v>0</v>
      </c>
      <c r="CN44" s="610">
        <f t="shared" si="127"/>
        <v>0</v>
      </c>
      <c r="CO44" s="606">
        <f t="shared" si="128"/>
        <v>0</v>
      </c>
      <c r="CP44" s="607">
        <f t="shared" si="129"/>
        <v>0</v>
      </c>
      <c r="CQ44" s="606">
        <f t="shared" si="130"/>
        <v>0</v>
      </c>
      <c r="CR44" s="607">
        <f t="shared" si="131"/>
        <v>0</v>
      </c>
      <c r="CS44" s="606">
        <f t="shared" si="132"/>
        <v>0</v>
      </c>
      <c r="CT44" s="607">
        <f t="shared" si="133"/>
        <v>0</v>
      </c>
      <c r="CU44" s="608">
        <f t="shared" si="134"/>
        <v>0</v>
      </c>
      <c r="CV44" s="610">
        <f t="shared" si="135"/>
        <v>49895.510869565216</v>
      </c>
      <c r="CW44" s="608">
        <f t="shared" si="136"/>
        <v>39201.188976377955</v>
      </c>
      <c r="CX44" s="610">
        <f t="shared" si="137"/>
        <v>49895.510869565216</v>
      </c>
      <c r="CY44" s="611">
        <f t="shared" si="138"/>
        <v>39201.188976377955</v>
      </c>
      <c r="CZ44" s="605">
        <f t="shared" si="139"/>
        <v>0</v>
      </c>
      <c r="DA44" s="612">
        <f t="shared" si="140"/>
        <v>0</v>
      </c>
      <c r="DB44" s="607">
        <f t="shared" si="141"/>
        <v>0</v>
      </c>
      <c r="DC44" s="606">
        <f t="shared" si="142"/>
        <v>0</v>
      </c>
      <c r="DD44" s="607">
        <f t="shared" si="143"/>
        <v>0</v>
      </c>
      <c r="DE44" s="606">
        <f t="shared" si="144"/>
        <v>0</v>
      </c>
      <c r="DF44" s="607">
        <f t="shared" si="145"/>
        <v>0</v>
      </c>
      <c r="DG44" s="606">
        <f t="shared" si="146"/>
        <v>0</v>
      </c>
      <c r="DH44" s="607">
        <f t="shared" si="147"/>
        <v>0</v>
      </c>
      <c r="DI44" s="608">
        <f t="shared" si="148"/>
        <v>0</v>
      </c>
      <c r="DJ44" s="607">
        <f t="shared" si="149"/>
        <v>30</v>
      </c>
      <c r="DK44" s="608">
        <f t="shared" si="150"/>
        <v>32</v>
      </c>
      <c r="DL44" s="607">
        <f t="shared" si="151"/>
        <v>30</v>
      </c>
      <c r="DM44" s="608">
        <f t="shared" si="152"/>
        <v>32</v>
      </c>
      <c r="DN44" s="607">
        <f t="shared" si="153"/>
        <v>0</v>
      </c>
      <c r="DO44" s="612">
        <f t="shared" si="154"/>
        <v>0</v>
      </c>
      <c r="DP44" s="607">
        <f t="shared" si="155"/>
        <v>0</v>
      </c>
      <c r="DQ44" s="606">
        <f t="shared" si="156"/>
        <v>0</v>
      </c>
      <c r="DR44" s="607">
        <f t="shared" si="157"/>
        <v>0</v>
      </c>
      <c r="DS44" s="606">
        <f t="shared" si="158"/>
        <v>0</v>
      </c>
      <c r="DT44" s="607">
        <f t="shared" si="159"/>
        <v>0</v>
      </c>
      <c r="DU44" s="606">
        <f t="shared" si="160"/>
        <v>0</v>
      </c>
      <c r="DV44" s="607">
        <f t="shared" si="161"/>
        <v>0</v>
      </c>
      <c r="DW44" s="608">
        <f t="shared" si="162"/>
        <v>0</v>
      </c>
      <c r="DX44" s="607">
        <f t="shared" si="163"/>
        <v>1496865.3260869565</v>
      </c>
      <c r="DY44" s="608">
        <f t="shared" si="164"/>
        <v>1254438.0472440945</v>
      </c>
      <c r="DZ44" s="607">
        <f t="shared" si="165"/>
        <v>1496865.3260869565</v>
      </c>
      <c r="EA44" s="608">
        <f t="shared" si="166"/>
        <v>1254438.0472440945</v>
      </c>
    </row>
    <row r="45" spans="1:131" x14ac:dyDescent="0.2">
      <c r="A45" s="488" t="s">
        <v>31</v>
      </c>
      <c r="B45" s="440" t="s">
        <v>808</v>
      </c>
      <c r="C45" s="530"/>
      <c r="D45" s="407">
        <v>101471</v>
      </c>
      <c r="E45" s="407">
        <v>13</v>
      </c>
      <c r="F45" s="598"/>
      <c r="G45" s="599"/>
      <c r="H45" s="600"/>
      <c r="I45" s="601"/>
      <c r="J45" s="600"/>
      <c r="K45" s="599"/>
      <c r="L45" s="600"/>
      <c r="M45" s="601"/>
      <c r="N45" s="600"/>
      <c r="O45" s="599"/>
      <c r="P45" s="600"/>
      <c r="Q45" s="601"/>
      <c r="R45" s="600"/>
      <c r="S45" s="599"/>
      <c r="T45" s="600"/>
      <c r="U45" s="601"/>
      <c r="V45" s="600"/>
      <c r="W45" s="599"/>
      <c r="X45" s="600"/>
      <c r="Y45" s="601"/>
      <c r="Z45" s="600"/>
      <c r="AA45" s="599"/>
      <c r="AB45" s="600"/>
      <c r="AC45" s="601"/>
      <c r="AD45" s="600"/>
      <c r="AE45" s="599"/>
      <c r="AF45" s="600"/>
      <c r="AG45" s="601"/>
      <c r="AH45" s="600"/>
      <c r="AI45" s="599"/>
      <c r="AJ45" s="600"/>
      <c r="AK45" s="601"/>
      <c r="AL45" s="600"/>
      <c r="AM45" s="599"/>
      <c r="AN45" s="600"/>
      <c r="AO45" s="601"/>
      <c r="AP45" s="600"/>
      <c r="AQ45" s="599"/>
      <c r="AR45" s="600"/>
      <c r="AS45" s="601"/>
      <c r="AT45" s="600">
        <v>19</v>
      </c>
      <c r="AU45" s="599">
        <v>18</v>
      </c>
      <c r="AV45" s="600"/>
      <c r="AW45" s="601"/>
      <c r="AX45" s="600">
        <v>13</v>
      </c>
      <c r="AY45" s="599"/>
      <c r="AZ45" s="600"/>
      <c r="BA45" s="601">
        <v>13</v>
      </c>
      <c r="BB45" s="602">
        <v>0</v>
      </c>
      <c r="BC45" s="599"/>
      <c r="BD45" s="600">
        <v>0</v>
      </c>
      <c r="BE45" s="599"/>
      <c r="BF45" s="600">
        <v>0</v>
      </c>
      <c r="BG45" s="599"/>
      <c r="BH45" s="600">
        <v>0</v>
      </c>
      <c r="BI45" s="599"/>
      <c r="BJ45" s="600">
        <v>0</v>
      </c>
      <c r="BK45" s="615"/>
      <c r="BL45" s="600">
        <v>2044841</v>
      </c>
      <c r="BM45" s="604">
        <v>2001530</v>
      </c>
      <c r="BN45" s="605">
        <f t="shared" si="101"/>
        <v>0</v>
      </c>
      <c r="BO45" s="606">
        <f t="shared" si="102"/>
        <v>0</v>
      </c>
      <c r="BP45" s="607">
        <f t="shared" si="103"/>
        <v>0</v>
      </c>
      <c r="BQ45" s="606">
        <f t="shared" si="104"/>
        <v>0</v>
      </c>
      <c r="BR45" s="607">
        <f t="shared" si="105"/>
        <v>0</v>
      </c>
      <c r="BS45" s="606">
        <f t="shared" si="106"/>
        <v>0</v>
      </c>
      <c r="BT45" s="607">
        <f t="shared" si="107"/>
        <v>0</v>
      </c>
      <c r="BU45" s="606">
        <f t="shared" si="108"/>
        <v>0</v>
      </c>
      <c r="BV45" s="607">
        <f t="shared" si="109"/>
        <v>0</v>
      </c>
      <c r="BW45" s="608">
        <f t="shared" si="110"/>
        <v>0</v>
      </c>
      <c r="BX45" s="607">
        <f t="shared" si="111"/>
        <v>314</v>
      </c>
      <c r="BY45" s="608">
        <f t="shared" si="112"/>
        <v>318</v>
      </c>
      <c r="BZ45" s="607">
        <f t="shared" si="113"/>
        <v>0</v>
      </c>
      <c r="CA45" s="608">
        <f t="shared" si="114"/>
        <v>0</v>
      </c>
      <c r="CB45" s="607">
        <f t="shared" si="115"/>
        <v>0</v>
      </c>
      <c r="CC45" s="608">
        <f t="shared" si="116"/>
        <v>0</v>
      </c>
      <c r="CD45" s="607">
        <f t="shared" si="117"/>
        <v>0</v>
      </c>
      <c r="CE45" s="608">
        <f t="shared" si="118"/>
        <v>0</v>
      </c>
      <c r="CF45" s="607">
        <f t="shared" si="119"/>
        <v>0</v>
      </c>
      <c r="CG45" s="608">
        <f t="shared" si="120"/>
        <v>0</v>
      </c>
      <c r="CH45" s="607">
        <f t="shared" si="121"/>
        <v>0</v>
      </c>
      <c r="CI45" s="608">
        <f t="shared" si="122"/>
        <v>0</v>
      </c>
      <c r="CJ45" s="607">
        <f t="shared" si="123"/>
        <v>6512.2324840764331</v>
      </c>
      <c r="CK45" s="608">
        <f t="shared" si="124"/>
        <v>6294.1194968553455</v>
      </c>
      <c r="CL45" s="609">
        <f t="shared" si="125"/>
        <v>0</v>
      </c>
      <c r="CM45" s="608">
        <f t="shared" si="126"/>
        <v>0</v>
      </c>
      <c r="CN45" s="610">
        <f t="shared" si="127"/>
        <v>0</v>
      </c>
      <c r="CO45" s="606">
        <f t="shared" si="128"/>
        <v>0</v>
      </c>
      <c r="CP45" s="607">
        <f t="shared" si="129"/>
        <v>0</v>
      </c>
      <c r="CQ45" s="606">
        <f t="shared" si="130"/>
        <v>0</v>
      </c>
      <c r="CR45" s="607">
        <f t="shared" si="131"/>
        <v>0</v>
      </c>
      <c r="CS45" s="606">
        <f t="shared" si="132"/>
        <v>0</v>
      </c>
      <c r="CT45" s="607">
        <f t="shared" si="133"/>
        <v>0</v>
      </c>
      <c r="CU45" s="608">
        <f t="shared" si="134"/>
        <v>0</v>
      </c>
      <c r="CV45" s="610">
        <f t="shared" si="135"/>
        <v>58610.092356687899</v>
      </c>
      <c r="CW45" s="608">
        <f t="shared" si="136"/>
        <v>56647.07547169811</v>
      </c>
      <c r="CX45" s="610">
        <f t="shared" si="137"/>
        <v>58610.092356687899</v>
      </c>
      <c r="CY45" s="611">
        <f t="shared" si="138"/>
        <v>56647.07547169811</v>
      </c>
      <c r="CZ45" s="605">
        <f t="shared" si="139"/>
        <v>0</v>
      </c>
      <c r="DA45" s="612">
        <f t="shared" si="140"/>
        <v>0</v>
      </c>
      <c r="DB45" s="607">
        <f t="shared" si="141"/>
        <v>0</v>
      </c>
      <c r="DC45" s="606">
        <f t="shared" si="142"/>
        <v>0</v>
      </c>
      <c r="DD45" s="607">
        <f t="shared" si="143"/>
        <v>0</v>
      </c>
      <c r="DE45" s="606">
        <f t="shared" si="144"/>
        <v>0</v>
      </c>
      <c r="DF45" s="607">
        <f t="shared" si="145"/>
        <v>0</v>
      </c>
      <c r="DG45" s="606">
        <f t="shared" si="146"/>
        <v>0</v>
      </c>
      <c r="DH45" s="607">
        <f t="shared" si="147"/>
        <v>0</v>
      </c>
      <c r="DI45" s="608">
        <f t="shared" si="148"/>
        <v>0</v>
      </c>
      <c r="DJ45" s="607">
        <f t="shared" si="149"/>
        <v>32</v>
      </c>
      <c r="DK45" s="608">
        <f t="shared" si="150"/>
        <v>31</v>
      </c>
      <c r="DL45" s="607">
        <f t="shared" si="151"/>
        <v>32</v>
      </c>
      <c r="DM45" s="608">
        <f t="shared" si="152"/>
        <v>31</v>
      </c>
      <c r="DN45" s="607">
        <f t="shared" si="153"/>
        <v>0</v>
      </c>
      <c r="DO45" s="612">
        <f t="shared" si="154"/>
        <v>0</v>
      </c>
      <c r="DP45" s="607">
        <f t="shared" si="155"/>
        <v>0</v>
      </c>
      <c r="DQ45" s="606">
        <f t="shared" si="156"/>
        <v>0</v>
      </c>
      <c r="DR45" s="607">
        <f t="shared" si="157"/>
        <v>0</v>
      </c>
      <c r="DS45" s="606">
        <f t="shared" si="158"/>
        <v>0</v>
      </c>
      <c r="DT45" s="607">
        <f t="shared" si="159"/>
        <v>0</v>
      </c>
      <c r="DU45" s="606">
        <f t="shared" si="160"/>
        <v>0</v>
      </c>
      <c r="DV45" s="607">
        <f t="shared" si="161"/>
        <v>0</v>
      </c>
      <c r="DW45" s="608">
        <f t="shared" si="162"/>
        <v>0</v>
      </c>
      <c r="DX45" s="607">
        <f t="shared" si="163"/>
        <v>1875522.9554140128</v>
      </c>
      <c r="DY45" s="608">
        <f t="shared" si="164"/>
        <v>1756059.3396226414</v>
      </c>
      <c r="DZ45" s="607">
        <f t="shared" si="165"/>
        <v>1875522.9554140128</v>
      </c>
      <c r="EA45" s="608">
        <f t="shared" si="166"/>
        <v>1756059.3396226414</v>
      </c>
    </row>
    <row r="46" spans="1:131" ht="13.5" thickBot="1" x14ac:dyDescent="0.25">
      <c r="A46" s="488" t="s">
        <v>31</v>
      </c>
      <c r="B46" s="440" t="s">
        <v>815</v>
      </c>
      <c r="C46" s="530"/>
      <c r="D46" s="407">
        <v>101994</v>
      </c>
      <c r="E46" s="407">
        <v>13</v>
      </c>
      <c r="F46" s="598"/>
      <c r="G46" s="599"/>
      <c r="H46" s="600"/>
      <c r="I46" s="601"/>
      <c r="J46" s="600"/>
      <c r="K46" s="599"/>
      <c r="L46" s="600"/>
      <c r="M46" s="601"/>
      <c r="N46" s="600"/>
      <c r="O46" s="599"/>
      <c r="P46" s="600"/>
      <c r="Q46" s="601"/>
      <c r="R46" s="600"/>
      <c r="S46" s="599"/>
      <c r="T46" s="600"/>
      <c r="U46" s="601"/>
      <c r="V46" s="600"/>
      <c r="W46" s="599"/>
      <c r="X46" s="600"/>
      <c r="Y46" s="601"/>
      <c r="Z46" s="600"/>
      <c r="AA46" s="599"/>
      <c r="AB46" s="600"/>
      <c r="AC46" s="601"/>
      <c r="AD46" s="600"/>
      <c r="AE46" s="599"/>
      <c r="AF46" s="600"/>
      <c r="AG46" s="601"/>
      <c r="AH46" s="600"/>
      <c r="AI46" s="599"/>
      <c r="AJ46" s="600"/>
      <c r="AK46" s="601"/>
      <c r="AL46" s="600"/>
      <c r="AM46" s="599"/>
      <c r="AN46" s="600"/>
      <c r="AO46" s="601"/>
      <c r="AP46" s="600"/>
      <c r="AQ46" s="599"/>
      <c r="AR46" s="600"/>
      <c r="AS46" s="601"/>
      <c r="AT46" s="600">
        <v>21</v>
      </c>
      <c r="AU46" s="599">
        <v>23</v>
      </c>
      <c r="AV46" s="600"/>
      <c r="AW46" s="601"/>
      <c r="AX46" s="600">
        <v>6</v>
      </c>
      <c r="AY46" s="599"/>
      <c r="AZ46" s="600"/>
      <c r="BA46" s="601">
        <v>3</v>
      </c>
      <c r="BB46" s="602">
        <v>0</v>
      </c>
      <c r="BC46" s="599"/>
      <c r="BD46" s="600">
        <v>0</v>
      </c>
      <c r="BE46" s="599"/>
      <c r="BF46" s="600">
        <v>0</v>
      </c>
      <c r="BG46" s="599"/>
      <c r="BH46" s="600">
        <v>0</v>
      </c>
      <c r="BI46" s="599"/>
      <c r="BJ46" s="600">
        <v>0</v>
      </c>
      <c r="BK46" s="615"/>
      <c r="BL46" s="600">
        <v>1420492</v>
      </c>
      <c r="BM46" s="604">
        <v>1408600</v>
      </c>
      <c r="BN46" s="605">
        <f t="shared" si="101"/>
        <v>0</v>
      </c>
      <c r="BO46" s="606">
        <f t="shared" si="102"/>
        <v>0</v>
      </c>
      <c r="BP46" s="607">
        <f t="shared" si="103"/>
        <v>0</v>
      </c>
      <c r="BQ46" s="606">
        <f t="shared" si="104"/>
        <v>0</v>
      </c>
      <c r="BR46" s="607">
        <f t="shared" si="105"/>
        <v>0</v>
      </c>
      <c r="BS46" s="606">
        <f t="shared" si="106"/>
        <v>0</v>
      </c>
      <c r="BT46" s="607">
        <f t="shared" si="107"/>
        <v>0</v>
      </c>
      <c r="BU46" s="606">
        <f t="shared" si="108"/>
        <v>0</v>
      </c>
      <c r="BV46" s="607">
        <f t="shared" si="109"/>
        <v>0</v>
      </c>
      <c r="BW46" s="608">
        <f t="shared" si="110"/>
        <v>0</v>
      </c>
      <c r="BX46" s="607">
        <f t="shared" si="111"/>
        <v>255</v>
      </c>
      <c r="BY46" s="608">
        <f t="shared" si="112"/>
        <v>243</v>
      </c>
      <c r="BZ46" s="607">
        <f t="shared" si="113"/>
        <v>0</v>
      </c>
      <c r="CA46" s="608">
        <f t="shared" si="114"/>
        <v>0</v>
      </c>
      <c r="CB46" s="607">
        <f t="shared" si="115"/>
        <v>0</v>
      </c>
      <c r="CC46" s="608">
        <f t="shared" si="116"/>
        <v>0</v>
      </c>
      <c r="CD46" s="607">
        <f t="shared" si="117"/>
        <v>0</v>
      </c>
      <c r="CE46" s="608">
        <f t="shared" si="118"/>
        <v>0</v>
      </c>
      <c r="CF46" s="607">
        <f t="shared" si="119"/>
        <v>0</v>
      </c>
      <c r="CG46" s="608">
        <f t="shared" si="120"/>
        <v>0</v>
      </c>
      <c r="CH46" s="607">
        <f t="shared" si="121"/>
        <v>0</v>
      </c>
      <c r="CI46" s="608">
        <f t="shared" si="122"/>
        <v>0</v>
      </c>
      <c r="CJ46" s="607">
        <f t="shared" si="123"/>
        <v>5570.5568627450984</v>
      </c>
      <c r="CK46" s="608">
        <f t="shared" si="124"/>
        <v>5796.707818930041</v>
      </c>
      <c r="CL46" s="609">
        <f t="shared" si="125"/>
        <v>0</v>
      </c>
      <c r="CM46" s="608">
        <f t="shared" si="126"/>
        <v>0</v>
      </c>
      <c r="CN46" s="610">
        <f t="shared" si="127"/>
        <v>0</v>
      </c>
      <c r="CO46" s="606">
        <f t="shared" si="128"/>
        <v>0</v>
      </c>
      <c r="CP46" s="607">
        <f t="shared" si="129"/>
        <v>0</v>
      </c>
      <c r="CQ46" s="606">
        <f t="shared" si="130"/>
        <v>0</v>
      </c>
      <c r="CR46" s="607">
        <f t="shared" si="131"/>
        <v>0</v>
      </c>
      <c r="CS46" s="606">
        <f t="shared" si="132"/>
        <v>0</v>
      </c>
      <c r="CT46" s="607">
        <f t="shared" si="133"/>
        <v>0</v>
      </c>
      <c r="CU46" s="608">
        <f t="shared" si="134"/>
        <v>0</v>
      </c>
      <c r="CV46" s="610">
        <f t="shared" si="135"/>
        <v>50135.011764705887</v>
      </c>
      <c r="CW46" s="608">
        <f t="shared" si="136"/>
        <v>52170.370370370365</v>
      </c>
      <c r="CX46" s="610">
        <f t="shared" si="137"/>
        <v>50135.011764705887</v>
      </c>
      <c r="CY46" s="611">
        <f t="shared" si="138"/>
        <v>52170.370370370365</v>
      </c>
      <c r="CZ46" s="605">
        <f t="shared" si="139"/>
        <v>0</v>
      </c>
      <c r="DA46" s="612">
        <f t="shared" si="140"/>
        <v>0</v>
      </c>
      <c r="DB46" s="607">
        <f t="shared" si="141"/>
        <v>0</v>
      </c>
      <c r="DC46" s="606">
        <f t="shared" si="142"/>
        <v>0</v>
      </c>
      <c r="DD46" s="607">
        <f t="shared" si="143"/>
        <v>0</v>
      </c>
      <c r="DE46" s="606">
        <f t="shared" si="144"/>
        <v>0</v>
      </c>
      <c r="DF46" s="607">
        <f t="shared" si="145"/>
        <v>0</v>
      </c>
      <c r="DG46" s="606">
        <f t="shared" si="146"/>
        <v>0</v>
      </c>
      <c r="DH46" s="607">
        <f t="shared" si="147"/>
        <v>0</v>
      </c>
      <c r="DI46" s="608">
        <f t="shared" si="148"/>
        <v>0</v>
      </c>
      <c r="DJ46" s="607">
        <f t="shared" si="149"/>
        <v>27</v>
      </c>
      <c r="DK46" s="608">
        <f t="shared" si="150"/>
        <v>26</v>
      </c>
      <c r="DL46" s="607">
        <f t="shared" si="151"/>
        <v>27</v>
      </c>
      <c r="DM46" s="608">
        <f t="shared" si="152"/>
        <v>26</v>
      </c>
      <c r="DN46" s="607">
        <f t="shared" si="153"/>
        <v>0</v>
      </c>
      <c r="DO46" s="612">
        <f t="shared" si="154"/>
        <v>0</v>
      </c>
      <c r="DP46" s="607">
        <f t="shared" si="155"/>
        <v>0</v>
      </c>
      <c r="DQ46" s="606">
        <f t="shared" si="156"/>
        <v>0</v>
      </c>
      <c r="DR46" s="607">
        <f t="shared" si="157"/>
        <v>0</v>
      </c>
      <c r="DS46" s="606">
        <f t="shared" si="158"/>
        <v>0</v>
      </c>
      <c r="DT46" s="607">
        <f t="shared" si="159"/>
        <v>0</v>
      </c>
      <c r="DU46" s="606">
        <f t="shared" si="160"/>
        <v>0</v>
      </c>
      <c r="DV46" s="607">
        <f t="shared" si="161"/>
        <v>0</v>
      </c>
      <c r="DW46" s="608">
        <f t="shared" si="162"/>
        <v>0</v>
      </c>
      <c r="DX46" s="607">
        <f t="shared" si="163"/>
        <v>1353645.317647059</v>
      </c>
      <c r="DY46" s="608">
        <f t="shared" si="164"/>
        <v>1356429.6296296294</v>
      </c>
      <c r="DZ46" s="607">
        <f t="shared" si="165"/>
        <v>1353645.317647059</v>
      </c>
      <c r="EA46" s="608">
        <f t="shared" si="166"/>
        <v>1356429.6296296294</v>
      </c>
    </row>
    <row r="47" spans="1:131" ht="13.5" thickBot="1" x14ac:dyDescent="0.25">
      <c r="A47" s="382" t="s">
        <v>32</v>
      </c>
      <c r="B47" s="383" t="s">
        <v>586</v>
      </c>
      <c r="C47" s="534"/>
      <c r="D47" s="344">
        <v>106397</v>
      </c>
      <c r="E47" s="344">
        <v>1</v>
      </c>
      <c r="F47" s="598">
        <v>208</v>
      </c>
      <c r="G47" s="599">
        <v>214</v>
      </c>
      <c r="H47" s="600"/>
      <c r="I47" s="601"/>
      <c r="J47" s="600">
        <v>155</v>
      </c>
      <c r="K47" s="599"/>
      <c r="L47" s="600"/>
      <c r="M47" s="601">
        <v>153</v>
      </c>
      <c r="N47" s="600">
        <v>168</v>
      </c>
      <c r="O47" s="599">
        <v>175</v>
      </c>
      <c r="P47" s="600"/>
      <c r="Q47" s="601"/>
      <c r="R47" s="600">
        <v>46</v>
      </c>
      <c r="S47" s="599"/>
      <c r="T47" s="600"/>
      <c r="U47" s="601">
        <v>43</v>
      </c>
      <c r="V47" s="600">
        <v>154</v>
      </c>
      <c r="W47" s="599">
        <v>176</v>
      </c>
      <c r="X47" s="600"/>
      <c r="Y47" s="601"/>
      <c r="Z47" s="600">
        <v>13</v>
      </c>
      <c r="AA47" s="599"/>
      <c r="AB47" s="600"/>
      <c r="AC47" s="601">
        <v>19</v>
      </c>
      <c r="AD47" s="600">
        <v>144</v>
      </c>
      <c r="AE47" s="655">
        <v>147</v>
      </c>
      <c r="AF47" s="600"/>
      <c r="AG47" s="643"/>
      <c r="AH47" s="600">
        <v>34</v>
      </c>
      <c r="AI47" s="655"/>
      <c r="AJ47" s="600"/>
      <c r="AK47" s="643">
        <v>35</v>
      </c>
      <c r="AL47" s="600">
        <v>67</v>
      </c>
      <c r="AM47" s="599">
        <v>79</v>
      </c>
      <c r="AN47" s="600"/>
      <c r="AO47" s="601"/>
      <c r="AP47" s="600">
        <v>6</v>
      </c>
      <c r="AQ47" s="599"/>
      <c r="AR47" s="600"/>
      <c r="AS47" s="656">
        <v>7</v>
      </c>
      <c r="AT47" s="600"/>
      <c r="AU47" s="599"/>
      <c r="AV47" s="600"/>
      <c r="AW47" s="601"/>
      <c r="AX47" s="600"/>
      <c r="AY47" s="599"/>
      <c r="AZ47" s="600"/>
      <c r="BA47" s="656"/>
      <c r="BB47" s="602">
        <v>42520454.920000002</v>
      </c>
      <c r="BC47" s="635">
        <v>44630209</v>
      </c>
      <c r="BD47" s="600">
        <v>16841077</v>
      </c>
      <c r="BE47" s="599">
        <v>17790630</v>
      </c>
      <c r="BF47" s="600">
        <v>12718719.49</v>
      </c>
      <c r="BG47" s="599">
        <v>14948485</v>
      </c>
      <c r="BH47" s="600">
        <v>8061944</v>
      </c>
      <c r="BI47" s="599">
        <v>8601216</v>
      </c>
      <c r="BJ47" s="600">
        <v>3476255.2</v>
      </c>
      <c r="BK47" s="662">
        <v>4092148</v>
      </c>
      <c r="BL47" s="600">
        <v>0</v>
      </c>
      <c r="BM47" s="662"/>
      <c r="BN47" s="605">
        <f t="shared" si="101"/>
        <v>3577</v>
      </c>
      <c r="BO47" s="606">
        <f t="shared" si="102"/>
        <v>3762</v>
      </c>
      <c r="BP47" s="607">
        <f t="shared" si="103"/>
        <v>2018</v>
      </c>
      <c r="BQ47" s="606">
        <f t="shared" si="104"/>
        <v>2091</v>
      </c>
      <c r="BR47" s="607">
        <f t="shared" si="105"/>
        <v>1529</v>
      </c>
      <c r="BS47" s="606">
        <f t="shared" si="106"/>
        <v>1812</v>
      </c>
      <c r="BT47" s="607">
        <f t="shared" si="107"/>
        <v>1670</v>
      </c>
      <c r="BU47" s="606">
        <f t="shared" si="108"/>
        <v>1743</v>
      </c>
      <c r="BV47" s="607">
        <f t="shared" si="109"/>
        <v>669</v>
      </c>
      <c r="BW47" s="608">
        <f t="shared" si="110"/>
        <v>795</v>
      </c>
      <c r="BX47" s="607">
        <f t="shared" si="111"/>
        <v>0</v>
      </c>
      <c r="BY47" s="608">
        <f t="shared" si="112"/>
        <v>0</v>
      </c>
      <c r="BZ47" s="607">
        <f t="shared" si="113"/>
        <v>11887.183371540397</v>
      </c>
      <c r="CA47" s="608">
        <f t="shared" si="114"/>
        <v>11863.42610313663</v>
      </c>
      <c r="CB47" s="607">
        <f t="shared" si="115"/>
        <v>8345.4296333002967</v>
      </c>
      <c r="CC47" s="608">
        <f t="shared" si="116"/>
        <v>8508.1922525107602</v>
      </c>
      <c r="CD47" s="607">
        <f t="shared" si="117"/>
        <v>8318.3253695225631</v>
      </c>
      <c r="CE47" s="608">
        <f t="shared" si="118"/>
        <v>8249.7157836644583</v>
      </c>
      <c r="CF47" s="607">
        <f t="shared" si="119"/>
        <v>4827.5113772455088</v>
      </c>
      <c r="CG47" s="608">
        <f t="shared" si="120"/>
        <v>4934.719449225473</v>
      </c>
      <c r="CH47" s="607">
        <f t="shared" si="121"/>
        <v>5196.196113602392</v>
      </c>
      <c r="CI47" s="608">
        <f t="shared" si="122"/>
        <v>5147.355974842767</v>
      </c>
      <c r="CJ47" s="607">
        <f t="shared" si="123"/>
        <v>0</v>
      </c>
      <c r="CK47" s="608">
        <f t="shared" si="124"/>
        <v>0</v>
      </c>
      <c r="CL47" s="609">
        <f t="shared" si="125"/>
        <v>106984.65034386357</v>
      </c>
      <c r="CM47" s="608">
        <f t="shared" si="126"/>
        <v>106770.83492822967</v>
      </c>
      <c r="CN47" s="610">
        <f t="shared" si="127"/>
        <v>75108.866699702674</v>
      </c>
      <c r="CO47" s="606">
        <f t="shared" si="128"/>
        <v>76573.730272596847</v>
      </c>
      <c r="CP47" s="607">
        <f t="shared" si="129"/>
        <v>74864.928325703062</v>
      </c>
      <c r="CQ47" s="606">
        <f t="shared" si="130"/>
        <v>74247.442052980128</v>
      </c>
      <c r="CR47" s="607">
        <f t="shared" si="131"/>
        <v>43447.602395209578</v>
      </c>
      <c r="CS47" s="606">
        <f t="shared" si="132"/>
        <v>44412.475043029255</v>
      </c>
      <c r="CT47" s="607">
        <f t="shared" si="133"/>
        <v>46765.765022421525</v>
      </c>
      <c r="CU47" s="608">
        <f t="shared" si="134"/>
        <v>46326.203773584901</v>
      </c>
      <c r="CV47" s="610">
        <f t="shared" si="135"/>
        <v>0</v>
      </c>
      <c r="CW47" s="608">
        <f t="shared" si="136"/>
        <v>0</v>
      </c>
      <c r="CX47" s="610">
        <f t="shared" si="137"/>
        <v>78953.510202950085</v>
      </c>
      <c r="CY47" s="611">
        <f t="shared" si="138"/>
        <v>78648.229771733924</v>
      </c>
      <c r="CZ47" s="605">
        <f t="shared" si="139"/>
        <v>363</v>
      </c>
      <c r="DA47" s="612">
        <f t="shared" si="140"/>
        <v>367</v>
      </c>
      <c r="DB47" s="607">
        <f t="shared" si="141"/>
        <v>214</v>
      </c>
      <c r="DC47" s="606">
        <f t="shared" si="142"/>
        <v>218</v>
      </c>
      <c r="DD47" s="607">
        <f t="shared" si="143"/>
        <v>167</v>
      </c>
      <c r="DE47" s="606">
        <f t="shared" si="144"/>
        <v>195</v>
      </c>
      <c r="DF47" s="607">
        <f t="shared" si="145"/>
        <v>178</v>
      </c>
      <c r="DG47" s="606">
        <f t="shared" si="146"/>
        <v>182</v>
      </c>
      <c r="DH47" s="607">
        <f t="shared" si="147"/>
        <v>73</v>
      </c>
      <c r="DI47" s="608">
        <f t="shared" si="148"/>
        <v>86</v>
      </c>
      <c r="DJ47" s="607">
        <f t="shared" si="149"/>
        <v>0</v>
      </c>
      <c r="DK47" s="608">
        <f t="shared" si="150"/>
        <v>0</v>
      </c>
      <c r="DL47" s="607">
        <f t="shared" si="151"/>
        <v>995</v>
      </c>
      <c r="DM47" s="608">
        <f t="shared" si="152"/>
        <v>1048</v>
      </c>
      <c r="DN47" s="607">
        <f t="shared" si="153"/>
        <v>38835428.074822478</v>
      </c>
      <c r="DO47" s="612">
        <f t="shared" si="154"/>
        <v>39184896.418660291</v>
      </c>
      <c r="DP47" s="607">
        <f t="shared" si="155"/>
        <v>16073297.473736372</v>
      </c>
      <c r="DQ47" s="606">
        <f t="shared" si="156"/>
        <v>16693073.199426113</v>
      </c>
      <c r="DR47" s="607">
        <f t="shared" si="157"/>
        <v>12502443.030392412</v>
      </c>
      <c r="DS47" s="606">
        <f t="shared" si="158"/>
        <v>14478251.200331125</v>
      </c>
      <c r="DT47" s="607">
        <f t="shared" si="159"/>
        <v>7733673.2263473049</v>
      </c>
      <c r="DU47" s="606">
        <f t="shared" si="160"/>
        <v>8083070.4578313241</v>
      </c>
      <c r="DV47" s="607">
        <f t="shared" si="161"/>
        <v>3413900.8466367712</v>
      </c>
      <c r="DW47" s="608">
        <f t="shared" si="162"/>
        <v>3984053.5245283013</v>
      </c>
      <c r="DX47" s="607">
        <f t="shared" si="163"/>
        <v>0</v>
      </c>
      <c r="DY47" s="608">
        <f t="shared" si="164"/>
        <v>0</v>
      </c>
      <c r="DZ47" s="607">
        <f t="shared" si="165"/>
        <v>78558742.651935339</v>
      </c>
      <c r="EA47" s="608">
        <f t="shared" si="166"/>
        <v>82423344.800777152</v>
      </c>
    </row>
    <row r="48" spans="1:131" x14ac:dyDescent="0.2">
      <c r="A48" s="382" t="s">
        <v>32</v>
      </c>
      <c r="B48" s="383" t="s">
        <v>587</v>
      </c>
      <c r="C48" s="534"/>
      <c r="D48" s="344">
        <v>106458</v>
      </c>
      <c r="E48" s="344">
        <v>3</v>
      </c>
      <c r="F48" s="598">
        <v>90</v>
      </c>
      <c r="G48" s="599">
        <v>87</v>
      </c>
      <c r="H48" s="600"/>
      <c r="I48" s="601"/>
      <c r="J48" s="600">
        <v>14</v>
      </c>
      <c r="K48" s="599"/>
      <c r="L48" s="600"/>
      <c r="M48" s="601">
        <v>17</v>
      </c>
      <c r="N48" s="600">
        <v>104</v>
      </c>
      <c r="O48" s="599">
        <v>103</v>
      </c>
      <c r="P48" s="600"/>
      <c r="Q48" s="601"/>
      <c r="R48" s="600">
        <v>25</v>
      </c>
      <c r="S48" s="599"/>
      <c r="T48" s="600"/>
      <c r="U48" s="601">
        <v>23</v>
      </c>
      <c r="V48" s="600">
        <v>130</v>
      </c>
      <c r="W48" s="599">
        <v>134</v>
      </c>
      <c r="X48" s="600"/>
      <c r="Y48" s="601"/>
      <c r="Z48" s="600">
        <v>17</v>
      </c>
      <c r="AA48" s="599"/>
      <c r="AB48" s="600"/>
      <c r="AC48" s="601">
        <v>21</v>
      </c>
      <c r="AD48" s="600">
        <v>95</v>
      </c>
      <c r="AE48" s="655">
        <v>95</v>
      </c>
      <c r="AF48" s="600"/>
      <c r="AG48" s="643"/>
      <c r="AH48" s="600">
        <v>10</v>
      </c>
      <c r="AI48" s="655"/>
      <c r="AJ48" s="600"/>
      <c r="AK48" s="643">
        <v>11</v>
      </c>
      <c r="AL48" s="600">
        <v>0</v>
      </c>
      <c r="AM48" s="599"/>
      <c r="AN48" s="600"/>
      <c r="AO48" s="601"/>
      <c r="AP48" s="600">
        <v>0</v>
      </c>
      <c r="AQ48" s="599"/>
      <c r="AR48" s="600"/>
      <c r="AS48" s="643"/>
      <c r="AT48" s="600"/>
      <c r="AU48" s="655"/>
      <c r="AV48" s="600"/>
      <c r="AW48" s="643"/>
      <c r="AX48" s="600"/>
      <c r="AY48" s="655"/>
      <c r="AZ48" s="600"/>
      <c r="BA48" s="643"/>
      <c r="BB48" s="602">
        <v>8392461.6999999993</v>
      </c>
      <c r="BC48" s="599">
        <v>8722435</v>
      </c>
      <c r="BD48" s="600">
        <v>8452257.4400000013</v>
      </c>
      <c r="BE48" s="599">
        <v>8532374</v>
      </c>
      <c r="BF48" s="600">
        <v>8548052.4100000001</v>
      </c>
      <c r="BG48" s="599">
        <v>9058795</v>
      </c>
      <c r="BH48" s="600">
        <v>3916706.6999999997</v>
      </c>
      <c r="BI48" s="599">
        <v>4043394</v>
      </c>
      <c r="BJ48" s="600">
        <v>0</v>
      </c>
      <c r="BK48" s="647"/>
      <c r="BL48" s="600">
        <v>0</v>
      </c>
      <c r="BM48" s="663"/>
      <c r="BN48" s="605">
        <f t="shared" si="101"/>
        <v>964</v>
      </c>
      <c r="BO48" s="606">
        <f t="shared" si="102"/>
        <v>987</v>
      </c>
      <c r="BP48" s="607">
        <f t="shared" si="103"/>
        <v>1211</v>
      </c>
      <c r="BQ48" s="606">
        <f t="shared" si="104"/>
        <v>1203</v>
      </c>
      <c r="BR48" s="607">
        <f t="shared" si="105"/>
        <v>1357</v>
      </c>
      <c r="BS48" s="606">
        <f t="shared" si="106"/>
        <v>1458</v>
      </c>
      <c r="BT48" s="607">
        <f t="shared" si="107"/>
        <v>965</v>
      </c>
      <c r="BU48" s="606">
        <f t="shared" si="108"/>
        <v>987</v>
      </c>
      <c r="BV48" s="607">
        <f t="shared" si="109"/>
        <v>0</v>
      </c>
      <c r="BW48" s="608">
        <f t="shared" si="110"/>
        <v>0</v>
      </c>
      <c r="BX48" s="607">
        <f t="shared" si="111"/>
        <v>0</v>
      </c>
      <c r="BY48" s="608">
        <f t="shared" si="112"/>
        <v>0</v>
      </c>
      <c r="BZ48" s="607">
        <f t="shared" si="113"/>
        <v>8705.8731327800815</v>
      </c>
      <c r="CA48" s="608">
        <f t="shared" si="114"/>
        <v>8837.3201621073968</v>
      </c>
      <c r="CB48" s="607">
        <f t="shared" si="115"/>
        <v>6979.5684888521891</v>
      </c>
      <c r="CC48" s="608">
        <f t="shared" si="116"/>
        <v>7092.5802161263509</v>
      </c>
      <c r="CD48" s="607">
        <f t="shared" si="117"/>
        <v>6299.228010316876</v>
      </c>
      <c r="CE48" s="608">
        <f t="shared" si="118"/>
        <v>6213.1652949245545</v>
      </c>
      <c r="CF48" s="607">
        <f t="shared" si="119"/>
        <v>4058.763419689119</v>
      </c>
      <c r="CG48" s="608">
        <f t="shared" si="120"/>
        <v>4096.6504559270516</v>
      </c>
      <c r="CH48" s="607">
        <f t="shared" si="121"/>
        <v>0</v>
      </c>
      <c r="CI48" s="608">
        <f t="shared" si="122"/>
        <v>0</v>
      </c>
      <c r="CJ48" s="607">
        <f t="shared" si="123"/>
        <v>0</v>
      </c>
      <c r="CK48" s="608">
        <f t="shared" si="124"/>
        <v>0</v>
      </c>
      <c r="CL48" s="609">
        <f t="shared" si="125"/>
        <v>78352.85819502073</v>
      </c>
      <c r="CM48" s="608">
        <f t="shared" si="126"/>
        <v>79535.881458966571</v>
      </c>
      <c r="CN48" s="610">
        <f t="shared" si="127"/>
        <v>62816.1163996697</v>
      </c>
      <c r="CO48" s="606">
        <f t="shared" si="128"/>
        <v>63833.221945137157</v>
      </c>
      <c r="CP48" s="607">
        <f t="shared" si="129"/>
        <v>56693.052092851882</v>
      </c>
      <c r="CQ48" s="606">
        <f t="shared" si="130"/>
        <v>55918.48765432099</v>
      </c>
      <c r="CR48" s="607">
        <f t="shared" si="131"/>
        <v>36528.870777202072</v>
      </c>
      <c r="CS48" s="606">
        <f t="shared" si="132"/>
        <v>36869.854103343467</v>
      </c>
      <c r="CT48" s="607">
        <f t="shared" si="133"/>
        <v>0</v>
      </c>
      <c r="CU48" s="608">
        <f t="shared" si="134"/>
        <v>0</v>
      </c>
      <c r="CV48" s="610">
        <f t="shared" si="135"/>
        <v>0</v>
      </c>
      <c r="CW48" s="608">
        <f t="shared" si="136"/>
        <v>0</v>
      </c>
      <c r="CX48" s="610">
        <f t="shared" si="137"/>
        <v>58600.796612566992</v>
      </c>
      <c r="CY48" s="611">
        <f t="shared" si="138"/>
        <v>58839.689935221926</v>
      </c>
      <c r="CZ48" s="605">
        <f t="shared" si="139"/>
        <v>104</v>
      </c>
      <c r="DA48" s="612">
        <f t="shared" si="140"/>
        <v>104</v>
      </c>
      <c r="DB48" s="607">
        <f t="shared" si="141"/>
        <v>129</v>
      </c>
      <c r="DC48" s="606">
        <f t="shared" si="142"/>
        <v>126</v>
      </c>
      <c r="DD48" s="607">
        <f t="shared" si="143"/>
        <v>147</v>
      </c>
      <c r="DE48" s="606">
        <f t="shared" si="144"/>
        <v>155</v>
      </c>
      <c r="DF48" s="607">
        <f t="shared" si="145"/>
        <v>105</v>
      </c>
      <c r="DG48" s="606">
        <f t="shared" si="146"/>
        <v>106</v>
      </c>
      <c r="DH48" s="607">
        <f t="shared" si="147"/>
        <v>0</v>
      </c>
      <c r="DI48" s="608">
        <f t="shared" si="148"/>
        <v>0</v>
      </c>
      <c r="DJ48" s="607">
        <f t="shared" si="149"/>
        <v>0</v>
      </c>
      <c r="DK48" s="608">
        <f t="shared" si="150"/>
        <v>0</v>
      </c>
      <c r="DL48" s="607">
        <f t="shared" si="151"/>
        <v>485</v>
      </c>
      <c r="DM48" s="608">
        <f t="shared" si="152"/>
        <v>491</v>
      </c>
      <c r="DN48" s="607">
        <f t="shared" si="153"/>
        <v>8148697.2522821557</v>
      </c>
      <c r="DO48" s="612">
        <f t="shared" si="154"/>
        <v>8271731.6717325235</v>
      </c>
      <c r="DP48" s="607">
        <f t="shared" si="155"/>
        <v>8103279.0155573916</v>
      </c>
      <c r="DQ48" s="606">
        <f t="shared" si="156"/>
        <v>8042985.9650872815</v>
      </c>
      <c r="DR48" s="607">
        <f t="shared" si="157"/>
        <v>8333878.6576492265</v>
      </c>
      <c r="DS48" s="606">
        <f t="shared" si="158"/>
        <v>8667365.5864197537</v>
      </c>
      <c r="DT48" s="607">
        <f t="shared" si="159"/>
        <v>3835531.4316062173</v>
      </c>
      <c r="DU48" s="606">
        <f t="shared" si="160"/>
        <v>3908204.5349544073</v>
      </c>
      <c r="DV48" s="607">
        <f t="shared" si="161"/>
        <v>0</v>
      </c>
      <c r="DW48" s="608">
        <f t="shared" si="162"/>
        <v>0</v>
      </c>
      <c r="DX48" s="607">
        <f t="shared" si="163"/>
        <v>0</v>
      </c>
      <c r="DY48" s="608">
        <f t="shared" si="164"/>
        <v>0</v>
      </c>
      <c r="DZ48" s="607">
        <f t="shared" si="165"/>
        <v>28421386.357094992</v>
      </c>
      <c r="EA48" s="608">
        <f t="shared" si="166"/>
        <v>28890287.758193966</v>
      </c>
    </row>
    <row r="49" spans="1:131" x14ac:dyDescent="0.2">
      <c r="A49" s="382" t="s">
        <v>32</v>
      </c>
      <c r="B49" s="383" t="s">
        <v>590</v>
      </c>
      <c r="C49" s="535" t="s">
        <v>618</v>
      </c>
      <c r="D49" s="344">
        <v>106467</v>
      </c>
      <c r="E49" s="384">
        <v>3</v>
      </c>
      <c r="F49" s="598">
        <v>44</v>
      </c>
      <c r="G49" s="599">
        <v>45</v>
      </c>
      <c r="H49" s="600"/>
      <c r="I49" s="601"/>
      <c r="J49" s="600">
        <v>9</v>
      </c>
      <c r="K49" s="599"/>
      <c r="L49" s="600"/>
      <c r="M49" s="601">
        <v>8</v>
      </c>
      <c r="N49" s="600">
        <v>68</v>
      </c>
      <c r="O49" s="599">
        <v>79</v>
      </c>
      <c r="P49" s="600"/>
      <c r="Q49" s="601"/>
      <c r="R49" s="600">
        <v>9</v>
      </c>
      <c r="S49" s="599"/>
      <c r="T49" s="600"/>
      <c r="U49" s="601">
        <v>9</v>
      </c>
      <c r="V49" s="600">
        <v>106</v>
      </c>
      <c r="W49" s="599">
        <v>100</v>
      </c>
      <c r="X49" s="600"/>
      <c r="Y49" s="601"/>
      <c r="Z49" s="600">
        <v>3</v>
      </c>
      <c r="AA49" s="599"/>
      <c r="AB49" s="600"/>
      <c r="AC49" s="601">
        <v>4</v>
      </c>
      <c r="AD49" s="600">
        <v>27</v>
      </c>
      <c r="AE49" s="655">
        <v>35</v>
      </c>
      <c r="AF49" s="600"/>
      <c r="AG49" s="643"/>
      <c r="AH49" s="600">
        <v>0</v>
      </c>
      <c r="AI49" s="655"/>
      <c r="AJ49" s="600"/>
      <c r="AK49" s="643"/>
      <c r="AL49" s="600">
        <v>46</v>
      </c>
      <c r="AM49" s="599">
        <v>54</v>
      </c>
      <c r="AN49" s="600"/>
      <c r="AO49" s="601"/>
      <c r="AP49" s="600">
        <v>0</v>
      </c>
      <c r="AQ49" s="599"/>
      <c r="AR49" s="600"/>
      <c r="AS49" s="643">
        <v>5</v>
      </c>
      <c r="AT49" s="600"/>
      <c r="AU49" s="655"/>
      <c r="AV49" s="600"/>
      <c r="AW49" s="643"/>
      <c r="AX49" s="600"/>
      <c r="AY49" s="655"/>
      <c r="AZ49" s="600"/>
      <c r="BA49" s="643"/>
      <c r="BB49" s="602">
        <v>3875163.78</v>
      </c>
      <c r="BC49" s="599">
        <v>3986786</v>
      </c>
      <c r="BD49" s="600">
        <v>4668579.8399999999</v>
      </c>
      <c r="BE49" s="599">
        <v>5423569</v>
      </c>
      <c r="BF49" s="600">
        <v>5340298.3699999992</v>
      </c>
      <c r="BG49" s="599">
        <v>5301579</v>
      </c>
      <c r="BH49" s="600">
        <v>1022899.05</v>
      </c>
      <c r="BI49" s="599">
        <v>1384622</v>
      </c>
      <c r="BJ49" s="600">
        <v>1866167.0999999999</v>
      </c>
      <c r="BK49" s="647">
        <v>2352516</v>
      </c>
      <c r="BL49" s="600">
        <v>0</v>
      </c>
      <c r="BM49" s="663"/>
      <c r="BN49" s="605">
        <f t="shared" si="101"/>
        <v>495</v>
      </c>
      <c r="BO49" s="606">
        <f t="shared" si="102"/>
        <v>501</v>
      </c>
      <c r="BP49" s="607">
        <f t="shared" si="103"/>
        <v>711</v>
      </c>
      <c r="BQ49" s="606">
        <f t="shared" si="104"/>
        <v>819</v>
      </c>
      <c r="BR49" s="607">
        <f t="shared" si="105"/>
        <v>987</v>
      </c>
      <c r="BS49" s="606">
        <f t="shared" si="106"/>
        <v>948</v>
      </c>
      <c r="BT49" s="607">
        <f t="shared" si="107"/>
        <v>243</v>
      </c>
      <c r="BU49" s="606">
        <f t="shared" si="108"/>
        <v>315</v>
      </c>
      <c r="BV49" s="607">
        <f t="shared" si="109"/>
        <v>414</v>
      </c>
      <c r="BW49" s="608">
        <f t="shared" si="110"/>
        <v>546</v>
      </c>
      <c r="BX49" s="607">
        <f t="shared" si="111"/>
        <v>0</v>
      </c>
      <c r="BY49" s="608">
        <f t="shared" si="112"/>
        <v>0</v>
      </c>
      <c r="BZ49" s="607">
        <f t="shared" si="113"/>
        <v>7828.6136969696963</v>
      </c>
      <c r="CA49" s="608">
        <f t="shared" si="114"/>
        <v>7957.6566866267467</v>
      </c>
      <c r="CB49" s="607">
        <f t="shared" si="115"/>
        <v>6566.2163713080163</v>
      </c>
      <c r="CC49" s="608">
        <f t="shared" si="116"/>
        <v>6622.1843711843712</v>
      </c>
      <c r="CD49" s="607">
        <f t="shared" si="117"/>
        <v>5410.6366464032417</v>
      </c>
      <c r="CE49" s="608">
        <f t="shared" si="118"/>
        <v>5592.3829113924048</v>
      </c>
      <c r="CF49" s="607">
        <f t="shared" si="119"/>
        <v>4209.4611111111117</v>
      </c>
      <c r="CG49" s="608">
        <f t="shared" si="120"/>
        <v>4395.6253968253968</v>
      </c>
      <c r="CH49" s="607">
        <f t="shared" si="121"/>
        <v>4507.6499999999996</v>
      </c>
      <c r="CI49" s="608">
        <f t="shared" si="122"/>
        <v>4308.6373626373625</v>
      </c>
      <c r="CJ49" s="607">
        <f t="shared" si="123"/>
        <v>0</v>
      </c>
      <c r="CK49" s="608">
        <f t="shared" si="124"/>
        <v>0</v>
      </c>
      <c r="CL49" s="609">
        <f t="shared" si="125"/>
        <v>70457.523272727267</v>
      </c>
      <c r="CM49" s="608">
        <f t="shared" si="126"/>
        <v>71618.910179640719</v>
      </c>
      <c r="CN49" s="610">
        <f t="shared" si="127"/>
        <v>59095.947341772146</v>
      </c>
      <c r="CO49" s="606">
        <f t="shared" si="128"/>
        <v>59599.659340659338</v>
      </c>
      <c r="CP49" s="607">
        <f t="shared" si="129"/>
        <v>48695.729817629173</v>
      </c>
      <c r="CQ49" s="606">
        <f t="shared" si="130"/>
        <v>50331.446202531646</v>
      </c>
      <c r="CR49" s="607">
        <f t="shared" si="131"/>
        <v>37885.150000000009</v>
      </c>
      <c r="CS49" s="606">
        <f t="shared" si="132"/>
        <v>39560.62857142857</v>
      </c>
      <c r="CT49" s="607">
        <f t="shared" si="133"/>
        <v>40568.85</v>
      </c>
      <c r="CU49" s="608">
        <f t="shared" si="134"/>
        <v>38777.73626373626</v>
      </c>
      <c r="CV49" s="610">
        <f t="shared" si="135"/>
        <v>0</v>
      </c>
      <c r="CW49" s="608">
        <f t="shared" si="136"/>
        <v>0</v>
      </c>
      <c r="CX49" s="610">
        <f t="shared" si="137"/>
        <v>52825.440316963395</v>
      </c>
      <c r="CY49" s="611">
        <f t="shared" si="138"/>
        <v>52942.62863163041</v>
      </c>
      <c r="CZ49" s="605">
        <f t="shared" si="139"/>
        <v>53</v>
      </c>
      <c r="DA49" s="612">
        <f t="shared" si="140"/>
        <v>53</v>
      </c>
      <c r="DB49" s="607">
        <f t="shared" si="141"/>
        <v>77</v>
      </c>
      <c r="DC49" s="606">
        <f t="shared" si="142"/>
        <v>88</v>
      </c>
      <c r="DD49" s="607">
        <f t="shared" si="143"/>
        <v>109</v>
      </c>
      <c r="DE49" s="606">
        <f t="shared" si="144"/>
        <v>104</v>
      </c>
      <c r="DF49" s="607">
        <f t="shared" si="145"/>
        <v>27</v>
      </c>
      <c r="DG49" s="606">
        <f t="shared" si="146"/>
        <v>35</v>
      </c>
      <c r="DH49" s="607">
        <f t="shared" si="147"/>
        <v>46</v>
      </c>
      <c r="DI49" s="608">
        <f t="shared" si="148"/>
        <v>59</v>
      </c>
      <c r="DJ49" s="607">
        <f t="shared" si="149"/>
        <v>0</v>
      </c>
      <c r="DK49" s="608">
        <f t="shared" si="150"/>
        <v>0</v>
      </c>
      <c r="DL49" s="607">
        <f t="shared" si="151"/>
        <v>312</v>
      </c>
      <c r="DM49" s="608">
        <f t="shared" si="152"/>
        <v>339</v>
      </c>
      <c r="DN49" s="607">
        <f t="shared" si="153"/>
        <v>3734248.733454545</v>
      </c>
      <c r="DO49" s="612">
        <f t="shared" si="154"/>
        <v>3795802.2395209582</v>
      </c>
      <c r="DP49" s="607">
        <f t="shared" si="155"/>
        <v>4550387.9453164553</v>
      </c>
      <c r="DQ49" s="606">
        <f t="shared" si="156"/>
        <v>5244770.0219780216</v>
      </c>
      <c r="DR49" s="607">
        <f t="shared" si="157"/>
        <v>5307834.5501215803</v>
      </c>
      <c r="DS49" s="606">
        <f t="shared" si="158"/>
        <v>5234470.4050632911</v>
      </c>
      <c r="DT49" s="607">
        <f t="shared" si="159"/>
        <v>1022899.0500000003</v>
      </c>
      <c r="DU49" s="606">
        <f t="shared" si="160"/>
        <v>1384622</v>
      </c>
      <c r="DV49" s="607">
        <f t="shared" si="161"/>
        <v>1866167.0999999999</v>
      </c>
      <c r="DW49" s="608">
        <f t="shared" si="162"/>
        <v>2287886.4395604394</v>
      </c>
      <c r="DX49" s="607">
        <f t="shared" si="163"/>
        <v>0</v>
      </c>
      <c r="DY49" s="608">
        <f t="shared" si="164"/>
        <v>0</v>
      </c>
      <c r="DZ49" s="607">
        <f t="shared" si="165"/>
        <v>16481537.37889258</v>
      </c>
      <c r="EA49" s="608">
        <f t="shared" si="166"/>
        <v>17947551.10612271</v>
      </c>
    </row>
    <row r="50" spans="1:131" ht="13.5" thickBot="1" x14ac:dyDescent="0.25">
      <c r="A50" s="382" t="s">
        <v>32</v>
      </c>
      <c r="B50" s="383" t="s">
        <v>588</v>
      </c>
      <c r="C50" s="534" t="s">
        <v>560</v>
      </c>
      <c r="D50" s="344">
        <v>106245</v>
      </c>
      <c r="E50" s="344">
        <v>3</v>
      </c>
      <c r="F50" s="598">
        <v>116</v>
      </c>
      <c r="G50" s="599">
        <v>117</v>
      </c>
      <c r="H50" s="600"/>
      <c r="I50" s="601">
        <v>2</v>
      </c>
      <c r="J50" s="600">
        <v>32</v>
      </c>
      <c r="K50" s="599">
        <v>4</v>
      </c>
      <c r="L50" s="600"/>
      <c r="M50" s="601">
        <v>41</v>
      </c>
      <c r="N50" s="600">
        <v>104</v>
      </c>
      <c r="O50" s="599">
        <v>104</v>
      </c>
      <c r="P50" s="600"/>
      <c r="Q50" s="601"/>
      <c r="R50" s="600">
        <v>19</v>
      </c>
      <c r="S50" s="599">
        <v>5</v>
      </c>
      <c r="T50" s="600"/>
      <c r="U50" s="601">
        <v>21</v>
      </c>
      <c r="V50" s="600">
        <v>100</v>
      </c>
      <c r="W50" s="599">
        <v>107</v>
      </c>
      <c r="X50" s="600"/>
      <c r="Y50" s="601"/>
      <c r="Z50" s="600">
        <v>10</v>
      </c>
      <c r="AA50" s="599">
        <v>2</v>
      </c>
      <c r="AB50" s="600"/>
      <c r="AC50" s="601">
        <v>12</v>
      </c>
      <c r="AD50" s="600">
        <v>75</v>
      </c>
      <c r="AE50" s="655">
        <v>67</v>
      </c>
      <c r="AF50" s="600"/>
      <c r="AG50" s="643"/>
      <c r="AH50" s="600">
        <v>15</v>
      </c>
      <c r="AI50" s="655">
        <v>4</v>
      </c>
      <c r="AJ50" s="600"/>
      <c r="AK50" s="643">
        <v>25</v>
      </c>
      <c r="AL50" s="600">
        <v>16</v>
      </c>
      <c r="AM50" s="599"/>
      <c r="AN50" s="600"/>
      <c r="AO50" s="601"/>
      <c r="AP50" s="600">
        <v>9</v>
      </c>
      <c r="AQ50" s="599"/>
      <c r="AR50" s="600"/>
      <c r="AS50" s="643"/>
      <c r="AT50" s="600"/>
      <c r="AU50" s="655"/>
      <c r="AV50" s="600"/>
      <c r="AW50" s="643"/>
      <c r="AX50" s="600"/>
      <c r="AY50" s="655"/>
      <c r="AZ50" s="600"/>
      <c r="BA50" s="643"/>
      <c r="BB50" s="602">
        <v>13218995.479999999</v>
      </c>
      <c r="BC50" s="599">
        <v>14890234</v>
      </c>
      <c r="BD50" s="600">
        <v>8727142.1099999994</v>
      </c>
      <c r="BE50" s="599">
        <v>9330264</v>
      </c>
      <c r="BF50" s="600">
        <v>6526095</v>
      </c>
      <c r="BG50" s="599">
        <v>7444972</v>
      </c>
      <c r="BH50" s="600">
        <v>3943877.7</v>
      </c>
      <c r="BI50" s="599">
        <v>4236672</v>
      </c>
      <c r="BJ50" s="600">
        <v>1042478.99</v>
      </c>
      <c r="BK50" s="647"/>
      <c r="BL50" s="600">
        <v>0</v>
      </c>
      <c r="BM50" s="663"/>
      <c r="BN50" s="605">
        <f t="shared" si="101"/>
        <v>1396</v>
      </c>
      <c r="BO50" s="606">
        <f t="shared" si="102"/>
        <v>1609</v>
      </c>
      <c r="BP50" s="607">
        <f t="shared" si="103"/>
        <v>1145</v>
      </c>
      <c r="BQ50" s="606">
        <f t="shared" si="104"/>
        <v>1243</v>
      </c>
      <c r="BR50" s="607">
        <f t="shared" si="105"/>
        <v>1010</v>
      </c>
      <c r="BS50" s="606">
        <f t="shared" si="106"/>
        <v>1129</v>
      </c>
      <c r="BT50" s="607">
        <f t="shared" si="107"/>
        <v>840</v>
      </c>
      <c r="BU50" s="606">
        <f t="shared" si="108"/>
        <v>947</v>
      </c>
      <c r="BV50" s="607">
        <f t="shared" si="109"/>
        <v>243</v>
      </c>
      <c r="BW50" s="608">
        <f t="shared" si="110"/>
        <v>0</v>
      </c>
      <c r="BX50" s="607">
        <f t="shared" si="111"/>
        <v>0</v>
      </c>
      <c r="BY50" s="608">
        <f t="shared" si="112"/>
        <v>0</v>
      </c>
      <c r="BZ50" s="607">
        <f t="shared" si="113"/>
        <v>9469.1944699140386</v>
      </c>
      <c r="CA50" s="608">
        <f t="shared" si="114"/>
        <v>9254.3405842137981</v>
      </c>
      <c r="CB50" s="607">
        <f t="shared" si="115"/>
        <v>7621.9581746724889</v>
      </c>
      <c r="CC50" s="608">
        <f t="shared" si="116"/>
        <v>7506.2461786001613</v>
      </c>
      <c r="CD50" s="607">
        <f t="shared" si="117"/>
        <v>6461.4801980198017</v>
      </c>
      <c r="CE50" s="608">
        <f t="shared" si="118"/>
        <v>6594.3064658990261</v>
      </c>
      <c r="CF50" s="607">
        <f t="shared" si="119"/>
        <v>4695.0925000000007</v>
      </c>
      <c r="CG50" s="608">
        <f t="shared" si="120"/>
        <v>4473.7824709609295</v>
      </c>
      <c r="CH50" s="607">
        <f t="shared" si="121"/>
        <v>4290.0369958847732</v>
      </c>
      <c r="CI50" s="608">
        <f t="shared" si="122"/>
        <v>0</v>
      </c>
      <c r="CJ50" s="607">
        <f t="shared" si="123"/>
        <v>0</v>
      </c>
      <c r="CK50" s="608">
        <f t="shared" si="124"/>
        <v>0</v>
      </c>
      <c r="CL50" s="609">
        <f t="shared" si="125"/>
        <v>85222.750229226353</v>
      </c>
      <c r="CM50" s="608">
        <f t="shared" si="126"/>
        <v>83289.065257924187</v>
      </c>
      <c r="CN50" s="610">
        <f t="shared" si="127"/>
        <v>68597.623572052398</v>
      </c>
      <c r="CO50" s="606">
        <f t="shared" si="128"/>
        <v>67556.215607401449</v>
      </c>
      <c r="CP50" s="607">
        <f t="shared" si="129"/>
        <v>58153.321782178216</v>
      </c>
      <c r="CQ50" s="606">
        <f t="shared" si="130"/>
        <v>59348.758193091235</v>
      </c>
      <c r="CR50" s="607">
        <f t="shared" si="131"/>
        <v>42255.832500000004</v>
      </c>
      <c r="CS50" s="606">
        <f t="shared" si="132"/>
        <v>40264.042238648362</v>
      </c>
      <c r="CT50" s="607">
        <f t="shared" si="133"/>
        <v>38610.332962962959</v>
      </c>
      <c r="CU50" s="608">
        <f t="shared" si="134"/>
        <v>0</v>
      </c>
      <c r="CV50" s="610">
        <f t="shared" si="135"/>
        <v>0</v>
      </c>
      <c r="CW50" s="608">
        <f t="shared" si="136"/>
        <v>0</v>
      </c>
      <c r="CX50" s="610">
        <f t="shared" si="137"/>
        <v>64950.853585487152</v>
      </c>
      <c r="CY50" s="611">
        <f t="shared" si="138"/>
        <v>65534.760327859171</v>
      </c>
      <c r="CZ50" s="605">
        <f t="shared" si="139"/>
        <v>148</v>
      </c>
      <c r="DA50" s="612">
        <f t="shared" si="140"/>
        <v>164</v>
      </c>
      <c r="DB50" s="607">
        <f t="shared" si="141"/>
        <v>123</v>
      </c>
      <c r="DC50" s="606">
        <f t="shared" si="142"/>
        <v>130</v>
      </c>
      <c r="DD50" s="607">
        <f t="shared" si="143"/>
        <v>110</v>
      </c>
      <c r="DE50" s="606">
        <f t="shared" si="144"/>
        <v>121</v>
      </c>
      <c r="DF50" s="607">
        <f t="shared" si="145"/>
        <v>90</v>
      </c>
      <c r="DG50" s="606">
        <f t="shared" si="146"/>
        <v>96</v>
      </c>
      <c r="DH50" s="607">
        <f t="shared" si="147"/>
        <v>25</v>
      </c>
      <c r="DI50" s="608">
        <f t="shared" si="148"/>
        <v>0</v>
      </c>
      <c r="DJ50" s="607">
        <f t="shared" si="149"/>
        <v>0</v>
      </c>
      <c r="DK50" s="608">
        <f t="shared" si="150"/>
        <v>0</v>
      </c>
      <c r="DL50" s="607">
        <f t="shared" si="151"/>
        <v>496</v>
      </c>
      <c r="DM50" s="608">
        <f t="shared" si="152"/>
        <v>511</v>
      </c>
      <c r="DN50" s="607">
        <f t="shared" si="153"/>
        <v>12612967.0339255</v>
      </c>
      <c r="DO50" s="612">
        <f t="shared" si="154"/>
        <v>13659406.702299567</v>
      </c>
      <c r="DP50" s="607">
        <f t="shared" si="155"/>
        <v>8437507.6993624456</v>
      </c>
      <c r="DQ50" s="606">
        <f t="shared" si="156"/>
        <v>8782308.0289621875</v>
      </c>
      <c r="DR50" s="607">
        <f t="shared" si="157"/>
        <v>6396865.3960396042</v>
      </c>
      <c r="DS50" s="606">
        <f t="shared" si="158"/>
        <v>7181199.7413640395</v>
      </c>
      <c r="DT50" s="607">
        <f t="shared" si="159"/>
        <v>3803024.9250000003</v>
      </c>
      <c r="DU50" s="606">
        <f t="shared" si="160"/>
        <v>3865348.0549102426</v>
      </c>
      <c r="DV50" s="607">
        <f t="shared" si="161"/>
        <v>965258.32407407393</v>
      </c>
      <c r="DW50" s="608">
        <f t="shared" si="162"/>
        <v>0</v>
      </c>
      <c r="DX50" s="607">
        <f t="shared" si="163"/>
        <v>0</v>
      </c>
      <c r="DY50" s="608">
        <f t="shared" si="164"/>
        <v>0</v>
      </c>
      <c r="DZ50" s="607">
        <f t="shared" si="165"/>
        <v>32215623.378401626</v>
      </c>
      <c r="EA50" s="608">
        <f t="shared" si="166"/>
        <v>33488262.527536035</v>
      </c>
    </row>
    <row r="51" spans="1:131" ht="13.5" thickBot="1" x14ac:dyDescent="0.25">
      <c r="A51" s="382" t="s">
        <v>32</v>
      </c>
      <c r="B51" s="383" t="s">
        <v>589</v>
      </c>
      <c r="C51" s="534"/>
      <c r="D51" s="344">
        <v>106704</v>
      </c>
      <c r="E51" s="344">
        <v>3</v>
      </c>
      <c r="F51" s="598">
        <v>61</v>
      </c>
      <c r="G51" s="599">
        <v>61</v>
      </c>
      <c r="H51" s="600"/>
      <c r="I51" s="601">
        <v>1</v>
      </c>
      <c r="J51" s="600">
        <v>24</v>
      </c>
      <c r="K51" s="599">
        <v>2</v>
      </c>
      <c r="L51" s="600"/>
      <c r="M51" s="601">
        <v>23</v>
      </c>
      <c r="N51" s="600">
        <v>112</v>
      </c>
      <c r="O51" s="599">
        <v>110</v>
      </c>
      <c r="P51" s="600"/>
      <c r="Q51" s="601">
        <v>6</v>
      </c>
      <c r="R51" s="600">
        <v>12</v>
      </c>
      <c r="S51" s="599">
        <v>2</v>
      </c>
      <c r="T51" s="600"/>
      <c r="U51" s="601">
        <v>12</v>
      </c>
      <c r="V51" s="600">
        <v>152</v>
      </c>
      <c r="W51" s="599">
        <v>132</v>
      </c>
      <c r="X51" s="600"/>
      <c r="Y51" s="601">
        <v>3</v>
      </c>
      <c r="Z51" s="600">
        <v>4</v>
      </c>
      <c r="AA51" s="599">
        <v>3</v>
      </c>
      <c r="AB51" s="600"/>
      <c r="AC51" s="601">
        <v>3</v>
      </c>
      <c r="AD51" s="600">
        <v>94</v>
      </c>
      <c r="AE51" s="655">
        <v>64</v>
      </c>
      <c r="AF51" s="600"/>
      <c r="AG51" s="643">
        <v>5</v>
      </c>
      <c r="AH51" s="600">
        <v>11</v>
      </c>
      <c r="AI51" s="655">
        <v>1</v>
      </c>
      <c r="AJ51" s="600"/>
      <c r="AK51" s="643">
        <v>11</v>
      </c>
      <c r="AL51" s="600">
        <v>53</v>
      </c>
      <c r="AM51" s="656">
        <v>92</v>
      </c>
      <c r="AN51" s="600"/>
      <c r="AO51" s="601">
        <v>4</v>
      </c>
      <c r="AP51" s="600">
        <v>4</v>
      </c>
      <c r="AQ51" s="599">
        <v>1</v>
      </c>
      <c r="AR51" s="600"/>
      <c r="AS51" s="656">
        <v>5</v>
      </c>
      <c r="AT51" s="600"/>
      <c r="AU51" s="656">
        <v>0</v>
      </c>
      <c r="AV51" s="600"/>
      <c r="AW51" s="643"/>
      <c r="AX51" s="600"/>
      <c r="AY51" s="655"/>
      <c r="AZ51" s="600"/>
      <c r="BA51" s="656">
        <v>0</v>
      </c>
      <c r="BB51" s="602">
        <v>7127528.9100000001</v>
      </c>
      <c r="BC51" s="599">
        <v>7322080</v>
      </c>
      <c r="BD51" s="600">
        <v>8093741.1600000001</v>
      </c>
      <c r="BE51" s="599">
        <v>8432339</v>
      </c>
      <c r="BF51" s="600">
        <v>8760100.5999999996</v>
      </c>
      <c r="BG51" s="599">
        <v>7976727</v>
      </c>
      <c r="BH51" s="600">
        <v>4405165.58</v>
      </c>
      <c r="BI51" s="599">
        <v>3748430</v>
      </c>
      <c r="BJ51" s="600">
        <v>2419475.17</v>
      </c>
      <c r="BK51" s="647">
        <v>2393822</v>
      </c>
      <c r="BL51" s="600">
        <v>0</v>
      </c>
      <c r="BM51" s="663">
        <v>1707457</v>
      </c>
      <c r="BN51" s="605">
        <f t="shared" si="101"/>
        <v>813</v>
      </c>
      <c r="BO51" s="606">
        <f t="shared" si="102"/>
        <v>857</v>
      </c>
      <c r="BP51" s="607">
        <f t="shared" si="103"/>
        <v>1140</v>
      </c>
      <c r="BQ51" s="606">
        <f t="shared" si="104"/>
        <v>1216</v>
      </c>
      <c r="BR51" s="607">
        <f t="shared" si="105"/>
        <v>1412</v>
      </c>
      <c r="BS51" s="606">
        <f t="shared" si="106"/>
        <v>1287</v>
      </c>
      <c r="BT51" s="607">
        <f t="shared" si="107"/>
        <v>967</v>
      </c>
      <c r="BU51" s="606">
        <f t="shared" si="108"/>
        <v>769</v>
      </c>
      <c r="BV51" s="607">
        <f t="shared" si="109"/>
        <v>521</v>
      </c>
      <c r="BW51" s="608">
        <f t="shared" si="110"/>
        <v>939</v>
      </c>
      <c r="BX51" s="607">
        <f t="shared" si="111"/>
        <v>0</v>
      </c>
      <c r="BY51" s="608">
        <f t="shared" si="112"/>
        <v>0</v>
      </c>
      <c r="BZ51" s="607">
        <f t="shared" si="113"/>
        <v>8766.9482287822884</v>
      </c>
      <c r="CA51" s="608">
        <f t="shared" si="114"/>
        <v>8543.8506417736298</v>
      </c>
      <c r="CB51" s="607">
        <f t="shared" si="115"/>
        <v>7099.7729473684212</v>
      </c>
      <c r="CC51" s="608">
        <f t="shared" si="116"/>
        <v>6934.4893092105267</v>
      </c>
      <c r="CD51" s="607">
        <f t="shared" si="117"/>
        <v>6204.0372521246454</v>
      </c>
      <c r="CE51" s="608">
        <f t="shared" si="118"/>
        <v>6197.9230769230771</v>
      </c>
      <c r="CF51" s="607">
        <f t="shared" si="119"/>
        <v>4555.4969803516033</v>
      </c>
      <c r="CG51" s="608">
        <f t="shared" si="120"/>
        <v>4874.4213263979191</v>
      </c>
      <c r="CH51" s="607">
        <f t="shared" si="121"/>
        <v>4643.9062763915545</v>
      </c>
      <c r="CI51" s="608">
        <f t="shared" si="122"/>
        <v>2549.3312034078808</v>
      </c>
      <c r="CJ51" s="607">
        <f t="shared" si="123"/>
        <v>0</v>
      </c>
      <c r="CK51" s="608">
        <f t="shared" si="124"/>
        <v>0</v>
      </c>
      <c r="CL51" s="609">
        <f t="shared" si="125"/>
        <v>78902.534059040598</v>
      </c>
      <c r="CM51" s="608">
        <f t="shared" si="126"/>
        <v>76894.655775962674</v>
      </c>
      <c r="CN51" s="610">
        <f t="shared" si="127"/>
        <v>63897.956526315793</v>
      </c>
      <c r="CO51" s="606">
        <f t="shared" si="128"/>
        <v>62410.40378289474</v>
      </c>
      <c r="CP51" s="607">
        <f t="shared" si="129"/>
        <v>55836.33526912181</v>
      </c>
      <c r="CQ51" s="606">
        <f t="shared" si="130"/>
        <v>55781.307692307695</v>
      </c>
      <c r="CR51" s="607">
        <f t="shared" si="131"/>
        <v>40999.472823164426</v>
      </c>
      <c r="CS51" s="606">
        <f t="shared" si="132"/>
        <v>43869.791937581271</v>
      </c>
      <c r="CT51" s="607">
        <f t="shared" si="133"/>
        <v>41795.156487523993</v>
      </c>
      <c r="CU51" s="608">
        <f t="shared" si="134"/>
        <v>22943.980830670927</v>
      </c>
      <c r="CV51" s="610">
        <f t="shared" si="135"/>
        <v>0</v>
      </c>
      <c r="CW51" s="608">
        <f t="shared" si="136"/>
        <v>0</v>
      </c>
      <c r="CX51" s="610">
        <f t="shared" si="137"/>
        <v>56978.745488587752</v>
      </c>
      <c r="CY51" s="611">
        <f t="shared" si="138"/>
        <v>52794.992829155221</v>
      </c>
      <c r="CZ51" s="605">
        <f t="shared" si="139"/>
        <v>85</v>
      </c>
      <c r="DA51" s="612">
        <f t="shared" si="140"/>
        <v>87</v>
      </c>
      <c r="DB51" s="607">
        <f t="shared" si="141"/>
        <v>124</v>
      </c>
      <c r="DC51" s="606">
        <f t="shared" si="142"/>
        <v>130</v>
      </c>
      <c r="DD51" s="607">
        <f t="shared" si="143"/>
        <v>156</v>
      </c>
      <c r="DE51" s="606">
        <f t="shared" si="144"/>
        <v>141</v>
      </c>
      <c r="DF51" s="607">
        <f t="shared" si="145"/>
        <v>105</v>
      </c>
      <c r="DG51" s="606">
        <f t="shared" si="146"/>
        <v>81</v>
      </c>
      <c r="DH51" s="607">
        <f t="shared" si="147"/>
        <v>57</v>
      </c>
      <c r="DI51" s="608">
        <f t="shared" si="148"/>
        <v>102</v>
      </c>
      <c r="DJ51" s="607">
        <f t="shared" si="149"/>
        <v>0</v>
      </c>
      <c r="DK51" s="608">
        <f t="shared" si="150"/>
        <v>0</v>
      </c>
      <c r="DL51" s="607">
        <f t="shared" si="151"/>
        <v>527</v>
      </c>
      <c r="DM51" s="608">
        <f t="shared" si="152"/>
        <v>541</v>
      </c>
      <c r="DN51" s="607">
        <f t="shared" si="153"/>
        <v>6706715.3950184509</v>
      </c>
      <c r="DO51" s="612">
        <f t="shared" si="154"/>
        <v>6689835.0525087528</v>
      </c>
      <c r="DP51" s="607">
        <f t="shared" si="155"/>
        <v>7923346.6092631584</v>
      </c>
      <c r="DQ51" s="606">
        <f t="shared" si="156"/>
        <v>8113352.4917763164</v>
      </c>
      <c r="DR51" s="607">
        <f t="shared" si="157"/>
        <v>8710468.3019830026</v>
      </c>
      <c r="DS51" s="606">
        <f t="shared" si="158"/>
        <v>7865164.384615385</v>
      </c>
      <c r="DT51" s="607">
        <f t="shared" si="159"/>
        <v>4304944.6464322647</v>
      </c>
      <c r="DU51" s="606">
        <f t="shared" si="160"/>
        <v>3553453.1469440828</v>
      </c>
      <c r="DV51" s="607">
        <f t="shared" si="161"/>
        <v>2382323.9197888677</v>
      </c>
      <c r="DW51" s="608">
        <f t="shared" si="162"/>
        <v>2340286.0447284346</v>
      </c>
      <c r="DX51" s="607">
        <f t="shared" si="163"/>
        <v>0</v>
      </c>
      <c r="DY51" s="608">
        <f t="shared" si="164"/>
        <v>0</v>
      </c>
      <c r="DZ51" s="607">
        <f t="shared" si="165"/>
        <v>30027798.872485746</v>
      </c>
      <c r="EA51" s="608">
        <f t="shared" si="166"/>
        <v>28562091.120572973</v>
      </c>
    </row>
    <row r="52" spans="1:131" x14ac:dyDescent="0.2">
      <c r="A52" s="487" t="s">
        <v>32</v>
      </c>
      <c r="B52" s="383" t="s">
        <v>591</v>
      </c>
      <c r="C52" s="534"/>
      <c r="D52" s="344">
        <v>107071</v>
      </c>
      <c r="E52" s="344">
        <v>4</v>
      </c>
      <c r="F52" s="598">
        <v>64</v>
      </c>
      <c r="G52" s="599"/>
      <c r="H52" s="600"/>
      <c r="I52" s="601">
        <v>63</v>
      </c>
      <c r="J52" s="600">
        <v>2</v>
      </c>
      <c r="K52" s="599"/>
      <c r="L52" s="600"/>
      <c r="M52" s="601">
        <v>2</v>
      </c>
      <c r="N52" s="600">
        <v>23</v>
      </c>
      <c r="O52" s="599"/>
      <c r="P52" s="600"/>
      <c r="Q52" s="601">
        <v>28</v>
      </c>
      <c r="R52" s="600">
        <v>2</v>
      </c>
      <c r="S52" s="599"/>
      <c r="T52" s="600"/>
      <c r="U52" s="601">
        <v>2</v>
      </c>
      <c r="V52" s="600">
        <v>48</v>
      </c>
      <c r="W52" s="599"/>
      <c r="X52" s="600"/>
      <c r="Y52" s="601">
        <v>44</v>
      </c>
      <c r="Z52" s="600">
        <v>2</v>
      </c>
      <c r="AA52" s="599"/>
      <c r="AB52" s="600"/>
      <c r="AC52" s="601"/>
      <c r="AD52" s="600">
        <v>23</v>
      </c>
      <c r="AE52" s="655"/>
      <c r="AF52" s="600"/>
      <c r="AG52" s="643">
        <v>25</v>
      </c>
      <c r="AH52" s="600">
        <v>6</v>
      </c>
      <c r="AI52" s="655"/>
      <c r="AJ52" s="600"/>
      <c r="AK52" s="643">
        <v>9</v>
      </c>
      <c r="AL52" s="600">
        <v>0</v>
      </c>
      <c r="AM52" s="655"/>
      <c r="AN52" s="600"/>
      <c r="AO52" s="601"/>
      <c r="AP52" s="600">
        <v>1</v>
      </c>
      <c r="AQ52" s="599"/>
      <c r="AR52" s="600"/>
      <c r="AS52" s="643"/>
      <c r="AT52" s="600"/>
      <c r="AU52" s="655"/>
      <c r="AV52" s="600"/>
      <c r="AW52" s="643"/>
      <c r="AX52" s="600"/>
      <c r="AY52" s="655"/>
      <c r="AZ52" s="600"/>
      <c r="BA52" s="643"/>
      <c r="BB52" s="602">
        <v>4235597.96</v>
      </c>
      <c r="BC52" s="599">
        <v>4307940</v>
      </c>
      <c r="BD52" s="600">
        <v>1397750.04</v>
      </c>
      <c r="BE52" s="599">
        <v>1846910</v>
      </c>
      <c r="BF52" s="600">
        <v>2576738.16</v>
      </c>
      <c r="BG52" s="599">
        <v>2256523</v>
      </c>
      <c r="BH52" s="600">
        <v>1267091.0299999998</v>
      </c>
      <c r="BI52" s="599">
        <v>1548068</v>
      </c>
      <c r="BJ52" s="600">
        <v>62424</v>
      </c>
      <c r="BK52" s="647"/>
      <c r="BL52" s="600">
        <v>0</v>
      </c>
      <c r="BM52" s="663"/>
      <c r="BN52" s="605">
        <f t="shared" si="101"/>
        <v>598</v>
      </c>
      <c r="BO52" s="606">
        <f t="shared" si="102"/>
        <v>654</v>
      </c>
      <c r="BP52" s="607">
        <f t="shared" si="103"/>
        <v>229</v>
      </c>
      <c r="BQ52" s="606">
        <f t="shared" si="104"/>
        <v>304</v>
      </c>
      <c r="BR52" s="607">
        <f t="shared" si="105"/>
        <v>454</v>
      </c>
      <c r="BS52" s="606">
        <f t="shared" si="106"/>
        <v>440</v>
      </c>
      <c r="BT52" s="607">
        <f t="shared" si="107"/>
        <v>273</v>
      </c>
      <c r="BU52" s="606">
        <f t="shared" si="108"/>
        <v>358</v>
      </c>
      <c r="BV52" s="607">
        <f t="shared" si="109"/>
        <v>11</v>
      </c>
      <c r="BW52" s="608">
        <f t="shared" si="110"/>
        <v>0</v>
      </c>
      <c r="BX52" s="607">
        <f t="shared" si="111"/>
        <v>0</v>
      </c>
      <c r="BY52" s="608">
        <f t="shared" si="112"/>
        <v>0</v>
      </c>
      <c r="BZ52" s="607">
        <f t="shared" si="113"/>
        <v>7082.9397324414713</v>
      </c>
      <c r="CA52" s="608">
        <f t="shared" si="114"/>
        <v>6587.0642201834862</v>
      </c>
      <c r="CB52" s="607">
        <f t="shared" si="115"/>
        <v>6103.7119650655022</v>
      </c>
      <c r="CC52" s="608">
        <f t="shared" si="116"/>
        <v>6075.3618421052633</v>
      </c>
      <c r="CD52" s="607">
        <f t="shared" si="117"/>
        <v>5675.6347136563882</v>
      </c>
      <c r="CE52" s="608">
        <f t="shared" si="118"/>
        <v>5128.4613636363638</v>
      </c>
      <c r="CF52" s="607">
        <f t="shared" si="119"/>
        <v>4641.3590842490839</v>
      </c>
      <c r="CG52" s="608">
        <f t="shared" si="120"/>
        <v>4324.2122905027936</v>
      </c>
      <c r="CH52" s="607">
        <f t="shared" si="121"/>
        <v>5674.909090909091</v>
      </c>
      <c r="CI52" s="608">
        <f t="shared" si="122"/>
        <v>0</v>
      </c>
      <c r="CJ52" s="607">
        <f t="shared" si="123"/>
        <v>0</v>
      </c>
      <c r="CK52" s="608">
        <f t="shared" si="124"/>
        <v>0</v>
      </c>
      <c r="CL52" s="609">
        <f t="shared" si="125"/>
        <v>63746.457591973245</v>
      </c>
      <c r="CM52" s="608">
        <f t="shared" si="126"/>
        <v>59283.577981651375</v>
      </c>
      <c r="CN52" s="610">
        <f t="shared" si="127"/>
        <v>54933.407685589518</v>
      </c>
      <c r="CO52" s="606">
        <f t="shared" si="128"/>
        <v>54678.256578947374</v>
      </c>
      <c r="CP52" s="607">
        <f t="shared" si="129"/>
        <v>51080.712422907491</v>
      </c>
      <c r="CQ52" s="606">
        <f t="shared" si="130"/>
        <v>46156.152272727275</v>
      </c>
      <c r="CR52" s="607">
        <f t="shared" si="131"/>
        <v>41772.231758241753</v>
      </c>
      <c r="CS52" s="606">
        <f t="shared" si="132"/>
        <v>38917.910614525143</v>
      </c>
      <c r="CT52" s="607">
        <f t="shared" si="133"/>
        <v>51074.181818181816</v>
      </c>
      <c r="CU52" s="608">
        <f t="shared" si="134"/>
        <v>0</v>
      </c>
      <c r="CV52" s="610">
        <f t="shared" si="135"/>
        <v>0</v>
      </c>
      <c r="CW52" s="608">
        <f t="shared" si="136"/>
        <v>0</v>
      </c>
      <c r="CX52" s="610">
        <f t="shared" si="137"/>
        <v>54953.835772880346</v>
      </c>
      <c r="CY52" s="611">
        <f t="shared" si="138"/>
        <v>51143.699000402405</v>
      </c>
      <c r="CZ52" s="605">
        <f t="shared" si="139"/>
        <v>66</v>
      </c>
      <c r="DA52" s="612">
        <f t="shared" si="140"/>
        <v>65</v>
      </c>
      <c r="DB52" s="607">
        <f t="shared" si="141"/>
        <v>25</v>
      </c>
      <c r="DC52" s="606">
        <f t="shared" si="142"/>
        <v>30</v>
      </c>
      <c r="DD52" s="607">
        <f t="shared" si="143"/>
        <v>50</v>
      </c>
      <c r="DE52" s="606">
        <f t="shared" si="144"/>
        <v>44</v>
      </c>
      <c r="DF52" s="607">
        <f t="shared" si="145"/>
        <v>29</v>
      </c>
      <c r="DG52" s="606">
        <f t="shared" si="146"/>
        <v>34</v>
      </c>
      <c r="DH52" s="607">
        <f t="shared" si="147"/>
        <v>1</v>
      </c>
      <c r="DI52" s="608">
        <f t="shared" si="148"/>
        <v>0</v>
      </c>
      <c r="DJ52" s="607">
        <f t="shared" si="149"/>
        <v>0</v>
      </c>
      <c r="DK52" s="608">
        <f t="shared" si="150"/>
        <v>0</v>
      </c>
      <c r="DL52" s="607">
        <f t="shared" si="151"/>
        <v>171</v>
      </c>
      <c r="DM52" s="608">
        <f t="shared" si="152"/>
        <v>173</v>
      </c>
      <c r="DN52" s="607">
        <f t="shared" si="153"/>
        <v>4207266.2010702342</v>
      </c>
      <c r="DO52" s="612">
        <f t="shared" si="154"/>
        <v>3853432.5688073393</v>
      </c>
      <c r="DP52" s="607">
        <f t="shared" si="155"/>
        <v>1373335.192139738</v>
      </c>
      <c r="DQ52" s="606">
        <f t="shared" si="156"/>
        <v>1640347.6973684211</v>
      </c>
      <c r="DR52" s="607">
        <f t="shared" si="157"/>
        <v>2554035.6211453746</v>
      </c>
      <c r="DS52" s="606">
        <f t="shared" si="158"/>
        <v>2030870.7000000002</v>
      </c>
      <c r="DT52" s="607">
        <f t="shared" si="159"/>
        <v>1211394.7209890108</v>
      </c>
      <c r="DU52" s="606">
        <f t="shared" si="160"/>
        <v>1323208.960893855</v>
      </c>
      <c r="DV52" s="607">
        <f t="shared" si="161"/>
        <v>51074.181818181816</v>
      </c>
      <c r="DW52" s="608">
        <f t="shared" si="162"/>
        <v>0</v>
      </c>
      <c r="DX52" s="607">
        <f t="shared" si="163"/>
        <v>0</v>
      </c>
      <c r="DY52" s="608">
        <f t="shared" si="164"/>
        <v>0</v>
      </c>
      <c r="DZ52" s="607">
        <f t="shared" si="165"/>
        <v>9397105.9171625394</v>
      </c>
      <c r="EA52" s="608">
        <f t="shared" si="166"/>
        <v>8847859.9270696156</v>
      </c>
    </row>
    <row r="53" spans="1:131" x14ac:dyDescent="0.2">
      <c r="A53" s="487" t="s">
        <v>32</v>
      </c>
      <c r="B53" s="383" t="s">
        <v>592</v>
      </c>
      <c r="C53" s="535"/>
      <c r="D53" s="344">
        <v>107983</v>
      </c>
      <c r="E53" s="351">
        <v>4</v>
      </c>
      <c r="F53" s="598">
        <v>17</v>
      </c>
      <c r="G53" s="599">
        <v>17</v>
      </c>
      <c r="H53" s="600"/>
      <c r="I53" s="601"/>
      <c r="J53" s="600">
        <v>4</v>
      </c>
      <c r="K53" s="599"/>
      <c r="L53" s="600"/>
      <c r="M53" s="601">
        <v>6</v>
      </c>
      <c r="N53" s="600">
        <v>36</v>
      </c>
      <c r="O53" s="599">
        <v>39</v>
      </c>
      <c r="P53" s="600"/>
      <c r="Q53" s="601">
        <v>1</v>
      </c>
      <c r="R53" s="600">
        <v>1</v>
      </c>
      <c r="S53" s="599"/>
      <c r="T53" s="600"/>
      <c r="U53" s="601">
        <v>3</v>
      </c>
      <c r="V53" s="600">
        <v>57</v>
      </c>
      <c r="W53" s="599">
        <v>53</v>
      </c>
      <c r="X53" s="600"/>
      <c r="Y53" s="601">
        <v>1</v>
      </c>
      <c r="Z53" s="600">
        <v>4</v>
      </c>
      <c r="AA53" s="599"/>
      <c r="AB53" s="600"/>
      <c r="AC53" s="601">
        <v>2</v>
      </c>
      <c r="AD53" s="600">
        <v>27</v>
      </c>
      <c r="AE53" s="655">
        <v>22</v>
      </c>
      <c r="AF53" s="600"/>
      <c r="AG53" s="643">
        <v>3</v>
      </c>
      <c r="AH53" s="600">
        <v>14</v>
      </c>
      <c r="AI53" s="655"/>
      <c r="AJ53" s="600"/>
      <c r="AK53" s="643">
        <v>14</v>
      </c>
      <c r="AL53" s="600">
        <v>0</v>
      </c>
      <c r="AM53" s="655"/>
      <c r="AN53" s="600"/>
      <c r="AO53" s="601"/>
      <c r="AP53" s="600">
        <v>1</v>
      </c>
      <c r="AQ53" s="599"/>
      <c r="AR53" s="600"/>
      <c r="AS53" s="643">
        <v>2</v>
      </c>
      <c r="AT53" s="600"/>
      <c r="AU53" s="655"/>
      <c r="AV53" s="600"/>
      <c r="AW53" s="643"/>
      <c r="AX53" s="600"/>
      <c r="AY53" s="655"/>
      <c r="AZ53" s="600"/>
      <c r="BA53" s="643"/>
      <c r="BB53" s="602">
        <v>1646379.9400000002</v>
      </c>
      <c r="BC53" s="599">
        <v>1878289</v>
      </c>
      <c r="BD53" s="600">
        <v>2139217.9199999999</v>
      </c>
      <c r="BE53" s="599">
        <v>2370107</v>
      </c>
      <c r="BF53" s="600">
        <v>3096438.2800000003</v>
      </c>
      <c r="BG53" s="599">
        <v>3054919</v>
      </c>
      <c r="BH53" s="600">
        <v>1756924.0299999998</v>
      </c>
      <c r="BI53" s="599">
        <v>1643123</v>
      </c>
      <c r="BJ53" s="600">
        <v>56960</v>
      </c>
      <c r="BK53" s="647">
        <v>101460</v>
      </c>
      <c r="BL53" s="600">
        <v>0</v>
      </c>
      <c r="BM53" s="663"/>
      <c r="BN53" s="605">
        <f t="shared" si="101"/>
        <v>197</v>
      </c>
      <c r="BO53" s="606">
        <f t="shared" si="102"/>
        <v>225</v>
      </c>
      <c r="BP53" s="607">
        <f t="shared" si="103"/>
        <v>335</v>
      </c>
      <c r="BQ53" s="606">
        <f t="shared" si="104"/>
        <v>397</v>
      </c>
      <c r="BR53" s="607">
        <f t="shared" si="105"/>
        <v>557</v>
      </c>
      <c r="BS53" s="606">
        <f t="shared" si="106"/>
        <v>511</v>
      </c>
      <c r="BT53" s="607">
        <f t="shared" si="107"/>
        <v>397</v>
      </c>
      <c r="BU53" s="606">
        <f t="shared" si="108"/>
        <v>396</v>
      </c>
      <c r="BV53" s="607">
        <f t="shared" si="109"/>
        <v>11</v>
      </c>
      <c r="BW53" s="608">
        <f t="shared" si="110"/>
        <v>24</v>
      </c>
      <c r="BX53" s="607">
        <f t="shared" si="111"/>
        <v>0</v>
      </c>
      <c r="BY53" s="608">
        <f t="shared" si="112"/>
        <v>0</v>
      </c>
      <c r="BZ53" s="607">
        <f t="shared" si="113"/>
        <v>8357.2585786802047</v>
      </c>
      <c r="CA53" s="608">
        <f t="shared" si="114"/>
        <v>8347.9511111111115</v>
      </c>
      <c r="CB53" s="607">
        <f t="shared" si="115"/>
        <v>6385.7251343283579</v>
      </c>
      <c r="CC53" s="608">
        <f t="shared" si="116"/>
        <v>5970.0428211586905</v>
      </c>
      <c r="CD53" s="607">
        <f t="shared" si="117"/>
        <v>5559.1351526032322</v>
      </c>
      <c r="CE53" s="608">
        <f t="shared" si="118"/>
        <v>5978.3150684931506</v>
      </c>
      <c r="CF53" s="607">
        <f t="shared" si="119"/>
        <v>4425.5013350125937</v>
      </c>
      <c r="CG53" s="608">
        <f t="shared" si="120"/>
        <v>4149.3005050505053</v>
      </c>
      <c r="CH53" s="607">
        <f t="shared" si="121"/>
        <v>5178.181818181818</v>
      </c>
      <c r="CI53" s="608">
        <f t="shared" si="122"/>
        <v>4227.5</v>
      </c>
      <c r="CJ53" s="607">
        <f t="shared" si="123"/>
        <v>0</v>
      </c>
      <c r="CK53" s="608">
        <f t="shared" si="124"/>
        <v>0</v>
      </c>
      <c r="CL53" s="609">
        <f t="shared" si="125"/>
        <v>75215.327208121846</v>
      </c>
      <c r="CM53" s="608">
        <f t="shared" si="126"/>
        <v>75131.56</v>
      </c>
      <c r="CN53" s="610">
        <f t="shared" si="127"/>
        <v>57471.52620895522</v>
      </c>
      <c r="CO53" s="606">
        <f t="shared" si="128"/>
        <v>53730.385390428215</v>
      </c>
      <c r="CP53" s="607">
        <f t="shared" si="129"/>
        <v>50032.216373429088</v>
      </c>
      <c r="CQ53" s="606">
        <f t="shared" si="130"/>
        <v>53804.835616438359</v>
      </c>
      <c r="CR53" s="607">
        <f t="shared" si="131"/>
        <v>39829.512015113345</v>
      </c>
      <c r="CS53" s="606">
        <f t="shared" si="132"/>
        <v>37343.704545454544</v>
      </c>
      <c r="CT53" s="607">
        <f t="shared" si="133"/>
        <v>46603.63636363636</v>
      </c>
      <c r="CU53" s="608">
        <f t="shared" si="134"/>
        <v>38047.5</v>
      </c>
      <c r="CV53" s="610">
        <f t="shared" si="135"/>
        <v>0</v>
      </c>
      <c r="CW53" s="608">
        <f t="shared" si="136"/>
        <v>0</v>
      </c>
      <c r="CX53" s="610">
        <f t="shared" si="137"/>
        <v>52407.125272449441</v>
      </c>
      <c r="CY53" s="611">
        <f t="shared" si="138"/>
        <v>52662.593396206677</v>
      </c>
      <c r="CZ53" s="605">
        <f t="shared" si="139"/>
        <v>21</v>
      </c>
      <c r="DA53" s="612">
        <f t="shared" si="140"/>
        <v>23</v>
      </c>
      <c r="DB53" s="607">
        <f t="shared" si="141"/>
        <v>37</v>
      </c>
      <c r="DC53" s="606">
        <f t="shared" si="142"/>
        <v>43</v>
      </c>
      <c r="DD53" s="607">
        <f t="shared" si="143"/>
        <v>61</v>
      </c>
      <c r="DE53" s="606">
        <f t="shared" si="144"/>
        <v>56</v>
      </c>
      <c r="DF53" s="607">
        <f t="shared" si="145"/>
        <v>41</v>
      </c>
      <c r="DG53" s="606">
        <f t="shared" si="146"/>
        <v>39</v>
      </c>
      <c r="DH53" s="607">
        <f t="shared" si="147"/>
        <v>1</v>
      </c>
      <c r="DI53" s="608">
        <f t="shared" si="148"/>
        <v>2</v>
      </c>
      <c r="DJ53" s="607">
        <f t="shared" si="149"/>
        <v>0</v>
      </c>
      <c r="DK53" s="608">
        <f t="shared" si="150"/>
        <v>0</v>
      </c>
      <c r="DL53" s="607">
        <f t="shared" si="151"/>
        <v>161</v>
      </c>
      <c r="DM53" s="608">
        <f t="shared" si="152"/>
        <v>163</v>
      </c>
      <c r="DN53" s="607">
        <f t="shared" si="153"/>
        <v>1579521.8713705589</v>
      </c>
      <c r="DO53" s="612">
        <f t="shared" si="154"/>
        <v>1728025.88</v>
      </c>
      <c r="DP53" s="607">
        <f t="shared" si="155"/>
        <v>2126446.469731343</v>
      </c>
      <c r="DQ53" s="606">
        <f t="shared" si="156"/>
        <v>2310406.5717884135</v>
      </c>
      <c r="DR53" s="607">
        <f t="shared" si="157"/>
        <v>3051965.1987791746</v>
      </c>
      <c r="DS53" s="606">
        <f t="shared" si="158"/>
        <v>3013070.7945205481</v>
      </c>
      <c r="DT53" s="607">
        <f t="shared" si="159"/>
        <v>1633009.9926196472</v>
      </c>
      <c r="DU53" s="606">
        <f t="shared" si="160"/>
        <v>1456404.4772727273</v>
      </c>
      <c r="DV53" s="607">
        <f t="shared" si="161"/>
        <v>46603.63636363636</v>
      </c>
      <c r="DW53" s="608">
        <f t="shared" si="162"/>
        <v>76095</v>
      </c>
      <c r="DX53" s="607">
        <f t="shared" si="163"/>
        <v>0</v>
      </c>
      <c r="DY53" s="608">
        <f t="shared" si="164"/>
        <v>0</v>
      </c>
      <c r="DZ53" s="607">
        <f t="shared" si="165"/>
        <v>8437547.1688643601</v>
      </c>
      <c r="EA53" s="608">
        <f t="shared" si="166"/>
        <v>8584002.7235816885</v>
      </c>
    </row>
    <row r="54" spans="1:131" ht="13.5" thickBot="1" x14ac:dyDescent="0.25">
      <c r="A54" s="487" t="s">
        <v>32</v>
      </c>
      <c r="B54" s="383" t="s">
        <v>593</v>
      </c>
      <c r="C54" s="534"/>
      <c r="D54" s="344">
        <v>106485</v>
      </c>
      <c r="E54" s="344">
        <v>5</v>
      </c>
      <c r="F54" s="598">
        <v>17</v>
      </c>
      <c r="G54" s="599">
        <v>16</v>
      </c>
      <c r="H54" s="600"/>
      <c r="I54" s="601"/>
      <c r="J54" s="600">
        <v>3</v>
      </c>
      <c r="K54" s="599"/>
      <c r="L54" s="600"/>
      <c r="M54" s="601">
        <v>3</v>
      </c>
      <c r="N54" s="600">
        <v>39</v>
      </c>
      <c r="O54" s="599">
        <v>44</v>
      </c>
      <c r="P54" s="600"/>
      <c r="Q54" s="601"/>
      <c r="R54" s="600">
        <v>6</v>
      </c>
      <c r="S54" s="599"/>
      <c r="T54" s="600"/>
      <c r="U54" s="601">
        <v>5</v>
      </c>
      <c r="V54" s="600">
        <v>20</v>
      </c>
      <c r="W54" s="599">
        <v>17</v>
      </c>
      <c r="X54" s="600"/>
      <c r="Y54" s="601"/>
      <c r="Z54" s="600">
        <v>3</v>
      </c>
      <c r="AA54" s="599"/>
      <c r="AB54" s="600"/>
      <c r="AC54" s="601">
        <v>4</v>
      </c>
      <c r="AD54" s="600">
        <v>21</v>
      </c>
      <c r="AE54" s="655">
        <v>23</v>
      </c>
      <c r="AF54" s="600"/>
      <c r="AG54" s="643">
        <v>7</v>
      </c>
      <c r="AH54" s="600">
        <v>8</v>
      </c>
      <c r="AI54" s="655">
        <v>23</v>
      </c>
      <c r="AJ54" s="600"/>
      <c r="AK54" s="643">
        <v>9</v>
      </c>
      <c r="AL54" s="600">
        <v>8</v>
      </c>
      <c r="AM54" s="655"/>
      <c r="AN54" s="600"/>
      <c r="AO54" s="601"/>
      <c r="AP54" s="600">
        <v>29</v>
      </c>
      <c r="AQ54" s="599"/>
      <c r="AR54" s="600"/>
      <c r="AS54" s="643"/>
      <c r="AT54" s="600"/>
      <c r="AU54" s="655"/>
      <c r="AV54" s="600"/>
      <c r="AW54" s="643"/>
      <c r="AX54" s="600"/>
      <c r="AY54" s="655"/>
      <c r="AZ54" s="600"/>
      <c r="BA54" s="643"/>
      <c r="BB54" s="602">
        <v>1384398.97</v>
      </c>
      <c r="BC54" s="599">
        <v>996258</v>
      </c>
      <c r="BD54" s="600">
        <v>2576904</v>
      </c>
      <c r="BE54" s="599">
        <v>2107951</v>
      </c>
      <c r="BF54" s="600">
        <v>1121957</v>
      </c>
      <c r="BG54" s="599">
        <v>725761</v>
      </c>
      <c r="BH54" s="600">
        <v>1274144.02</v>
      </c>
      <c r="BI54" s="599">
        <v>2054692</v>
      </c>
      <c r="BJ54" s="600">
        <v>1524297.01</v>
      </c>
      <c r="BK54" s="647"/>
      <c r="BL54" s="600">
        <v>0</v>
      </c>
      <c r="BM54" s="663"/>
      <c r="BN54" s="605">
        <f t="shared" si="101"/>
        <v>186</v>
      </c>
      <c r="BO54" s="606">
        <f t="shared" si="102"/>
        <v>180</v>
      </c>
      <c r="BP54" s="607">
        <f t="shared" si="103"/>
        <v>417</v>
      </c>
      <c r="BQ54" s="606">
        <f t="shared" si="104"/>
        <v>456</v>
      </c>
      <c r="BR54" s="607">
        <f t="shared" si="105"/>
        <v>213</v>
      </c>
      <c r="BS54" s="606">
        <f t="shared" si="106"/>
        <v>201</v>
      </c>
      <c r="BT54" s="607">
        <f t="shared" si="107"/>
        <v>277</v>
      </c>
      <c r="BU54" s="606">
        <f t="shared" si="108"/>
        <v>638</v>
      </c>
      <c r="BV54" s="607">
        <f t="shared" si="109"/>
        <v>391</v>
      </c>
      <c r="BW54" s="608">
        <f t="shared" si="110"/>
        <v>0</v>
      </c>
      <c r="BX54" s="607">
        <f t="shared" si="111"/>
        <v>0</v>
      </c>
      <c r="BY54" s="608">
        <f t="shared" si="112"/>
        <v>0</v>
      </c>
      <c r="BZ54" s="607">
        <f t="shared" si="113"/>
        <v>7443.0052150537631</v>
      </c>
      <c r="CA54" s="608">
        <f t="shared" si="114"/>
        <v>5534.7666666666664</v>
      </c>
      <c r="CB54" s="607">
        <f t="shared" si="115"/>
        <v>6179.6258992805751</v>
      </c>
      <c r="CC54" s="608">
        <f t="shared" si="116"/>
        <v>4622.6995614035086</v>
      </c>
      <c r="CD54" s="607">
        <f t="shared" si="117"/>
        <v>5267.403755868545</v>
      </c>
      <c r="CE54" s="608">
        <f t="shared" si="118"/>
        <v>3610.7512437810947</v>
      </c>
      <c r="CF54" s="607">
        <f t="shared" si="119"/>
        <v>4599.7979061371843</v>
      </c>
      <c r="CG54" s="608">
        <f t="shared" si="120"/>
        <v>3220.5203761755488</v>
      </c>
      <c r="CH54" s="607">
        <f t="shared" si="121"/>
        <v>3898.4578260869566</v>
      </c>
      <c r="CI54" s="608">
        <f t="shared" si="122"/>
        <v>0</v>
      </c>
      <c r="CJ54" s="607">
        <f t="shared" si="123"/>
        <v>0</v>
      </c>
      <c r="CK54" s="608">
        <f t="shared" si="124"/>
        <v>0</v>
      </c>
      <c r="CL54" s="609">
        <f t="shared" si="125"/>
        <v>66987.046935483871</v>
      </c>
      <c r="CM54" s="608">
        <f t="shared" si="126"/>
        <v>49812.899999999994</v>
      </c>
      <c r="CN54" s="610">
        <f t="shared" si="127"/>
        <v>55616.633093525175</v>
      </c>
      <c r="CO54" s="606">
        <f t="shared" si="128"/>
        <v>41604.29605263158</v>
      </c>
      <c r="CP54" s="607">
        <f t="shared" si="129"/>
        <v>47406.633802816905</v>
      </c>
      <c r="CQ54" s="606">
        <f t="shared" si="130"/>
        <v>32496.761194029852</v>
      </c>
      <c r="CR54" s="607">
        <f t="shared" si="131"/>
        <v>41398.181155234663</v>
      </c>
      <c r="CS54" s="606">
        <f t="shared" si="132"/>
        <v>28984.683385579938</v>
      </c>
      <c r="CT54" s="607">
        <f t="shared" si="133"/>
        <v>35086.120434782613</v>
      </c>
      <c r="CU54" s="608">
        <f t="shared" si="134"/>
        <v>0</v>
      </c>
      <c r="CV54" s="610">
        <f t="shared" si="135"/>
        <v>0</v>
      </c>
      <c r="CW54" s="608">
        <f t="shared" si="136"/>
        <v>0</v>
      </c>
      <c r="CX54" s="610">
        <f t="shared" si="137"/>
        <v>48256.985162154946</v>
      </c>
      <c r="CY54" s="611">
        <f t="shared" si="138"/>
        <v>36188.993122910797</v>
      </c>
      <c r="CZ54" s="605">
        <f t="shared" si="139"/>
        <v>20</v>
      </c>
      <c r="DA54" s="612">
        <f t="shared" si="140"/>
        <v>19</v>
      </c>
      <c r="DB54" s="607">
        <f t="shared" si="141"/>
        <v>45</v>
      </c>
      <c r="DC54" s="606">
        <f t="shared" si="142"/>
        <v>49</v>
      </c>
      <c r="DD54" s="607">
        <f t="shared" si="143"/>
        <v>23</v>
      </c>
      <c r="DE54" s="606">
        <f t="shared" si="144"/>
        <v>21</v>
      </c>
      <c r="DF54" s="607">
        <f t="shared" si="145"/>
        <v>29</v>
      </c>
      <c r="DG54" s="606">
        <f t="shared" si="146"/>
        <v>62</v>
      </c>
      <c r="DH54" s="607">
        <f t="shared" si="147"/>
        <v>37</v>
      </c>
      <c r="DI54" s="608">
        <f t="shared" si="148"/>
        <v>0</v>
      </c>
      <c r="DJ54" s="607">
        <f t="shared" si="149"/>
        <v>0</v>
      </c>
      <c r="DK54" s="608">
        <f t="shared" si="150"/>
        <v>0</v>
      </c>
      <c r="DL54" s="607">
        <f t="shared" si="151"/>
        <v>154</v>
      </c>
      <c r="DM54" s="608">
        <f t="shared" si="152"/>
        <v>151</v>
      </c>
      <c r="DN54" s="607">
        <f t="shared" si="153"/>
        <v>1339740.9387096774</v>
      </c>
      <c r="DO54" s="612">
        <f t="shared" si="154"/>
        <v>946445.09999999986</v>
      </c>
      <c r="DP54" s="607">
        <f t="shared" si="155"/>
        <v>2502748.4892086331</v>
      </c>
      <c r="DQ54" s="606">
        <f t="shared" si="156"/>
        <v>2038610.5065789474</v>
      </c>
      <c r="DR54" s="607">
        <f t="shared" si="157"/>
        <v>1090352.5774647889</v>
      </c>
      <c r="DS54" s="606">
        <f t="shared" si="158"/>
        <v>682431.98507462686</v>
      </c>
      <c r="DT54" s="607">
        <f t="shared" si="159"/>
        <v>1200547.2535018052</v>
      </c>
      <c r="DU54" s="606">
        <f t="shared" si="160"/>
        <v>1797050.3699059561</v>
      </c>
      <c r="DV54" s="607">
        <f t="shared" si="161"/>
        <v>1298186.4560869567</v>
      </c>
      <c r="DW54" s="608">
        <f t="shared" si="162"/>
        <v>0</v>
      </c>
      <c r="DX54" s="607">
        <f t="shared" si="163"/>
        <v>0</v>
      </c>
      <c r="DY54" s="608">
        <f t="shared" si="164"/>
        <v>0</v>
      </c>
      <c r="DZ54" s="607">
        <f t="shared" si="165"/>
        <v>7431575.7149718618</v>
      </c>
      <c r="EA54" s="608">
        <f t="shared" si="166"/>
        <v>5464537.9615595303</v>
      </c>
    </row>
    <row r="55" spans="1:131" ht="13.5" thickBot="1" x14ac:dyDescent="0.25">
      <c r="A55" s="487" t="s">
        <v>32</v>
      </c>
      <c r="B55" s="383" t="s">
        <v>594</v>
      </c>
      <c r="C55" s="534"/>
      <c r="D55" s="344">
        <v>108092</v>
      </c>
      <c r="E55" s="344">
        <v>6</v>
      </c>
      <c r="F55" s="598">
        <v>10</v>
      </c>
      <c r="G55" s="599">
        <v>11</v>
      </c>
      <c r="H55" s="600"/>
      <c r="I55" s="601"/>
      <c r="J55" s="600">
        <v>2</v>
      </c>
      <c r="K55" s="599"/>
      <c r="L55" s="600"/>
      <c r="M55" s="601">
        <v>3</v>
      </c>
      <c r="N55" s="600">
        <v>36</v>
      </c>
      <c r="O55" s="599">
        <v>36</v>
      </c>
      <c r="P55" s="600"/>
      <c r="Q55" s="601">
        <v>1</v>
      </c>
      <c r="R55" s="600">
        <v>18</v>
      </c>
      <c r="S55" s="599">
        <v>1</v>
      </c>
      <c r="T55" s="600"/>
      <c r="U55" s="601">
        <v>18</v>
      </c>
      <c r="V55" s="600">
        <v>98</v>
      </c>
      <c r="W55" s="599">
        <v>95</v>
      </c>
      <c r="X55" s="600"/>
      <c r="Y55" s="601">
        <v>3</v>
      </c>
      <c r="Z55" s="600">
        <v>8</v>
      </c>
      <c r="AA55" s="599">
        <v>1</v>
      </c>
      <c r="AB55" s="600"/>
      <c r="AC55" s="601">
        <v>9</v>
      </c>
      <c r="AD55" s="600">
        <v>47</v>
      </c>
      <c r="AE55" s="655">
        <v>46</v>
      </c>
      <c r="AF55" s="600"/>
      <c r="AG55" s="643">
        <v>1</v>
      </c>
      <c r="AH55" s="600">
        <v>13</v>
      </c>
      <c r="AI55" s="655"/>
      <c r="AJ55" s="600"/>
      <c r="AK55" s="643">
        <v>9</v>
      </c>
      <c r="AL55" s="600">
        <v>8</v>
      </c>
      <c r="AM55" s="656">
        <v>9</v>
      </c>
      <c r="AN55" s="600"/>
      <c r="AO55" s="601"/>
      <c r="AP55" s="600">
        <v>1</v>
      </c>
      <c r="AQ55" s="599"/>
      <c r="AR55" s="600"/>
      <c r="AS55" s="656">
        <v>2</v>
      </c>
      <c r="AT55" s="600"/>
      <c r="AU55" s="656">
        <v>0</v>
      </c>
      <c r="AV55" s="600"/>
      <c r="AW55" s="643"/>
      <c r="AX55" s="600"/>
      <c r="AY55" s="655"/>
      <c r="AZ55" s="600"/>
      <c r="BA55" s="656">
        <v>0</v>
      </c>
      <c r="BB55" s="602">
        <v>1090090</v>
      </c>
      <c r="BC55" s="599">
        <v>1381390</v>
      </c>
      <c r="BD55" s="600">
        <v>4166684.1</v>
      </c>
      <c r="BE55" s="599">
        <v>4457076</v>
      </c>
      <c r="BF55" s="600">
        <v>5873533.6000000006</v>
      </c>
      <c r="BG55" s="599">
        <v>6150940</v>
      </c>
      <c r="BH55" s="600">
        <v>3005332.79</v>
      </c>
      <c r="BI55" s="599">
        <v>2991353</v>
      </c>
      <c r="BJ55" s="600">
        <v>401311.04</v>
      </c>
      <c r="BK55" s="662">
        <v>479540</v>
      </c>
      <c r="BL55" s="600">
        <v>0</v>
      </c>
      <c r="BM55" s="662">
        <v>0</v>
      </c>
      <c r="BN55" s="605">
        <f t="shared" si="101"/>
        <v>112</v>
      </c>
      <c r="BO55" s="606">
        <f t="shared" si="102"/>
        <v>135</v>
      </c>
      <c r="BP55" s="607">
        <f t="shared" si="103"/>
        <v>522</v>
      </c>
      <c r="BQ55" s="606">
        <f t="shared" si="104"/>
        <v>561</v>
      </c>
      <c r="BR55" s="607">
        <f t="shared" si="105"/>
        <v>970</v>
      </c>
      <c r="BS55" s="606">
        <f t="shared" si="106"/>
        <v>1004</v>
      </c>
      <c r="BT55" s="607">
        <f t="shared" si="107"/>
        <v>566</v>
      </c>
      <c r="BU55" s="606">
        <f t="shared" si="108"/>
        <v>532</v>
      </c>
      <c r="BV55" s="607">
        <f t="shared" si="109"/>
        <v>83</v>
      </c>
      <c r="BW55" s="608">
        <f t="shared" si="110"/>
        <v>105</v>
      </c>
      <c r="BX55" s="607">
        <f t="shared" si="111"/>
        <v>0</v>
      </c>
      <c r="BY55" s="608">
        <f t="shared" si="112"/>
        <v>0</v>
      </c>
      <c r="BZ55" s="607">
        <f t="shared" si="113"/>
        <v>9732.9464285714294</v>
      </c>
      <c r="CA55" s="608">
        <f t="shared" si="114"/>
        <v>10232.518518518518</v>
      </c>
      <c r="CB55" s="607">
        <f t="shared" si="115"/>
        <v>7982.1534482758625</v>
      </c>
      <c r="CC55" s="608">
        <f t="shared" si="116"/>
        <v>7944.8770053475937</v>
      </c>
      <c r="CD55" s="607">
        <f t="shared" si="117"/>
        <v>6055.1892783505164</v>
      </c>
      <c r="CE55" s="608">
        <f t="shared" si="118"/>
        <v>6126.4342629482071</v>
      </c>
      <c r="CF55" s="607">
        <f t="shared" si="119"/>
        <v>5309.7752473498231</v>
      </c>
      <c r="CG55" s="608">
        <f t="shared" si="120"/>
        <v>5622.8439849624065</v>
      </c>
      <c r="CH55" s="607">
        <f t="shared" si="121"/>
        <v>4835.0727710843375</v>
      </c>
      <c r="CI55" s="608">
        <f t="shared" si="122"/>
        <v>4567.0476190476193</v>
      </c>
      <c r="CJ55" s="607">
        <f t="shared" si="123"/>
        <v>0</v>
      </c>
      <c r="CK55" s="608">
        <f t="shared" si="124"/>
        <v>0</v>
      </c>
      <c r="CL55" s="609">
        <f t="shared" si="125"/>
        <v>87596.51785714287</v>
      </c>
      <c r="CM55" s="608">
        <f t="shared" si="126"/>
        <v>92092.666666666657</v>
      </c>
      <c r="CN55" s="610">
        <f t="shared" si="127"/>
        <v>71839.381034482765</v>
      </c>
      <c r="CO55" s="606">
        <f t="shared" si="128"/>
        <v>71503.893048128346</v>
      </c>
      <c r="CP55" s="607">
        <f t="shared" si="129"/>
        <v>54496.703505154648</v>
      </c>
      <c r="CQ55" s="606">
        <f t="shared" si="130"/>
        <v>55137.908366533862</v>
      </c>
      <c r="CR55" s="607">
        <f t="shared" si="131"/>
        <v>47787.97722614841</v>
      </c>
      <c r="CS55" s="606">
        <f t="shared" si="132"/>
        <v>50605.595864661656</v>
      </c>
      <c r="CT55" s="607">
        <f t="shared" si="133"/>
        <v>43515.654939759035</v>
      </c>
      <c r="CU55" s="608">
        <f t="shared" si="134"/>
        <v>41103.428571428572</v>
      </c>
      <c r="CV55" s="610">
        <f t="shared" si="135"/>
        <v>0</v>
      </c>
      <c r="CW55" s="608">
        <f t="shared" si="136"/>
        <v>0</v>
      </c>
      <c r="CX55" s="610">
        <f t="shared" si="137"/>
        <v>57950.435227057729</v>
      </c>
      <c r="CY55" s="611">
        <f t="shared" si="138"/>
        <v>59324.328695187527</v>
      </c>
      <c r="CZ55" s="605">
        <f t="shared" si="139"/>
        <v>12</v>
      </c>
      <c r="DA55" s="612">
        <f t="shared" si="140"/>
        <v>14</v>
      </c>
      <c r="DB55" s="607">
        <f t="shared" si="141"/>
        <v>54</v>
      </c>
      <c r="DC55" s="606">
        <f t="shared" si="142"/>
        <v>56</v>
      </c>
      <c r="DD55" s="607">
        <f t="shared" si="143"/>
        <v>106</v>
      </c>
      <c r="DE55" s="606">
        <f t="shared" si="144"/>
        <v>108</v>
      </c>
      <c r="DF55" s="607">
        <f t="shared" si="145"/>
        <v>60</v>
      </c>
      <c r="DG55" s="606">
        <f t="shared" si="146"/>
        <v>56</v>
      </c>
      <c r="DH55" s="607">
        <f t="shared" si="147"/>
        <v>9</v>
      </c>
      <c r="DI55" s="608">
        <f t="shared" si="148"/>
        <v>11</v>
      </c>
      <c r="DJ55" s="607">
        <f t="shared" si="149"/>
        <v>0</v>
      </c>
      <c r="DK55" s="608">
        <f t="shared" si="150"/>
        <v>0</v>
      </c>
      <c r="DL55" s="607">
        <f t="shared" si="151"/>
        <v>241</v>
      </c>
      <c r="DM55" s="608">
        <f t="shared" si="152"/>
        <v>245</v>
      </c>
      <c r="DN55" s="607">
        <f t="shared" si="153"/>
        <v>1051158.2142857146</v>
      </c>
      <c r="DO55" s="612">
        <f t="shared" si="154"/>
        <v>1289297.3333333333</v>
      </c>
      <c r="DP55" s="607">
        <f t="shared" si="155"/>
        <v>3879326.5758620691</v>
      </c>
      <c r="DQ55" s="606">
        <f t="shared" si="156"/>
        <v>4004218.0106951874</v>
      </c>
      <c r="DR55" s="607">
        <f t="shared" si="157"/>
        <v>5776650.5715463925</v>
      </c>
      <c r="DS55" s="606">
        <f t="shared" si="158"/>
        <v>5954894.1035856567</v>
      </c>
      <c r="DT55" s="607">
        <f t="shared" si="159"/>
        <v>2867278.6335689048</v>
      </c>
      <c r="DU55" s="606">
        <f t="shared" si="160"/>
        <v>2833913.3684210526</v>
      </c>
      <c r="DV55" s="607">
        <f t="shared" si="161"/>
        <v>391640.89445783134</v>
      </c>
      <c r="DW55" s="608">
        <f t="shared" si="162"/>
        <v>452137.71428571432</v>
      </c>
      <c r="DX55" s="607">
        <f t="shared" si="163"/>
        <v>0</v>
      </c>
      <c r="DY55" s="608">
        <f t="shared" si="164"/>
        <v>0</v>
      </c>
      <c r="DZ55" s="607">
        <f t="shared" si="165"/>
        <v>13966054.889720913</v>
      </c>
      <c r="EA55" s="608">
        <f t="shared" si="166"/>
        <v>14534460.530320944</v>
      </c>
    </row>
    <row r="56" spans="1:131" x14ac:dyDescent="0.2">
      <c r="A56" s="487" t="s">
        <v>32</v>
      </c>
      <c r="B56" s="383" t="s">
        <v>595</v>
      </c>
      <c r="C56" s="534" t="s">
        <v>619</v>
      </c>
      <c r="D56" s="344">
        <v>106412</v>
      </c>
      <c r="E56" s="344">
        <v>6</v>
      </c>
      <c r="F56" s="598">
        <v>13</v>
      </c>
      <c r="G56" s="599">
        <v>16</v>
      </c>
      <c r="H56" s="600"/>
      <c r="I56" s="601"/>
      <c r="J56" s="600">
        <v>16</v>
      </c>
      <c r="K56" s="599"/>
      <c r="L56" s="600"/>
      <c r="M56" s="601">
        <v>12</v>
      </c>
      <c r="N56" s="600">
        <v>22</v>
      </c>
      <c r="O56" s="599">
        <v>17</v>
      </c>
      <c r="P56" s="600"/>
      <c r="Q56" s="601">
        <v>1</v>
      </c>
      <c r="R56" s="600">
        <v>15</v>
      </c>
      <c r="S56" s="599"/>
      <c r="T56" s="600"/>
      <c r="U56" s="601">
        <v>20</v>
      </c>
      <c r="V56" s="600">
        <v>28</v>
      </c>
      <c r="W56" s="599">
        <v>25</v>
      </c>
      <c r="X56" s="600"/>
      <c r="Y56" s="601">
        <v>1</v>
      </c>
      <c r="Z56" s="600">
        <v>19</v>
      </c>
      <c r="AA56" s="599"/>
      <c r="AB56" s="600"/>
      <c r="AC56" s="601">
        <v>15</v>
      </c>
      <c r="AD56" s="600">
        <v>48</v>
      </c>
      <c r="AE56" s="655">
        <v>45</v>
      </c>
      <c r="AF56" s="600"/>
      <c r="AG56" s="643"/>
      <c r="AH56" s="600">
        <v>19</v>
      </c>
      <c r="AI56" s="655"/>
      <c r="AJ56" s="600"/>
      <c r="AK56" s="643">
        <v>15</v>
      </c>
      <c r="AL56" s="600">
        <v>0</v>
      </c>
      <c r="AM56" s="655"/>
      <c r="AN56" s="600"/>
      <c r="AO56" s="601"/>
      <c r="AP56" s="600">
        <v>0</v>
      </c>
      <c r="AQ56" s="599"/>
      <c r="AR56" s="600"/>
      <c r="AS56" s="643"/>
      <c r="AT56" s="600"/>
      <c r="AU56" s="655"/>
      <c r="AV56" s="600"/>
      <c r="AW56" s="643"/>
      <c r="AX56" s="600"/>
      <c r="AY56" s="655"/>
      <c r="AZ56" s="600"/>
      <c r="BA56" s="643"/>
      <c r="BB56" s="602">
        <v>1964296.9100000001</v>
      </c>
      <c r="BC56" s="599">
        <v>1905023</v>
      </c>
      <c r="BD56" s="600">
        <v>2287053.9899999998</v>
      </c>
      <c r="BE56" s="599">
        <v>2419386</v>
      </c>
      <c r="BF56" s="600">
        <v>2460050.1900000004</v>
      </c>
      <c r="BG56" s="599">
        <v>2221949</v>
      </c>
      <c r="BH56" s="600">
        <v>2654294.09</v>
      </c>
      <c r="BI56" s="599">
        <v>2483355</v>
      </c>
      <c r="BJ56" s="600">
        <v>0</v>
      </c>
      <c r="BK56" s="647"/>
      <c r="BL56" s="600">
        <v>0</v>
      </c>
      <c r="BM56" s="663"/>
      <c r="BN56" s="605">
        <f t="shared" si="101"/>
        <v>293</v>
      </c>
      <c r="BO56" s="606">
        <f t="shared" si="102"/>
        <v>288</v>
      </c>
      <c r="BP56" s="607">
        <f t="shared" si="103"/>
        <v>363</v>
      </c>
      <c r="BQ56" s="606">
        <f t="shared" si="104"/>
        <v>403</v>
      </c>
      <c r="BR56" s="607">
        <f t="shared" si="105"/>
        <v>461</v>
      </c>
      <c r="BS56" s="606">
        <f t="shared" si="106"/>
        <v>415</v>
      </c>
      <c r="BT56" s="607">
        <f t="shared" si="107"/>
        <v>641</v>
      </c>
      <c r="BU56" s="606">
        <f t="shared" si="108"/>
        <v>585</v>
      </c>
      <c r="BV56" s="607">
        <f t="shared" si="109"/>
        <v>0</v>
      </c>
      <c r="BW56" s="608">
        <f t="shared" si="110"/>
        <v>0</v>
      </c>
      <c r="BX56" s="607">
        <f t="shared" si="111"/>
        <v>0</v>
      </c>
      <c r="BY56" s="608">
        <f t="shared" si="112"/>
        <v>0</v>
      </c>
      <c r="BZ56" s="607">
        <f t="shared" si="113"/>
        <v>6704.0850170648473</v>
      </c>
      <c r="CA56" s="608">
        <f t="shared" si="114"/>
        <v>6614.6631944444443</v>
      </c>
      <c r="CB56" s="607">
        <f t="shared" si="115"/>
        <v>6300.4242148760322</v>
      </c>
      <c r="CC56" s="608">
        <f t="shared" si="116"/>
        <v>6003.4392059553347</v>
      </c>
      <c r="CD56" s="607">
        <f t="shared" si="117"/>
        <v>5336.3344685466391</v>
      </c>
      <c r="CE56" s="608">
        <f t="shared" si="118"/>
        <v>5354.0939759036146</v>
      </c>
      <c r="CF56" s="607">
        <f t="shared" si="119"/>
        <v>4140.8644149765987</v>
      </c>
      <c r="CG56" s="608">
        <f t="shared" si="120"/>
        <v>4245.0512820512822</v>
      </c>
      <c r="CH56" s="607">
        <f t="shared" si="121"/>
        <v>0</v>
      </c>
      <c r="CI56" s="608">
        <f t="shared" si="122"/>
        <v>0</v>
      </c>
      <c r="CJ56" s="607">
        <f t="shared" si="123"/>
        <v>0</v>
      </c>
      <c r="CK56" s="608">
        <f t="shared" si="124"/>
        <v>0</v>
      </c>
      <c r="CL56" s="609">
        <f t="shared" si="125"/>
        <v>60336.765153583627</v>
      </c>
      <c r="CM56" s="608">
        <f t="shared" si="126"/>
        <v>59531.96875</v>
      </c>
      <c r="CN56" s="610">
        <f t="shared" si="127"/>
        <v>56703.817933884289</v>
      </c>
      <c r="CO56" s="606">
        <f t="shared" si="128"/>
        <v>54030.952853598013</v>
      </c>
      <c r="CP56" s="607">
        <f t="shared" si="129"/>
        <v>48027.010216919749</v>
      </c>
      <c r="CQ56" s="606">
        <f t="shared" si="130"/>
        <v>48186.845783132529</v>
      </c>
      <c r="CR56" s="607">
        <f t="shared" si="131"/>
        <v>37267.779734789387</v>
      </c>
      <c r="CS56" s="606">
        <f t="shared" si="132"/>
        <v>38205.461538461539</v>
      </c>
      <c r="CT56" s="607">
        <f t="shared" si="133"/>
        <v>0</v>
      </c>
      <c r="CU56" s="608">
        <f t="shared" si="134"/>
        <v>0</v>
      </c>
      <c r="CV56" s="610">
        <f t="shared" si="135"/>
        <v>0</v>
      </c>
      <c r="CW56" s="608">
        <f t="shared" si="136"/>
        <v>0</v>
      </c>
      <c r="CX56" s="610">
        <f t="shared" si="137"/>
        <v>47788.989863520888</v>
      </c>
      <c r="CY56" s="611">
        <f t="shared" si="138"/>
        <v>47832.692831454195</v>
      </c>
      <c r="CZ56" s="605">
        <f t="shared" si="139"/>
        <v>29</v>
      </c>
      <c r="DA56" s="612">
        <f t="shared" si="140"/>
        <v>28</v>
      </c>
      <c r="DB56" s="607">
        <f t="shared" si="141"/>
        <v>37</v>
      </c>
      <c r="DC56" s="606">
        <f t="shared" si="142"/>
        <v>38</v>
      </c>
      <c r="DD56" s="607">
        <f t="shared" si="143"/>
        <v>47</v>
      </c>
      <c r="DE56" s="606">
        <f t="shared" si="144"/>
        <v>41</v>
      </c>
      <c r="DF56" s="607">
        <f t="shared" si="145"/>
        <v>67</v>
      </c>
      <c r="DG56" s="606">
        <f t="shared" si="146"/>
        <v>60</v>
      </c>
      <c r="DH56" s="607">
        <f t="shared" si="147"/>
        <v>0</v>
      </c>
      <c r="DI56" s="608">
        <f t="shared" si="148"/>
        <v>0</v>
      </c>
      <c r="DJ56" s="607">
        <f t="shared" si="149"/>
        <v>0</v>
      </c>
      <c r="DK56" s="608">
        <f t="shared" si="150"/>
        <v>0</v>
      </c>
      <c r="DL56" s="607">
        <f t="shared" si="151"/>
        <v>180</v>
      </c>
      <c r="DM56" s="608">
        <f t="shared" si="152"/>
        <v>167</v>
      </c>
      <c r="DN56" s="607">
        <f t="shared" si="153"/>
        <v>1749766.1894539252</v>
      </c>
      <c r="DO56" s="612">
        <f t="shared" si="154"/>
        <v>1666895.125</v>
      </c>
      <c r="DP56" s="607">
        <f t="shared" si="155"/>
        <v>2098041.2635537186</v>
      </c>
      <c r="DQ56" s="606">
        <f t="shared" si="156"/>
        <v>2053176.2084367245</v>
      </c>
      <c r="DR56" s="607">
        <f t="shared" si="157"/>
        <v>2257269.480195228</v>
      </c>
      <c r="DS56" s="606">
        <f t="shared" si="158"/>
        <v>1975660.6771084336</v>
      </c>
      <c r="DT56" s="607">
        <f t="shared" si="159"/>
        <v>2496941.2422308889</v>
      </c>
      <c r="DU56" s="606">
        <f t="shared" si="160"/>
        <v>2292327.6923076925</v>
      </c>
      <c r="DV56" s="607">
        <f t="shared" si="161"/>
        <v>0</v>
      </c>
      <c r="DW56" s="608">
        <f t="shared" si="162"/>
        <v>0</v>
      </c>
      <c r="DX56" s="607">
        <f t="shared" si="163"/>
        <v>0</v>
      </c>
      <c r="DY56" s="608">
        <f t="shared" si="164"/>
        <v>0</v>
      </c>
      <c r="DZ56" s="607">
        <f t="shared" si="165"/>
        <v>8602018.1754337605</v>
      </c>
      <c r="EA56" s="608">
        <f t="shared" si="166"/>
        <v>7988059.7028528508</v>
      </c>
    </row>
    <row r="57" spans="1:131" ht="13.5" thickBot="1" x14ac:dyDescent="0.25">
      <c r="A57" s="487" t="s">
        <v>32</v>
      </c>
      <c r="B57" s="383" t="s">
        <v>596</v>
      </c>
      <c r="C57" s="535"/>
      <c r="D57" s="387">
        <v>367459</v>
      </c>
      <c r="E57" s="351">
        <v>8</v>
      </c>
      <c r="F57" s="598"/>
      <c r="G57" s="599"/>
      <c r="H57" s="600"/>
      <c r="I57" s="601"/>
      <c r="J57" s="600"/>
      <c r="K57" s="599"/>
      <c r="L57" s="600"/>
      <c r="M57" s="601"/>
      <c r="N57" s="600"/>
      <c r="O57" s="599"/>
      <c r="P57" s="600"/>
      <c r="Q57" s="601"/>
      <c r="R57" s="600"/>
      <c r="S57" s="599"/>
      <c r="T57" s="600"/>
      <c r="U57" s="601"/>
      <c r="V57" s="600"/>
      <c r="W57" s="599"/>
      <c r="X57" s="600"/>
      <c r="Y57" s="601"/>
      <c r="Z57" s="600"/>
      <c r="AA57" s="599"/>
      <c r="AB57" s="600"/>
      <c r="AC57" s="601"/>
      <c r="AD57" s="600"/>
      <c r="AE57" s="655"/>
      <c r="AF57" s="600"/>
      <c r="AG57" s="643"/>
      <c r="AH57" s="600"/>
      <c r="AI57" s="655"/>
      <c r="AJ57" s="600"/>
      <c r="AK57" s="643"/>
      <c r="AL57" s="600"/>
      <c r="AM57" s="655"/>
      <c r="AN57" s="600"/>
      <c r="AO57" s="601"/>
      <c r="AP57" s="600"/>
      <c r="AQ57" s="599"/>
      <c r="AR57" s="600"/>
      <c r="AS57" s="643"/>
      <c r="AT57" s="600">
        <v>134</v>
      </c>
      <c r="AU57" s="655">
        <v>123</v>
      </c>
      <c r="AV57" s="600"/>
      <c r="AW57" s="643"/>
      <c r="AX57" s="600">
        <v>19</v>
      </c>
      <c r="AY57" s="655"/>
      <c r="AZ57" s="600"/>
      <c r="BA57" s="643">
        <v>21</v>
      </c>
      <c r="BB57" s="602">
        <v>0</v>
      </c>
      <c r="BC57" s="599"/>
      <c r="BD57" s="600">
        <v>0</v>
      </c>
      <c r="BE57" s="599"/>
      <c r="BF57" s="600">
        <v>0</v>
      </c>
      <c r="BG57" s="599"/>
      <c r="BH57" s="600">
        <v>0</v>
      </c>
      <c r="BI57" s="599"/>
      <c r="BJ57" s="600">
        <v>0</v>
      </c>
      <c r="BK57" s="647"/>
      <c r="BL57" s="600">
        <v>8345403.1700000009</v>
      </c>
      <c r="BM57" s="663">
        <v>8189517</v>
      </c>
      <c r="BN57" s="605">
        <f t="shared" si="101"/>
        <v>0</v>
      </c>
      <c r="BO57" s="606">
        <f t="shared" si="102"/>
        <v>0</v>
      </c>
      <c r="BP57" s="607">
        <f t="shared" si="103"/>
        <v>0</v>
      </c>
      <c r="BQ57" s="606">
        <f t="shared" si="104"/>
        <v>0</v>
      </c>
      <c r="BR57" s="607">
        <f t="shared" si="105"/>
        <v>0</v>
      </c>
      <c r="BS57" s="606">
        <f t="shared" si="106"/>
        <v>0</v>
      </c>
      <c r="BT57" s="607">
        <f t="shared" si="107"/>
        <v>0</v>
      </c>
      <c r="BU57" s="606">
        <f t="shared" si="108"/>
        <v>0</v>
      </c>
      <c r="BV57" s="607">
        <f t="shared" si="109"/>
        <v>0</v>
      </c>
      <c r="BW57" s="608">
        <f t="shared" si="110"/>
        <v>0</v>
      </c>
      <c r="BX57" s="607">
        <f t="shared" si="111"/>
        <v>1415</v>
      </c>
      <c r="BY57" s="608">
        <f t="shared" si="112"/>
        <v>1359</v>
      </c>
      <c r="BZ57" s="607">
        <f t="shared" si="113"/>
        <v>0</v>
      </c>
      <c r="CA57" s="608">
        <f t="shared" si="114"/>
        <v>0</v>
      </c>
      <c r="CB57" s="607">
        <f t="shared" si="115"/>
        <v>0</v>
      </c>
      <c r="CC57" s="608">
        <f t="shared" si="116"/>
        <v>0</v>
      </c>
      <c r="CD57" s="607">
        <f t="shared" si="117"/>
        <v>0</v>
      </c>
      <c r="CE57" s="608">
        <f t="shared" si="118"/>
        <v>0</v>
      </c>
      <c r="CF57" s="607">
        <f t="shared" si="119"/>
        <v>0</v>
      </c>
      <c r="CG57" s="608">
        <f t="shared" si="120"/>
        <v>0</v>
      </c>
      <c r="CH57" s="607">
        <f t="shared" si="121"/>
        <v>0</v>
      </c>
      <c r="CI57" s="608">
        <f t="shared" si="122"/>
        <v>0</v>
      </c>
      <c r="CJ57" s="607">
        <f t="shared" si="123"/>
        <v>5897.8114275618382</v>
      </c>
      <c r="CK57" s="608">
        <f t="shared" si="124"/>
        <v>6026.1346578366447</v>
      </c>
      <c r="CL57" s="609">
        <f t="shared" si="125"/>
        <v>0</v>
      </c>
      <c r="CM57" s="608">
        <f t="shared" si="126"/>
        <v>0</v>
      </c>
      <c r="CN57" s="610">
        <f t="shared" si="127"/>
        <v>0</v>
      </c>
      <c r="CO57" s="606">
        <f t="shared" si="128"/>
        <v>0</v>
      </c>
      <c r="CP57" s="607">
        <f t="shared" si="129"/>
        <v>0</v>
      </c>
      <c r="CQ57" s="606">
        <f t="shared" si="130"/>
        <v>0</v>
      </c>
      <c r="CR57" s="607">
        <f t="shared" si="131"/>
        <v>0</v>
      </c>
      <c r="CS57" s="606">
        <f t="shared" si="132"/>
        <v>0</v>
      </c>
      <c r="CT57" s="607">
        <f t="shared" si="133"/>
        <v>0</v>
      </c>
      <c r="CU57" s="608">
        <f t="shared" si="134"/>
        <v>0</v>
      </c>
      <c r="CV57" s="610">
        <f t="shared" si="135"/>
        <v>53080.302848056541</v>
      </c>
      <c r="CW57" s="608">
        <f t="shared" si="136"/>
        <v>54235.2119205298</v>
      </c>
      <c r="CX57" s="610">
        <f t="shared" si="137"/>
        <v>53080.302848056541</v>
      </c>
      <c r="CY57" s="611">
        <f t="shared" si="138"/>
        <v>54235.2119205298</v>
      </c>
      <c r="CZ57" s="605">
        <f t="shared" si="139"/>
        <v>0</v>
      </c>
      <c r="DA57" s="612">
        <f t="shared" si="140"/>
        <v>0</v>
      </c>
      <c r="DB57" s="607">
        <f t="shared" si="141"/>
        <v>0</v>
      </c>
      <c r="DC57" s="606">
        <f t="shared" si="142"/>
        <v>0</v>
      </c>
      <c r="DD57" s="607">
        <f t="shared" si="143"/>
        <v>0</v>
      </c>
      <c r="DE57" s="606">
        <f t="shared" si="144"/>
        <v>0</v>
      </c>
      <c r="DF57" s="607">
        <f t="shared" si="145"/>
        <v>0</v>
      </c>
      <c r="DG57" s="606">
        <f t="shared" si="146"/>
        <v>0</v>
      </c>
      <c r="DH57" s="607">
        <f t="shared" si="147"/>
        <v>0</v>
      </c>
      <c r="DI57" s="608">
        <f t="shared" si="148"/>
        <v>0</v>
      </c>
      <c r="DJ57" s="607">
        <f t="shared" si="149"/>
        <v>153</v>
      </c>
      <c r="DK57" s="608">
        <f t="shared" si="150"/>
        <v>144</v>
      </c>
      <c r="DL57" s="607">
        <f t="shared" si="151"/>
        <v>153</v>
      </c>
      <c r="DM57" s="608">
        <f t="shared" si="152"/>
        <v>144</v>
      </c>
      <c r="DN57" s="607">
        <f t="shared" si="153"/>
        <v>0</v>
      </c>
      <c r="DO57" s="612">
        <f t="shared" si="154"/>
        <v>0</v>
      </c>
      <c r="DP57" s="607">
        <f t="shared" si="155"/>
        <v>0</v>
      </c>
      <c r="DQ57" s="606">
        <f t="shared" si="156"/>
        <v>0</v>
      </c>
      <c r="DR57" s="607">
        <f t="shared" si="157"/>
        <v>0</v>
      </c>
      <c r="DS57" s="606">
        <f t="shared" si="158"/>
        <v>0</v>
      </c>
      <c r="DT57" s="607">
        <f t="shared" si="159"/>
        <v>0</v>
      </c>
      <c r="DU57" s="606">
        <f t="shared" si="160"/>
        <v>0</v>
      </c>
      <c r="DV57" s="607">
        <f t="shared" si="161"/>
        <v>0</v>
      </c>
      <c r="DW57" s="608">
        <f t="shared" si="162"/>
        <v>0</v>
      </c>
      <c r="DX57" s="607">
        <f t="shared" si="163"/>
        <v>8121286.3357526511</v>
      </c>
      <c r="DY57" s="608">
        <f t="shared" si="164"/>
        <v>7809870.5165562909</v>
      </c>
      <c r="DZ57" s="607">
        <f t="shared" si="165"/>
        <v>8121286.3357526511</v>
      </c>
      <c r="EA57" s="608">
        <f t="shared" si="166"/>
        <v>7809870.5165562909</v>
      </c>
    </row>
    <row r="58" spans="1:131" ht="13.5" thickBot="1" x14ac:dyDescent="0.25">
      <c r="A58" s="489" t="s">
        <v>32</v>
      </c>
      <c r="B58" s="385" t="s">
        <v>597</v>
      </c>
      <c r="C58" s="536"/>
      <c r="D58" s="388">
        <v>107664</v>
      </c>
      <c r="E58" s="389">
        <v>8</v>
      </c>
      <c r="F58" s="598"/>
      <c r="G58" s="599"/>
      <c r="H58" s="600"/>
      <c r="I58" s="601"/>
      <c r="J58" s="600"/>
      <c r="K58" s="599"/>
      <c r="L58" s="600"/>
      <c r="M58" s="601"/>
      <c r="N58" s="600"/>
      <c r="O58" s="599"/>
      <c r="P58" s="600"/>
      <c r="Q58" s="601"/>
      <c r="R58" s="600"/>
      <c r="S58" s="599"/>
      <c r="T58" s="600"/>
      <c r="U58" s="601"/>
      <c r="V58" s="600"/>
      <c r="W58" s="599"/>
      <c r="X58" s="600"/>
      <c r="Y58" s="601"/>
      <c r="Z58" s="600"/>
      <c r="AA58" s="599"/>
      <c r="AB58" s="600"/>
      <c r="AC58" s="601"/>
      <c r="AD58" s="600"/>
      <c r="AE58" s="655"/>
      <c r="AF58" s="600"/>
      <c r="AG58" s="643"/>
      <c r="AH58" s="600"/>
      <c r="AI58" s="655"/>
      <c r="AJ58" s="600"/>
      <c r="AK58" s="643"/>
      <c r="AL58" s="600"/>
      <c r="AM58" s="655"/>
      <c r="AN58" s="600"/>
      <c r="AO58" s="601"/>
      <c r="AP58" s="600"/>
      <c r="AQ58" s="599"/>
      <c r="AR58" s="600"/>
      <c r="AS58" s="643"/>
      <c r="AT58" s="600">
        <v>162</v>
      </c>
      <c r="AU58" s="657">
        <v>166</v>
      </c>
      <c r="AV58" s="600"/>
      <c r="AW58" s="656">
        <v>1</v>
      </c>
      <c r="AX58" s="600">
        <v>12</v>
      </c>
      <c r="AY58" s="655"/>
      <c r="AZ58" s="600"/>
      <c r="BA58" s="656">
        <v>9</v>
      </c>
      <c r="BB58" s="602">
        <v>0</v>
      </c>
      <c r="BC58" s="599"/>
      <c r="BD58" s="600">
        <v>0</v>
      </c>
      <c r="BE58" s="599"/>
      <c r="BF58" s="600">
        <v>0</v>
      </c>
      <c r="BG58" s="599"/>
      <c r="BH58" s="600">
        <v>0</v>
      </c>
      <c r="BI58" s="599"/>
      <c r="BJ58" s="600">
        <v>0</v>
      </c>
      <c r="BK58" s="647"/>
      <c r="BL58" s="600">
        <v>8442525.3000000007</v>
      </c>
      <c r="BM58" s="662">
        <v>8425514</v>
      </c>
      <c r="BN58" s="605">
        <f t="shared" si="101"/>
        <v>0</v>
      </c>
      <c r="BO58" s="606">
        <f t="shared" si="102"/>
        <v>0</v>
      </c>
      <c r="BP58" s="607">
        <f t="shared" si="103"/>
        <v>0</v>
      </c>
      <c r="BQ58" s="606">
        <f t="shared" si="104"/>
        <v>0</v>
      </c>
      <c r="BR58" s="607">
        <f t="shared" si="105"/>
        <v>0</v>
      </c>
      <c r="BS58" s="606">
        <f t="shared" si="106"/>
        <v>0</v>
      </c>
      <c r="BT58" s="607">
        <f t="shared" si="107"/>
        <v>0</v>
      </c>
      <c r="BU58" s="606">
        <f t="shared" si="108"/>
        <v>0</v>
      </c>
      <c r="BV58" s="607">
        <f t="shared" si="109"/>
        <v>0</v>
      </c>
      <c r="BW58" s="608">
        <f t="shared" si="110"/>
        <v>0</v>
      </c>
      <c r="BX58" s="607">
        <f t="shared" si="111"/>
        <v>1590</v>
      </c>
      <c r="BY58" s="608">
        <f t="shared" si="112"/>
        <v>1612</v>
      </c>
      <c r="BZ58" s="607">
        <f t="shared" si="113"/>
        <v>0</v>
      </c>
      <c r="CA58" s="608">
        <f t="shared" si="114"/>
        <v>0</v>
      </c>
      <c r="CB58" s="607">
        <f t="shared" si="115"/>
        <v>0</v>
      </c>
      <c r="CC58" s="608">
        <f t="shared" si="116"/>
        <v>0</v>
      </c>
      <c r="CD58" s="607">
        <f t="shared" si="117"/>
        <v>0</v>
      </c>
      <c r="CE58" s="608">
        <f t="shared" si="118"/>
        <v>0</v>
      </c>
      <c r="CF58" s="607">
        <f t="shared" si="119"/>
        <v>0</v>
      </c>
      <c r="CG58" s="608">
        <f t="shared" si="120"/>
        <v>0</v>
      </c>
      <c r="CH58" s="607">
        <f t="shared" si="121"/>
        <v>0</v>
      </c>
      <c r="CI58" s="608">
        <f t="shared" si="122"/>
        <v>0</v>
      </c>
      <c r="CJ58" s="607">
        <f t="shared" si="123"/>
        <v>5309.7643396226422</v>
      </c>
      <c r="CK58" s="608">
        <f t="shared" si="124"/>
        <v>5226.7456575682381</v>
      </c>
      <c r="CL58" s="609">
        <f t="shared" si="125"/>
        <v>0</v>
      </c>
      <c r="CM58" s="608">
        <f t="shared" si="126"/>
        <v>0</v>
      </c>
      <c r="CN58" s="610">
        <f t="shared" si="127"/>
        <v>0</v>
      </c>
      <c r="CO58" s="606">
        <f t="shared" si="128"/>
        <v>0</v>
      </c>
      <c r="CP58" s="607">
        <f t="shared" si="129"/>
        <v>0</v>
      </c>
      <c r="CQ58" s="606">
        <f t="shared" si="130"/>
        <v>0</v>
      </c>
      <c r="CR58" s="607">
        <f t="shared" si="131"/>
        <v>0</v>
      </c>
      <c r="CS58" s="606">
        <f t="shared" si="132"/>
        <v>0</v>
      </c>
      <c r="CT58" s="607">
        <f t="shared" si="133"/>
        <v>0</v>
      </c>
      <c r="CU58" s="608">
        <f t="shared" si="134"/>
        <v>0</v>
      </c>
      <c r="CV58" s="610">
        <f t="shared" si="135"/>
        <v>47787.879056603779</v>
      </c>
      <c r="CW58" s="608">
        <f t="shared" si="136"/>
        <v>47040.710918114142</v>
      </c>
      <c r="CX58" s="610">
        <f t="shared" si="137"/>
        <v>47787.879056603779</v>
      </c>
      <c r="CY58" s="611">
        <f t="shared" si="138"/>
        <v>47040.710918114142</v>
      </c>
      <c r="CZ58" s="605">
        <f t="shared" si="139"/>
        <v>0</v>
      </c>
      <c r="DA58" s="612">
        <f t="shared" si="140"/>
        <v>0</v>
      </c>
      <c r="DB58" s="607">
        <f t="shared" si="141"/>
        <v>0</v>
      </c>
      <c r="DC58" s="606">
        <f t="shared" si="142"/>
        <v>0</v>
      </c>
      <c r="DD58" s="607">
        <f t="shared" si="143"/>
        <v>0</v>
      </c>
      <c r="DE58" s="606">
        <f t="shared" si="144"/>
        <v>0</v>
      </c>
      <c r="DF58" s="607">
        <f t="shared" si="145"/>
        <v>0</v>
      </c>
      <c r="DG58" s="606">
        <f t="shared" si="146"/>
        <v>0</v>
      </c>
      <c r="DH58" s="607">
        <f t="shared" si="147"/>
        <v>0</v>
      </c>
      <c r="DI58" s="608">
        <f t="shared" si="148"/>
        <v>0</v>
      </c>
      <c r="DJ58" s="607">
        <f t="shared" si="149"/>
        <v>174</v>
      </c>
      <c r="DK58" s="608">
        <f t="shared" si="150"/>
        <v>176</v>
      </c>
      <c r="DL58" s="607">
        <f t="shared" si="151"/>
        <v>174</v>
      </c>
      <c r="DM58" s="608">
        <f t="shared" si="152"/>
        <v>176</v>
      </c>
      <c r="DN58" s="607">
        <f t="shared" si="153"/>
        <v>0</v>
      </c>
      <c r="DO58" s="612">
        <f t="shared" si="154"/>
        <v>0</v>
      </c>
      <c r="DP58" s="607">
        <f t="shared" si="155"/>
        <v>0</v>
      </c>
      <c r="DQ58" s="606">
        <f t="shared" si="156"/>
        <v>0</v>
      </c>
      <c r="DR58" s="607">
        <f t="shared" si="157"/>
        <v>0</v>
      </c>
      <c r="DS58" s="606">
        <f t="shared" si="158"/>
        <v>0</v>
      </c>
      <c r="DT58" s="607">
        <f t="shared" si="159"/>
        <v>0</v>
      </c>
      <c r="DU58" s="606">
        <f t="shared" si="160"/>
        <v>0</v>
      </c>
      <c r="DV58" s="607">
        <f t="shared" si="161"/>
        <v>0</v>
      </c>
      <c r="DW58" s="608">
        <f t="shared" si="162"/>
        <v>0</v>
      </c>
      <c r="DX58" s="607">
        <f t="shared" si="163"/>
        <v>8315090.9558490571</v>
      </c>
      <c r="DY58" s="608">
        <f t="shared" si="164"/>
        <v>8279165.1215880886</v>
      </c>
      <c r="DZ58" s="607">
        <f t="shared" si="165"/>
        <v>8315090.9558490571</v>
      </c>
      <c r="EA58" s="608">
        <f t="shared" si="166"/>
        <v>8279165.1215880886</v>
      </c>
    </row>
    <row r="59" spans="1:131" x14ac:dyDescent="0.2">
      <c r="A59" s="487" t="s">
        <v>32</v>
      </c>
      <c r="B59" s="383" t="s">
        <v>598</v>
      </c>
      <c r="C59" s="537"/>
      <c r="D59" s="387">
        <v>106449</v>
      </c>
      <c r="E59" s="387">
        <v>9</v>
      </c>
      <c r="F59" s="598">
        <v>5</v>
      </c>
      <c r="G59" s="599">
        <v>1</v>
      </c>
      <c r="H59" s="600"/>
      <c r="I59" s="601"/>
      <c r="J59" s="600">
        <v>0</v>
      </c>
      <c r="K59" s="599"/>
      <c r="L59" s="600"/>
      <c r="M59" s="601"/>
      <c r="N59" s="600">
        <v>6</v>
      </c>
      <c r="O59" s="599">
        <v>5</v>
      </c>
      <c r="P59" s="600"/>
      <c r="Q59" s="601">
        <v>1</v>
      </c>
      <c r="R59" s="600">
        <v>4</v>
      </c>
      <c r="S59" s="599"/>
      <c r="T59" s="600"/>
      <c r="U59" s="601">
        <v>4</v>
      </c>
      <c r="V59" s="600">
        <v>27</v>
      </c>
      <c r="W59" s="599">
        <v>30</v>
      </c>
      <c r="X59" s="600"/>
      <c r="Y59" s="601">
        <v>1</v>
      </c>
      <c r="Z59" s="600">
        <v>5</v>
      </c>
      <c r="AA59" s="599"/>
      <c r="AB59" s="600"/>
      <c r="AC59" s="601">
        <v>5</v>
      </c>
      <c r="AD59" s="600">
        <v>61</v>
      </c>
      <c r="AE59" s="655">
        <v>49</v>
      </c>
      <c r="AF59" s="600"/>
      <c r="AG59" s="643">
        <v>20</v>
      </c>
      <c r="AH59" s="600">
        <v>13</v>
      </c>
      <c r="AI59" s="655">
        <v>7</v>
      </c>
      <c r="AJ59" s="600"/>
      <c r="AK59" s="643">
        <v>6</v>
      </c>
      <c r="AL59" s="600"/>
      <c r="AM59" s="655"/>
      <c r="AN59" s="600"/>
      <c r="AO59" s="601"/>
      <c r="AP59" s="600"/>
      <c r="AQ59" s="599"/>
      <c r="AR59" s="600"/>
      <c r="AS59" s="643"/>
      <c r="AT59" s="600"/>
      <c r="AU59" s="655"/>
      <c r="AV59" s="600"/>
      <c r="AW59" s="643"/>
      <c r="AX59" s="600"/>
      <c r="AY59" s="655"/>
      <c r="AZ59" s="600"/>
      <c r="BA59" s="643"/>
      <c r="BB59" s="602">
        <v>231904</v>
      </c>
      <c r="BC59" s="599">
        <v>55482</v>
      </c>
      <c r="BD59" s="600">
        <v>614248</v>
      </c>
      <c r="BE59" s="599">
        <v>675127</v>
      </c>
      <c r="BF59" s="600">
        <v>1514014.8699999999</v>
      </c>
      <c r="BG59" s="599">
        <v>1824322</v>
      </c>
      <c r="BH59" s="600">
        <v>3107424.25</v>
      </c>
      <c r="BI59" s="599">
        <v>3514365</v>
      </c>
      <c r="BJ59" s="600">
        <v>0</v>
      </c>
      <c r="BK59" s="647"/>
      <c r="BL59" s="600">
        <v>0</v>
      </c>
      <c r="BM59" s="663"/>
      <c r="BN59" s="605">
        <f t="shared" si="101"/>
        <v>45</v>
      </c>
      <c r="BO59" s="606">
        <f t="shared" si="102"/>
        <v>9</v>
      </c>
      <c r="BP59" s="607">
        <f t="shared" si="103"/>
        <v>98</v>
      </c>
      <c r="BQ59" s="606">
        <f t="shared" si="104"/>
        <v>103</v>
      </c>
      <c r="BR59" s="607">
        <f t="shared" si="105"/>
        <v>298</v>
      </c>
      <c r="BS59" s="606">
        <f t="shared" si="106"/>
        <v>340</v>
      </c>
      <c r="BT59" s="607">
        <f t="shared" si="107"/>
        <v>692</v>
      </c>
      <c r="BU59" s="606">
        <f t="shared" si="108"/>
        <v>790</v>
      </c>
      <c r="BV59" s="607">
        <f t="shared" si="109"/>
        <v>0</v>
      </c>
      <c r="BW59" s="608">
        <f t="shared" si="110"/>
        <v>0</v>
      </c>
      <c r="BX59" s="607">
        <f t="shared" si="111"/>
        <v>0</v>
      </c>
      <c r="BY59" s="608">
        <f t="shared" si="112"/>
        <v>0</v>
      </c>
      <c r="BZ59" s="607">
        <f t="shared" si="113"/>
        <v>5153.4222222222224</v>
      </c>
      <c r="CA59" s="608">
        <f t="shared" si="114"/>
        <v>6164.666666666667</v>
      </c>
      <c r="CB59" s="607">
        <f t="shared" si="115"/>
        <v>6267.8367346938776</v>
      </c>
      <c r="CC59" s="608">
        <f t="shared" si="116"/>
        <v>6554.6310679611652</v>
      </c>
      <c r="CD59" s="607">
        <f t="shared" si="117"/>
        <v>5080.5868120805362</v>
      </c>
      <c r="CE59" s="608">
        <f t="shared" si="118"/>
        <v>5365.6529411764704</v>
      </c>
      <c r="CF59" s="607">
        <f t="shared" si="119"/>
        <v>4490.497471098266</v>
      </c>
      <c r="CG59" s="608">
        <f t="shared" si="120"/>
        <v>4448.5632911392404</v>
      </c>
      <c r="CH59" s="607">
        <f t="shared" si="121"/>
        <v>0</v>
      </c>
      <c r="CI59" s="608">
        <f t="shared" si="122"/>
        <v>0</v>
      </c>
      <c r="CJ59" s="607">
        <f t="shared" si="123"/>
        <v>0</v>
      </c>
      <c r="CK59" s="608">
        <f t="shared" si="124"/>
        <v>0</v>
      </c>
      <c r="CL59" s="609">
        <f t="shared" si="125"/>
        <v>46380.800000000003</v>
      </c>
      <c r="CM59" s="608">
        <f t="shared" si="126"/>
        <v>55482</v>
      </c>
      <c r="CN59" s="610">
        <f t="shared" si="127"/>
        <v>56410.530612244896</v>
      </c>
      <c r="CO59" s="606">
        <f t="shared" si="128"/>
        <v>58991.679611650485</v>
      </c>
      <c r="CP59" s="607">
        <f t="shared" si="129"/>
        <v>45725.281308724829</v>
      </c>
      <c r="CQ59" s="606">
        <f t="shared" si="130"/>
        <v>48290.876470588235</v>
      </c>
      <c r="CR59" s="607">
        <f t="shared" si="131"/>
        <v>40414.477239884392</v>
      </c>
      <c r="CS59" s="606">
        <f t="shared" si="132"/>
        <v>40037.069620253162</v>
      </c>
      <c r="CT59" s="607">
        <f t="shared" si="133"/>
        <v>0</v>
      </c>
      <c r="CU59" s="608">
        <f t="shared" si="134"/>
        <v>0</v>
      </c>
      <c r="CV59" s="610">
        <f t="shared" si="135"/>
        <v>0</v>
      </c>
      <c r="CW59" s="608">
        <f t="shared" si="136"/>
        <v>0</v>
      </c>
      <c r="CX59" s="610">
        <f t="shared" si="137"/>
        <v>43387.517551678415</v>
      </c>
      <c r="CY59" s="611">
        <f t="shared" si="138"/>
        <v>43929.535332701089</v>
      </c>
      <c r="CZ59" s="605">
        <f t="shared" si="139"/>
        <v>5</v>
      </c>
      <c r="DA59" s="612">
        <f t="shared" si="140"/>
        <v>1</v>
      </c>
      <c r="DB59" s="607">
        <f t="shared" si="141"/>
        <v>10</v>
      </c>
      <c r="DC59" s="606">
        <f t="shared" si="142"/>
        <v>10</v>
      </c>
      <c r="DD59" s="607">
        <f t="shared" si="143"/>
        <v>32</v>
      </c>
      <c r="DE59" s="606">
        <f t="shared" si="144"/>
        <v>36</v>
      </c>
      <c r="DF59" s="607">
        <f t="shared" si="145"/>
        <v>74</v>
      </c>
      <c r="DG59" s="606">
        <f t="shared" si="146"/>
        <v>82</v>
      </c>
      <c r="DH59" s="607">
        <f t="shared" si="147"/>
        <v>0</v>
      </c>
      <c r="DI59" s="608">
        <f t="shared" si="148"/>
        <v>0</v>
      </c>
      <c r="DJ59" s="607">
        <f t="shared" si="149"/>
        <v>0</v>
      </c>
      <c r="DK59" s="608">
        <f t="shared" si="150"/>
        <v>0</v>
      </c>
      <c r="DL59" s="607">
        <f t="shared" si="151"/>
        <v>121</v>
      </c>
      <c r="DM59" s="608">
        <f t="shared" si="152"/>
        <v>129</v>
      </c>
      <c r="DN59" s="607">
        <f t="shared" si="153"/>
        <v>231904</v>
      </c>
      <c r="DO59" s="612">
        <f t="shared" si="154"/>
        <v>55482</v>
      </c>
      <c r="DP59" s="607">
        <f t="shared" si="155"/>
        <v>564105.30612244899</v>
      </c>
      <c r="DQ59" s="606">
        <f t="shared" si="156"/>
        <v>589916.79611650482</v>
      </c>
      <c r="DR59" s="607">
        <f t="shared" si="157"/>
        <v>1463209.0018791945</v>
      </c>
      <c r="DS59" s="606">
        <f t="shared" si="158"/>
        <v>1738471.5529411766</v>
      </c>
      <c r="DT59" s="607">
        <f t="shared" si="159"/>
        <v>2990671.315751445</v>
      </c>
      <c r="DU59" s="606">
        <f t="shared" si="160"/>
        <v>3283039.7088607592</v>
      </c>
      <c r="DV59" s="607">
        <f t="shared" si="161"/>
        <v>0</v>
      </c>
      <c r="DW59" s="608">
        <f t="shared" si="162"/>
        <v>0</v>
      </c>
      <c r="DX59" s="607">
        <f t="shared" si="163"/>
        <v>0</v>
      </c>
      <c r="DY59" s="608">
        <f t="shared" si="164"/>
        <v>0</v>
      </c>
      <c r="DZ59" s="607">
        <f t="shared" si="165"/>
        <v>5249889.6237530885</v>
      </c>
      <c r="EA59" s="608">
        <f t="shared" si="166"/>
        <v>5666910.0579184406</v>
      </c>
    </row>
    <row r="60" spans="1:131" x14ac:dyDescent="0.2">
      <c r="A60" s="487" t="s">
        <v>32</v>
      </c>
      <c r="B60" s="386" t="s">
        <v>599</v>
      </c>
      <c r="C60" s="538"/>
      <c r="D60" s="344">
        <v>106980</v>
      </c>
      <c r="E60" s="344">
        <v>9</v>
      </c>
      <c r="F60" s="598"/>
      <c r="G60" s="599"/>
      <c r="H60" s="600"/>
      <c r="I60" s="601"/>
      <c r="J60" s="600"/>
      <c r="K60" s="599"/>
      <c r="L60" s="600"/>
      <c r="M60" s="601"/>
      <c r="N60" s="600"/>
      <c r="O60" s="599"/>
      <c r="P60" s="600"/>
      <c r="Q60" s="601"/>
      <c r="R60" s="600"/>
      <c r="S60" s="599"/>
      <c r="T60" s="600"/>
      <c r="U60" s="601"/>
      <c r="V60" s="600"/>
      <c r="W60" s="599"/>
      <c r="X60" s="600"/>
      <c r="Y60" s="601"/>
      <c r="Z60" s="600"/>
      <c r="AA60" s="599"/>
      <c r="AB60" s="600"/>
      <c r="AC60" s="601"/>
      <c r="AD60" s="600"/>
      <c r="AE60" s="655"/>
      <c r="AF60" s="600"/>
      <c r="AG60" s="643"/>
      <c r="AH60" s="600"/>
      <c r="AI60" s="655"/>
      <c r="AJ60" s="600"/>
      <c r="AK60" s="643"/>
      <c r="AL60" s="600"/>
      <c r="AM60" s="655"/>
      <c r="AN60" s="600"/>
      <c r="AO60" s="601"/>
      <c r="AP60" s="600"/>
      <c r="AQ60" s="599"/>
      <c r="AR60" s="600"/>
      <c r="AS60" s="643"/>
      <c r="AT60" s="600">
        <v>77</v>
      </c>
      <c r="AU60" s="655">
        <v>70</v>
      </c>
      <c r="AV60" s="600"/>
      <c r="AW60" s="643">
        <v>5</v>
      </c>
      <c r="AX60" s="600">
        <v>20</v>
      </c>
      <c r="AY60" s="655">
        <v>10</v>
      </c>
      <c r="AZ60" s="600"/>
      <c r="BA60" s="643">
        <v>13</v>
      </c>
      <c r="BB60" s="602">
        <v>0</v>
      </c>
      <c r="BC60" s="599"/>
      <c r="BD60" s="600">
        <v>0</v>
      </c>
      <c r="BE60" s="599"/>
      <c r="BF60" s="600">
        <v>0</v>
      </c>
      <c r="BG60" s="599"/>
      <c r="BH60" s="600">
        <v>0</v>
      </c>
      <c r="BI60" s="599"/>
      <c r="BJ60" s="600">
        <v>0</v>
      </c>
      <c r="BK60" s="647"/>
      <c r="BL60" s="600">
        <v>4372838.7899999991</v>
      </c>
      <c r="BM60" s="655">
        <v>4357739</v>
      </c>
      <c r="BN60" s="605">
        <f t="shared" si="101"/>
        <v>0</v>
      </c>
      <c r="BO60" s="606">
        <f t="shared" si="102"/>
        <v>0</v>
      </c>
      <c r="BP60" s="607">
        <f t="shared" si="103"/>
        <v>0</v>
      </c>
      <c r="BQ60" s="606">
        <f t="shared" si="104"/>
        <v>0</v>
      </c>
      <c r="BR60" s="607">
        <f t="shared" si="105"/>
        <v>0</v>
      </c>
      <c r="BS60" s="606">
        <f t="shared" si="106"/>
        <v>0</v>
      </c>
      <c r="BT60" s="607">
        <f t="shared" si="107"/>
        <v>0</v>
      </c>
      <c r="BU60" s="606">
        <f t="shared" si="108"/>
        <v>0</v>
      </c>
      <c r="BV60" s="607">
        <f t="shared" si="109"/>
        <v>0</v>
      </c>
      <c r="BW60" s="608">
        <f t="shared" si="110"/>
        <v>0</v>
      </c>
      <c r="BX60" s="607">
        <f t="shared" si="111"/>
        <v>913</v>
      </c>
      <c r="BY60" s="608">
        <f t="shared" si="112"/>
        <v>946</v>
      </c>
      <c r="BZ60" s="607">
        <f t="shared" si="113"/>
        <v>0</v>
      </c>
      <c r="CA60" s="608">
        <f t="shared" si="114"/>
        <v>0</v>
      </c>
      <c r="CB60" s="607">
        <f t="shared" si="115"/>
        <v>0</v>
      </c>
      <c r="CC60" s="608">
        <f t="shared" si="116"/>
        <v>0</v>
      </c>
      <c r="CD60" s="607">
        <f t="shared" si="117"/>
        <v>0</v>
      </c>
      <c r="CE60" s="608">
        <f t="shared" si="118"/>
        <v>0</v>
      </c>
      <c r="CF60" s="607">
        <f t="shared" si="119"/>
        <v>0</v>
      </c>
      <c r="CG60" s="608">
        <f t="shared" si="120"/>
        <v>0</v>
      </c>
      <c r="CH60" s="607">
        <f t="shared" si="121"/>
        <v>0</v>
      </c>
      <c r="CI60" s="608">
        <f t="shared" si="122"/>
        <v>0</v>
      </c>
      <c r="CJ60" s="607">
        <f t="shared" si="123"/>
        <v>4789.5276998904701</v>
      </c>
      <c r="CK60" s="608">
        <f t="shared" si="124"/>
        <v>4606.4894291754754</v>
      </c>
      <c r="CL60" s="609">
        <f t="shared" si="125"/>
        <v>0</v>
      </c>
      <c r="CM60" s="608">
        <f t="shared" si="126"/>
        <v>0</v>
      </c>
      <c r="CN60" s="610">
        <f t="shared" si="127"/>
        <v>0</v>
      </c>
      <c r="CO60" s="606">
        <f t="shared" si="128"/>
        <v>0</v>
      </c>
      <c r="CP60" s="607">
        <f t="shared" si="129"/>
        <v>0</v>
      </c>
      <c r="CQ60" s="606">
        <f t="shared" si="130"/>
        <v>0</v>
      </c>
      <c r="CR60" s="607">
        <f t="shared" si="131"/>
        <v>0</v>
      </c>
      <c r="CS60" s="606">
        <f t="shared" si="132"/>
        <v>0</v>
      </c>
      <c r="CT60" s="607">
        <f t="shared" si="133"/>
        <v>0</v>
      </c>
      <c r="CU60" s="608">
        <f t="shared" si="134"/>
        <v>0</v>
      </c>
      <c r="CV60" s="610">
        <f t="shared" si="135"/>
        <v>43105.749299014235</v>
      </c>
      <c r="CW60" s="608">
        <f t="shared" si="136"/>
        <v>41458.404862579278</v>
      </c>
      <c r="CX60" s="610">
        <f t="shared" si="137"/>
        <v>43105.749299014235</v>
      </c>
      <c r="CY60" s="611">
        <f t="shared" si="138"/>
        <v>41458.404862579278</v>
      </c>
      <c r="CZ60" s="605">
        <f t="shared" si="139"/>
        <v>0</v>
      </c>
      <c r="DA60" s="612">
        <f t="shared" si="140"/>
        <v>0</v>
      </c>
      <c r="DB60" s="607">
        <f t="shared" si="141"/>
        <v>0</v>
      </c>
      <c r="DC60" s="606">
        <f t="shared" si="142"/>
        <v>0</v>
      </c>
      <c r="DD60" s="607">
        <f t="shared" si="143"/>
        <v>0</v>
      </c>
      <c r="DE60" s="606">
        <f t="shared" si="144"/>
        <v>0</v>
      </c>
      <c r="DF60" s="607">
        <f t="shared" si="145"/>
        <v>0</v>
      </c>
      <c r="DG60" s="606">
        <f t="shared" si="146"/>
        <v>0</v>
      </c>
      <c r="DH60" s="607">
        <f t="shared" si="147"/>
        <v>0</v>
      </c>
      <c r="DI60" s="608">
        <f t="shared" si="148"/>
        <v>0</v>
      </c>
      <c r="DJ60" s="607">
        <f t="shared" si="149"/>
        <v>97</v>
      </c>
      <c r="DK60" s="608">
        <f t="shared" si="150"/>
        <v>98</v>
      </c>
      <c r="DL60" s="607">
        <f t="shared" si="151"/>
        <v>97</v>
      </c>
      <c r="DM60" s="608">
        <f t="shared" si="152"/>
        <v>98</v>
      </c>
      <c r="DN60" s="607">
        <f t="shared" si="153"/>
        <v>0</v>
      </c>
      <c r="DO60" s="612">
        <f t="shared" si="154"/>
        <v>0</v>
      </c>
      <c r="DP60" s="607">
        <f t="shared" si="155"/>
        <v>0</v>
      </c>
      <c r="DQ60" s="606">
        <f t="shared" si="156"/>
        <v>0</v>
      </c>
      <c r="DR60" s="607">
        <f t="shared" si="157"/>
        <v>0</v>
      </c>
      <c r="DS60" s="606">
        <f t="shared" si="158"/>
        <v>0</v>
      </c>
      <c r="DT60" s="607">
        <f t="shared" si="159"/>
        <v>0</v>
      </c>
      <c r="DU60" s="606">
        <f t="shared" si="160"/>
        <v>0</v>
      </c>
      <c r="DV60" s="607">
        <f t="shared" si="161"/>
        <v>0</v>
      </c>
      <c r="DW60" s="608">
        <f t="shared" si="162"/>
        <v>0</v>
      </c>
      <c r="DX60" s="607">
        <f t="shared" si="163"/>
        <v>4181257.682004381</v>
      </c>
      <c r="DY60" s="608">
        <f t="shared" si="164"/>
        <v>4062923.6765327691</v>
      </c>
      <c r="DZ60" s="607">
        <f t="shared" si="165"/>
        <v>4181257.682004381</v>
      </c>
      <c r="EA60" s="608">
        <f t="shared" si="166"/>
        <v>4062923.6765327691</v>
      </c>
    </row>
    <row r="61" spans="1:131" x14ac:dyDescent="0.2">
      <c r="A61" s="487" t="s">
        <v>32</v>
      </c>
      <c r="B61" s="383" t="s">
        <v>600</v>
      </c>
      <c r="C61" s="537"/>
      <c r="D61" s="387">
        <v>107327</v>
      </c>
      <c r="E61" s="387">
        <v>10</v>
      </c>
      <c r="F61" s="598"/>
      <c r="G61" s="599"/>
      <c r="H61" s="600"/>
      <c r="I61" s="601"/>
      <c r="J61" s="600"/>
      <c r="K61" s="599"/>
      <c r="L61" s="600"/>
      <c r="M61" s="601"/>
      <c r="N61" s="600"/>
      <c r="O61" s="599"/>
      <c r="P61" s="600"/>
      <c r="Q61" s="601"/>
      <c r="R61" s="600"/>
      <c r="S61" s="599"/>
      <c r="T61" s="600"/>
      <c r="U61" s="601"/>
      <c r="V61" s="600"/>
      <c r="W61" s="599"/>
      <c r="X61" s="600"/>
      <c r="Y61" s="601"/>
      <c r="Z61" s="600"/>
      <c r="AA61" s="599"/>
      <c r="AB61" s="600"/>
      <c r="AC61" s="601"/>
      <c r="AD61" s="600"/>
      <c r="AE61" s="655"/>
      <c r="AF61" s="600"/>
      <c r="AG61" s="643"/>
      <c r="AH61" s="600"/>
      <c r="AI61" s="655"/>
      <c r="AJ61" s="600"/>
      <c r="AK61" s="643"/>
      <c r="AL61" s="600"/>
      <c r="AM61" s="655"/>
      <c r="AN61" s="600"/>
      <c r="AO61" s="601"/>
      <c r="AP61" s="600"/>
      <c r="AQ61" s="599"/>
      <c r="AR61" s="600"/>
      <c r="AS61" s="643"/>
      <c r="AT61" s="600">
        <v>68</v>
      </c>
      <c r="AU61" s="655">
        <v>39</v>
      </c>
      <c r="AV61" s="600"/>
      <c r="AW61" s="643">
        <v>23</v>
      </c>
      <c r="AX61" s="600">
        <v>8</v>
      </c>
      <c r="AY61" s="655"/>
      <c r="AZ61" s="600"/>
      <c r="BA61" s="643">
        <v>8</v>
      </c>
      <c r="BB61" s="602">
        <v>0</v>
      </c>
      <c r="BC61" s="599"/>
      <c r="BD61" s="600">
        <v>0</v>
      </c>
      <c r="BE61" s="599"/>
      <c r="BF61" s="600">
        <v>0</v>
      </c>
      <c r="BG61" s="599"/>
      <c r="BH61" s="600">
        <v>0</v>
      </c>
      <c r="BI61" s="599"/>
      <c r="BJ61" s="600">
        <v>0</v>
      </c>
      <c r="BK61" s="647"/>
      <c r="BL61" s="600">
        <v>3440295.92</v>
      </c>
      <c r="BM61" s="663">
        <v>3120195</v>
      </c>
      <c r="BN61" s="605">
        <f t="shared" si="101"/>
        <v>0</v>
      </c>
      <c r="BO61" s="606">
        <f t="shared" si="102"/>
        <v>0</v>
      </c>
      <c r="BP61" s="607">
        <f t="shared" si="103"/>
        <v>0</v>
      </c>
      <c r="BQ61" s="606">
        <f t="shared" si="104"/>
        <v>0</v>
      </c>
      <c r="BR61" s="607">
        <f t="shared" si="105"/>
        <v>0</v>
      </c>
      <c r="BS61" s="606">
        <f t="shared" si="106"/>
        <v>0</v>
      </c>
      <c r="BT61" s="607">
        <f t="shared" si="107"/>
        <v>0</v>
      </c>
      <c r="BU61" s="606">
        <f t="shared" si="108"/>
        <v>0</v>
      </c>
      <c r="BV61" s="607">
        <f t="shared" si="109"/>
        <v>0</v>
      </c>
      <c r="BW61" s="608">
        <f t="shared" si="110"/>
        <v>0</v>
      </c>
      <c r="BX61" s="607">
        <f t="shared" si="111"/>
        <v>700</v>
      </c>
      <c r="BY61" s="608">
        <f t="shared" si="112"/>
        <v>677</v>
      </c>
      <c r="BZ61" s="607">
        <f t="shared" si="113"/>
        <v>0</v>
      </c>
      <c r="CA61" s="608">
        <f t="shared" si="114"/>
        <v>0</v>
      </c>
      <c r="CB61" s="607">
        <f t="shared" si="115"/>
        <v>0</v>
      </c>
      <c r="CC61" s="608">
        <f t="shared" si="116"/>
        <v>0</v>
      </c>
      <c r="CD61" s="607">
        <f t="shared" si="117"/>
        <v>0</v>
      </c>
      <c r="CE61" s="608">
        <f t="shared" si="118"/>
        <v>0</v>
      </c>
      <c r="CF61" s="607">
        <f t="shared" si="119"/>
        <v>0</v>
      </c>
      <c r="CG61" s="608">
        <f t="shared" si="120"/>
        <v>0</v>
      </c>
      <c r="CH61" s="607">
        <f t="shared" si="121"/>
        <v>0</v>
      </c>
      <c r="CI61" s="608">
        <f t="shared" si="122"/>
        <v>0</v>
      </c>
      <c r="CJ61" s="607">
        <f t="shared" si="123"/>
        <v>4914.7084571428568</v>
      </c>
      <c r="CK61" s="608">
        <f t="shared" si="124"/>
        <v>4608.8552437223043</v>
      </c>
      <c r="CL61" s="609">
        <f t="shared" si="125"/>
        <v>0</v>
      </c>
      <c r="CM61" s="608">
        <f t="shared" si="126"/>
        <v>0</v>
      </c>
      <c r="CN61" s="610">
        <f t="shared" si="127"/>
        <v>0</v>
      </c>
      <c r="CO61" s="606">
        <f t="shared" si="128"/>
        <v>0</v>
      </c>
      <c r="CP61" s="607">
        <f t="shared" si="129"/>
        <v>0</v>
      </c>
      <c r="CQ61" s="606">
        <f t="shared" si="130"/>
        <v>0</v>
      </c>
      <c r="CR61" s="607">
        <f t="shared" si="131"/>
        <v>0</v>
      </c>
      <c r="CS61" s="606">
        <f t="shared" si="132"/>
        <v>0</v>
      </c>
      <c r="CT61" s="607">
        <f t="shared" si="133"/>
        <v>0</v>
      </c>
      <c r="CU61" s="608">
        <f t="shared" si="134"/>
        <v>0</v>
      </c>
      <c r="CV61" s="610">
        <f t="shared" si="135"/>
        <v>44232.376114285711</v>
      </c>
      <c r="CW61" s="608">
        <f t="shared" si="136"/>
        <v>41479.697193500739</v>
      </c>
      <c r="CX61" s="610">
        <f t="shared" si="137"/>
        <v>44232.376114285711</v>
      </c>
      <c r="CY61" s="611">
        <f t="shared" si="138"/>
        <v>41479.697193500739</v>
      </c>
      <c r="CZ61" s="605">
        <f t="shared" si="139"/>
        <v>0</v>
      </c>
      <c r="DA61" s="612">
        <f t="shared" si="140"/>
        <v>0</v>
      </c>
      <c r="DB61" s="607">
        <f t="shared" si="141"/>
        <v>0</v>
      </c>
      <c r="DC61" s="606">
        <f t="shared" si="142"/>
        <v>0</v>
      </c>
      <c r="DD61" s="607">
        <f t="shared" si="143"/>
        <v>0</v>
      </c>
      <c r="DE61" s="606">
        <f t="shared" si="144"/>
        <v>0</v>
      </c>
      <c r="DF61" s="607">
        <f t="shared" si="145"/>
        <v>0</v>
      </c>
      <c r="DG61" s="606">
        <f t="shared" si="146"/>
        <v>0</v>
      </c>
      <c r="DH61" s="607">
        <f t="shared" si="147"/>
        <v>0</v>
      </c>
      <c r="DI61" s="608">
        <f t="shared" si="148"/>
        <v>0</v>
      </c>
      <c r="DJ61" s="607">
        <f t="shared" si="149"/>
        <v>76</v>
      </c>
      <c r="DK61" s="608">
        <f t="shared" si="150"/>
        <v>70</v>
      </c>
      <c r="DL61" s="607">
        <f t="shared" si="151"/>
        <v>76</v>
      </c>
      <c r="DM61" s="608">
        <f t="shared" si="152"/>
        <v>70</v>
      </c>
      <c r="DN61" s="607">
        <f t="shared" si="153"/>
        <v>0</v>
      </c>
      <c r="DO61" s="612">
        <f t="shared" si="154"/>
        <v>0</v>
      </c>
      <c r="DP61" s="607">
        <f t="shared" si="155"/>
        <v>0</v>
      </c>
      <c r="DQ61" s="606">
        <f t="shared" si="156"/>
        <v>0</v>
      </c>
      <c r="DR61" s="607">
        <f t="shared" si="157"/>
        <v>0</v>
      </c>
      <c r="DS61" s="606">
        <f t="shared" si="158"/>
        <v>0</v>
      </c>
      <c r="DT61" s="607">
        <f t="shared" si="159"/>
        <v>0</v>
      </c>
      <c r="DU61" s="606">
        <f t="shared" si="160"/>
        <v>0</v>
      </c>
      <c r="DV61" s="607">
        <f t="shared" si="161"/>
        <v>0</v>
      </c>
      <c r="DW61" s="608">
        <f t="shared" si="162"/>
        <v>0</v>
      </c>
      <c r="DX61" s="607">
        <f t="shared" si="163"/>
        <v>3361660.584685714</v>
      </c>
      <c r="DY61" s="608">
        <f t="shared" si="164"/>
        <v>2903578.8035450517</v>
      </c>
      <c r="DZ61" s="607">
        <f t="shared" si="165"/>
        <v>3361660.584685714</v>
      </c>
      <c r="EA61" s="608">
        <f t="shared" si="166"/>
        <v>2903578.8035450517</v>
      </c>
    </row>
    <row r="62" spans="1:131" x14ac:dyDescent="0.2">
      <c r="A62" s="487" t="s">
        <v>32</v>
      </c>
      <c r="B62" s="383" t="s">
        <v>601</v>
      </c>
      <c r="C62" s="537"/>
      <c r="D62" s="387">
        <v>420538</v>
      </c>
      <c r="E62" s="387">
        <v>10</v>
      </c>
      <c r="F62" s="598"/>
      <c r="G62" s="599"/>
      <c r="H62" s="600"/>
      <c r="I62" s="601"/>
      <c r="J62" s="600"/>
      <c r="K62" s="599"/>
      <c r="L62" s="600"/>
      <c r="M62" s="601"/>
      <c r="N62" s="600"/>
      <c r="O62" s="599"/>
      <c r="P62" s="600"/>
      <c r="Q62" s="601"/>
      <c r="R62" s="600"/>
      <c r="S62" s="599"/>
      <c r="T62" s="600"/>
      <c r="U62" s="601"/>
      <c r="V62" s="600">
        <v>11</v>
      </c>
      <c r="W62" s="599">
        <v>11</v>
      </c>
      <c r="X62" s="600"/>
      <c r="Y62" s="601"/>
      <c r="Z62" s="600"/>
      <c r="AA62" s="599"/>
      <c r="AB62" s="600"/>
      <c r="AC62" s="601"/>
      <c r="AD62" s="600">
        <v>37</v>
      </c>
      <c r="AE62" s="655">
        <v>37</v>
      </c>
      <c r="AF62" s="600"/>
      <c r="AG62" s="643"/>
      <c r="AH62" s="600"/>
      <c r="AI62" s="655"/>
      <c r="AJ62" s="600"/>
      <c r="AK62" s="643"/>
      <c r="AL62" s="600"/>
      <c r="AM62" s="655"/>
      <c r="AN62" s="600"/>
      <c r="AO62" s="601"/>
      <c r="AP62" s="600"/>
      <c r="AQ62" s="599"/>
      <c r="AR62" s="600"/>
      <c r="AS62" s="643"/>
      <c r="AT62" s="600"/>
      <c r="AU62" s="655"/>
      <c r="AV62" s="600"/>
      <c r="AW62" s="643"/>
      <c r="AX62" s="600"/>
      <c r="AY62" s="655"/>
      <c r="AZ62" s="600"/>
      <c r="BA62" s="643"/>
      <c r="BB62" s="602">
        <v>0</v>
      </c>
      <c r="BC62" s="599"/>
      <c r="BD62" s="600">
        <v>0</v>
      </c>
      <c r="BE62" s="599"/>
      <c r="BF62" s="600">
        <v>547165.96</v>
      </c>
      <c r="BG62" s="599">
        <v>510326</v>
      </c>
      <c r="BH62" s="600">
        <v>1419278.93</v>
      </c>
      <c r="BI62" s="599">
        <v>1561652</v>
      </c>
      <c r="BJ62" s="600">
        <v>0</v>
      </c>
      <c r="BK62" s="647"/>
      <c r="BL62" s="600">
        <v>0</v>
      </c>
      <c r="BM62" s="663"/>
      <c r="BN62" s="605">
        <f t="shared" si="101"/>
        <v>0</v>
      </c>
      <c r="BO62" s="606">
        <f t="shared" si="102"/>
        <v>0</v>
      </c>
      <c r="BP62" s="607">
        <f t="shared" si="103"/>
        <v>0</v>
      </c>
      <c r="BQ62" s="606">
        <f t="shared" si="104"/>
        <v>0</v>
      </c>
      <c r="BR62" s="607">
        <f t="shared" si="105"/>
        <v>99</v>
      </c>
      <c r="BS62" s="606">
        <f t="shared" si="106"/>
        <v>99</v>
      </c>
      <c r="BT62" s="607">
        <f t="shared" si="107"/>
        <v>333</v>
      </c>
      <c r="BU62" s="606">
        <f t="shared" si="108"/>
        <v>333</v>
      </c>
      <c r="BV62" s="607">
        <f t="shared" si="109"/>
        <v>0</v>
      </c>
      <c r="BW62" s="608">
        <f t="shared" si="110"/>
        <v>0</v>
      </c>
      <c r="BX62" s="607">
        <f t="shared" si="111"/>
        <v>0</v>
      </c>
      <c r="BY62" s="608">
        <f t="shared" si="112"/>
        <v>0</v>
      </c>
      <c r="BZ62" s="607">
        <f t="shared" si="113"/>
        <v>0</v>
      </c>
      <c r="CA62" s="608">
        <f t="shared" si="114"/>
        <v>0</v>
      </c>
      <c r="CB62" s="607">
        <f t="shared" si="115"/>
        <v>0</v>
      </c>
      <c r="CC62" s="608">
        <f t="shared" si="116"/>
        <v>0</v>
      </c>
      <c r="CD62" s="607">
        <f t="shared" si="117"/>
        <v>5526.9288888888887</v>
      </c>
      <c r="CE62" s="608">
        <f t="shared" si="118"/>
        <v>5154.8080808080804</v>
      </c>
      <c r="CF62" s="607">
        <f t="shared" si="119"/>
        <v>4262.0988888888887</v>
      </c>
      <c r="CG62" s="608">
        <f t="shared" si="120"/>
        <v>4689.6456456456453</v>
      </c>
      <c r="CH62" s="607">
        <f t="shared" si="121"/>
        <v>0</v>
      </c>
      <c r="CI62" s="608">
        <f t="shared" si="122"/>
        <v>0</v>
      </c>
      <c r="CJ62" s="607">
        <f t="shared" si="123"/>
        <v>0</v>
      </c>
      <c r="CK62" s="608">
        <f t="shared" si="124"/>
        <v>0</v>
      </c>
      <c r="CL62" s="609">
        <f t="shared" si="125"/>
        <v>0</v>
      </c>
      <c r="CM62" s="608">
        <f t="shared" si="126"/>
        <v>0</v>
      </c>
      <c r="CN62" s="610">
        <f t="shared" si="127"/>
        <v>0</v>
      </c>
      <c r="CO62" s="606">
        <f t="shared" si="128"/>
        <v>0</v>
      </c>
      <c r="CP62" s="607">
        <f t="shared" si="129"/>
        <v>49742.36</v>
      </c>
      <c r="CQ62" s="606">
        <f t="shared" si="130"/>
        <v>46393.272727272721</v>
      </c>
      <c r="CR62" s="607">
        <f t="shared" si="131"/>
        <v>38358.89</v>
      </c>
      <c r="CS62" s="606">
        <f t="shared" si="132"/>
        <v>42206.810810810806</v>
      </c>
      <c r="CT62" s="607">
        <f t="shared" si="133"/>
        <v>0</v>
      </c>
      <c r="CU62" s="608">
        <f t="shared" si="134"/>
        <v>0</v>
      </c>
      <c r="CV62" s="610">
        <f t="shared" si="135"/>
        <v>0</v>
      </c>
      <c r="CW62" s="608">
        <f t="shared" si="136"/>
        <v>0</v>
      </c>
      <c r="CX62" s="610">
        <f t="shared" si="137"/>
        <v>40967.601875</v>
      </c>
      <c r="CY62" s="611">
        <f t="shared" si="138"/>
        <v>43166.208333333328</v>
      </c>
      <c r="CZ62" s="605">
        <f t="shared" si="139"/>
        <v>0</v>
      </c>
      <c r="DA62" s="612">
        <f t="shared" si="140"/>
        <v>0</v>
      </c>
      <c r="DB62" s="607">
        <f t="shared" si="141"/>
        <v>0</v>
      </c>
      <c r="DC62" s="606">
        <f t="shared" si="142"/>
        <v>0</v>
      </c>
      <c r="DD62" s="607">
        <f t="shared" si="143"/>
        <v>11</v>
      </c>
      <c r="DE62" s="606">
        <f t="shared" si="144"/>
        <v>11</v>
      </c>
      <c r="DF62" s="607">
        <f t="shared" si="145"/>
        <v>37</v>
      </c>
      <c r="DG62" s="606">
        <f t="shared" si="146"/>
        <v>37</v>
      </c>
      <c r="DH62" s="607">
        <f t="shared" si="147"/>
        <v>0</v>
      </c>
      <c r="DI62" s="608">
        <f t="shared" si="148"/>
        <v>0</v>
      </c>
      <c r="DJ62" s="607">
        <f t="shared" si="149"/>
        <v>0</v>
      </c>
      <c r="DK62" s="608">
        <f t="shared" si="150"/>
        <v>0</v>
      </c>
      <c r="DL62" s="607">
        <f t="shared" si="151"/>
        <v>48</v>
      </c>
      <c r="DM62" s="608">
        <f t="shared" si="152"/>
        <v>48</v>
      </c>
      <c r="DN62" s="607">
        <f t="shared" si="153"/>
        <v>0</v>
      </c>
      <c r="DO62" s="612">
        <f t="shared" si="154"/>
        <v>0</v>
      </c>
      <c r="DP62" s="607">
        <f t="shared" si="155"/>
        <v>0</v>
      </c>
      <c r="DQ62" s="606">
        <f t="shared" si="156"/>
        <v>0</v>
      </c>
      <c r="DR62" s="607">
        <f t="shared" si="157"/>
        <v>547165.96</v>
      </c>
      <c r="DS62" s="606">
        <f t="shared" si="158"/>
        <v>510325.99999999994</v>
      </c>
      <c r="DT62" s="607">
        <f t="shared" si="159"/>
        <v>1419278.93</v>
      </c>
      <c r="DU62" s="606">
        <f t="shared" si="160"/>
        <v>1561651.9999999998</v>
      </c>
      <c r="DV62" s="607">
        <f t="shared" si="161"/>
        <v>0</v>
      </c>
      <c r="DW62" s="608">
        <f t="shared" si="162"/>
        <v>0</v>
      </c>
      <c r="DX62" s="607">
        <f t="shared" si="163"/>
        <v>0</v>
      </c>
      <c r="DY62" s="608">
        <f t="shared" si="164"/>
        <v>0</v>
      </c>
      <c r="DZ62" s="607">
        <f t="shared" si="165"/>
        <v>1966444.8900000001</v>
      </c>
      <c r="EA62" s="608">
        <f t="shared" si="166"/>
        <v>2071977.9999999998</v>
      </c>
    </row>
    <row r="63" spans="1:131" ht="13.5" thickBot="1" x14ac:dyDescent="0.25">
      <c r="A63" s="487" t="s">
        <v>32</v>
      </c>
      <c r="B63" s="383" t="s">
        <v>602</v>
      </c>
      <c r="C63" s="537"/>
      <c r="D63" s="387">
        <v>440402</v>
      </c>
      <c r="E63" s="387">
        <v>10</v>
      </c>
      <c r="F63" s="598"/>
      <c r="G63" s="599"/>
      <c r="H63" s="600"/>
      <c r="I63" s="601"/>
      <c r="J63" s="600"/>
      <c r="K63" s="599"/>
      <c r="L63" s="600"/>
      <c r="M63" s="601"/>
      <c r="N63" s="600"/>
      <c r="O63" s="599"/>
      <c r="P63" s="600"/>
      <c r="Q63" s="601"/>
      <c r="R63" s="600"/>
      <c r="S63" s="599"/>
      <c r="T63" s="600"/>
      <c r="U63" s="601"/>
      <c r="V63" s="600">
        <v>20</v>
      </c>
      <c r="W63" s="599">
        <v>25</v>
      </c>
      <c r="X63" s="600"/>
      <c r="Y63" s="601"/>
      <c r="Z63" s="600">
        <v>5</v>
      </c>
      <c r="AA63" s="599"/>
      <c r="AB63" s="600"/>
      <c r="AC63" s="601">
        <v>4</v>
      </c>
      <c r="AD63" s="600">
        <v>26</v>
      </c>
      <c r="AE63" s="655">
        <v>2</v>
      </c>
      <c r="AF63" s="600"/>
      <c r="AG63" s="643">
        <v>16</v>
      </c>
      <c r="AH63" s="600">
        <v>14</v>
      </c>
      <c r="AI63" s="655"/>
      <c r="AJ63" s="600"/>
      <c r="AK63" s="643">
        <v>13</v>
      </c>
      <c r="AL63" s="600"/>
      <c r="AM63" s="655"/>
      <c r="AN63" s="600"/>
      <c r="AO63" s="601"/>
      <c r="AP63" s="600"/>
      <c r="AQ63" s="599"/>
      <c r="AR63" s="600"/>
      <c r="AS63" s="643"/>
      <c r="AT63" s="600"/>
      <c r="AU63" s="655"/>
      <c r="AV63" s="600"/>
      <c r="AW63" s="643"/>
      <c r="AX63" s="600"/>
      <c r="AY63" s="655"/>
      <c r="AZ63" s="600"/>
      <c r="BA63" s="643"/>
      <c r="BB63" s="602">
        <v>0</v>
      </c>
      <c r="BC63" s="599"/>
      <c r="BD63" s="600">
        <v>0</v>
      </c>
      <c r="BE63" s="599"/>
      <c r="BF63" s="600">
        <v>881691</v>
      </c>
      <c r="BG63" s="599">
        <v>1293741</v>
      </c>
      <c r="BH63" s="600">
        <v>1816319.06</v>
      </c>
      <c r="BI63" s="599">
        <v>1417058</v>
      </c>
      <c r="BJ63" s="600">
        <v>0</v>
      </c>
      <c r="BK63" s="647"/>
      <c r="BL63" s="600">
        <v>0</v>
      </c>
      <c r="BM63" s="663"/>
      <c r="BN63" s="605">
        <f t="shared" si="101"/>
        <v>0</v>
      </c>
      <c r="BO63" s="606">
        <f t="shared" si="102"/>
        <v>0</v>
      </c>
      <c r="BP63" s="607">
        <f t="shared" si="103"/>
        <v>0</v>
      </c>
      <c r="BQ63" s="606">
        <f t="shared" si="104"/>
        <v>0</v>
      </c>
      <c r="BR63" s="607">
        <f t="shared" si="105"/>
        <v>235</v>
      </c>
      <c r="BS63" s="606">
        <f t="shared" si="106"/>
        <v>273</v>
      </c>
      <c r="BT63" s="607">
        <f t="shared" si="107"/>
        <v>388</v>
      </c>
      <c r="BU63" s="606">
        <f t="shared" si="108"/>
        <v>334</v>
      </c>
      <c r="BV63" s="607">
        <f t="shared" si="109"/>
        <v>0</v>
      </c>
      <c r="BW63" s="608">
        <f t="shared" si="110"/>
        <v>0</v>
      </c>
      <c r="BX63" s="607">
        <f t="shared" si="111"/>
        <v>0</v>
      </c>
      <c r="BY63" s="608">
        <f t="shared" si="112"/>
        <v>0</v>
      </c>
      <c r="BZ63" s="607">
        <f t="shared" si="113"/>
        <v>0</v>
      </c>
      <c r="CA63" s="608">
        <f t="shared" si="114"/>
        <v>0</v>
      </c>
      <c r="CB63" s="607">
        <f t="shared" si="115"/>
        <v>0</v>
      </c>
      <c r="CC63" s="608">
        <f t="shared" si="116"/>
        <v>0</v>
      </c>
      <c r="CD63" s="607">
        <f t="shared" si="117"/>
        <v>3751.8765957446808</v>
      </c>
      <c r="CE63" s="608">
        <f t="shared" si="118"/>
        <v>4738.9780219780223</v>
      </c>
      <c r="CF63" s="607">
        <f t="shared" si="119"/>
        <v>4681.2346907216497</v>
      </c>
      <c r="CG63" s="608">
        <f t="shared" si="120"/>
        <v>4242.688622754491</v>
      </c>
      <c r="CH63" s="607">
        <f t="shared" si="121"/>
        <v>0</v>
      </c>
      <c r="CI63" s="608">
        <f t="shared" si="122"/>
        <v>0</v>
      </c>
      <c r="CJ63" s="607">
        <f t="shared" si="123"/>
        <v>0</v>
      </c>
      <c r="CK63" s="608">
        <f t="shared" si="124"/>
        <v>0</v>
      </c>
      <c r="CL63" s="609">
        <f t="shared" si="125"/>
        <v>0</v>
      </c>
      <c r="CM63" s="608">
        <f t="shared" si="126"/>
        <v>0</v>
      </c>
      <c r="CN63" s="610">
        <f t="shared" si="127"/>
        <v>0</v>
      </c>
      <c r="CO63" s="606">
        <f t="shared" si="128"/>
        <v>0</v>
      </c>
      <c r="CP63" s="607">
        <f t="shared" si="129"/>
        <v>33766.889361702124</v>
      </c>
      <c r="CQ63" s="606">
        <f t="shared" si="130"/>
        <v>42650.802197802201</v>
      </c>
      <c r="CR63" s="607">
        <f t="shared" si="131"/>
        <v>42131.112216494847</v>
      </c>
      <c r="CS63" s="606">
        <f t="shared" si="132"/>
        <v>38184.197604790417</v>
      </c>
      <c r="CT63" s="607">
        <f t="shared" si="133"/>
        <v>0</v>
      </c>
      <c r="CU63" s="608">
        <f t="shared" si="134"/>
        <v>0</v>
      </c>
      <c r="CV63" s="610">
        <f t="shared" si="135"/>
        <v>0</v>
      </c>
      <c r="CW63" s="608">
        <f t="shared" si="136"/>
        <v>0</v>
      </c>
      <c r="CX63" s="610">
        <f t="shared" si="137"/>
        <v>38914.103426189955</v>
      </c>
      <c r="CY63" s="611">
        <f t="shared" si="138"/>
        <v>40343.056491412783</v>
      </c>
      <c r="CZ63" s="605">
        <f t="shared" si="139"/>
        <v>0</v>
      </c>
      <c r="DA63" s="612">
        <f t="shared" si="140"/>
        <v>0</v>
      </c>
      <c r="DB63" s="607">
        <f t="shared" si="141"/>
        <v>0</v>
      </c>
      <c r="DC63" s="606">
        <f t="shared" si="142"/>
        <v>0</v>
      </c>
      <c r="DD63" s="607">
        <f t="shared" si="143"/>
        <v>25</v>
      </c>
      <c r="DE63" s="606">
        <f t="shared" si="144"/>
        <v>29</v>
      </c>
      <c r="DF63" s="607">
        <f t="shared" si="145"/>
        <v>40</v>
      </c>
      <c r="DG63" s="606">
        <f t="shared" si="146"/>
        <v>31</v>
      </c>
      <c r="DH63" s="607">
        <f t="shared" si="147"/>
        <v>0</v>
      </c>
      <c r="DI63" s="608">
        <f t="shared" si="148"/>
        <v>0</v>
      </c>
      <c r="DJ63" s="607">
        <f t="shared" si="149"/>
        <v>0</v>
      </c>
      <c r="DK63" s="608">
        <f t="shared" si="150"/>
        <v>0</v>
      </c>
      <c r="DL63" s="607">
        <f t="shared" si="151"/>
        <v>65</v>
      </c>
      <c r="DM63" s="608">
        <f t="shared" si="152"/>
        <v>60</v>
      </c>
      <c r="DN63" s="607">
        <f t="shared" si="153"/>
        <v>0</v>
      </c>
      <c r="DO63" s="612">
        <f t="shared" si="154"/>
        <v>0</v>
      </c>
      <c r="DP63" s="607">
        <f t="shared" si="155"/>
        <v>0</v>
      </c>
      <c r="DQ63" s="606">
        <f t="shared" si="156"/>
        <v>0</v>
      </c>
      <c r="DR63" s="607">
        <f t="shared" si="157"/>
        <v>844172.23404255311</v>
      </c>
      <c r="DS63" s="606">
        <f t="shared" si="158"/>
        <v>1236873.2637362638</v>
      </c>
      <c r="DT63" s="607">
        <f t="shared" si="159"/>
        <v>1685244.488659794</v>
      </c>
      <c r="DU63" s="606">
        <f t="shared" si="160"/>
        <v>1183710.125748503</v>
      </c>
      <c r="DV63" s="607">
        <f t="shared" si="161"/>
        <v>0</v>
      </c>
      <c r="DW63" s="608">
        <f t="shared" si="162"/>
        <v>0</v>
      </c>
      <c r="DX63" s="607">
        <f t="shared" si="163"/>
        <v>0</v>
      </c>
      <c r="DY63" s="608">
        <f t="shared" si="164"/>
        <v>0</v>
      </c>
      <c r="DZ63" s="607">
        <f t="shared" si="165"/>
        <v>2529416.7227023472</v>
      </c>
      <c r="EA63" s="608">
        <f t="shared" si="166"/>
        <v>2420583.3894847669</v>
      </c>
    </row>
    <row r="64" spans="1:131" ht="13.5" thickBot="1" x14ac:dyDescent="0.25">
      <c r="A64" s="487" t="s">
        <v>32</v>
      </c>
      <c r="B64" s="383" t="s">
        <v>603</v>
      </c>
      <c r="C64" s="534"/>
      <c r="D64" s="387">
        <v>106625</v>
      </c>
      <c r="E64" s="387">
        <v>10</v>
      </c>
      <c r="F64" s="598"/>
      <c r="G64" s="599"/>
      <c r="H64" s="600"/>
      <c r="I64" s="601"/>
      <c r="J64" s="600"/>
      <c r="K64" s="599"/>
      <c r="L64" s="600"/>
      <c r="M64" s="601"/>
      <c r="N64" s="600"/>
      <c r="O64" s="599"/>
      <c r="P64" s="600"/>
      <c r="Q64" s="601"/>
      <c r="R64" s="600"/>
      <c r="S64" s="599"/>
      <c r="T64" s="600"/>
      <c r="U64" s="601"/>
      <c r="V64" s="600"/>
      <c r="W64" s="599"/>
      <c r="X64" s="600"/>
      <c r="Y64" s="601"/>
      <c r="Z64" s="600"/>
      <c r="AA64" s="599"/>
      <c r="AB64" s="600"/>
      <c r="AC64" s="601"/>
      <c r="AD64" s="600"/>
      <c r="AE64" s="655"/>
      <c r="AF64" s="600"/>
      <c r="AG64" s="643"/>
      <c r="AH64" s="600"/>
      <c r="AI64" s="655"/>
      <c r="AJ64" s="600"/>
      <c r="AK64" s="643"/>
      <c r="AL64" s="600"/>
      <c r="AM64" s="656">
        <v>0</v>
      </c>
      <c r="AN64" s="600"/>
      <c r="AO64" s="656">
        <v>0</v>
      </c>
      <c r="AP64" s="600"/>
      <c r="AQ64" s="656">
        <v>0</v>
      </c>
      <c r="AR64" s="600"/>
      <c r="AS64" s="656">
        <v>0</v>
      </c>
      <c r="AT64" s="600">
        <v>62</v>
      </c>
      <c r="AU64" s="657">
        <v>64</v>
      </c>
      <c r="AV64" s="600"/>
      <c r="AW64" s="643">
        <v>2</v>
      </c>
      <c r="AX64" s="600">
        <v>5</v>
      </c>
      <c r="AY64" s="655">
        <v>2</v>
      </c>
      <c r="AZ64" s="600"/>
      <c r="BA64" s="643">
        <v>6</v>
      </c>
      <c r="BB64" s="602">
        <v>0</v>
      </c>
      <c r="BC64" s="599"/>
      <c r="BD64" s="600">
        <v>0</v>
      </c>
      <c r="BE64" s="599"/>
      <c r="BF64" s="600">
        <v>0</v>
      </c>
      <c r="BG64" s="599"/>
      <c r="BH64" s="600">
        <v>0</v>
      </c>
      <c r="BI64" s="599"/>
      <c r="BJ64" s="600">
        <v>0</v>
      </c>
      <c r="BK64" s="662">
        <v>0</v>
      </c>
      <c r="BL64" s="600">
        <v>2823077.0799999996</v>
      </c>
      <c r="BM64" s="662">
        <v>3103002</v>
      </c>
      <c r="BN64" s="605">
        <f t="shared" si="101"/>
        <v>0</v>
      </c>
      <c r="BO64" s="606">
        <f t="shared" si="102"/>
        <v>0</v>
      </c>
      <c r="BP64" s="607">
        <f t="shared" si="103"/>
        <v>0</v>
      </c>
      <c r="BQ64" s="606">
        <f t="shared" si="104"/>
        <v>0</v>
      </c>
      <c r="BR64" s="607">
        <f t="shared" si="105"/>
        <v>0</v>
      </c>
      <c r="BS64" s="606">
        <f t="shared" si="106"/>
        <v>0</v>
      </c>
      <c r="BT64" s="607">
        <f t="shared" si="107"/>
        <v>0</v>
      </c>
      <c r="BU64" s="606">
        <f t="shared" si="108"/>
        <v>0</v>
      </c>
      <c r="BV64" s="607">
        <f t="shared" si="109"/>
        <v>0</v>
      </c>
      <c r="BW64" s="608">
        <f t="shared" si="110"/>
        <v>0</v>
      </c>
      <c r="BX64" s="607">
        <f t="shared" si="111"/>
        <v>613</v>
      </c>
      <c r="BY64" s="608">
        <f t="shared" si="112"/>
        <v>690</v>
      </c>
      <c r="BZ64" s="607">
        <f t="shared" si="113"/>
        <v>0</v>
      </c>
      <c r="CA64" s="608">
        <f t="shared" si="114"/>
        <v>0</v>
      </c>
      <c r="CB64" s="607">
        <f t="shared" si="115"/>
        <v>0</v>
      </c>
      <c r="CC64" s="608">
        <f t="shared" si="116"/>
        <v>0</v>
      </c>
      <c r="CD64" s="607">
        <f t="shared" si="117"/>
        <v>0</v>
      </c>
      <c r="CE64" s="608">
        <f t="shared" si="118"/>
        <v>0</v>
      </c>
      <c r="CF64" s="607">
        <f t="shared" si="119"/>
        <v>0</v>
      </c>
      <c r="CG64" s="608">
        <f t="shared" si="120"/>
        <v>0</v>
      </c>
      <c r="CH64" s="607">
        <f t="shared" si="121"/>
        <v>0</v>
      </c>
      <c r="CI64" s="608">
        <f t="shared" si="122"/>
        <v>0</v>
      </c>
      <c r="CJ64" s="607">
        <f t="shared" si="123"/>
        <v>4605.3459706362146</v>
      </c>
      <c r="CK64" s="608">
        <f t="shared" si="124"/>
        <v>4497.1043478260872</v>
      </c>
      <c r="CL64" s="609">
        <f t="shared" si="125"/>
        <v>0</v>
      </c>
      <c r="CM64" s="608">
        <f t="shared" si="126"/>
        <v>0</v>
      </c>
      <c r="CN64" s="610">
        <f t="shared" si="127"/>
        <v>0</v>
      </c>
      <c r="CO64" s="606">
        <f t="shared" si="128"/>
        <v>0</v>
      </c>
      <c r="CP64" s="607">
        <f t="shared" si="129"/>
        <v>0</v>
      </c>
      <c r="CQ64" s="606">
        <f t="shared" si="130"/>
        <v>0</v>
      </c>
      <c r="CR64" s="607">
        <f t="shared" si="131"/>
        <v>0</v>
      </c>
      <c r="CS64" s="606">
        <f t="shared" si="132"/>
        <v>0</v>
      </c>
      <c r="CT64" s="607">
        <f t="shared" si="133"/>
        <v>0</v>
      </c>
      <c r="CU64" s="608">
        <f t="shared" si="134"/>
        <v>0</v>
      </c>
      <c r="CV64" s="610">
        <f t="shared" si="135"/>
        <v>41448.113735725929</v>
      </c>
      <c r="CW64" s="608">
        <f t="shared" si="136"/>
        <v>40473.939130434781</v>
      </c>
      <c r="CX64" s="610">
        <f t="shared" si="137"/>
        <v>41448.113735725929</v>
      </c>
      <c r="CY64" s="611">
        <f t="shared" si="138"/>
        <v>40473.939130434781</v>
      </c>
      <c r="CZ64" s="605">
        <f t="shared" si="139"/>
        <v>0</v>
      </c>
      <c r="DA64" s="612">
        <f t="shared" si="140"/>
        <v>0</v>
      </c>
      <c r="DB64" s="607">
        <f t="shared" si="141"/>
        <v>0</v>
      </c>
      <c r="DC64" s="606">
        <f t="shared" si="142"/>
        <v>0</v>
      </c>
      <c r="DD64" s="607">
        <f t="shared" si="143"/>
        <v>0</v>
      </c>
      <c r="DE64" s="606">
        <f t="shared" si="144"/>
        <v>0</v>
      </c>
      <c r="DF64" s="607">
        <f t="shared" si="145"/>
        <v>0</v>
      </c>
      <c r="DG64" s="606">
        <f t="shared" si="146"/>
        <v>0</v>
      </c>
      <c r="DH64" s="607">
        <f t="shared" si="147"/>
        <v>0</v>
      </c>
      <c r="DI64" s="608">
        <f t="shared" si="148"/>
        <v>0</v>
      </c>
      <c r="DJ64" s="607">
        <f t="shared" si="149"/>
        <v>67</v>
      </c>
      <c r="DK64" s="608">
        <f t="shared" si="150"/>
        <v>74</v>
      </c>
      <c r="DL64" s="607">
        <f t="shared" si="151"/>
        <v>67</v>
      </c>
      <c r="DM64" s="608">
        <f t="shared" si="152"/>
        <v>74</v>
      </c>
      <c r="DN64" s="607">
        <f t="shared" si="153"/>
        <v>0</v>
      </c>
      <c r="DO64" s="612">
        <f t="shared" si="154"/>
        <v>0</v>
      </c>
      <c r="DP64" s="607">
        <f t="shared" si="155"/>
        <v>0</v>
      </c>
      <c r="DQ64" s="606">
        <f t="shared" si="156"/>
        <v>0</v>
      </c>
      <c r="DR64" s="607">
        <f t="shared" si="157"/>
        <v>0</v>
      </c>
      <c r="DS64" s="606">
        <f t="shared" si="158"/>
        <v>0</v>
      </c>
      <c r="DT64" s="607">
        <f t="shared" si="159"/>
        <v>0</v>
      </c>
      <c r="DU64" s="606">
        <f t="shared" si="160"/>
        <v>0</v>
      </c>
      <c r="DV64" s="607">
        <f t="shared" si="161"/>
        <v>0</v>
      </c>
      <c r="DW64" s="608">
        <f t="shared" si="162"/>
        <v>0</v>
      </c>
      <c r="DX64" s="607">
        <f t="shared" si="163"/>
        <v>2777023.6202936373</v>
      </c>
      <c r="DY64" s="608">
        <f t="shared" si="164"/>
        <v>2995071.4956521736</v>
      </c>
      <c r="DZ64" s="607">
        <f t="shared" si="165"/>
        <v>2777023.6202936373</v>
      </c>
      <c r="EA64" s="608">
        <f t="shared" si="166"/>
        <v>2995071.4956521736</v>
      </c>
    </row>
    <row r="65" spans="1:131" ht="13.5" thickBot="1" x14ac:dyDescent="0.25">
      <c r="A65" s="487" t="s">
        <v>32</v>
      </c>
      <c r="B65" s="383" t="s">
        <v>604</v>
      </c>
      <c r="C65" s="535"/>
      <c r="D65" s="387">
        <v>107521</v>
      </c>
      <c r="E65" s="387">
        <v>10</v>
      </c>
      <c r="F65" s="598"/>
      <c r="G65" s="599"/>
      <c r="H65" s="600"/>
      <c r="I65" s="601"/>
      <c r="J65" s="600"/>
      <c r="K65" s="599"/>
      <c r="L65" s="600"/>
      <c r="M65" s="601"/>
      <c r="N65" s="600"/>
      <c r="O65" s="599"/>
      <c r="P65" s="600"/>
      <c r="Q65" s="601"/>
      <c r="R65" s="600"/>
      <c r="S65" s="599"/>
      <c r="T65" s="600"/>
      <c r="U65" s="601"/>
      <c r="V65" s="600"/>
      <c r="W65" s="599"/>
      <c r="X65" s="600"/>
      <c r="Y65" s="601"/>
      <c r="Z65" s="600"/>
      <c r="AA65" s="599"/>
      <c r="AB65" s="600"/>
      <c r="AC65" s="601"/>
      <c r="AD65" s="600"/>
      <c r="AE65" s="656">
        <v>0</v>
      </c>
      <c r="AF65" s="600"/>
      <c r="AG65" s="643"/>
      <c r="AH65" s="600"/>
      <c r="AI65" s="655"/>
      <c r="AJ65" s="600"/>
      <c r="AK65" s="656">
        <v>0</v>
      </c>
      <c r="AL65" s="600"/>
      <c r="AM65" s="655"/>
      <c r="AN65" s="600"/>
      <c r="AO65" s="601"/>
      <c r="AP65" s="600"/>
      <c r="AQ65" s="599"/>
      <c r="AR65" s="600"/>
      <c r="AS65" s="643"/>
      <c r="AT65" s="600">
        <v>35</v>
      </c>
      <c r="AU65" s="657">
        <v>35</v>
      </c>
      <c r="AV65" s="600"/>
      <c r="AW65" s="643"/>
      <c r="AX65" s="600">
        <v>5</v>
      </c>
      <c r="AY65" s="655"/>
      <c r="AZ65" s="600"/>
      <c r="BA65" s="660">
        <v>6</v>
      </c>
      <c r="BB65" s="602">
        <v>0</v>
      </c>
      <c r="BC65" s="599"/>
      <c r="BD65" s="600">
        <v>0</v>
      </c>
      <c r="BE65" s="599"/>
      <c r="BF65" s="600">
        <v>0</v>
      </c>
      <c r="BG65" s="599"/>
      <c r="BH65" s="600">
        <v>0</v>
      </c>
      <c r="BI65" s="656">
        <v>0</v>
      </c>
      <c r="BJ65" s="600">
        <v>0</v>
      </c>
      <c r="BK65" s="615"/>
      <c r="BL65" s="600">
        <v>1696709.05</v>
      </c>
      <c r="BM65" s="664">
        <v>1727277</v>
      </c>
      <c r="BN65" s="605">
        <f t="shared" si="101"/>
        <v>0</v>
      </c>
      <c r="BO65" s="606">
        <f t="shared" si="102"/>
        <v>0</v>
      </c>
      <c r="BP65" s="607">
        <f t="shared" si="103"/>
        <v>0</v>
      </c>
      <c r="BQ65" s="606">
        <f t="shared" si="104"/>
        <v>0</v>
      </c>
      <c r="BR65" s="607">
        <f t="shared" si="105"/>
        <v>0</v>
      </c>
      <c r="BS65" s="606">
        <f t="shared" si="106"/>
        <v>0</v>
      </c>
      <c r="BT65" s="607">
        <f t="shared" si="107"/>
        <v>0</v>
      </c>
      <c r="BU65" s="606">
        <f t="shared" si="108"/>
        <v>0</v>
      </c>
      <c r="BV65" s="607">
        <f t="shared" si="109"/>
        <v>0</v>
      </c>
      <c r="BW65" s="608">
        <f t="shared" si="110"/>
        <v>0</v>
      </c>
      <c r="BX65" s="607">
        <f t="shared" si="111"/>
        <v>370</v>
      </c>
      <c r="BY65" s="608">
        <f t="shared" si="112"/>
        <v>387</v>
      </c>
      <c r="BZ65" s="607">
        <f t="shared" si="113"/>
        <v>0</v>
      </c>
      <c r="CA65" s="608">
        <f t="shared" si="114"/>
        <v>0</v>
      </c>
      <c r="CB65" s="607">
        <f t="shared" si="115"/>
        <v>0</v>
      </c>
      <c r="CC65" s="608">
        <f t="shared" si="116"/>
        <v>0</v>
      </c>
      <c r="CD65" s="607">
        <f t="shared" si="117"/>
        <v>0</v>
      </c>
      <c r="CE65" s="608">
        <f t="shared" si="118"/>
        <v>0</v>
      </c>
      <c r="CF65" s="607">
        <f t="shared" si="119"/>
        <v>0</v>
      </c>
      <c r="CG65" s="608">
        <f t="shared" si="120"/>
        <v>0</v>
      </c>
      <c r="CH65" s="607">
        <f t="shared" si="121"/>
        <v>0</v>
      </c>
      <c r="CI65" s="608">
        <f t="shared" si="122"/>
        <v>0</v>
      </c>
      <c r="CJ65" s="607">
        <f t="shared" si="123"/>
        <v>4585.7001351351355</v>
      </c>
      <c r="CK65" s="608">
        <f t="shared" si="124"/>
        <v>4463.2480620155038</v>
      </c>
      <c r="CL65" s="609">
        <f t="shared" si="125"/>
        <v>0</v>
      </c>
      <c r="CM65" s="608">
        <f t="shared" si="126"/>
        <v>0</v>
      </c>
      <c r="CN65" s="610">
        <f t="shared" si="127"/>
        <v>0</v>
      </c>
      <c r="CO65" s="606">
        <f t="shared" si="128"/>
        <v>0</v>
      </c>
      <c r="CP65" s="607">
        <f t="shared" si="129"/>
        <v>0</v>
      </c>
      <c r="CQ65" s="606">
        <f t="shared" si="130"/>
        <v>0</v>
      </c>
      <c r="CR65" s="607">
        <f t="shared" si="131"/>
        <v>0</v>
      </c>
      <c r="CS65" s="606">
        <f t="shared" si="132"/>
        <v>0</v>
      </c>
      <c r="CT65" s="607">
        <f t="shared" si="133"/>
        <v>0</v>
      </c>
      <c r="CU65" s="608">
        <f t="shared" si="134"/>
        <v>0</v>
      </c>
      <c r="CV65" s="610">
        <f t="shared" si="135"/>
        <v>41271.301216216219</v>
      </c>
      <c r="CW65" s="608">
        <f t="shared" si="136"/>
        <v>40169.232558139534</v>
      </c>
      <c r="CX65" s="610">
        <f t="shared" si="137"/>
        <v>41271.301216216219</v>
      </c>
      <c r="CY65" s="611">
        <f t="shared" si="138"/>
        <v>40169.232558139534</v>
      </c>
      <c r="CZ65" s="605">
        <f t="shared" si="139"/>
        <v>0</v>
      </c>
      <c r="DA65" s="612">
        <f t="shared" si="140"/>
        <v>0</v>
      </c>
      <c r="DB65" s="607">
        <f t="shared" si="141"/>
        <v>0</v>
      </c>
      <c r="DC65" s="606">
        <f t="shared" si="142"/>
        <v>0</v>
      </c>
      <c r="DD65" s="607">
        <f t="shared" si="143"/>
        <v>0</v>
      </c>
      <c r="DE65" s="606">
        <f t="shared" si="144"/>
        <v>0</v>
      </c>
      <c r="DF65" s="607">
        <f t="shared" si="145"/>
        <v>0</v>
      </c>
      <c r="DG65" s="606">
        <f t="shared" si="146"/>
        <v>0</v>
      </c>
      <c r="DH65" s="607">
        <f t="shared" si="147"/>
        <v>0</v>
      </c>
      <c r="DI65" s="608">
        <f t="shared" si="148"/>
        <v>0</v>
      </c>
      <c r="DJ65" s="607">
        <f t="shared" si="149"/>
        <v>40</v>
      </c>
      <c r="DK65" s="608">
        <f t="shared" si="150"/>
        <v>41</v>
      </c>
      <c r="DL65" s="607">
        <f t="shared" si="151"/>
        <v>40</v>
      </c>
      <c r="DM65" s="608">
        <f t="shared" si="152"/>
        <v>41</v>
      </c>
      <c r="DN65" s="607">
        <f t="shared" si="153"/>
        <v>0</v>
      </c>
      <c r="DO65" s="612">
        <f t="shared" si="154"/>
        <v>0</v>
      </c>
      <c r="DP65" s="607">
        <f t="shared" si="155"/>
        <v>0</v>
      </c>
      <c r="DQ65" s="606">
        <f t="shared" si="156"/>
        <v>0</v>
      </c>
      <c r="DR65" s="607">
        <f t="shared" si="157"/>
        <v>0</v>
      </c>
      <c r="DS65" s="606">
        <f t="shared" si="158"/>
        <v>0</v>
      </c>
      <c r="DT65" s="607">
        <f t="shared" si="159"/>
        <v>0</v>
      </c>
      <c r="DU65" s="606">
        <f t="shared" si="160"/>
        <v>0</v>
      </c>
      <c r="DV65" s="607">
        <f t="shared" si="161"/>
        <v>0</v>
      </c>
      <c r="DW65" s="608">
        <f t="shared" si="162"/>
        <v>0</v>
      </c>
      <c r="DX65" s="607">
        <f t="shared" si="163"/>
        <v>1650852.0486486489</v>
      </c>
      <c r="DY65" s="608">
        <f t="shared" si="164"/>
        <v>1646938.5348837208</v>
      </c>
      <c r="DZ65" s="607">
        <f t="shared" si="165"/>
        <v>1650852.0486486489</v>
      </c>
      <c r="EA65" s="608">
        <f t="shared" si="166"/>
        <v>1646938.5348837208</v>
      </c>
    </row>
    <row r="66" spans="1:131" ht="13.5" thickBot="1" x14ac:dyDescent="0.25">
      <c r="A66" s="487" t="s">
        <v>32</v>
      </c>
      <c r="B66" s="383" t="s">
        <v>605</v>
      </c>
      <c r="C66" s="537"/>
      <c r="D66" s="387">
        <v>106795</v>
      </c>
      <c r="E66" s="387">
        <v>10</v>
      </c>
      <c r="F66" s="598"/>
      <c r="G66" s="599"/>
      <c r="H66" s="600"/>
      <c r="I66" s="601"/>
      <c r="J66" s="600"/>
      <c r="K66" s="599"/>
      <c r="L66" s="600"/>
      <c r="M66" s="601"/>
      <c r="N66" s="600"/>
      <c r="O66" s="599"/>
      <c r="P66" s="600"/>
      <c r="Q66" s="601"/>
      <c r="R66" s="600"/>
      <c r="S66" s="599"/>
      <c r="T66" s="600"/>
      <c r="U66" s="601"/>
      <c r="V66" s="600"/>
      <c r="W66" s="599"/>
      <c r="X66" s="600"/>
      <c r="Y66" s="601"/>
      <c r="Z66" s="600"/>
      <c r="AA66" s="599"/>
      <c r="AB66" s="600"/>
      <c r="AC66" s="601"/>
      <c r="AD66" s="600"/>
      <c r="AE66" s="657">
        <v>0</v>
      </c>
      <c r="AF66" s="600"/>
      <c r="AG66" s="656">
        <v>0</v>
      </c>
      <c r="AH66" s="600"/>
      <c r="AI66" s="656">
        <v>0</v>
      </c>
      <c r="AJ66" s="600"/>
      <c r="AK66" s="656">
        <v>0</v>
      </c>
      <c r="AL66" s="600"/>
      <c r="AM66" s="655"/>
      <c r="AN66" s="600"/>
      <c r="AO66" s="601"/>
      <c r="AP66" s="600"/>
      <c r="AQ66" s="599"/>
      <c r="AR66" s="600"/>
      <c r="AS66" s="643"/>
      <c r="AT66" s="600">
        <v>29</v>
      </c>
      <c r="AU66" s="657">
        <v>24</v>
      </c>
      <c r="AV66" s="600"/>
      <c r="AW66" s="657">
        <v>8</v>
      </c>
      <c r="AX66" s="600">
        <v>6</v>
      </c>
      <c r="AY66" s="657">
        <v>1</v>
      </c>
      <c r="AZ66" s="600"/>
      <c r="BA66" s="657">
        <v>3</v>
      </c>
      <c r="BB66" s="602">
        <v>0</v>
      </c>
      <c r="BC66" s="599"/>
      <c r="BD66" s="600">
        <v>0</v>
      </c>
      <c r="BE66" s="599"/>
      <c r="BF66" s="600">
        <v>0</v>
      </c>
      <c r="BG66" s="599"/>
      <c r="BH66" s="600">
        <v>0</v>
      </c>
      <c r="BI66" s="656">
        <v>0</v>
      </c>
      <c r="BJ66" s="600">
        <v>0</v>
      </c>
      <c r="BK66" s="615"/>
      <c r="BL66" s="600">
        <v>1451967.9500000002</v>
      </c>
      <c r="BM66" s="664">
        <v>1524955</v>
      </c>
      <c r="BN66" s="605">
        <f t="shared" si="101"/>
        <v>0</v>
      </c>
      <c r="BO66" s="606">
        <f t="shared" si="102"/>
        <v>0</v>
      </c>
      <c r="BP66" s="607">
        <f t="shared" si="103"/>
        <v>0</v>
      </c>
      <c r="BQ66" s="606">
        <f t="shared" si="104"/>
        <v>0</v>
      </c>
      <c r="BR66" s="607">
        <f t="shared" si="105"/>
        <v>0</v>
      </c>
      <c r="BS66" s="606">
        <f t="shared" si="106"/>
        <v>0</v>
      </c>
      <c r="BT66" s="607">
        <f t="shared" si="107"/>
        <v>0</v>
      </c>
      <c r="BU66" s="606">
        <f t="shared" si="108"/>
        <v>0</v>
      </c>
      <c r="BV66" s="607">
        <f t="shared" si="109"/>
        <v>0</v>
      </c>
      <c r="BW66" s="608">
        <f t="shared" si="110"/>
        <v>0</v>
      </c>
      <c r="BX66" s="607">
        <f t="shared" si="111"/>
        <v>327</v>
      </c>
      <c r="BY66" s="608">
        <f t="shared" si="112"/>
        <v>343</v>
      </c>
      <c r="BZ66" s="607">
        <f t="shared" si="113"/>
        <v>0</v>
      </c>
      <c r="CA66" s="608">
        <f t="shared" si="114"/>
        <v>0</v>
      </c>
      <c r="CB66" s="607">
        <f t="shared" si="115"/>
        <v>0</v>
      </c>
      <c r="CC66" s="608">
        <f t="shared" si="116"/>
        <v>0</v>
      </c>
      <c r="CD66" s="607">
        <f t="shared" si="117"/>
        <v>0</v>
      </c>
      <c r="CE66" s="608">
        <f t="shared" si="118"/>
        <v>0</v>
      </c>
      <c r="CF66" s="607">
        <f t="shared" si="119"/>
        <v>0</v>
      </c>
      <c r="CG66" s="608">
        <f t="shared" si="120"/>
        <v>0</v>
      </c>
      <c r="CH66" s="607">
        <f t="shared" si="121"/>
        <v>0</v>
      </c>
      <c r="CI66" s="608">
        <f t="shared" si="122"/>
        <v>0</v>
      </c>
      <c r="CJ66" s="607">
        <f t="shared" si="123"/>
        <v>4440.268960244649</v>
      </c>
      <c r="CK66" s="608">
        <f t="shared" si="124"/>
        <v>4445.9329446064139</v>
      </c>
      <c r="CL66" s="609">
        <f t="shared" si="125"/>
        <v>0</v>
      </c>
      <c r="CM66" s="608">
        <f t="shared" si="126"/>
        <v>0</v>
      </c>
      <c r="CN66" s="610">
        <f t="shared" si="127"/>
        <v>0</v>
      </c>
      <c r="CO66" s="606">
        <f t="shared" si="128"/>
        <v>0</v>
      </c>
      <c r="CP66" s="607">
        <f t="shared" si="129"/>
        <v>0</v>
      </c>
      <c r="CQ66" s="606">
        <f t="shared" si="130"/>
        <v>0</v>
      </c>
      <c r="CR66" s="607">
        <f t="shared" si="131"/>
        <v>0</v>
      </c>
      <c r="CS66" s="606">
        <f t="shared" si="132"/>
        <v>0</v>
      </c>
      <c r="CT66" s="607">
        <f t="shared" si="133"/>
        <v>0</v>
      </c>
      <c r="CU66" s="608">
        <f t="shared" si="134"/>
        <v>0</v>
      </c>
      <c r="CV66" s="610">
        <f t="shared" si="135"/>
        <v>39962.42064220184</v>
      </c>
      <c r="CW66" s="608">
        <f t="shared" si="136"/>
        <v>40013.396501457726</v>
      </c>
      <c r="CX66" s="610">
        <f t="shared" si="137"/>
        <v>39962.42064220184</v>
      </c>
      <c r="CY66" s="611">
        <f t="shared" si="138"/>
        <v>40013.396501457726</v>
      </c>
      <c r="CZ66" s="605">
        <f t="shared" si="139"/>
        <v>0</v>
      </c>
      <c r="DA66" s="612">
        <f t="shared" si="140"/>
        <v>0</v>
      </c>
      <c r="DB66" s="607">
        <f t="shared" si="141"/>
        <v>0</v>
      </c>
      <c r="DC66" s="606">
        <f t="shared" si="142"/>
        <v>0</v>
      </c>
      <c r="DD66" s="607">
        <f t="shared" si="143"/>
        <v>0</v>
      </c>
      <c r="DE66" s="606">
        <f t="shared" si="144"/>
        <v>0</v>
      </c>
      <c r="DF66" s="607">
        <f t="shared" si="145"/>
        <v>0</v>
      </c>
      <c r="DG66" s="606">
        <f t="shared" si="146"/>
        <v>0</v>
      </c>
      <c r="DH66" s="607">
        <f t="shared" si="147"/>
        <v>0</v>
      </c>
      <c r="DI66" s="608">
        <f t="shared" si="148"/>
        <v>0</v>
      </c>
      <c r="DJ66" s="607">
        <f t="shared" si="149"/>
        <v>35</v>
      </c>
      <c r="DK66" s="608">
        <f t="shared" si="150"/>
        <v>36</v>
      </c>
      <c r="DL66" s="607">
        <f t="shared" si="151"/>
        <v>35</v>
      </c>
      <c r="DM66" s="608">
        <f t="shared" si="152"/>
        <v>36</v>
      </c>
      <c r="DN66" s="607">
        <f t="shared" si="153"/>
        <v>0</v>
      </c>
      <c r="DO66" s="612">
        <f t="shared" si="154"/>
        <v>0</v>
      </c>
      <c r="DP66" s="607">
        <f t="shared" si="155"/>
        <v>0</v>
      </c>
      <c r="DQ66" s="606">
        <f t="shared" si="156"/>
        <v>0</v>
      </c>
      <c r="DR66" s="607">
        <f t="shared" si="157"/>
        <v>0</v>
      </c>
      <c r="DS66" s="606">
        <f t="shared" si="158"/>
        <v>0</v>
      </c>
      <c r="DT66" s="607">
        <f t="shared" si="159"/>
        <v>0</v>
      </c>
      <c r="DU66" s="606">
        <f t="shared" si="160"/>
        <v>0</v>
      </c>
      <c r="DV66" s="607">
        <f t="shared" si="161"/>
        <v>0</v>
      </c>
      <c r="DW66" s="608">
        <f t="shared" si="162"/>
        <v>0</v>
      </c>
      <c r="DX66" s="607">
        <f t="shared" si="163"/>
        <v>1398684.7224770645</v>
      </c>
      <c r="DY66" s="608">
        <f t="shared" si="164"/>
        <v>1440482.2740524781</v>
      </c>
      <c r="DZ66" s="607">
        <f t="shared" si="165"/>
        <v>1398684.7224770645</v>
      </c>
      <c r="EA66" s="608">
        <f t="shared" si="166"/>
        <v>1440482.2740524781</v>
      </c>
    </row>
    <row r="67" spans="1:131" ht="13.5" thickBot="1" x14ac:dyDescent="0.25">
      <c r="A67" s="487" t="s">
        <v>32</v>
      </c>
      <c r="B67" s="383" t="s">
        <v>606</v>
      </c>
      <c r="C67" s="537"/>
      <c r="D67" s="387">
        <v>106883</v>
      </c>
      <c r="E67" s="387">
        <v>10</v>
      </c>
      <c r="F67" s="598"/>
      <c r="G67" s="599"/>
      <c r="H67" s="600"/>
      <c r="I67" s="601"/>
      <c r="J67" s="600"/>
      <c r="K67" s="599"/>
      <c r="L67" s="600"/>
      <c r="M67" s="601"/>
      <c r="N67" s="600"/>
      <c r="O67" s="599"/>
      <c r="P67" s="600"/>
      <c r="Q67" s="601"/>
      <c r="R67" s="600"/>
      <c r="S67" s="599"/>
      <c r="T67" s="600"/>
      <c r="U67" s="601"/>
      <c r="V67" s="600"/>
      <c r="W67" s="599"/>
      <c r="X67" s="600"/>
      <c r="Y67" s="601"/>
      <c r="Z67" s="600"/>
      <c r="AA67" s="599"/>
      <c r="AB67" s="600"/>
      <c r="AC67" s="601"/>
      <c r="AD67" s="600"/>
      <c r="AE67" s="655"/>
      <c r="AF67" s="600"/>
      <c r="AG67" s="643"/>
      <c r="AH67" s="600"/>
      <c r="AI67" s="655"/>
      <c r="AJ67" s="600"/>
      <c r="AK67" s="643"/>
      <c r="AL67" s="600"/>
      <c r="AM67" s="655"/>
      <c r="AN67" s="600"/>
      <c r="AO67" s="601"/>
      <c r="AP67" s="600"/>
      <c r="AQ67" s="599"/>
      <c r="AR67" s="600"/>
      <c r="AS67" s="643"/>
      <c r="AT67" s="600">
        <v>26</v>
      </c>
      <c r="AU67" s="655">
        <v>28</v>
      </c>
      <c r="AV67" s="600"/>
      <c r="AW67" s="643"/>
      <c r="AX67" s="600">
        <v>9</v>
      </c>
      <c r="AY67" s="655">
        <v>2</v>
      </c>
      <c r="AZ67" s="600"/>
      <c r="BA67" s="643">
        <v>3</v>
      </c>
      <c r="BB67" s="602">
        <v>0</v>
      </c>
      <c r="BC67" s="599"/>
      <c r="BD67" s="600">
        <v>0</v>
      </c>
      <c r="BE67" s="599"/>
      <c r="BF67" s="600">
        <v>0</v>
      </c>
      <c r="BG67" s="599"/>
      <c r="BH67" s="600">
        <v>0</v>
      </c>
      <c r="BI67" s="655"/>
      <c r="BJ67" s="600">
        <v>0</v>
      </c>
      <c r="BK67" s="615"/>
      <c r="BL67" s="600">
        <v>1678313.9100000001</v>
      </c>
      <c r="BM67" s="663">
        <v>1581417</v>
      </c>
      <c r="BN67" s="605">
        <f t="shared" si="101"/>
        <v>0</v>
      </c>
      <c r="BO67" s="606">
        <f t="shared" si="102"/>
        <v>0</v>
      </c>
      <c r="BP67" s="607">
        <f t="shared" si="103"/>
        <v>0</v>
      </c>
      <c r="BQ67" s="606">
        <f t="shared" si="104"/>
        <v>0</v>
      </c>
      <c r="BR67" s="607">
        <f t="shared" si="105"/>
        <v>0</v>
      </c>
      <c r="BS67" s="606">
        <f t="shared" si="106"/>
        <v>0</v>
      </c>
      <c r="BT67" s="607">
        <f t="shared" si="107"/>
        <v>0</v>
      </c>
      <c r="BU67" s="606">
        <f t="shared" si="108"/>
        <v>0</v>
      </c>
      <c r="BV67" s="607">
        <f t="shared" si="109"/>
        <v>0</v>
      </c>
      <c r="BW67" s="608">
        <f t="shared" si="110"/>
        <v>0</v>
      </c>
      <c r="BX67" s="607">
        <f t="shared" si="111"/>
        <v>333</v>
      </c>
      <c r="BY67" s="608">
        <f t="shared" si="112"/>
        <v>310</v>
      </c>
      <c r="BZ67" s="607">
        <f t="shared" si="113"/>
        <v>0</v>
      </c>
      <c r="CA67" s="608">
        <f t="shared" si="114"/>
        <v>0</v>
      </c>
      <c r="CB67" s="607">
        <f t="shared" si="115"/>
        <v>0</v>
      </c>
      <c r="CC67" s="608">
        <f t="shared" si="116"/>
        <v>0</v>
      </c>
      <c r="CD67" s="607">
        <f t="shared" si="117"/>
        <v>0</v>
      </c>
      <c r="CE67" s="608">
        <f t="shared" si="118"/>
        <v>0</v>
      </c>
      <c r="CF67" s="607">
        <f t="shared" si="119"/>
        <v>0</v>
      </c>
      <c r="CG67" s="608">
        <f t="shared" si="120"/>
        <v>0</v>
      </c>
      <c r="CH67" s="607">
        <f t="shared" si="121"/>
        <v>0</v>
      </c>
      <c r="CI67" s="608">
        <f t="shared" si="122"/>
        <v>0</v>
      </c>
      <c r="CJ67" s="607">
        <f t="shared" si="123"/>
        <v>5039.9817117117118</v>
      </c>
      <c r="CK67" s="608">
        <f t="shared" si="124"/>
        <v>5101.3451612903227</v>
      </c>
      <c r="CL67" s="609">
        <f t="shared" si="125"/>
        <v>0</v>
      </c>
      <c r="CM67" s="608">
        <f t="shared" si="126"/>
        <v>0</v>
      </c>
      <c r="CN67" s="610">
        <f t="shared" si="127"/>
        <v>0</v>
      </c>
      <c r="CO67" s="606">
        <f t="shared" si="128"/>
        <v>0</v>
      </c>
      <c r="CP67" s="607">
        <f t="shared" si="129"/>
        <v>0</v>
      </c>
      <c r="CQ67" s="606">
        <f t="shared" si="130"/>
        <v>0</v>
      </c>
      <c r="CR67" s="607">
        <f t="shared" si="131"/>
        <v>0</v>
      </c>
      <c r="CS67" s="606">
        <f t="shared" si="132"/>
        <v>0</v>
      </c>
      <c r="CT67" s="607">
        <f t="shared" si="133"/>
        <v>0</v>
      </c>
      <c r="CU67" s="608">
        <f t="shared" si="134"/>
        <v>0</v>
      </c>
      <c r="CV67" s="610">
        <f t="shared" si="135"/>
        <v>45359.835405405407</v>
      </c>
      <c r="CW67" s="608">
        <f t="shared" si="136"/>
        <v>45912.106451612904</v>
      </c>
      <c r="CX67" s="610">
        <f t="shared" si="137"/>
        <v>45359.835405405407</v>
      </c>
      <c r="CY67" s="611">
        <f t="shared" si="138"/>
        <v>45912.106451612904</v>
      </c>
      <c r="CZ67" s="605">
        <f t="shared" si="139"/>
        <v>0</v>
      </c>
      <c r="DA67" s="612">
        <f t="shared" si="140"/>
        <v>0</v>
      </c>
      <c r="DB67" s="607">
        <f t="shared" si="141"/>
        <v>0</v>
      </c>
      <c r="DC67" s="606">
        <f t="shared" si="142"/>
        <v>0</v>
      </c>
      <c r="DD67" s="607">
        <f t="shared" si="143"/>
        <v>0</v>
      </c>
      <c r="DE67" s="606">
        <f t="shared" si="144"/>
        <v>0</v>
      </c>
      <c r="DF67" s="607">
        <f t="shared" si="145"/>
        <v>0</v>
      </c>
      <c r="DG67" s="606">
        <f t="shared" si="146"/>
        <v>0</v>
      </c>
      <c r="DH67" s="607">
        <f t="shared" si="147"/>
        <v>0</v>
      </c>
      <c r="DI67" s="608">
        <f t="shared" si="148"/>
        <v>0</v>
      </c>
      <c r="DJ67" s="607">
        <f t="shared" si="149"/>
        <v>35</v>
      </c>
      <c r="DK67" s="608">
        <f t="shared" si="150"/>
        <v>33</v>
      </c>
      <c r="DL67" s="607">
        <f t="shared" si="151"/>
        <v>35</v>
      </c>
      <c r="DM67" s="608">
        <f t="shared" si="152"/>
        <v>33</v>
      </c>
      <c r="DN67" s="607">
        <f t="shared" si="153"/>
        <v>0</v>
      </c>
      <c r="DO67" s="612">
        <f t="shared" si="154"/>
        <v>0</v>
      </c>
      <c r="DP67" s="607">
        <f t="shared" si="155"/>
        <v>0</v>
      </c>
      <c r="DQ67" s="606">
        <f t="shared" si="156"/>
        <v>0</v>
      </c>
      <c r="DR67" s="607">
        <f t="shared" si="157"/>
        <v>0</v>
      </c>
      <c r="DS67" s="606">
        <f t="shared" si="158"/>
        <v>0</v>
      </c>
      <c r="DT67" s="607">
        <f t="shared" si="159"/>
        <v>0</v>
      </c>
      <c r="DU67" s="606">
        <f t="shared" si="160"/>
        <v>0</v>
      </c>
      <c r="DV67" s="607">
        <f t="shared" si="161"/>
        <v>0</v>
      </c>
      <c r="DW67" s="608">
        <f t="shared" si="162"/>
        <v>0</v>
      </c>
      <c r="DX67" s="607">
        <f t="shared" si="163"/>
        <v>1587594.2391891892</v>
      </c>
      <c r="DY67" s="608">
        <f t="shared" si="164"/>
        <v>1515099.5129032258</v>
      </c>
      <c r="DZ67" s="607">
        <f t="shared" si="165"/>
        <v>1587594.2391891892</v>
      </c>
      <c r="EA67" s="608">
        <f t="shared" si="166"/>
        <v>1515099.5129032258</v>
      </c>
    </row>
    <row r="68" spans="1:131" ht="13.5" thickBot="1" x14ac:dyDescent="0.25">
      <c r="A68" s="487" t="s">
        <v>32</v>
      </c>
      <c r="B68" s="383" t="s">
        <v>607</v>
      </c>
      <c r="C68" s="537"/>
      <c r="D68" s="387">
        <v>107318</v>
      </c>
      <c r="E68" s="387">
        <v>10</v>
      </c>
      <c r="F68" s="598"/>
      <c r="G68" s="599"/>
      <c r="H68" s="600"/>
      <c r="I68" s="601"/>
      <c r="J68" s="600"/>
      <c r="K68" s="599"/>
      <c r="L68" s="600"/>
      <c r="M68" s="601"/>
      <c r="N68" s="600"/>
      <c r="O68" s="599"/>
      <c r="P68" s="600"/>
      <c r="Q68" s="601"/>
      <c r="R68" s="600"/>
      <c r="S68" s="599"/>
      <c r="T68" s="600"/>
      <c r="U68" s="601"/>
      <c r="V68" s="600"/>
      <c r="W68" s="599"/>
      <c r="X68" s="600"/>
      <c r="Y68" s="601"/>
      <c r="Z68" s="600"/>
      <c r="AA68" s="599"/>
      <c r="AB68" s="600"/>
      <c r="AC68" s="601"/>
      <c r="AD68" s="600"/>
      <c r="AE68" s="655"/>
      <c r="AF68" s="600"/>
      <c r="AG68" s="656">
        <v>0</v>
      </c>
      <c r="AH68" s="600"/>
      <c r="AI68" s="655"/>
      <c r="AJ68" s="600"/>
      <c r="AK68" s="656">
        <v>0</v>
      </c>
      <c r="AL68" s="600"/>
      <c r="AM68" s="655"/>
      <c r="AN68" s="600"/>
      <c r="AO68" s="601"/>
      <c r="AP68" s="600"/>
      <c r="AQ68" s="599"/>
      <c r="AR68" s="600"/>
      <c r="AS68" s="643"/>
      <c r="AT68" s="600">
        <v>27</v>
      </c>
      <c r="AU68" s="657">
        <v>0</v>
      </c>
      <c r="AV68" s="600"/>
      <c r="AW68" s="657">
        <v>28</v>
      </c>
      <c r="AX68" s="600">
        <v>13</v>
      </c>
      <c r="AY68" s="655"/>
      <c r="AZ68" s="600"/>
      <c r="BA68" s="657">
        <v>12</v>
      </c>
      <c r="BB68" s="602">
        <v>0</v>
      </c>
      <c r="BC68" s="599"/>
      <c r="BD68" s="600">
        <v>0</v>
      </c>
      <c r="BE68" s="599"/>
      <c r="BF68" s="600">
        <v>0</v>
      </c>
      <c r="BG68" s="599"/>
      <c r="BH68" s="600">
        <v>0</v>
      </c>
      <c r="BI68" s="657">
        <v>0</v>
      </c>
      <c r="BJ68" s="600">
        <v>0</v>
      </c>
      <c r="BK68" s="615"/>
      <c r="BL68" s="600">
        <v>1767908.8499999999</v>
      </c>
      <c r="BM68" s="662">
        <v>1764407</v>
      </c>
      <c r="BN68" s="605">
        <f t="shared" si="101"/>
        <v>0</v>
      </c>
      <c r="BO68" s="606">
        <f t="shared" si="102"/>
        <v>0</v>
      </c>
      <c r="BP68" s="607">
        <f t="shared" si="103"/>
        <v>0</v>
      </c>
      <c r="BQ68" s="606">
        <f t="shared" si="104"/>
        <v>0</v>
      </c>
      <c r="BR68" s="607">
        <f t="shared" si="105"/>
        <v>0</v>
      </c>
      <c r="BS68" s="606">
        <f t="shared" si="106"/>
        <v>0</v>
      </c>
      <c r="BT68" s="607">
        <f t="shared" si="107"/>
        <v>0</v>
      </c>
      <c r="BU68" s="606">
        <f t="shared" si="108"/>
        <v>0</v>
      </c>
      <c r="BV68" s="607">
        <f t="shared" si="109"/>
        <v>0</v>
      </c>
      <c r="BW68" s="608">
        <f t="shared" si="110"/>
        <v>0</v>
      </c>
      <c r="BX68" s="607">
        <f t="shared" si="111"/>
        <v>386</v>
      </c>
      <c r="BY68" s="608">
        <f t="shared" si="112"/>
        <v>424</v>
      </c>
      <c r="BZ68" s="607">
        <f t="shared" si="113"/>
        <v>0</v>
      </c>
      <c r="CA68" s="608">
        <f t="shared" si="114"/>
        <v>0</v>
      </c>
      <c r="CB68" s="607">
        <f t="shared" si="115"/>
        <v>0</v>
      </c>
      <c r="CC68" s="608">
        <f t="shared" si="116"/>
        <v>0</v>
      </c>
      <c r="CD68" s="607">
        <f t="shared" si="117"/>
        <v>0</v>
      </c>
      <c r="CE68" s="608">
        <f t="shared" si="118"/>
        <v>0</v>
      </c>
      <c r="CF68" s="607">
        <f t="shared" si="119"/>
        <v>0</v>
      </c>
      <c r="CG68" s="608">
        <f t="shared" si="120"/>
        <v>0</v>
      </c>
      <c r="CH68" s="607">
        <f t="shared" si="121"/>
        <v>0</v>
      </c>
      <c r="CI68" s="608">
        <f t="shared" si="122"/>
        <v>0</v>
      </c>
      <c r="CJ68" s="607">
        <f t="shared" si="123"/>
        <v>4580.0747409326423</v>
      </c>
      <c r="CK68" s="608">
        <f t="shared" si="124"/>
        <v>4161.3372641509432</v>
      </c>
      <c r="CL68" s="609">
        <f t="shared" si="125"/>
        <v>0</v>
      </c>
      <c r="CM68" s="608">
        <f t="shared" si="126"/>
        <v>0</v>
      </c>
      <c r="CN68" s="610">
        <f t="shared" si="127"/>
        <v>0</v>
      </c>
      <c r="CO68" s="606">
        <f t="shared" si="128"/>
        <v>0</v>
      </c>
      <c r="CP68" s="607">
        <f t="shared" si="129"/>
        <v>0</v>
      </c>
      <c r="CQ68" s="606">
        <f t="shared" si="130"/>
        <v>0</v>
      </c>
      <c r="CR68" s="607">
        <f t="shared" si="131"/>
        <v>0</v>
      </c>
      <c r="CS68" s="606">
        <f t="shared" si="132"/>
        <v>0</v>
      </c>
      <c r="CT68" s="607">
        <f t="shared" si="133"/>
        <v>0</v>
      </c>
      <c r="CU68" s="608">
        <f t="shared" si="134"/>
        <v>0</v>
      </c>
      <c r="CV68" s="610">
        <f t="shared" si="135"/>
        <v>41220.672668393781</v>
      </c>
      <c r="CW68" s="608">
        <f t="shared" si="136"/>
        <v>37452.035377358487</v>
      </c>
      <c r="CX68" s="610">
        <f t="shared" si="137"/>
        <v>41220.672668393781</v>
      </c>
      <c r="CY68" s="611">
        <f t="shared" si="138"/>
        <v>37452.035377358487</v>
      </c>
      <c r="CZ68" s="605">
        <f t="shared" si="139"/>
        <v>0</v>
      </c>
      <c r="DA68" s="612">
        <f t="shared" si="140"/>
        <v>0</v>
      </c>
      <c r="DB68" s="607">
        <f t="shared" si="141"/>
        <v>0</v>
      </c>
      <c r="DC68" s="606">
        <f t="shared" si="142"/>
        <v>0</v>
      </c>
      <c r="DD68" s="607">
        <f t="shared" si="143"/>
        <v>0</v>
      </c>
      <c r="DE68" s="606">
        <f t="shared" si="144"/>
        <v>0</v>
      </c>
      <c r="DF68" s="607">
        <f t="shared" si="145"/>
        <v>0</v>
      </c>
      <c r="DG68" s="606">
        <f t="shared" si="146"/>
        <v>0</v>
      </c>
      <c r="DH68" s="607">
        <f t="shared" si="147"/>
        <v>0</v>
      </c>
      <c r="DI68" s="608">
        <f t="shared" si="148"/>
        <v>0</v>
      </c>
      <c r="DJ68" s="607">
        <f t="shared" si="149"/>
        <v>40</v>
      </c>
      <c r="DK68" s="608">
        <f t="shared" si="150"/>
        <v>40</v>
      </c>
      <c r="DL68" s="607">
        <f t="shared" si="151"/>
        <v>40</v>
      </c>
      <c r="DM68" s="608">
        <f t="shared" si="152"/>
        <v>40</v>
      </c>
      <c r="DN68" s="607">
        <f t="shared" si="153"/>
        <v>0</v>
      </c>
      <c r="DO68" s="612">
        <f t="shared" si="154"/>
        <v>0</v>
      </c>
      <c r="DP68" s="607">
        <f t="shared" si="155"/>
        <v>0</v>
      </c>
      <c r="DQ68" s="606">
        <f t="shared" si="156"/>
        <v>0</v>
      </c>
      <c r="DR68" s="607">
        <f t="shared" si="157"/>
        <v>0</v>
      </c>
      <c r="DS68" s="606">
        <f t="shared" si="158"/>
        <v>0</v>
      </c>
      <c r="DT68" s="607">
        <f t="shared" si="159"/>
        <v>0</v>
      </c>
      <c r="DU68" s="606">
        <f t="shared" si="160"/>
        <v>0</v>
      </c>
      <c r="DV68" s="607">
        <f t="shared" si="161"/>
        <v>0</v>
      </c>
      <c r="DW68" s="608">
        <f t="shared" si="162"/>
        <v>0</v>
      </c>
      <c r="DX68" s="607">
        <f t="shared" si="163"/>
        <v>1648826.9067357513</v>
      </c>
      <c r="DY68" s="608">
        <f t="shared" si="164"/>
        <v>1498081.4150943395</v>
      </c>
      <c r="DZ68" s="607">
        <f t="shared" si="165"/>
        <v>1648826.9067357513</v>
      </c>
      <c r="EA68" s="608">
        <f t="shared" si="166"/>
        <v>1498081.4150943395</v>
      </c>
    </row>
    <row r="69" spans="1:131" ht="13.5" thickBot="1" x14ac:dyDescent="0.25">
      <c r="A69" s="487" t="s">
        <v>32</v>
      </c>
      <c r="B69" s="383" t="s">
        <v>608</v>
      </c>
      <c r="C69" s="537"/>
      <c r="D69" s="387">
        <v>107460</v>
      </c>
      <c r="E69" s="387">
        <v>10</v>
      </c>
      <c r="F69" s="598"/>
      <c r="G69" s="599"/>
      <c r="H69" s="600"/>
      <c r="I69" s="601"/>
      <c r="J69" s="600"/>
      <c r="K69" s="599"/>
      <c r="L69" s="600"/>
      <c r="M69" s="601"/>
      <c r="N69" s="600"/>
      <c r="O69" s="599"/>
      <c r="P69" s="600"/>
      <c r="Q69" s="601"/>
      <c r="R69" s="600"/>
      <c r="S69" s="599"/>
      <c r="T69" s="600"/>
      <c r="U69" s="601"/>
      <c r="V69" s="600"/>
      <c r="W69" s="599"/>
      <c r="X69" s="600"/>
      <c r="Y69" s="601"/>
      <c r="Z69" s="600"/>
      <c r="AA69" s="599"/>
      <c r="AB69" s="600"/>
      <c r="AC69" s="601"/>
      <c r="AD69" s="600"/>
      <c r="AE69" s="655"/>
      <c r="AF69" s="600"/>
      <c r="AG69" s="643"/>
      <c r="AH69" s="600"/>
      <c r="AI69" s="655"/>
      <c r="AJ69" s="600"/>
      <c r="AK69" s="643"/>
      <c r="AL69" s="600"/>
      <c r="AM69" s="655"/>
      <c r="AN69" s="600"/>
      <c r="AO69" s="601"/>
      <c r="AP69" s="600"/>
      <c r="AQ69" s="599"/>
      <c r="AR69" s="600"/>
      <c r="AS69" s="643"/>
      <c r="AT69" s="600">
        <v>60</v>
      </c>
      <c r="AU69" s="655">
        <v>53</v>
      </c>
      <c r="AV69" s="600"/>
      <c r="AW69" s="643">
        <v>3</v>
      </c>
      <c r="AX69" s="600">
        <v>10</v>
      </c>
      <c r="AY69" s="655">
        <v>9</v>
      </c>
      <c r="AZ69" s="600"/>
      <c r="BA69" s="643"/>
      <c r="BB69" s="602">
        <v>0</v>
      </c>
      <c r="BC69" s="599"/>
      <c r="BD69" s="600">
        <v>0</v>
      </c>
      <c r="BE69" s="599"/>
      <c r="BF69" s="600">
        <v>0</v>
      </c>
      <c r="BG69" s="599"/>
      <c r="BH69" s="600">
        <v>0</v>
      </c>
      <c r="BI69" s="655"/>
      <c r="BJ69" s="600">
        <v>0</v>
      </c>
      <c r="BK69" s="615"/>
      <c r="BL69" s="600">
        <v>3260911.8</v>
      </c>
      <c r="BM69" s="663">
        <v>3190325</v>
      </c>
      <c r="BN69" s="605">
        <f t="shared" si="101"/>
        <v>0</v>
      </c>
      <c r="BO69" s="606">
        <f t="shared" si="102"/>
        <v>0</v>
      </c>
      <c r="BP69" s="607">
        <f t="shared" si="103"/>
        <v>0</v>
      </c>
      <c r="BQ69" s="606">
        <f t="shared" si="104"/>
        <v>0</v>
      </c>
      <c r="BR69" s="607">
        <f t="shared" si="105"/>
        <v>0</v>
      </c>
      <c r="BS69" s="606">
        <f t="shared" si="106"/>
        <v>0</v>
      </c>
      <c r="BT69" s="607">
        <f t="shared" si="107"/>
        <v>0</v>
      </c>
      <c r="BU69" s="606">
        <f t="shared" si="108"/>
        <v>0</v>
      </c>
      <c r="BV69" s="607">
        <f t="shared" si="109"/>
        <v>0</v>
      </c>
      <c r="BW69" s="608">
        <f t="shared" si="110"/>
        <v>0</v>
      </c>
      <c r="BX69" s="607">
        <f t="shared" si="111"/>
        <v>650</v>
      </c>
      <c r="BY69" s="608">
        <f t="shared" si="112"/>
        <v>606</v>
      </c>
      <c r="BZ69" s="607">
        <f t="shared" si="113"/>
        <v>0</v>
      </c>
      <c r="CA69" s="608">
        <f t="shared" si="114"/>
        <v>0</v>
      </c>
      <c r="CB69" s="607">
        <f t="shared" si="115"/>
        <v>0</v>
      </c>
      <c r="CC69" s="608">
        <f t="shared" si="116"/>
        <v>0</v>
      </c>
      <c r="CD69" s="607">
        <f t="shared" si="117"/>
        <v>0</v>
      </c>
      <c r="CE69" s="608">
        <f t="shared" si="118"/>
        <v>0</v>
      </c>
      <c r="CF69" s="607">
        <f t="shared" si="119"/>
        <v>0</v>
      </c>
      <c r="CG69" s="608">
        <f t="shared" si="120"/>
        <v>0</v>
      </c>
      <c r="CH69" s="607">
        <f t="shared" si="121"/>
        <v>0</v>
      </c>
      <c r="CI69" s="608">
        <f t="shared" si="122"/>
        <v>0</v>
      </c>
      <c r="CJ69" s="607">
        <f t="shared" si="123"/>
        <v>5016.7873846153843</v>
      </c>
      <c r="CK69" s="608">
        <f t="shared" si="124"/>
        <v>5264.5627062706271</v>
      </c>
      <c r="CL69" s="609">
        <f t="shared" si="125"/>
        <v>0</v>
      </c>
      <c r="CM69" s="608">
        <f t="shared" si="126"/>
        <v>0</v>
      </c>
      <c r="CN69" s="610">
        <f t="shared" si="127"/>
        <v>0</v>
      </c>
      <c r="CO69" s="606">
        <f t="shared" si="128"/>
        <v>0</v>
      </c>
      <c r="CP69" s="607">
        <f t="shared" si="129"/>
        <v>0</v>
      </c>
      <c r="CQ69" s="606">
        <f t="shared" si="130"/>
        <v>0</v>
      </c>
      <c r="CR69" s="607">
        <f t="shared" si="131"/>
        <v>0</v>
      </c>
      <c r="CS69" s="606">
        <f t="shared" si="132"/>
        <v>0</v>
      </c>
      <c r="CT69" s="607">
        <f t="shared" si="133"/>
        <v>0</v>
      </c>
      <c r="CU69" s="608">
        <f t="shared" si="134"/>
        <v>0</v>
      </c>
      <c r="CV69" s="610">
        <f t="shared" si="135"/>
        <v>45151.086461538456</v>
      </c>
      <c r="CW69" s="608">
        <f t="shared" si="136"/>
        <v>47381.064356435643</v>
      </c>
      <c r="CX69" s="610">
        <f t="shared" si="137"/>
        <v>45151.086461538456</v>
      </c>
      <c r="CY69" s="611">
        <f t="shared" si="138"/>
        <v>47381.064356435643</v>
      </c>
      <c r="CZ69" s="605">
        <f t="shared" si="139"/>
        <v>0</v>
      </c>
      <c r="DA69" s="612">
        <f t="shared" si="140"/>
        <v>0</v>
      </c>
      <c r="DB69" s="607">
        <f t="shared" si="141"/>
        <v>0</v>
      </c>
      <c r="DC69" s="606">
        <f t="shared" si="142"/>
        <v>0</v>
      </c>
      <c r="DD69" s="607">
        <f t="shared" si="143"/>
        <v>0</v>
      </c>
      <c r="DE69" s="606">
        <f t="shared" si="144"/>
        <v>0</v>
      </c>
      <c r="DF69" s="607">
        <f t="shared" si="145"/>
        <v>0</v>
      </c>
      <c r="DG69" s="606">
        <f t="shared" si="146"/>
        <v>0</v>
      </c>
      <c r="DH69" s="607">
        <f t="shared" si="147"/>
        <v>0</v>
      </c>
      <c r="DI69" s="608">
        <f t="shared" si="148"/>
        <v>0</v>
      </c>
      <c r="DJ69" s="607">
        <f t="shared" si="149"/>
        <v>70</v>
      </c>
      <c r="DK69" s="608">
        <f t="shared" si="150"/>
        <v>65</v>
      </c>
      <c r="DL69" s="607">
        <f t="shared" si="151"/>
        <v>70</v>
      </c>
      <c r="DM69" s="608">
        <f t="shared" si="152"/>
        <v>65</v>
      </c>
      <c r="DN69" s="607">
        <f t="shared" si="153"/>
        <v>0</v>
      </c>
      <c r="DO69" s="612">
        <f t="shared" si="154"/>
        <v>0</v>
      </c>
      <c r="DP69" s="607">
        <f t="shared" si="155"/>
        <v>0</v>
      </c>
      <c r="DQ69" s="606">
        <f t="shared" si="156"/>
        <v>0</v>
      </c>
      <c r="DR69" s="607">
        <f t="shared" si="157"/>
        <v>0</v>
      </c>
      <c r="DS69" s="606">
        <f t="shared" si="158"/>
        <v>0</v>
      </c>
      <c r="DT69" s="607">
        <f t="shared" si="159"/>
        <v>0</v>
      </c>
      <c r="DU69" s="606">
        <f t="shared" si="160"/>
        <v>0</v>
      </c>
      <c r="DV69" s="607">
        <f t="shared" si="161"/>
        <v>0</v>
      </c>
      <c r="DW69" s="608">
        <f t="shared" si="162"/>
        <v>0</v>
      </c>
      <c r="DX69" s="607">
        <f t="shared" si="163"/>
        <v>3160576.0523076919</v>
      </c>
      <c r="DY69" s="608">
        <f t="shared" si="164"/>
        <v>3079769.1831683167</v>
      </c>
      <c r="DZ69" s="607">
        <f t="shared" si="165"/>
        <v>3160576.0523076919</v>
      </c>
      <c r="EA69" s="608">
        <f t="shared" si="166"/>
        <v>3079769.1831683167</v>
      </c>
    </row>
    <row r="70" spans="1:131" ht="13.5" thickBot="1" x14ac:dyDescent="0.25">
      <c r="A70" s="487" t="s">
        <v>32</v>
      </c>
      <c r="B70" s="383" t="s">
        <v>609</v>
      </c>
      <c r="C70" s="537"/>
      <c r="D70" s="387">
        <v>107549</v>
      </c>
      <c r="E70" s="387">
        <v>10</v>
      </c>
      <c r="F70" s="598"/>
      <c r="G70" s="599"/>
      <c r="H70" s="600"/>
      <c r="I70" s="601"/>
      <c r="J70" s="600"/>
      <c r="K70" s="599"/>
      <c r="L70" s="600"/>
      <c r="M70" s="601"/>
      <c r="N70" s="600"/>
      <c r="O70" s="599"/>
      <c r="P70" s="600"/>
      <c r="Q70" s="601"/>
      <c r="R70" s="600"/>
      <c r="S70" s="599"/>
      <c r="T70" s="600"/>
      <c r="U70" s="601"/>
      <c r="V70" s="600"/>
      <c r="W70" s="599"/>
      <c r="X70" s="600"/>
      <c r="Y70" s="601"/>
      <c r="Z70" s="600"/>
      <c r="AA70" s="599"/>
      <c r="AB70" s="600"/>
      <c r="AC70" s="601"/>
      <c r="AD70" s="600"/>
      <c r="AE70" s="657">
        <v>0</v>
      </c>
      <c r="AF70" s="600"/>
      <c r="AG70" s="643"/>
      <c r="AH70" s="600"/>
      <c r="AI70" s="657">
        <v>0</v>
      </c>
      <c r="AJ70" s="600"/>
      <c r="AK70" s="643"/>
      <c r="AL70" s="600"/>
      <c r="AM70" s="659"/>
      <c r="AN70" s="600"/>
      <c r="AO70" s="601"/>
      <c r="AP70" s="600"/>
      <c r="AQ70" s="599"/>
      <c r="AR70" s="600"/>
      <c r="AS70" s="643"/>
      <c r="AT70" s="600">
        <v>31</v>
      </c>
      <c r="AU70" s="657">
        <v>35</v>
      </c>
      <c r="AV70" s="600"/>
      <c r="AW70" s="643"/>
      <c r="AX70" s="600">
        <v>6</v>
      </c>
      <c r="AY70" s="657">
        <v>6</v>
      </c>
      <c r="AZ70" s="600"/>
      <c r="BA70" s="643"/>
      <c r="BB70" s="602">
        <v>0</v>
      </c>
      <c r="BC70" s="599"/>
      <c r="BD70" s="600">
        <v>0</v>
      </c>
      <c r="BE70" s="599"/>
      <c r="BF70" s="600">
        <v>0</v>
      </c>
      <c r="BG70" s="599"/>
      <c r="BH70" s="600">
        <v>0</v>
      </c>
      <c r="BI70" s="656">
        <v>0</v>
      </c>
      <c r="BJ70" s="600">
        <v>0</v>
      </c>
      <c r="BK70" s="615"/>
      <c r="BL70" s="600">
        <v>1529331.97</v>
      </c>
      <c r="BM70" s="662">
        <v>1697914</v>
      </c>
      <c r="BN70" s="605">
        <f t="shared" si="101"/>
        <v>0</v>
      </c>
      <c r="BO70" s="606">
        <f t="shared" si="102"/>
        <v>0</v>
      </c>
      <c r="BP70" s="607">
        <f t="shared" si="103"/>
        <v>0</v>
      </c>
      <c r="BQ70" s="606">
        <f t="shared" si="104"/>
        <v>0</v>
      </c>
      <c r="BR70" s="607">
        <f t="shared" si="105"/>
        <v>0</v>
      </c>
      <c r="BS70" s="606">
        <f t="shared" si="106"/>
        <v>0</v>
      </c>
      <c r="BT70" s="607">
        <f t="shared" si="107"/>
        <v>0</v>
      </c>
      <c r="BU70" s="606">
        <f t="shared" si="108"/>
        <v>0</v>
      </c>
      <c r="BV70" s="607">
        <f t="shared" si="109"/>
        <v>0</v>
      </c>
      <c r="BW70" s="608">
        <f t="shared" si="110"/>
        <v>0</v>
      </c>
      <c r="BX70" s="607">
        <f t="shared" si="111"/>
        <v>345</v>
      </c>
      <c r="BY70" s="608">
        <f t="shared" si="112"/>
        <v>381</v>
      </c>
      <c r="BZ70" s="607">
        <f t="shared" si="113"/>
        <v>0</v>
      </c>
      <c r="CA70" s="608">
        <f t="shared" si="114"/>
        <v>0</v>
      </c>
      <c r="CB70" s="607">
        <f t="shared" si="115"/>
        <v>0</v>
      </c>
      <c r="CC70" s="608">
        <f t="shared" si="116"/>
        <v>0</v>
      </c>
      <c r="CD70" s="607">
        <f t="shared" si="117"/>
        <v>0</v>
      </c>
      <c r="CE70" s="608">
        <f t="shared" si="118"/>
        <v>0</v>
      </c>
      <c r="CF70" s="607">
        <f t="shared" si="119"/>
        <v>0</v>
      </c>
      <c r="CG70" s="608">
        <f t="shared" si="120"/>
        <v>0</v>
      </c>
      <c r="CH70" s="607">
        <f t="shared" si="121"/>
        <v>0</v>
      </c>
      <c r="CI70" s="608">
        <f t="shared" si="122"/>
        <v>0</v>
      </c>
      <c r="CJ70" s="607">
        <f t="shared" si="123"/>
        <v>4432.8462898550724</v>
      </c>
      <c r="CK70" s="608">
        <f t="shared" si="124"/>
        <v>4456.4671916010502</v>
      </c>
      <c r="CL70" s="609">
        <f t="shared" si="125"/>
        <v>0</v>
      </c>
      <c r="CM70" s="608">
        <f t="shared" si="126"/>
        <v>0</v>
      </c>
      <c r="CN70" s="610">
        <f t="shared" si="127"/>
        <v>0</v>
      </c>
      <c r="CO70" s="606">
        <f t="shared" si="128"/>
        <v>0</v>
      </c>
      <c r="CP70" s="607">
        <f t="shared" si="129"/>
        <v>0</v>
      </c>
      <c r="CQ70" s="606">
        <f t="shared" si="130"/>
        <v>0</v>
      </c>
      <c r="CR70" s="607">
        <f t="shared" si="131"/>
        <v>0</v>
      </c>
      <c r="CS70" s="606">
        <f t="shared" si="132"/>
        <v>0</v>
      </c>
      <c r="CT70" s="607">
        <f t="shared" si="133"/>
        <v>0</v>
      </c>
      <c r="CU70" s="608">
        <f t="shared" si="134"/>
        <v>0</v>
      </c>
      <c r="CV70" s="610">
        <f t="shared" si="135"/>
        <v>39895.616608695651</v>
      </c>
      <c r="CW70" s="608">
        <f t="shared" si="136"/>
        <v>40108.20472440945</v>
      </c>
      <c r="CX70" s="610">
        <f t="shared" si="137"/>
        <v>39895.616608695651</v>
      </c>
      <c r="CY70" s="611">
        <f t="shared" si="138"/>
        <v>40108.20472440945</v>
      </c>
      <c r="CZ70" s="605">
        <f t="shared" si="139"/>
        <v>0</v>
      </c>
      <c r="DA70" s="612">
        <f t="shared" si="140"/>
        <v>0</v>
      </c>
      <c r="DB70" s="607">
        <f t="shared" si="141"/>
        <v>0</v>
      </c>
      <c r="DC70" s="606">
        <f t="shared" si="142"/>
        <v>0</v>
      </c>
      <c r="DD70" s="607">
        <f t="shared" si="143"/>
        <v>0</v>
      </c>
      <c r="DE70" s="606">
        <f t="shared" si="144"/>
        <v>0</v>
      </c>
      <c r="DF70" s="607">
        <f t="shared" si="145"/>
        <v>0</v>
      </c>
      <c r="DG70" s="606">
        <f t="shared" si="146"/>
        <v>0</v>
      </c>
      <c r="DH70" s="607">
        <f t="shared" si="147"/>
        <v>0</v>
      </c>
      <c r="DI70" s="608">
        <f t="shared" si="148"/>
        <v>0</v>
      </c>
      <c r="DJ70" s="607">
        <f t="shared" si="149"/>
        <v>37</v>
      </c>
      <c r="DK70" s="608">
        <f t="shared" si="150"/>
        <v>41</v>
      </c>
      <c r="DL70" s="607">
        <f t="shared" si="151"/>
        <v>37</v>
      </c>
      <c r="DM70" s="608">
        <f t="shared" si="152"/>
        <v>41</v>
      </c>
      <c r="DN70" s="607">
        <f t="shared" si="153"/>
        <v>0</v>
      </c>
      <c r="DO70" s="612">
        <f t="shared" si="154"/>
        <v>0</v>
      </c>
      <c r="DP70" s="607">
        <f t="shared" si="155"/>
        <v>0</v>
      </c>
      <c r="DQ70" s="606">
        <f t="shared" si="156"/>
        <v>0</v>
      </c>
      <c r="DR70" s="607">
        <f t="shared" si="157"/>
        <v>0</v>
      </c>
      <c r="DS70" s="606">
        <f t="shared" si="158"/>
        <v>0</v>
      </c>
      <c r="DT70" s="607">
        <f t="shared" si="159"/>
        <v>0</v>
      </c>
      <c r="DU70" s="606">
        <f t="shared" si="160"/>
        <v>0</v>
      </c>
      <c r="DV70" s="607">
        <f t="shared" si="161"/>
        <v>0</v>
      </c>
      <c r="DW70" s="608">
        <f t="shared" si="162"/>
        <v>0</v>
      </c>
      <c r="DX70" s="607">
        <f t="shared" si="163"/>
        <v>1476137.814521739</v>
      </c>
      <c r="DY70" s="608">
        <f t="shared" si="164"/>
        <v>1644436.3937007876</v>
      </c>
      <c r="DZ70" s="607">
        <f t="shared" si="165"/>
        <v>1476137.814521739</v>
      </c>
      <c r="EA70" s="608">
        <f t="shared" si="166"/>
        <v>1644436.3937007876</v>
      </c>
    </row>
    <row r="71" spans="1:131" ht="13.5" thickBot="1" x14ac:dyDescent="0.25">
      <c r="A71" s="487" t="s">
        <v>32</v>
      </c>
      <c r="B71" s="383" t="s">
        <v>610</v>
      </c>
      <c r="C71" s="537"/>
      <c r="D71" s="387">
        <v>107619</v>
      </c>
      <c r="E71" s="387">
        <v>10</v>
      </c>
      <c r="F71" s="598"/>
      <c r="G71" s="599"/>
      <c r="H71" s="600"/>
      <c r="I71" s="601"/>
      <c r="J71" s="600"/>
      <c r="K71" s="599"/>
      <c r="L71" s="600"/>
      <c r="M71" s="601"/>
      <c r="N71" s="600"/>
      <c r="O71" s="599"/>
      <c r="P71" s="600"/>
      <c r="Q71" s="601"/>
      <c r="R71" s="600"/>
      <c r="S71" s="599"/>
      <c r="T71" s="600"/>
      <c r="U71" s="601"/>
      <c r="V71" s="600"/>
      <c r="W71" s="599"/>
      <c r="X71" s="600"/>
      <c r="Y71" s="601"/>
      <c r="Z71" s="600"/>
      <c r="AA71" s="599"/>
      <c r="AB71" s="600"/>
      <c r="AC71" s="601"/>
      <c r="AD71" s="600"/>
      <c r="AE71" s="658">
        <v>0</v>
      </c>
      <c r="AF71" s="600"/>
      <c r="AG71" s="643"/>
      <c r="AH71" s="600"/>
      <c r="AI71" s="658">
        <v>0</v>
      </c>
      <c r="AJ71" s="600"/>
      <c r="AK71" s="658">
        <v>0</v>
      </c>
      <c r="AL71" s="600"/>
      <c r="AM71" s="655"/>
      <c r="AN71" s="600"/>
      <c r="AO71" s="601"/>
      <c r="AP71" s="600"/>
      <c r="AQ71" s="599"/>
      <c r="AR71" s="600"/>
      <c r="AS71" s="643"/>
      <c r="AT71" s="600">
        <v>66</v>
      </c>
      <c r="AU71" s="658">
        <v>61</v>
      </c>
      <c r="AV71" s="600"/>
      <c r="AW71" s="643"/>
      <c r="AX71" s="600">
        <v>13</v>
      </c>
      <c r="AY71" s="658">
        <v>6</v>
      </c>
      <c r="AZ71" s="600"/>
      <c r="BA71" s="658">
        <v>6</v>
      </c>
      <c r="BB71" s="602">
        <v>0</v>
      </c>
      <c r="BC71" s="599"/>
      <c r="BD71" s="600">
        <v>0</v>
      </c>
      <c r="BE71" s="599"/>
      <c r="BF71" s="600">
        <v>0</v>
      </c>
      <c r="BG71" s="599"/>
      <c r="BH71" s="600">
        <v>0</v>
      </c>
      <c r="BI71" s="656">
        <v>0</v>
      </c>
      <c r="BJ71" s="600">
        <v>0</v>
      </c>
      <c r="BK71" s="615"/>
      <c r="BL71" s="600">
        <v>3163694.33</v>
      </c>
      <c r="BM71" s="664">
        <v>3108138</v>
      </c>
      <c r="BN71" s="605">
        <f t="shared" si="101"/>
        <v>0</v>
      </c>
      <c r="BO71" s="606">
        <f t="shared" si="102"/>
        <v>0</v>
      </c>
      <c r="BP71" s="607">
        <f t="shared" si="103"/>
        <v>0</v>
      </c>
      <c r="BQ71" s="606">
        <f t="shared" si="104"/>
        <v>0</v>
      </c>
      <c r="BR71" s="607">
        <f t="shared" si="105"/>
        <v>0</v>
      </c>
      <c r="BS71" s="606">
        <f t="shared" si="106"/>
        <v>0</v>
      </c>
      <c r="BT71" s="607">
        <f t="shared" si="107"/>
        <v>0</v>
      </c>
      <c r="BU71" s="606">
        <f t="shared" si="108"/>
        <v>0</v>
      </c>
      <c r="BV71" s="607">
        <f t="shared" si="109"/>
        <v>0</v>
      </c>
      <c r="BW71" s="608">
        <f t="shared" si="110"/>
        <v>0</v>
      </c>
      <c r="BX71" s="607">
        <f t="shared" si="111"/>
        <v>737</v>
      </c>
      <c r="BY71" s="608">
        <f t="shared" si="112"/>
        <v>687</v>
      </c>
      <c r="BZ71" s="607">
        <f t="shared" si="113"/>
        <v>0</v>
      </c>
      <c r="CA71" s="608">
        <f t="shared" si="114"/>
        <v>0</v>
      </c>
      <c r="CB71" s="607">
        <f t="shared" si="115"/>
        <v>0</v>
      </c>
      <c r="CC71" s="608">
        <f t="shared" si="116"/>
        <v>0</v>
      </c>
      <c r="CD71" s="607">
        <f t="shared" si="117"/>
        <v>0</v>
      </c>
      <c r="CE71" s="608">
        <f t="shared" si="118"/>
        <v>0</v>
      </c>
      <c r="CF71" s="607">
        <f t="shared" si="119"/>
        <v>0</v>
      </c>
      <c r="CG71" s="608">
        <f t="shared" si="120"/>
        <v>0</v>
      </c>
      <c r="CH71" s="607">
        <f t="shared" si="121"/>
        <v>0</v>
      </c>
      <c r="CI71" s="608">
        <f t="shared" si="122"/>
        <v>0</v>
      </c>
      <c r="CJ71" s="607">
        <f t="shared" si="123"/>
        <v>4292.6653052917236</v>
      </c>
      <c r="CK71" s="608">
        <f t="shared" si="124"/>
        <v>4524.2183406113536</v>
      </c>
      <c r="CL71" s="609">
        <f t="shared" si="125"/>
        <v>0</v>
      </c>
      <c r="CM71" s="608">
        <f t="shared" si="126"/>
        <v>0</v>
      </c>
      <c r="CN71" s="610">
        <f t="shared" si="127"/>
        <v>0</v>
      </c>
      <c r="CO71" s="606">
        <f t="shared" si="128"/>
        <v>0</v>
      </c>
      <c r="CP71" s="607">
        <f t="shared" si="129"/>
        <v>0</v>
      </c>
      <c r="CQ71" s="606">
        <f t="shared" si="130"/>
        <v>0</v>
      </c>
      <c r="CR71" s="607">
        <f t="shared" si="131"/>
        <v>0</v>
      </c>
      <c r="CS71" s="606">
        <f t="shared" si="132"/>
        <v>0</v>
      </c>
      <c r="CT71" s="607">
        <f t="shared" si="133"/>
        <v>0</v>
      </c>
      <c r="CU71" s="608">
        <f t="shared" si="134"/>
        <v>0</v>
      </c>
      <c r="CV71" s="610">
        <f t="shared" si="135"/>
        <v>38633.987747625513</v>
      </c>
      <c r="CW71" s="608">
        <f t="shared" si="136"/>
        <v>40717.965065502183</v>
      </c>
      <c r="CX71" s="610">
        <f t="shared" si="137"/>
        <v>38633.987747625513</v>
      </c>
      <c r="CY71" s="611">
        <f t="shared" si="138"/>
        <v>40717.965065502183</v>
      </c>
      <c r="CZ71" s="605">
        <f t="shared" si="139"/>
        <v>0</v>
      </c>
      <c r="DA71" s="612">
        <f t="shared" si="140"/>
        <v>0</v>
      </c>
      <c r="DB71" s="607">
        <f t="shared" si="141"/>
        <v>0</v>
      </c>
      <c r="DC71" s="606">
        <f t="shared" si="142"/>
        <v>0</v>
      </c>
      <c r="DD71" s="607">
        <f t="shared" si="143"/>
        <v>0</v>
      </c>
      <c r="DE71" s="606">
        <f t="shared" si="144"/>
        <v>0</v>
      </c>
      <c r="DF71" s="607">
        <f t="shared" si="145"/>
        <v>0</v>
      </c>
      <c r="DG71" s="606">
        <f t="shared" si="146"/>
        <v>0</v>
      </c>
      <c r="DH71" s="607">
        <f t="shared" si="147"/>
        <v>0</v>
      </c>
      <c r="DI71" s="608">
        <f t="shared" si="148"/>
        <v>0</v>
      </c>
      <c r="DJ71" s="607">
        <f t="shared" si="149"/>
        <v>79</v>
      </c>
      <c r="DK71" s="608">
        <f t="shared" si="150"/>
        <v>73</v>
      </c>
      <c r="DL71" s="607">
        <f t="shared" si="151"/>
        <v>79</v>
      </c>
      <c r="DM71" s="608">
        <f t="shared" si="152"/>
        <v>73</v>
      </c>
      <c r="DN71" s="607">
        <f t="shared" si="153"/>
        <v>0</v>
      </c>
      <c r="DO71" s="612">
        <f t="shared" si="154"/>
        <v>0</v>
      </c>
      <c r="DP71" s="607">
        <f t="shared" si="155"/>
        <v>0</v>
      </c>
      <c r="DQ71" s="606">
        <f t="shared" si="156"/>
        <v>0</v>
      </c>
      <c r="DR71" s="607">
        <f t="shared" si="157"/>
        <v>0</v>
      </c>
      <c r="DS71" s="606">
        <f t="shared" si="158"/>
        <v>0</v>
      </c>
      <c r="DT71" s="607">
        <f t="shared" si="159"/>
        <v>0</v>
      </c>
      <c r="DU71" s="606">
        <f t="shared" si="160"/>
        <v>0</v>
      </c>
      <c r="DV71" s="607">
        <f t="shared" si="161"/>
        <v>0</v>
      </c>
      <c r="DW71" s="608">
        <f t="shared" si="162"/>
        <v>0</v>
      </c>
      <c r="DX71" s="607">
        <f t="shared" si="163"/>
        <v>3052085.0320624155</v>
      </c>
      <c r="DY71" s="608">
        <f t="shared" si="164"/>
        <v>2972411.4497816595</v>
      </c>
      <c r="DZ71" s="607">
        <f t="shared" si="165"/>
        <v>3052085.0320624155</v>
      </c>
      <c r="EA71" s="608">
        <f t="shared" si="166"/>
        <v>2972411.4497816595</v>
      </c>
    </row>
    <row r="72" spans="1:131" ht="13.5" thickBot="1" x14ac:dyDescent="0.25">
      <c r="A72" s="487" t="s">
        <v>32</v>
      </c>
      <c r="B72" s="383" t="s">
        <v>611</v>
      </c>
      <c r="C72" s="537"/>
      <c r="D72" s="387">
        <v>107743</v>
      </c>
      <c r="E72" s="387">
        <v>10</v>
      </c>
      <c r="F72" s="598"/>
      <c r="G72" s="599"/>
      <c r="H72" s="600"/>
      <c r="I72" s="601"/>
      <c r="J72" s="600"/>
      <c r="K72" s="599"/>
      <c r="L72" s="600"/>
      <c r="M72" s="601"/>
      <c r="N72" s="600"/>
      <c r="O72" s="599"/>
      <c r="P72" s="600"/>
      <c r="Q72" s="601"/>
      <c r="R72" s="600"/>
      <c r="S72" s="599"/>
      <c r="T72" s="600"/>
      <c r="U72" s="601"/>
      <c r="V72" s="600"/>
      <c r="W72" s="599"/>
      <c r="X72" s="600"/>
      <c r="Y72" s="601"/>
      <c r="Z72" s="600"/>
      <c r="AA72" s="599"/>
      <c r="AB72" s="600"/>
      <c r="AC72" s="601"/>
      <c r="AD72" s="600"/>
      <c r="AE72" s="656">
        <v>0</v>
      </c>
      <c r="AF72" s="600"/>
      <c r="AG72" s="656">
        <v>0</v>
      </c>
      <c r="AH72" s="600"/>
      <c r="AI72" s="656">
        <v>0</v>
      </c>
      <c r="AJ72" s="600"/>
      <c r="AK72" s="656">
        <v>0</v>
      </c>
      <c r="AL72" s="600"/>
      <c r="AM72" s="655"/>
      <c r="AN72" s="600"/>
      <c r="AO72" s="601"/>
      <c r="AP72" s="600"/>
      <c r="AQ72" s="599"/>
      <c r="AR72" s="600"/>
      <c r="AS72" s="643"/>
      <c r="AT72" s="600">
        <v>20</v>
      </c>
      <c r="AU72" s="657">
        <v>15</v>
      </c>
      <c r="AV72" s="600"/>
      <c r="AW72" s="657">
        <v>1</v>
      </c>
      <c r="AX72" s="600">
        <v>0</v>
      </c>
      <c r="AY72" s="657">
        <v>2</v>
      </c>
      <c r="AZ72" s="600"/>
      <c r="BA72" s="657">
        <v>1</v>
      </c>
      <c r="BB72" s="602">
        <v>0</v>
      </c>
      <c r="BC72" s="599"/>
      <c r="BD72" s="600">
        <v>0</v>
      </c>
      <c r="BE72" s="599"/>
      <c r="BF72" s="600">
        <v>0</v>
      </c>
      <c r="BG72" s="599"/>
      <c r="BH72" s="600">
        <v>0</v>
      </c>
      <c r="BI72" s="656">
        <v>0</v>
      </c>
      <c r="BJ72" s="600">
        <v>0</v>
      </c>
      <c r="BK72" s="615"/>
      <c r="BL72" s="600">
        <v>952228</v>
      </c>
      <c r="BM72" s="664">
        <v>926342</v>
      </c>
      <c r="BN72" s="605">
        <f t="shared" si="101"/>
        <v>0</v>
      </c>
      <c r="BO72" s="606">
        <f t="shared" si="102"/>
        <v>0</v>
      </c>
      <c r="BP72" s="607">
        <f t="shared" si="103"/>
        <v>0</v>
      </c>
      <c r="BQ72" s="606">
        <f t="shared" si="104"/>
        <v>0</v>
      </c>
      <c r="BR72" s="607">
        <f t="shared" si="105"/>
        <v>0</v>
      </c>
      <c r="BS72" s="606">
        <f t="shared" si="106"/>
        <v>0</v>
      </c>
      <c r="BT72" s="607">
        <f t="shared" si="107"/>
        <v>0</v>
      </c>
      <c r="BU72" s="606">
        <f t="shared" si="108"/>
        <v>0</v>
      </c>
      <c r="BV72" s="607">
        <f t="shared" si="109"/>
        <v>0</v>
      </c>
      <c r="BW72" s="608">
        <f t="shared" si="110"/>
        <v>0</v>
      </c>
      <c r="BX72" s="607">
        <f t="shared" si="111"/>
        <v>180</v>
      </c>
      <c r="BY72" s="608">
        <f t="shared" si="112"/>
        <v>179</v>
      </c>
      <c r="BZ72" s="607">
        <f t="shared" si="113"/>
        <v>0</v>
      </c>
      <c r="CA72" s="608">
        <f t="shared" si="114"/>
        <v>0</v>
      </c>
      <c r="CB72" s="607">
        <f t="shared" si="115"/>
        <v>0</v>
      </c>
      <c r="CC72" s="608">
        <f t="shared" si="116"/>
        <v>0</v>
      </c>
      <c r="CD72" s="607">
        <f t="shared" si="117"/>
        <v>0</v>
      </c>
      <c r="CE72" s="608">
        <f t="shared" si="118"/>
        <v>0</v>
      </c>
      <c r="CF72" s="607">
        <f t="shared" si="119"/>
        <v>0</v>
      </c>
      <c r="CG72" s="608">
        <f t="shared" si="120"/>
        <v>0</v>
      </c>
      <c r="CH72" s="607">
        <f t="shared" si="121"/>
        <v>0</v>
      </c>
      <c r="CI72" s="608">
        <f t="shared" si="122"/>
        <v>0</v>
      </c>
      <c r="CJ72" s="607">
        <f t="shared" si="123"/>
        <v>5290.1555555555551</v>
      </c>
      <c r="CK72" s="608">
        <f t="shared" si="124"/>
        <v>5175.0949720670387</v>
      </c>
      <c r="CL72" s="609">
        <f t="shared" si="125"/>
        <v>0</v>
      </c>
      <c r="CM72" s="608">
        <f t="shared" si="126"/>
        <v>0</v>
      </c>
      <c r="CN72" s="610">
        <f t="shared" si="127"/>
        <v>0</v>
      </c>
      <c r="CO72" s="606">
        <f t="shared" si="128"/>
        <v>0</v>
      </c>
      <c r="CP72" s="607">
        <f t="shared" si="129"/>
        <v>0</v>
      </c>
      <c r="CQ72" s="606">
        <f t="shared" si="130"/>
        <v>0</v>
      </c>
      <c r="CR72" s="607">
        <f t="shared" si="131"/>
        <v>0</v>
      </c>
      <c r="CS72" s="606">
        <f t="shared" si="132"/>
        <v>0</v>
      </c>
      <c r="CT72" s="607">
        <f t="shared" si="133"/>
        <v>0</v>
      </c>
      <c r="CU72" s="608">
        <f t="shared" si="134"/>
        <v>0</v>
      </c>
      <c r="CV72" s="610">
        <f t="shared" si="135"/>
        <v>47611.399999999994</v>
      </c>
      <c r="CW72" s="608">
        <f t="shared" si="136"/>
        <v>46575.854748603349</v>
      </c>
      <c r="CX72" s="610">
        <f t="shared" si="137"/>
        <v>47611.399999999994</v>
      </c>
      <c r="CY72" s="611">
        <f t="shared" si="138"/>
        <v>46575.854748603349</v>
      </c>
      <c r="CZ72" s="605">
        <f t="shared" si="139"/>
        <v>0</v>
      </c>
      <c r="DA72" s="612">
        <f t="shared" si="140"/>
        <v>0</v>
      </c>
      <c r="DB72" s="607">
        <f t="shared" si="141"/>
        <v>0</v>
      </c>
      <c r="DC72" s="606">
        <f t="shared" si="142"/>
        <v>0</v>
      </c>
      <c r="DD72" s="607">
        <f t="shared" si="143"/>
        <v>0</v>
      </c>
      <c r="DE72" s="606">
        <f t="shared" si="144"/>
        <v>0</v>
      </c>
      <c r="DF72" s="607">
        <f t="shared" si="145"/>
        <v>0</v>
      </c>
      <c r="DG72" s="606">
        <f t="shared" si="146"/>
        <v>0</v>
      </c>
      <c r="DH72" s="607">
        <f t="shared" si="147"/>
        <v>0</v>
      </c>
      <c r="DI72" s="608">
        <f t="shared" si="148"/>
        <v>0</v>
      </c>
      <c r="DJ72" s="607">
        <f t="shared" si="149"/>
        <v>20</v>
      </c>
      <c r="DK72" s="608">
        <f t="shared" si="150"/>
        <v>19</v>
      </c>
      <c r="DL72" s="607">
        <f t="shared" si="151"/>
        <v>20</v>
      </c>
      <c r="DM72" s="608">
        <f t="shared" si="152"/>
        <v>19</v>
      </c>
      <c r="DN72" s="607">
        <f t="shared" si="153"/>
        <v>0</v>
      </c>
      <c r="DO72" s="612">
        <f t="shared" si="154"/>
        <v>0</v>
      </c>
      <c r="DP72" s="607">
        <f t="shared" si="155"/>
        <v>0</v>
      </c>
      <c r="DQ72" s="606">
        <f t="shared" si="156"/>
        <v>0</v>
      </c>
      <c r="DR72" s="607">
        <f t="shared" si="157"/>
        <v>0</v>
      </c>
      <c r="DS72" s="606">
        <f t="shared" si="158"/>
        <v>0</v>
      </c>
      <c r="DT72" s="607">
        <f t="shared" si="159"/>
        <v>0</v>
      </c>
      <c r="DU72" s="606">
        <f t="shared" si="160"/>
        <v>0</v>
      </c>
      <c r="DV72" s="607">
        <f t="shared" si="161"/>
        <v>0</v>
      </c>
      <c r="DW72" s="608">
        <f t="shared" si="162"/>
        <v>0</v>
      </c>
      <c r="DX72" s="607">
        <f t="shared" si="163"/>
        <v>952227.99999999988</v>
      </c>
      <c r="DY72" s="608">
        <f t="shared" si="164"/>
        <v>884941.24022346362</v>
      </c>
      <c r="DZ72" s="607">
        <f t="shared" si="165"/>
        <v>952227.99999999988</v>
      </c>
      <c r="EA72" s="608">
        <f t="shared" si="166"/>
        <v>884941.24022346362</v>
      </c>
    </row>
    <row r="73" spans="1:131" ht="13.5" thickBot="1" x14ac:dyDescent="0.25">
      <c r="A73" s="487" t="s">
        <v>32</v>
      </c>
      <c r="B73" s="383" t="s">
        <v>612</v>
      </c>
      <c r="C73" s="537"/>
      <c r="D73" s="387">
        <v>107974</v>
      </c>
      <c r="E73" s="387">
        <v>10</v>
      </c>
      <c r="F73" s="598">
        <v>10</v>
      </c>
      <c r="G73" s="599">
        <v>10</v>
      </c>
      <c r="H73" s="600"/>
      <c r="I73" s="601"/>
      <c r="J73" s="600">
        <v>5</v>
      </c>
      <c r="K73" s="599"/>
      <c r="L73" s="600"/>
      <c r="M73" s="601">
        <v>5</v>
      </c>
      <c r="N73" s="600">
        <v>2</v>
      </c>
      <c r="O73" s="599">
        <v>1</v>
      </c>
      <c r="P73" s="600"/>
      <c r="Q73" s="601"/>
      <c r="R73" s="600">
        <v>2</v>
      </c>
      <c r="S73" s="599"/>
      <c r="T73" s="600"/>
      <c r="U73" s="601">
        <v>2</v>
      </c>
      <c r="V73" s="600">
        <v>1</v>
      </c>
      <c r="W73" s="599">
        <v>2</v>
      </c>
      <c r="X73" s="600"/>
      <c r="Y73" s="601"/>
      <c r="Z73" s="600">
        <v>7</v>
      </c>
      <c r="AA73" s="599"/>
      <c r="AB73" s="600"/>
      <c r="AC73" s="601">
        <v>8</v>
      </c>
      <c r="AD73" s="600">
        <v>20</v>
      </c>
      <c r="AE73" s="655">
        <v>24</v>
      </c>
      <c r="AF73" s="600"/>
      <c r="AG73" s="643"/>
      <c r="AH73" s="600">
        <v>14</v>
      </c>
      <c r="AI73" s="655"/>
      <c r="AJ73" s="600"/>
      <c r="AK73" s="643">
        <v>8</v>
      </c>
      <c r="AL73" s="600"/>
      <c r="AM73" s="655"/>
      <c r="AN73" s="600"/>
      <c r="AO73" s="601"/>
      <c r="AP73" s="600"/>
      <c r="AQ73" s="599"/>
      <c r="AR73" s="600"/>
      <c r="AS73" s="643"/>
      <c r="AT73" s="600"/>
      <c r="AU73" s="655"/>
      <c r="AV73" s="600"/>
      <c r="AW73" s="643"/>
      <c r="AX73" s="600"/>
      <c r="AY73" s="655"/>
      <c r="AZ73" s="600"/>
      <c r="BA73" s="643"/>
      <c r="BB73" s="602">
        <v>875255</v>
      </c>
      <c r="BC73" s="599">
        <v>847017</v>
      </c>
      <c r="BD73" s="600">
        <v>205487</v>
      </c>
      <c r="BE73" s="599">
        <v>162803</v>
      </c>
      <c r="BF73" s="600">
        <v>370010.97</v>
      </c>
      <c r="BG73" s="599">
        <v>431276</v>
      </c>
      <c r="BH73" s="600">
        <v>1414679.96</v>
      </c>
      <c r="BI73" s="655">
        <v>1332940</v>
      </c>
      <c r="BJ73" s="600">
        <v>0</v>
      </c>
      <c r="BK73" s="615"/>
      <c r="BL73" s="600">
        <v>0</v>
      </c>
      <c r="BM73" s="663"/>
      <c r="BN73" s="605">
        <f t="shared" ref="BN73:BN136" si="167">((F73*9)+(H73*10)+(J73*11)+(L73*12))</f>
        <v>145</v>
      </c>
      <c r="BO73" s="606">
        <f t="shared" ref="BO73:BO136" si="168">((G73*9)+(I73*10)+(K73*11)+(M73*12))</f>
        <v>150</v>
      </c>
      <c r="BP73" s="607">
        <f t="shared" ref="BP73:BP136" si="169">((N73*9)+(P73*10)+(R73*11)+(T73*12))</f>
        <v>40</v>
      </c>
      <c r="BQ73" s="606">
        <f t="shared" ref="BQ73:BQ136" si="170">((O73*9)+(Q73*10)+(S73*11)+(U73*12))</f>
        <v>33</v>
      </c>
      <c r="BR73" s="607">
        <f t="shared" ref="BR73:BR136" si="171">((V73*9)+(X73*10)+(Z73*11)+(AB73*12))</f>
        <v>86</v>
      </c>
      <c r="BS73" s="606">
        <f t="shared" ref="BS73:BS136" si="172">((W73*9)+(Y73*10)+(AA73*11)+(AC73*12))</f>
        <v>114</v>
      </c>
      <c r="BT73" s="607">
        <f t="shared" ref="BT73:BT136" si="173">((AD73*9)+(AF73*10)+(AH73*11)+(AJ73*12))</f>
        <v>334</v>
      </c>
      <c r="BU73" s="606">
        <f t="shared" ref="BU73:BU136" si="174">((AE73*9)+(AG73*10)+(AI73*11)+(AK73*12))</f>
        <v>312</v>
      </c>
      <c r="BV73" s="607">
        <f t="shared" ref="BV73:BV136" si="175">((AL73*9)+(AN73*10)+(AP73*11)+(AR73*12))</f>
        <v>0</v>
      </c>
      <c r="BW73" s="608">
        <f t="shared" ref="BW73:BW136" si="176">((AM73*9)+(AO73*10)+(AQ73*11)+(AS73*12))</f>
        <v>0</v>
      </c>
      <c r="BX73" s="607">
        <f t="shared" ref="BX73:BX136" si="177">((AT73*9)+(AV73*10)+(AX73*11)+(AZ73*12))</f>
        <v>0</v>
      </c>
      <c r="BY73" s="608">
        <f t="shared" ref="BY73:BY136" si="178">((AU73*9)+(AW73*10)+(AY73*11)+(BA73*12))</f>
        <v>0</v>
      </c>
      <c r="BZ73" s="607">
        <f t="shared" ref="BZ73:BZ136" si="179">IF(BN73&gt;0,BB73/BN73,)</f>
        <v>6036.2413793103451</v>
      </c>
      <c r="CA73" s="608">
        <f t="shared" ref="CA73:CA136" si="180">IF(BO73&gt;0,BC73/BO73,)</f>
        <v>5646.78</v>
      </c>
      <c r="CB73" s="607">
        <f t="shared" ref="CB73:CB136" si="181">IF(BP73&gt;0,BD73/BP73,)</f>
        <v>5137.1750000000002</v>
      </c>
      <c r="CC73" s="608">
        <f t="shared" ref="CC73:CC136" si="182">IF(BQ73&gt;0,BE73/BQ73,)</f>
        <v>4933.424242424242</v>
      </c>
      <c r="CD73" s="607">
        <f t="shared" ref="CD73:CD136" si="183">IF(BR73&gt;0,BF73/BR73,)</f>
        <v>4302.4531395348831</v>
      </c>
      <c r="CE73" s="608">
        <f t="shared" ref="CE73:CE136" si="184">IF(BS73&gt;0,BG73/BS73,)</f>
        <v>3783.1228070175439</v>
      </c>
      <c r="CF73" s="607">
        <f t="shared" ref="CF73:CF136" si="185">IF(BT73&gt;0,BH73/BT73,)</f>
        <v>4235.5687425149699</v>
      </c>
      <c r="CG73" s="608">
        <f t="shared" ref="CG73:CG136" si="186">IF(BU73&gt;0,BI73/BU73,)</f>
        <v>4272.2435897435898</v>
      </c>
      <c r="CH73" s="607">
        <f t="shared" ref="CH73:CH136" si="187">IF(BV73&gt;0,BJ73/BV73,)</f>
        <v>0</v>
      </c>
      <c r="CI73" s="608">
        <f t="shared" ref="CI73:CI136" si="188">IF(BW73&gt;0,BK73/BW73,)</f>
        <v>0</v>
      </c>
      <c r="CJ73" s="607">
        <f t="shared" ref="CJ73:CJ136" si="189">IF(BX73&gt;0,BL73/BX73,)</f>
        <v>0</v>
      </c>
      <c r="CK73" s="608">
        <f t="shared" ref="CK73:CK136" si="190">IF(BY73&gt;0,BM73/BY73,)</f>
        <v>0</v>
      </c>
      <c r="CL73" s="609">
        <f t="shared" ref="CL73:CL136" si="191">+BZ73*9</f>
        <v>54326.172413793109</v>
      </c>
      <c r="CM73" s="608">
        <f t="shared" ref="CM73:CM136" si="192">+CA73*9</f>
        <v>50821.02</v>
      </c>
      <c r="CN73" s="610">
        <f t="shared" ref="CN73:CN136" si="193">+CB73*9</f>
        <v>46234.575000000004</v>
      </c>
      <c r="CO73" s="606">
        <f t="shared" ref="CO73:CO136" si="194">+CC73*9</f>
        <v>44400.818181818177</v>
      </c>
      <c r="CP73" s="607">
        <f t="shared" ref="CP73:CP136" si="195">+CD73*9</f>
        <v>38722.078255813947</v>
      </c>
      <c r="CQ73" s="606">
        <f t="shared" ref="CQ73:CQ136" si="196">+CE73*9</f>
        <v>34048.105263157893</v>
      </c>
      <c r="CR73" s="607">
        <f t="shared" ref="CR73:CR136" si="197">+CF73*9</f>
        <v>38120.118682634726</v>
      </c>
      <c r="CS73" s="606">
        <f t="shared" ref="CS73:CS136" si="198">+CG73*9</f>
        <v>38450.192307692312</v>
      </c>
      <c r="CT73" s="607">
        <f t="shared" ref="CT73:CT136" si="199">+CH73*9</f>
        <v>0</v>
      </c>
      <c r="CU73" s="608">
        <f t="shared" ref="CU73:CU136" si="200">+CI73*9</f>
        <v>0</v>
      </c>
      <c r="CV73" s="610">
        <f t="shared" ref="CV73:CV136" si="201">+CJ73*9</f>
        <v>0</v>
      </c>
      <c r="CW73" s="608">
        <f t="shared" ref="CW73:CW136" si="202">+CK73*9</f>
        <v>0</v>
      </c>
      <c r="CX73" s="610">
        <f t="shared" ref="CX73:CX136" si="203">IF(DL73&gt;0,((CL73*CZ73)+(CN73*DB73)+(CP73*DD73)+(CR73*DF73)+(CT73*DH73)+(CV73*DJ73))/DL73,)</f>
        <v>42716.254876442443</v>
      </c>
      <c r="CY73" s="611">
        <f t="shared" ref="CY73:CY136" si="204">IF(DM73&gt;0,((CM73*DA73)+(CO73*DC73)+(CQ73*DE73)+(CS73*DG73)+(CU73*DI73)+(CW73*DK73))/DM73,)</f>
        <v>41106.749350386453</v>
      </c>
      <c r="CZ73" s="605">
        <f t="shared" ref="CZ73:CZ136" si="205">+F73+H73+J73+L73</f>
        <v>15</v>
      </c>
      <c r="DA73" s="612">
        <f t="shared" ref="DA73:DA136" si="206">+G73+I73+K73+M73</f>
        <v>15</v>
      </c>
      <c r="DB73" s="607">
        <f t="shared" ref="DB73:DB136" si="207">+N73+P73+R73+T73</f>
        <v>4</v>
      </c>
      <c r="DC73" s="606">
        <f t="shared" ref="DC73:DC136" si="208">+O73+Q73+S73+U73</f>
        <v>3</v>
      </c>
      <c r="DD73" s="607">
        <f t="shared" ref="DD73:DD136" si="209">+V73+X73+Z73+AB73</f>
        <v>8</v>
      </c>
      <c r="DE73" s="606">
        <f t="shared" ref="DE73:DE136" si="210">+W73+Y73+AA73+AC73</f>
        <v>10</v>
      </c>
      <c r="DF73" s="607">
        <f t="shared" ref="DF73:DF136" si="211">+AD73+AF73+AH73+AJ73</f>
        <v>34</v>
      </c>
      <c r="DG73" s="606">
        <f t="shared" ref="DG73:DG136" si="212">+AE73+AG73+AI73+AK73</f>
        <v>32</v>
      </c>
      <c r="DH73" s="607">
        <f t="shared" ref="DH73:DH136" si="213">+AL73+AN73+AP73+AR73</f>
        <v>0</v>
      </c>
      <c r="DI73" s="608">
        <f t="shared" ref="DI73:DI136" si="214">+AM73+AO73+AQ73+AS73</f>
        <v>0</v>
      </c>
      <c r="DJ73" s="607">
        <f t="shared" ref="DJ73:DJ136" si="215">+AT73+AV73+AX73+AZ73</f>
        <v>0</v>
      </c>
      <c r="DK73" s="608">
        <f t="shared" ref="DK73:DK136" si="216">+AU73+AW73+AY73+BA73</f>
        <v>0</v>
      </c>
      <c r="DL73" s="607">
        <f t="shared" ref="DL73:DL136" si="217">+CZ73+DB73+DD73+DF73+DH73+DJ73</f>
        <v>61</v>
      </c>
      <c r="DM73" s="608">
        <f t="shared" ref="DM73:DM136" si="218">+DA73+DC73+DE73+DG73+DI73+DK73</f>
        <v>60</v>
      </c>
      <c r="DN73" s="607">
        <f t="shared" ref="DN73:DN136" si="219">+CZ73*CL73</f>
        <v>814892.58620689658</v>
      </c>
      <c r="DO73" s="612">
        <f t="shared" ref="DO73:DO136" si="220">+DA73*CM73</f>
        <v>762315.29999999993</v>
      </c>
      <c r="DP73" s="607">
        <f t="shared" ref="DP73:DP136" si="221">+DB73*CN73</f>
        <v>184938.30000000002</v>
      </c>
      <c r="DQ73" s="606">
        <f t="shared" ref="DQ73:DQ136" si="222">+DC73*CO73</f>
        <v>133202.45454545453</v>
      </c>
      <c r="DR73" s="607">
        <f t="shared" ref="DR73:DR136" si="223">+DD73*CP73</f>
        <v>309776.62604651158</v>
      </c>
      <c r="DS73" s="606">
        <f t="shared" ref="DS73:DS136" si="224">+DE73*CQ73</f>
        <v>340481.05263157893</v>
      </c>
      <c r="DT73" s="607">
        <f t="shared" ref="DT73:DT136" si="225">+DF73*CR73</f>
        <v>1296084.0352095808</v>
      </c>
      <c r="DU73" s="606">
        <f t="shared" ref="DU73:DU136" si="226">+DG73*CS73</f>
        <v>1230406.153846154</v>
      </c>
      <c r="DV73" s="607">
        <f t="shared" ref="DV73:DV136" si="227">+DH73*CT73</f>
        <v>0</v>
      </c>
      <c r="DW73" s="608">
        <f t="shared" ref="DW73:DW136" si="228">+DI73*CU73</f>
        <v>0</v>
      </c>
      <c r="DX73" s="607">
        <f t="shared" ref="DX73:DX136" si="229">+DJ73*CV73</f>
        <v>0</v>
      </c>
      <c r="DY73" s="608">
        <f t="shared" ref="DY73:DY136" si="230">+DK73*CW73</f>
        <v>0</v>
      </c>
      <c r="DZ73" s="607">
        <f t="shared" ref="DZ73:DZ136" si="231">+DL73*CX73</f>
        <v>2605691.5474629891</v>
      </c>
      <c r="EA73" s="608">
        <f t="shared" ref="EA73:EA136" si="232">+DM73*CY73</f>
        <v>2466404.9610231873</v>
      </c>
    </row>
    <row r="74" spans="1:131" ht="13.5" thickBot="1" x14ac:dyDescent="0.25">
      <c r="A74" s="487" t="s">
        <v>32</v>
      </c>
      <c r="B74" s="383" t="s">
        <v>613</v>
      </c>
      <c r="C74" s="537"/>
      <c r="D74" s="387">
        <v>107637</v>
      </c>
      <c r="E74" s="387">
        <v>10</v>
      </c>
      <c r="F74" s="598"/>
      <c r="G74" s="599"/>
      <c r="H74" s="600"/>
      <c r="I74" s="601"/>
      <c r="J74" s="600"/>
      <c r="K74" s="599"/>
      <c r="L74" s="600"/>
      <c r="M74" s="601"/>
      <c r="N74" s="600"/>
      <c r="O74" s="599"/>
      <c r="P74" s="600"/>
      <c r="Q74" s="601"/>
      <c r="R74" s="600"/>
      <c r="S74" s="599"/>
      <c r="T74" s="600"/>
      <c r="U74" s="601"/>
      <c r="V74" s="600"/>
      <c r="W74" s="599"/>
      <c r="X74" s="600"/>
      <c r="Y74" s="601"/>
      <c r="Z74" s="600"/>
      <c r="AA74" s="599"/>
      <c r="AB74" s="600"/>
      <c r="AC74" s="601"/>
      <c r="AD74" s="600"/>
      <c r="AE74" s="656">
        <v>0</v>
      </c>
      <c r="AF74" s="600"/>
      <c r="AG74" s="643"/>
      <c r="AH74" s="600"/>
      <c r="AI74" s="655"/>
      <c r="AJ74" s="600"/>
      <c r="AK74" s="656">
        <v>0</v>
      </c>
      <c r="AL74" s="600"/>
      <c r="AM74" s="655"/>
      <c r="AN74" s="600"/>
      <c r="AO74" s="601"/>
      <c r="AP74" s="600"/>
      <c r="AQ74" s="599"/>
      <c r="AR74" s="600"/>
      <c r="AS74" s="643"/>
      <c r="AT74" s="600">
        <v>41</v>
      </c>
      <c r="AU74" s="657">
        <v>41</v>
      </c>
      <c r="AV74" s="600"/>
      <c r="AW74" s="643"/>
      <c r="AX74" s="600">
        <v>8</v>
      </c>
      <c r="AY74" s="655"/>
      <c r="AZ74" s="600"/>
      <c r="BA74" s="657">
        <v>1</v>
      </c>
      <c r="BB74" s="602">
        <v>0</v>
      </c>
      <c r="BC74" s="599"/>
      <c r="BD74" s="600">
        <v>0</v>
      </c>
      <c r="BE74" s="599"/>
      <c r="BF74" s="600">
        <v>0</v>
      </c>
      <c r="BG74" s="599"/>
      <c r="BH74" s="600">
        <v>0</v>
      </c>
      <c r="BI74" s="656">
        <v>0</v>
      </c>
      <c r="BJ74" s="600">
        <v>0</v>
      </c>
      <c r="BK74" s="615"/>
      <c r="BL74" s="600">
        <v>2214929.1800000002</v>
      </c>
      <c r="BM74" s="664">
        <v>1735168</v>
      </c>
      <c r="BN74" s="605">
        <f t="shared" si="167"/>
        <v>0</v>
      </c>
      <c r="BO74" s="606">
        <f t="shared" si="168"/>
        <v>0</v>
      </c>
      <c r="BP74" s="607">
        <f t="shared" si="169"/>
        <v>0</v>
      </c>
      <c r="BQ74" s="606">
        <f t="shared" si="170"/>
        <v>0</v>
      </c>
      <c r="BR74" s="607">
        <f t="shared" si="171"/>
        <v>0</v>
      </c>
      <c r="BS74" s="606">
        <f t="shared" si="172"/>
        <v>0</v>
      </c>
      <c r="BT74" s="607">
        <f t="shared" si="173"/>
        <v>0</v>
      </c>
      <c r="BU74" s="606">
        <f t="shared" si="174"/>
        <v>0</v>
      </c>
      <c r="BV74" s="607">
        <f t="shared" si="175"/>
        <v>0</v>
      </c>
      <c r="BW74" s="608">
        <f t="shared" si="176"/>
        <v>0</v>
      </c>
      <c r="BX74" s="607">
        <f t="shared" si="177"/>
        <v>457</v>
      </c>
      <c r="BY74" s="608">
        <f t="shared" si="178"/>
        <v>381</v>
      </c>
      <c r="BZ74" s="607">
        <f t="shared" si="179"/>
        <v>0</v>
      </c>
      <c r="CA74" s="608">
        <f t="shared" si="180"/>
        <v>0</v>
      </c>
      <c r="CB74" s="607">
        <f t="shared" si="181"/>
        <v>0</v>
      </c>
      <c r="CC74" s="608">
        <f t="shared" si="182"/>
        <v>0</v>
      </c>
      <c r="CD74" s="607">
        <f t="shared" si="183"/>
        <v>0</v>
      </c>
      <c r="CE74" s="608">
        <f t="shared" si="184"/>
        <v>0</v>
      </c>
      <c r="CF74" s="607">
        <f t="shared" si="185"/>
        <v>0</v>
      </c>
      <c r="CG74" s="608">
        <f t="shared" si="186"/>
        <v>0</v>
      </c>
      <c r="CH74" s="607">
        <f t="shared" si="187"/>
        <v>0</v>
      </c>
      <c r="CI74" s="608">
        <f t="shared" si="188"/>
        <v>0</v>
      </c>
      <c r="CJ74" s="607">
        <f t="shared" si="189"/>
        <v>4846.6721663019698</v>
      </c>
      <c r="CK74" s="608">
        <f t="shared" si="190"/>
        <v>4554.2467191601054</v>
      </c>
      <c r="CL74" s="609">
        <f t="shared" si="191"/>
        <v>0</v>
      </c>
      <c r="CM74" s="608">
        <f t="shared" si="192"/>
        <v>0</v>
      </c>
      <c r="CN74" s="610">
        <f t="shared" si="193"/>
        <v>0</v>
      </c>
      <c r="CO74" s="606">
        <f t="shared" si="194"/>
        <v>0</v>
      </c>
      <c r="CP74" s="607">
        <f t="shared" si="195"/>
        <v>0</v>
      </c>
      <c r="CQ74" s="606">
        <f t="shared" si="196"/>
        <v>0</v>
      </c>
      <c r="CR74" s="607">
        <f t="shared" si="197"/>
        <v>0</v>
      </c>
      <c r="CS74" s="606">
        <f t="shared" si="198"/>
        <v>0</v>
      </c>
      <c r="CT74" s="607">
        <f t="shared" si="199"/>
        <v>0</v>
      </c>
      <c r="CU74" s="608">
        <f t="shared" si="200"/>
        <v>0</v>
      </c>
      <c r="CV74" s="610">
        <f t="shared" si="201"/>
        <v>43620.049496717729</v>
      </c>
      <c r="CW74" s="608">
        <f t="shared" si="202"/>
        <v>40988.220472440946</v>
      </c>
      <c r="CX74" s="610">
        <f t="shared" si="203"/>
        <v>43620.049496717729</v>
      </c>
      <c r="CY74" s="611">
        <f t="shared" si="204"/>
        <v>40988.220472440946</v>
      </c>
      <c r="CZ74" s="605">
        <f t="shared" si="205"/>
        <v>0</v>
      </c>
      <c r="DA74" s="612">
        <f t="shared" si="206"/>
        <v>0</v>
      </c>
      <c r="DB74" s="607">
        <f t="shared" si="207"/>
        <v>0</v>
      </c>
      <c r="DC74" s="606">
        <f t="shared" si="208"/>
        <v>0</v>
      </c>
      <c r="DD74" s="607">
        <f t="shared" si="209"/>
        <v>0</v>
      </c>
      <c r="DE74" s="606">
        <f t="shared" si="210"/>
        <v>0</v>
      </c>
      <c r="DF74" s="607">
        <f t="shared" si="211"/>
        <v>0</v>
      </c>
      <c r="DG74" s="606">
        <f t="shared" si="212"/>
        <v>0</v>
      </c>
      <c r="DH74" s="607">
        <f t="shared" si="213"/>
        <v>0</v>
      </c>
      <c r="DI74" s="608">
        <f t="shared" si="214"/>
        <v>0</v>
      </c>
      <c r="DJ74" s="607">
        <f t="shared" si="215"/>
        <v>49</v>
      </c>
      <c r="DK74" s="608">
        <f t="shared" si="216"/>
        <v>42</v>
      </c>
      <c r="DL74" s="607">
        <f t="shared" si="217"/>
        <v>49</v>
      </c>
      <c r="DM74" s="608">
        <f t="shared" si="218"/>
        <v>42</v>
      </c>
      <c r="DN74" s="607">
        <f t="shared" si="219"/>
        <v>0</v>
      </c>
      <c r="DO74" s="612">
        <f t="shared" si="220"/>
        <v>0</v>
      </c>
      <c r="DP74" s="607">
        <f t="shared" si="221"/>
        <v>0</v>
      </c>
      <c r="DQ74" s="606">
        <f t="shared" si="222"/>
        <v>0</v>
      </c>
      <c r="DR74" s="607">
        <f t="shared" si="223"/>
        <v>0</v>
      </c>
      <c r="DS74" s="606">
        <f t="shared" si="224"/>
        <v>0</v>
      </c>
      <c r="DT74" s="607">
        <f t="shared" si="225"/>
        <v>0</v>
      </c>
      <c r="DU74" s="606">
        <f t="shared" si="226"/>
        <v>0</v>
      </c>
      <c r="DV74" s="607">
        <f t="shared" si="227"/>
        <v>0</v>
      </c>
      <c r="DW74" s="608">
        <f t="shared" si="228"/>
        <v>0</v>
      </c>
      <c r="DX74" s="607">
        <f t="shared" si="229"/>
        <v>2137382.4253391689</v>
      </c>
      <c r="DY74" s="608">
        <f t="shared" si="230"/>
        <v>1721505.2598425196</v>
      </c>
      <c r="DZ74" s="607">
        <f t="shared" si="231"/>
        <v>2137382.4253391689</v>
      </c>
      <c r="EA74" s="608">
        <f t="shared" si="232"/>
        <v>1721505.2598425196</v>
      </c>
    </row>
    <row r="75" spans="1:131" x14ac:dyDescent="0.2">
      <c r="A75" s="487" t="s">
        <v>32</v>
      </c>
      <c r="B75" s="383" t="s">
        <v>614</v>
      </c>
      <c r="C75" s="537"/>
      <c r="D75" s="387">
        <v>107992</v>
      </c>
      <c r="E75" s="387">
        <v>10</v>
      </c>
      <c r="F75" s="598"/>
      <c r="G75" s="599"/>
      <c r="H75" s="600"/>
      <c r="I75" s="601"/>
      <c r="J75" s="600"/>
      <c r="K75" s="599"/>
      <c r="L75" s="600"/>
      <c r="M75" s="601"/>
      <c r="N75" s="600"/>
      <c r="O75" s="599"/>
      <c r="P75" s="600"/>
      <c r="Q75" s="601"/>
      <c r="R75" s="600"/>
      <c r="S75" s="599"/>
      <c r="T75" s="600"/>
      <c r="U75" s="601"/>
      <c r="V75" s="600"/>
      <c r="W75" s="599"/>
      <c r="X75" s="600"/>
      <c r="Y75" s="601"/>
      <c r="Z75" s="600"/>
      <c r="AA75" s="599"/>
      <c r="AB75" s="600"/>
      <c r="AC75" s="601"/>
      <c r="AD75" s="600"/>
      <c r="AE75" s="655"/>
      <c r="AF75" s="600"/>
      <c r="AG75" s="643"/>
      <c r="AH75" s="600"/>
      <c r="AI75" s="655"/>
      <c r="AJ75" s="600"/>
      <c r="AK75" s="643"/>
      <c r="AL75" s="600"/>
      <c r="AM75" s="655"/>
      <c r="AN75" s="600"/>
      <c r="AO75" s="601"/>
      <c r="AP75" s="600"/>
      <c r="AQ75" s="599"/>
      <c r="AR75" s="600"/>
      <c r="AS75" s="643"/>
      <c r="AT75" s="600">
        <v>25</v>
      </c>
      <c r="AU75" s="655">
        <v>25</v>
      </c>
      <c r="AV75" s="600"/>
      <c r="AW75" s="643">
        <v>1</v>
      </c>
      <c r="AX75" s="600">
        <v>9</v>
      </c>
      <c r="AY75" s="655">
        <v>3</v>
      </c>
      <c r="AZ75" s="600"/>
      <c r="BA75" s="643">
        <v>6</v>
      </c>
      <c r="BB75" s="602">
        <v>0</v>
      </c>
      <c r="BC75" s="599"/>
      <c r="BD75" s="600">
        <v>0</v>
      </c>
      <c r="BE75" s="599"/>
      <c r="BF75" s="600">
        <v>0</v>
      </c>
      <c r="BG75" s="599"/>
      <c r="BH75" s="600">
        <v>0</v>
      </c>
      <c r="BI75" s="655"/>
      <c r="BJ75" s="600">
        <v>0</v>
      </c>
      <c r="BK75" s="615"/>
      <c r="BL75" s="600">
        <v>1445636.04</v>
      </c>
      <c r="BM75" s="663">
        <v>1539309</v>
      </c>
      <c r="BN75" s="605">
        <f t="shared" si="167"/>
        <v>0</v>
      </c>
      <c r="BO75" s="606">
        <f t="shared" si="168"/>
        <v>0</v>
      </c>
      <c r="BP75" s="607">
        <f t="shared" si="169"/>
        <v>0</v>
      </c>
      <c r="BQ75" s="606">
        <f t="shared" si="170"/>
        <v>0</v>
      </c>
      <c r="BR75" s="607">
        <f t="shared" si="171"/>
        <v>0</v>
      </c>
      <c r="BS75" s="606">
        <f t="shared" si="172"/>
        <v>0</v>
      </c>
      <c r="BT75" s="607">
        <f t="shared" si="173"/>
        <v>0</v>
      </c>
      <c r="BU75" s="606">
        <f t="shared" si="174"/>
        <v>0</v>
      </c>
      <c r="BV75" s="607">
        <f t="shared" si="175"/>
        <v>0</v>
      </c>
      <c r="BW75" s="608">
        <f t="shared" si="176"/>
        <v>0</v>
      </c>
      <c r="BX75" s="607">
        <f t="shared" si="177"/>
        <v>324</v>
      </c>
      <c r="BY75" s="608">
        <f t="shared" si="178"/>
        <v>340</v>
      </c>
      <c r="BZ75" s="607">
        <f t="shared" si="179"/>
        <v>0</v>
      </c>
      <c r="CA75" s="608">
        <f t="shared" si="180"/>
        <v>0</v>
      </c>
      <c r="CB75" s="607">
        <f t="shared" si="181"/>
        <v>0</v>
      </c>
      <c r="CC75" s="608">
        <f t="shared" si="182"/>
        <v>0</v>
      </c>
      <c r="CD75" s="607">
        <f t="shared" si="183"/>
        <v>0</v>
      </c>
      <c r="CE75" s="608">
        <f t="shared" si="184"/>
        <v>0</v>
      </c>
      <c r="CF75" s="607">
        <f t="shared" si="185"/>
        <v>0</v>
      </c>
      <c r="CG75" s="608">
        <f t="shared" si="186"/>
        <v>0</v>
      </c>
      <c r="CH75" s="607">
        <f t="shared" si="187"/>
        <v>0</v>
      </c>
      <c r="CI75" s="608">
        <f t="shared" si="188"/>
        <v>0</v>
      </c>
      <c r="CJ75" s="607">
        <f t="shared" si="189"/>
        <v>4461.8396296296296</v>
      </c>
      <c r="CK75" s="608">
        <f t="shared" si="190"/>
        <v>4527.3794117647058</v>
      </c>
      <c r="CL75" s="609">
        <f t="shared" si="191"/>
        <v>0</v>
      </c>
      <c r="CM75" s="608">
        <f t="shared" si="192"/>
        <v>0</v>
      </c>
      <c r="CN75" s="610">
        <f t="shared" si="193"/>
        <v>0</v>
      </c>
      <c r="CO75" s="606">
        <f t="shared" si="194"/>
        <v>0</v>
      </c>
      <c r="CP75" s="607">
        <f t="shared" si="195"/>
        <v>0</v>
      </c>
      <c r="CQ75" s="606">
        <f t="shared" si="196"/>
        <v>0</v>
      </c>
      <c r="CR75" s="607">
        <f t="shared" si="197"/>
        <v>0</v>
      </c>
      <c r="CS75" s="606">
        <f t="shared" si="198"/>
        <v>0</v>
      </c>
      <c r="CT75" s="607">
        <f t="shared" si="199"/>
        <v>0</v>
      </c>
      <c r="CU75" s="608">
        <f t="shared" si="200"/>
        <v>0</v>
      </c>
      <c r="CV75" s="610">
        <f t="shared" si="201"/>
        <v>40156.556666666664</v>
      </c>
      <c r="CW75" s="608">
        <f t="shared" si="202"/>
        <v>40746.414705882351</v>
      </c>
      <c r="CX75" s="610">
        <f t="shared" si="203"/>
        <v>40156.556666666664</v>
      </c>
      <c r="CY75" s="611">
        <f t="shared" si="204"/>
        <v>40746.414705882351</v>
      </c>
      <c r="CZ75" s="605">
        <f t="shared" si="205"/>
        <v>0</v>
      </c>
      <c r="DA75" s="612">
        <f t="shared" si="206"/>
        <v>0</v>
      </c>
      <c r="DB75" s="607">
        <f t="shared" si="207"/>
        <v>0</v>
      </c>
      <c r="DC75" s="606">
        <f t="shared" si="208"/>
        <v>0</v>
      </c>
      <c r="DD75" s="607">
        <f t="shared" si="209"/>
        <v>0</v>
      </c>
      <c r="DE75" s="606">
        <f t="shared" si="210"/>
        <v>0</v>
      </c>
      <c r="DF75" s="607">
        <f t="shared" si="211"/>
        <v>0</v>
      </c>
      <c r="DG75" s="606">
        <f t="shared" si="212"/>
        <v>0</v>
      </c>
      <c r="DH75" s="607">
        <f t="shared" si="213"/>
        <v>0</v>
      </c>
      <c r="DI75" s="608">
        <f t="shared" si="214"/>
        <v>0</v>
      </c>
      <c r="DJ75" s="607">
        <f t="shared" si="215"/>
        <v>34</v>
      </c>
      <c r="DK75" s="608">
        <f t="shared" si="216"/>
        <v>35</v>
      </c>
      <c r="DL75" s="607">
        <f t="shared" si="217"/>
        <v>34</v>
      </c>
      <c r="DM75" s="608">
        <f t="shared" si="218"/>
        <v>35</v>
      </c>
      <c r="DN75" s="607">
        <f t="shared" si="219"/>
        <v>0</v>
      </c>
      <c r="DO75" s="612">
        <f t="shared" si="220"/>
        <v>0</v>
      </c>
      <c r="DP75" s="607">
        <f t="shared" si="221"/>
        <v>0</v>
      </c>
      <c r="DQ75" s="606">
        <f t="shared" si="222"/>
        <v>0</v>
      </c>
      <c r="DR75" s="607">
        <f t="shared" si="223"/>
        <v>0</v>
      </c>
      <c r="DS75" s="606">
        <f t="shared" si="224"/>
        <v>0</v>
      </c>
      <c r="DT75" s="607">
        <f t="shared" si="225"/>
        <v>0</v>
      </c>
      <c r="DU75" s="606">
        <f t="shared" si="226"/>
        <v>0</v>
      </c>
      <c r="DV75" s="607">
        <f t="shared" si="227"/>
        <v>0</v>
      </c>
      <c r="DW75" s="608">
        <f t="shared" si="228"/>
        <v>0</v>
      </c>
      <c r="DX75" s="607">
        <f t="shared" si="229"/>
        <v>1365322.9266666665</v>
      </c>
      <c r="DY75" s="608">
        <f t="shared" si="230"/>
        <v>1426124.5147058822</v>
      </c>
      <c r="DZ75" s="607">
        <f t="shared" si="231"/>
        <v>1365322.9266666665</v>
      </c>
      <c r="EA75" s="608">
        <f t="shared" si="232"/>
        <v>1426124.5147058822</v>
      </c>
    </row>
    <row r="76" spans="1:131" ht="13.5" thickBot="1" x14ac:dyDescent="0.25">
      <c r="A76" s="487" t="s">
        <v>32</v>
      </c>
      <c r="B76" s="383" t="s">
        <v>615</v>
      </c>
      <c r="C76" s="537"/>
      <c r="D76" s="387">
        <v>106999</v>
      </c>
      <c r="E76" s="387">
        <v>10</v>
      </c>
      <c r="F76" s="598"/>
      <c r="G76" s="599"/>
      <c r="H76" s="600"/>
      <c r="I76" s="601"/>
      <c r="J76" s="600"/>
      <c r="K76" s="599"/>
      <c r="L76" s="600"/>
      <c r="M76" s="601"/>
      <c r="N76" s="600"/>
      <c r="O76" s="599"/>
      <c r="P76" s="600"/>
      <c r="Q76" s="601"/>
      <c r="R76" s="600"/>
      <c r="S76" s="599"/>
      <c r="T76" s="600"/>
      <c r="U76" s="601"/>
      <c r="V76" s="600"/>
      <c r="W76" s="599"/>
      <c r="X76" s="600"/>
      <c r="Y76" s="601"/>
      <c r="Z76" s="600"/>
      <c r="AA76" s="599"/>
      <c r="AB76" s="600"/>
      <c r="AC76" s="601"/>
      <c r="AD76" s="600"/>
      <c r="AE76" s="655"/>
      <c r="AF76" s="600"/>
      <c r="AG76" s="643"/>
      <c r="AH76" s="600"/>
      <c r="AI76" s="655"/>
      <c r="AJ76" s="600"/>
      <c r="AK76" s="643"/>
      <c r="AL76" s="600"/>
      <c r="AM76" s="655"/>
      <c r="AN76" s="600"/>
      <c r="AO76" s="601"/>
      <c r="AP76" s="600"/>
      <c r="AQ76" s="599"/>
      <c r="AR76" s="600"/>
      <c r="AS76" s="643"/>
      <c r="AT76" s="600">
        <v>29</v>
      </c>
      <c r="AU76" s="655">
        <v>28</v>
      </c>
      <c r="AV76" s="600"/>
      <c r="AW76" s="643"/>
      <c r="AX76" s="600">
        <v>18</v>
      </c>
      <c r="AY76" s="655">
        <v>8</v>
      </c>
      <c r="AZ76" s="600"/>
      <c r="BA76" s="643">
        <v>6</v>
      </c>
      <c r="BB76" s="602">
        <v>0</v>
      </c>
      <c r="BC76" s="599"/>
      <c r="BD76" s="600">
        <v>0</v>
      </c>
      <c r="BE76" s="599"/>
      <c r="BF76" s="600">
        <v>0</v>
      </c>
      <c r="BG76" s="599"/>
      <c r="BH76" s="600">
        <v>0</v>
      </c>
      <c r="BI76" s="655"/>
      <c r="BJ76" s="600">
        <v>0</v>
      </c>
      <c r="BK76" s="615"/>
      <c r="BL76" s="600">
        <v>2017766.93</v>
      </c>
      <c r="BM76" s="663">
        <v>1687867</v>
      </c>
      <c r="BN76" s="605">
        <f t="shared" si="167"/>
        <v>0</v>
      </c>
      <c r="BO76" s="606">
        <f t="shared" si="168"/>
        <v>0</v>
      </c>
      <c r="BP76" s="607">
        <f t="shared" si="169"/>
        <v>0</v>
      </c>
      <c r="BQ76" s="606">
        <f t="shared" si="170"/>
        <v>0</v>
      </c>
      <c r="BR76" s="607">
        <f t="shared" si="171"/>
        <v>0</v>
      </c>
      <c r="BS76" s="606">
        <f t="shared" si="172"/>
        <v>0</v>
      </c>
      <c r="BT76" s="607">
        <f t="shared" si="173"/>
        <v>0</v>
      </c>
      <c r="BU76" s="606">
        <f t="shared" si="174"/>
        <v>0</v>
      </c>
      <c r="BV76" s="607">
        <f t="shared" si="175"/>
        <v>0</v>
      </c>
      <c r="BW76" s="608">
        <f t="shared" si="176"/>
        <v>0</v>
      </c>
      <c r="BX76" s="607">
        <f t="shared" si="177"/>
        <v>459</v>
      </c>
      <c r="BY76" s="608">
        <f t="shared" si="178"/>
        <v>412</v>
      </c>
      <c r="BZ76" s="607">
        <f t="shared" si="179"/>
        <v>0</v>
      </c>
      <c r="CA76" s="608">
        <f t="shared" si="180"/>
        <v>0</v>
      </c>
      <c r="CB76" s="607">
        <f t="shared" si="181"/>
        <v>0</v>
      </c>
      <c r="CC76" s="608">
        <f t="shared" si="182"/>
        <v>0</v>
      </c>
      <c r="CD76" s="607">
        <f t="shared" si="183"/>
        <v>0</v>
      </c>
      <c r="CE76" s="608">
        <f t="shared" si="184"/>
        <v>0</v>
      </c>
      <c r="CF76" s="607">
        <f t="shared" si="185"/>
        <v>0</v>
      </c>
      <c r="CG76" s="608">
        <f t="shared" si="186"/>
        <v>0</v>
      </c>
      <c r="CH76" s="607">
        <f t="shared" si="187"/>
        <v>0</v>
      </c>
      <c r="CI76" s="608">
        <f t="shared" si="188"/>
        <v>0</v>
      </c>
      <c r="CJ76" s="607">
        <f t="shared" si="189"/>
        <v>4396.0063834422654</v>
      </c>
      <c r="CK76" s="608">
        <f t="shared" si="190"/>
        <v>4096.7645631067962</v>
      </c>
      <c r="CL76" s="609">
        <f t="shared" si="191"/>
        <v>0</v>
      </c>
      <c r="CM76" s="608">
        <f t="shared" si="192"/>
        <v>0</v>
      </c>
      <c r="CN76" s="610">
        <f t="shared" si="193"/>
        <v>0</v>
      </c>
      <c r="CO76" s="606">
        <f t="shared" si="194"/>
        <v>0</v>
      </c>
      <c r="CP76" s="607">
        <f t="shared" si="195"/>
        <v>0</v>
      </c>
      <c r="CQ76" s="606">
        <f t="shared" si="196"/>
        <v>0</v>
      </c>
      <c r="CR76" s="607">
        <f t="shared" si="197"/>
        <v>0</v>
      </c>
      <c r="CS76" s="606">
        <f t="shared" si="198"/>
        <v>0</v>
      </c>
      <c r="CT76" s="607">
        <f t="shared" si="199"/>
        <v>0</v>
      </c>
      <c r="CU76" s="608">
        <f t="shared" si="200"/>
        <v>0</v>
      </c>
      <c r="CV76" s="610">
        <f t="shared" si="201"/>
        <v>39564.057450980385</v>
      </c>
      <c r="CW76" s="608">
        <f t="shared" si="202"/>
        <v>36870.881067961163</v>
      </c>
      <c r="CX76" s="610">
        <f t="shared" si="203"/>
        <v>39564.057450980385</v>
      </c>
      <c r="CY76" s="611">
        <f t="shared" si="204"/>
        <v>36870.881067961163</v>
      </c>
      <c r="CZ76" s="605">
        <f t="shared" si="205"/>
        <v>0</v>
      </c>
      <c r="DA76" s="612">
        <f t="shared" si="206"/>
        <v>0</v>
      </c>
      <c r="DB76" s="607">
        <f t="shared" si="207"/>
        <v>0</v>
      </c>
      <c r="DC76" s="606">
        <f t="shared" si="208"/>
        <v>0</v>
      </c>
      <c r="DD76" s="607">
        <f t="shared" si="209"/>
        <v>0</v>
      </c>
      <c r="DE76" s="606">
        <f t="shared" si="210"/>
        <v>0</v>
      </c>
      <c r="DF76" s="607">
        <f t="shared" si="211"/>
        <v>0</v>
      </c>
      <c r="DG76" s="606">
        <f t="shared" si="212"/>
        <v>0</v>
      </c>
      <c r="DH76" s="607">
        <f t="shared" si="213"/>
        <v>0</v>
      </c>
      <c r="DI76" s="608">
        <f t="shared" si="214"/>
        <v>0</v>
      </c>
      <c r="DJ76" s="607">
        <f t="shared" si="215"/>
        <v>47</v>
      </c>
      <c r="DK76" s="608">
        <f t="shared" si="216"/>
        <v>42</v>
      </c>
      <c r="DL76" s="607">
        <f t="shared" si="217"/>
        <v>47</v>
      </c>
      <c r="DM76" s="608">
        <f t="shared" si="218"/>
        <v>42</v>
      </c>
      <c r="DN76" s="607">
        <f t="shared" si="219"/>
        <v>0</v>
      </c>
      <c r="DO76" s="612">
        <f t="shared" si="220"/>
        <v>0</v>
      </c>
      <c r="DP76" s="607">
        <f t="shared" si="221"/>
        <v>0</v>
      </c>
      <c r="DQ76" s="606">
        <f t="shared" si="222"/>
        <v>0</v>
      </c>
      <c r="DR76" s="607">
        <f t="shared" si="223"/>
        <v>0</v>
      </c>
      <c r="DS76" s="606">
        <f t="shared" si="224"/>
        <v>0</v>
      </c>
      <c r="DT76" s="607">
        <f t="shared" si="225"/>
        <v>0</v>
      </c>
      <c r="DU76" s="606">
        <f t="shared" si="226"/>
        <v>0</v>
      </c>
      <c r="DV76" s="607">
        <f t="shared" si="227"/>
        <v>0</v>
      </c>
      <c r="DW76" s="608">
        <f t="shared" si="228"/>
        <v>0</v>
      </c>
      <c r="DX76" s="607">
        <f t="shared" si="229"/>
        <v>1859510.700196078</v>
      </c>
      <c r="DY76" s="608">
        <f t="shared" si="230"/>
        <v>1548577.004854369</v>
      </c>
      <c r="DZ76" s="607">
        <f t="shared" si="231"/>
        <v>1859510.700196078</v>
      </c>
      <c r="EA76" s="608">
        <f t="shared" si="232"/>
        <v>1548577.004854369</v>
      </c>
    </row>
    <row r="77" spans="1:131" ht="13.5" thickBot="1" x14ac:dyDescent="0.25">
      <c r="A77" s="487" t="s">
        <v>32</v>
      </c>
      <c r="B77" s="383" t="s">
        <v>616</v>
      </c>
      <c r="C77" s="537"/>
      <c r="D77" s="387">
        <v>107725</v>
      </c>
      <c r="E77" s="387">
        <v>10</v>
      </c>
      <c r="F77" s="598"/>
      <c r="G77" s="599"/>
      <c r="H77" s="600"/>
      <c r="I77" s="601"/>
      <c r="J77" s="600"/>
      <c r="K77" s="599"/>
      <c r="L77" s="600"/>
      <c r="M77" s="601"/>
      <c r="N77" s="600"/>
      <c r="O77" s="599"/>
      <c r="P77" s="600"/>
      <c r="Q77" s="601"/>
      <c r="R77" s="600"/>
      <c r="S77" s="599"/>
      <c r="T77" s="600"/>
      <c r="U77" s="601"/>
      <c r="V77" s="600"/>
      <c r="W77" s="599"/>
      <c r="X77" s="600"/>
      <c r="Y77" s="601"/>
      <c r="Z77" s="600"/>
      <c r="AA77" s="599"/>
      <c r="AB77" s="600"/>
      <c r="AC77" s="601"/>
      <c r="AD77" s="600"/>
      <c r="AE77" s="656">
        <v>0</v>
      </c>
      <c r="AF77" s="600"/>
      <c r="AG77" s="656">
        <v>0</v>
      </c>
      <c r="AH77" s="600"/>
      <c r="AI77" s="656">
        <v>0</v>
      </c>
      <c r="AJ77" s="600"/>
      <c r="AK77" s="656">
        <v>0</v>
      </c>
      <c r="AL77" s="600"/>
      <c r="AM77" s="655"/>
      <c r="AN77" s="600"/>
      <c r="AO77" s="601"/>
      <c r="AP77" s="600"/>
      <c r="AQ77" s="599"/>
      <c r="AR77" s="600"/>
      <c r="AS77" s="643"/>
      <c r="AT77" s="600">
        <v>31</v>
      </c>
      <c r="AU77" s="657">
        <v>30</v>
      </c>
      <c r="AV77" s="600"/>
      <c r="AW77" s="657">
        <v>2</v>
      </c>
      <c r="AX77" s="600">
        <v>6</v>
      </c>
      <c r="AY77" s="657">
        <v>2</v>
      </c>
      <c r="AZ77" s="600"/>
      <c r="BA77" s="657">
        <v>6</v>
      </c>
      <c r="BB77" s="602">
        <v>0</v>
      </c>
      <c r="BC77" s="599"/>
      <c r="BD77" s="600">
        <v>0</v>
      </c>
      <c r="BE77" s="599"/>
      <c r="BF77" s="600">
        <v>0</v>
      </c>
      <c r="BG77" s="599"/>
      <c r="BH77" s="600">
        <v>0</v>
      </c>
      <c r="BI77" s="656">
        <v>0</v>
      </c>
      <c r="BJ77" s="600">
        <v>0</v>
      </c>
      <c r="BK77" s="615"/>
      <c r="BL77" s="600">
        <v>1587418.1600000001</v>
      </c>
      <c r="BM77" s="664">
        <v>1773217</v>
      </c>
      <c r="BN77" s="605">
        <f t="shared" si="167"/>
        <v>0</v>
      </c>
      <c r="BO77" s="606">
        <f t="shared" si="168"/>
        <v>0</v>
      </c>
      <c r="BP77" s="607">
        <f t="shared" si="169"/>
        <v>0</v>
      </c>
      <c r="BQ77" s="606">
        <f t="shared" si="170"/>
        <v>0</v>
      </c>
      <c r="BR77" s="607">
        <f t="shared" si="171"/>
        <v>0</v>
      </c>
      <c r="BS77" s="606">
        <f t="shared" si="172"/>
        <v>0</v>
      </c>
      <c r="BT77" s="607">
        <f t="shared" si="173"/>
        <v>0</v>
      </c>
      <c r="BU77" s="606">
        <f t="shared" si="174"/>
        <v>0</v>
      </c>
      <c r="BV77" s="607">
        <f t="shared" si="175"/>
        <v>0</v>
      </c>
      <c r="BW77" s="608">
        <f t="shared" si="176"/>
        <v>0</v>
      </c>
      <c r="BX77" s="607">
        <f t="shared" si="177"/>
        <v>345</v>
      </c>
      <c r="BY77" s="608">
        <f t="shared" si="178"/>
        <v>384</v>
      </c>
      <c r="BZ77" s="607">
        <f t="shared" si="179"/>
        <v>0</v>
      </c>
      <c r="CA77" s="608">
        <f t="shared" si="180"/>
        <v>0</v>
      </c>
      <c r="CB77" s="607">
        <f t="shared" si="181"/>
        <v>0</v>
      </c>
      <c r="CC77" s="608">
        <f t="shared" si="182"/>
        <v>0</v>
      </c>
      <c r="CD77" s="607">
        <f t="shared" si="183"/>
        <v>0</v>
      </c>
      <c r="CE77" s="608">
        <f t="shared" si="184"/>
        <v>0</v>
      </c>
      <c r="CF77" s="607">
        <f t="shared" si="185"/>
        <v>0</v>
      </c>
      <c r="CG77" s="608">
        <f t="shared" si="186"/>
        <v>0</v>
      </c>
      <c r="CH77" s="607">
        <f t="shared" si="187"/>
        <v>0</v>
      </c>
      <c r="CI77" s="608">
        <f t="shared" si="188"/>
        <v>0</v>
      </c>
      <c r="CJ77" s="607">
        <f t="shared" si="189"/>
        <v>4601.2120579710145</v>
      </c>
      <c r="CK77" s="608">
        <f t="shared" si="190"/>
        <v>4617.752604166667</v>
      </c>
      <c r="CL77" s="609">
        <f t="shared" si="191"/>
        <v>0</v>
      </c>
      <c r="CM77" s="608">
        <f t="shared" si="192"/>
        <v>0</v>
      </c>
      <c r="CN77" s="610">
        <f t="shared" si="193"/>
        <v>0</v>
      </c>
      <c r="CO77" s="606">
        <f t="shared" si="194"/>
        <v>0</v>
      </c>
      <c r="CP77" s="607">
        <f t="shared" si="195"/>
        <v>0</v>
      </c>
      <c r="CQ77" s="606">
        <f t="shared" si="196"/>
        <v>0</v>
      </c>
      <c r="CR77" s="607">
        <f t="shared" si="197"/>
        <v>0</v>
      </c>
      <c r="CS77" s="606">
        <f t="shared" si="198"/>
        <v>0</v>
      </c>
      <c r="CT77" s="607">
        <f t="shared" si="199"/>
        <v>0</v>
      </c>
      <c r="CU77" s="608">
        <f t="shared" si="200"/>
        <v>0</v>
      </c>
      <c r="CV77" s="610">
        <f t="shared" si="201"/>
        <v>41410.908521739133</v>
      </c>
      <c r="CW77" s="608">
        <f t="shared" si="202"/>
        <v>41559.7734375</v>
      </c>
      <c r="CX77" s="610">
        <f t="shared" si="203"/>
        <v>41410.908521739133</v>
      </c>
      <c r="CY77" s="611">
        <f t="shared" si="204"/>
        <v>41559.7734375</v>
      </c>
      <c r="CZ77" s="605">
        <f t="shared" si="205"/>
        <v>0</v>
      </c>
      <c r="DA77" s="612">
        <f t="shared" si="206"/>
        <v>0</v>
      </c>
      <c r="DB77" s="607">
        <f t="shared" si="207"/>
        <v>0</v>
      </c>
      <c r="DC77" s="606">
        <f t="shared" si="208"/>
        <v>0</v>
      </c>
      <c r="DD77" s="607">
        <f t="shared" si="209"/>
        <v>0</v>
      </c>
      <c r="DE77" s="606">
        <f t="shared" si="210"/>
        <v>0</v>
      </c>
      <c r="DF77" s="607">
        <f t="shared" si="211"/>
        <v>0</v>
      </c>
      <c r="DG77" s="606">
        <f t="shared" si="212"/>
        <v>0</v>
      </c>
      <c r="DH77" s="607">
        <f t="shared" si="213"/>
        <v>0</v>
      </c>
      <c r="DI77" s="608">
        <f t="shared" si="214"/>
        <v>0</v>
      </c>
      <c r="DJ77" s="607">
        <f t="shared" si="215"/>
        <v>37</v>
      </c>
      <c r="DK77" s="608">
        <f t="shared" si="216"/>
        <v>40</v>
      </c>
      <c r="DL77" s="607">
        <f t="shared" si="217"/>
        <v>37</v>
      </c>
      <c r="DM77" s="608">
        <f t="shared" si="218"/>
        <v>40</v>
      </c>
      <c r="DN77" s="607">
        <f t="shared" si="219"/>
        <v>0</v>
      </c>
      <c r="DO77" s="612">
        <f t="shared" si="220"/>
        <v>0</v>
      </c>
      <c r="DP77" s="607">
        <f t="shared" si="221"/>
        <v>0</v>
      </c>
      <c r="DQ77" s="606">
        <f t="shared" si="222"/>
        <v>0</v>
      </c>
      <c r="DR77" s="607">
        <f t="shared" si="223"/>
        <v>0</v>
      </c>
      <c r="DS77" s="606">
        <f t="shared" si="224"/>
        <v>0</v>
      </c>
      <c r="DT77" s="607">
        <f t="shared" si="225"/>
        <v>0</v>
      </c>
      <c r="DU77" s="606">
        <f t="shared" si="226"/>
        <v>0</v>
      </c>
      <c r="DV77" s="607">
        <f t="shared" si="227"/>
        <v>0</v>
      </c>
      <c r="DW77" s="608">
        <f t="shared" si="228"/>
        <v>0</v>
      </c>
      <c r="DX77" s="607">
        <f t="shared" si="229"/>
        <v>1532203.6153043478</v>
      </c>
      <c r="DY77" s="608">
        <f t="shared" si="230"/>
        <v>1662390.9375</v>
      </c>
      <c r="DZ77" s="607">
        <f t="shared" si="231"/>
        <v>1532203.6153043478</v>
      </c>
      <c r="EA77" s="608">
        <f t="shared" si="232"/>
        <v>1662390.9375</v>
      </c>
    </row>
    <row r="78" spans="1:131" ht="13.5" thickBot="1" x14ac:dyDescent="0.25">
      <c r="A78" s="487" t="s">
        <v>32</v>
      </c>
      <c r="B78" s="383" t="s">
        <v>617</v>
      </c>
      <c r="C78" s="537"/>
      <c r="D78" s="387">
        <v>107585</v>
      </c>
      <c r="E78" s="387">
        <v>10</v>
      </c>
      <c r="F78" s="598"/>
      <c r="G78" s="599"/>
      <c r="H78" s="600"/>
      <c r="I78" s="601"/>
      <c r="J78" s="600"/>
      <c r="K78" s="599"/>
      <c r="L78" s="600"/>
      <c r="M78" s="601"/>
      <c r="N78" s="600"/>
      <c r="O78" s="599"/>
      <c r="P78" s="600"/>
      <c r="Q78" s="601"/>
      <c r="R78" s="600"/>
      <c r="S78" s="599"/>
      <c r="T78" s="600"/>
      <c r="U78" s="601"/>
      <c r="V78" s="600"/>
      <c r="W78" s="599"/>
      <c r="X78" s="600"/>
      <c r="Y78" s="601"/>
      <c r="Z78" s="600"/>
      <c r="AA78" s="599"/>
      <c r="AB78" s="600"/>
      <c r="AC78" s="601"/>
      <c r="AD78" s="600"/>
      <c r="AE78" s="656">
        <v>0</v>
      </c>
      <c r="AF78" s="600"/>
      <c r="AG78" s="643"/>
      <c r="AH78" s="600"/>
      <c r="AI78" s="655"/>
      <c r="AJ78" s="600"/>
      <c r="AK78" s="656">
        <v>0</v>
      </c>
      <c r="AL78" s="600"/>
      <c r="AM78" s="655"/>
      <c r="AN78" s="600"/>
      <c r="AO78" s="601"/>
      <c r="AP78" s="600"/>
      <c r="AQ78" s="599"/>
      <c r="AR78" s="600"/>
      <c r="AS78" s="643"/>
      <c r="AT78" s="600">
        <v>58</v>
      </c>
      <c r="AU78" s="656">
        <v>56</v>
      </c>
      <c r="AV78" s="600"/>
      <c r="AW78" s="643"/>
      <c r="AX78" s="600">
        <v>8</v>
      </c>
      <c r="AY78" s="655"/>
      <c r="AZ78" s="600"/>
      <c r="BA78" s="656">
        <v>8</v>
      </c>
      <c r="BB78" s="602">
        <v>0</v>
      </c>
      <c r="BC78" s="599"/>
      <c r="BD78" s="600">
        <v>0</v>
      </c>
      <c r="BE78" s="599"/>
      <c r="BF78" s="600">
        <v>0</v>
      </c>
      <c r="BG78" s="599"/>
      <c r="BH78" s="600">
        <v>0</v>
      </c>
      <c r="BI78" s="661">
        <v>0</v>
      </c>
      <c r="BJ78" s="600">
        <v>0</v>
      </c>
      <c r="BK78" s="615"/>
      <c r="BL78" s="600">
        <v>2981740.96</v>
      </c>
      <c r="BM78" s="664">
        <v>2660496</v>
      </c>
      <c r="BN78" s="605">
        <f t="shared" si="167"/>
        <v>0</v>
      </c>
      <c r="BO78" s="606">
        <f t="shared" si="168"/>
        <v>0</v>
      </c>
      <c r="BP78" s="607">
        <f t="shared" si="169"/>
        <v>0</v>
      </c>
      <c r="BQ78" s="606">
        <f t="shared" si="170"/>
        <v>0</v>
      </c>
      <c r="BR78" s="607">
        <f t="shared" si="171"/>
        <v>0</v>
      </c>
      <c r="BS78" s="606">
        <f t="shared" si="172"/>
        <v>0</v>
      </c>
      <c r="BT78" s="607">
        <f t="shared" si="173"/>
        <v>0</v>
      </c>
      <c r="BU78" s="606">
        <f t="shared" si="174"/>
        <v>0</v>
      </c>
      <c r="BV78" s="607">
        <f t="shared" si="175"/>
        <v>0</v>
      </c>
      <c r="BW78" s="608">
        <f t="shared" si="176"/>
        <v>0</v>
      </c>
      <c r="BX78" s="607">
        <f t="shared" si="177"/>
        <v>610</v>
      </c>
      <c r="BY78" s="608">
        <f t="shared" si="178"/>
        <v>600</v>
      </c>
      <c r="BZ78" s="607">
        <f t="shared" si="179"/>
        <v>0</v>
      </c>
      <c r="CA78" s="608">
        <f t="shared" si="180"/>
        <v>0</v>
      </c>
      <c r="CB78" s="607">
        <f t="shared" si="181"/>
        <v>0</v>
      </c>
      <c r="CC78" s="608">
        <f t="shared" si="182"/>
        <v>0</v>
      </c>
      <c r="CD78" s="607">
        <f t="shared" si="183"/>
        <v>0</v>
      </c>
      <c r="CE78" s="608">
        <f t="shared" si="184"/>
        <v>0</v>
      </c>
      <c r="CF78" s="607">
        <f t="shared" si="185"/>
        <v>0</v>
      </c>
      <c r="CG78" s="608">
        <f t="shared" si="186"/>
        <v>0</v>
      </c>
      <c r="CH78" s="607">
        <f t="shared" si="187"/>
        <v>0</v>
      </c>
      <c r="CI78" s="608">
        <f t="shared" si="188"/>
        <v>0</v>
      </c>
      <c r="CJ78" s="607">
        <f t="shared" si="189"/>
        <v>4888.0999344262291</v>
      </c>
      <c r="CK78" s="608">
        <f t="shared" si="190"/>
        <v>4434.16</v>
      </c>
      <c r="CL78" s="609">
        <f t="shared" si="191"/>
        <v>0</v>
      </c>
      <c r="CM78" s="608">
        <f t="shared" si="192"/>
        <v>0</v>
      </c>
      <c r="CN78" s="610">
        <f t="shared" si="193"/>
        <v>0</v>
      </c>
      <c r="CO78" s="606">
        <f t="shared" si="194"/>
        <v>0</v>
      </c>
      <c r="CP78" s="607">
        <f t="shared" si="195"/>
        <v>0</v>
      </c>
      <c r="CQ78" s="606">
        <f t="shared" si="196"/>
        <v>0</v>
      </c>
      <c r="CR78" s="607">
        <f t="shared" si="197"/>
        <v>0</v>
      </c>
      <c r="CS78" s="606">
        <f t="shared" si="198"/>
        <v>0</v>
      </c>
      <c r="CT78" s="607">
        <f t="shared" si="199"/>
        <v>0</v>
      </c>
      <c r="CU78" s="608">
        <f t="shared" si="200"/>
        <v>0</v>
      </c>
      <c r="CV78" s="610">
        <f t="shared" si="201"/>
        <v>43992.899409836064</v>
      </c>
      <c r="CW78" s="608">
        <f t="shared" si="202"/>
        <v>39907.440000000002</v>
      </c>
      <c r="CX78" s="610">
        <f t="shared" si="203"/>
        <v>43992.899409836064</v>
      </c>
      <c r="CY78" s="611">
        <f t="shared" si="204"/>
        <v>39907.440000000002</v>
      </c>
      <c r="CZ78" s="605">
        <f t="shared" si="205"/>
        <v>0</v>
      </c>
      <c r="DA78" s="612">
        <f t="shared" si="206"/>
        <v>0</v>
      </c>
      <c r="DB78" s="607">
        <f t="shared" si="207"/>
        <v>0</v>
      </c>
      <c r="DC78" s="606">
        <f t="shared" si="208"/>
        <v>0</v>
      </c>
      <c r="DD78" s="607">
        <f t="shared" si="209"/>
        <v>0</v>
      </c>
      <c r="DE78" s="606">
        <f t="shared" si="210"/>
        <v>0</v>
      </c>
      <c r="DF78" s="607">
        <f t="shared" si="211"/>
        <v>0</v>
      </c>
      <c r="DG78" s="606">
        <f t="shared" si="212"/>
        <v>0</v>
      </c>
      <c r="DH78" s="607">
        <f t="shared" si="213"/>
        <v>0</v>
      </c>
      <c r="DI78" s="608">
        <f t="shared" si="214"/>
        <v>0</v>
      </c>
      <c r="DJ78" s="607">
        <f t="shared" si="215"/>
        <v>66</v>
      </c>
      <c r="DK78" s="608">
        <f t="shared" si="216"/>
        <v>64</v>
      </c>
      <c r="DL78" s="607">
        <f t="shared" si="217"/>
        <v>66</v>
      </c>
      <c r="DM78" s="608">
        <f t="shared" si="218"/>
        <v>64</v>
      </c>
      <c r="DN78" s="607">
        <f t="shared" si="219"/>
        <v>0</v>
      </c>
      <c r="DO78" s="612">
        <f t="shared" si="220"/>
        <v>0</v>
      </c>
      <c r="DP78" s="607">
        <f t="shared" si="221"/>
        <v>0</v>
      </c>
      <c r="DQ78" s="606">
        <f t="shared" si="222"/>
        <v>0</v>
      </c>
      <c r="DR78" s="607">
        <f t="shared" si="223"/>
        <v>0</v>
      </c>
      <c r="DS78" s="606">
        <f t="shared" si="224"/>
        <v>0</v>
      </c>
      <c r="DT78" s="607">
        <f t="shared" si="225"/>
        <v>0</v>
      </c>
      <c r="DU78" s="606">
        <f t="shared" si="226"/>
        <v>0</v>
      </c>
      <c r="DV78" s="607">
        <f t="shared" si="227"/>
        <v>0</v>
      </c>
      <c r="DW78" s="608">
        <f t="shared" si="228"/>
        <v>0</v>
      </c>
      <c r="DX78" s="607">
        <f t="shared" si="229"/>
        <v>2903531.3610491804</v>
      </c>
      <c r="DY78" s="608">
        <f t="shared" si="230"/>
        <v>2554076.1600000001</v>
      </c>
      <c r="DZ78" s="607">
        <f t="shared" si="231"/>
        <v>2903531.3610491804</v>
      </c>
      <c r="EA78" s="608">
        <f t="shared" si="232"/>
        <v>2554076.1600000001</v>
      </c>
    </row>
    <row r="79" spans="1:131" x14ac:dyDescent="0.2">
      <c r="A79" s="484" t="s">
        <v>33</v>
      </c>
      <c r="B79" s="414" t="s">
        <v>713</v>
      </c>
      <c r="C79" s="539"/>
      <c r="D79" s="418">
        <v>130943</v>
      </c>
      <c r="E79" s="418">
        <v>1</v>
      </c>
      <c r="F79" s="598">
        <v>359</v>
      </c>
      <c r="G79" s="599">
        <v>332</v>
      </c>
      <c r="H79" s="600"/>
      <c r="I79" s="601">
        <v>9</v>
      </c>
      <c r="J79" s="600">
        <v>36</v>
      </c>
      <c r="K79" s="599">
        <v>10</v>
      </c>
      <c r="L79" s="600"/>
      <c r="M79" s="601">
        <v>34</v>
      </c>
      <c r="N79" s="600">
        <v>317</v>
      </c>
      <c r="O79" s="599">
        <v>310</v>
      </c>
      <c r="P79" s="600"/>
      <c r="Q79" s="601">
        <v>11</v>
      </c>
      <c r="R79" s="600">
        <v>17</v>
      </c>
      <c r="S79" s="599">
        <v>10</v>
      </c>
      <c r="T79" s="600"/>
      <c r="U79" s="601">
        <v>8</v>
      </c>
      <c r="V79" s="600">
        <v>285</v>
      </c>
      <c r="W79" s="599">
        <v>259</v>
      </c>
      <c r="X79" s="600"/>
      <c r="Y79" s="601">
        <v>10</v>
      </c>
      <c r="Z79" s="600">
        <v>15</v>
      </c>
      <c r="AA79" s="599">
        <v>10</v>
      </c>
      <c r="AB79" s="600"/>
      <c r="AC79" s="601">
        <v>18</v>
      </c>
      <c r="AD79" s="600">
        <v>90</v>
      </c>
      <c r="AE79" s="599">
        <v>56</v>
      </c>
      <c r="AF79" s="600"/>
      <c r="AG79" s="601">
        <v>18</v>
      </c>
      <c r="AH79" s="600">
        <v>12</v>
      </c>
      <c r="AI79" s="599">
        <v>7</v>
      </c>
      <c r="AJ79" s="600"/>
      <c r="AK79" s="601">
        <v>16</v>
      </c>
      <c r="AL79" s="600">
        <v>0</v>
      </c>
      <c r="AM79" s="599"/>
      <c r="AN79" s="600"/>
      <c r="AO79" s="601"/>
      <c r="AP79" s="600">
        <v>0</v>
      </c>
      <c r="AQ79" s="599"/>
      <c r="AR79" s="600"/>
      <c r="AS79" s="601"/>
      <c r="AT79" s="600"/>
      <c r="AU79" s="599"/>
      <c r="AV79" s="600"/>
      <c r="AW79" s="601"/>
      <c r="AX79" s="600">
        <v>0</v>
      </c>
      <c r="AY79" s="599"/>
      <c r="AZ79" s="600"/>
      <c r="BA79" s="601"/>
      <c r="BB79" s="602">
        <v>55760974</v>
      </c>
      <c r="BC79" s="599">
        <v>56514825</v>
      </c>
      <c r="BD79" s="600">
        <v>31904907</v>
      </c>
      <c r="BE79" s="599">
        <v>34752678</v>
      </c>
      <c r="BF79" s="600">
        <v>24690915</v>
      </c>
      <c r="BG79" s="599">
        <v>25157235</v>
      </c>
      <c r="BH79" s="600">
        <v>6711924</v>
      </c>
      <c r="BI79" s="599">
        <v>6670989</v>
      </c>
      <c r="BJ79" s="600">
        <v>0</v>
      </c>
      <c r="BK79" s="615"/>
      <c r="BL79" s="600">
        <v>0</v>
      </c>
      <c r="BM79" s="604"/>
      <c r="BN79" s="605">
        <f t="shared" si="167"/>
        <v>3627</v>
      </c>
      <c r="BO79" s="606">
        <f t="shared" si="168"/>
        <v>3596</v>
      </c>
      <c r="BP79" s="607">
        <f t="shared" si="169"/>
        <v>3040</v>
      </c>
      <c r="BQ79" s="606">
        <f t="shared" si="170"/>
        <v>3106</v>
      </c>
      <c r="BR79" s="607">
        <f t="shared" si="171"/>
        <v>2730</v>
      </c>
      <c r="BS79" s="606">
        <f t="shared" si="172"/>
        <v>2757</v>
      </c>
      <c r="BT79" s="607">
        <f t="shared" si="173"/>
        <v>942</v>
      </c>
      <c r="BU79" s="606">
        <f t="shared" si="174"/>
        <v>953</v>
      </c>
      <c r="BV79" s="607">
        <f t="shared" si="175"/>
        <v>0</v>
      </c>
      <c r="BW79" s="608">
        <f t="shared" si="176"/>
        <v>0</v>
      </c>
      <c r="BX79" s="607">
        <f t="shared" si="177"/>
        <v>0</v>
      </c>
      <c r="BY79" s="608">
        <f t="shared" si="178"/>
        <v>0</v>
      </c>
      <c r="BZ79" s="607">
        <f t="shared" si="179"/>
        <v>15373.85552798456</v>
      </c>
      <c r="CA79" s="608">
        <f t="shared" si="180"/>
        <v>15716.024749721913</v>
      </c>
      <c r="CB79" s="607">
        <f t="shared" si="181"/>
        <v>10495.035197368421</v>
      </c>
      <c r="CC79" s="608">
        <f t="shared" si="182"/>
        <v>11188.885383129427</v>
      </c>
      <c r="CD79" s="607">
        <f t="shared" si="183"/>
        <v>9044.2912087912082</v>
      </c>
      <c r="CE79" s="608">
        <f t="shared" si="184"/>
        <v>9124.8585418933617</v>
      </c>
      <c r="CF79" s="607">
        <f t="shared" si="185"/>
        <v>7125.1847133757965</v>
      </c>
      <c r="CG79" s="608">
        <f t="shared" si="186"/>
        <v>6999.9884575026235</v>
      </c>
      <c r="CH79" s="607">
        <f t="shared" si="187"/>
        <v>0</v>
      </c>
      <c r="CI79" s="608">
        <f t="shared" si="188"/>
        <v>0</v>
      </c>
      <c r="CJ79" s="607">
        <f t="shared" si="189"/>
        <v>0</v>
      </c>
      <c r="CK79" s="608">
        <f t="shared" si="190"/>
        <v>0</v>
      </c>
      <c r="CL79" s="609">
        <f t="shared" si="191"/>
        <v>138364.69975186104</v>
      </c>
      <c r="CM79" s="608">
        <f t="shared" si="192"/>
        <v>141444.22274749723</v>
      </c>
      <c r="CN79" s="610">
        <f t="shared" si="193"/>
        <v>94455.316776315783</v>
      </c>
      <c r="CO79" s="606">
        <f t="shared" si="194"/>
        <v>100699.96844816484</v>
      </c>
      <c r="CP79" s="607">
        <f t="shared" si="195"/>
        <v>81398.620879120877</v>
      </c>
      <c r="CQ79" s="606">
        <f t="shared" si="196"/>
        <v>82123.726877040259</v>
      </c>
      <c r="CR79" s="607">
        <f t="shared" si="197"/>
        <v>64126.66242038217</v>
      </c>
      <c r="CS79" s="606">
        <f t="shared" si="198"/>
        <v>62999.896117523611</v>
      </c>
      <c r="CT79" s="607">
        <f t="shared" si="199"/>
        <v>0</v>
      </c>
      <c r="CU79" s="608">
        <f t="shared" si="200"/>
        <v>0</v>
      </c>
      <c r="CV79" s="610">
        <f t="shared" si="201"/>
        <v>0</v>
      </c>
      <c r="CW79" s="608">
        <f t="shared" si="202"/>
        <v>0</v>
      </c>
      <c r="CX79" s="610">
        <f t="shared" si="203"/>
        <v>103592.07607063644</v>
      </c>
      <c r="CY79" s="611">
        <f t="shared" si="204"/>
        <v>106525.09111591688</v>
      </c>
      <c r="CZ79" s="605">
        <f t="shared" si="205"/>
        <v>395</v>
      </c>
      <c r="DA79" s="612">
        <f t="shared" si="206"/>
        <v>385</v>
      </c>
      <c r="DB79" s="607">
        <f t="shared" si="207"/>
        <v>334</v>
      </c>
      <c r="DC79" s="606">
        <f t="shared" si="208"/>
        <v>339</v>
      </c>
      <c r="DD79" s="607">
        <f t="shared" si="209"/>
        <v>300</v>
      </c>
      <c r="DE79" s="606">
        <f t="shared" si="210"/>
        <v>297</v>
      </c>
      <c r="DF79" s="607">
        <f t="shared" si="211"/>
        <v>102</v>
      </c>
      <c r="DG79" s="606">
        <f t="shared" si="212"/>
        <v>97</v>
      </c>
      <c r="DH79" s="607">
        <f t="shared" si="213"/>
        <v>0</v>
      </c>
      <c r="DI79" s="608">
        <f t="shared" si="214"/>
        <v>0</v>
      </c>
      <c r="DJ79" s="607">
        <f t="shared" si="215"/>
        <v>0</v>
      </c>
      <c r="DK79" s="608">
        <f t="shared" si="216"/>
        <v>0</v>
      </c>
      <c r="DL79" s="607">
        <f t="shared" si="217"/>
        <v>1131</v>
      </c>
      <c r="DM79" s="608">
        <f t="shared" si="218"/>
        <v>1118</v>
      </c>
      <c r="DN79" s="607">
        <f t="shared" si="219"/>
        <v>54654056.401985109</v>
      </c>
      <c r="DO79" s="612">
        <f t="shared" si="220"/>
        <v>54456025.75778643</v>
      </c>
      <c r="DP79" s="607">
        <f t="shared" si="221"/>
        <v>31548075.803289473</v>
      </c>
      <c r="DQ79" s="606">
        <f t="shared" si="222"/>
        <v>34137289.303927884</v>
      </c>
      <c r="DR79" s="607">
        <f t="shared" si="223"/>
        <v>24419586.263736263</v>
      </c>
      <c r="DS79" s="606">
        <f t="shared" si="224"/>
        <v>24390746.882480957</v>
      </c>
      <c r="DT79" s="607">
        <f t="shared" si="225"/>
        <v>6540919.566878981</v>
      </c>
      <c r="DU79" s="606">
        <f t="shared" si="226"/>
        <v>6110989.9233997902</v>
      </c>
      <c r="DV79" s="607">
        <f t="shared" si="227"/>
        <v>0</v>
      </c>
      <c r="DW79" s="608">
        <f t="shared" si="228"/>
        <v>0</v>
      </c>
      <c r="DX79" s="607">
        <f t="shared" si="229"/>
        <v>0</v>
      </c>
      <c r="DY79" s="608">
        <f t="shared" si="230"/>
        <v>0</v>
      </c>
      <c r="DZ79" s="607">
        <f t="shared" si="231"/>
        <v>117162638.0358898</v>
      </c>
      <c r="EA79" s="608">
        <f t="shared" si="232"/>
        <v>119095051.86759506</v>
      </c>
    </row>
    <row r="80" spans="1:131" x14ac:dyDescent="0.2">
      <c r="A80" s="484" t="s">
        <v>33</v>
      </c>
      <c r="B80" s="415" t="s">
        <v>714</v>
      </c>
      <c r="C80" s="540" t="s">
        <v>618</v>
      </c>
      <c r="D80" s="418">
        <v>130934</v>
      </c>
      <c r="E80" s="416">
        <v>3</v>
      </c>
      <c r="F80" s="598">
        <v>28</v>
      </c>
      <c r="G80" s="599">
        <v>26</v>
      </c>
      <c r="H80" s="600"/>
      <c r="I80" s="601">
        <v>11</v>
      </c>
      <c r="J80" s="600">
        <v>11</v>
      </c>
      <c r="K80" s="599"/>
      <c r="L80" s="600"/>
      <c r="M80" s="601"/>
      <c r="N80" s="600">
        <v>72</v>
      </c>
      <c r="O80" s="599">
        <v>68</v>
      </c>
      <c r="P80" s="600"/>
      <c r="Q80" s="601">
        <v>16</v>
      </c>
      <c r="R80" s="600">
        <v>19</v>
      </c>
      <c r="S80" s="599"/>
      <c r="T80" s="600"/>
      <c r="U80" s="601"/>
      <c r="V80" s="600">
        <v>54</v>
      </c>
      <c r="W80" s="635">
        <v>52</v>
      </c>
      <c r="X80" s="600"/>
      <c r="Y80" s="666">
        <v>10</v>
      </c>
      <c r="Z80" s="600">
        <v>9</v>
      </c>
      <c r="AA80" s="599"/>
      <c r="AB80" s="600"/>
      <c r="AC80" s="601"/>
      <c r="AD80" s="600">
        <v>12</v>
      </c>
      <c r="AE80" s="599"/>
      <c r="AF80" s="600"/>
      <c r="AG80" s="601"/>
      <c r="AH80" s="600"/>
      <c r="AI80" s="599"/>
      <c r="AJ80" s="600"/>
      <c r="AK80" s="601"/>
      <c r="AL80" s="600">
        <v>2</v>
      </c>
      <c r="AM80" s="599"/>
      <c r="AN80" s="600"/>
      <c r="AO80" s="601"/>
      <c r="AP80" s="600"/>
      <c r="AQ80" s="599"/>
      <c r="AR80" s="600"/>
      <c r="AS80" s="601"/>
      <c r="AT80" s="600"/>
      <c r="AU80" s="599"/>
      <c r="AV80" s="600"/>
      <c r="AW80" s="601"/>
      <c r="AX80" s="600"/>
      <c r="AY80" s="599"/>
      <c r="AZ80" s="600"/>
      <c r="BA80" s="601"/>
      <c r="BB80" s="602">
        <v>3324889</v>
      </c>
      <c r="BC80" s="599">
        <v>3234511</v>
      </c>
      <c r="BD80" s="600">
        <v>6004521</v>
      </c>
      <c r="BE80" s="599">
        <v>5835710</v>
      </c>
      <c r="BF80" s="600">
        <v>3775185</v>
      </c>
      <c r="BG80" s="635">
        <v>3997320</v>
      </c>
      <c r="BH80" s="600">
        <v>566928</v>
      </c>
      <c r="BI80" s="599"/>
      <c r="BJ80" s="600">
        <v>94000</v>
      </c>
      <c r="BK80" s="615"/>
      <c r="BL80" s="600">
        <v>0</v>
      </c>
      <c r="BM80" s="604"/>
      <c r="BN80" s="605">
        <f t="shared" si="167"/>
        <v>373</v>
      </c>
      <c r="BO80" s="606">
        <f t="shared" si="168"/>
        <v>344</v>
      </c>
      <c r="BP80" s="607">
        <f t="shared" si="169"/>
        <v>857</v>
      </c>
      <c r="BQ80" s="606">
        <f t="shared" si="170"/>
        <v>772</v>
      </c>
      <c r="BR80" s="607">
        <f t="shared" si="171"/>
        <v>585</v>
      </c>
      <c r="BS80" s="606">
        <f t="shared" si="172"/>
        <v>568</v>
      </c>
      <c r="BT80" s="607">
        <f t="shared" si="173"/>
        <v>108</v>
      </c>
      <c r="BU80" s="606">
        <f t="shared" si="174"/>
        <v>0</v>
      </c>
      <c r="BV80" s="607">
        <f t="shared" si="175"/>
        <v>18</v>
      </c>
      <c r="BW80" s="608">
        <f t="shared" si="176"/>
        <v>0</v>
      </c>
      <c r="BX80" s="607">
        <f t="shared" si="177"/>
        <v>0</v>
      </c>
      <c r="BY80" s="608">
        <f t="shared" si="178"/>
        <v>0</v>
      </c>
      <c r="BZ80" s="607">
        <f t="shared" si="179"/>
        <v>8913.9115281501345</v>
      </c>
      <c r="CA80" s="608">
        <f t="shared" si="180"/>
        <v>9402.6482558139542</v>
      </c>
      <c r="CB80" s="607">
        <f t="shared" si="181"/>
        <v>7006.4422403733952</v>
      </c>
      <c r="CC80" s="608">
        <f t="shared" si="182"/>
        <v>7559.2098445595857</v>
      </c>
      <c r="CD80" s="607">
        <f t="shared" si="183"/>
        <v>6453.3076923076924</v>
      </c>
      <c r="CE80" s="608">
        <f t="shared" si="184"/>
        <v>7037.5352112676055</v>
      </c>
      <c r="CF80" s="607">
        <f t="shared" si="185"/>
        <v>5249.333333333333</v>
      </c>
      <c r="CG80" s="608">
        <f t="shared" si="186"/>
        <v>0</v>
      </c>
      <c r="CH80" s="607">
        <f t="shared" si="187"/>
        <v>5222.2222222222226</v>
      </c>
      <c r="CI80" s="608">
        <f t="shared" si="188"/>
        <v>0</v>
      </c>
      <c r="CJ80" s="607">
        <f t="shared" si="189"/>
        <v>0</v>
      </c>
      <c r="CK80" s="608">
        <f t="shared" si="190"/>
        <v>0</v>
      </c>
      <c r="CL80" s="609">
        <f t="shared" si="191"/>
        <v>80225.203753351205</v>
      </c>
      <c r="CM80" s="608">
        <f t="shared" si="192"/>
        <v>84623.834302325587</v>
      </c>
      <c r="CN80" s="610">
        <f t="shared" si="193"/>
        <v>63057.980163360553</v>
      </c>
      <c r="CO80" s="606">
        <f t="shared" si="194"/>
        <v>68032.888601036277</v>
      </c>
      <c r="CP80" s="607">
        <f t="shared" si="195"/>
        <v>58079.769230769234</v>
      </c>
      <c r="CQ80" s="606">
        <f t="shared" si="196"/>
        <v>63337.816901408449</v>
      </c>
      <c r="CR80" s="607">
        <f t="shared" si="197"/>
        <v>47244</v>
      </c>
      <c r="CS80" s="606">
        <f t="shared" si="198"/>
        <v>0</v>
      </c>
      <c r="CT80" s="607">
        <f t="shared" si="199"/>
        <v>47000</v>
      </c>
      <c r="CU80" s="608">
        <f t="shared" si="200"/>
        <v>0</v>
      </c>
      <c r="CV80" s="610">
        <f t="shared" si="201"/>
        <v>0</v>
      </c>
      <c r="CW80" s="608">
        <f t="shared" si="202"/>
        <v>0</v>
      </c>
      <c r="CX80" s="610">
        <f t="shared" si="203"/>
        <v>63705.374892681015</v>
      </c>
      <c r="CY80" s="611">
        <f t="shared" si="204"/>
        <v>69796.662074100634</v>
      </c>
      <c r="CZ80" s="605">
        <f t="shared" si="205"/>
        <v>39</v>
      </c>
      <c r="DA80" s="612">
        <f t="shared" si="206"/>
        <v>37</v>
      </c>
      <c r="DB80" s="607">
        <f t="shared" si="207"/>
        <v>91</v>
      </c>
      <c r="DC80" s="606">
        <f t="shared" si="208"/>
        <v>84</v>
      </c>
      <c r="DD80" s="607">
        <f t="shared" si="209"/>
        <v>63</v>
      </c>
      <c r="DE80" s="606">
        <f t="shared" si="210"/>
        <v>62</v>
      </c>
      <c r="DF80" s="607">
        <f t="shared" si="211"/>
        <v>12</v>
      </c>
      <c r="DG80" s="606">
        <f t="shared" si="212"/>
        <v>0</v>
      </c>
      <c r="DH80" s="607">
        <f t="shared" si="213"/>
        <v>2</v>
      </c>
      <c r="DI80" s="608">
        <f t="shared" si="214"/>
        <v>0</v>
      </c>
      <c r="DJ80" s="607">
        <f t="shared" si="215"/>
        <v>0</v>
      </c>
      <c r="DK80" s="608">
        <f t="shared" si="216"/>
        <v>0</v>
      </c>
      <c r="DL80" s="607">
        <f t="shared" si="217"/>
        <v>207</v>
      </c>
      <c r="DM80" s="608">
        <f t="shared" si="218"/>
        <v>183</v>
      </c>
      <c r="DN80" s="607">
        <f t="shared" si="219"/>
        <v>3128782.9463806972</v>
      </c>
      <c r="DO80" s="612">
        <f t="shared" si="220"/>
        <v>3131081.8691860465</v>
      </c>
      <c r="DP80" s="607">
        <f t="shared" si="221"/>
        <v>5738276.1948658107</v>
      </c>
      <c r="DQ80" s="606">
        <f t="shared" si="222"/>
        <v>5714762.6424870472</v>
      </c>
      <c r="DR80" s="607">
        <f t="shared" si="223"/>
        <v>3659025.461538462</v>
      </c>
      <c r="DS80" s="606">
        <f t="shared" si="224"/>
        <v>3926944.647887324</v>
      </c>
      <c r="DT80" s="607">
        <f t="shared" si="225"/>
        <v>566928</v>
      </c>
      <c r="DU80" s="606">
        <f t="shared" si="226"/>
        <v>0</v>
      </c>
      <c r="DV80" s="607">
        <f t="shared" si="227"/>
        <v>94000</v>
      </c>
      <c r="DW80" s="608">
        <f t="shared" si="228"/>
        <v>0</v>
      </c>
      <c r="DX80" s="607">
        <f t="shared" si="229"/>
        <v>0</v>
      </c>
      <c r="DY80" s="608">
        <f t="shared" si="230"/>
        <v>0</v>
      </c>
      <c r="DZ80" s="607">
        <f t="shared" si="231"/>
        <v>13187012.602784971</v>
      </c>
      <c r="EA80" s="608">
        <f t="shared" si="232"/>
        <v>12772789.159560416</v>
      </c>
    </row>
    <row r="81" spans="1:131" x14ac:dyDescent="0.2">
      <c r="A81" s="484" t="s">
        <v>33</v>
      </c>
      <c r="B81" s="414" t="s">
        <v>715</v>
      </c>
      <c r="C81" s="541"/>
      <c r="D81" s="419">
        <v>130916</v>
      </c>
      <c r="E81" s="420">
        <v>8</v>
      </c>
      <c r="F81" s="598"/>
      <c r="G81" s="599"/>
      <c r="H81" s="600"/>
      <c r="I81" s="601"/>
      <c r="J81" s="600"/>
      <c r="K81" s="599"/>
      <c r="L81" s="600"/>
      <c r="M81" s="601"/>
      <c r="N81" s="600"/>
      <c r="O81" s="599"/>
      <c r="P81" s="600"/>
      <c r="Q81" s="601"/>
      <c r="R81" s="600"/>
      <c r="S81" s="599"/>
      <c r="T81" s="600"/>
      <c r="U81" s="601"/>
      <c r="V81" s="600"/>
      <c r="W81" s="599"/>
      <c r="X81" s="600"/>
      <c r="Y81" s="601"/>
      <c r="Z81" s="600"/>
      <c r="AA81" s="599"/>
      <c r="AB81" s="600"/>
      <c r="AC81" s="601"/>
      <c r="AD81" s="600"/>
      <c r="AE81" s="599"/>
      <c r="AF81" s="600"/>
      <c r="AG81" s="601"/>
      <c r="AH81" s="600"/>
      <c r="AI81" s="599"/>
      <c r="AJ81" s="600"/>
      <c r="AK81" s="601"/>
      <c r="AL81" s="600"/>
      <c r="AM81" s="599"/>
      <c r="AN81" s="600"/>
      <c r="AO81" s="601"/>
      <c r="AP81" s="600"/>
      <c r="AQ81" s="599"/>
      <c r="AR81" s="600"/>
      <c r="AS81" s="601"/>
      <c r="AT81" s="600">
        <v>125</v>
      </c>
      <c r="AU81" s="599"/>
      <c r="AV81" s="600"/>
      <c r="AW81" s="601">
        <v>85</v>
      </c>
      <c r="AX81" s="600">
        <v>51</v>
      </c>
      <c r="AY81" s="599">
        <v>10</v>
      </c>
      <c r="AZ81" s="600"/>
      <c r="BA81" s="601">
        <v>14</v>
      </c>
      <c r="BB81" s="602">
        <v>0</v>
      </c>
      <c r="BC81" s="599"/>
      <c r="BD81" s="600">
        <v>0</v>
      </c>
      <c r="BE81" s="599"/>
      <c r="BF81" s="600">
        <v>0</v>
      </c>
      <c r="BG81" s="599"/>
      <c r="BH81" s="600">
        <v>0</v>
      </c>
      <c r="BI81" s="599"/>
      <c r="BJ81" s="600">
        <v>0</v>
      </c>
      <c r="BK81" s="615"/>
      <c r="BL81" s="600">
        <v>12017776</v>
      </c>
      <c r="BM81" s="604">
        <v>10534107</v>
      </c>
      <c r="BN81" s="605">
        <f t="shared" si="167"/>
        <v>0</v>
      </c>
      <c r="BO81" s="606">
        <f t="shared" si="168"/>
        <v>0</v>
      </c>
      <c r="BP81" s="607">
        <f t="shared" si="169"/>
        <v>0</v>
      </c>
      <c r="BQ81" s="606">
        <f t="shared" si="170"/>
        <v>0</v>
      </c>
      <c r="BR81" s="607">
        <f t="shared" si="171"/>
        <v>0</v>
      </c>
      <c r="BS81" s="606">
        <f t="shared" si="172"/>
        <v>0</v>
      </c>
      <c r="BT81" s="607">
        <f t="shared" si="173"/>
        <v>0</v>
      </c>
      <c r="BU81" s="606">
        <f t="shared" si="174"/>
        <v>0</v>
      </c>
      <c r="BV81" s="607">
        <f t="shared" si="175"/>
        <v>0</v>
      </c>
      <c r="BW81" s="608">
        <f t="shared" si="176"/>
        <v>0</v>
      </c>
      <c r="BX81" s="607">
        <f t="shared" si="177"/>
        <v>1686</v>
      </c>
      <c r="BY81" s="608">
        <f t="shared" si="178"/>
        <v>1128</v>
      </c>
      <c r="BZ81" s="607">
        <f t="shared" si="179"/>
        <v>0</v>
      </c>
      <c r="CA81" s="608">
        <f t="shared" si="180"/>
        <v>0</v>
      </c>
      <c r="CB81" s="607">
        <f t="shared" si="181"/>
        <v>0</v>
      </c>
      <c r="CC81" s="608">
        <f t="shared" si="182"/>
        <v>0</v>
      </c>
      <c r="CD81" s="607">
        <f t="shared" si="183"/>
        <v>0</v>
      </c>
      <c r="CE81" s="608">
        <f t="shared" si="184"/>
        <v>0</v>
      </c>
      <c r="CF81" s="607">
        <f t="shared" si="185"/>
        <v>0</v>
      </c>
      <c r="CG81" s="608">
        <f t="shared" si="186"/>
        <v>0</v>
      </c>
      <c r="CH81" s="607">
        <f t="shared" si="187"/>
        <v>0</v>
      </c>
      <c r="CI81" s="608">
        <f t="shared" si="188"/>
        <v>0</v>
      </c>
      <c r="CJ81" s="607">
        <f t="shared" si="189"/>
        <v>7127.9810201660739</v>
      </c>
      <c r="CK81" s="608">
        <f t="shared" si="190"/>
        <v>9338.7473404255325</v>
      </c>
      <c r="CL81" s="609">
        <f t="shared" si="191"/>
        <v>0</v>
      </c>
      <c r="CM81" s="608">
        <f t="shared" si="192"/>
        <v>0</v>
      </c>
      <c r="CN81" s="610">
        <f t="shared" si="193"/>
        <v>0</v>
      </c>
      <c r="CO81" s="606">
        <f t="shared" si="194"/>
        <v>0</v>
      </c>
      <c r="CP81" s="607">
        <f t="shared" si="195"/>
        <v>0</v>
      </c>
      <c r="CQ81" s="606">
        <f t="shared" si="196"/>
        <v>0</v>
      </c>
      <c r="CR81" s="607">
        <f t="shared" si="197"/>
        <v>0</v>
      </c>
      <c r="CS81" s="606">
        <f t="shared" si="198"/>
        <v>0</v>
      </c>
      <c r="CT81" s="607">
        <f t="shared" si="199"/>
        <v>0</v>
      </c>
      <c r="CU81" s="608">
        <f t="shared" si="200"/>
        <v>0</v>
      </c>
      <c r="CV81" s="610">
        <f t="shared" si="201"/>
        <v>64151.829181494664</v>
      </c>
      <c r="CW81" s="608">
        <f t="shared" si="202"/>
        <v>84048.726063829788</v>
      </c>
      <c r="CX81" s="610">
        <f t="shared" si="203"/>
        <v>64151.829181494664</v>
      </c>
      <c r="CY81" s="611">
        <f t="shared" si="204"/>
        <v>84048.726063829788</v>
      </c>
      <c r="CZ81" s="605">
        <f t="shared" si="205"/>
        <v>0</v>
      </c>
      <c r="DA81" s="612">
        <f t="shared" si="206"/>
        <v>0</v>
      </c>
      <c r="DB81" s="607">
        <f t="shared" si="207"/>
        <v>0</v>
      </c>
      <c r="DC81" s="606">
        <f t="shared" si="208"/>
        <v>0</v>
      </c>
      <c r="DD81" s="607">
        <f t="shared" si="209"/>
        <v>0</v>
      </c>
      <c r="DE81" s="606">
        <f t="shared" si="210"/>
        <v>0</v>
      </c>
      <c r="DF81" s="607">
        <f t="shared" si="211"/>
        <v>0</v>
      </c>
      <c r="DG81" s="606">
        <f t="shared" si="212"/>
        <v>0</v>
      </c>
      <c r="DH81" s="607">
        <f t="shared" si="213"/>
        <v>0</v>
      </c>
      <c r="DI81" s="608">
        <f t="shared" si="214"/>
        <v>0</v>
      </c>
      <c r="DJ81" s="607">
        <f t="shared" si="215"/>
        <v>176</v>
      </c>
      <c r="DK81" s="608">
        <f t="shared" si="216"/>
        <v>109</v>
      </c>
      <c r="DL81" s="607">
        <f t="shared" si="217"/>
        <v>176</v>
      </c>
      <c r="DM81" s="608">
        <f t="shared" si="218"/>
        <v>109</v>
      </c>
      <c r="DN81" s="607">
        <f t="shared" si="219"/>
        <v>0</v>
      </c>
      <c r="DO81" s="612">
        <f t="shared" si="220"/>
        <v>0</v>
      </c>
      <c r="DP81" s="607">
        <f t="shared" si="221"/>
        <v>0</v>
      </c>
      <c r="DQ81" s="606">
        <f t="shared" si="222"/>
        <v>0</v>
      </c>
      <c r="DR81" s="607">
        <f t="shared" si="223"/>
        <v>0</v>
      </c>
      <c r="DS81" s="606">
        <f t="shared" si="224"/>
        <v>0</v>
      </c>
      <c r="DT81" s="607">
        <f t="shared" si="225"/>
        <v>0</v>
      </c>
      <c r="DU81" s="606">
        <f t="shared" si="226"/>
        <v>0</v>
      </c>
      <c r="DV81" s="607">
        <f t="shared" si="227"/>
        <v>0</v>
      </c>
      <c r="DW81" s="608">
        <f t="shared" si="228"/>
        <v>0</v>
      </c>
      <c r="DX81" s="607">
        <f t="shared" si="229"/>
        <v>11290721.935943061</v>
      </c>
      <c r="DY81" s="608">
        <f t="shared" si="230"/>
        <v>9161311.1409574468</v>
      </c>
      <c r="DZ81" s="607">
        <f t="shared" si="231"/>
        <v>11290721.935943061</v>
      </c>
      <c r="EA81" s="608">
        <f t="shared" si="232"/>
        <v>9161311.1409574468</v>
      </c>
    </row>
    <row r="82" spans="1:131" x14ac:dyDescent="0.2">
      <c r="A82" s="484" t="s">
        <v>33</v>
      </c>
      <c r="B82" s="414" t="s">
        <v>716</v>
      </c>
      <c r="C82" s="542"/>
      <c r="D82" s="419">
        <v>130891</v>
      </c>
      <c r="E82" s="419">
        <v>9</v>
      </c>
      <c r="F82" s="598"/>
      <c r="G82" s="599"/>
      <c r="H82" s="600"/>
      <c r="I82" s="601"/>
      <c r="J82" s="600"/>
      <c r="K82" s="599"/>
      <c r="L82" s="600"/>
      <c r="M82" s="601"/>
      <c r="N82" s="600"/>
      <c r="O82" s="599"/>
      <c r="P82" s="600"/>
      <c r="Q82" s="601"/>
      <c r="R82" s="600"/>
      <c r="S82" s="599"/>
      <c r="T82" s="600"/>
      <c r="U82" s="601"/>
      <c r="V82" s="600"/>
      <c r="W82" s="599"/>
      <c r="X82" s="600"/>
      <c r="Y82" s="601"/>
      <c r="Z82" s="600"/>
      <c r="AA82" s="599"/>
      <c r="AB82" s="600"/>
      <c r="AC82" s="601"/>
      <c r="AD82" s="600"/>
      <c r="AE82" s="599"/>
      <c r="AF82" s="600"/>
      <c r="AG82" s="601"/>
      <c r="AH82" s="600"/>
      <c r="AI82" s="599"/>
      <c r="AJ82" s="600"/>
      <c r="AK82" s="601"/>
      <c r="AL82" s="600"/>
      <c r="AM82" s="599"/>
      <c r="AN82" s="600"/>
      <c r="AO82" s="601"/>
      <c r="AP82" s="600"/>
      <c r="AQ82" s="599"/>
      <c r="AR82" s="600"/>
      <c r="AS82" s="601"/>
      <c r="AT82" s="600">
        <v>77</v>
      </c>
      <c r="AU82" s="599"/>
      <c r="AV82" s="600"/>
      <c r="AW82" s="601">
        <v>80</v>
      </c>
      <c r="AX82" s="600">
        <v>45</v>
      </c>
      <c r="AY82" s="599">
        <v>8</v>
      </c>
      <c r="AZ82" s="600"/>
      <c r="BA82" s="601">
        <v>31</v>
      </c>
      <c r="BB82" s="602">
        <v>0</v>
      </c>
      <c r="BC82" s="599"/>
      <c r="BD82" s="600">
        <v>0</v>
      </c>
      <c r="BE82" s="599"/>
      <c r="BF82" s="600">
        <v>0</v>
      </c>
      <c r="BG82" s="599"/>
      <c r="BH82" s="600">
        <v>0</v>
      </c>
      <c r="BI82" s="599"/>
      <c r="BJ82" s="600">
        <v>0</v>
      </c>
      <c r="BK82" s="615"/>
      <c r="BL82" s="600">
        <v>8558605</v>
      </c>
      <c r="BM82" s="604">
        <v>8633444</v>
      </c>
      <c r="BN82" s="605">
        <f t="shared" si="167"/>
        <v>0</v>
      </c>
      <c r="BO82" s="606">
        <f t="shared" si="168"/>
        <v>0</v>
      </c>
      <c r="BP82" s="607">
        <f t="shared" si="169"/>
        <v>0</v>
      </c>
      <c r="BQ82" s="606">
        <f t="shared" si="170"/>
        <v>0</v>
      </c>
      <c r="BR82" s="607">
        <f t="shared" si="171"/>
        <v>0</v>
      </c>
      <c r="BS82" s="606">
        <f t="shared" si="172"/>
        <v>0</v>
      </c>
      <c r="BT82" s="607">
        <f t="shared" si="173"/>
        <v>0</v>
      </c>
      <c r="BU82" s="606">
        <f t="shared" si="174"/>
        <v>0</v>
      </c>
      <c r="BV82" s="607">
        <f t="shared" si="175"/>
        <v>0</v>
      </c>
      <c r="BW82" s="608">
        <f t="shared" si="176"/>
        <v>0</v>
      </c>
      <c r="BX82" s="607">
        <f t="shared" si="177"/>
        <v>1188</v>
      </c>
      <c r="BY82" s="608">
        <f t="shared" si="178"/>
        <v>1260</v>
      </c>
      <c r="BZ82" s="607">
        <f t="shared" si="179"/>
        <v>0</v>
      </c>
      <c r="CA82" s="608">
        <f t="shared" si="180"/>
        <v>0</v>
      </c>
      <c r="CB82" s="607">
        <f t="shared" si="181"/>
        <v>0</v>
      </c>
      <c r="CC82" s="608">
        <f t="shared" si="182"/>
        <v>0</v>
      </c>
      <c r="CD82" s="607">
        <f t="shared" si="183"/>
        <v>0</v>
      </c>
      <c r="CE82" s="608">
        <f t="shared" si="184"/>
        <v>0</v>
      </c>
      <c r="CF82" s="607">
        <f t="shared" si="185"/>
        <v>0</v>
      </c>
      <c r="CG82" s="608">
        <f t="shared" si="186"/>
        <v>0</v>
      </c>
      <c r="CH82" s="607">
        <f t="shared" si="187"/>
        <v>0</v>
      </c>
      <c r="CI82" s="608">
        <f t="shared" si="188"/>
        <v>0</v>
      </c>
      <c r="CJ82" s="607">
        <f t="shared" si="189"/>
        <v>7204.2129629629626</v>
      </c>
      <c r="CK82" s="608">
        <f t="shared" si="190"/>
        <v>6851.9396825396825</v>
      </c>
      <c r="CL82" s="609">
        <f t="shared" si="191"/>
        <v>0</v>
      </c>
      <c r="CM82" s="608">
        <f t="shared" si="192"/>
        <v>0</v>
      </c>
      <c r="CN82" s="610">
        <f t="shared" si="193"/>
        <v>0</v>
      </c>
      <c r="CO82" s="606">
        <f t="shared" si="194"/>
        <v>0</v>
      </c>
      <c r="CP82" s="607">
        <f t="shared" si="195"/>
        <v>0</v>
      </c>
      <c r="CQ82" s="606">
        <f t="shared" si="196"/>
        <v>0</v>
      </c>
      <c r="CR82" s="607">
        <f t="shared" si="197"/>
        <v>0</v>
      </c>
      <c r="CS82" s="606">
        <f t="shared" si="198"/>
        <v>0</v>
      </c>
      <c r="CT82" s="607">
        <f t="shared" si="199"/>
        <v>0</v>
      </c>
      <c r="CU82" s="608">
        <f t="shared" si="200"/>
        <v>0</v>
      </c>
      <c r="CV82" s="610">
        <f t="shared" si="201"/>
        <v>64837.916666666664</v>
      </c>
      <c r="CW82" s="608">
        <f t="shared" si="202"/>
        <v>61667.457142857143</v>
      </c>
      <c r="CX82" s="610">
        <f t="shared" si="203"/>
        <v>64837.916666666664</v>
      </c>
      <c r="CY82" s="611">
        <f t="shared" si="204"/>
        <v>61667.457142857143</v>
      </c>
      <c r="CZ82" s="605">
        <f t="shared" si="205"/>
        <v>0</v>
      </c>
      <c r="DA82" s="612">
        <f t="shared" si="206"/>
        <v>0</v>
      </c>
      <c r="DB82" s="607">
        <f t="shared" si="207"/>
        <v>0</v>
      </c>
      <c r="DC82" s="606">
        <f t="shared" si="208"/>
        <v>0</v>
      </c>
      <c r="DD82" s="607">
        <f t="shared" si="209"/>
        <v>0</v>
      </c>
      <c r="DE82" s="606">
        <f t="shared" si="210"/>
        <v>0</v>
      </c>
      <c r="DF82" s="607">
        <f t="shared" si="211"/>
        <v>0</v>
      </c>
      <c r="DG82" s="606">
        <f t="shared" si="212"/>
        <v>0</v>
      </c>
      <c r="DH82" s="607">
        <f t="shared" si="213"/>
        <v>0</v>
      </c>
      <c r="DI82" s="608">
        <f t="shared" si="214"/>
        <v>0</v>
      </c>
      <c r="DJ82" s="607">
        <f t="shared" si="215"/>
        <v>122</v>
      </c>
      <c r="DK82" s="608">
        <f t="shared" si="216"/>
        <v>119</v>
      </c>
      <c r="DL82" s="607">
        <f t="shared" si="217"/>
        <v>122</v>
      </c>
      <c r="DM82" s="608">
        <f t="shared" si="218"/>
        <v>119</v>
      </c>
      <c r="DN82" s="607">
        <f t="shared" si="219"/>
        <v>0</v>
      </c>
      <c r="DO82" s="612">
        <f t="shared" si="220"/>
        <v>0</v>
      </c>
      <c r="DP82" s="607">
        <f t="shared" si="221"/>
        <v>0</v>
      </c>
      <c r="DQ82" s="606">
        <f t="shared" si="222"/>
        <v>0</v>
      </c>
      <c r="DR82" s="607">
        <f t="shared" si="223"/>
        <v>0</v>
      </c>
      <c r="DS82" s="606">
        <f t="shared" si="224"/>
        <v>0</v>
      </c>
      <c r="DT82" s="607">
        <f t="shared" si="225"/>
        <v>0</v>
      </c>
      <c r="DU82" s="606">
        <f t="shared" si="226"/>
        <v>0</v>
      </c>
      <c r="DV82" s="607">
        <f t="shared" si="227"/>
        <v>0</v>
      </c>
      <c r="DW82" s="608">
        <f t="shared" si="228"/>
        <v>0</v>
      </c>
      <c r="DX82" s="607">
        <f t="shared" si="229"/>
        <v>7910225.833333333</v>
      </c>
      <c r="DY82" s="608">
        <f t="shared" si="230"/>
        <v>7338427.4000000004</v>
      </c>
      <c r="DZ82" s="607">
        <f t="shared" si="231"/>
        <v>7910225.833333333</v>
      </c>
      <c r="EA82" s="608">
        <f t="shared" si="232"/>
        <v>7338427.4000000004</v>
      </c>
    </row>
    <row r="83" spans="1:131" x14ac:dyDescent="0.2">
      <c r="A83" s="484" t="s">
        <v>33</v>
      </c>
      <c r="B83" s="417" t="s">
        <v>717</v>
      </c>
      <c r="C83" s="543"/>
      <c r="D83" s="419">
        <v>130907</v>
      </c>
      <c r="E83" s="419">
        <v>9</v>
      </c>
      <c r="F83" s="598"/>
      <c r="G83" s="599"/>
      <c r="H83" s="600"/>
      <c r="I83" s="601"/>
      <c r="J83" s="600"/>
      <c r="K83" s="599"/>
      <c r="L83" s="600"/>
      <c r="M83" s="601"/>
      <c r="N83" s="600"/>
      <c r="O83" s="599"/>
      <c r="P83" s="600"/>
      <c r="Q83" s="601"/>
      <c r="R83" s="600"/>
      <c r="S83" s="599"/>
      <c r="T83" s="600"/>
      <c r="U83" s="601"/>
      <c r="V83" s="600"/>
      <c r="W83" s="599"/>
      <c r="X83" s="600"/>
      <c r="Y83" s="601"/>
      <c r="Z83" s="600"/>
      <c r="AA83" s="599"/>
      <c r="AB83" s="600"/>
      <c r="AC83" s="601"/>
      <c r="AD83" s="600"/>
      <c r="AE83" s="599"/>
      <c r="AF83" s="600"/>
      <c r="AG83" s="601"/>
      <c r="AH83" s="600"/>
      <c r="AI83" s="599"/>
      <c r="AJ83" s="600"/>
      <c r="AK83" s="601"/>
      <c r="AL83" s="600"/>
      <c r="AM83" s="599"/>
      <c r="AN83" s="600"/>
      <c r="AO83" s="601"/>
      <c r="AP83" s="600"/>
      <c r="AQ83" s="599"/>
      <c r="AR83" s="600"/>
      <c r="AS83" s="601"/>
      <c r="AT83" s="600">
        <v>58</v>
      </c>
      <c r="AU83" s="599"/>
      <c r="AV83" s="600"/>
      <c r="AW83" s="601">
        <v>60</v>
      </c>
      <c r="AX83" s="600">
        <v>27</v>
      </c>
      <c r="AY83" s="599">
        <v>7</v>
      </c>
      <c r="AZ83" s="600"/>
      <c r="BA83" s="601">
        <v>21</v>
      </c>
      <c r="BB83" s="602">
        <v>0</v>
      </c>
      <c r="BC83" s="599"/>
      <c r="BD83" s="600">
        <v>0</v>
      </c>
      <c r="BE83" s="599"/>
      <c r="BF83" s="600">
        <v>0</v>
      </c>
      <c r="BG83" s="599"/>
      <c r="BH83" s="600">
        <v>0</v>
      </c>
      <c r="BI83" s="599"/>
      <c r="BJ83" s="600">
        <v>0</v>
      </c>
      <c r="BK83" s="615"/>
      <c r="BL83" s="600">
        <v>5745672</v>
      </c>
      <c r="BM83" s="604">
        <v>6206367</v>
      </c>
      <c r="BN83" s="605">
        <f t="shared" si="167"/>
        <v>0</v>
      </c>
      <c r="BO83" s="606">
        <f t="shared" si="168"/>
        <v>0</v>
      </c>
      <c r="BP83" s="607">
        <f t="shared" si="169"/>
        <v>0</v>
      </c>
      <c r="BQ83" s="606">
        <f t="shared" si="170"/>
        <v>0</v>
      </c>
      <c r="BR83" s="607">
        <f t="shared" si="171"/>
        <v>0</v>
      </c>
      <c r="BS83" s="606">
        <f t="shared" si="172"/>
        <v>0</v>
      </c>
      <c r="BT83" s="607">
        <f t="shared" si="173"/>
        <v>0</v>
      </c>
      <c r="BU83" s="606">
        <f t="shared" si="174"/>
        <v>0</v>
      </c>
      <c r="BV83" s="607">
        <f t="shared" si="175"/>
        <v>0</v>
      </c>
      <c r="BW83" s="608">
        <f t="shared" si="176"/>
        <v>0</v>
      </c>
      <c r="BX83" s="607">
        <f t="shared" si="177"/>
        <v>819</v>
      </c>
      <c r="BY83" s="608">
        <f t="shared" si="178"/>
        <v>929</v>
      </c>
      <c r="BZ83" s="607">
        <f t="shared" si="179"/>
        <v>0</v>
      </c>
      <c r="CA83" s="608">
        <f t="shared" si="180"/>
        <v>0</v>
      </c>
      <c r="CB83" s="607">
        <f t="shared" si="181"/>
        <v>0</v>
      </c>
      <c r="CC83" s="608">
        <f t="shared" si="182"/>
        <v>0</v>
      </c>
      <c r="CD83" s="607">
        <f t="shared" si="183"/>
        <v>0</v>
      </c>
      <c r="CE83" s="608">
        <f t="shared" si="184"/>
        <v>0</v>
      </c>
      <c r="CF83" s="607">
        <f t="shared" si="185"/>
        <v>0</v>
      </c>
      <c r="CG83" s="608">
        <f t="shared" si="186"/>
        <v>0</v>
      </c>
      <c r="CH83" s="607">
        <f t="shared" si="187"/>
        <v>0</v>
      </c>
      <c r="CI83" s="608">
        <f t="shared" si="188"/>
        <v>0</v>
      </c>
      <c r="CJ83" s="607">
        <f t="shared" si="189"/>
        <v>7015.4725274725279</v>
      </c>
      <c r="CK83" s="608">
        <f t="shared" si="190"/>
        <v>6680.6964477933261</v>
      </c>
      <c r="CL83" s="609">
        <f t="shared" si="191"/>
        <v>0</v>
      </c>
      <c r="CM83" s="608">
        <f t="shared" si="192"/>
        <v>0</v>
      </c>
      <c r="CN83" s="610">
        <f t="shared" si="193"/>
        <v>0</v>
      </c>
      <c r="CO83" s="606">
        <f t="shared" si="194"/>
        <v>0</v>
      </c>
      <c r="CP83" s="607">
        <f t="shared" si="195"/>
        <v>0</v>
      </c>
      <c r="CQ83" s="606">
        <f t="shared" si="196"/>
        <v>0</v>
      </c>
      <c r="CR83" s="607">
        <f t="shared" si="197"/>
        <v>0</v>
      </c>
      <c r="CS83" s="606">
        <f t="shared" si="198"/>
        <v>0</v>
      </c>
      <c r="CT83" s="607">
        <f t="shared" si="199"/>
        <v>0</v>
      </c>
      <c r="CU83" s="608">
        <f t="shared" si="200"/>
        <v>0</v>
      </c>
      <c r="CV83" s="610">
        <f t="shared" si="201"/>
        <v>63139.252747252751</v>
      </c>
      <c r="CW83" s="608">
        <f t="shared" si="202"/>
        <v>60126.268030139938</v>
      </c>
      <c r="CX83" s="610">
        <f t="shared" si="203"/>
        <v>63139.252747252751</v>
      </c>
      <c r="CY83" s="611">
        <f t="shared" si="204"/>
        <v>60126.268030139938</v>
      </c>
      <c r="CZ83" s="605">
        <f t="shared" si="205"/>
        <v>0</v>
      </c>
      <c r="DA83" s="612">
        <f t="shared" si="206"/>
        <v>0</v>
      </c>
      <c r="DB83" s="607">
        <f t="shared" si="207"/>
        <v>0</v>
      </c>
      <c r="DC83" s="606">
        <f t="shared" si="208"/>
        <v>0</v>
      </c>
      <c r="DD83" s="607">
        <f t="shared" si="209"/>
        <v>0</v>
      </c>
      <c r="DE83" s="606">
        <f t="shared" si="210"/>
        <v>0</v>
      </c>
      <c r="DF83" s="607">
        <f t="shared" si="211"/>
        <v>0</v>
      </c>
      <c r="DG83" s="606">
        <f t="shared" si="212"/>
        <v>0</v>
      </c>
      <c r="DH83" s="607">
        <f t="shared" si="213"/>
        <v>0</v>
      </c>
      <c r="DI83" s="608">
        <f t="shared" si="214"/>
        <v>0</v>
      </c>
      <c r="DJ83" s="607">
        <f t="shared" si="215"/>
        <v>85</v>
      </c>
      <c r="DK83" s="608">
        <f t="shared" si="216"/>
        <v>88</v>
      </c>
      <c r="DL83" s="607">
        <f t="shared" si="217"/>
        <v>85</v>
      </c>
      <c r="DM83" s="608">
        <f t="shared" si="218"/>
        <v>88</v>
      </c>
      <c r="DN83" s="607">
        <f t="shared" si="219"/>
        <v>0</v>
      </c>
      <c r="DO83" s="612">
        <f t="shared" si="220"/>
        <v>0</v>
      </c>
      <c r="DP83" s="607">
        <f t="shared" si="221"/>
        <v>0</v>
      </c>
      <c r="DQ83" s="606">
        <f t="shared" si="222"/>
        <v>0</v>
      </c>
      <c r="DR83" s="607">
        <f t="shared" si="223"/>
        <v>0</v>
      </c>
      <c r="DS83" s="606">
        <f t="shared" si="224"/>
        <v>0</v>
      </c>
      <c r="DT83" s="607">
        <f t="shared" si="225"/>
        <v>0</v>
      </c>
      <c r="DU83" s="606">
        <f t="shared" si="226"/>
        <v>0</v>
      </c>
      <c r="DV83" s="607">
        <f t="shared" si="227"/>
        <v>0</v>
      </c>
      <c r="DW83" s="608">
        <f t="shared" si="228"/>
        <v>0</v>
      </c>
      <c r="DX83" s="607">
        <f t="shared" si="229"/>
        <v>5366836.4835164836</v>
      </c>
      <c r="DY83" s="608">
        <f t="shared" si="230"/>
        <v>5291111.5866523143</v>
      </c>
      <c r="DZ83" s="607">
        <f t="shared" si="231"/>
        <v>5366836.4835164836</v>
      </c>
      <c r="EA83" s="608">
        <f t="shared" si="232"/>
        <v>5291111.5866523143</v>
      </c>
    </row>
    <row r="84" spans="1:131" ht="12.75" customHeight="1" x14ac:dyDescent="0.2">
      <c r="A84" s="486" t="s">
        <v>34</v>
      </c>
      <c r="B84" s="427" t="s">
        <v>744</v>
      </c>
      <c r="C84" s="544"/>
      <c r="D84" s="428">
        <v>133951</v>
      </c>
      <c r="E84" s="355">
        <v>1</v>
      </c>
      <c r="F84" s="598">
        <v>208</v>
      </c>
      <c r="G84" s="617">
        <v>213</v>
      </c>
      <c r="H84" s="600"/>
      <c r="I84" s="601"/>
      <c r="J84" s="600"/>
      <c r="K84" s="618"/>
      <c r="L84" s="600">
        <v>14</v>
      </c>
      <c r="M84" s="619">
        <v>21</v>
      </c>
      <c r="N84" s="600">
        <v>240</v>
      </c>
      <c r="O84" s="617">
        <v>254</v>
      </c>
      <c r="P84" s="600"/>
      <c r="Q84" s="601"/>
      <c r="R84" s="600"/>
      <c r="S84" s="618"/>
      <c r="T84" s="600">
        <v>14</v>
      </c>
      <c r="U84" s="619">
        <v>14</v>
      </c>
      <c r="V84" s="600">
        <v>228</v>
      </c>
      <c r="W84" s="620">
        <v>283</v>
      </c>
      <c r="X84" s="600"/>
      <c r="Y84" s="601"/>
      <c r="Z84" s="600"/>
      <c r="AA84" s="618"/>
      <c r="AB84" s="600">
        <v>15</v>
      </c>
      <c r="AC84" s="617">
        <v>15</v>
      </c>
      <c r="AD84" s="600">
        <v>123</v>
      </c>
      <c r="AE84" s="619">
        <v>175</v>
      </c>
      <c r="AF84" s="600"/>
      <c r="AG84" s="601"/>
      <c r="AH84" s="600"/>
      <c r="AI84" s="618"/>
      <c r="AJ84" s="600">
        <v>10</v>
      </c>
      <c r="AK84" s="619">
        <v>21</v>
      </c>
      <c r="AL84" s="621">
        <v>39</v>
      </c>
      <c r="AM84" s="617">
        <v>41</v>
      </c>
      <c r="AN84" s="600"/>
      <c r="AO84" s="601"/>
      <c r="AP84" s="600"/>
      <c r="AQ84" s="618"/>
      <c r="AR84" s="621">
        <v>8</v>
      </c>
      <c r="AS84" s="619">
        <v>25</v>
      </c>
      <c r="AT84" s="600"/>
      <c r="AU84" s="599"/>
      <c r="AV84" s="600"/>
      <c r="AW84" s="601"/>
      <c r="AX84" s="600"/>
      <c r="AY84" s="599"/>
      <c r="AZ84" s="600"/>
      <c r="BA84" s="601"/>
      <c r="BB84" s="602">
        <v>26174818.379999999</v>
      </c>
      <c r="BC84" s="612">
        <v>28192507</v>
      </c>
      <c r="BD84" s="600">
        <v>21587547.170000002</v>
      </c>
      <c r="BE84" s="599">
        <v>23911550</v>
      </c>
      <c r="BF84" s="600">
        <v>18450190.710000001</v>
      </c>
      <c r="BG84" s="599">
        <v>23101411</v>
      </c>
      <c r="BH84" s="600">
        <v>7618695.4299999997</v>
      </c>
      <c r="BI84" s="599">
        <v>11329310</v>
      </c>
      <c r="BJ84" s="621">
        <v>3327759</v>
      </c>
      <c r="BK84" s="615">
        <v>5070987</v>
      </c>
      <c r="BL84" s="600">
        <v>0</v>
      </c>
      <c r="BM84" s="604"/>
      <c r="BN84" s="605">
        <f t="shared" si="167"/>
        <v>2040</v>
      </c>
      <c r="BO84" s="606">
        <f t="shared" si="168"/>
        <v>2169</v>
      </c>
      <c r="BP84" s="607">
        <f t="shared" si="169"/>
        <v>2328</v>
      </c>
      <c r="BQ84" s="606">
        <f t="shared" si="170"/>
        <v>2454</v>
      </c>
      <c r="BR84" s="607">
        <f t="shared" si="171"/>
        <v>2232</v>
      </c>
      <c r="BS84" s="606">
        <f t="shared" si="172"/>
        <v>2727</v>
      </c>
      <c r="BT84" s="607">
        <f t="shared" si="173"/>
        <v>1227</v>
      </c>
      <c r="BU84" s="606">
        <f t="shared" si="174"/>
        <v>1827</v>
      </c>
      <c r="BV84" s="607">
        <f t="shared" si="175"/>
        <v>447</v>
      </c>
      <c r="BW84" s="608">
        <f t="shared" si="176"/>
        <v>669</v>
      </c>
      <c r="BX84" s="607">
        <f t="shared" si="177"/>
        <v>0</v>
      </c>
      <c r="BY84" s="608">
        <f t="shared" si="178"/>
        <v>0</v>
      </c>
      <c r="BZ84" s="607">
        <f t="shared" si="179"/>
        <v>12830.793323529411</v>
      </c>
      <c r="CA84" s="608">
        <f t="shared" si="180"/>
        <v>12997.928538497003</v>
      </c>
      <c r="CB84" s="607">
        <f t="shared" si="181"/>
        <v>9273.0013616838496</v>
      </c>
      <c r="CC84" s="608">
        <f t="shared" si="182"/>
        <v>9743.9079054604736</v>
      </c>
      <c r="CD84" s="607">
        <f t="shared" si="183"/>
        <v>8266.2144758064514</v>
      </c>
      <c r="CE84" s="608">
        <f t="shared" si="184"/>
        <v>8471.3645031169781</v>
      </c>
      <c r="CF84" s="607">
        <f t="shared" si="185"/>
        <v>6209.2057294213528</v>
      </c>
      <c r="CG84" s="608">
        <f t="shared" si="186"/>
        <v>6201.0454296661192</v>
      </c>
      <c r="CH84" s="607">
        <f t="shared" si="187"/>
        <v>7444.6510067114095</v>
      </c>
      <c r="CI84" s="608">
        <f t="shared" si="188"/>
        <v>7579.9506726457403</v>
      </c>
      <c r="CJ84" s="607">
        <f t="shared" si="189"/>
        <v>0</v>
      </c>
      <c r="CK84" s="608">
        <f t="shared" si="190"/>
        <v>0</v>
      </c>
      <c r="CL84" s="609">
        <f t="shared" si="191"/>
        <v>115477.13991176471</v>
      </c>
      <c r="CM84" s="608">
        <f t="shared" si="192"/>
        <v>116981.35684647302</v>
      </c>
      <c r="CN84" s="610">
        <f t="shared" si="193"/>
        <v>83457.012255154652</v>
      </c>
      <c r="CO84" s="606">
        <f t="shared" si="194"/>
        <v>87695.171149144269</v>
      </c>
      <c r="CP84" s="607">
        <f t="shared" si="195"/>
        <v>74395.930282258065</v>
      </c>
      <c r="CQ84" s="606">
        <f t="shared" si="196"/>
        <v>76242.280528052797</v>
      </c>
      <c r="CR84" s="607">
        <f t="shared" si="197"/>
        <v>55882.851564792174</v>
      </c>
      <c r="CS84" s="606">
        <f t="shared" si="198"/>
        <v>55809.408866995072</v>
      </c>
      <c r="CT84" s="607">
        <f t="shared" si="199"/>
        <v>67001.859060402683</v>
      </c>
      <c r="CU84" s="608">
        <f t="shared" si="200"/>
        <v>68219.556053811655</v>
      </c>
      <c r="CV84" s="610">
        <f t="shared" si="201"/>
        <v>0</v>
      </c>
      <c r="CW84" s="608">
        <f t="shared" si="202"/>
        <v>0</v>
      </c>
      <c r="CX84" s="610">
        <f t="shared" si="203"/>
        <v>83975.221207748662</v>
      </c>
      <c r="CY84" s="611">
        <f t="shared" si="204"/>
        <v>83839.244637370692</v>
      </c>
      <c r="CZ84" s="605">
        <f t="shared" si="205"/>
        <v>222</v>
      </c>
      <c r="DA84" s="612">
        <f t="shared" si="206"/>
        <v>234</v>
      </c>
      <c r="DB84" s="607">
        <f t="shared" si="207"/>
        <v>254</v>
      </c>
      <c r="DC84" s="606">
        <f t="shared" si="208"/>
        <v>268</v>
      </c>
      <c r="DD84" s="607">
        <f t="shared" si="209"/>
        <v>243</v>
      </c>
      <c r="DE84" s="606">
        <f t="shared" si="210"/>
        <v>298</v>
      </c>
      <c r="DF84" s="607">
        <f t="shared" si="211"/>
        <v>133</v>
      </c>
      <c r="DG84" s="606">
        <f t="shared" si="212"/>
        <v>196</v>
      </c>
      <c r="DH84" s="607">
        <f t="shared" si="213"/>
        <v>47</v>
      </c>
      <c r="DI84" s="608">
        <f t="shared" si="214"/>
        <v>66</v>
      </c>
      <c r="DJ84" s="607">
        <f t="shared" si="215"/>
        <v>0</v>
      </c>
      <c r="DK84" s="608">
        <f t="shared" si="216"/>
        <v>0</v>
      </c>
      <c r="DL84" s="607">
        <f t="shared" si="217"/>
        <v>899</v>
      </c>
      <c r="DM84" s="608">
        <f t="shared" si="218"/>
        <v>1062</v>
      </c>
      <c r="DN84" s="607">
        <f t="shared" si="219"/>
        <v>25635925.060411766</v>
      </c>
      <c r="DO84" s="612">
        <f t="shared" si="220"/>
        <v>27373637.502074685</v>
      </c>
      <c r="DP84" s="607">
        <f t="shared" si="221"/>
        <v>21198081.112809282</v>
      </c>
      <c r="DQ84" s="606">
        <f t="shared" si="222"/>
        <v>23502305.867970664</v>
      </c>
      <c r="DR84" s="607">
        <f t="shared" si="223"/>
        <v>18078211.05858871</v>
      </c>
      <c r="DS84" s="606">
        <f t="shared" si="224"/>
        <v>22720199.597359732</v>
      </c>
      <c r="DT84" s="607">
        <f t="shared" si="225"/>
        <v>7432419.2581173591</v>
      </c>
      <c r="DU84" s="606">
        <f t="shared" si="226"/>
        <v>10938644.137931034</v>
      </c>
      <c r="DV84" s="607">
        <f t="shared" si="227"/>
        <v>3149087.3758389261</v>
      </c>
      <c r="DW84" s="608">
        <f t="shared" si="228"/>
        <v>4502490.6995515693</v>
      </c>
      <c r="DX84" s="607">
        <f t="shared" si="229"/>
        <v>0</v>
      </c>
      <c r="DY84" s="608">
        <f t="shared" si="230"/>
        <v>0</v>
      </c>
      <c r="DZ84" s="607">
        <f t="shared" si="231"/>
        <v>75493723.865766048</v>
      </c>
      <c r="EA84" s="608">
        <f t="shared" si="232"/>
        <v>89037277.804887667</v>
      </c>
    </row>
    <row r="85" spans="1:131" ht="12.75" customHeight="1" x14ac:dyDescent="0.2">
      <c r="A85" s="486" t="s">
        <v>34</v>
      </c>
      <c r="B85" s="374" t="s">
        <v>745</v>
      </c>
      <c r="C85" s="544"/>
      <c r="D85" s="426">
        <v>134097</v>
      </c>
      <c r="E85" s="429">
        <v>1</v>
      </c>
      <c r="F85" s="598">
        <v>441</v>
      </c>
      <c r="G85" s="617">
        <v>444</v>
      </c>
      <c r="H85" s="600"/>
      <c r="I85" s="601"/>
      <c r="J85" s="600"/>
      <c r="K85" s="618"/>
      <c r="L85" s="600">
        <v>7</v>
      </c>
      <c r="M85" s="619">
        <v>7</v>
      </c>
      <c r="N85" s="600">
        <v>327</v>
      </c>
      <c r="O85" s="617">
        <v>329</v>
      </c>
      <c r="P85" s="600"/>
      <c r="Q85" s="601"/>
      <c r="R85" s="600"/>
      <c r="S85" s="618"/>
      <c r="T85" s="600">
        <v>1</v>
      </c>
      <c r="U85" s="619">
        <v>1</v>
      </c>
      <c r="V85" s="600">
        <v>228</v>
      </c>
      <c r="W85" s="620">
        <v>236</v>
      </c>
      <c r="X85" s="600"/>
      <c r="Y85" s="601"/>
      <c r="Z85" s="600"/>
      <c r="AA85" s="618"/>
      <c r="AB85" s="600">
        <v>1</v>
      </c>
      <c r="AC85" s="617">
        <v>1</v>
      </c>
      <c r="AD85" s="600">
        <v>2</v>
      </c>
      <c r="AE85" s="619">
        <v>1</v>
      </c>
      <c r="AF85" s="600"/>
      <c r="AG85" s="601"/>
      <c r="AH85" s="600"/>
      <c r="AI85" s="618"/>
      <c r="AJ85" s="600">
        <v>5</v>
      </c>
      <c r="AK85" s="619">
        <v>6</v>
      </c>
      <c r="AL85" s="621">
        <v>125</v>
      </c>
      <c r="AM85" s="617">
        <v>128</v>
      </c>
      <c r="AN85" s="600"/>
      <c r="AO85" s="601"/>
      <c r="AP85" s="600"/>
      <c r="AQ85" s="618"/>
      <c r="AR85" s="600">
        <v>111</v>
      </c>
      <c r="AS85" s="619">
        <v>115</v>
      </c>
      <c r="AT85" s="600"/>
      <c r="AU85" s="599"/>
      <c r="AV85" s="600"/>
      <c r="AW85" s="601"/>
      <c r="AX85" s="600"/>
      <c r="AY85" s="599"/>
      <c r="AZ85" s="600"/>
      <c r="BA85" s="601"/>
      <c r="BB85" s="602">
        <v>49055790</v>
      </c>
      <c r="BC85" s="612">
        <v>49559964</v>
      </c>
      <c r="BD85" s="600">
        <v>24779835</v>
      </c>
      <c r="BE85" s="599">
        <v>25321037</v>
      </c>
      <c r="BF85" s="600">
        <v>17420765</v>
      </c>
      <c r="BG85" s="599">
        <v>18296722</v>
      </c>
      <c r="BH85" s="600">
        <v>272892</v>
      </c>
      <c r="BI85" s="599">
        <v>283075</v>
      </c>
      <c r="BJ85" s="621">
        <v>14697298</v>
      </c>
      <c r="BK85" s="615">
        <v>15402756</v>
      </c>
      <c r="BL85" s="600">
        <v>0</v>
      </c>
      <c r="BM85" s="604"/>
      <c r="BN85" s="605">
        <f t="shared" si="167"/>
        <v>4053</v>
      </c>
      <c r="BO85" s="606">
        <f t="shared" si="168"/>
        <v>4080</v>
      </c>
      <c r="BP85" s="607">
        <f t="shared" si="169"/>
        <v>2955</v>
      </c>
      <c r="BQ85" s="606">
        <f t="shared" si="170"/>
        <v>2973</v>
      </c>
      <c r="BR85" s="607">
        <f t="shared" si="171"/>
        <v>2064</v>
      </c>
      <c r="BS85" s="606">
        <f t="shared" si="172"/>
        <v>2136</v>
      </c>
      <c r="BT85" s="607">
        <f t="shared" si="173"/>
        <v>78</v>
      </c>
      <c r="BU85" s="606">
        <f t="shared" si="174"/>
        <v>81</v>
      </c>
      <c r="BV85" s="607">
        <f t="shared" si="175"/>
        <v>2457</v>
      </c>
      <c r="BW85" s="608">
        <f t="shared" si="176"/>
        <v>2532</v>
      </c>
      <c r="BX85" s="607">
        <f t="shared" si="177"/>
        <v>0</v>
      </c>
      <c r="BY85" s="608">
        <f t="shared" si="178"/>
        <v>0</v>
      </c>
      <c r="BZ85" s="607">
        <f t="shared" si="179"/>
        <v>12103.57512953368</v>
      </c>
      <c r="CA85" s="608">
        <f t="shared" si="180"/>
        <v>12147.05</v>
      </c>
      <c r="CB85" s="607">
        <f t="shared" si="181"/>
        <v>8385.7309644670058</v>
      </c>
      <c r="CC85" s="608">
        <f t="shared" si="182"/>
        <v>8516.9986545576867</v>
      </c>
      <c r="CD85" s="607">
        <f t="shared" si="183"/>
        <v>8440.2931201550382</v>
      </c>
      <c r="CE85" s="608">
        <f t="shared" si="184"/>
        <v>8565.8810861423226</v>
      </c>
      <c r="CF85" s="607">
        <f t="shared" si="185"/>
        <v>3498.6153846153848</v>
      </c>
      <c r="CG85" s="608">
        <f t="shared" si="186"/>
        <v>3494.7530864197529</v>
      </c>
      <c r="CH85" s="607">
        <f t="shared" si="187"/>
        <v>5981.8062678062679</v>
      </c>
      <c r="CI85" s="608">
        <f t="shared" si="188"/>
        <v>6083.2369668246447</v>
      </c>
      <c r="CJ85" s="607">
        <f t="shared" si="189"/>
        <v>0</v>
      </c>
      <c r="CK85" s="608">
        <f t="shared" si="190"/>
        <v>0</v>
      </c>
      <c r="CL85" s="609">
        <f t="shared" si="191"/>
        <v>108932.17616580312</v>
      </c>
      <c r="CM85" s="608">
        <f t="shared" si="192"/>
        <v>109323.45</v>
      </c>
      <c r="CN85" s="610">
        <f t="shared" si="193"/>
        <v>75471.578680203049</v>
      </c>
      <c r="CO85" s="606">
        <f t="shared" si="194"/>
        <v>76652.987891019176</v>
      </c>
      <c r="CP85" s="607">
        <f t="shared" si="195"/>
        <v>75962.638081395344</v>
      </c>
      <c r="CQ85" s="606">
        <f t="shared" si="196"/>
        <v>77092.929775280907</v>
      </c>
      <c r="CR85" s="607">
        <f t="shared" si="197"/>
        <v>31487.538461538461</v>
      </c>
      <c r="CS85" s="606">
        <f t="shared" si="198"/>
        <v>31452.777777777777</v>
      </c>
      <c r="CT85" s="607">
        <f t="shared" si="199"/>
        <v>53836.256410256414</v>
      </c>
      <c r="CU85" s="608">
        <f t="shared" si="200"/>
        <v>54749.132701421804</v>
      </c>
      <c r="CV85" s="610">
        <f t="shared" si="201"/>
        <v>0</v>
      </c>
      <c r="CW85" s="608">
        <f t="shared" si="202"/>
        <v>0</v>
      </c>
      <c r="CX85" s="610">
        <f t="shared" si="203"/>
        <v>83235.181195574682</v>
      </c>
      <c r="CY85" s="611">
        <f t="shared" si="204"/>
        <v>83908.19795084215</v>
      </c>
      <c r="CZ85" s="605">
        <f t="shared" si="205"/>
        <v>448</v>
      </c>
      <c r="DA85" s="612">
        <f t="shared" si="206"/>
        <v>451</v>
      </c>
      <c r="DB85" s="607">
        <f t="shared" si="207"/>
        <v>328</v>
      </c>
      <c r="DC85" s="606">
        <f t="shared" si="208"/>
        <v>330</v>
      </c>
      <c r="DD85" s="607">
        <f t="shared" si="209"/>
        <v>229</v>
      </c>
      <c r="DE85" s="606">
        <f t="shared" si="210"/>
        <v>237</v>
      </c>
      <c r="DF85" s="607">
        <f t="shared" si="211"/>
        <v>7</v>
      </c>
      <c r="DG85" s="606">
        <f t="shared" si="212"/>
        <v>7</v>
      </c>
      <c r="DH85" s="607">
        <f t="shared" si="213"/>
        <v>236</v>
      </c>
      <c r="DI85" s="608">
        <f t="shared" si="214"/>
        <v>243</v>
      </c>
      <c r="DJ85" s="607">
        <f t="shared" si="215"/>
        <v>0</v>
      </c>
      <c r="DK85" s="608">
        <f t="shared" si="216"/>
        <v>0</v>
      </c>
      <c r="DL85" s="607">
        <f t="shared" si="217"/>
        <v>1248</v>
      </c>
      <c r="DM85" s="608">
        <f t="shared" si="218"/>
        <v>1268</v>
      </c>
      <c r="DN85" s="607">
        <f t="shared" si="219"/>
        <v>48801614.922279797</v>
      </c>
      <c r="DO85" s="612">
        <f t="shared" si="220"/>
        <v>49304875.949999996</v>
      </c>
      <c r="DP85" s="607">
        <f t="shared" si="221"/>
        <v>24754677.807106599</v>
      </c>
      <c r="DQ85" s="606">
        <f t="shared" si="222"/>
        <v>25295486.00403633</v>
      </c>
      <c r="DR85" s="607">
        <f t="shared" si="223"/>
        <v>17395444.120639533</v>
      </c>
      <c r="DS85" s="606">
        <f t="shared" si="224"/>
        <v>18271024.356741574</v>
      </c>
      <c r="DT85" s="607">
        <f t="shared" si="225"/>
        <v>220412.76923076922</v>
      </c>
      <c r="DU85" s="606">
        <f t="shared" si="226"/>
        <v>220169.44444444444</v>
      </c>
      <c r="DV85" s="607">
        <f t="shared" si="227"/>
        <v>12705356.512820514</v>
      </c>
      <c r="DW85" s="608">
        <f t="shared" si="228"/>
        <v>13304039.246445497</v>
      </c>
      <c r="DX85" s="607">
        <f t="shared" si="229"/>
        <v>0</v>
      </c>
      <c r="DY85" s="608">
        <f t="shared" si="230"/>
        <v>0</v>
      </c>
      <c r="DZ85" s="607">
        <f t="shared" si="231"/>
        <v>103877506.1320772</v>
      </c>
      <c r="EA85" s="608">
        <f t="shared" si="232"/>
        <v>106395595.00166784</v>
      </c>
    </row>
    <row r="86" spans="1:131" ht="12.75" customHeight="1" x14ac:dyDescent="0.2">
      <c r="A86" s="486" t="s">
        <v>34</v>
      </c>
      <c r="B86" s="427" t="s">
        <v>746</v>
      </c>
      <c r="C86" s="544"/>
      <c r="D86" s="426">
        <v>132903</v>
      </c>
      <c r="E86" s="426">
        <v>1</v>
      </c>
      <c r="F86" s="598">
        <v>193</v>
      </c>
      <c r="G86" s="617">
        <v>200</v>
      </c>
      <c r="H86" s="600"/>
      <c r="I86" s="601"/>
      <c r="J86" s="600"/>
      <c r="K86" s="618"/>
      <c r="L86" s="600">
        <v>36</v>
      </c>
      <c r="M86" s="619">
        <v>37</v>
      </c>
      <c r="N86" s="600">
        <v>305</v>
      </c>
      <c r="O86" s="617">
        <v>331</v>
      </c>
      <c r="P86" s="600"/>
      <c r="Q86" s="601"/>
      <c r="R86" s="600"/>
      <c r="S86" s="618"/>
      <c r="T86" s="600">
        <v>18</v>
      </c>
      <c r="U86" s="619">
        <v>15</v>
      </c>
      <c r="V86" s="600">
        <v>214</v>
      </c>
      <c r="W86" s="620">
        <v>198</v>
      </c>
      <c r="X86" s="600"/>
      <c r="Y86" s="601"/>
      <c r="Z86" s="600"/>
      <c r="AA86" s="618"/>
      <c r="AB86" s="600">
        <v>0</v>
      </c>
      <c r="AC86" s="617">
        <v>1</v>
      </c>
      <c r="AD86" s="600">
        <v>267</v>
      </c>
      <c r="AE86" s="619">
        <v>265</v>
      </c>
      <c r="AF86" s="600"/>
      <c r="AG86" s="601"/>
      <c r="AH86" s="600"/>
      <c r="AI86" s="618"/>
      <c r="AJ86" s="600">
        <v>53</v>
      </c>
      <c r="AK86" s="619">
        <v>53</v>
      </c>
      <c r="AL86" s="621">
        <v>69</v>
      </c>
      <c r="AM86" s="617">
        <v>84</v>
      </c>
      <c r="AN86" s="600"/>
      <c r="AO86" s="601"/>
      <c r="AP86" s="600"/>
      <c r="AQ86" s="618"/>
      <c r="AR86" s="621">
        <v>3</v>
      </c>
      <c r="AS86" s="619">
        <v>4</v>
      </c>
      <c r="AT86" s="600"/>
      <c r="AU86" s="599"/>
      <c r="AV86" s="600"/>
      <c r="AW86" s="601"/>
      <c r="AX86" s="600"/>
      <c r="AY86" s="599"/>
      <c r="AZ86" s="600"/>
      <c r="BA86" s="601"/>
      <c r="BB86" s="602">
        <v>28379773</v>
      </c>
      <c r="BC86" s="612">
        <v>29094602</v>
      </c>
      <c r="BD86" s="600">
        <v>26666315.999999996</v>
      </c>
      <c r="BE86" s="599">
        <v>28583493</v>
      </c>
      <c r="BF86" s="600">
        <v>13996317</v>
      </c>
      <c r="BG86" s="599">
        <v>13424241</v>
      </c>
      <c r="BH86" s="600">
        <v>15743512</v>
      </c>
      <c r="BI86" s="599">
        <v>15856583</v>
      </c>
      <c r="BJ86" s="621">
        <v>4531614</v>
      </c>
      <c r="BK86" s="615">
        <v>5440745</v>
      </c>
      <c r="BL86" s="600">
        <v>0</v>
      </c>
      <c r="BM86" s="604"/>
      <c r="BN86" s="605">
        <f t="shared" si="167"/>
        <v>2169</v>
      </c>
      <c r="BO86" s="606">
        <f t="shared" si="168"/>
        <v>2244</v>
      </c>
      <c r="BP86" s="607">
        <f t="shared" si="169"/>
        <v>2961</v>
      </c>
      <c r="BQ86" s="606">
        <f t="shared" si="170"/>
        <v>3159</v>
      </c>
      <c r="BR86" s="607">
        <f t="shared" si="171"/>
        <v>1926</v>
      </c>
      <c r="BS86" s="606">
        <f t="shared" si="172"/>
        <v>1794</v>
      </c>
      <c r="BT86" s="607">
        <f t="shared" si="173"/>
        <v>3039</v>
      </c>
      <c r="BU86" s="606">
        <f t="shared" si="174"/>
        <v>3021</v>
      </c>
      <c r="BV86" s="607">
        <f t="shared" si="175"/>
        <v>657</v>
      </c>
      <c r="BW86" s="608">
        <f t="shared" si="176"/>
        <v>804</v>
      </c>
      <c r="BX86" s="607">
        <f t="shared" si="177"/>
        <v>0</v>
      </c>
      <c r="BY86" s="608">
        <f t="shared" si="178"/>
        <v>0</v>
      </c>
      <c r="BZ86" s="607">
        <f t="shared" si="179"/>
        <v>13084.26602120793</v>
      </c>
      <c r="CA86" s="608">
        <f t="shared" si="180"/>
        <v>12965.508912655972</v>
      </c>
      <c r="CB86" s="607">
        <f t="shared" si="181"/>
        <v>9005.8480243161084</v>
      </c>
      <c r="CC86" s="608">
        <f t="shared" si="182"/>
        <v>9048.2725546058882</v>
      </c>
      <c r="CD86" s="607">
        <f t="shared" si="183"/>
        <v>7267.0389408099691</v>
      </c>
      <c r="CE86" s="608">
        <f t="shared" si="184"/>
        <v>7482.8545150501668</v>
      </c>
      <c r="CF86" s="607">
        <f t="shared" si="185"/>
        <v>5180.490950970714</v>
      </c>
      <c r="CG86" s="608">
        <f t="shared" si="186"/>
        <v>5248.7861635220124</v>
      </c>
      <c r="CH86" s="607">
        <f t="shared" si="187"/>
        <v>6897.433789954338</v>
      </c>
      <c r="CI86" s="608">
        <f t="shared" si="188"/>
        <v>6767.0957711442788</v>
      </c>
      <c r="CJ86" s="607">
        <f t="shared" si="189"/>
        <v>0</v>
      </c>
      <c r="CK86" s="608">
        <f t="shared" si="190"/>
        <v>0</v>
      </c>
      <c r="CL86" s="609">
        <f t="shared" si="191"/>
        <v>117758.39419087138</v>
      </c>
      <c r="CM86" s="608">
        <f t="shared" si="192"/>
        <v>116689.58021390376</v>
      </c>
      <c r="CN86" s="610">
        <f t="shared" si="193"/>
        <v>81052.63221884497</v>
      </c>
      <c r="CO86" s="606">
        <f t="shared" si="194"/>
        <v>81434.452991452999</v>
      </c>
      <c r="CP86" s="607">
        <f t="shared" si="195"/>
        <v>65403.350467289725</v>
      </c>
      <c r="CQ86" s="606">
        <f t="shared" si="196"/>
        <v>67345.690635451494</v>
      </c>
      <c r="CR86" s="607">
        <f t="shared" si="197"/>
        <v>46624.418558736426</v>
      </c>
      <c r="CS86" s="606">
        <f t="shared" si="198"/>
        <v>47239.07547169811</v>
      </c>
      <c r="CT86" s="607">
        <f t="shared" si="199"/>
        <v>62076.904109589042</v>
      </c>
      <c r="CU86" s="608">
        <f t="shared" si="200"/>
        <v>60903.861940298506</v>
      </c>
      <c r="CV86" s="610">
        <f t="shared" si="201"/>
        <v>0</v>
      </c>
      <c r="CW86" s="608">
        <f t="shared" si="202"/>
        <v>0</v>
      </c>
      <c r="CX86" s="610">
        <f t="shared" si="203"/>
        <v>74725.682652057469</v>
      </c>
      <c r="CY86" s="611">
        <f t="shared" si="204"/>
        <v>75433.593882945323</v>
      </c>
      <c r="CZ86" s="605">
        <f t="shared" si="205"/>
        <v>229</v>
      </c>
      <c r="DA86" s="612">
        <f t="shared" si="206"/>
        <v>237</v>
      </c>
      <c r="DB86" s="607">
        <f t="shared" si="207"/>
        <v>323</v>
      </c>
      <c r="DC86" s="606">
        <f t="shared" si="208"/>
        <v>346</v>
      </c>
      <c r="DD86" s="607">
        <f t="shared" si="209"/>
        <v>214</v>
      </c>
      <c r="DE86" s="606">
        <f t="shared" si="210"/>
        <v>199</v>
      </c>
      <c r="DF86" s="607">
        <f t="shared" si="211"/>
        <v>320</v>
      </c>
      <c r="DG86" s="606">
        <f t="shared" si="212"/>
        <v>318</v>
      </c>
      <c r="DH86" s="607">
        <f t="shared" si="213"/>
        <v>72</v>
      </c>
      <c r="DI86" s="608">
        <f t="shared" si="214"/>
        <v>88</v>
      </c>
      <c r="DJ86" s="607">
        <f t="shared" si="215"/>
        <v>0</v>
      </c>
      <c r="DK86" s="608">
        <f t="shared" si="216"/>
        <v>0</v>
      </c>
      <c r="DL86" s="607">
        <f t="shared" si="217"/>
        <v>1158</v>
      </c>
      <c r="DM86" s="608">
        <f t="shared" si="218"/>
        <v>1188</v>
      </c>
      <c r="DN86" s="607">
        <f t="shared" si="219"/>
        <v>26966672.269709546</v>
      </c>
      <c r="DO86" s="612">
        <f t="shared" si="220"/>
        <v>27655430.510695189</v>
      </c>
      <c r="DP86" s="607">
        <f t="shared" si="221"/>
        <v>26180000.206686925</v>
      </c>
      <c r="DQ86" s="606">
        <f t="shared" si="222"/>
        <v>28176320.735042736</v>
      </c>
      <c r="DR86" s="607">
        <f t="shared" si="223"/>
        <v>13996317.000000002</v>
      </c>
      <c r="DS86" s="606">
        <f t="shared" si="224"/>
        <v>13401792.436454847</v>
      </c>
      <c r="DT86" s="607">
        <f t="shared" si="225"/>
        <v>14919813.938795656</v>
      </c>
      <c r="DU86" s="606">
        <f t="shared" si="226"/>
        <v>15022025.999999998</v>
      </c>
      <c r="DV86" s="607">
        <f t="shared" si="227"/>
        <v>4469537.0958904112</v>
      </c>
      <c r="DW86" s="608">
        <f t="shared" si="228"/>
        <v>5359539.8507462684</v>
      </c>
      <c r="DX86" s="607">
        <f t="shared" si="229"/>
        <v>0</v>
      </c>
      <c r="DY86" s="608">
        <f t="shared" si="230"/>
        <v>0</v>
      </c>
      <c r="DZ86" s="607">
        <f t="shared" si="231"/>
        <v>86532340.511082545</v>
      </c>
      <c r="EA86" s="608">
        <f t="shared" si="232"/>
        <v>89615109.532939047</v>
      </c>
    </row>
    <row r="87" spans="1:131" ht="12.75" customHeight="1" x14ac:dyDescent="0.2">
      <c r="A87" s="486" t="s">
        <v>34</v>
      </c>
      <c r="B87" s="374" t="s">
        <v>747</v>
      </c>
      <c r="C87" s="544"/>
      <c r="D87" s="426">
        <v>134130</v>
      </c>
      <c r="E87" s="429">
        <v>1</v>
      </c>
      <c r="F87" s="598">
        <v>485</v>
      </c>
      <c r="G87" s="617">
        <v>484</v>
      </c>
      <c r="H87" s="600"/>
      <c r="I87" s="601"/>
      <c r="J87" s="600"/>
      <c r="K87" s="618"/>
      <c r="L87" s="600">
        <v>221</v>
      </c>
      <c r="M87" s="619">
        <v>205</v>
      </c>
      <c r="N87" s="600">
        <v>415</v>
      </c>
      <c r="O87" s="617">
        <v>408</v>
      </c>
      <c r="P87" s="600"/>
      <c r="Q87" s="601"/>
      <c r="R87" s="600"/>
      <c r="S87" s="618"/>
      <c r="T87" s="600">
        <v>182</v>
      </c>
      <c r="U87" s="619">
        <v>178</v>
      </c>
      <c r="V87" s="600">
        <v>248</v>
      </c>
      <c r="W87" s="620">
        <v>214</v>
      </c>
      <c r="X87" s="600"/>
      <c r="Y87" s="601"/>
      <c r="Z87" s="600"/>
      <c r="AA87" s="618"/>
      <c r="AB87" s="600">
        <v>233</v>
      </c>
      <c r="AC87" s="617">
        <v>230</v>
      </c>
      <c r="AD87" s="600">
        <v>0</v>
      </c>
      <c r="AE87" s="619">
        <v>0</v>
      </c>
      <c r="AF87" s="600"/>
      <c r="AG87" s="601"/>
      <c r="AH87" s="600"/>
      <c r="AI87" s="618"/>
      <c r="AJ87" s="600">
        <v>0</v>
      </c>
      <c r="AK87" s="619">
        <v>0</v>
      </c>
      <c r="AL87" s="621">
        <v>139</v>
      </c>
      <c r="AM87" s="617">
        <v>144</v>
      </c>
      <c r="AN87" s="600"/>
      <c r="AO87" s="601"/>
      <c r="AP87" s="600"/>
      <c r="AQ87" s="618"/>
      <c r="AR87" s="621">
        <v>68</v>
      </c>
      <c r="AS87" s="619">
        <v>63</v>
      </c>
      <c r="AT87" s="600"/>
      <c r="AU87" s="599"/>
      <c r="AV87" s="600"/>
      <c r="AW87" s="601"/>
      <c r="AX87" s="600"/>
      <c r="AY87" s="599"/>
      <c r="AZ87" s="600"/>
      <c r="BA87" s="601"/>
      <c r="BB87" s="602">
        <v>91545037</v>
      </c>
      <c r="BC87" s="612">
        <v>89738095</v>
      </c>
      <c r="BD87" s="600">
        <v>50960539</v>
      </c>
      <c r="BE87" s="599">
        <v>50674526</v>
      </c>
      <c r="BF87" s="600">
        <v>36369506</v>
      </c>
      <c r="BG87" s="599">
        <v>34789823</v>
      </c>
      <c r="BH87" s="600">
        <v>0</v>
      </c>
      <c r="BI87" s="599"/>
      <c r="BJ87" s="621">
        <v>12998670</v>
      </c>
      <c r="BK87" s="615">
        <v>13117275</v>
      </c>
      <c r="BL87" s="600">
        <v>0</v>
      </c>
      <c r="BM87" s="604"/>
      <c r="BN87" s="605">
        <f t="shared" si="167"/>
        <v>7017</v>
      </c>
      <c r="BO87" s="606">
        <f t="shared" si="168"/>
        <v>6816</v>
      </c>
      <c r="BP87" s="607">
        <f t="shared" si="169"/>
        <v>5919</v>
      </c>
      <c r="BQ87" s="606">
        <f t="shared" si="170"/>
        <v>5808</v>
      </c>
      <c r="BR87" s="607">
        <f t="shared" si="171"/>
        <v>5028</v>
      </c>
      <c r="BS87" s="606">
        <f t="shared" si="172"/>
        <v>4686</v>
      </c>
      <c r="BT87" s="607">
        <f t="shared" si="173"/>
        <v>0</v>
      </c>
      <c r="BU87" s="606">
        <f t="shared" si="174"/>
        <v>0</v>
      </c>
      <c r="BV87" s="607">
        <f t="shared" si="175"/>
        <v>2067</v>
      </c>
      <c r="BW87" s="608">
        <f t="shared" si="176"/>
        <v>2052</v>
      </c>
      <c r="BX87" s="607">
        <f t="shared" si="177"/>
        <v>0</v>
      </c>
      <c r="BY87" s="608">
        <f t="shared" si="178"/>
        <v>0</v>
      </c>
      <c r="BZ87" s="607">
        <f t="shared" si="179"/>
        <v>13046.178851360981</v>
      </c>
      <c r="CA87" s="608">
        <f t="shared" si="180"/>
        <v>13165.800322769954</v>
      </c>
      <c r="CB87" s="607">
        <f t="shared" si="181"/>
        <v>8609.6534887649941</v>
      </c>
      <c r="CC87" s="608">
        <f t="shared" si="182"/>
        <v>8724.9528236914593</v>
      </c>
      <c r="CD87" s="607">
        <f t="shared" si="183"/>
        <v>7233.3941925218778</v>
      </c>
      <c r="CE87" s="608">
        <f t="shared" si="184"/>
        <v>7424.2046521553566</v>
      </c>
      <c r="CF87" s="607">
        <f t="shared" si="185"/>
        <v>0</v>
      </c>
      <c r="CG87" s="608">
        <f t="shared" si="186"/>
        <v>0</v>
      </c>
      <c r="CH87" s="607">
        <f t="shared" si="187"/>
        <v>6288.6647314949205</v>
      </c>
      <c r="CI87" s="608">
        <f t="shared" si="188"/>
        <v>6392.4342105263158</v>
      </c>
      <c r="CJ87" s="607">
        <f t="shared" si="189"/>
        <v>0</v>
      </c>
      <c r="CK87" s="608">
        <f t="shared" si="190"/>
        <v>0</v>
      </c>
      <c r="CL87" s="609">
        <f t="shared" si="191"/>
        <v>117415.60966224883</v>
      </c>
      <c r="CM87" s="608">
        <f t="shared" si="192"/>
        <v>118492.20290492958</v>
      </c>
      <c r="CN87" s="610">
        <f t="shared" si="193"/>
        <v>77486.881398884943</v>
      </c>
      <c r="CO87" s="606">
        <f t="shared" si="194"/>
        <v>78524.575413223138</v>
      </c>
      <c r="CP87" s="607">
        <f t="shared" si="195"/>
        <v>65100.547732696898</v>
      </c>
      <c r="CQ87" s="606">
        <f t="shared" si="196"/>
        <v>66817.841869398209</v>
      </c>
      <c r="CR87" s="607">
        <f t="shared" si="197"/>
        <v>0</v>
      </c>
      <c r="CS87" s="606">
        <f t="shared" si="198"/>
        <v>0</v>
      </c>
      <c r="CT87" s="607">
        <f t="shared" si="199"/>
        <v>56597.982583454286</v>
      </c>
      <c r="CU87" s="608">
        <f t="shared" si="200"/>
        <v>57531.90789473684</v>
      </c>
      <c r="CV87" s="610">
        <f t="shared" si="201"/>
        <v>0</v>
      </c>
      <c r="CW87" s="608">
        <f t="shared" si="202"/>
        <v>0</v>
      </c>
      <c r="CX87" s="610">
        <f t="shared" si="203"/>
        <v>86481.283008982529</v>
      </c>
      <c r="CY87" s="611">
        <f t="shared" si="204"/>
        <v>87867.47441218514</v>
      </c>
      <c r="CZ87" s="605">
        <f t="shared" si="205"/>
        <v>706</v>
      </c>
      <c r="DA87" s="612">
        <f t="shared" si="206"/>
        <v>689</v>
      </c>
      <c r="DB87" s="607">
        <f t="shared" si="207"/>
        <v>597</v>
      </c>
      <c r="DC87" s="606">
        <f t="shared" si="208"/>
        <v>586</v>
      </c>
      <c r="DD87" s="607">
        <f t="shared" si="209"/>
        <v>481</v>
      </c>
      <c r="DE87" s="606">
        <f t="shared" si="210"/>
        <v>444</v>
      </c>
      <c r="DF87" s="607">
        <f t="shared" si="211"/>
        <v>0</v>
      </c>
      <c r="DG87" s="606">
        <f t="shared" si="212"/>
        <v>0</v>
      </c>
      <c r="DH87" s="607">
        <f t="shared" si="213"/>
        <v>207</v>
      </c>
      <c r="DI87" s="608">
        <f t="shared" si="214"/>
        <v>207</v>
      </c>
      <c r="DJ87" s="607">
        <f t="shared" si="215"/>
        <v>0</v>
      </c>
      <c r="DK87" s="608">
        <f t="shared" si="216"/>
        <v>0</v>
      </c>
      <c r="DL87" s="607">
        <f t="shared" si="217"/>
        <v>1991</v>
      </c>
      <c r="DM87" s="608">
        <f t="shared" si="218"/>
        <v>1926</v>
      </c>
      <c r="DN87" s="607">
        <f t="shared" si="219"/>
        <v>82895420.421547666</v>
      </c>
      <c r="DO87" s="612">
        <f t="shared" si="220"/>
        <v>81641127.801496476</v>
      </c>
      <c r="DP87" s="607">
        <f t="shared" si="221"/>
        <v>46259668.195134312</v>
      </c>
      <c r="DQ87" s="606">
        <f t="shared" si="222"/>
        <v>46015401.19214876</v>
      </c>
      <c r="DR87" s="607">
        <f t="shared" si="223"/>
        <v>31313363.459427208</v>
      </c>
      <c r="DS87" s="606">
        <f t="shared" si="224"/>
        <v>29667121.790012807</v>
      </c>
      <c r="DT87" s="607">
        <f t="shared" si="225"/>
        <v>0</v>
      </c>
      <c r="DU87" s="606">
        <f t="shared" si="226"/>
        <v>0</v>
      </c>
      <c r="DV87" s="607">
        <f t="shared" si="227"/>
        <v>11715782.394775037</v>
      </c>
      <c r="DW87" s="608">
        <f t="shared" si="228"/>
        <v>11909104.934210526</v>
      </c>
      <c r="DX87" s="607">
        <f t="shared" si="229"/>
        <v>0</v>
      </c>
      <c r="DY87" s="608">
        <f t="shared" si="230"/>
        <v>0</v>
      </c>
      <c r="DZ87" s="607">
        <f t="shared" si="231"/>
        <v>172184234.4708842</v>
      </c>
      <c r="EA87" s="608">
        <f t="shared" si="232"/>
        <v>169232755.71786857</v>
      </c>
    </row>
    <row r="88" spans="1:131" ht="12.75" customHeight="1" x14ac:dyDescent="0.2">
      <c r="A88" s="486" t="s">
        <v>34</v>
      </c>
      <c r="B88" s="374" t="s">
        <v>748</v>
      </c>
      <c r="C88" s="544"/>
      <c r="D88" s="426">
        <v>137351</v>
      </c>
      <c r="E88" s="429">
        <v>1</v>
      </c>
      <c r="F88" s="598">
        <v>272</v>
      </c>
      <c r="G88" s="617">
        <v>276</v>
      </c>
      <c r="H88" s="600"/>
      <c r="I88" s="601"/>
      <c r="J88" s="600"/>
      <c r="K88" s="618"/>
      <c r="L88" s="600">
        <v>66</v>
      </c>
      <c r="M88" s="619">
        <v>66</v>
      </c>
      <c r="N88" s="600">
        <v>326</v>
      </c>
      <c r="O88" s="617">
        <v>352</v>
      </c>
      <c r="P88" s="600"/>
      <c r="Q88" s="601"/>
      <c r="R88" s="600"/>
      <c r="S88" s="618"/>
      <c r="T88" s="600">
        <v>38</v>
      </c>
      <c r="U88" s="619">
        <v>49</v>
      </c>
      <c r="V88" s="600">
        <v>311</v>
      </c>
      <c r="W88" s="620">
        <v>275</v>
      </c>
      <c r="X88" s="600"/>
      <c r="Y88" s="601"/>
      <c r="Z88" s="600"/>
      <c r="AA88" s="618"/>
      <c r="AB88" s="600">
        <v>44</v>
      </c>
      <c r="AC88" s="617">
        <v>52</v>
      </c>
      <c r="AD88" s="600">
        <v>152</v>
      </c>
      <c r="AE88" s="619">
        <v>159</v>
      </c>
      <c r="AF88" s="600"/>
      <c r="AG88" s="601"/>
      <c r="AH88" s="600"/>
      <c r="AI88" s="618"/>
      <c r="AJ88" s="600">
        <v>78</v>
      </c>
      <c r="AK88" s="619">
        <v>85</v>
      </c>
      <c r="AL88" s="621">
        <v>8</v>
      </c>
      <c r="AM88" s="617">
        <v>5</v>
      </c>
      <c r="AN88" s="600"/>
      <c r="AO88" s="601"/>
      <c r="AP88" s="600"/>
      <c r="AQ88" s="618"/>
      <c r="AR88" s="621">
        <v>2</v>
      </c>
      <c r="AS88" s="619">
        <v>1</v>
      </c>
      <c r="AT88" s="600"/>
      <c r="AU88" s="599"/>
      <c r="AV88" s="600"/>
      <c r="AW88" s="601"/>
      <c r="AX88" s="600"/>
      <c r="AY88" s="599"/>
      <c r="AZ88" s="600"/>
      <c r="BA88" s="601"/>
      <c r="BB88" s="602">
        <v>37615724</v>
      </c>
      <c r="BC88" s="612">
        <v>38569368</v>
      </c>
      <c r="BD88" s="600">
        <v>29260037.999999996</v>
      </c>
      <c r="BE88" s="599">
        <v>32464801</v>
      </c>
      <c r="BF88" s="600">
        <v>24713427</v>
      </c>
      <c r="BG88" s="599">
        <v>22446724</v>
      </c>
      <c r="BH88" s="600">
        <v>11921278</v>
      </c>
      <c r="BI88" s="599">
        <v>12281941</v>
      </c>
      <c r="BJ88" s="621">
        <v>518986</v>
      </c>
      <c r="BK88" s="615">
        <v>282708</v>
      </c>
      <c r="BL88" s="600">
        <v>0</v>
      </c>
      <c r="BM88" s="604"/>
      <c r="BN88" s="605">
        <f t="shared" si="167"/>
        <v>3240</v>
      </c>
      <c r="BO88" s="606">
        <f t="shared" si="168"/>
        <v>3276</v>
      </c>
      <c r="BP88" s="607">
        <f t="shared" si="169"/>
        <v>3390</v>
      </c>
      <c r="BQ88" s="606">
        <f t="shared" si="170"/>
        <v>3756</v>
      </c>
      <c r="BR88" s="607">
        <f t="shared" si="171"/>
        <v>3327</v>
      </c>
      <c r="BS88" s="606">
        <f t="shared" si="172"/>
        <v>3099</v>
      </c>
      <c r="BT88" s="607">
        <f t="shared" si="173"/>
        <v>2304</v>
      </c>
      <c r="BU88" s="606">
        <f t="shared" si="174"/>
        <v>2451</v>
      </c>
      <c r="BV88" s="607">
        <f t="shared" si="175"/>
        <v>96</v>
      </c>
      <c r="BW88" s="608">
        <f t="shared" si="176"/>
        <v>57</v>
      </c>
      <c r="BX88" s="607">
        <f t="shared" si="177"/>
        <v>0</v>
      </c>
      <c r="BY88" s="608">
        <f t="shared" si="178"/>
        <v>0</v>
      </c>
      <c r="BZ88" s="607">
        <f t="shared" si="179"/>
        <v>11609.791358024691</v>
      </c>
      <c r="CA88" s="608">
        <f t="shared" si="180"/>
        <v>11773.311355311354</v>
      </c>
      <c r="CB88" s="607">
        <f t="shared" si="181"/>
        <v>8631.2796460176978</v>
      </c>
      <c r="CC88" s="608">
        <f t="shared" si="182"/>
        <v>8643.4507454739087</v>
      </c>
      <c r="CD88" s="607">
        <f t="shared" si="183"/>
        <v>7428.1415689810638</v>
      </c>
      <c r="CE88" s="608">
        <f t="shared" si="184"/>
        <v>7243.2152307195865</v>
      </c>
      <c r="CF88" s="607">
        <f t="shared" si="185"/>
        <v>5174.1657986111113</v>
      </c>
      <c r="CG88" s="608">
        <f t="shared" si="186"/>
        <v>5010.9918400652796</v>
      </c>
      <c r="CH88" s="607">
        <f t="shared" si="187"/>
        <v>5406.104166666667</v>
      </c>
      <c r="CI88" s="608">
        <f t="shared" si="188"/>
        <v>4959.7894736842109</v>
      </c>
      <c r="CJ88" s="607">
        <f t="shared" si="189"/>
        <v>0</v>
      </c>
      <c r="CK88" s="608">
        <f t="shared" si="190"/>
        <v>0</v>
      </c>
      <c r="CL88" s="609">
        <f t="shared" si="191"/>
        <v>104488.12222222223</v>
      </c>
      <c r="CM88" s="608">
        <f t="shared" si="192"/>
        <v>105959.80219780219</v>
      </c>
      <c r="CN88" s="610">
        <f t="shared" si="193"/>
        <v>77681.516814159288</v>
      </c>
      <c r="CO88" s="606">
        <f t="shared" si="194"/>
        <v>77791.056709265176</v>
      </c>
      <c r="CP88" s="607">
        <f t="shared" si="195"/>
        <v>66853.274120829577</v>
      </c>
      <c r="CQ88" s="606">
        <f t="shared" si="196"/>
        <v>65188.937076476279</v>
      </c>
      <c r="CR88" s="607">
        <f t="shared" si="197"/>
        <v>46567.4921875</v>
      </c>
      <c r="CS88" s="606">
        <f t="shared" si="198"/>
        <v>45098.926560587519</v>
      </c>
      <c r="CT88" s="607">
        <f t="shared" si="199"/>
        <v>48654.9375</v>
      </c>
      <c r="CU88" s="608">
        <f t="shared" si="200"/>
        <v>44638.1052631579</v>
      </c>
      <c r="CV88" s="610">
        <f t="shared" si="201"/>
        <v>0</v>
      </c>
      <c r="CW88" s="608">
        <f t="shared" si="202"/>
        <v>0</v>
      </c>
      <c r="CX88" s="610">
        <f t="shared" si="203"/>
        <v>75962.253139926441</v>
      </c>
      <c r="CY88" s="611">
        <f t="shared" si="204"/>
        <v>75773.647900328579</v>
      </c>
      <c r="CZ88" s="605">
        <f t="shared" si="205"/>
        <v>338</v>
      </c>
      <c r="DA88" s="612">
        <f t="shared" si="206"/>
        <v>342</v>
      </c>
      <c r="DB88" s="607">
        <f t="shared" si="207"/>
        <v>364</v>
      </c>
      <c r="DC88" s="606">
        <f t="shared" si="208"/>
        <v>401</v>
      </c>
      <c r="DD88" s="607">
        <f t="shared" si="209"/>
        <v>355</v>
      </c>
      <c r="DE88" s="606">
        <f t="shared" si="210"/>
        <v>327</v>
      </c>
      <c r="DF88" s="607">
        <f t="shared" si="211"/>
        <v>230</v>
      </c>
      <c r="DG88" s="606">
        <f t="shared" si="212"/>
        <v>244</v>
      </c>
      <c r="DH88" s="607">
        <f t="shared" si="213"/>
        <v>10</v>
      </c>
      <c r="DI88" s="608">
        <f t="shared" si="214"/>
        <v>6</v>
      </c>
      <c r="DJ88" s="607">
        <f t="shared" si="215"/>
        <v>0</v>
      </c>
      <c r="DK88" s="608">
        <f t="shared" si="216"/>
        <v>0</v>
      </c>
      <c r="DL88" s="607">
        <f t="shared" si="217"/>
        <v>1297</v>
      </c>
      <c r="DM88" s="608">
        <f t="shared" si="218"/>
        <v>1320</v>
      </c>
      <c r="DN88" s="607">
        <f t="shared" si="219"/>
        <v>35316985.311111115</v>
      </c>
      <c r="DO88" s="612">
        <f t="shared" si="220"/>
        <v>36238252.351648346</v>
      </c>
      <c r="DP88" s="607">
        <f t="shared" si="221"/>
        <v>28276072.120353982</v>
      </c>
      <c r="DQ88" s="606">
        <f t="shared" si="222"/>
        <v>31194213.740415335</v>
      </c>
      <c r="DR88" s="607">
        <f t="shared" si="223"/>
        <v>23732912.312894501</v>
      </c>
      <c r="DS88" s="606">
        <f t="shared" si="224"/>
        <v>21316782.424007744</v>
      </c>
      <c r="DT88" s="607">
        <f t="shared" si="225"/>
        <v>10710523.203125</v>
      </c>
      <c r="DU88" s="606">
        <f t="shared" si="226"/>
        <v>11004138.080783354</v>
      </c>
      <c r="DV88" s="607">
        <f t="shared" si="227"/>
        <v>486549.375</v>
      </c>
      <c r="DW88" s="608">
        <f t="shared" si="228"/>
        <v>267828.63157894742</v>
      </c>
      <c r="DX88" s="607">
        <f t="shared" si="229"/>
        <v>0</v>
      </c>
      <c r="DY88" s="608">
        <f t="shared" si="230"/>
        <v>0</v>
      </c>
      <c r="DZ88" s="607">
        <f t="shared" si="231"/>
        <v>98523042.322484598</v>
      </c>
      <c r="EA88" s="608">
        <f t="shared" si="232"/>
        <v>100021215.22843373</v>
      </c>
    </row>
    <row r="89" spans="1:131" ht="12.75" customHeight="1" x14ac:dyDescent="0.2">
      <c r="A89" s="486" t="s">
        <v>34</v>
      </c>
      <c r="B89" s="374" t="s">
        <v>749</v>
      </c>
      <c r="C89" s="544" t="s">
        <v>365</v>
      </c>
      <c r="D89" s="426">
        <v>133669</v>
      </c>
      <c r="E89" s="429">
        <v>2</v>
      </c>
      <c r="F89" s="598">
        <v>194</v>
      </c>
      <c r="G89" s="617">
        <v>193</v>
      </c>
      <c r="H89" s="600"/>
      <c r="I89" s="601"/>
      <c r="J89" s="600"/>
      <c r="K89" s="618"/>
      <c r="L89" s="600">
        <v>2</v>
      </c>
      <c r="M89" s="619">
        <v>2</v>
      </c>
      <c r="N89" s="600">
        <v>224</v>
      </c>
      <c r="O89" s="617">
        <v>227</v>
      </c>
      <c r="P89" s="600"/>
      <c r="Q89" s="601"/>
      <c r="R89" s="600"/>
      <c r="S89" s="618"/>
      <c r="T89" s="600">
        <v>5</v>
      </c>
      <c r="U89" s="619">
        <v>5</v>
      </c>
      <c r="V89" s="600">
        <v>146</v>
      </c>
      <c r="W89" s="620">
        <v>126</v>
      </c>
      <c r="X89" s="600"/>
      <c r="Y89" s="601"/>
      <c r="Z89" s="600"/>
      <c r="AA89" s="618"/>
      <c r="AB89" s="600">
        <v>2</v>
      </c>
      <c r="AC89" s="617">
        <v>2</v>
      </c>
      <c r="AD89" s="600">
        <v>160</v>
      </c>
      <c r="AE89" s="619">
        <v>145</v>
      </c>
      <c r="AF89" s="600"/>
      <c r="AG89" s="601"/>
      <c r="AH89" s="600"/>
      <c r="AI89" s="618"/>
      <c r="AJ89" s="600">
        <v>28</v>
      </c>
      <c r="AK89" s="619">
        <v>28</v>
      </c>
      <c r="AL89" s="621">
        <v>1</v>
      </c>
      <c r="AM89" s="617">
        <v>1</v>
      </c>
      <c r="AN89" s="600"/>
      <c r="AO89" s="601"/>
      <c r="AP89" s="600"/>
      <c r="AQ89" s="618"/>
      <c r="AR89" s="600">
        <v>1</v>
      </c>
      <c r="AS89" s="619">
        <v>1</v>
      </c>
      <c r="AT89" s="600"/>
      <c r="AU89" s="599"/>
      <c r="AV89" s="600"/>
      <c r="AW89" s="601"/>
      <c r="AX89" s="600"/>
      <c r="AY89" s="599"/>
      <c r="AZ89" s="600"/>
      <c r="BA89" s="601"/>
      <c r="BB89" s="602">
        <v>18842958</v>
      </c>
      <c r="BC89" s="612">
        <v>18912383</v>
      </c>
      <c r="BD89" s="600">
        <v>16626568</v>
      </c>
      <c r="BE89" s="599">
        <v>16787377</v>
      </c>
      <c r="BF89" s="600">
        <v>9642891</v>
      </c>
      <c r="BG89" s="599">
        <v>8503344</v>
      </c>
      <c r="BH89" s="600">
        <v>9344060</v>
      </c>
      <c r="BI89" s="599">
        <v>8682565</v>
      </c>
      <c r="BJ89" s="621">
        <v>118481</v>
      </c>
      <c r="BK89" s="615">
        <v>118480</v>
      </c>
      <c r="BL89" s="600">
        <v>0</v>
      </c>
      <c r="BM89" s="604"/>
      <c r="BN89" s="605">
        <f t="shared" si="167"/>
        <v>1770</v>
      </c>
      <c r="BO89" s="606">
        <f t="shared" si="168"/>
        <v>1761</v>
      </c>
      <c r="BP89" s="607">
        <f t="shared" si="169"/>
        <v>2076</v>
      </c>
      <c r="BQ89" s="606">
        <f t="shared" si="170"/>
        <v>2103</v>
      </c>
      <c r="BR89" s="607">
        <f t="shared" si="171"/>
        <v>1338</v>
      </c>
      <c r="BS89" s="606">
        <f t="shared" si="172"/>
        <v>1158</v>
      </c>
      <c r="BT89" s="607">
        <f t="shared" si="173"/>
        <v>1776</v>
      </c>
      <c r="BU89" s="606">
        <f t="shared" si="174"/>
        <v>1641</v>
      </c>
      <c r="BV89" s="607">
        <f t="shared" si="175"/>
        <v>21</v>
      </c>
      <c r="BW89" s="608">
        <f t="shared" si="176"/>
        <v>21</v>
      </c>
      <c r="BX89" s="607">
        <f t="shared" si="177"/>
        <v>0</v>
      </c>
      <c r="BY89" s="608">
        <f t="shared" si="178"/>
        <v>0</v>
      </c>
      <c r="BZ89" s="607">
        <f t="shared" si="179"/>
        <v>10645.738983050847</v>
      </c>
      <c r="CA89" s="608">
        <f t="shared" si="180"/>
        <v>10739.57013060761</v>
      </c>
      <c r="CB89" s="607">
        <f t="shared" si="181"/>
        <v>8008.9441233140651</v>
      </c>
      <c r="CC89" s="608">
        <f t="shared" si="182"/>
        <v>7982.5853542558252</v>
      </c>
      <c r="CD89" s="607">
        <f t="shared" si="183"/>
        <v>7206.9439461883412</v>
      </c>
      <c r="CE89" s="608">
        <f t="shared" si="184"/>
        <v>7343.1295336787562</v>
      </c>
      <c r="CF89" s="607">
        <f t="shared" si="185"/>
        <v>5261.2950450450453</v>
      </c>
      <c r="CG89" s="608">
        <f t="shared" si="186"/>
        <v>5291.0207190737356</v>
      </c>
      <c r="CH89" s="607">
        <f t="shared" si="187"/>
        <v>5641.9523809523807</v>
      </c>
      <c r="CI89" s="608">
        <f t="shared" si="188"/>
        <v>5641.9047619047615</v>
      </c>
      <c r="CJ89" s="607">
        <f t="shared" si="189"/>
        <v>0</v>
      </c>
      <c r="CK89" s="608">
        <f t="shared" si="190"/>
        <v>0</v>
      </c>
      <c r="CL89" s="609">
        <f t="shared" si="191"/>
        <v>95811.650847457626</v>
      </c>
      <c r="CM89" s="608">
        <f t="shared" si="192"/>
        <v>96656.131175468487</v>
      </c>
      <c r="CN89" s="610">
        <f t="shared" si="193"/>
        <v>72080.497109826581</v>
      </c>
      <c r="CO89" s="606">
        <f t="shared" si="194"/>
        <v>71843.268188302434</v>
      </c>
      <c r="CP89" s="607">
        <f t="shared" si="195"/>
        <v>64862.495515695075</v>
      </c>
      <c r="CQ89" s="606">
        <f t="shared" si="196"/>
        <v>66088.165803108801</v>
      </c>
      <c r="CR89" s="607">
        <f t="shared" si="197"/>
        <v>47351.655405405407</v>
      </c>
      <c r="CS89" s="606">
        <f t="shared" si="198"/>
        <v>47619.186471663619</v>
      </c>
      <c r="CT89" s="607">
        <f t="shared" si="199"/>
        <v>50777.571428571428</v>
      </c>
      <c r="CU89" s="608">
        <f t="shared" si="200"/>
        <v>50777.142857142855</v>
      </c>
      <c r="CV89" s="610">
        <f t="shared" si="201"/>
        <v>0</v>
      </c>
      <c r="CW89" s="608">
        <f t="shared" si="202"/>
        <v>0</v>
      </c>
      <c r="CX89" s="610">
        <f t="shared" si="203"/>
        <v>70627.566316708006</v>
      </c>
      <c r="CY89" s="611">
        <f t="shared" si="204"/>
        <v>71663.756941113053</v>
      </c>
      <c r="CZ89" s="605">
        <f t="shared" si="205"/>
        <v>196</v>
      </c>
      <c r="DA89" s="612">
        <f t="shared" si="206"/>
        <v>195</v>
      </c>
      <c r="DB89" s="607">
        <f t="shared" si="207"/>
        <v>229</v>
      </c>
      <c r="DC89" s="606">
        <f t="shared" si="208"/>
        <v>232</v>
      </c>
      <c r="DD89" s="607">
        <f t="shared" si="209"/>
        <v>148</v>
      </c>
      <c r="DE89" s="606">
        <f t="shared" si="210"/>
        <v>128</v>
      </c>
      <c r="DF89" s="607">
        <f t="shared" si="211"/>
        <v>188</v>
      </c>
      <c r="DG89" s="606">
        <f t="shared" si="212"/>
        <v>173</v>
      </c>
      <c r="DH89" s="607">
        <f t="shared" si="213"/>
        <v>2</v>
      </c>
      <c r="DI89" s="608">
        <f t="shared" si="214"/>
        <v>2</v>
      </c>
      <c r="DJ89" s="607">
        <f t="shared" si="215"/>
        <v>0</v>
      </c>
      <c r="DK89" s="608">
        <f t="shared" si="216"/>
        <v>0</v>
      </c>
      <c r="DL89" s="607">
        <f t="shared" si="217"/>
        <v>763</v>
      </c>
      <c r="DM89" s="608">
        <f t="shared" si="218"/>
        <v>730</v>
      </c>
      <c r="DN89" s="607">
        <f t="shared" si="219"/>
        <v>18779083.566101696</v>
      </c>
      <c r="DO89" s="612">
        <f t="shared" si="220"/>
        <v>18847945.579216354</v>
      </c>
      <c r="DP89" s="607">
        <f t="shared" si="221"/>
        <v>16506433.838150287</v>
      </c>
      <c r="DQ89" s="606">
        <f t="shared" si="222"/>
        <v>16667638.219686165</v>
      </c>
      <c r="DR89" s="607">
        <f t="shared" si="223"/>
        <v>9599649.3363228701</v>
      </c>
      <c r="DS89" s="606">
        <f t="shared" si="224"/>
        <v>8459285.2227979265</v>
      </c>
      <c r="DT89" s="607">
        <f t="shared" si="225"/>
        <v>8902111.2162162159</v>
      </c>
      <c r="DU89" s="606">
        <f t="shared" si="226"/>
        <v>8238119.2595978063</v>
      </c>
      <c r="DV89" s="607">
        <f t="shared" si="227"/>
        <v>101555.14285714286</v>
      </c>
      <c r="DW89" s="608">
        <f t="shared" si="228"/>
        <v>101554.28571428571</v>
      </c>
      <c r="DX89" s="607">
        <f t="shared" si="229"/>
        <v>0</v>
      </c>
      <c r="DY89" s="608">
        <f t="shared" si="230"/>
        <v>0</v>
      </c>
      <c r="DZ89" s="607">
        <f t="shared" si="231"/>
        <v>53888833.099648207</v>
      </c>
      <c r="EA89" s="608">
        <f t="shared" si="232"/>
        <v>52314542.567012526</v>
      </c>
    </row>
    <row r="90" spans="1:131" ht="12.75" customHeight="1" x14ac:dyDescent="0.2">
      <c r="A90" s="486" t="s">
        <v>34</v>
      </c>
      <c r="B90" s="374" t="s">
        <v>750</v>
      </c>
      <c r="C90" s="544" t="s">
        <v>755</v>
      </c>
      <c r="D90" s="426">
        <v>133650</v>
      </c>
      <c r="E90" s="429">
        <v>3</v>
      </c>
      <c r="F90" s="598">
        <v>80</v>
      </c>
      <c r="G90" s="617">
        <v>85</v>
      </c>
      <c r="H90" s="600"/>
      <c r="I90" s="601"/>
      <c r="J90" s="600"/>
      <c r="K90" s="618"/>
      <c r="L90" s="600">
        <v>64</v>
      </c>
      <c r="M90" s="619">
        <v>59</v>
      </c>
      <c r="N90" s="600">
        <v>129</v>
      </c>
      <c r="O90" s="617">
        <v>131</v>
      </c>
      <c r="P90" s="600"/>
      <c r="Q90" s="601"/>
      <c r="R90" s="600"/>
      <c r="S90" s="618"/>
      <c r="T90" s="600">
        <v>55</v>
      </c>
      <c r="U90" s="619">
        <v>55</v>
      </c>
      <c r="V90" s="600">
        <v>95</v>
      </c>
      <c r="W90" s="620">
        <v>99</v>
      </c>
      <c r="X90" s="600"/>
      <c r="Y90" s="601"/>
      <c r="Z90" s="600"/>
      <c r="AA90" s="618"/>
      <c r="AB90" s="600">
        <v>48</v>
      </c>
      <c r="AC90" s="617">
        <v>41</v>
      </c>
      <c r="AD90" s="600">
        <v>41</v>
      </c>
      <c r="AE90" s="619">
        <v>53</v>
      </c>
      <c r="AF90" s="600"/>
      <c r="AG90" s="601"/>
      <c r="AH90" s="600"/>
      <c r="AI90" s="618"/>
      <c r="AJ90" s="600">
        <v>25</v>
      </c>
      <c r="AK90" s="619">
        <v>27</v>
      </c>
      <c r="AL90" s="600">
        <v>0</v>
      </c>
      <c r="AM90" s="617">
        <v>0</v>
      </c>
      <c r="AN90" s="600"/>
      <c r="AO90" s="601"/>
      <c r="AP90" s="600"/>
      <c r="AQ90" s="618"/>
      <c r="AR90" s="600">
        <v>0</v>
      </c>
      <c r="AS90" s="619">
        <v>0</v>
      </c>
      <c r="AT90" s="600"/>
      <c r="AU90" s="599"/>
      <c r="AV90" s="600"/>
      <c r="AW90" s="601"/>
      <c r="AX90" s="600"/>
      <c r="AY90" s="599"/>
      <c r="AZ90" s="600"/>
      <c r="BA90" s="601"/>
      <c r="BB90" s="602">
        <v>14256168</v>
      </c>
      <c r="BC90" s="612">
        <v>14880818</v>
      </c>
      <c r="BD90" s="600">
        <v>14641216</v>
      </c>
      <c r="BE90" s="599">
        <v>15310052</v>
      </c>
      <c r="BF90" s="600">
        <v>9232845</v>
      </c>
      <c r="BG90" s="599">
        <v>9143112</v>
      </c>
      <c r="BH90" s="600">
        <v>3816097</v>
      </c>
      <c r="BI90" s="599">
        <v>4735812</v>
      </c>
      <c r="BJ90" s="600">
        <v>0</v>
      </c>
      <c r="BK90" s="615"/>
      <c r="BL90" s="600">
        <v>0</v>
      </c>
      <c r="BM90" s="604"/>
      <c r="BN90" s="605">
        <f t="shared" si="167"/>
        <v>1488</v>
      </c>
      <c r="BO90" s="606">
        <f t="shared" si="168"/>
        <v>1473</v>
      </c>
      <c r="BP90" s="607">
        <f t="shared" si="169"/>
        <v>1821</v>
      </c>
      <c r="BQ90" s="606">
        <f t="shared" si="170"/>
        <v>1839</v>
      </c>
      <c r="BR90" s="607">
        <f t="shared" si="171"/>
        <v>1431</v>
      </c>
      <c r="BS90" s="606">
        <f t="shared" si="172"/>
        <v>1383</v>
      </c>
      <c r="BT90" s="607">
        <f t="shared" si="173"/>
        <v>669</v>
      </c>
      <c r="BU90" s="606">
        <f t="shared" si="174"/>
        <v>801</v>
      </c>
      <c r="BV90" s="607">
        <f t="shared" si="175"/>
        <v>0</v>
      </c>
      <c r="BW90" s="608">
        <f t="shared" si="176"/>
        <v>0</v>
      </c>
      <c r="BX90" s="607">
        <f t="shared" si="177"/>
        <v>0</v>
      </c>
      <c r="BY90" s="608">
        <f t="shared" si="178"/>
        <v>0</v>
      </c>
      <c r="BZ90" s="607">
        <f t="shared" si="179"/>
        <v>9580.7580645161288</v>
      </c>
      <c r="CA90" s="608">
        <f t="shared" si="180"/>
        <v>10102.388323150033</v>
      </c>
      <c r="CB90" s="607">
        <f t="shared" si="181"/>
        <v>8040.2064799560685</v>
      </c>
      <c r="CC90" s="608">
        <f t="shared" si="182"/>
        <v>8325.2050027188689</v>
      </c>
      <c r="CD90" s="607">
        <f t="shared" si="183"/>
        <v>6452.023060796646</v>
      </c>
      <c r="CE90" s="608">
        <f t="shared" si="184"/>
        <v>6611.0715835141</v>
      </c>
      <c r="CF90" s="607">
        <f t="shared" si="185"/>
        <v>5704.1808669656202</v>
      </c>
      <c r="CG90" s="608">
        <f t="shared" si="186"/>
        <v>5912.3745318352057</v>
      </c>
      <c r="CH90" s="607">
        <f t="shared" si="187"/>
        <v>0</v>
      </c>
      <c r="CI90" s="608">
        <f t="shared" si="188"/>
        <v>0</v>
      </c>
      <c r="CJ90" s="607">
        <f t="shared" si="189"/>
        <v>0</v>
      </c>
      <c r="CK90" s="608">
        <f t="shared" si="190"/>
        <v>0</v>
      </c>
      <c r="CL90" s="609">
        <f t="shared" si="191"/>
        <v>86226.822580645152</v>
      </c>
      <c r="CM90" s="608">
        <f t="shared" si="192"/>
        <v>90921.494908350302</v>
      </c>
      <c r="CN90" s="610">
        <f t="shared" si="193"/>
        <v>72361.858319604624</v>
      </c>
      <c r="CO90" s="606">
        <f t="shared" si="194"/>
        <v>74926.845024469818</v>
      </c>
      <c r="CP90" s="607">
        <f t="shared" si="195"/>
        <v>58068.207547169812</v>
      </c>
      <c r="CQ90" s="606">
        <f t="shared" si="196"/>
        <v>59499.644251626902</v>
      </c>
      <c r="CR90" s="607">
        <f t="shared" si="197"/>
        <v>51337.627802690578</v>
      </c>
      <c r="CS90" s="606">
        <f t="shared" si="198"/>
        <v>53211.370786516854</v>
      </c>
      <c r="CT90" s="607">
        <f t="shared" si="199"/>
        <v>0</v>
      </c>
      <c r="CU90" s="608">
        <f t="shared" si="200"/>
        <v>0</v>
      </c>
      <c r="CV90" s="610">
        <f t="shared" si="201"/>
        <v>0</v>
      </c>
      <c r="CW90" s="608">
        <f t="shared" si="202"/>
        <v>0</v>
      </c>
      <c r="CX90" s="610">
        <f t="shared" si="203"/>
        <v>69689.537237696495</v>
      </c>
      <c r="CY90" s="611">
        <f t="shared" si="204"/>
        <v>72028.996908187168</v>
      </c>
      <c r="CZ90" s="605">
        <f t="shared" si="205"/>
        <v>144</v>
      </c>
      <c r="DA90" s="612">
        <f t="shared" si="206"/>
        <v>144</v>
      </c>
      <c r="DB90" s="607">
        <f t="shared" si="207"/>
        <v>184</v>
      </c>
      <c r="DC90" s="606">
        <f t="shared" si="208"/>
        <v>186</v>
      </c>
      <c r="DD90" s="607">
        <f t="shared" si="209"/>
        <v>143</v>
      </c>
      <c r="DE90" s="606">
        <f t="shared" si="210"/>
        <v>140</v>
      </c>
      <c r="DF90" s="607">
        <f t="shared" si="211"/>
        <v>66</v>
      </c>
      <c r="DG90" s="606">
        <f t="shared" si="212"/>
        <v>80</v>
      </c>
      <c r="DH90" s="607">
        <f t="shared" si="213"/>
        <v>0</v>
      </c>
      <c r="DI90" s="608">
        <f t="shared" si="214"/>
        <v>0</v>
      </c>
      <c r="DJ90" s="607">
        <f t="shared" si="215"/>
        <v>0</v>
      </c>
      <c r="DK90" s="608">
        <f t="shared" si="216"/>
        <v>0</v>
      </c>
      <c r="DL90" s="607">
        <f t="shared" si="217"/>
        <v>537</v>
      </c>
      <c r="DM90" s="608">
        <f t="shared" si="218"/>
        <v>550</v>
      </c>
      <c r="DN90" s="607">
        <f t="shared" si="219"/>
        <v>12416662.451612901</v>
      </c>
      <c r="DO90" s="612">
        <f t="shared" si="220"/>
        <v>13092695.266802443</v>
      </c>
      <c r="DP90" s="607">
        <f t="shared" si="221"/>
        <v>13314581.930807251</v>
      </c>
      <c r="DQ90" s="606">
        <f t="shared" si="222"/>
        <v>13936393.174551386</v>
      </c>
      <c r="DR90" s="607">
        <f t="shared" si="223"/>
        <v>8303753.6792452829</v>
      </c>
      <c r="DS90" s="606">
        <f t="shared" si="224"/>
        <v>8329950.1952277664</v>
      </c>
      <c r="DT90" s="607">
        <f t="shared" si="225"/>
        <v>3388283.434977578</v>
      </c>
      <c r="DU90" s="606">
        <f t="shared" si="226"/>
        <v>4256909.6629213486</v>
      </c>
      <c r="DV90" s="607">
        <f t="shared" si="227"/>
        <v>0</v>
      </c>
      <c r="DW90" s="608">
        <f t="shared" si="228"/>
        <v>0</v>
      </c>
      <c r="DX90" s="607">
        <f t="shared" si="229"/>
        <v>0</v>
      </c>
      <c r="DY90" s="608">
        <f t="shared" si="230"/>
        <v>0</v>
      </c>
      <c r="DZ90" s="607">
        <f t="shared" si="231"/>
        <v>37423281.496643014</v>
      </c>
      <c r="EA90" s="608">
        <f t="shared" si="232"/>
        <v>39615948.299502939</v>
      </c>
    </row>
    <row r="91" spans="1:131" ht="12.75" customHeight="1" x14ac:dyDescent="0.2">
      <c r="A91" s="486" t="s">
        <v>34</v>
      </c>
      <c r="B91" s="374" t="s">
        <v>751</v>
      </c>
      <c r="C91" s="544"/>
      <c r="D91" s="426">
        <v>136172</v>
      </c>
      <c r="E91" s="429">
        <v>3</v>
      </c>
      <c r="F91" s="598">
        <v>70</v>
      </c>
      <c r="G91" s="617">
        <v>68</v>
      </c>
      <c r="H91" s="600"/>
      <c r="I91" s="601"/>
      <c r="J91" s="600"/>
      <c r="K91" s="618"/>
      <c r="L91" s="600">
        <v>10</v>
      </c>
      <c r="M91" s="619">
        <v>9</v>
      </c>
      <c r="N91" s="600">
        <v>130</v>
      </c>
      <c r="O91" s="617">
        <v>123</v>
      </c>
      <c r="P91" s="600"/>
      <c r="Q91" s="601"/>
      <c r="R91" s="600"/>
      <c r="S91" s="618"/>
      <c r="T91" s="600">
        <v>6</v>
      </c>
      <c r="U91" s="619">
        <v>8</v>
      </c>
      <c r="V91" s="600">
        <v>155</v>
      </c>
      <c r="W91" s="620">
        <v>151</v>
      </c>
      <c r="X91" s="600"/>
      <c r="Y91" s="601"/>
      <c r="Z91" s="600"/>
      <c r="AA91" s="618"/>
      <c r="AB91" s="600">
        <v>4</v>
      </c>
      <c r="AC91" s="617">
        <v>2</v>
      </c>
      <c r="AD91" s="600">
        <v>73</v>
      </c>
      <c r="AE91" s="619">
        <v>68</v>
      </c>
      <c r="AF91" s="600"/>
      <c r="AG91" s="601"/>
      <c r="AH91" s="600"/>
      <c r="AI91" s="618"/>
      <c r="AJ91" s="600">
        <v>6</v>
      </c>
      <c r="AK91" s="619">
        <v>9</v>
      </c>
      <c r="AL91" s="600">
        <v>0</v>
      </c>
      <c r="AM91" s="617">
        <v>0</v>
      </c>
      <c r="AN91" s="600"/>
      <c r="AO91" s="601"/>
      <c r="AP91" s="600"/>
      <c r="AQ91" s="618"/>
      <c r="AR91" s="621">
        <v>9</v>
      </c>
      <c r="AS91" s="619">
        <v>2</v>
      </c>
      <c r="AT91" s="600"/>
      <c r="AU91" s="599"/>
      <c r="AV91" s="600"/>
      <c r="AW91" s="601"/>
      <c r="AX91" s="600"/>
      <c r="AY91" s="599"/>
      <c r="AZ91" s="600"/>
      <c r="BA91" s="601"/>
      <c r="BB91" s="602">
        <v>7943926</v>
      </c>
      <c r="BC91" s="612">
        <v>7501747</v>
      </c>
      <c r="BD91" s="600">
        <v>9460619</v>
      </c>
      <c r="BE91" s="599">
        <v>8944749</v>
      </c>
      <c r="BF91" s="600">
        <v>9285813</v>
      </c>
      <c r="BG91" s="599">
        <v>8982858</v>
      </c>
      <c r="BH91" s="600">
        <v>3629188</v>
      </c>
      <c r="BI91" s="599">
        <v>3629147</v>
      </c>
      <c r="BJ91" s="621">
        <v>435624</v>
      </c>
      <c r="BK91" s="615">
        <v>94813</v>
      </c>
      <c r="BL91" s="600">
        <v>0</v>
      </c>
      <c r="BM91" s="604"/>
      <c r="BN91" s="605">
        <f t="shared" si="167"/>
        <v>750</v>
      </c>
      <c r="BO91" s="606">
        <f t="shared" si="168"/>
        <v>720</v>
      </c>
      <c r="BP91" s="607">
        <f t="shared" si="169"/>
        <v>1242</v>
      </c>
      <c r="BQ91" s="606">
        <f t="shared" si="170"/>
        <v>1203</v>
      </c>
      <c r="BR91" s="607">
        <f t="shared" si="171"/>
        <v>1443</v>
      </c>
      <c r="BS91" s="606">
        <f t="shared" si="172"/>
        <v>1383</v>
      </c>
      <c r="BT91" s="607">
        <f t="shared" si="173"/>
        <v>729</v>
      </c>
      <c r="BU91" s="606">
        <f t="shared" si="174"/>
        <v>720</v>
      </c>
      <c r="BV91" s="607">
        <f t="shared" si="175"/>
        <v>108</v>
      </c>
      <c r="BW91" s="608">
        <f t="shared" si="176"/>
        <v>24</v>
      </c>
      <c r="BX91" s="607">
        <f t="shared" si="177"/>
        <v>0</v>
      </c>
      <c r="BY91" s="608">
        <f t="shared" si="178"/>
        <v>0</v>
      </c>
      <c r="BZ91" s="607">
        <f t="shared" si="179"/>
        <v>10591.901333333333</v>
      </c>
      <c r="CA91" s="608">
        <f t="shared" si="180"/>
        <v>10419.093055555555</v>
      </c>
      <c r="CB91" s="607">
        <f t="shared" si="181"/>
        <v>7617.2455716586155</v>
      </c>
      <c r="CC91" s="608">
        <f t="shared" si="182"/>
        <v>7435.3690773067328</v>
      </c>
      <c r="CD91" s="607">
        <f t="shared" si="183"/>
        <v>6435.0748440748439</v>
      </c>
      <c r="CE91" s="608">
        <f t="shared" si="184"/>
        <v>6495.1973969631235</v>
      </c>
      <c r="CF91" s="607">
        <f t="shared" si="185"/>
        <v>4978.3100137174215</v>
      </c>
      <c r="CG91" s="608">
        <f t="shared" si="186"/>
        <v>5040.4819444444447</v>
      </c>
      <c r="CH91" s="607">
        <f t="shared" si="187"/>
        <v>4033.5555555555557</v>
      </c>
      <c r="CI91" s="608">
        <f t="shared" si="188"/>
        <v>3950.5416666666665</v>
      </c>
      <c r="CJ91" s="607">
        <f t="shared" si="189"/>
        <v>0</v>
      </c>
      <c r="CK91" s="608">
        <f t="shared" si="190"/>
        <v>0</v>
      </c>
      <c r="CL91" s="609">
        <f t="shared" si="191"/>
        <v>95327.111999999994</v>
      </c>
      <c r="CM91" s="608">
        <f t="shared" si="192"/>
        <v>93771.837499999994</v>
      </c>
      <c r="CN91" s="610">
        <f t="shared" si="193"/>
        <v>68555.210144927536</v>
      </c>
      <c r="CO91" s="606">
        <f t="shared" si="194"/>
        <v>66918.321695760591</v>
      </c>
      <c r="CP91" s="607">
        <f t="shared" si="195"/>
        <v>57915.673596673594</v>
      </c>
      <c r="CQ91" s="606">
        <f t="shared" si="196"/>
        <v>58456.77657266811</v>
      </c>
      <c r="CR91" s="607">
        <f t="shared" si="197"/>
        <v>44804.790123456791</v>
      </c>
      <c r="CS91" s="606">
        <f t="shared" si="198"/>
        <v>45364.337500000001</v>
      </c>
      <c r="CT91" s="607">
        <f t="shared" si="199"/>
        <v>36302</v>
      </c>
      <c r="CU91" s="608">
        <f t="shared" si="200"/>
        <v>35554.875</v>
      </c>
      <c r="CV91" s="610">
        <f t="shared" si="201"/>
        <v>0</v>
      </c>
      <c r="CW91" s="608">
        <f t="shared" si="202"/>
        <v>0</v>
      </c>
      <c r="CX91" s="610">
        <f t="shared" si="203"/>
        <v>64847.874862493154</v>
      </c>
      <c r="CY91" s="611">
        <f t="shared" si="204"/>
        <v>64760.86859718831</v>
      </c>
      <c r="CZ91" s="605">
        <f t="shared" si="205"/>
        <v>80</v>
      </c>
      <c r="DA91" s="612">
        <f t="shared" si="206"/>
        <v>77</v>
      </c>
      <c r="DB91" s="607">
        <f t="shared" si="207"/>
        <v>136</v>
      </c>
      <c r="DC91" s="606">
        <f t="shared" si="208"/>
        <v>131</v>
      </c>
      <c r="DD91" s="607">
        <f t="shared" si="209"/>
        <v>159</v>
      </c>
      <c r="DE91" s="606">
        <f t="shared" si="210"/>
        <v>153</v>
      </c>
      <c r="DF91" s="607">
        <f t="shared" si="211"/>
        <v>79</v>
      </c>
      <c r="DG91" s="606">
        <f t="shared" si="212"/>
        <v>77</v>
      </c>
      <c r="DH91" s="607">
        <f t="shared" si="213"/>
        <v>9</v>
      </c>
      <c r="DI91" s="608">
        <f t="shared" si="214"/>
        <v>2</v>
      </c>
      <c r="DJ91" s="607">
        <f t="shared" si="215"/>
        <v>0</v>
      </c>
      <c r="DK91" s="608">
        <f t="shared" si="216"/>
        <v>0</v>
      </c>
      <c r="DL91" s="607">
        <f t="shared" si="217"/>
        <v>463</v>
      </c>
      <c r="DM91" s="608">
        <f t="shared" si="218"/>
        <v>440</v>
      </c>
      <c r="DN91" s="607">
        <f t="shared" si="219"/>
        <v>7626168.959999999</v>
      </c>
      <c r="DO91" s="612">
        <f t="shared" si="220"/>
        <v>7220431.4874999998</v>
      </c>
      <c r="DP91" s="607">
        <f t="shared" si="221"/>
        <v>9323508.5797101445</v>
      </c>
      <c r="DQ91" s="606">
        <f t="shared" si="222"/>
        <v>8766300.1421446372</v>
      </c>
      <c r="DR91" s="607">
        <f t="shared" si="223"/>
        <v>9208592.1018711012</v>
      </c>
      <c r="DS91" s="606">
        <f t="shared" si="224"/>
        <v>8943886.8156182207</v>
      </c>
      <c r="DT91" s="607">
        <f t="shared" si="225"/>
        <v>3539578.4197530863</v>
      </c>
      <c r="DU91" s="606">
        <f t="shared" si="226"/>
        <v>3493053.9875000003</v>
      </c>
      <c r="DV91" s="607">
        <f t="shared" si="227"/>
        <v>326718</v>
      </c>
      <c r="DW91" s="608">
        <f t="shared" si="228"/>
        <v>71109.75</v>
      </c>
      <c r="DX91" s="607">
        <f t="shared" si="229"/>
        <v>0</v>
      </c>
      <c r="DY91" s="608">
        <f t="shared" si="230"/>
        <v>0</v>
      </c>
      <c r="DZ91" s="607">
        <f t="shared" si="231"/>
        <v>30024566.061334331</v>
      </c>
      <c r="EA91" s="608">
        <f t="shared" si="232"/>
        <v>28494782.182762858</v>
      </c>
    </row>
    <row r="92" spans="1:131" ht="12.75" customHeight="1" x14ac:dyDescent="0.2">
      <c r="A92" s="486" t="s">
        <v>34</v>
      </c>
      <c r="B92" s="374" t="s">
        <v>752</v>
      </c>
      <c r="C92" s="544"/>
      <c r="D92" s="426">
        <v>138354</v>
      </c>
      <c r="E92" s="429">
        <v>3</v>
      </c>
      <c r="F92" s="598">
        <v>58</v>
      </c>
      <c r="G92" s="617">
        <v>58</v>
      </c>
      <c r="H92" s="600"/>
      <c r="I92" s="601"/>
      <c r="J92" s="600"/>
      <c r="K92" s="618"/>
      <c r="L92" s="600">
        <v>16</v>
      </c>
      <c r="M92" s="619">
        <v>5</v>
      </c>
      <c r="N92" s="600">
        <v>75</v>
      </c>
      <c r="O92" s="617">
        <v>70</v>
      </c>
      <c r="P92" s="600"/>
      <c r="Q92" s="601"/>
      <c r="R92" s="600"/>
      <c r="S92" s="618"/>
      <c r="T92" s="600">
        <v>10</v>
      </c>
      <c r="U92" s="619">
        <v>11</v>
      </c>
      <c r="V92" s="600">
        <v>74</v>
      </c>
      <c r="W92" s="620">
        <v>85</v>
      </c>
      <c r="X92" s="600"/>
      <c r="Y92" s="601"/>
      <c r="Z92" s="600"/>
      <c r="AA92" s="618"/>
      <c r="AB92" s="600">
        <v>2</v>
      </c>
      <c r="AC92" s="617">
        <v>1</v>
      </c>
      <c r="AD92" s="600">
        <v>26</v>
      </c>
      <c r="AE92" s="619">
        <v>29</v>
      </c>
      <c r="AF92" s="600"/>
      <c r="AG92" s="601"/>
      <c r="AH92" s="600"/>
      <c r="AI92" s="618"/>
      <c r="AJ92" s="600">
        <v>9</v>
      </c>
      <c r="AK92" s="619">
        <v>10</v>
      </c>
      <c r="AL92" s="621">
        <v>13</v>
      </c>
      <c r="AM92" s="617">
        <v>17</v>
      </c>
      <c r="AN92" s="600"/>
      <c r="AO92" s="601"/>
      <c r="AP92" s="600"/>
      <c r="AQ92" s="618"/>
      <c r="AR92" s="621">
        <v>16</v>
      </c>
      <c r="AS92" s="619">
        <v>12</v>
      </c>
      <c r="AT92" s="600"/>
      <c r="AU92" s="599"/>
      <c r="AV92" s="600"/>
      <c r="AW92" s="601"/>
      <c r="AX92" s="600"/>
      <c r="AY92" s="599"/>
      <c r="AZ92" s="600"/>
      <c r="BA92" s="601"/>
      <c r="BB92" s="602">
        <v>6832004</v>
      </c>
      <c r="BC92" s="612">
        <v>5928127</v>
      </c>
      <c r="BD92" s="600">
        <v>5654430</v>
      </c>
      <c r="BE92" s="599">
        <v>5653227</v>
      </c>
      <c r="BF92" s="600">
        <v>4376842</v>
      </c>
      <c r="BG92" s="599">
        <v>5251078</v>
      </c>
      <c r="BH92" s="600">
        <v>1671513</v>
      </c>
      <c r="BI92" s="599">
        <v>1945286</v>
      </c>
      <c r="BJ92" s="621">
        <v>1507929</v>
      </c>
      <c r="BK92" s="615">
        <v>1533745</v>
      </c>
      <c r="BL92" s="600">
        <v>0</v>
      </c>
      <c r="BM92" s="604"/>
      <c r="BN92" s="605">
        <f t="shared" si="167"/>
        <v>714</v>
      </c>
      <c r="BO92" s="606">
        <f t="shared" si="168"/>
        <v>582</v>
      </c>
      <c r="BP92" s="607">
        <f t="shared" si="169"/>
        <v>795</v>
      </c>
      <c r="BQ92" s="606">
        <f t="shared" si="170"/>
        <v>762</v>
      </c>
      <c r="BR92" s="607">
        <f t="shared" si="171"/>
        <v>690</v>
      </c>
      <c r="BS92" s="606">
        <f t="shared" si="172"/>
        <v>777</v>
      </c>
      <c r="BT92" s="607">
        <f t="shared" si="173"/>
        <v>342</v>
      </c>
      <c r="BU92" s="606">
        <f t="shared" si="174"/>
        <v>381</v>
      </c>
      <c r="BV92" s="607">
        <f t="shared" si="175"/>
        <v>309</v>
      </c>
      <c r="BW92" s="608">
        <f t="shared" si="176"/>
        <v>297</v>
      </c>
      <c r="BX92" s="607">
        <f t="shared" si="177"/>
        <v>0</v>
      </c>
      <c r="BY92" s="608">
        <f t="shared" si="178"/>
        <v>0</v>
      </c>
      <c r="BZ92" s="607">
        <f t="shared" si="179"/>
        <v>9568.6330532212887</v>
      </c>
      <c r="CA92" s="608">
        <f t="shared" si="180"/>
        <v>10185.785223367697</v>
      </c>
      <c r="CB92" s="607">
        <f t="shared" si="181"/>
        <v>7112.4905660377362</v>
      </c>
      <c r="CC92" s="608">
        <f t="shared" si="182"/>
        <v>7418.9330708661419</v>
      </c>
      <c r="CD92" s="607">
        <f t="shared" si="183"/>
        <v>6343.2492753623192</v>
      </c>
      <c r="CE92" s="608">
        <f t="shared" si="184"/>
        <v>6758.1441441441439</v>
      </c>
      <c r="CF92" s="607">
        <f t="shared" si="185"/>
        <v>4887.4649122807014</v>
      </c>
      <c r="CG92" s="608">
        <f t="shared" si="186"/>
        <v>5105.737532808399</v>
      </c>
      <c r="CH92" s="607">
        <f t="shared" si="187"/>
        <v>4880.0291262135925</v>
      </c>
      <c r="CI92" s="608">
        <f t="shared" si="188"/>
        <v>5164.1245791245792</v>
      </c>
      <c r="CJ92" s="607">
        <f t="shared" si="189"/>
        <v>0</v>
      </c>
      <c r="CK92" s="608">
        <f t="shared" si="190"/>
        <v>0</v>
      </c>
      <c r="CL92" s="609">
        <f t="shared" si="191"/>
        <v>86117.697478991598</v>
      </c>
      <c r="CM92" s="608">
        <f t="shared" si="192"/>
        <v>91672.067010309271</v>
      </c>
      <c r="CN92" s="610">
        <f t="shared" si="193"/>
        <v>64012.415094339623</v>
      </c>
      <c r="CO92" s="606">
        <f t="shared" si="194"/>
        <v>66770.397637795279</v>
      </c>
      <c r="CP92" s="607">
        <f t="shared" si="195"/>
        <v>57089.243478260876</v>
      </c>
      <c r="CQ92" s="606">
        <f t="shared" si="196"/>
        <v>60823.297297297293</v>
      </c>
      <c r="CR92" s="607">
        <f t="shared" si="197"/>
        <v>43987.184210526313</v>
      </c>
      <c r="CS92" s="606">
        <f t="shared" si="198"/>
        <v>45951.637795275594</v>
      </c>
      <c r="CT92" s="607">
        <f t="shared" si="199"/>
        <v>43920.262135922334</v>
      </c>
      <c r="CU92" s="608">
        <f t="shared" si="200"/>
        <v>46477.121212121216</v>
      </c>
      <c r="CV92" s="610">
        <f t="shared" si="201"/>
        <v>0</v>
      </c>
      <c r="CW92" s="608">
        <f t="shared" si="202"/>
        <v>0</v>
      </c>
      <c r="CX92" s="610">
        <f t="shared" si="203"/>
        <v>63430.723913452326</v>
      </c>
      <c r="CY92" s="611">
        <f t="shared" si="204"/>
        <v>65619.115392770924</v>
      </c>
      <c r="CZ92" s="605">
        <f t="shared" si="205"/>
        <v>74</v>
      </c>
      <c r="DA92" s="612">
        <f t="shared" si="206"/>
        <v>63</v>
      </c>
      <c r="DB92" s="607">
        <f t="shared" si="207"/>
        <v>85</v>
      </c>
      <c r="DC92" s="606">
        <f t="shared" si="208"/>
        <v>81</v>
      </c>
      <c r="DD92" s="607">
        <f t="shared" si="209"/>
        <v>76</v>
      </c>
      <c r="DE92" s="606">
        <f t="shared" si="210"/>
        <v>86</v>
      </c>
      <c r="DF92" s="607">
        <f t="shared" si="211"/>
        <v>35</v>
      </c>
      <c r="DG92" s="606">
        <f t="shared" si="212"/>
        <v>39</v>
      </c>
      <c r="DH92" s="607">
        <f t="shared" si="213"/>
        <v>29</v>
      </c>
      <c r="DI92" s="608">
        <f t="shared" si="214"/>
        <v>29</v>
      </c>
      <c r="DJ92" s="607">
        <f t="shared" si="215"/>
        <v>0</v>
      </c>
      <c r="DK92" s="608">
        <f t="shared" si="216"/>
        <v>0</v>
      </c>
      <c r="DL92" s="607">
        <f t="shared" si="217"/>
        <v>299</v>
      </c>
      <c r="DM92" s="608">
        <f t="shared" si="218"/>
        <v>298</v>
      </c>
      <c r="DN92" s="607">
        <f t="shared" si="219"/>
        <v>6372709.6134453779</v>
      </c>
      <c r="DO92" s="612">
        <f t="shared" si="220"/>
        <v>5775340.2216494838</v>
      </c>
      <c r="DP92" s="607">
        <f t="shared" si="221"/>
        <v>5441055.2830188684</v>
      </c>
      <c r="DQ92" s="606">
        <f t="shared" si="222"/>
        <v>5408402.2086614175</v>
      </c>
      <c r="DR92" s="607">
        <f t="shared" si="223"/>
        <v>4338782.5043478264</v>
      </c>
      <c r="DS92" s="606">
        <f t="shared" si="224"/>
        <v>5230803.5675675673</v>
      </c>
      <c r="DT92" s="607">
        <f t="shared" si="225"/>
        <v>1539551.4473684209</v>
      </c>
      <c r="DU92" s="606">
        <f t="shared" si="226"/>
        <v>1792113.8740157483</v>
      </c>
      <c r="DV92" s="607">
        <f t="shared" si="227"/>
        <v>1273687.6019417476</v>
      </c>
      <c r="DW92" s="608">
        <f t="shared" si="228"/>
        <v>1347836.5151515151</v>
      </c>
      <c r="DX92" s="607">
        <f t="shared" si="229"/>
        <v>0</v>
      </c>
      <c r="DY92" s="608">
        <f t="shared" si="230"/>
        <v>0</v>
      </c>
      <c r="DZ92" s="607">
        <f t="shared" si="231"/>
        <v>18965786.450122245</v>
      </c>
      <c r="EA92" s="608">
        <f t="shared" si="232"/>
        <v>19554496.387045734</v>
      </c>
    </row>
    <row r="93" spans="1:131" ht="12.75" customHeight="1" x14ac:dyDescent="0.2">
      <c r="A93" s="486" t="s">
        <v>34</v>
      </c>
      <c r="B93" s="427" t="s">
        <v>753</v>
      </c>
      <c r="C93" s="544"/>
      <c r="D93" s="428">
        <v>433660</v>
      </c>
      <c r="E93" s="355">
        <v>4</v>
      </c>
      <c r="F93" s="598">
        <v>48</v>
      </c>
      <c r="G93" s="617">
        <v>55</v>
      </c>
      <c r="H93" s="600"/>
      <c r="I93" s="601"/>
      <c r="J93" s="600"/>
      <c r="K93" s="618"/>
      <c r="L93" s="600">
        <v>16</v>
      </c>
      <c r="M93" s="619">
        <v>21</v>
      </c>
      <c r="N93" s="600">
        <v>82</v>
      </c>
      <c r="O93" s="617">
        <v>87</v>
      </c>
      <c r="P93" s="600"/>
      <c r="Q93" s="601"/>
      <c r="R93" s="600"/>
      <c r="S93" s="618"/>
      <c r="T93" s="600">
        <v>17</v>
      </c>
      <c r="U93" s="619">
        <v>14</v>
      </c>
      <c r="V93" s="600">
        <v>110</v>
      </c>
      <c r="W93" s="619">
        <v>116</v>
      </c>
      <c r="X93" s="600"/>
      <c r="Y93" s="601"/>
      <c r="Z93" s="600"/>
      <c r="AA93" s="618"/>
      <c r="AB93" s="600">
        <v>22</v>
      </c>
      <c r="AC93" s="617">
        <v>25</v>
      </c>
      <c r="AD93" s="600">
        <v>78</v>
      </c>
      <c r="AE93" s="619">
        <v>83</v>
      </c>
      <c r="AF93" s="600"/>
      <c r="AG93" s="601"/>
      <c r="AH93" s="600"/>
      <c r="AI93" s="618"/>
      <c r="AJ93" s="600">
        <v>21</v>
      </c>
      <c r="AK93" s="619">
        <v>24</v>
      </c>
      <c r="AL93" s="600">
        <v>0</v>
      </c>
      <c r="AM93" s="617">
        <v>1</v>
      </c>
      <c r="AN93" s="600"/>
      <c r="AO93" s="601"/>
      <c r="AP93" s="600"/>
      <c r="AQ93" s="618"/>
      <c r="AR93" s="600">
        <v>0</v>
      </c>
      <c r="AS93" s="619">
        <v>0</v>
      </c>
      <c r="AT93" s="600"/>
      <c r="AU93" s="599"/>
      <c r="AV93" s="600"/>
      <c r="AW93" s="601"/>
      <c r="AX93" s="600"/>
      <c r="AY93" s="599"/>
      <c r="AZ93" s="600"/>
      <c r="BA93" s="601"/>
      <c r="BB93" s="602">
        <v>6191944</v>
      </c>
      <c r="BC93" s="612">
        <v>7744210</v>
      </c>
      <c r="BD93" s="600">
        <v>7229988.0000000009</v>
      </c>
      <c r="BE93" s="599">
        <v>7334403</v>
      </c>
      <c r="BF93" s="600">
        <v>8207844</v>
      </c>
      <c r="BG93" s="599">
        <v>9061406</v>
      </c>
      <c r="BH93" s="600">
        <v>4624265</v>
      </c>
      <c r="BI93" s="599">
        <v>5102162</v>
      </c>
      <c r="BJ93" s="600">
        <v>0</v>
      </c>
      <c r="BK93" s="615">
        <v>44000</v>
      </c>
      <c r="BL93" s="600">
        <v>0</v>
      </c>
      <c r="BM93" s="604"/>
      <c r="BN93" s="605">
        <f t="shared" si="167"/>
        <v>624</v>
      </c>
      <c r="BO93" s="606">
        <f t="shared" si="168"/>
        <v>747</v>
      </c>
      <c r="BP93" s="607">
        <f t="shared" si="169"/>
        <v>942</v>
      </c>
      <c r="BQ93" s="606">
        <f t="shared" si="170"/>
        <v>951</v>
      </c>
      <c r="BR93" s="607">
        <f t="shared" si="171"/>
        <v>1254</v>
      </c>
      <c r="BS93" s="606">
        <f t="shared" si="172"/>
        <v>1344</v>
      </c>
      <c r="BT93" s="607">
        <f t="shared" si="173"/>
        <v>954</v>
      </c>
      <c r="BU93" s="606">
        <f t="shared" si="174"/>
        <v>1035</v>
      </c>
      <c r="BV93" s="607">
        <f t="shared" si="175"/>
        <v>0</v>
      </c>
      <c r="BW93" s="608">
        <f t="shared" si="176"/>
        <v>9</v>
      </c>
      <c r="BX93" s="607">
        <f t="shared" si="177"/>
        <v>0</v>
      </c>
      <c r="BY93" s="608">
        <f t="shared" si="178"/>
        <v>0</v>
      </c>
      <c r="BZ93" s="607">
        <f t="shared" si="179"/>
        <v>9922.9871794871797</v>
      </c>
      <c r="CA93" s="608">
        <f t="shared" si="180"/>
        <v>10367.081659973226</v>
      </c>
      <c r="CB93" s="607">
        <f t="shared" si="181"/>
        <v>7675.1464968152877</v>
      </c>
      <c r="CC93" s="608">
        <f t="shared" si="182"/>
        <v>7712.3059936908521</v>
      </c>
      <c r="CD93" s="607">
        <f t="shared" si="183"/>
        <v>6545.3301435406702</v>
      </c>
      <c r="CE93" s="608">
        <f t="shared" si="184"/>
        <v>6742.1175595238092</v>
      </c>
      <c r="CF93" s="607">
        <f t="shared" si="185"/>
        <v>4847.2379454926622</v>
      </c>
      <c r="CG93" s="608">
        <f t="shared" si="186"/>
        <v>4929.6251207729465</v>
      </c>
      <c r="CH93" s="607">
        <f t="shared" si="187"/>
        <v>0</v>
      </c>
      <c r="CI93" s="608">
        <f t="shared" si="188"/>
        <v>4888.8888888888887</v>
      </c>
      <c r="CJ93" s="607">
        <f t="shared" si="189"/>
        <v>0</v>
      </c>
      <c r="CK93" s="608">
        <f t="shared" si="190"/>
        <v>0</v>
      </c>
      <c r="CL93" s="609">
        <f t="shared" si="191"/>
        <v>89306.884615384624</v>
      </c>
      <c r="CM93" s="608">
        <f t="shared" si="192"/>
        <v>93303.73493975903</v>
      </c>
      <c r="CN93" s="610">
        <f t="shared" si="193"/>
        <v>69076.318471337596</v>
      </c>
      <c r="CO93" s="606">
        <f t="shared" si="194"/>
        <v>69410.753943217671</v>
      </c>
      <c r="CP93" s="607">
        <f t="shared" si="195"/>
        <v>58907.97129186603</v>
      </c>
      <c r="CQ93" s="606">
        <f t="shared" si="196"/>
        <v>60679.058035714283</v>
      </c>
      <c r="CR93" s="607">
        <f t="shared" si="197"/>
        <v>43625.141509433961</v>
      </c>
      <c r="CS93" s="606">
        <f t="shared" si="198"/>
        <v>44366.626086956516</v>
      </c>
      <c r="CT93" s="607">
        <f t="shared" si="199"/>
        <v>0</v>
      </c>
      <c r="CU93" s="608">
        <f t="shared" si="200"/>
        <v>44000</v>
      </c>
      <c r="CV93" s="610">
        <f t="shared" si="201"/>
        <v>0</v>
      </c>
      <c r="CW93" s="608">
        <f t="shared" si="202"/>
        <v>0</v>
      </c>
      <c r="CX93" s="610">
        <f t="shared" si="203"/>
        <v>62560.754730983033</v>
      </c>
      <c r="CY93" s="611">
        <f t="shared" si="204"/>
        <v>64433.206990673069</v>
      </c>
      <c r="CZ93" s="605">
        <f t="shared" si="205"/>
        <v>64</v>
      </c>
      <c r="DA93" s="612">
        <f t="shared" si="206"/>
        <v>76</v>
      </c>
      <c r="DB93" s="607">
        <f t="shared" si="207"/>
        <v>99</v>
      </c>
      <c r="DC93" s="606">
        <f t="shared" si="208"/>
        <v>101</v>
      </c>
      <c r="DD93" s="607">
        <f t="shared" si="209"/>
        <v>132</v>
      </c>
      <c r="DE93" s="606">
        <f t="shared" si="210"/>
        <v>141</v>
      </c>
      <c r="DF93" s="607">
        <f t="shared" si="211"/>
        <v>99</v>
      </c>
      <c r="DG93" s="606">
        <f t="shared" si="212"/>
        <v>107</v>
      </c>
      <c r="DH93" s="607">
        <f t="shared" si="213"/>
        <v>0</v>
      </c>
      <c r="DI93" s="608">
        <f t="shared" si="214"/>
        <v>1</v>
      </c>
      <c r="DJ93" s="607">
        <f t="shared" si="215"/>
        <v>0</v>
      </c>
      <c r="DK93" s="608">
        <f t="shared" si="216"/>
        <v>0</v>
      </c>
      <c r="DL93" s="607">
        <f t="shared" si="217"/>
        <v>394</v>
      </c>
      <c r="DM93" s="608">
        <f t="shared" si="218"/>
        <v>426</v>
      </c>
      <c r="DN93" s="607">
        <f t="shared" si="219"/>
        <v>5715640.615384616</v>
      </c>
      <c r="DO93" s="612">
        <f t="shared" si="220"/>
        <v>7091083.8554216865</v>
      </c>
      <c r="DP93" s="607">
        <f t="shared" si="221"/>
        <v>6838555.5286624217</v>
      </c>
      <c r="DQ93" s="606">
        <f t="shared" si="222"/>
        <v>7010486.1482649846</v>
      </c>
      <c r="DR93" s="607">
        <f t="shared" si="223"/>
        <v>7775852.2105263155</v>
      </c>
      <c r="DS93" s="606">
        <f t="shared" si="224"/>
        <v>8555747.1830357146</v>
      </c>
      <c r="DT93" s="607">
        <f t="shared" si="225"/>
        <v>4318889.0094339624</v>
      </c>
      <c r="DU93" s="606">
        <f t="shared" si="226"/>
        <v>4747228.9913043473</v>
      </c>
      <c r="DV93" s="607">
        <f t="shared" si="227"/>
        <v>0</v>
      </c>
      <c r="DW93" s="608">
        <f t="shared" si="228"/>
        <v>44000</v>
      </c>
      <c r="DX93" s="607">
        <f t="shared" si="229"/>
        <v>0</v>
      </c>
      <c r="DY93" s="608">
        <f t="shared" si="230"/>
        <v>0</v>
      </c>
      <c r="DZ93" s="607">
        <f t="shared" si="231"/>
        <v>24648937.364007317</v>
      </c>
      <c r="EA93" s="608">
        <f t="shared" si="232"/>
        <v>27448546.178026728</v>
      </c>
    </row>
    <row r="94" spans="1:131" ht="12.75" customHeight="1" x14ac:dyDescent="0.2">
      <c r="A94" s="486" t="s">
        <v>34</v>
      </c>
      <c r="B94" s="374" t="s">
        <v>754</v>
      </c>
      <c r="C94" s="544"/>
      <c r="D94" s="426">
        <v>262129</v>
      </c>
      <c r="E94" s="429">
        <v>6</v>
      </c>
      <c r="F94" s="598">
        <v>26</v>
      </c>
      <c r="G94" s="617">
        <v>29</v>
      </c>
      <c r="H94" s="600"/>
      <c r="I94" s="601"/>
      <c r="J94" s="600"/>
      <c r="K94" s="618"/>
      <c r="L94" s="600">
        <v>0</v>
      </c>
      <c r="M94" s="619">
        <v>0</v>
      </c>
      <c r="N94" s="600">
        <v>19</v>
      </c>
      <c r="O94" s="617">
        <v>20</v>
      </c>
      <c r="P94" s="600"/>
      <c r="Q94" s="601"/>
      <c r="R94" s="600"/>
      <c r="S94" s="618"/>
      <c r="T94" s="600">
        <v>0</v>
      </c>
      <c r="U94" s="619">
        <v>0</v>
      </c>
      <c r="V94" s="600">
        <v>23</v>
      </c>
      <c r="W94" s="620">
        <v>18</v>
      </c>
      <c r="X94" s="600"/>
      <c r="Y94" s="601"/>
      <c r="Z94" s="600"/>
      <c r="AA94" s="618"/>
      <c r="AB94" s="600">
        <v>0</v>
      </c>
      <c r="AC94" s="617">
        <v>0</v>
      </c>
      <c r="AD94" s="600">
        <v>1</v>
      </c>
      <c r="AE94" s="619">
        <v>1</v>
      </c>
      <c r="AF94" s="600"/>
      <c r="AG94" s="601"/>
      <c r="AH94" s="600"/>
      <c r="AI94" s="618"/>
      <c r="AJ94" s="600">
        <v>0</v>
      </c>
      <c r="AK94" s="619">
        <v>0</v>
      </c>
      <c r="AL94" s="600">
        <v>0</v>
      </c>
      <c r="AM94" s="617">
        <v>0</v>
      </c>
      <c r="AN94" s="600"/>
      <c r="AO94" s="601"/>
      <c r="AP94" s="600"/>
      <c r="AQ94" s="618"/>
      <c r="AR94" s="600">
        <v>0</v>
      </c>
      <c r="AS94" s="619">
        <v>0</v>
      </c>
      <c r="AT94" s="600"/>
      <c r="AU94" s="599"/>
      <c r="AV94" s="600"/>
      <c r="AW94" s="601"/>
      <c r="AX94" s="600"/>
      <c r="AY94" s="599"/>
      <c r="AZ94" s="600"/>
      <c r="BA94" s="601"/>
      <c r="BB94" s="602">
        <v>2130492.66</v>
      </c>
      <c r="BC94" s="612">
        <v>2452484</v>
      </c>
      <c r="BD94" s="600">
        <v>1264983.95</v>
      </c>
      <c r="BE94" s="599">
        <v>1343790</v>
      </c>
      <c r="BF94" s="600">
        <v>1261516.19</v>
      </c>
      <c r="BG94" s="599">
        <v>985262</v>
      </c>
      <c r="BH94" s="600">
        <v>42020.78</v>
      </c>
      <c r="BI94" s="599">
        <v>42396</v>
      </c>
      <c r="BJ94" s="600">
        <v>0</v>
      </c>
      <c r="BK94" s="615"/>
      <c r="BL94" s="600">
        <v>0</v>
      </c>
      <c r="BM94" s="604"/>
      <c r="BN94" s="605">
        <f t="shared" si="167"/>
        <v>234</v>
      </c>
      <c r="BO94" s="606">
        <f t="shared" si="168"/>
        <v>261</v>
      </c>
      <c r="BP94" s="607">
        <f t="shared" si="169"/>
        <v>171</v>
      </c>
      <c r="BQ94" s="606">
        <f t="shared" si="170"/>
        <v>180</v>
      </c>
      <c r="BR94" s="607">
        <f t="shared" si="171"/>
        <v>207</v>
      </c>
      <c r="BS94" s="606">
        <f t="shared" si="172"/>
        <v>162</v>
      </c>
      <c r="BT94" s="607">
        <f t="shared" si="173"/>
        <v>9</v>
      </c>
      <c r="BU94" s="606">
        <f t="shared" si="174"/>
        <v>9</v>
      </c>
      <c r="BV94" s="607">
        <f t="shared" si="175"/>
        <v>0</v>
      </c>
      <c r="BW94" s="608">
        <f t="shared" si="176"/>
        <v>0</v>
      </c>
      <c r="BX94" s="607">
        <f t="shared" si="177"/>
        <v>0</v>
      </c>
      <c r="BY94" s="608">
        <f t="shared" si="178"/>
        <v>0</v>
      </c>
      <c r="BZ94" s="607">
        <f t="shared" si="179"/>
        <v>9104.669487179488</v>
      </c>
      <c r="CA94" s="608">
        <f t="shared" si="180"/>
        <v>9396.4904214559392</v>
      </c>
      <c r="CB94" s="607">
        <f t="shared" si="181"/>
        <v>7397.5669590643274</v>
      </c>
      <c r="CC94" s="608">
        <f t="shared" si="182"/>
        <v>7465.5</v>
      </c>
      <c r="CD94" s="607">
        <f t="shared" si="183"/>
        <v>6094.2811111111105</v>
      </c>
      <c r="CE94" s="608">
        <f t="shared" si="184"/>
        <v>6081.8641975308637</v>
      </c>
      <c r="CF94" s="607">
        <f t="shared" si="185"/>
        <v>4668.9755555555557</v>
      </c>
      <c r="CG94" s="608">
        <f t="shared" si="186"/>
        <v>4710.666666666667</v>
      </c>
      <c r="CH94" s="607">
        <f t="shared" si="187"/>
        <v>0</v>
      </c>
      <c r="CI94" s="608">
        <f t="shared" si="188"/>
        <v>0</v>
      </c>
      <c r="CJ94" s="607">
        <f t="shared" si="189"/>
        <v>0</v>
      </c>
      <c r="CK94" s="608">
        <f t="shared" si="190"/>
        <v>0</v>
      </c>
      <c r="CL94" s="609">
        <f t="shared" si="191"/>
        <v>81942.025384615394</v>
      </c>
      <c r="CM94" s="608">
        <f t="shared" si="192"/>
        <v>84568.413793103449</v>
      </c>
      <c r="CN94" s="610">
        <f t="shared" si="193"/>
        <v>66578.10263157895</v>
      </c>
      <c r="CO94" s="606">
        <f t="shared" si="194"/>
        <v>67189.5</v>
      </c>
      <c r="CP94" s="607">
        <f t="shared" si="195"/>
        <v>54848.529999999992</v>
      </c>
      <c r="CQ94" s="606">
        <f t="shared" si="196"/>
        <v>54736.777777777774</v>
      </c>
      <c r="CR94" s="607">
        <f t="shared" si="197"/>
        <v>42020.78</v>
      </c>
      <c r="CS94" s="606">
        <f t="shared" si="198"/>
        <v>42396</v>
      </c>
      <c r="CT94" s="607">
        <f t="shared" si="199"/>
        <v>0</v>
      </c>
      <c r="CU94" s="608">
        <f t="shared" si="200"/>
        <v>0</v>
      </c>
      <c r="CV94" s="610">
        <f t="shared" si="201"/>
        <v>0</v>
      </c>
      <c r="CW94" s="608">
        <f t="shared" si="202"/>
        <v>0</v>
      </c>
      <c r="CX94" s="610">
        <f t="shared" si="203"/>
        <v>68101.64608695652</v>
      </c>
      <c r="CY94" s="611">
        <f t="shared" si="204"/>
        <v>70940.176470588238</v>
      </c>
      <c r="CZ94" s="605">
        <f t="shared" si="205"/>
        <v>26</v>
      </c>
      <c r="DA94" s="612">
        <f t="shared" si="206"/>
        <v>29</v>
      </c>
      <c r="DB94" s="607">
        <f t="shared" si="207"/>
        <v>19</v>
      </c>
      <c r="DC94" s="606">
        <f t="shared" si="208"/>
        <v>20</v>
      </c>
      <c r="DD94" s="607">
        <f t="shared" si="209"/>
        <v>23</v>
      </c>
      <c r="DE94" s="606">
        <f t="shared" si="210"/>
        <v>18</v>
      </c>
      <c r="DF94" s="607">
        <f t="shared" si="211"/>
        <v>1</v>
      </c>
      <c r="DG94" s="606">
        <f t="shared" si="212"/>
        <v>1</v>
      </c>
      <c r="DH94" s="607">
        <f t="shared" si="213"/>
        <v>0</v>
      </c>
      <c r="DI94" s="608">
        <f t="shared" si="214"/>
        <v>0</v>
      </c>
      <c r="DJ94" s="607">
        <f t="shared" si="215"/>
        <v>0</v>
      </c>
      <c r="DK94" s="608">
        <f t="shared" si="216"/>
        <v>0</v>
      </c>
      <c r="DL94" s="607">
        <f t="shared" si="217"/>
        <v>69</v>
      </c>
      <c r="DM94" s="608">
        <f t="shared" si="218"/>
        <v>68</v>
      </c>
      <c r="DN94" s="607">
        <f t="shared" si="219"/>
        <v>2130492.66</v>
      </c>
      <c r="DO94" s="612">
        <f t="shared" si="220"/>
        <v>2452484</v>
      </c>
      <c r="DP94" s="607">
        <f t="shared" si="221"/>
        <v>1264983.95</v>
      </c>
      <c r="DQ94" s="606">
        <f t="shared" si="222"/>
        <v>1343790</v>
      </c>
      <c r="DR94" s="607">
        <f t="shared" si="223"/>
        <v>1261516.1899999997</v>
      </c>
      <c r="DS94" s="606">
        <f t="shared" si="224"/>
        <v>985261.99999999988</v>
      </c>
      <c r="DT94" s="607">
        <f t="shared" si="225"/>
        <v>42020.78</v>
      </c>
      <c r="DU94" s="606">
        <f t="shared" si="226"/>
        <v>42396</v>
      </c>
      <c r="DV94" s="607">
        <f t="shared" si="227"/>
        <v>0</v>
      </c>
      <c r="DW94" s="608">
        <f t="shared" si="228"/>
        <v>0</v>
      </c>
      <c r="DX94" s="607">
        <f t="shared" si="229"/>
        <v>0</v>
      </c>
      <c r="DY94" s="608">
        <f t="shared" si="230"/>
        <v>0</v>
      </c>
      <c r="DZ94" s="607">
        <f t="shared" si="231"/>
        <v>4699013.58</v>
      </c>
      <c r="EA94" s="608">
        <f t="shared" si="232"/>
        <v>4823932</v>
      </c>
    </row>
    <row r="95" spans="1:131" ht="15" x14ac:dyDescent="0.2">
      <c r="A95" s="473" t="s">
        <v>34</v>
      </c>
      <c r="B95" s="494" t="s">
        <v>961</v>
      </c>
      <c r="C95" s="545"/>
      <c r="D95" s="499">
        <v>133021</v>
      </c>
      <c r="E95" s="496">
        <v>7</v>
      </c>
      <c r="F95" s="598"/>
      <c r="G95" s="599"/>
      <c r="H95" s="600"/>
      <c r="I95" s="601"/>
      <c r="J95" s="600"/>
      <c r="K95" s="599"/>
      <c r="L95" s="600"/>
      <c r="M95" s="601"/>
      <c r="N95" s="600"/>
      <c r="O95" s="599"/>
      <c r="P95" s="600"/>
      <c r="Q95" s="601"/>
      <c r="R95" s="600"/>
      <c r="S95" s="599"/>
      <c r="T95" s="600"/>
      <c r="U95" s="601"/>
      <c r="V95" s="600"/>
      <c r="W95" s="599"/>
      <c r="X95" s="600"/>
      <c r="Y95" s="601"/>
      <c r="Z95" s="600"/>
      <c r="AA95" s="599"/>
      <c r="AB95" s="600"/>
      <c r="AC95" s="601"/>
      <c r="AD95" s="600"/>
      <c r="AE95" s="599"/>
      <c r="AF95" s="600"/>
      <c r="AG95" s="601"/>
      <c r="AH95" s="600"/>
      <c r="AI95" s="599"/>
      <c r="AJ95" s="600"/>
      <c r="AK95" s="601"/>
      <c r="AL95" s="600"/>
      <c r="AM95" s="599"/>
      <c r="AN95" s="600"/>
      <c r="AO95" s="601"/>
      <c r="AP95" s="600"/>
      <c r="AQ95" s="599"/>
      <c r="AR95" s="600"/>
      <c r="AS95" s="601"/>
      <c r="AT95" s="600">
        <v>40</v>
      </c>
      <c r="AU95" s="599">
        <v>39</v>
      </c>
      <c r="AV95" s="600"/>
      <c r="AW95" s="601"/>
      <c r="AX95" s="600"/>
      <c r="AY95" s="599"/>
      <c r="AZ95" s="600"/>
      <c r="BA95" s="601"/>
      <c r="BB95" s="602">
        <v>0</v>
      </c>
      <c r="BC95" s="599"/>
      <c r="BD95" s="600">
        <v>0</v>
      </c>
      <c r="BE95" s="599"/>
      <c r="BF95" s="600">
        <v>0</v>
      </c>
      <c r="BG95" s="599"/>
      <c r="BH95" s="600">
        <v>0</v>
      </c>
      <c r="BI95" s="599"/>
      <c r="BJ95" s="600">
        <v>0</v>
      </c>
      <c r="BK95" s="615"/>
      <c r="BL95" s="600">
        <v>1768880</v>
      </c>
      <c r="BM95" s="622">
        <v>1817517</v>
      </c>
      <c r="BN95" s="605">
        <f t="shared" si="167"/>
        <v>0</v>
      </c>
      <c r="BO95" s="606">
        <f t="shared" si="168"/>
        <v>0</v>
      </c>
      <c r="BP95" s="607">
        <f t="shared" si="169"/>
        <v>0</v>
      </c>
      <c r="BQ95" s="606">
        <f t="shared" si="170"/>
        <v>0</v>
      </c>
      <c r="BR95" s="607">
        <f t="shared" si="171"/>
        <v>0</v>
      </c>
      <c r="BS95" s="606">
        <f t="shared" si="172"/>
        <v>0</v>
      </c>
      <c r="BT95" s="607">
        <f t="shared" si="173"/>
        <v>0</v>
      </c>
      <c r="BU95" s="606">
        <f t="shared" si="174"/>
        <v>0</v>
      </c>
      <c r="BV95" s="607">
        <f t="shared" si="175"/>
        <v>0</v>
      </c>
      <c r="BW95" s="608">
        <f t="shared" si="176"/>
        <v>0</v>
      </c>
      <c r="BX95" s="607">
        <f t="shared" si="177"/>
        <v>360</v>
      </c>
      <c r="BY95" s="608">
        <f t="shared" si="178"/>
        <v>351</v>
      </c>
      <c r="BZ95" s="607">
        <f t="shared" si="179"/>
        <v>0</v>
      </c>
      <c r="CA95" s="608">
        <f t="shared" si="180"/>
        <v>0</v>
      </c>
      <c r="CB95" s="607">
        <f t="shared" si="181"/>
        <v>0</v>
      </c>
      <c r="CC95" s="608">
        <f t="shared" si="182"/>
        <v>0</v>
      </c>
      <c r="CD95" s="607">
        <f t="shared" si="183"/>
        <v>0</v>
      </c>
      <c r="CE95" s="608">
        <f t="shared" si="184"/>
        <v>0</v>
      </c>
      <c r="CF95" s="607">
        <f t="shared" si="185"/>
        <v>0</v>
      </c>
      <c r="CG95" s="608">
        <f t="shared" si="186"/>
        <v>0</v>
      </c>
      <c r="CH95" s="607">
        <f t="shared" si="187"/>
        <v>0</v>
      </c>
      <c r="CI95" s="608">
        <f t="shared" si="188"/>
        <v>0</v>
      </c>
      <c r="CJ95" s="607">
        <f t="shared" si="189"/>
        <v>4913.5555555555557</v>
      </c>
      <c r="CK95" s="608">
        <f t="shared" si="190"/>
        <v>5178.1111111111113</v>
      </c>
      <c r="CL95" s="609">
        <f t="shared" si="191"/>
        <v>0</v>
      </c>
      <c r="CM95" s="608">
        <f t="shared" si="192"/>
        <v>0</v>
      </c>
      <c r="CN95" s="610">
        <f t="shared" si="193"/>
        <v>0</v>
      </c>
      <c r="CO95" s="606">
        <f t="shared" si="194"/>
        <v>0</v>
      </c>
      <c r="CP95" s="607">
        <f t="shared" si="195"/>
        <v>0</v>
      </c>
      <c r="CQ95" s="606">
        <f t="shared" si="196"/>
        <v>0</v>
      </c>
      <c r="CR95" s="607">
        <f t="shared" si="197"/>
        <v>0</v>
      </c>
      <c r="CS95" s="606">
        <f t="shared" si="198"/>
        <v>0</v>
      </c>
      <c r="CT95" s="607">
        <f t="shared" si="199"/>
        <v>0</v>
      </c>
      <c r="CU95" s="608">
        <f t="shared" si="200"/>
        <v>0</v>
      </c>
      <c r="CV95" s="610">
        <f t="shared" si="201"/>
        <v>44222</v>
      </c>
      <c r="CW95" s="608">
        <f t="shared" si="202"/>
        <v>46603</v>
      </c>
      <c r="CX95" s="610">
        <f t="shared" si="203"/>
        <v>44222</v>
      </c>
      <c r="CY95" s="611">
        <f t="shared" si="204"/>
        <v>46603</v>
      </c>
      <c r="CZ95" s="605">
        <f t="shared" si="205"/>
        <v>0</v>
      </c>
      <c r="DA95" s="612">
        <f t="shared" si="206"/>
        <v>0</v>
      </c>
      <c r="DB95" s="607">
        <f t="shared" si="207"/>
        <v>0</v>
      </c>
      <c r="DC95" s="606">
        <f t="shared" si="208"/>
        <v>0</v>
      </c>
      <c r="DD95" s="607">
        <f t="shared" si="209"/>
        <v>0</v>
      </c>
      <c r="DE95" s="606">
        <f t="shared" si="210"/>
        <v>0</v>
      </c>
      <c r="DF95" s="607">
        <f t="shared" si="211"/>
        <v>0</v>
      </c>
      <c r="DG95" s="606">
        <f t="shared" si="212"/>
        <v>0</v>
      </c>
      <c r="DH95" s="607">
        <f t="shared" si="213"/>
        <v>0</v>
      </c>
      <c r="DI95" s="608">
        <f t="shared" si="214"/>
        <v>0</v>
      </c>
      <c r="DJ95" s="607">
        <f t="shared" si="215"/>
        <v>40</v>
      </c>
      <c r="DK95" s="608">
        <f t="shared" si="216"/>
        <v>39</v>
      </c>
      <c r="DL95" s="607">
        <f t="shared" si="217"/>
        <v>40</v>
      </c>
      <c r="DM95" s="608">
        <f t="shared" si="218"/>
        <v>39</v>
      </c>
      <c r="DN95" s="607">
        <f t="shared" si="219"/>
        <v>0</v>
      </c>
      <c r="DO95" s="612">
        <f t="shared" si="220"/>
        <v>0</v>
      </c>
      <c r="DP95" s="607">
        <f t="shared" si="221"/>
        <v>0</v>
      </c>
      <c r="DQ95" s="606">
        <f t="shared" si="222"/>
        <v>0</v>
      </c>
      <c r="DR95" s="607">
        <f t="shared" si="223"/>
        <v>0</v>
      </c>
      <c r="DS95" s="606">
        <f t="shared" si="224"/>
        <v>0</v>
      </c>
      <c r="DT95" s="607">
        <f t="shared" si="225"/>
        <v>0</v>
      </c>
      <c r="DU95" s="606">
        <f t="shared" si="226"/>
        <v>0</v>
      </c>
      <c r="DV95" s="607">
        <f t="shared" si="227"/>
        <v>0</v>
      </c>
      <c r="DW95" s="608">
        <f t="shared" si="228"/>
        <v>0</v>
      </c>
      <c r="DX95" s="607">
        <f t="shared" si="229"/>
        <v>1768880</v>
      </c>
      <c r="DY95" s="608">
        <f t="shared" si="230"/>
        <v>1817517</v>
      </c>
      <c r="DZ95" s="607">
        <f t="shared" si="231"/>
        <v>1768880</v>
      </c>
      <c r="EA95" s="608">
        <f t="shared" si="232"/>
        <v>1817517</v>
      </c>
    </row>
    <row r="96" spans="1:131" ht="15" x14ac:dyDescent="0.2">
      <c r="A96" s="475" t="s">
        <v>34</v>
      </c>
      <c r="B96" s="494" t="s">
        <v>962</v>
      </c>
      <c r="C96" s="546"/>
      <c r="D96" s="499">
        <v>133386</v>
      </c>
      <c r="E96" s="496">
        <v>7</v>
      </c>
      <c r="F96" s="598"/>
      <c r="G96" s="599"/>
      <c r="H96" s="600"/>
      <c r="I96" s="601"/>
      <c r="J96" s="600"/>
      <c r="K96" s="599"/>
      <c r="L96" s="600"/>
      <c r="M96" s="601"/>
      <c r="N96" s="600"/>
      <c r="O96" s="599"/>
      <c r="P96" s="600"/>
      <c r="Q96" s="601"/>
      <c r="R96" s="600"/>
      <c r="S96" s="599"/>
      <c r="T96" s="600"/>
      <c r="U96" s="601"/>
      <c r="V96" s="600"/>
      <c r="W96" s="599"/>
      <c r="X96" s="600"/>
      <c r="Y96" s="601"/>
      <c r="Z96" s="600"/>
      <c r="AA96" s="599"/>
      <c r="AB96" s="600"/>
      <c r="AC96" s="601"/>
      <c r="AD96" s="600"/>
      <c r="AE96" s="599"/>
      <c r="AF96" s="600"/>
      <c r="AG96" s="601"/>
      <c r="AH96" s="600"/>
      <c r="AI96" s="599"/>
      <c r="AJ96" s="600"/>
      <c r="AK96" s="601"/>
      <c r="AL96" s="600"/>
      <c r="AM96" s="599"/>
      <c r="AN96" s="600"/>
      <c r="AO96" s="601"/>
      <c r="AP96" s="600"/>
      <c r="AQ96" s="599"/>
      <c r="AR96" s="600"/>
      <c r="AS96" s="601"/>
      <c r="AT96" s="600">
        <v>318</v>
      </c>
      <c r="AU96" s="599">
        <v>301</v>
      </c>
      <c r="AV96" s="600"/>
      <c r="AW96" s="601"/>
      <c r="AX96" s="600"/>
      <c r="AY96" s="599"/>
      <c r="AZ96" s="600"/>
      <c r="BA96" s="601"/>
      <c r="BB96" s="602">
        <v>0</v>
      </c>
      <c r="BC96" s="599"/>
      <c r="BD96" s="600">
        <v>0</v>
      </c>
      <c r="BE96" s="599"/>
      <c r="BF96" s="600">
        <v>0</v>
      </c>
      <c r="BG96" s="599"/>
      <c r="BH96" s="600">
        <v>0</v>
      </c>
      <c r="BI96" s="599"/>
      <c r="BJ96" s="600">
        <v>0</v>
      </c>
      <c r="BK96" s="615"/>
      <c r="BL96" s="600">
        <v>18119958</v>
      </c>
      <c r="BM96" s="622">
        <v>17734619</v>
      </c>
      <c r="BN96" s="605">
        <f t="shared" si="167"/>
        <v>0</v>
      </c>
      <c r="BO96" s="606">
        <f t="shared" si="168"/>
        <v>0</v>
      </c>
      <c r="BP96" s="607">
        <f t="shared" si="169"/>
        <v>0</v>
      </c>
      <c r="BQ96" s="606">
        <f t="shared" si="170"/>
        <v>0</v>
      </c>
      <c r="BR96" s="607">
        <f t="shared" si="171"/>
        <v>0</v>
      </c>
      <c r="BS96" s="606">
        <f t="shared" si="172"/>
        <v>0</v>
      </c>
      <c r="BT96" s="607">
        <f t="shared" si="173"/>
        <v>0</v>
      </c>
      <c r="BU96" s="606">
        <f t="shared" si="174"/>
        <v>0</v>
      </c>
      <c r="BV96" s="607">
        <f t="shared" si="175"/>
        <v>0</v>
      </c>
      <c r="BW96" s="608">
        <f t="shared" si="176"/>
        <v>0</v>
      </c>
      <c r="BX96" s="607">
        <f t="shared" si="177"/>
        <v>2862</v>
      </c>
      <c r="BY96" s="608">
        <f t="shared" si="178"/>
        <v>2709</v>
      </c>
      <c r="BZ96" s="607">
        <f t="shared" si="179"/>
        <v>0</v>
      </c>
      <c r="CA96" s="608">
        <f t="shared" si="180"/>
        <v>0</v>
      </c>
      <c r="CB96" s="607">
        <f t="shared" si="181"/>
        <v>0</v>
      </c>
      <c r="CC96" s="608">
        <f t="shared" si="182"/>
        <v>0</v>
      </c>
      <c r="CD96" s="607">
        <f t="shared" si="183"/>
        <v>0</v>
      </c>
      <c r="CE96" s="608">
        <f t="shared" si="184"/>
        <v>0</v>
      </c>
      <c r="CF96" s="607">
        <f t="shared" si="185"/>
        <v>0</v>
      </c>
      <c r="CG96" s="608">
        <f t="shared" si="186"/>
        <v>0</v>
      </c>
      <c r="CH96" s="607">
        <f t="shared" si="187"/>
        <v>0</v>
      </c>
      <c r="CI96" s="608">
        <f t="shared" si="188"/>
        <v>0</v>
      </c>
      <c r="CJ96" s="607">
        <f t="shared" si="189"/>
        <v>6331.2222222222226</v>
      </c>
      <c r="CK96" s="608">
        <f t="shared" si="190"/>
        <v>6546.5555555555557</v>
      </c>
      <c r="CL96" s="609">
        <f t="shared" si="191"/>
        <v>0</v>
      </c>
      <c r="CM96" s="608">
        <f t="shared" si="192"/>
        <v>0</v>
      </c>
      <c r="CN96" s="610">
        <f t="shared" si="193"/>
        <v>0</v>
      </c>
      <c r="CO96" s="606">
        <f t="shared" si="194"/>
        <v>0</v>
      </c>
      <c r="CP96" s="607">
        <f t="shared" si="195"/>
        <v>0</v>
      </c>
      <c r="CQ96" s="606">
        <f t="shared" si="196"/>
        <v>0</v>
      </c>
      <c r="CR96" s="607">
        <f t="shared" si="197"/>
        <v>0</v>
      </c>
      <c r="CS96" s="606">
        <f t="shared" si="198"/>
        <v>0</v>
      </c>
      <c r="CT96" s="607">
        <f t="shared" si="199"/>
        <v>0</v>
      </c>
      <c r="CU96" s="608">
        <f t="shared" si="200"/>
        <v>0</v>
      </c>
      <c r="CV96" s="610">
        <f t="shared" si="201"/>
        <v>56981</v>
      </c>
      <c r="CW96" s="608">
        <f t="shared" si="202"/>
        <v>58919</v>
      </c>
      <c r="CX96" s="610">
        <f t="shared" si="203"/>
        <v>56981</v>
      </c>
      <c r="CY96" s="611">
        <f t="shared" si="204"/>
        <v>58919</v>
      </c>
      <c r="CZ96" s="605">
        <f t="shared" si="205"/>
        <v>0</v>
      </c>
      <c r="DA96" s="612">
        <f t="shared" si="206"/>
        <v>0</v>
      </c>
      <c r="DB96" s="607">
        <f t="shared" si="207"/>
        <v>0</v>
      </c>
      <c r="DC96" s="606">
        <f t="shared" si="208"/>
        <v>0</v>
      </c>
      <c r="DD96" s="607">
        <f t="shared" si="209"/>
        <v>0</v>
      </c>
      <c r="DE96" s="606">
        <f t="shared" si="210"/>
        <v>0</v>
      </c>
      <c r="DF96" s="607">
        <f t="shared" si="211"/>
        <v>0</v>
      </c>
      <c r="DG96" s="606">
        <f t="shared" si="212"/>
        <v>0</v>
      </c>
      <c r="DH96" s="607">
        <f t="shared" si="213"/>
        <v>0</v>
      </c>
      <c r="DI96" s="608">
        <f t="shared" si="214"/>
        <v>0</v>
      </c>
      <c r="DJ96" s="607">
        <f t="shared" si="215"/>
        <v>318</v>
      </c>
      <c r="DK96" s="608">
        <f t="shared" si="216"/>
        <v>301</v>
      </c>
      <c r="DL96" s="607">
        <f t="shared" si="217"/>
        <v>318</v>
      </c>
      <c r="DM96" s="608">
        <f t="shared" si="218"/>
        <v>301</v>
      </c>
      <c r="DN96" s="607">
        <f t="shared" si="219"/>
        <v>0</v>
      </c>
      <c r="DO96" s="612">
        <f t="shared" si="220"/>
        <v>0</v>
      </c>
      <c r="DP96" s="607">
        <f t="shared" si="221"/>
        <v>0</v>
      </c>
      <c r="DQ96" s="606">
        <f t="shared" si="222"/>
        <v>0</v>
      </c>
      <c r="DR96" s="607">
        <f t="shared" si="223"/>
        <v>0</v>
      </c>
      <c r="DS96" s="606">
        <f t="shared" si="224"/>
        <v>0</v>
      </c>
      <c r="DT96" s="607">
        <f t="shared" si="225"/>
        <v>0</v>
      </c>
      <c r="DU96" s="606">
        <f t="shared" si="226"/>
        <v>0</v>
      </c>
      <c r="DV96" s="607">
        <f t="shared" si="227"/>
        <v>0</v>
      </c>
      <c r="DW96" s="608">
        <f t="shared" si="228"/>
        <v>0</v>
      </c>
      <c r="DX96" s="607">
        <f t="shared" si="229"/>
        <v>18119958</v>
      </c>
      <c r="DY96" s="608">
        <f t="shared" si="230"/>
        <v>17734619</v>
      </c>
      <c r="DZ96" s="607">
        <f t="shared" si="231"/>
        <v>18119958</v>
      </c>
      <c r="EA96" s="608">
        <f t="shared" si="232"/>
        <v>17734619</v>
      </c>
    </row>
    <row r="97" spans="1:131" ht="15" x14ac:dyDescent="0.2">
      <c r="A97" s="495" t="s">
        <v>34</v>
      </c>
      <c r="B97" s="494" t="s">
        <v>963</v>
      </c>
      <c r="C97" s="546"/>
      <c r="D97" s="497">
        <v>133508</v>
      </c>
      <c r="E97" s="497">
        <v>7</v>
      </c>
      <c r="F97" s="598"/>
      <c r="G97" s="599"/>
      <c r="H97" s="600"/>
      <c r="I97" s="601"/>
      <c r="J97" s="600"/>
      <c r="K97" s="599"/>
      <c r="L97" s="600"/>
      <c r="M97" s="601"/>
      <c r="N97" s="600"/>
      <c r="O97" s="599"/>
      <c r="P97" s="600"/>
      <c r="Q97" s="601"/>
      <c r="R97" s="600"/>
      <c r="S97" s="599"/>
      <c r="T97" s="600"/>
      <c r="U97" s="601"/>
      <c r="V97" s="600"/>
      <c r="W97" s="599"/>
      <c r="X97" s="600"/>
      <c r="Y97" s="601"/>
      <c r="Z97" s="600"/>
      <c r="AA97" s="599"/>
      <c r="AB97" s="600"/>
      <c r="AC97" s="601"/>
      <c r="AD97" s="600"/>
      <c r="AE97" s="599"/>
      <c r="AF97" s="600"/>
      <c r="AG97" s="601"/>
      <c r="AH97" s="600"/>
      <c r="AI97" s="599"/>
      <c r="AJ97" s="600"/>
      <c r="AK97" s="601"/>
      <c r="AL97" s="600"/>
      <c r="AM97" s="599"/>
      <c r="AN97" s="600"/>
      <c r="AO97" s="601"/>
      <c r="AP97" s="600"/>
      <c r="AQ97" s="599"/>
      <c r="AR97" s="600"/>
      <c r="AS97" s="601"/>
      <c r="AT97" s="600">
        <v>161</v>
      </c>
      <c r="AU97" s="599">
        <v>169</v>
      </c>
      <c r="AV97" s="600"/>
      <c r="AW97" s="601"/>
      <c r="AX97" s="600"/>
      <c r="AY97" s="599"/>
      <c r="AZ97" s="600"/>
      <c r="BA97" s="601"/>
      <c r="BB97" s="602">
        <v>0</v>
      </c>
      <c r="BC97" s="599"/>
      <c r="BD97" s="600">
        <v>0</v>
      </c>
      <c r="BE97" s="599"/>
      <c r="BF97" s="600">
        <v>0</v>
      </c>
      <c r="BG97" s="599"/>
      <c r="BH97" s="600">
        <v>0</v>
      </c>
      <c r="BI97" s="599"/>
      <c r="BJ97" s="600">
        <v>0</v>
      </c>
      <c r="BK97" s="615"/>
      <c r="BL97" s="600">
        <v>8721692</v>
      </c>
      <c r="BM97" s="622">
        <v>9378317</v>
      </c>
      <c r="BN97" s="605">
        <f t="shared" si="167"/>
        <v>0</v>
      </c>
      <c r="BO97" s="606">
        <f t="shared" si="168"/>
        <v>0</v>
      </c>
      <c r="BP97" s="607">
        <f t="shared" si="169"/>
        <v>0</v>
      </c>
      <c r="BQ97" s="606">
        <f t="shared" si="170"/>
        <v>0</v>
      </c>
      <c r="BR97" s="607">
        <f t="shared" si="171"/>
        <v>0</v>
      </c>
      <c r="BS97" s="606">
        <f t="shared" si="172"/>
        <v>0</v>
      </c>
      <c r="BT97" s="607">
        <f t="shared" si="173"/>
        <v>0</v>
      </c>
      <c r="BU97" s="606">
        <f t="shared" si="174"/>
        <v>0</v>
      </c>
      <c r="BV97" s="607">
        <f t="shared" si="175"/>
        <v>0</v>
      </c>
      <c r="BW97" s="608">
        <f t="shared" si="176"/>
        <v>0</v>
      </c>
      <c r="BX97" s="607">
        <f t="shared" si="177"/>
        <v>1449</v>
      </c>
      <c r="BY97" s="608">
        <f t="shared" si="178"/>
        <v>1521</v>
      </c>
      <c r="BZ97" s="607">
        <f t="shared" si="179"/>
        <v>0</v>
      </c>
      <c r="CA97" s="608">
        <f t="shared" si="180"/>
        <v>0</v>
      </c>
      <c r="CB97" s="607">
        <f t="shared" si="181"/>
        <v>0</v>
      </c>
      <c r="CC97" s="608">
        <f t="shared" si="182"/>
        <v>0</v>
      </c>
      <c r="CD97" s="607">
        <f t="shared" si="183"/>
        <v>0</v>
      </c>
      <c r="CE97" s="608">
        <f t="shared" si="184"/>
        <v>0</v>
      </c>
      <c r="CF97" s="607">
        <f t="shared" si="185"/>
        <v>0</v>
      </c>
      <c r="CG97" s="608">
        <f t="shared" si="186"/>
        <v>0</v>
      </c>
      <c r="CH97" s="607">
        <f t="shared" si="187"/>
        <v>0</v>
      </c>
      <c r="CI97" s="608">
        <f t="shared" si="188"/>
        <v>0</v>
      </c>
      <c r="CJ97" s="607">
        <f t="shared" si="189"/>
        <v>6019.1111111111113</v>
      </c>
      <c r="CK97" s="608">
        <f t="shared" si="190"/>
        <v>6165.8888888888887</v>
      </c>
      <c r="CL97" s="609">
        <f t="shared" si="191"/>
        <v>0</v>
      </c>
      <c r="CM97" s="608">
        <f t="shared" si="192"/>
        <v>0</v>
      </c>
      <c r="CN97" s="610">
        <f t="shared" si="193"/>
        <v>0</v>
      </c>
      <c r="CO97" s="606">
        <f t="shared" si="194"/>
        <v>0</v>
      </c>
      <c r="CP97" s="607">
        <f t="shared" si="195"/>
        <v>0</v>
      </c>
      <c r="CQ97" s="606">
        <f t="shared" si="196"/>
        <v>0</v>
      </c>
      <c r="CR97" s="607">
        <f t="shared" si="197"/>
        <v>0</v>
      </c>
      <c r="CS97" s="606">
        <f t="shared" si="198"/>
        <v>0</v>
      </c>
      <c r="CT97" s="607">
        <f t="shared" si="199"/>
        <v>0</v>
      </c>
      <c r="CU97" s="608">
        <f t="shared" si="200"/>
        <v>0</v>
      </c>
      <c r="CV97" s="610">
        <f t="shared" si="201"/>
        <v>54172</v>
      </c>
      <c r="CW97" s="608">
        <f t="shared" si="202"/>
        <v>55493</v>
      </c>
      <c r="CX97" s="610">
        <f t="shared" si="203"/>
        <v>54172</v>
      </c>
      <c r="CY97" s="611">
        <f t="shared" si="204"/>
        <v>55493</v>
      </c>
      <c r="CZ97" s="605">
        <f t="shared" si="205"/>
        <v>0</v>
      </c>
      <c r="DA97" s="612">
        <f t="shared" si="206"/>
        <v>0</v>
      </c>
      <c r="DB97" s="607">
        <f t="shared" si="207"/>
        <v>0</v>
      </c>
      <c r="DC97" s="606">
        <f t="shared" si="208"/>
        <v>0</v>
      </c>
      <c r="DD97" s="607">
        <f t="shared" si="209"/>
        <v>0</v>
      </c>
      <c r="DE97" s="606">
        <f t="shared" si="210"/>
        <v>0</v>
      </c>
      <c r="DF97" s="607">
        <f t="shared" si="211"/>
        <v>0</v>
      </c>
      <c r="DG97" s="606">
        <f t="shared" si="212"/>
        <v>0</v>
      </c>
      <c r="DH97" s="607">
        <f t="shared" si="213"/>
        <v>0</v>
      </c>
      <c r="DI97" s="608">
        <f t="shared" si="214"/>
        <v>0</v>
      </c>
      <c r="DJ97" s="607">
        <f t="shared" si="215"/>
        <v>161</v>
      </c>
      <c r="DK97" s="608">
        <f t="shared" si="216"/>
        <v>169</v>
      </c>
      <c r="DL97" s="607">
        <f t="shared" si="217"/>
        <v>161</v>
      </c>
      <c r="DM97" s="608">
        <f t="shared" si="218"/>
        <v>169</v>
      </c>
      <c r="DN97" s="607">
        <f t="shared" si="219"/>
        <v>0</v>
      </c>
      <c r="DO97" s="612">
        <f t="shared" si="220"/>
        <v>0</v>
      </c>
      <c r="DP97" s="607">
        <f t="shared" si="221"/>
        <v>0</v>
      </c>
      <c r="DQ97" s="606">
        <f t="shared" si="222"/>
        <v>0</v>
      </c>
      <c r="DR97" s="607">
        <f t="shared" si="223"/>
        <v>0</v>
      </c>
      <c r="DS97" s="606">
        <f t="shared" si="224"/>
        <v>0</v>
      </c>
      <c r="DT97" s="607">
        <f t="shared" si="225"/>
        <v>0</v>
      </c>
      <c r="DU97" s="606">
        <f t="shared" si="226"/>
        <v>0</v>
      </c>
      <c r="DV97" s="607">
        <f t="shared" si="227"/>
        <v>0</v>
      </c>
      <c r="DW97" s="608">
        <f t="shared" si="228"/>
        <v>0</v>
      </c>
      <c r="DX97" s="607">
        <f t="shared" si="229"/>
        <v>8721692</v>
      </c>
      <c r="DY97" s="608">
        <f t="shared" si="230"/>
        <v>9378317</v>
      </c>
      <c r="DZ97" s="607">
        <f t="shared" si="231"/>
        <v>8721692</v>
      </c>
      <c r="EA97" s="608">
        <f t="shared" si="232"/>
        <v>9378317</v>
      </c>
    </row>
    <row r="98" spans="1:131" ht="15" x14ac:dyDescent="0.2">
      <c r="A98" s="495" t="s">
        <v>34</v>
      </c>
      <c r="B98" s="494" t="s">
        <v>964</v>
      </c>
      <c r="C98" s="547"/>
      <c r="D98" s="499">
        <v>133702</v>
      </c>
      <c r="E98" s="500">
        <v>7</v>
      </c>
      <c r="F98" s="598"/>
      <c r="G98" s="599"/>
      <c r="H98" s="600"/>
      <c r="I98" s="601"/>
      <c r="J98" s="600"/>
      <c r="K98" s="599"/>
      <c r="L98" s="600"/>
      <c r="M98" s="601"/>
      <c r="N98" s="600"/>
      <c r="O98" s="599"/>
      <c r="P98" s="600"/>
      <c r="Q98" s="601"/>
      <c r="R98" s="600"/>
      <c r="S98" s="599"/>
      <c r="T98" s="600"/>
      <c r="U98" s="601"/>
      <c r="V98" s="600"/>
      <c r="W98" s="599"/>
      <c r="X98" s="600"/>
      <c r="Y98" s="601"/>
      <c r="Z98" s="600"/>
      <c r="AA98" s="599"/>
      <c r="AB98" s="600"/>
      <c r="AC98" s="601"/>
      <c r="AD98" s="600"/>
      <c r="AE98" s="599"/>
      <c r="AF98" s="600"/>
      <c r="AG98" s="601"/>
      <c r="AH98" s="600"/>
      <c r="AI98" s="599"/>
      <c r="AJ98" s="600"/>
      <c r="AK98" s="601"/>
      <c r="AL98" s="600"/>
      <c r="AM98" s="599"/>
      <c r="AN98" s="600"/>
      <c r="AO98" s="601"/>
      <c r="AP98" s="600"/>
      <c r="AQ98" s="599"/>
      <c r="AR98" s="600"/>
      <c r="AS98" s="601"/>
      <c r="AT98" s="600">
        <v>407</v>
      </c>
      <c r="AU98" s="599">
        <v>404</v>
      </c>
      <c r="AV98" s="600"/>
      <c r="AW98" s="601"/>
      <c r="AX98" s="600"/>
      <c r="AY98" s="599"/>
      <c r="AZ98" s="600"/>
      <c r="BA98" s="601"/>
      <c r="BB98" s="602">
        <v>0</v>
      </c>
      <c r="BC98" s="599"/>
      <c r="BD98" s="600">
        <v>0</v>
      </c>
      <c r="BE98" s="599"/>
      <c r="BF98" s="600">
        <v>0</v>
      </c>
      <c r="BG98" s="599"/>
      <c r="BH98" s="600">
        <v>0</v>
      </c>
      <c r="BI98" s="599"/>
      <c r="BJ98" s="600">
        <v>0</v>
      </c>
      <c r="BK98" s="615"/>
      <c r="BL98" s="600">
        <v>40083880</v>
      </c>
      <c r="BM98" s="622">
        <v>20965176</v>
      </c>
      <c r="BN98" s="605">
        <f t="shared" si="167"/>
        <v>0</v>
      </c>
      <c r="BO98" s="606">
        <f t="shared" si="168"/>
        <v>0</v>
      </c>
      <c r="BP98" s="607">
        <f t="shared" si="169"/>
        <v>0</v>
      </c>
      <c r="BQ98" s="606">
        <f t="shared" si="170"/>
        <v>0</v>
      </c>
      <c r="BR98" s="607">
        <f t="shared" si="171"/>
        <v>0</v>
      </c>
      <c r="BS98" s="606">
        <f t="shared" si="172"/>
        <v>0</v>
      </c>
      <c r="BT98" s="607">
        <f t="shared" si="173"/>
        <v>0</v>
      </c>
      <c r="BU98" s="606">
        <f t="shared" si="174"/>
        <v>0</v>
      </c>
      <c r="BV98" s="607">
        <f t="shared" si="175"/>
        <v>0</v>
      </c>
      <c r="BW98" s="608">
        <f t="shared" si="176"/>
        <v>0</v>
      </c>
      <c r="BX98" s="607">
        <f t="shared" si="177"/>
        <v>3663</v>
      </c>
      <c r="BY98" s="608">
        <f t="shared" si="178"/>
        <v>3636</v>
      </c>
      <c r="BZ98" s="607">
        <f t="shared" si="179"/>
        <v>0</v>
      </c>
      <c r="CA98" s="608">
        <f t="shared" si="180"/>
        <v>0</v>
      </c>
      <c r="CB98" s="607">
        <f t="shared" si="181"/>
        <v>0</v>
      </c>
      <c r="CC98" s="608">
        <f t="shared" si="182"/>
        <v>0</v>
      </c>
      <c r="CD98" s="607">
        <f t="shared" si="183"/>
        <v>0</v>
      </c>
      <c r="CE98" s="608">
        <f t="shared" si="184"/>
        <v>0</v>
      </c>
      <c r="CF98" s="607">
        <f t="shared" si="185"/>
        <v>0</v>
      </c>
      <c r="CG98" s="608">
        <f t="shared" si="186"/>
        <v>0</v>
      </c>
      <c r="CH98" s="607">
        <f t="shared" si="187"/>
        <v>0</v>
      </c>
      <c r="CI98" s="608">
        <f t="shared" si="188"/>
        <v>0</v>
      </c>
      <c r="CJ98" s="607">
        <f t="shared" si="189"/>
        <v>10942.910182910184</v>
      </c>
      <c r="CK98" s="608">
        <f t="shared" si="190"/>
        <v>5766</v>
      </c>
      <c r="CL98" s="609">
        <f t="shared" si="191"/>
        <v>0</v>
      </c>
      <c r="CM98" s="608">
        <f t="shared" si="192"/>
        <v>0</v>
      </c>
      <c r="CN98" s="610">
        <f t="shared" si="193"/>
        <v>0</v>
      </c>
      <c r="CO98" s="606">
        <f t="shared" si="194"/>
        <v>0</v>
      </c>
      <c r="CP98" s="607">
        <f t="shared" si="195"/>
        <v>0</v>
      </c>
      <c r="CQ98" s="606">
        <f t="shared" si="196"/>
        <v>0</v>
      </c>
      <c r="CR98" s="607">
        <f t="shared" si="197"/>
        <v>0</v>
      </c>
      <c r="CS98" s="606">
        <f t="shared" si="198"/>
        <v>0</v>
      </c>
      <c r="CT98" s="607">
        <f t="shared" si="199"/>
        <v>0</v>
      </c>
      <c r="CU98" s="608">
        <f t="shared" si="200"/>
        <v>0</v>
      </c>
      <c r="CV98" s="610">
        <f t="shared" si="201"/>
        <v>98486.191646191655</v>
      </c>
      <c r="CW98" s="608">
        <f t="shared" si="202"/>
        <v>51894</v>
      </c>
      <c r="CX98" s="610">
        <f t="shared" si="203"/>
        <v>98486.191646191641</v>
      </c>
      <c r="CY98" s="611">
        <f t="shared" si="204"/>
        <v>51894</v>
      </c>
      <c r="CZ98" s="605">
        <f t="shared" si="205"/>
        <v>0</v>
      </c>
      <c r="DA98" s="612">
        <f t="shared" si="206"/>
        <v>0</v>
      </c>
      <c r="DB98" s="607">
        <f t="shared" si="207"/>
        <v>0</v>
      </c>
      <c r="DC98" s="606">
        <f t="shared" si="208"/>
        <v>0</v>
      </c>
      <c r="DD98" s="607">
        <f t="shared" si="209"/>
        <v>0</v>
      </c>
      <c r="DE98" s="606">
        <f t="shared" si="210"/>
        <v>0</v>
      </c>
      <c r="DF98" s="607">
        <f t="shared" si="211"/>
        <v>0</v>
      </c>
      <c r="DG98" s="606">
        <f t="shared" si="212"/>
        <v>0</v>
      </c>
      <c r="DH98" s="607">
        <f t="shared" si="213"/>
        <v>0</v>
      </c>
      <c r="DI98" s="608">
        <f t="shared" si="214"/>
        <v>0</v>
      </c>
      <c r="DJ98" s="607">
        <f t="shared" si="215"/>
        <v>407</v>
      </c>
      <c r="DK98" s="608">
        <f t="shared" si="216"/>
        <v>404</v>
      </c>
      <c r="DL98" s="607">
        <f t="shared" si="217"/>
        <v>407</v>
      </c>
      <c r="DM98" s="608">
        <f t="shared" si="218"/>
        <v>404</v>
      </c>
      <c r="DN98" s="607">
        <f t="shared" si="219"/>
        <v>0</v>
      </c>
      <c r="DO98" s="612">
        <f t="shared" si="220"/>
        <v>0</v>
      </c>
      <c r="DP98" s="607">
        <f t="shared" si="221"/>
        <v>0</v>
      </c>
      <c r="DQ98" s="606">
        <f t="shared" si="222"/>
        <v>0</v>
      </c>
      <c r="DR98" s="607">
        <f t="shared" si="223"/>
        <v>0</v>
      </c>
      <c r="DS98" s="606">
        <f t="shared" si="224"/>
        <v>0</v>
      </c>
      <c r="DT98" s="607">
        <f t="shared" si="225"/>
        <v>0</v>
      </c>
      <c r="DU98" s="606">
        <f t="shared" si="226"/>
        <v>0</v>
      </c>
      <c r="DV98" s="607">
        <f t="shared" si="227"/>
        <v>0</v>
      </c>
      <c r="DW98" s="608">
        <f t="shared" si="228"/>
        <v>0</v>
      </c>
      <c r="DX98" s="607">
        <f t="shared" si="229"/>
        <v>40083880</v>
      </c>
      <c r="DY98" s="608">
        <f t="shared" si="230"/>
        <v>20965176</v>
      </c>
      <c r="DZ98" s="607">
        <f t="shared" si="231"/>
        <v>40083880</v>
      </c>
      <c r="EA98" s="608">
        <f t="shared" si="232"/>
        <v>20965176</v>
      </c>
    </row>
    <row r="99" spans="1:131" ht="15" x14ac:dyDescent="0.2">
      <c r="A99" s="473" t="s">
        <v>34</v>
      </c>
      <c r="B99" s="494" t="s">
        <v>965</v>
      </c>
      <c r="C99" s="547"/>
      <c r="D99" s="499">
        <v>134608</v>
      </c>
      <c r="E99" s="500">
        <v>7</v>
      </c>
      <c r="F99" s="598"/>
      <c r="G99" s="599"/>
      <c r="H99" s="600"/>
      <c r="I99" s="601"/>
      <c r="J99" s="600"/>
      <c r="K99" s="599"/>
      <c r="L99" s="600"/>
      <c r="M99" s="601"/>
      <c r="N99" s="600"/>
      <c r="O99" s="599"/>
      <c r="P99" s="600"/>
      <c r="Q99" s="601"/>
      <c r="R99" s="600"/>
      <c r="S99" s="599"/>
      <c r="T99" s="600"/>
      <c r="U99" s="601"/>
      <c r="V99" s="600"/>
      <c r="W99" s="599"/>
      <c r="X99" s="600"/>
      <c r="Y99" s="601"/>
      <c r="Z99" s="600"/>
      <c r="AA99" s="599"/>
      <c r="AB99" s="600"/>
      <c r="AC99" s="601"/>
      <c r="AD99" s="600"/>
      <c r="AE99" s="599"/>
      <c r="AF99" s="600"/>
      <c r="AG99" s="601"/>
      <c r="AH99" s="600"/>
      <c r="AI99" s="599"/>
      <c r="AJ99" s="600"/>
      <c r="AK99" s="601"/>
      <c r="AL99" s="600"/>
      <c r="AM99" s="599"/>
      <c r="AN99" s="600"/>
      <c r="AO99" s="601"/>
      <c r="AP99" s="600"/>
      <c r="AQ99" s="599"/>
      <c r="AR99" s="600"/>
      <c r="AS99" s="601"/>
      <c r="AT99" s="600">
        <v>197</v>
      </c>
      <c r="AU99" s="599">
        <v>201</v>
      </c>
      <c r="AV99" s="600"/>
      <c r="AW99" s="601"/>
      <c r="AX99" s="600"/>
      <c r="AY99" s="599"/>
      <c r="AZ99" s="600"/>
      <c r="BA99" s="601"/>
      <c r="BB99" s="602">
        <v>0</v>
      </c>
      <c r="BC99" s="599"/>
      <c r="BD99" s="600">
        <v>0</v>
      </c>
      <c r="BE99" s="599"/>
      <c r="BF99" s="600">
        <v>0</v>
      </c>
      <c r="BG99" s="599"/>
      <c r="BH99" s="600">
        <v>0</v>
      </c>
      <c r="BI99" s="599"/>
      <c r="BJ99" s="600">
        <v>0</v>
      </c>
      <c r="BK99" s="615"/>
      <c r="BL99" s="600">
        <v>5727300</v>
      </c>
      <c r="BM99" s="622">
        <v>14031207</v>
      </c>
      <c r="BN99" s="605">
        <f t="shared" si="167"/>
        <v>0</v>
      </c>
      <c r="BO99" s="606">
        <f t="shared" si="168"/>
        <v>0</v>
      </c>
      <c r="BP99" s="607">
        <f t="shared" si="169"/>
        <v>0</v>
      </c>
      <c r="BQ99" s="606">
        <f t="shared" si="170"/>
        <v>0</v>
      </c>
      <c r="BR99" s="607">
        <f t="shared" si="171"/>
        <v>0</v>
      </c>
      <c r="BS99" s="606">
        <f t="shared" si="172"/>
        <v>0</v>
      </c>
      <c r="BT99" s="607">
        <f t="shared" si="173"/>
        <v>0</v>
      </c>
      <c r="BU99" s="606">
        <f t="shared" si="174"/>
        <v>0</v>
      </c>
      <c r="BV99" s="607">
        <f t="shared" si="175"/>
        <v>0</v>
      </c>
      <c r="BW99" s="608">
        <f t="shared" si="176"/>
        <v>0</v>
      </c>
      <c r="BX99" s="607">
        <f t="shared" si="177"/>
        <v>1773</v>
      </c>
      <c r="BY99" s="608">
        <f t="shared" si="178"/>
        <v>1809</v>
      </c>
      <c r="BZ99" s="607">
        <f t="shared" si="179"/>
        <v>0</v>
      </c>
      <c r="CA99" s="608">
        <f t="shared" si="180"/>
        <v>0</v>
      </c>
      <c r="CB99" s="607">
        <f t="shared" si="181"/>
        <v>0</v>
      </c>
      <c r="CC99" s="608">
        <f t="shared" si="182"/>
        <v>0</v>
      </c>
      <c r="CD99" s="607">
        <f t="shared" si="183"/>
        <v>0</v>
      </c>
      <c r="CE99" s="608">
        <f t="shared" si="184"/>
        <v>0</v>
      </c>
      <c r="CF99" s="607">
        <f t="shared" si="185"/>
        <v>0</v>
      </c>
      <c r="CG99" s="608">
        <f t="shared" si="186"/>
        <v>0</v>
      </c>
      <c r="CH99" s="607">
        <f t="shared" si="187"/>
        <v>0</v>
      </c>
      <c r="CI99" s="608">
        <f t="shared" si="188"/>
        <v>0</v>
      </c>
      <c r="CJ99" s="607">
        <f t="shared" si="189"/>
        <v>3230.2876480541454</v>
      </c>
      <c r="CK99" s="608">
        <f t="shared" si="190"/>
        <v>7756.333333333333</v>
      </c>
      <c r="CL99" s="609">
        <f t="shared" si="191"/>
        <v>0</v>
      </c>
      <c r="CM99" s="608">
        <f t="shared" si="192"/>
        <v>0</v>
      </c>
      <c r="CN99" s="610">
        <f t="shared" si="193"/>
        <v>0</v>
      </c>
      <c r="CO99" s="606">
        <f t="shared" si="194"/>
        <v>0</v>
      </c>
      <c r="CP99" s="607">
        <f t="shared" si="195"/>
        <v>0</v>
      </c>
      <c r="CQ99" s="606">
        <f t="shared" si="196"/>
        <v>0</v>
      </c>
      <c r="CR99" s="607">
        <f t="shared" si="197"/>
        <v>0</v>
      </c>
      <c r="CS99" s="606">
        <f t="shared" si="198"/>
        <v>0</v>
      </c>
      <c r="CT99" s="607">
        <f t="shared" si="199"/>
        <v>0</v>
      </c>
      <c r="CU99" s="608">
        <f t="shared" si="200"/>
        <v>0</v>
      </c>
      <c r="CV99" s="610">
        <f t="shared" si="201"/>
        <v>29072.588832487309</v>
      </c>
      <c r="CW99" s="608">
        <f t="shared" si="202"/>
        <v>69807</v>
      </c>
      <c r="CX99" s="610">
        <f t="shared" si="203"/>
        <v>29072.588832487309</v>
      </c>
      <c r="CY99" s="611">
        <f t="shared" si="204"/>
        <v>69807</v>
      </c>
      <c r="CZ99" s="605">
        <f t="shared" si="205"/>
        <v>0</v>
      </c>
      <c r="DA99" s="612">
        <f t="shared" si="206"/>
        <v>0</v>
      </c>
      <c r="DB99" s="607">
        <f t="shared" si="207"/>
        <v>0</v>
      </c>
      <c r="DC99" s="606">
        <f t="shared" si="208"/>
        <v>0</v>
      </c>
      <c r="DD99" s="607">
        <f t="shared" si="209"/>
        <v>0</v>
      </c>
      <c r="DE99" s="606">
        <f t="shared" si="210"/>
        <v>0</v>
      </c>
      <c r="DF99" s="607">
        <f t="shared" si="211"/>
        <v>0</v>
      </c>
      <c r="DG99" s="606">
        <f t="shared" si="212"/>
        <v>0</v>
      </c>
      <c r="DH99" s="607">
        <f t="shared" si="213"/>
        <v>0</v>
      </c>
      <c r="DI99" s="608">
        <f t="shared" si="214"/>
        <v>0</v>
      </c>
      <c r="DJ99" s="607">
        <f t="shared" si="215"/>
        <v>197</v>
      </c>
      <c r="DK99" s="608">
        <f t="shared" si="216"/>
        <v>201</v>
      </c>
      <c r="DL99" s="607">
        <f t="shared" si="217"/>
        <v>197</v>
      </c>
      <c r="DM99" s="608">
        <f t="shared" si="218"/>
        <v>201</v>
      </c>
      <c r="DN99" s="607">
        <f t="shared" si="219"/>
        <v>0</v>
      </c>
      <c r="DO99" s="612">
        <f t="shared" si="220"/>
        <v>0</v>
      </c>
      <c r="DP99" s="607">
        <f t="shared" si="221"/>
        <v>0</v>
      </c>
      <c r="DQ99" s="606">
        <f t="shared" si="222"/>
        <v>0</v>
      </c>
      <c r="DR99" s="607">
        <f t="shared" si="223"/>
        <v>0</v>
      </c>
      <c r="DS99" s="606">
        <f t="shared" si="224"/>
        <v>0</v>
      </c>
      <c r="DT99" s="607">
        <f t="shared" si="225"/>
        <v>0</v>
      </c>
      <c r="DU99" s="606">
        <f t="shared" si="226"/>
        <v>0</v>
      </c>
      <c r="DV99" s="607">
        <f t="shared" si="227"/>
        <v>0</v>
      </c>
      <c r="DW99" s="608">
        <f t="shared" si="228"/>
        <v>0</v>
      </c>
      <c r="DX99" s="607">
        <f t="shared" si="229"/>
        <v>5727300</v>
      </c>
      <c r="DY99" s="608">
        <f t="shared" si="230"/>
        <v>14031207</v>
      </c>
      <c r="DZ99" s="607">
        <f t="shared" si="231"/>
        <v>5727300</v>
      </c>
      <c r="EA99" s="608">
        <f t="shared" si="232"/>
        <v>14031207</v>
      </c>
    </row>
    <row r="100" spans="1:131" ht="15" x14ac:dyDescent="0.2">
      <c r="A100" s="473" t="s">
        <v>34</v>
      </c>
      <c r="B100" s="494" t="s">
        <v>966</v>
      </c>
      <c r="C100" s="545"/>
      <c r="D100" s="499">
        <v>135717</v>
      </c>
      <c r="E100" s="496">
        <v>7</v>
      </c>
      <c r="F100" s="598"/>
      <c r="G100" s="599"/>
      <c r="H100" s="600"/>
      <c r="I100" s="601"/>
      <c r="J100" s="600"/>
      <c r="K100" s="599"/>
      <c r="L100" s="600"/>
      <c r="M100" s="601"/>
      <c r="N100" s="600"/>
      <c r="O100" s="599"/>
      <c r="P100" s="600"/>
      <c r="Q100" s="601"/>
      <c r="R100" s="600"/>
      <c r="S100" s="599"/>
      <c r="T100" s="600"/>
      <c r="U100" s="601"/>
      <c r="V100" s="600"/>
      <c r="W100" s="599"/>
      <c r="X100" s="600"/>
      <c r="Y100" s="601"/>
      <c r="Z100" s="600"/>
      <c r="AA100" s="599"/>
      <c r="AB100" s="600"/>
      <c r="AC100" s="601"/>
      <c r="AD100" s="600"/>
      <c r="AE100" s="599"/>
      <c r="AF100" s="600"/>
      <c r="AG100" s="601"/>
      <c r="AH100" s="600"/>
      <c r="AI100" s="599"/>
      <c r="AJ100" s="600"/>
      <c r="AK100" s="601"/>
      <c r="AL100" s="600"/>
      <c r="AM100" s="599"/>
      <c r="AN100" s="600"/>
      <c r="AO100" s="601"/>
      <c r="AP100" s="600"/>
      <c r="AQ100" s="599"/>
      <c r="AR100" s="600"/>
      <c r="AS100" s="601"/>
      <c r="AT100" s="600">
        <v>673</v>
      </c>
      <c r="AU100" s="599">
        <v>659</v>
      </c>
      <c r="AV100" s="600"/>
      <c r="AW100" s="601"/>
      <c r="AX100" s="600"/>
      <c r="AY100" s="599"/>
      <c r="AZ100" s="600"/>
      <c r="BA100" s="601"/>
      <c r="BB100" s="602">
        <v>0</v>
      </c>
      <c r="BC100" s="599"/>
      <c r="BD100" s="600">
        <v>0</v>
      </c>
      <c r="BE100" s="599"/>
      <c r="BF100" s="600">
        <v>0</v>
      </c>
      <c r="BG100" s="599"/>
      <c r="BH100" s="600">
        <v>0</v>
      </c>
      <c r="BI100" s="599"/>
      <c r="BJ100" s="600">
        <v>0</v>
      </c>
      <c r="BK100" s="615"/>
      <c r="BL100" s="600">
        <v>20416672</v>
      </c>
      <c r="BM100" s="622">
        <v>40374953</v>
      </c>
      <c r="BN100" s="605">
        <f t="shared" si="167"/>
        <v>0</v>
      </c>
      <c r="BO100" s="606">
        <f t="shared" si="168"/>
        <v>0</v>
      </c>
      <c r="BP100" s="607">
        <f t="shared" si="169"/>
        <v>0</v>
      </c>
      <c r="BQ100" s="606">
        <f t="shared" si="170"/>
        <v>0</v>
      </c>
      <c r="BR100" s="607">
        <f t="shared" si="171"/>
        <v>0</v>
      </c>
      <c r="BS100" s="606">
        <f t="shared" si="172"/>
        <v>0</v>
      </c>
      <c r="BT100" s="607">
        <f t="shared" si="173"/>
        <v>0</v>
      </c>
      <c r="BU100" s="606">
        <f t="shared" si="174"/>
        <v>0</v>
      </c>
      <c r="BV100" s="607">
        <f t="shared" si="175"/>
        <v>0</v>
      </c>
      <c r="BW100" s="608">
        <f t="shared" si="176"/>
        <v>0</v>
      </c>
      <c r="BX100" s="607">
        <f t="shared" si="177"/>
        <v>6057</v>
      </c>
      <c r="BY100" s="608">
        <f t="shared" si="178"/>
        <v>5931</v>
      </c>
      <c r="BZ100" s="607">
        <f t="shared" si="179"/>
        <v>0</v>
      </c>
      <c r="CA100" s="608">
        <f t="shared" si="180"/>
        <v>0</v>
      </c>
      <c r="CB100" s="607">
        <f t="shared" si="181"/>
        <v>0</v>
      </c>
      <c r="CC100" s="608">
        <f t="shared" si="182"/>
        <v>0</v>
      </c>
      <c r="CD100" s="607">
        <f t="shared" si="183"/>
        <v>0</v>
      </c>
      <c r="CE100" s="608">
        <f t="shared" si="184"/>
        <v>0</v>
      </c>
      <c r="CF100" s="607">
        <f t="shared" si="185"/>
        <v>0</v>
      </c>
      <c r="CG100" s="608">
        <f t="shared" si="186"/>
        <v>0</v>
      </c>
      <c r="CH100" s="607">
        <f t="shared" si="187"/>
        <v>0</v>
      </c>
      <c r="CI100" s="608">
        <f t="shared" si="188"/>
        <v>0</v>
      </c>
      <c r="CJ100" s="607">
        <f t="shared" si="189"/>
        <v>3370.7564801056628</v>
      </c>
      <c r="CK100" s="608">
        <f t="shared" si="190"/>
        <v>6807.4444444444443</v>
      </c>
      <c r="CL100" s="609">
        <f t="shared" si="191"/>
        <v>0</v>
      </c>
      <c r="CM100" s="608">
        <f t="shared" si="192"/>
        <v>0</v>
      </c>
      <c r="CN100" s="610">
        <f t="shared" si="193"/>
        <v>0</v>
      </c>
      <c r="CO100" s="606">
        <f t="shared" si="194"/>
        <v>0</v>
      </c>
      <c r="CP100" s="607">
        <f t="shared" si="195"/>
        <v>0</v>
      </c>
      <c r="CQ100" s="606">
        <f t="shared" si="196"/>
        <v>0</v>
      </c>
      <c r="CR100" s="607">
        <f t="shared" si="197"/>
        <v>0</v>
      </c>
      <c r="CS100" s="606">
        <f t="shared" si="198"/>
        <v>0</v>
      </c>
      <c r="CT100" s="607">
        <f t="shared" si="199"/>
        <v>0</v>
      </c>
      <c r="CU100" s="608">
        <f t="shared" si="200"/>
        <v>0</v>
      </c>
      <c r="CV100" s="610">
        <f t="shared" si="201"/>
        <v>30336.808320950964</v>
      </c>
      <c r="CW100" s="608">
        <f t="shared" si="202"/>
        <v>61267</v>
      </c>
      <c r="CX100" s="610">
        <f t="shared" si="203"/>
        <v>30336.808320950964</v>
      </c>
      <c r="CY100" s="611">
        <f t="shared" si="204"/>
        <v>61267</v>
      </c>
      <c r="CZ100" s="605">
        <f t="shared" si="205"/>
        <v>0</v>
      </c>
      <c r="DA100" s="612">
        <f t="shared" si="206"/>
        <v>0</v>
      </c>
      <c r="DB100" s="607">
        <f t="shared" si="207"/>
        <v>0</v>
      </c>
      <c r="DC100" s="606">
        <f t="shared" si="208"/>
        <v>0</v>
      </c>
      <c r="DD100" s="607">
        <f t="shared" si="209"/>
        <v>0</v>
      </c>
      <c r="DE100" s="606">
        <f t="shared" si="210"/>
        <v>0</v>
      </c>
      <c r="DF100" s="607">
        <f t="shared" si="211"/>
        <v>0</v>
      </c>
      <c r="DG100" s="606">
        <f t="shared" si="212"/>
        <v>0</v>
      </c>
      <c r="DH100" s="607">
        <f t="shared" si="213"/>
        <v>0</v>
      </c>
      <c r="DI100" s="608">
        <f t="shared" si="214"/>
        <v>0</v>
      </c>
      <c r="DJ100" s="607">
        <f t="shared" si="215"/>
        <v>673</v>
      </c>
      <c r="DK100" s="608">
        <f t="shared" si="216"/>
        <v>659</v>
      </c>
      <c r="DL100" s="607">
        <f t="shared" si="217"/>
        <v>673</v>
      </c>
      <c r="DM100" s="608">
        <f t="shared" si="218"/>
        <v>659</v>
      </c>
      <c r="DN100" s="607">
        <f t="shared" si="219"/>
        <v>0</v>
      </c>
      <c r="DO100" s="612">
        <f t="shared" si="220"/>
        <v>0</v>
      </c>
      <c r="DP100" s="607">
        <f t="shared" si="221"/>
        <v>0</v>
      </c>
      <c r="DQ100" s="606">
        <f t="shared" si="222"/>
        <v>0</v>
      </c>
      <c r="DR100" s="607">
        <f t="shared" si="223"/>
        <v>0</v>
      </c>
      <c r="DS100" s="606">
        <f t="shared" si="224"/>
        <v>0</v>
      </c>
      <c r="DT100" s="607">
        <f t="shared" si="225"/>
        <v>0</v>
      </c>
      <c r="DU100" s="606">
        <f t="shared" si="226"/>
        <v>0</v>
      </c>
      <c r="DV100" s="607">
        <f t="shared" si="227"/>
        <v>0</v>
      </c>
      <c r="DW100" s="608">
        <f t="shared" si="228"/>
        <v>0</v>
      </c>
      <c r="DX100" s="607">
        <f t="shared" si="229"/>
        <v>20416672</v>
      </c>
      <c r="DY100" s="608">
        <f t="shared" si="230"/>
        <v>40374953</v>
      </c>
      <c r="DZ100" s="607">
        <f t="shared" si="231"/>
        <v>20416672</v>
      </c>
      <c r="EA100" s="608">
        <f t="shared" si="232"/>
        <v>40374953</v>
      </c>
    </row>
    <row r="101" spans="1:131" ht="15" x14ac:dyDescent="0.2">
      <c r="A101" s="495" t="s">
        <v>34</v>
      </c>
      <c r="B101" s="494" t="s">
        <v>967</v>
      </c>
      <c r="C101" s="545"/>
      <c r="D101" s="501">
        <v>136233</v>
      </c>
      <c r="E101" s="496">
        <v>7</v>
      </c>
      <c r="F101" s="598"/>
      <c r="G101" s="599"/>
      <c r="H101" s="600"/>
      <c r="I101" s="601"/>
      <c r="J101" s="600"/>
      <c r="K101" s="599"/>
      <c r="L101" s="600"/>
      <c r="M101" s="601"/>
      <c r="N101" s="600"/>
      <c r="O101" s="599"/>
      <c r="P101" s="600"/>
      <c r="Q101" s="601"/>
      <c r="R101" s="600"/>
      <c r="S101" s="599"/>
      <c r="T101" s="600"/>
      <c r="U101" s="601"/>
      <c r="V101" s="600"/>
      <c r="W101" s="599"/>
      <c r="X101" s="600"/>
      <c r="Y101" s="601"/>
      <c r="Z101" s="600"/>
      <c r="AA101" s="599"/>
      <c r="AB101" s="600"/>
      <c r="AC101" s="601"/>
      <c r="AD101" s="600"/>
      <c r="AE101" s="599"/>
      <c r="AF101" s="600"/>
      <c r="AG101" s="601"/>
      <c r="AH101" s="600"/>
      <c r="AI101" s="599"/>
      <c r="AJ101" s="600"/>
      <c r="AK101" s="601"/>
      <c r="AL101" s="600"/>
      <c r="AM101" s="599"/>
      <c r="AN101" s="600"/>
      <c r="AO101" s="601"/>
      <c r="AP101" s="600"/>
      <c r="AQ101" s="599"/>
      <c r="AR101" s="600"/>
      <c r="AS101" s="601"/>
      <c r="AT101" s="600">
        <v>102</v>
      </c>
      <c r="AU101" s="599">
        <v>102</v>
      </c>
      <c r="AV101" s="600"/>
      <c r="AW101" s="601"/>
      <c r="AX101" s="600"/>
      <c r="AY101" s="599"/>
      <c r="AZ101" s="600"/>
      <c r="BA101" s="601"/>
      <c r="BB101" s="602">
        <v>0</v>
      </c>
      <c r="BC101" s="599"/>
      <c r="BD101" s="600">
        <v>0</v>
      </c>
      <c r="BE101" s="599"/>
      <c r="BF101" s="600">
        <v>0</v>
      </c>
      <c r="BG101" s="599"/>
      <c r="BH101" s="600">
        <v>0</v>
      </c>
      <c r="BI101" s="599"/>
      <c r="BJ101" s="600">
        <v>0</v>
      </c>
      <c r="BK101" s="615"/>
      <c r="BL101" s="600">
        <v>13504926</v>
      </c>
      <c r="BM101" s="622">
        <v>5600514</v>
      </c>
      <c r="BN101" s="605">
        <f t="shared" si="167"/>
        <v>0</v>
      </c>
      <c r="BO101" s="606">
        <f t="shared" si="168"/>
        <v>0</v>
      </c>
      <c r="BP101" s="607">
        <f t="shared" si="169"/>
        <v>0</v>
      </c>
      <c r="BQ101" s="606">
        <f t="shared" si="170"/>
        <v>0</v>
      </c>
      <c r="BR101" s="607">
        <f t="shared" si="171"/>
        <v>0</v>
      </c>
      <c r="BS101" s="606">
        <f t="shared" si="172"/>
        <v>0</v>
      </c>
      <c r="BT101" s="607">
        <f t="shared" si="173"/>
        <v>0</v>
      </c>
      <c r="BU101" s="606">
        <f t="shared" si="174"/>
        <v>0</v>
      </c>
      <c r="BV101" s="607">
        <f t="shared" si="175"/>
        <v>0</v>
      </c>
      <c r="BW101" s="608">
        <f t="shared" si="176"/>
        <v>0</v>
      </c>
      <c r="BX101" s="607">
        <f t="shared" si="177"/>
        <v>918</v>
      </c>
      <c r="BY101" s="608">
        <f t="shared" si="178"/>
        <v>918</v>
      </c>
      <c r="BZ101" s="607">
        <f t="shared" si="179"/>
        <v>0</v>
      </c>
      <c r="CA101" s="608">
        <f t="shared" si="180"/>
        <v>0</v>
      </c>
      <c r="CB101" s="607">
        <f t="shared" si="181"/>
        <v>0</v>
      </c>
      <c r="CC101" s="608">
        <f t="shared" si="182"/>
        <v>0</v>
      </c>
      <c r="CD101" s="607">
        <f t="shared" si="183"/>
        <v>0</v>
      </c>
      <c r="CE101" s="608">
        <f t="shared" si="184"/>
        <v>0</v>
      </c>
      <c r="CF101" s="607">
        <f t="shared" si="185"/>
        <v>0</v>
      </c>
      <c r="CG101" s="608">
        <f t="shared" si="186"/>
        <v>0</v>
      </c>
      <c r="CH101" s="607">
        <f t="shared" si="187"/>
        <v>0</v>
      </c>
      <c r="CI101" s="608">
        <f t="shared" si="188"/>
        <v>0</v>
      </c>
      <c r="CJ101" s="607">
        <f t="shared" si="189"/>
        <v>14711.248366013071</v>
      </c>
      <c r="CK101" s="608">
        <f t="shared" si="190"/>
        <v>6100.7777777777774</v>
      </c>
      <c r="CL101" s="609">
        <f t="shared" si="191"/>
        <v>0</v>
      </c>
      <c r="CM101" s="608">
        <f t="shared" si="192"/>
        <v>0</v>
      </c>
      <c r="CN101" s="610">
        <f t="shared" si="193"/>
        <v>0</v>
      </c>
      <c r="CO101" s="606">
        <f t="shared" si="194"/>
        <v>0</v>
      </c>
      <c r="CP101" s="607">
        <f t="shared" si="195"/>
        <v>0</v>
      </c>
      <c r="CQ101" s="606">
        <f t="shared" si="196"/>
        <v>0</v>
      </c>
      <c r="CR101" s="607">
        <f t="shared" si="197"/>
        <v>0</v>
      </c>
      <c r="CS101" s="606">
        <f t="shared" si="198"/>
        <v>0</v>
      </c>
      <c r="CT101" s="607">
        <f t="shared" si="199"/>
        <v>0</v>
      </c>
      <c r="CU101" s="608">
        <f t="shared" si="200"/>
        <v>0</v>
      </c>
      <c r="CV101" s="610">
        <f t="shared" si="201"/>
        <v>132401.23529411765</v>
      </c>
      <c r="CW101" s="608">
        <f t="shared" si="202"/>
        <v>54907</v>
      </c>
      <c r="CX101" s="610">
        <f t="shared" si="203"/>
        <v>132401.23529411765</v>
      </c>
      <c r="CY101" s="611">
        <f t="shared" si="204"/>
        <v>54907</v>
      </c>
      <c r="CZ101" s="605">
        <f t="shared" si="205"/>
        <v>0</v>
      </c>
      <c r="DA101" s="612">
        <f t="shared" si="206"/>
        <v>0</v>
      </c>
      <c r="DB101" s="607">
        <f t="shared" si="207"/>
        <v>0</v>
      </c>
      <c r="DC101" s="606">
        <f t="shared" si="208"/>
        <v>0</v>
      </c>
      <c r="DD101" s="607">
        <f t="shared" si="209"/>
        <v>0</v>
      </c>
      <c r="DE101" s="606">
        <f t="shared" si="210"/>
        <v>0</v>
      </c>
      <c r="DF101" s="607">
        <f t="shared" si="211"/>
        <v>0</v>
      </c>
      <c r="DG101" s="606">
        <f t="shared" si="212"/>
        <v>0</v>
      </c>
      <c r="DH101" s="607">
        <f t="shared" si="213"/>
        <v>0</v>
      </c>
      <c r="DI101" s="608">
        <f t="shared" si="214"/>
        <v>0</v>
      </c>
      <c r="DJ101" s="607">
        <f t="shared" si="215"/>
        <v>102</v>
      </c>
      <c r="DK101" s="608">
        <f t="shared" si="216"/>
        <v>102</v>
      </c>
      <c r="DL101" s="607">
        <f t="shared" si="217"/>
        <v>102</v>
      </c>
      <c r="DM101" s="608">
        <f t="shared" si="218"/>
        <v>102</v>
      </c>
      <c r="DN101" s="607">
        <f t="shared" si="219"/>
        <v>0</v>
      </c>
      <c r="DO101" s="612">
        <f t="shared" si="220"/>
        <v>0</v>
      </c>
      <c r="DP101" s="607">
        <f t="shared" si="221"/>
        <v>0</v>
      </c>
      <c r="DQ101" s="606">
        <f t="shared" si="222"/>
        <v>0</v>
      </c>
      <c r="DR101" s="607">
        <f t="shared" si="223"/>
        <v>0</v>
      </c>
      <c r="DS101" s="606">
        <f t="shared" si="224"/>
        <v>0</v>
      </c>
      <c r="DT101" s="607">
        <f t="shared" si="225"/>
        <v>0</v>
      </c>
      <c r="DU101" s="606">
        <f t="shared" si="226"/>
        <v>0</v>
      </c>
      <c r="DV101" s="607">
        <f t="shared" si="227"/>
        <v>0</v>
      </c>
      <c r="DW101" s="608">
        <f t="shared" si="228"/>
        <v>0</v>
      </c>
      <c r="DX101" s="607">
        <f t="shared" si="229"/>
        <v>13504926</v>
      </c>
      <c r="DY101" s="608">
        <f t="shared" si="230"/>
        <v>5600514</v>
      </c>
      <c r="DZ101" s="607">
        <f t="shared" si="231"/>
        <v>13504926</v>
      </c>
      <c r="EA101" s="608">
        <f t="shared" si="232"/>
        <v>5600514</v>
      </c>
    </row>
    <row r="102" spans="1:131" ht="15" x14ac:dyDescent="0.2">
      <c r="A102" s="473" t="s">
        <v>34</v>
      </c>
      <c r="B102" s="494" t="s">
        <v>968</v>
      </c>
      <c r="C102" s="545"/>
      <c r="D102" s="499">
        <v>137078</v>
      </c>
      <c r="E102" s="496">
        <v>7</v>
      </c>
      <c r="F102" s="598"/>
      <c r="G102" s="599"/>
      <c r="H102" s="600"/>
      <c r="I102" s="601"/>
      <c r="J102" s="600"/>
      <c r="K102" s="599"/>
      <c r="L102" s="600"/>
      <c r="M102" s="601"/>
      <c r="N102" s="600"/>
      <c r="O102" s="599"/>
      <c r="P102" s="600"/>
      <c r="Q102" s="601"/>
      <c r="R102" s="600"/>
      <c r="S102" s="599"/>
      <c r="T102" s="600"/>
      <c r="U102" s="601"/>
      <c r="V102" s="600"/>
      <c r="W102" s="599"/>
      <c r="X102" s="600"/>
      <c r="Y102" s="601"/>
      <c r="Z102" s="600"/>
      <c r="AA102" s="599"/>
      <c r="AB102" s="600"/>
      <c r="AC102" s="601"/>
      <c r="AD102" s="600"/>
      <c r="AE102" s="599"/>
      <c r="AF102" s="600"/>
      <c r="AG102" s="601"/>
      <c r="AH102" s="600"/>
      <c r="AI102" s="599"/>
      <c r="AJ102" s="600"/>
      <c r="AK102" s="601"/>
      <c r="AL102" s="600"/>
      <c r="AM102" s="599"/>
      <c r="AN102" s="600"/>
      <c r="AO102" s="601"/>
      <c r="AP102" s="600"/>
      <c r="AQ102" s="599"/>
      <c r="AR102" s="600"/>
      <c r="AS102" s="601"/>
      <c r="AT102" s="600">
        <v>332</v>
      </c>
      <c r="AU102" s="599">
        <v>377</v>
      </c>
      <c r="AV102" s="600"/>
      <c r="AW102" s="601"/>
      <c r="AX102" s="600"/>
      <c r="AY102" s="599"/>
      <c r="AZ102" s="600"/>
      <c r="BA102" s="601"/>
      <c r="BB102" s="602">
        <v>0</v>
      </c>
      <c r="BC102" s="599"/>
      <c r="BD102" s="600">
        <v>0</v>
      </c>
      <c r="BE102" s="599"/>
      <c r="BF102" s="600">
        <v>0</v>
      </c>
      <c r="BG102" s="599"/>
      <c r="BH102" s="600">
        <v>0</v>
      </c>
      <c r="BI102" s="599"/>
      <c r="BJ102" s="600">
        <v>0</v>
      </c>
      <c r="BK102" s="615"/>
      <c r="BL102" s="600">
        <v>21553468</v>
      </c>
      <c r="BM102" s="622">
        <v>23425272</v>
      </c>
      <c r="BN102" s="605">
        <f t="shared" si="167"/>
        <v>0</v>
      </c>
      <c r="BO102" s="606">
        <f t="shared" si="168"/>
        <v>0</v>
      </c>
      <c r="BP102" s="607">
        <f t="shared" si="169"/>
        <v>0</v>
      </c>
      <c r="BQ102" s="606">
        <f t="shared" si="170"/>
        <v>0</v>
      </c>
      <c r="BR102" s="607">
        <f t="shared" si="171"/>
        <v>0</v>
      </c>
      <c r="BS102" s="606">
        <f t="shared" si="172"/>
        <v>0</v>
      </c>
      <c r="BT102" s="607">
        <f t="shared" si="173"/>
        <v>0</v>
      </c>
      <c r="BU102" s="606">
        <f t="shared" si="174"/>
        <v>0</v>
      </c>
      <c r="BV102" s="607">
        <f t="shared" si="175"/>
        <v>0</v>
      </c>
      <c r="BW102" s="608">
        <f t="shared" si="176"/>
        <v>0</v>
      </c>
      <c r="BX102" s="607">
        <f t="shared" si="177"/>
        <v>2988</v>
      </c>
      <c r="BY102" s="608">
        <f t="shared" si="178"/>
        <v>3393</v>
      </c>
      <c r="BZ102" s="607">
        <f t="shared" si="179"/>
        <v>0</v>
      </c>
      <c r="CA102" s="608">
        <f t="shared" si="180"/>
        <v>0</v>
      </c>
      <c r="CB102" s="607">
        <f t="shared" si="181"/>
        <v>0</v>
      </c>
      <c r="CC102" s="608">
        <f t="shared" si="182"/>
        <v>0</v>
      </c>
      <c r="CD102" s="607">
        <f t="shared" si="183"/>
        <v>0</v>
      </c>
      <c r="CE102" s="608">
        <f t="shared" si="184"/>
        <v>0</v>
      </c>
      <c r="CF102" s="607">
        <f t="shared" si="185"/>
        <v>0</v>
      </c>
      <c r="CG102" s="608">
        <f t="shared" si="186"/>
        <v>0</v>
      </c>
      <c r="CH102" s="607">
        <f t="shared" si="187"/>
        <v>0</v>
      </c>
      <c r="CI102" s="608">
        <f t="shared" si="188"/>
        <v>0</v>
      </c>
      <c r="CJ102" s="607">
        <f t="shared" si="189"/>
        <v>7213.3427041499326</v>
      </c>
      <c r="CK102" s="608">
        <f t="shared" si="190"/>
        <v>6904</v>
      </c>
      <c r="CL102" s="609">
        <f t="shared" si="191"/>
        <v>0</v>
      </c>
      <c r="CM102" s="608">
        <f t="shared" si="192"/>
        <v>0</v>
      </c>
      <c r="CN102" s="610">
        <f t="shared" si="193"/>
        <v>0</v>
      </c>
      <c r="CO102" s="606">
        <f t="shared" si="194"/>
        <v>0</v>
      </c>
      <c r="CP102" s="607">
        <f t="shared" si="195"/>
        <v>0</v>
      </c>
      <c r="CQ102" s="606">
        <f t="shared" si="196"/>
        <v>0</v>
      </c>
      <c r="CR102" s="607">
        <f t="shared" si="197"/>
        <v>0</v>
      </c>
      <c r="CS102" s="606">
        <f t="shared" si="198"/>
        <v>0</v>
      </c>
      <c r="CT102" s="607">
        <f t="shared" si="199"/>
        <v>0</v>
      </c>
      <c r="CU102" s="608">
        <f t="shared" si="200"/>
        <v>0</v>
      </c>
      <c r="CV102" s="610">
        <f t="shared" si="201"/>
        <v>64920.084337349392</v>
      </c>
      <c r="CW102" s="608">
        <f t="shared" si="202"/>
        <v>62136</v>
      </c>
      <c r="CX102" s="610">
        <f t="shared" si="203"/>
        <v>64920.084337349384</v>
      </c>
      <c r="CY102" s="611">
        <f t="shared" si="204"/>
        <v>62136</v>
      </c>
      <c r="CZ102" s="605">
        <f t="shared" si="205"/>
        <v>0</v>
      </c>
      <c r="DA102" s="612">
        <f t="shared" si="206"/>
        <v>0</v>
      </c>
      <c r="DB102" s="607">
        <f t="shared" si="207"/>
        <v>0</v>
      </c>
      <c r="DC102" s="606">
        <f t="shared" si="208"/>
        <v>0</v>
      </c>
      <c r="DD102" s="607">
        <f t="shared" si="209"/>
        <v>0</v>
      </c>
      <c r="DE102" s="606">
        <f t="shared" si="210"/>
        <v>0</v>
      </c>
      <c r="DF102" s="607">
        <f t="shared" si="211"/>
        <v>0</v>
      </c>
      <c r="DG102" s="606">
        <f t="shared" si="212"/>
        <v>0</v>
      </c>
      <c r="DH102" s="607">
        <f t="shared" si="213"/>
        <v>0</v>
      </c>
      <c r="DI102" s="608">
        <f t="shared" si="214"/>
        <v>0</v>
      </c>
      <c r="DJ102" s="607">
        <f t="shared" si="215"/>
        <v>332</v>
      </c>
      <c r="DK102" s="608">
        <f t="shared" si="216"/>
        <v>377</v>
      </c>
      <c r="DL102" s="607">
        <f t="shared" si="217"/>
        <v>332</v>
      </c>
      <c r="DM102" s="608">
        <f t="shared" si="218"/>
        <v>377</v>
      </c>
      <c r="DN102" s="607">
        <f t="shared" si="219"/>
        <v>0</v>
      </c>
      <c r="DO102" s="612">
        <f t="shared" si="220"/>
        <v>0</v>
      </c>
      <c r="DP102" s="607">
        <f t="shared" si="221"/>
        <v>0</v>
      </c>
      <c r="DQ102" s="606">
        <f t="shared" si="222"/>
        <v>0</v>
      </c>
      <c r="DR102" s="607">
        <f t="shared" si="223"/>
        <v>0</v>
      </c>
      <c r="DS102" s="606">
        <f t="shared" si="224"/>
        <v>0</v>
      </c>
      <c r="DT102" s="607">
        <f t="shared" si="225"/>
        <v>0</v>
      </c>
      <c r="DU102" s="606">
        <f t="shared" si="226"/>
        <v>0</v>
      </c>
      <c r="DV102" s="607">
        <f t="shared" si="227"/>
        <v>0</v>
      </c>
      <c r="DW102" s="608">
        <f t="shared" si="228"/>
        <v>0</v>
      </c>
      <c r="DX102" s="607">
        <f t="shared" si="229"/>
        <v>21553467.999999996</v>
      </c>
      <c r="DY102" s="608">
        <f t="shared" si="230"/>
        <v>23425272</v>
      </c>
      <c r="DZ102" s="607">
        <f t="shared" si="231"/>
        <v>21553467.999999996</v>
      </c>
      <c r="EA102" s="608">
        <f t="shared" si="232"/>
        <v>23425272</v>
      </c>
    </row>
    <row r="103" spans="1:131" ht="15" x14ac:dyDescent="0.2">
      <c r="A103" s="495" t="s">
        <v>34</v>
      </c>
      <c r="B103" s="494" t="s">
        <v>969</v>
      </c>
      <c r="C103" s="545"/>
      <c r="D103" s="499">
        <v>132693</v>
      </c>
      <c r="E103" s="496">
        <v>8</v>
      </c>
      <c r="F103" s="598"/>
      <c r="G103" s="599"/>
      <c r="H103" s="600"/>
      <c r="I103" s="601"/>
      <c r="J103" s="600"/>
      <c r="K103" s="599"/>
      <c r="L103" s="600"/>
      <c r="M103" s="601"/>
      <c r="N103" s="600"/>
      <c r="O103" s="599"/>
      <c r="P103" s="600"/>
      <c r="Q103" s="601"/>
      <c r="R103" s="600"/>
      <c r="S103" s="599"/>
      <c r="T103" s="600"/>
      <c r="U103" s="601"/>
      <c r="V103" s="600"/>
      <c r="W103" s="599"/>
      <c r="X103" s="600"/>
      <c r="Y103" s="601"/>
      <c r="Z103" s="600"/>
      <c r="AA103" s="599"/>
      <c r="AB103" s="600"/>
      <c r="AC103" s="601"/>
      <c r="AD103" s="600"/>
      <c r="AE103" s="599"/>
      <c r="AF103" s="600"/>
      <c r="AG103" s="601"/>
      <c r="AH103" s="600"/>
      <c r="AI103" s="599"/>
      <c r="AJ103" s="600"/>
      <c r="AK103" s="601"/>
      <c r="AL103" s="600"/>
      <c r="AM103" s="599"/>
      <c r="AN103" s="600"/>
      <c r="AO103" s="601"/>
      <c r="AP103" s="600"/>
      <c r="AQ103" s="599"/>
      <c r="AR103" s="600"/>
      <c r="AS103" s="601"/>
      <c r="AT103" s="600">
        <v>254</v>
      </c>
      <c r="AU103" s="599">
        <v>239</v>
      </c>
      <c r="AV103" s="600"/>
      <c r="AW103" s="601"/>
      <c r="AX103" s="600"/>
      <c r="AY103" s="599"/>
      <c r="AZ103" s="600"/>
      <c r="BA103" s="601"/>
      <c r="BB103" s="602">
        <v>0</v>
      </c>
      <c r="BC103" s="599"/>
      <c r="BD103" s="600">
        <v>0</v>
      </c>
      <c r="BE103" s="599"/>
      <c r="BF103" s="600">
        <v>0</v>
      </c>
      <c r="BG103" s="599"/>
      <c r="BH103" s="600">
        <v>0</v>
      </c>
      <c r="BI103" s="599"/>
      <c r="BJ103" s="600">
        <v>0</v>
      </c>
      <c r="BK103" s="615"/>
      <c r="BL103" s="600">
        <v>6123988</v>
      </c>
      <c r="BM103" s="622">
        <v>13139264</v>
      </c>
      <c r="BN103" s="605">
        <f t="shared" si="167"/>
        <v>0</v>
      </c>
      <c r="BO103" s="606">
        <f t="shared" si="168"/>
        <v>0</v>
      </c>
      <c r="BP103" s="607">
        <f t="shared" si="169"/>
        <v>0</v>
      </c>
      <c r="BQ103" s="606">
        <f t="shared" si="170"/>
        <v>0</v>
      </c>
      <c r="BR103" s="607">
        <f t="shared" si="171"/>
        <v>0</v>
      </c>
      <c r="BS103" s="606">
        <f t="shared" si="172"/>
        <v>0</v>
      </c>
      <c r="BT103" s="607">
        <f t="shared" si="173"/>
        <v>0</v>
      </c>
      <c r="BU103" s="606">
        <f t="shared" si="174"/>
        <v>0</v>
      </c>
      <c r="BV103" s="607">
        <f t="shared" si="175"/>
        <v>0</v>
      </c>
      <c r="BW103" s="608">
        <f t="shared" si="176"/>
        <v>0</v>
      </c>
      <c r="BX103" s="607">
        <f t="shared" si="177"/>
        <v>2286</v>
      </c>
      <c r="BY103" s="608">
        <f t="shared" si="178"/>
        <v>2151</v>
      </c>
      <c r="BZ103" s="607">
        <f t="shared" si="179"/>
        <v>0</v>
      </c>
      <c r="CA103" s="608">
        <f t="shared" si="180"/>
        <v>0</v>
      </c>
      <c r="CB103" s="607">
        <f t="shared" si="181"/>
        <v>0</v>
      </c>
      <c r="CC103" s="608">
        <f t="shared" si="182"/>
        <v>0</v>
      </c>
      <c r="CD103" s="607">
        <f t="shared" si="183"/>
        <v>0</v>
      </c>
      <c r="CE103" s="608">
        <f t="shared" si="184"/>
        <v>0</v>
      </c>
      <c r="CF103" s="607">
        <f t="shared" si="185"/>
        <v>0</v>
      </c>
      <c r="CG103" s="608">
        <f t="shared" si="186"/>
        <v>0</v>
      </c>
      <c r="CH103" s="607">
        <f t="shared" si="187"/>
        <v>0</v>
      </c>
      <c r="CI103" s="608">
        <f t="shared" si="188"/>
        <v>0</v>
      </c>
      <c r="CJ103" s="607">
        <f t="shared" si="189"/>
        <v>2678.9098862642168</v>
      </c>
      <c r="CK103" s="608">
        <f t="shared" si="190"/>
        <v>6108.4444444444443</v>
      </c>
      <c r="CL103" s="609">
        <f t="shared" si="191"/>
        <v>0</v>
      </c>
      <c r="CM103" s="608">
        <f t="shared" si="192"/>
        <v>0</v>
      </c>
      <c r="CN103" s="610">
        <f t="shared" si="193"/>
        <v>0</v>
      </c>
      <c r="CO103" s="606">
        <f t="shared" si="194"/>
        <v>0</v>
      </c>
      <c r="CP103" s="607">
        <f t="shared" si="195"/>
        <v>0</v>
      </c>
      <c r="CQ103" s="606">
        <f t="shared" si="196"/>
        <v>0</v>
      </c>
      <c r="CR103" s="607">
        <f t="shared" si="197"/>
        <v>0</v>
      </c>
      <c r="CS103" s="606">
        <f t="shared" si="198"/>
        <v>0</v>
      </c>
      <c r="CT103" s="607">
        <f t="shared" si="199"/>
        <v>0</v>
      </c>
      <c r="CU103" s="608">
        <f t="shared" si="200"/>
        <v>0</v>
      </c>
      <c r="CV103" s="610">
        <f t="shared" si="201"/>
        <v>24110.188976377951</v>
      </c>
      <c r="CW103" s="608">
        <f t="shared" si="202"/>
        <v>54976</v>
      </c>
      <c r="CX103" s="610">
        <f t="shared" si="203"/>
        <v>24110.188976377951</v>
      </c>
      <c r="CY103" s="611">
        <f t="shared" si="204"/>
        <v>54976</v>
      </c>
      <c r="CZ103" s="605">
        <f t="shared" si="205"/>
        <v>0</v>
      </c>
      <c r="DA103" s="612">
        <f t="shared" si="206"/>
        <v>0</v>
      </c>
      <c r="DB103" s="607">
        <f t="shared" si="207"/>
        <v>0</v>
      </c>
      <c r="DC103" s="606">
        <f t="shared" si="208"/>
        <v>0</v>
      </c>
      <c r="DD103" s="607">
        <f t="shared" si="209"/>
        <v>0</v>
      </c>
      <c r="DE103" s="606">
        <f t="shared" si="210"/>
        <v>0</v>
      </c>
      <c r="DF103" s="607">
        <f t="shared" si="211"/>
        <v>0</v>
      </c>
      <c r="DG103" s="606">
        <f t="shared" si="212"/>
        <v>0</v>
      </c>
      <c r="DH103" s="607">
        <f t="shared" si="213"/>
        <v>0</v>
      </c>
      <c r="DI103" s="608">
        <f t="shared" si="214"/>
        <v>0</v>
      </c>
      <c r="DJ103" s="607">
        <f t="shared" si="215"/>
        <v>254</v>
      </c>
      <c r="DK103" s="608">
        <f t="shared" si="216"/>
        <v>239</v>
      </c>
      <c r="DL103" s="607">
        <f t="shared" si="217"/>
        <v>254</v>
      </c>
      <c r="DM103" s="608">
        <f t="shared" si="218"/>
        <v>239</v>
      </c>
      <c r="DN103" s="607">
        <f t="shared" si="219"/>
        <v>0</v>
      </c>
      <c r="DO103" s="612">
        <f t="shared" si="220"/>
        <v>0</v>
      </c>
      <c r="DP103" s="607">
        <f t="shared" si="221"/>
        <v>0</v>
      </c>
      <c r="DQ103" s="606">
        <f t="shared" si="222"/>
        <v>0</v>
      </c>
      <c r="DR103" s="607">
        <f t="shared" si="223"/>
        <v>0</v>
      </c>
      <c r="DS103" s="606">
        <f t="shared" si="224"/>
        <v>0</v>
      </c>
      <c r="DT103" s="607">
        <f t="shared" si="225"/>
        <v>0</v>
      </c>
      <c r="DU103" s="606">
        <f t="shared" si="226"/>
        <v>0</v>
      </c>
      <c r="DV103" s="607">
        <f t="shared" si="227"/>
        <v>0</v>
      </c>
      <c r="DW103" s="608">
        <f t="shared" si="228"/>
        <v>0</v>
      </c>
      <c r="DX103" s="607">
        <f t="shared" si="229"/>
        <v>6123987.9999999991</v>
      </c>
      <c r="DY103" s="608">
        <f t="shared" si="230"/>
        <v>13139264</v>
      </c>
      <c r="DZ103" s="607">
        <f t="shared" si="231"/>
        <v>6123987.9999999991</v>
      </c>
      <c r="EA103" s="608">
        <f t="shared" si="232"/>
        <v>13139264</v>
      </c>
    </row>
    <row r="104" spans="1:131" ht="15" x14ac:dyDescent="0.2">
      <c r="A104" s="495" t="s">
        <v>34</v>
      </c>
      <c r="B104" s="494" t="s">
        <v>970</v>
      </c>
      <c r="C104" s="548" t="s">
        <v>989</v>
      </c>
      <c r="D104" s="499">
        <v>132709</v>
      </c>
      <c r="E104" s="496">
        <v>8</v>
      </c>
      <c r="F104" s="598"/>
      <c r="G104" s="599"/>
      <c r="H104" s="600"/>
      <c r="I104" s="601"/>
      <c r="J104" s="600"/>
      <c r="K104" s="599"/>
      <c r="L104" s="600"/>
      <c r="M104" s="601"/>
      <c r="N104" s="600"/>
      <c r="O104" s="599"/>
      <c r="P104" s="600"/>
      <c r="Q104" s="601"/>
      <c r="R104" s="600"/>
      <c r="S104" s="599"/>
      <c r="T104" s="600"/>
      <c r="U104" s="601"/>
      <c r="V104" s="600"/>
      <c r="W104" s="599"/>
      <c r="X104" s="600"/>
      <c r="Y104" s="601"/>
      <c r="Z104" s="600"/>
      <c r="AA104" s="599"/>
      <c r="AB104" s="600"/>
      <c r="AC104" s="601"/>
      <c r="AD104" s="600"/>
      <c r="AE104" s="599"/>
      <c r="AF104" s="600"/>
      <c r="AG104" s="601"/>
      <c r="AH104" s="600"/>
      <c r="AI104" s="599"/>
      <c r="AJ104" s="600"/>
      <c r="AK104" s="601"/>
      <c r="AL104" s="600"/>
      <c r="AM104" s="599"/>
      <c r="AN104" s="600"/>
      <c r="AO104" s="601"/>
      <c r="AP104" s="600"/>
      <c r="AQ104" s="599"/>
      <c r="AR104" s="600"/>
      <c r="AS104" s="601"/>
      <c r="AT104" s="600">
        <v>386</v>
      </c>
      <c r="AU104" s="599">
        <v>397</v>
      </c>
      <c r="AV104" s="600"/>
      <c r="AW104" s="601"/>
      <c r="AX104" s="600"/>
      <c r="AY104" s="599"/>
      <c r="AZ104" s="600"/>
      <c r="BA104" s="601"/>
      <c r="BB104" s="602">
        <v>0</v>
      </c>
      <c r="BC104" s="599"/>
      <c r="BD104" s="600">
        <v>0</v>
      </c>
      <c r="BE104" s="599"/>
      <c r="BF104" s="600">
        <v>0</v>
      </c>
      <c r="BG104" s="599"/>
      <c r="BH104" s="600">
        <v>0</v>
      </c>
      <c r="BI104" s="599"/>
      <c r="BJ104" s="600">
        <v>0</v>
      </c>
      <c r="BK104" s="615"/>
      <c r="BL104" s="600">
        <v>19524604</v>
      </c>
      <c r="BM104" s="622">
        <v>23310252</v>
      </c>
      <c r="BN104" s="605">
        <f t="shared" si="167"/>
        <v>0</v>
      </c>
      <c r="BO104" s="606">
        <f t="shared" si="168"/>
        <v>0</v>
      </c>
      <c r="BP104" s="607">
        <f t="shared" si="169"/>
        <v>0</v>
      </c>
      <c r="BQ104" s="606">
        <f t="shared" si="170"/>
        <v>0</v>
      </c>
      <c r="BR104" s="607">
        <f t="shared" si="171"/>
        <v>0</v>
      </c>
      <c r="BS104" s="606">
        <f t="shared" si="172"/>
        <v>0</v>
      </c>
      <c r="BT104" s="607">
        <f t="shared" si="173"/>
        <v>0</v>
      </c>
      <c r="BU104" s="606">
        <f t="shared" si="174"/>
        <v>0</v>
      </c>
      <c r="BV104" s="607">
        <f t="shared" si="175"/>
        <v>0</v>
      </c>
      <c r="BW104" s="608">
        <f t="shared" si="176"/>
        <v>0</v>
      </c>
      <c r="BX104" s="607">
        <f t="shared" si="177"/>
        <v>3474</v>
      </c>
      <c r="BY104" s="608">
        <f t="shared" si="178"/>
        <v>3573</v>
      </c>
      <c r="BZ104" s="607">
        <f t="shared" si="179"/>
        <v>0</v>
      </c>
      <c r="CA104" s="608">
        <f t="shared" si="180"/>
        <v>0</v>
      </c>
      <c r="CB104" s="607">
        <f t="shared" si="181"/>
        <v>0</v>
      </c>
      <c r="CC104" s="608">
        <f t="shared" si="182"/>
        <v>0</v>
      </c>
      <c r="CD104" s="607">
        <f t="shared" si="183"/>
        <v>0</v>
      </c>
      <c r="CE104" s="608">
        <f t="shared" si="184"/>
        <v>0</v>
      </c>
      <c r="CF104" s="607">
        <f t="shared" si="185"/>
        <v>0</v>
      </c>
      <c r="CG104" s="608">
        <f t="shared" si="186"/>
        <v>0</v>
      </c>
      <c r="CH104" s="607">
        <f t="shared" si="187"/>
        <v>0</v>
      </c>
      <c r="CI104" s="608">
        <f t="shared" si="188"/>
        <v>0</v>
      </c>
      <c r="CJ104" s="607">
        <f t="shared" si="189"/>
        <v>5620.2084052964883</v>
      </c>
      <c r="CK104" s="608">
        <f t="shared" si="190"/>
        <v>6524</v>
      </c>
      <c r="CL104" s="609">
        <f t="shared" si="191"/>
        <v>0</v>
      </c>
      <c r="CM104" s="608">
        <f t="shared" si="192"/>
        <v>0</v>
      </c>
      <c r="CN104" s="610">
        <f t="shared" si="193"/>
        <v>0</v>
      </c>
      <c r="CO104" s="606">
        <f t="shared" si="194"/>
        <v>0</v>
      </c>
      <c r="CP104" s="607">
        <f t="shared" si="195"/>
        <v>0</v>
      </c>
      <c r="CQ104" s="606">
        <f t="shared" si="196"/>
        <v>0</v>
      </c>
      <c r="CR104" s="607">
        <f t="shared" si="197"/>
        <v>0</v>
      </c>
      <c r="CS104" s="606">
        <f t="shared" si="198"/>
        <v>0</v>
      </c>
      <c r="CT104" s="607">
        <f t="shared" si="199"/>
        <v>0</v>
      </c>
      <c r="CU104" s="608">
        <f t="shared" si="200"/>
        <v>0</v>
      </c>
      <c r="CV104" s="610">
        <f t="shared" si="201"/>
        <v>50581.875647668392</v>
      </c>
      <c r="CW104" s="608">
        <f t="shared" si="202"/>
        <v>58716</v>
      </c>
      <c r="CX104" s="610">
        <f t="shared" si="203"/>
        <v>50581.875647668392</v>
      </c>
      <c r="CY104" s="611">
        <f t="shared" si="204"/>
        <v>58716</v>
      </c>
      <c r="CZ104" s="605">
        <f t="shared" si="205"/>
        <v>0</v>
      </c>
      <c r="DA104" s="612">
        <f t="shared" si="206"/>
        <v>0</v>
      </c>
      <c r="DB104" s="607">
        <f t="shared" si="207"/>
        <v>0</v>
      </c>
      <c r="DC104" s="606">
        <f t="shared" si="208"/>
        <v>0</v>
      </c>
      <c r="DD104" s="607">
        <f t="shared" si="209"/>
        <v>0</v>
      </c>
      <c r="DE104" s="606">
        <f t="shared" si="210"/>
        <v>0</v>
      </c>
      <c r="DF104" s="607">
        <f t="shared" si="211"/>
        <v>0</v>
      </c>
      <c r="DG104" s="606">
        <f t="shared" si="212"/>
        <v>0</v>
      </c>
      <c r="DH104" s="607">
        <f t="shared" si="213"/>
        <v>0</v>
      </c>
      <c r="DI104" s="608">
        <f t="shared" si="214"/>
        <v>0</v>
      </c>
      <c r="DJ104" s="607">
        <f t="shared" si="215"/>
        <v>386</v>
      </c>
      <c r="DK104" s="608">
        <f t="shared" si="216"/>
        <v>397</v>
      </c>
      <c r="DL104" s="607">
        <f t="shared" si="217"/>
        <v>386</v>
      </c>
      <c r="DM104" s="608">
        <f t="shared" si="218"/>
        <v>397</v>
      </c>
      <c r="DN104" s="607">
        <f t="shared" si="219"/>
        <v>0</v>
      </c>
      <c r="DO104" s="612">
        <f t="shared" si="220"/>
        <v>0</v>
      </c>
      <c r="DP104" s="607">
        <f t="shared" si="221"/>
        <v>0</v>
      </c>
      <c r="DQ104" s="606">
        <f t="shared" si="222"/>
        <v>0</v>
      </c>
      <c r="DR104" s="607">
        <f t="shared" si="223"/>
        <v>0</v>
      </c>
      <c r="DS104" s="606">
        <f t="shared" si="224"/>
        <v>0</v>
      </c>
      <c r="DT104" s="607">
        <f t="shared" si="225"/>
        <v>0</v>
      </c>
      <c r="DU104" s="606">
        <f t="shared" si="226"/>
        <v>0</v>
      </c>
      <c r="DV104" s="607">
        <f t="shared" si="227"/>
        <v>0</v>
      </c>
      <c r="DW104" s="608">
        <f t="shared" si="228"/>
        <v>0</v>
      </c>
      <c r="DX104" s="607">
        <f t="shared" si="229"/>
        <v>19524604</v>
      </c>
      <c r="DY104" s="608">
        <f t="shared" si="230"/>
        <v>23310252</v>
      </c>
      <c r="DZ104" s="607">
        <f t="shared" si="231"/>
        <v>19524604</v>
      </c>
      <c r="EA104" s="608">
        <f t="shared" si="232"/>
        <v>23310252</v>
      </c>
    </row>
    <row r="105" spans="1:131" ht="15" x14ac:dyDescent="0.2">
      <c r="A105" s="495" t="s">
        <v>34</v>
      </c>
      <c r="B105" s="494" t="s">
        <v>971</v>
      </c>
      <c r="C105" s="546"/>
      <c r="D105" s="497">
        <v>132851</v>
      </c>
      <c r="E105" s="497">
        <v>8</v>
      </c>
      <c r="F105" s="598"/>
      <c r="G105" s="599"/>
      <c r="H105" s="600"/>
      <c r="I105" s="601"/>
      <c r="J105" s="600"/>
      <c r="K105" s="599"/>
      <c r="L105" s="600"/>
      <c r="M105" s="601"/>
      <c r="N105" s="600"/>
      <c r="O105" s="599"/>
      <c r="P105" s="600"/>
      <c r="Q105" s="601"/>
      <c r="R105" s="600"/>
      <c r="S105" s="599"/>
      <c r="T105" s="600"/>
      <c r="U105" s="601"/>
      <c r="V105" s="600"/>
      <c r="W105" s="599"/>
      <c r="X105" s="600"/>
      <c r="Y105" s="601"/>
      <c r="Z105" s="600"/>
      <c r="AA105" s="599"/>
      <c r="AB105" s="600"/>
      <c r="AC105" s="601"/>
      <c r="AD105" s="600"/>
      <c r="AE105" s="599"/>
      <c r="AF105" s="600"/>
      <c r="AG105" s="601"/>
      <c r="AH105" s="600"/>
      <c r="AI105" s="599"/>
      <c r="AJ105" s="600"/>
      <c r="AK105" s="601"/>
      <c r="AL105" s="600"/>
      <c r="AM105" s="599"/>
      <c r="AN105" s="600"/>
      <c r="AO105" s="601"/>
      <c r="AP105" s="600"/>
      <c r="AQ105" s="599"/>
      <c r="AR105" s="600"/>
      <c r="AS105" s="601"/>
      <c r="AT105" s="600">
        <v>124</v>
      </c>
      <c r="AU105" s="599">
        <v>125</v>
      </c>
      <c r="AV105" s="600"/>
      <c r="AW105" s="601"/>
      <c r="AX105" s="600"/>
      <c r="AY105" s="599"/>
      <c r="AZ105" s="600"/>
      <c r="BA105" s="601"/>
      <c r="BB105" s="602">
        <v>0</v>
      </c>
      <c r="BC105" s="599"/>
      <c r="BD105" s="600">
        <v>0</v>
      </c>
      <c r="BE105" s="599"/>
      <c r="BF105" s="600">
        <v>0</v>
      </c>
      <c r="BG105" s="599"/>
      <c r="BH105" s="600">
        <v>0</v>
      </c>
      <c r="BI105" s="599"/>
      <c r="BJ105" s="600">
        <v>0</v>
      </c>
      <c r="BK105" s="615"/>
      <c r="BL105" s="600">
        <v>15518648</v>
      </c>
      <c r="BM105" s="622">
        <v>6397750</v>
      </c>
      <c r="BN105" s="605">
        <f t="shared" si="167"/>
        <v>0</v>
      </c>
      <c r="BO105" s="606">
        <f t="shared" si="168"/>
        <v>0</v>
      </c>
      <c r="BP105" s="607">
        <f t="shared" si="169"/>
        <v>0</v>
      </c>
      <c r="BQ105" s="606">
        <f t="shared" si="170"/>
        <v>0</v>
      </c>
      <c r="BR105" s="607">
        <f t="shared" si="171"/>
        <v>0</v>
      </c>
      <c r="BS105" s="606">
        <f t="shared" si="172"/>
        <v>0</v>
      </c>
      <c r="BT105" s="607">
        <f t="shared" si="173"/>
        <v>0</v>
      </c>
      <c r="BU105" s="606">
        <f t="shared" si="174"/>
        <v>0</v>
      </c>
      <c r="BV105" s="607">
        <f t="shared" si="175"/>
        <v>0</v>
      </c>
      <c r="BW105" s="608">
        <f t="shared" si="176"/>
        <v>0</v>
      </c>
      <c r="BX105" s="607">
        <f t="shared" si="177"/>
        <v>1116</v>
      </c>
      <c r="BY105" s="608">
        <f t="shared" si="178"/>
        <v>1125</v>
      </c>
      <c r="BZ105" s="607">
        <f t="shared" si="179"/>
        <v>0</v>
      </c>
      <c r="CA105" s="608">
        <f t="shared" si="180"/>
        <v>0</v>
      </c>
      <c r="CB105" s="607">
        <f t="shared" si="181"/>
        <v>0</v>
      </c>
      <c r="CC105" s="608">
        <f t="shared" si="182"/>
        <v>0</v>
      </c>
      <c r="CD105" s="607">
        <f t="shared" si="183"/>
        <v>0</v>
      </c>
      <c r="CE105" s="608">
        <f t="shared" si="184"/>
        <v>0</v>
      </c>
      <c r="CF105" s="607">
        <f t="shared" si="185"/>
        <v>0</v>
      </c>
      <c r="CG105" s="608">
        <f t="shared" si="186"/>
        <v>0</v>
      </c>
      <c r="CH105" s="607">
        <f t="shared" si="187"/>
        <v>0</v>
      </c>
      <c r="CI105" s="608">
        <f t="shared" si="188"/>
        <v>0</v>
      </c>
      <c r="CJ105" s="607">
        <f t="shared" si="189"/>
        <v>13905.598566308243</v>
      </c>
      <c r="CK105" s="608">
        <f t="shared" si="190"/>
        <v>5686.8888888888887</v>
      </c>
      <c r="CL105" s="609">
        <f t="shared" si="191"/>
        <v>0</v>
      </c>
      <c r="CM105" s="608">
        <f t="shared" si="192"/>
        <v>0</v>
      </c>
      <c r="CN105" s="610">
        <f t="shared" si="193"/>
        <v>0</v>
      </c>
      <c r="CO105" s="606">
        <f t="shared" si="194"/>
        <v>0</v>
      </c>
      <c r="CP105" s="607">
        <f t="shared" si="195"/>
        <v>0</v>
      </c>
      <c r="CQ105" s="606">
        <f t="shared" si="196"/>
        <v>0</v>
      </c>
      <c r="CR105" s="607">
        <f t="shared" si="197"/>
        <v>0</v>
      </c>
      <c r="CS105" s="606">
        <f t="shared" si="198"/>
        <v>0</v>
      </c>
      <c r="CT105" s="607">
        <f t="shared" si="199"/>
        <v>0</v>
      </c>
      <c r="CU105" s="608">
        <f t="shared" si="200"/>
        <v>0</v>
      </c>
      <c r="CV105" s="610">
        <f t="shared" si="201"/>
        <v>125150.38709677418</v>
      </c>
      <c r="CW105" s="608">
        <f t="shared" si="202"/>
        <v>51182</v>
      </c>
      <c r="CX105" s="610">
        <f t="shared" si="203"/>
        <v>125150.38709677418</v>
      </c>
      <c r="CY105" s="611">
        <f t="shared" si="204"/>
        <v>51182</v>
      </c>
      <c r="CZ105" s="605">
        <f t="shared" si="205"/>
        <v>0</v>
      </c>
      <c r="DA105" s="612">
        <f t="shared" si="206"/>
        <v>0</v>
      </c>
      <c r="DB105" s="607">
        <f t="shared" si="207"/>
        <v>0</v>
      </c>
      <c r="DC105" s="606">
        <f t="shared" si="208"/>
        <v>0</v>
      </c>
      <c r="DD105" s="607">
        <f t="shared" si="209"/>
        <v>0</v>
      </c>
      <c r="DE105" s="606">
        <f t="shared" si="210"/>
        <v>0</v>
      </c>
      <c r="DF105" s="607">
        <f t="shared" si="211"/>
        <v>0</v>
      </c>
      <c r="DG105" s="606">
        <f t="shared" si="212"/>
        <v>0</v>
      </c>
      <c r="DH105" s="607">
        <f t="shared" si="213"/>
        <v>0</v>
      </c>
      <c r="DI105" s="608">
        <f t="shared" si="214"/>
        <v>0</v>
      </c>
      <c r="DJ105" s="607">
        <f t="shared" si="215"/>
        <v>124</v>
      </c>
      <c r="DK105" s="608">
        <f t="shared" si="216"/>
        <v>125</v>
      </c>
      <c r="DL105" s="607">
        <f t="shared" si="217"/>
        <v>124</v>
      </c>
      <c r="DM105" s="608">
        <f t="shared" si="218"/>
        <v>125</v>
      </c>
      <c r="DN105" s="607">
        <f t="shared" si="219"/>
        <v>0</v>
      </c>
      <c r="DO105" s="612">
        <f t="shared" si="220"/>
        <v>0</v>
      </c>
      <c r="DP105" s="607">
        <f t="shared" si="221"/>
        <v>0</v>
      </c>
      <c r="DQ105" s="606">
        <f t="shared" si="222"/>
        <v>0</v>
      </c>
      <c r="DR105" s="607">
        <f t="shared" si="223"/>
        <v>0</v>
      </c>
      <c r="DS105" s="606">
        <f t="shared" si="224"/>
        <v>0</v>
      </c>
      <c r="DT105" s="607">
        <f t="shared" si="225"/>
        <v>0</v>
      </c>
      <c r="DU105" s="606">
        <f t="shared" si="226"/>
        <v>0</v>
      </c>
      <c r="DV105" s="607">
        <f t="shared" si="227"/>
        <v>0</v>
      </c>
      <c r="DW105" s="608">
        <f t="shared" si="228"/>
        <v>0</v>
      </c>
      <c r="DX105" s="607">
        <f t="shared" si="229"/>
        <v>15518647.999999998</v>
      </c>
      <c r="DY105" s="608">
        <f t="shared" si="230"/>
        <v>6397750</v>
      </c>
      <c r="DZ105" s="607">
        <f t="shared" si="231"/>
        <v>15518647.999999998</v>
      </c>
      <c r="EA105" s="608">
        <f t="shared" si="232"/>
        <v>6397750</v>
      </c>
    </row>
    <row r="106" spans="1:131" ht="15" x14ac:dyDescent="0.2">
      <c r="A106" s="473" t="s">
        <v>34</v>
      </c>
      <c r="B106" s="478" t="s">
        <v>972</v>
      </c>
      <c r="C106" s="546"/>
      <c r="D106" s="499">
        <v>134495</v>
      </c>
      <c r="E106" s="496">
        <v>8</v>
      </c>
      <c r="F106" s="598"/>
      <c r="G106" s="599"/>
      <c r="H106" s="600"/>
      <c r="I106" s="601"/>
      <c r="J106" s="600"/>
      <c r="K106" s="599"/>
      <c r="L106" s="600"/>
      <c r="M106" s="601"/>
      <c r="N106" s="600"/>
      <c r="O106" s="599"/>
      <c r="P106" s="600"/>
      <c r="Q106" s="601"/>
      <c r="R106" s="600"/>
      <c r="S106" s="599"/>
      <c r="T106" s="600"/>
      <c r="U106" s="601"/>
      <c r="V106" s="600"/>
      <c r="W106" s="599"/>
      <c r="X106" s="600"/>
      <c r="Y106" s="601"/>
      <c r="Z106" s="600"/>
      <c r="AA106" s="599"/>
      <c r="AB106" s="600"/>
      <c r="AC106" s="601"/>
      <c r="AD106" s="600"/>
      <c r="AE106" s="599"/>
      <c r="AF106" s="600"/>
      <c r="AG106" s="601"/>
      <c r="AH106" s="600"/>
      <c r="AI106" s="599"/>
      <c r="AJ106" s="600"/>
      <c r="AK106" s="601"/>
      <c r="AL106" s="600"/>
      <c r="AM106" s="599"/>
      <c r="AN106" s="600"/>
      <c r="AO106" s="601"/>
      <c r="AP106" s="600"/>
      <c r="AQ106" s="599"/>
      <c r="AR106" s="600"/>
      <c r="AS106" s="601"/>
      <c r="AT106" s="600">
        <v>298</v>
      </c>
      <c r="AU106" s="599">
        <v>298</v>
      </c>
      <c r="AV106" s="600"/>
      <c r="AW106" s="601"/>
      <c r="AX106" s="600"/>
      <c r="AY106" s="599"/>
      <c r="AZ106" s="600"/>
      <c r="BA106" s="601"/>
      <c r="BB106" s="602">
        <v>0</v>
      </c>
      <c r="BC106" s="599"/>
      <c r="BD106" s="600">
        <v>0</v>
      </c>
      <c r="BE106" s="599"/>
      <c r="BF106" s="600">
        <v>0</v>
      </c>
      <c r="BG106" s="599"/>
      <c r="BH106" s="600">
        <v>0</v>
      </c>
      <c r="BI106" s="599"/>
      <c r="BJ106" s="600">
        <v>0</v>
      </c>
      <c r="BK106" s="615"/>
      <c r="BL106" s="600">
        <v>13460813</v>
      </c>
      <c r="BM106" s="622">
        <v>15280248</v>
      </c>
      <c r="BN106" s="605">
        <f t="shared" si="167"/>
        <v>0</v>
      </c>
      <c r="BO106" s="606">
        <f t="shared" si="168"/>
        <v>0</v>
      </c>
      <c r="BP106" s="607">
        <f t="shared" si="169"/>
        <v>0</v>
      </c>
      <c r="BQ106" s="606">
        <f t="shared" si="170"/>
        <v>0</v>
      </c>
      <c r="BR106" s="607">
        <f t="shared" si="171"/>
        <v>0</v>
      </c>
      <c r="BS106" s="606">
        <f t="shared" si="172"/>
        <v>0</v>
      </c>
      <c r="BT106" s="607">
        <f t="shared" si="173"/>
        <v>0</v>
      </c>
      <c r="BU106" s="606">
        <f t="shared" si="174"/>
        <v>0</v>
      </c>
      <c r="BV106" s="607">
        <f t="shared" si="175"/>
        <v>0</v>
      </c>
      <c r="BW106" s="608">
        <f t="shared" si="176"/>
        <v>0</v>
      </c>
      <c r="BX106" s="607">
        <f t="shared" si="177"/>
        <v>2682</v>
      </c>
      <c r="BY106" s="608">
        <f t="shared" si="178"/>
        <v>2682</v>
      </c>
      <c r="BZ106" s="607">
        <f t="shared" si="179"/>
        <v>0</v>
      </c>
      <c r="CA106" s="608">
        <f t="shared" si="180"/>
        <v>0</v>
      </c>
      <c r="CB106" s="607">
        <f t="shared" si="181"/>
        <v>0</v>
      </c>
      <c r="CC106" s="608">
        <f t="shared" si="182"/>
        <v>0</v>
      </c>
      <c r="CD106" s="607">
        <f t="shared" si="183"/>
        <v>0</v>
      </c>
      <c r="CE106" s="608">
        <f t="shared" si="184"/>
        <v>0</v>
      </c>
      <c r="CF106" s="607">
        <f t="shared" si="185"/>
        <v>0</v>
      </c>
      <c r="CG106" s="608">
        <f t="shared" si="186"/>
        <v>0</v>
      </c>
      <c r="CH106" s="607">
        <f t="shared" si="187"/>
        <v>0</v>
      </c>
      <c r="CI106" s="608">
        <f t="shared" si="188"/>
        <v>0</v>
      </c>
      <c r="CJ106" s="607">
        <f t="shared" si="189"/>
        <v>5018.9459358687545</v>
      </c>
      <c r="CK106" s="608">
        <f t="shared" si="190"/>
        <v>5697.333333333333</v>
      </c>
      <c r="CL106" s="609">
        <f t="shared" si="191"/>
        <v>0</v>
      </c>
      <c r="CM106" s="608">
        <f t="shared" si="192"/>
        <v>0</v>
      </c>
      <c r="CN106" s="610">
        <f t="shared" si="193"/>
        <v>0</v>
      </c>
      <c r="CO106" s="606">
        <f t="shared" si="194"/>
        <v>0</v>
      </c>
      <c r="CP106" s="607">
        <f t="shared" si="195"/>
        <v>0</v>
      </c>
      <c r="CQ106" s="606">
        <f t="shared" si="196"/>
        <v>0</v>
      </c>
      <c r="CR106" s="607">
        <f t="shared" si="197"/>
        <v>0</v>
      </c>
      <c r="CS106" s="606">
        <f t="shared" si="198"/>
        <v>0</v>
      </c>
      <c r="CT106" s="607">
        <f t="shared" si="199"/>
        <v>0</v>
      </c>
      <c r="CU106" s="608">
        <f t="shared" si="200"/>
        <v>0</v>
      </c>
      <c r="CV106" s="610">
        <f t="shared" si="201"/>
        <v>45170.513422818789</v>
      </c>
      <c r="CW106" s="608">
        <f t="shared" si="202"/>
        <v>51276</v>
      </c>
      <c r="CX106" s="610">
        <f t="shared" si="203"/>
        <v>45170.513422818789</v>
      </c>
      <c r="CY106" s="611">
        <f t="shared" si="204"/>
        <v>51276</v>
      </c>
      <c r="CZ106" s="605">
        <f t="shared" si="205"/>
        <v>0</v>
      </c>
      <c r="DA106" s="612">
        <f t="shared" si="206"/>
        <v>0</v>
      </c>
      <c r="DB106" s="607">
        <f t="shared" si="207"/>
        <v>0</v>
      </c>
      <c r="DC106" s="606">
        <f t="shared" si="208"/>
        <v>0</v>
      </c>
      <c r="DD106" s="607">
        <f t="shared" si="209"/>
        <v>0</v>
      </c>
      <c r="DE106" s="606">
        <f t="shared" si="210"/>
        <v>0</v>
      </c>
      <c r="DF106" s="607">
        <f t="shared" si="211"/>
        <v>0</v>
      </c>
      <c r="DG106" s="606">
        <f t="shared" si="212"/>
        <v>0</v>
      </c>
      <c r="DH106" s="607">
        <f t="shared" si="213"/>
        <v>0</v>
      </c>
      <c r="DI106" s="608">
        <f t="shared" si="214"/>
        <v>0</v>
      </c>
      <c r="DJ106" s="607">
        <f t="shared" si="215"/>
        <v>298</v>
      </c>
      <c r="DK106" s="608">
        <f t="shared" si="216"/>
        <v>298</v>
      </c>
      <c r="DL106" s="607">
        <f t="shared" si="217"/>
        <v>298</v>
      </c>
      <c r="DM106" s="608">
        <f t="shared" si="218"/>
        <v>298</v>
      </c>
      <c r="DN106" s="607">
        <f t="shared" si="219"/>
        <v>0</v>
      </c>
      <c r="DO106" s="612">
        <f t="shared" si="220"/>
        <v>0</v>
      </c>
      <c r="DP106" s="607">
        <f t="shared" si="221"/>
        <v>0</v>
      </c>
      <c r="DQ106" s="606">
        <f t="shared" si="222"/>
        <v>0</v>
      </c>
      <c r="DR106" s="607">
        <f t="shared" si="223"/>
        <v>0</v>
      </c>
      <c r="DS106" s="606">
        <f t="shared" si="224"/>
        <v>0</v>
      </c>
      <c r="DT106" s="607">
        <f t="shared" si="225"/>
        <v>0</v>
      </c>
      <c r="DU106" s="606">
        <f t="shared" si="226"/>
        <v>0</v>
      </c>
      <c r="DV106" s="607">
        <f t="shared" si="227"/>
        <v>0</v>
      </c>
      <c r="DW106" s="608">
        <f t="shared" si="228"/>
        <v>0</v>
      </c>
      <c r="DX106" s="607">
        <f t="shared" si="229"/>
        <v>13460813</v>
      </c>
      <c r="DY106" s="608">
        <f t="shared" si="230"/>
        <v>15280248</v>
      </c>
      <c r="DZ106" s="607">
        <f t="shared" si="231"/>
        <v>13460813</v>
      </c>
      <c r="EA106" s="608">
        <f t="shared" si="232"/>
        <v>15280248</v>
      </c>
    </row>
    <row r="107" spans="1:131" ht="15" x14ac:dyDescent="0.2">
      <c r="A107" s="495" t="s">
        <v>34</v>
      </c>
      <c r="B107" s="494" t="s">
        <v>973</v>
      </c>
      <c r="C107" s="548" t="s">
        <v>989</v>
      </c>
      <c r="D107" s="499">
        <v>136358</v>
      </c>
      <c r="E107" s="496">
        <v>8</v>
      </c>
      <c r="F107" s="598"/>
      <c r="G107" s="599"/>
      <c r="H107" s="600"/>
      <c r="I107" s="601"/>
      <c r="J107" s="600"/>
      <c r="K107" s="599"/>
      <c r="L107" s="600"/>
      <c r="M107" s="601"/>
      <c r="N107" s="600"/>
      <c r="O107" s="599"/>
      <c r="P107" s="600"/>
      <c r="Q107" s="601"/>
      <c r="R107" s="600"/>
      <c r="S107" s="599"/>
      <c r="T107" s="600"/>
      <c r="U107" s="601"/>
      <c r="V107" s="600"/>
      <c r="W107" s="599"/>
      <c r="X107" s="600"/>
      <c r="Y107" s="601"/>
      <c r="Z107" s="600"/>
      <c r="AA107" s="599"/>
      <c r="AB107" s="600"/>
      <c r="AC107" s="601"/>
      <c r="AD107" s="600"/>
      <c r="AE107" s="599"/>
      <c r="AF107" s="600"/>
      <c r="AG107" s="601"/>
      <c r="AH107" s="600"/>
      <c r="AI107" s="599"/>
      <c r="AJ107" s="600"/>
      <c r="AK107" s="601"/>
      <c r="AL107" s="600"/>
      <c r="AM107" s="599"/>
      <c r="AN107" s="600"/>
      <c r="AO107" s="601"/>
      <c r="AP107" s="600"/>
      <c r="AQ107" s="599"/>
      <c r="AR107" s="600"/>
      <c r="AS107" s="601"/>
      <c r="AT107" s="600">
        <v>291</v>
      </c>
      <c r="AU107" s="599">
        <v>297</v>
      </c>
      <c r="AV107" s="600"/>
      <c r="AW107" s="601"/>
      <c r="AX107" s="600"/>
      <c r="AY107" s="599"/>
      <c r="AZ107" s="600"/>
      <c r="BA107" s="601"/>
      <c r="BB107" s="602">
        <v>0</v>
      </c>
      <c r="BC107" s="599"/>
      <c r="BD107" s="600">
        <v>0</v>
      </c>
      <c r="BE107" s="599"/>
      <c r="BF107" s="600">
        <v>0</v>
      </c>
      <c r="BG107" s="599"/>
      <c r="BH107" s="600">
        <v>0</v>
      </c>
      <c r="BI107" s="599"/>
      <c r="BJ107" s="600">
        <v>0</v>
      </c>
      <c r="BK107" s="615"/>
      <c r="BL107" s="600">
        <v>16096956</v>
      </c>
      <c r="BM107" s="622">
        <v>16173432</v>
      </c>
      <c r="BN107" s="605">
        <f t="shared" si="167"/>
        <v>0</v>
      </c>
      <c r="BO107" s="606">
        <f t="shared" si="168"/>
        <v>0</v>
      </c>
      <c r="BP107" s="607">
        <f t="shared" si="169"/>
        <v>0</v>
      </c>
      <c r="BQ107" s="606">
        <f t="shared" si="170"/>
        <v>0</v>
      </c>
      <c r="BR107" s="607">
        <f t="shared" si="171"/>
        <v>0</v>
      </c>
      <c r="BS107" s="606">
        <f t="shared" si="172"/>
        <v>0</v>
      </c>
      <c r="BT107" s="607">
        <f t="shared" si="173"/>
        <v>0</v>
      </c>
      <c r="BU107" s="606">
        <f t="shared" si="174"/>
        <v>0</v>
      </c>
      <c r="BV107" s="607">
        <f t="shared" si="175"/>
        <v>0</v>
      </c>
      <c r="BW107" s="608">
        <f t="shared" si="176"/>
        <v>0</v>
      </c>
      <c r="BX107" s="607">
        <f t="shared" si="177"/>
        <v>2619</v>
      </c>
      <c r="BY107" s="608">
        <f t="shared" si="178"/>
        <v>2673</v>
      </c>
      <c r="BZ107" s="607">
        <f t="shared" si="179"/>
        <v>0</v>
      </c>
      <c r="CA107" s="608">
        <f t="shared" si="180"/>
        <v>0</v>
      </c>
      <c r="CB107" s="607">
        <f t="shared" si="181"/>
        <v>0</v>
      </c>
      <c r="CC107" s="608">
        <f t="shared" si="182"/>
        <v>0</v>
      </c>
      <c r="CD107" s="607">
        <f t="shared" si="183"/>
        <v>0</v>
      </c>
      <c r="CE107" s="608">
        <f t="shared" si="184"/>
        <v>0</v>
      </c>
      <c r="CF107" s="607">
        <f t="shared" si="185"/>
        <v>0</v>
      </c>
      <c r="CG107" s="608">
        <f t="shared" si="186"/>
        <v>0</v>
      </c>
      <c r="CH107" s="607">
        <f t="shared" si="187"/>
        <v>0</v>
      </c>
      <c r="CI107" s="608">
        <f t="shared" si="188"/>
        <v>0</v>
      </c>
      <c r="CJ107" s="607">
        <f t="shared" si="189"/>
        <v>6146.2222222222226</v>
      </c>
      <c r="CK107" s="608">
        <f t="shared" si="190"/>
        <v>6050.666666666667</v>
      </c>
      <c r="CL107" s="609">
        <f t="shared" si="191"/>
        <v>0</v>
      </c>
      <c r="CM107" s="608">
        <f t="shared" si="192"/>
        <v>0</v>
      </c>
      <c r="CN107" s="610">
        <f t="shared" si="193"/>
        <v>0</v>
      </c>
      <c r="CO107" s="606">
        <f t="shared" si="194"/>
        <v>0</v>
      </c>
      <c r="CP107" s="607">
        <f t="shared" si="195"/>
        <v>0</v>
      </c>
      <c r="CQ107" s="606">
        <f t="shared" si="196"/>
        <v>0</v>
      </c>
      <c r="CR107" s="607">
        <f t="shared" si="197"/>
        <v>0</v>
      </c>
      <c r="CS107" s="606">
        <f t="shared" si="198"/>
        <v>0</v>
      </c>
      <c r="CT107" s="607">
        <f t="shared" si="199"/>
        <v>0</v>
      </c>
      <c r="CU107" s="608">
        <f t="shared" si="200"/>
        <v>0</v>
      </c>
      <c r="CV107" s="610">
        <f t="shared" si="201"/>
        <v>55316</v>
      </c>
      <c r="CW107" s="608">
        <f t="shared" si="202"/>
        <v>54456</v>
      </c>
      <c r="CX107" s="610">
        <f t="shared" si="203"/>
        <v>55316</v>
      </c>
      <c r="CY107" s="611">
        <f t="shared" si="204"/>
        <v>54456</v>
      </c>
      <c r="CZ107" s="605">
        <f t="shared" si="205"/>
        <v>0</v>
      </c>
      <c r="DA107" s="612">
        <f t="shared" si="206"/>
        <v>0</v>
      </c>
      <c r="DB107" s="607">
        <f t="shared" si="207"/>
        <v>0</v>
      </c>
      <c r="DC107" s="606">
        <f t="shared" si="208"/>
        <v>0</v>
      </c>
      <c r="DD107" s="607">
        <f t="shared" si="209"/>
        <v>0</v>
      </c>
      <c r="DE107" s="606">
        <f t="shared" si="210"/>
        <v>0</v>
      </c>
      <c r="DF107" s="607">
        <f t="shared" si="211"/>
        <v>0</v>
      </c>
      <c r="DG107" s="606">
        <f t="shared" si="212"/>
        <v>0</v>
      </c>
      <c r="DH107" s="607">
        <f t="shared" si="213"/>
        <v>0</v>
      </c>
      <c r="DI107" s="608">
        <f t="shared" si="214"/>
        <v>0</v>
      </c>
      <c r="DJ107" s="607">
        <f t="shared" si="215"/>
        <v>291</v>
      </c>
      <c r="DK107" s="608">
        <f t="shared" si="216"/>
        <v>297</v>
      </c>
      <c r="DL107" s="607">
        <f t="shared" si="217"/>
        <v>291</v>
      </c>
      <c r="DM107" s="608">
        <f t="shared" si="218"/>
        <v>297</v>
      </c>
      <c r="DN107" s="607">
        <f t="shared" si="219"/>
        <v>0</v>
      </c>
      <c r="DO107" s="612">
        <f t="shared" si="220"/>
        <v>0</v>
      </c>
      <c r="DP107" s="607">
        <f t="shared" si="221"/>
        <v>0</v>
      </c>
      <c r="DQ107" s="606">
        <f t="shared" si="222"/>
        <v>0</v>
      </c>
      <c r="DR107" s="607">
        <f t="shared" si="223"/>
        <v>0</v>
      </c>
      <c r="DS107" s="606">
        <f t="shared" si="224"/>
        <v>0</v>
      </c>
      <c r="DT107" s="607">
        <f t="shared" si="225"/>
        <v>0</v>
      </c>
      <c r="DU107" s="606">
        <f t="shared" si="226"/>
        <v>0</v>
      </c>
      <c r="DV107" s="607">
        <f t="shared" si="227"/>
        <v>0</v>
      </c>
      <c r="DW107" s="608">
        <f t="shared" si="228"/>
        <v>0</v>
      </c>
      <c r="DX107" s="607">
        <f t="shared" si="229"/>
        <v>16096956</v>
      </c>
      <c r="DY107" s="608">
        <f t="shared" si="230"/>
        <v>16173432</v>
      </c>
      <c r="DZ107" s="607">
        <f t="shared" si="231"/>
        <v>16096956</v>
      </c>
      <c r="EA107" s="608">
        <f t="shared" si="232"/>
        <v>16173432</v>
      </c>
    </row>
    <row r="108" spans="1:131" ht="15" x14ac:dyDescent="0.2">
      <c r="A108" s="495" t="s">
        <v>34</v>
      </c>
      <c r="B108" s="498" t="s">
        <v>974</v>
      </c>
      <c r="C108" s="546"/>
      <c r="D108" s="499">
        <v>136400</v>
      </c>
      <c r="E108" s="496">
        <v>8</v>
      </c>
      <c r="F108" s="598"/>
      <c r="G108" s="599"/>
      <c r="H108" s="600"/>
      <c r="I108" s="601"/>
      <c r="J108" s="600"/>
      <c r="K108" s="599"/>
      <c r="L108" s="600"/>
      <c r="M108" s="601"/>
      <c r="N108" s="600"/>
      <c r="O108" s="599"/>
      <c r="P108" s="600"/>
      <c r="Q108" s="601"/>
      <c r="R108" s="600"/>
      <c r="S108" s="599"/>
      <c r="T108" s="600"/>
      <c r="U108" s="601"/>
      <c r="V108" s="600"/>
      <c r="W108" s="599"/>
      <c r="X108" s="600"/>
      <c r="Y108" s="601"/>
      <c r="Z108" s="600"/>
      <c r="AA108" s="599"/>
      <c r="AB108" s="600"/>
      <c r="AC108" s="601"/>
      <c r="AD108" s="600"/>
      <c r="AE108" s="599"/>
      <c r="AF108" s="600"/>
      <c r="AG108" s="601"/>
      <c r="AH108" s="600"/>
      <c r="AI108" s="599"/>
      <c r="AJ108" s="600"/>
      <c r="AK108" s="601"/>
      <c r="AL108" s="600"/>
      <c r="AM108" s="599"/>
      <c r="AN108" s="600"/>
      <c r="AO108" s="601"/>
      <c r="AP108" s="600"/>
      <c r="AQ108" s="599"/>
      <c r="AR108" s="600"/>
      <c r="AS108" s="601"/>
      <c r="AT108" s="600">
        <v>120</v>
      </c>
      <c r="AU108" s="599">
        <v>125</v>
      </c>
      <c r="AV108" s="600"/>
      <c r="AW108" s="601"/>
      <c r="AX108" s="600"/>
      <c r="AY108" s="599"/>
      <c r="AZ108" s="600"/>
      <c r="BA108" s="601"/>
      <c r="BB108" s="602">
        <v>0</v>
      </c>
      <c r="BC108" s="599"/>
      <c r="BD108" s="600">
        <v>0</v>
      </c>
      <c r="BE108" s="599"/>
      <c r="BF108" s="600">
        <v>0</v>
      </c>
      <c r="BG108" s="599"/>
      <c r="BH108" s="600">
        <v>0</v>
      </c>
      <c r="BI108" s="599"/>
      <c r="BJ108" s="600">
        <v>0</v>
      </c>
      <c r="BK108" s="615"/>
      <c r="BL108" s="600">
        <v>6481440</v>
      </c>
      <c r="BM108" s="622">
        <v>6592875</v>
      </c>
      <c r="BN108" s="605">
        <f t="shared" si="167"/>
        <v>0</v>
      </c>
      <c r="BO108" s="606">
        <f t="shared" si="168"/>
        <v>0</v>
      </c>
      <c r="BP108" s="607">
        <f t="shared" si="169"/>
        <v>0</v>
      </c>
      <c r="BQ108" s="606">
        <f t="shared" si="170"/>
        <v>0</v>
      </c>
      <c r="BR108" s="607">
        <f t="shared" si="171"/>
        <v>0</v>
      </c>
      <c r="BS108" s="606">
        <f t="shared" si="172"/>
        <v>0</v>
      </c>
      <c r="BT108" s="607">
        <f t="shared" si="173"/>
        <v>0</v>
      </c>
      <c r="BU108" s="606">
        <f t="shared" si="174"/>
        <v>0</v>
      </c>
      <c r="BV108" s="607">
        <f t="shared" si="175"/>
        <v>0</v>
      </c>
      <c r="BW108" s="608">
        <f t="shared" si="176"/>
        <v>0</v>
      </c>
      <c r="BX108" s="607">
        <f t="shared" si="177"/>
        <v>1080</v>
      </c>
      <c r="BY108" s="608">
        <f t="shared" si="178"/>
        <v>1125</v>
      </c>
      <c r="BZ108" s="607">
        <f t="shared" si="179"/>
        <v>0</v>
      </c>
      <c r="CA108" s="608">
        <f t="shared" si="180"/>
        <v>0</v>
      </c>
      <c r="CB108" s="607">
        <f t="shared" si="181"/>
        <v>0</v>
      </c>
      <c r="CC108" s="608">
        <f t="shared" si="182"/>
        <v>0</v>
      </c>
      <c r="CD108" s="607">
        <f t="shared" si="183"/>
        <v>0</v>
      </c>
      <c r="CE108" s="608">
        <f t="shared" si="184"/>
        <v>0</v>
      </c>
      <c r="CF108" s="607">
        <f t="shared" si="185"/>
        <v>0</v>
      </c>
      <c r="CG108" s="608">
        <f t="shared" si="186"/>
        <v>0</v>
      </c>
      <c r="CH108" s="607">
        <f t="shared" si="187"/>
        <v>0</v>
      </c>
      <c r="CI108" s="608">
        <f t="shared" si="188"/>
        <v>0</v>
      </c>
      <c r="CJ108" s="607">
        <f t="shared" si="189"/>
        <v>6001.333333333333</v>
      </c>
      <c r="CK108" s="608">
        <f t="shared" si="190"/>
        <v>5860.333333333333</v>
      </c>
      <c r="CL108" s="609">
        <f t="shared" si="191"/>
        <v>0</v>
      </c>
      <c r="CM108" s="608">
        <f t="shared" si="192"/>
        <v>0</v>
      </c>
      <c r="CN108" s="610">
        <f t="shared" si="193"/>
        <v>0</v>
      </c>
      <c r="CO108" s="606">
        <f t="shared" si="194"/>
        <v>0</v>
      </c>
      <c r="CP108" s="607">
        <f t="shared" si="195"/>
        <v>0</v>
      </c>
      <c r="CQ108" s="606">
        <f t="shared" si="196"/>
        <v>0</v>
      </c>
      <c r="CR108" s="607">
        <f t="shared" si="197"/>
        <v>0</v>
      </c>
      <c r="CS108" s="606">
        <f t="shared" si="198"/>
        <v>0</v>
      </c>
      <c r="CT108" s="607">
        <f t="shared" si="199"/>
        <v>0</v>
      </c>
      <c r="CU108" s="608">
        <f t="shared" si="200"/>
        <v>0</v>
      </c>
      <c r="CV108" s="610">
        <f t="shared" si="201"/>
        <v>54012</v>
      </c>
      <c r="CW108" s="608">
        <f t="shared" si="202"/>
        <v>52743</v>
      </c>
      <c r="CX108" s="610">
        <f t="shared" si="203"/>
        <v>54012</v>
      </c>
      <c r="CY108" s="611">
        <f t="shared" si="204"/>
        <v>52743</v>
      </c>
      <c r="CZ108" s="605">
        <f t="shared" si="205"/>
        <v>0</v>
      </c>
      <c r="DA108" s="612">
        <f t="shared" si="206"/>
        <v>0</v>
      </c>
      <c r="DB108" s="607">
        <f t="shared" si="207"/>
        <v>0</v>
      </c>
      <c r="DC108" s="606">
        <f t="shared" si="208"/>
        <v>0</v>
      </c>
      <c r="DD108" s="607">
        <f t="shared" si="209"/>
        <v>0</v>
      </c>
      <c r="DE108" s="606">
        <f t="shared" si="210"/>
        <v>0</v>
      </c>
      <c r="DF108" s="607">
        <f t="shared" si="211"/>
        <v>0</v>
      </c>
      <c r="DG108" s="606">
        <f t="shared" si="212"/>
        <v>0</v>
      </c>
      <c r="DH108" s="607">
        <f t="shared" si="213"/>
        <v>0</v>
      </c>
      <c r="DI108" s="608">
        <f t="shared" si="214"/>
        <v>0</v>
      </c>
      <c r="DJ108" s="607">
        <f t="shared" si="215"/>
        <v>120</v>
      </c>
      <c r="DK108" s="608">
        <f t="shared" si="216"/>
        <v>125</v>
      </c>
      <c r="DL108" s="607">
        <f t="shared" si="217"/>
        <v>120</v>
      </c>
      <c r="DM108" s="608">
        <f t="shared" si="218"/>
        <v>125</v>
      </c>
      <c r="DN108" s="607">
        <f t="shared" si="219"/>
        <v>0</v>
      </c>
      <c r="DO108" s="612">
        <f t="shared" si="220"/>
        <v>0</v>
      </c>
      <c r="DP108" s="607">
        <f t="shared" si="221"/>
        <v>0</v>
      </c>
      <c r="DQ108" s="606">
        <f t="shared" si="222"/>
        <v>0</v>
      </c>
      <c r="DR108" s="607">
        <f t="shared" si="223"/>
        <v>0</v>
      </c>
      <c r="DS108" s="606">
        <f t="shared" si="224"/>
        <v>0</v>
      </c>
      <c r="DT108" s="607">
        <f t="shared" si="225"/>
        <v>0</v>
      </c>
      <c r="DU108" s="606">
        <f t="shared" si="226"/>
        <v>0</v>
      </c>
      <c r="DV108" s="607">
        <f t="shared" si="227"/>
        <v>0</v>
      </c>
      <c r="DW108" s="608">
        <f t="shared" si="228"/>
        <v>0</v>
      </c>
      <c r="DX108" s="607">
        <f t="shared" si="229"/>
        <v>6481440</v>
      </c>
      <c r="DY108" s="608">
        <f t="shared" si="230"/>
        <v>6592875</v>
      </c>
      <c r="DZ108" s="607">
        <f t="shared" si="231"/>
        <v>6481440</v>
      </c>
      <c r="EA108" s="608">
        <f t="shared" si="232"/>
        <v>6592875</v>
      </c>
    </row>
    <row r="109" spans="1:131" ht="15" x14ac:dyDescent="0.2">
      <c r="A109" s="495" t="s">
        <v>34</v>
      </c>
      <c r="B109" s="494" t="s">
        <v>975</v>
      </c>
      <c r="C109" s="548" t="s">
        <v>990</v>
      </c>
      <c r="D109" s="499">
        <v>136473</v>
      </c>
      <c r="E109" s="496">
        <v>8</v>
      </c>
      <c r="F109" s="598"/>
      <c r="G109" s="599"/>
      <c r="H109" s="600"/>
      <c r="I109" s="601"/>
      <c r="J109" s="600"/>
      <c r="K109" s="599"/>
      <c r="L109" s="600"/>
      <c r="M109" s="601"/>
      <c r="N109" s="600"/>
      <c r="O109" s="599"/>
      <c r="P109" s="600"/>
      <c r="Q109" s="601"/>
      <c r="R109" s="600"/>
      <c r="S109" s="599"/>
      <c r="T109" s="600"/>
      <c r="U109" s="601"/>
      <c r="V109" s="600"/>
      <c r="W109" s="599"/>
      <c r="X109" s="600"/>
      <c r="Y109" s="601"/>
      <c r="Z109" s="600"/>
      <c r="AA109" s="599"/>
      <c r="AB109" s="600"/>
      <c r="AC109" s="601"/>
      <c r="AD109" s="600"/>
      <c r="AE109" s="599"/>
      <c r="AF109" s="600"/>
      <c r="AG109" s="601"/>
      <c r="AH109" s="600"/>
      <c r="AI109" s="599"/>
      <c r="AJ109" s="600"/>
      <c r="AK109" s="601"/>
      <c r="AL109" s="600"/>
      <c r="AM109" s="599"/>
      <c r="AN109" s="600"/>
      <c r="AO109" s="601"/>
      <c r="AP109" s="600"/>
      <c r="AQ109" s="599"/>
      <c r="AR109" s="600"/>
      <c r="AS109" s="601"/>
      <c r="AT109" s="600">
        <v>203</v>
      </c>
      <c r="AU109" s="599">
        <v>187</v>
      </c>
      <c r="AV109" s="600"/>
      <c r="AW109" s="601"/>
      <c r="AX109" s="600"/>
      <c r="AY109" s="599"/>
      <c r="AZ109" s="600"/>
      <c r="BA109" s="601"/>
      <c r="BB109" s="602">
        <v>0</v>
      </c>
      <c r="BC109" s="599"/>
      <c r="BD109" s="600">
        <v>0</v>
      </c>
      <c r="BE109" s="599"/>
      <c r="BF109" s="600">
        <v>0</v>
      </c>
      <c r="BG109" s="599"/>
      <c r="BH109" s="600">
        <v>0</v>
      </c>
      <c r="BI109" s="599"/>
      <c r="BJ109" s="600">
        <v>0</v>
      </c>
      <c r="BK109" s="615"/>
      <c r="BL109" s="600">
        <v>9682085</v>
      </c>
      <c r="BM109" s="622">
        <v>9058280</v>
      </c>
      <c r="BN109" s="605">
        <f t="shared" si="167"/>
        <v>0</v>
      </c>
      <c r="BO109" s="606">
        <f t="shared" si="168"/>
        <v>0</v>
      </c>
      <c r="BP109" s="607">
        <f t="shared" si="169"/>
        <v>0</v>
      </c>
      <c r="BQ109" s="606">
        <f t="shared" si="170"/>
        <v>0</v>
      </c>
      <c r="BR109" s="607">
        <f t="shared" si="171"/>
        <v>0</v>
      </c>
      <c r="BS109" s="606">
        <f t="shared" si="172"/>
        <v>0</v>
      </c>
      <c r="BT109" s="607">
        <f t="shared" si="173"/>
        <v>0</v>
      </c>
      <c r="BU109" s="606">
        <f t="shared" si="174"/>
        <v>0</v>
      </c>
      <c r="BV109" s="607">
        <f t="shared" si="175"/>
        <v>0</v>
      </c>
      <c r="BW109" s="608">
        <f t="shared" si="176"/>
        <v>0</v>
      </c>
      <c r="BX109" s="607">
        <f t="shared" si="177"/>
        <v>1827</v>
      </c>
      <c r="BY109" s="608">
        <f t="shared" si="178"/>
        <v>1683</v>
      </c>
      <c r="BZ109" s="607">
        <f t="shared" si="179"/>
        <v>0</v>
      </c>
      <c r="CA109" s="608">
        <f t="shared" si="180"/>
        <v>0</v>
      </c>
      <c r="CB109" s="607">
        <f t="shared" si="181"/>
        <v>0</v>
      </c>
      <c r="CC109" s="608">
        <f t="shared" si="182"/>
        <v>0</v>
      </c>
      <c r="CD109" s="607">
        <f t="shared" si="183"/>
        <v>0</v>
      </c>
      <c r="CE109" s="608">
        <f t="shared" si="184"/>
        <v>0</v>
      </c>
      <c r="CF109" s="607">
        <f t="shared" si="185"/>
        <v>0</v>
      </c>
      <c r="CG109" s="608">
        <f t="shared" si="186"/>
        <v>0</v>
      </c>
      <c r="CH109" s="607">
        <f t="shared" si="187"/>
        <v>0</v>
      </c>
      <c r="CI109" s="608">
        <f t="shared" si="188"/>
        <v>0</v>
      </c>
      <c r="CJ109" s="607">
        <f t="shared" si="189"/>
        <v>5299.4444444444443</v>
      </c>
      <c r="CK109" s="608">
        <f t="shared" si="190"/>
        <v>5382.2222222222226</v>
      </c>
      <c r="CL109" s="609">
        <f t="shared" si="191"/>
        <v>0</v>
      </c>
      <c r="CM109" s="608">
        <f t="shared" si="192"/>
        <v>0</v>
      </c>
      <c r="CN109" s="610">
        <f t="shared" si="193"/>
        <v>0</v>
      </c>
      <c r="CO109" s="606">
        <f t="shared" si="194"/>
        <v>0</v>
      </c>
      <c r="CP109" s="607">
        <f t="shared" si="195"/>
        <v>0</v>
      </c>
      <c r="CQ109" s="606">
        <f t="shared" si="196"/>
        <v>0</v>
      </c>
      <c r="CR109" s="607">
        <f t="shared" si="197"/>
        <v>0</v>
      </c>
      <c r="CS109" s="606">
        <f t="shared" si="198"/>
        <v>0</v>
      </c>
      <c r="CT109" s="607">
        <f t="shared" si="199"/>
        <v>0</v>
      </c>
      <c r="CU109" s="608">
        <f t="shared" si="200"/>
        <v>0</v>
      </c>
      <c r="CV109" s="610">
        <f t="shared" si="201"/>
        <v>47695</v>
      </c>
      <c r="CW109" s="608">
        <f t="shared" si="202"/>
        <v>48440</v>
      </c>
      <c r="CX109" s="610">
        <f t="shared" si="203"/>
        <v>47695</v>
      </c>
      <c r="CY109" s="611">
        <f t="shared" si="204"/>
        <v>48440</v>
      </c>
      <c r="CZ109" s="605">
        <f t="shared" si="205"/>
        <v>0</v>
      </c>
      <c r="DA109" s="612">
        <f t="shared" si="206"/>
        <v>0</v>
      </c>
      <c r="DB109" s="607">
        <f t="shared" si="207"/>
        <v>0</v>
      </c>
      <c r="DC109" s="606">
        <f t="shared" si="208"/>
        <v>0</v>
      </c>
      <c r="DD109" s="607">
        <f t="shared" si="209"/>
        <v>0</v>
      </c>
      <c r="DE109" s="606">
        <f t="shared" si="210"/>
        <v>0</v>
      </c>
      <c r="DF109" s="607">
        <f t="shared" si="211"/>
        <v>0</v>
      </c>
      <c r="DG109" s="606">
        <f t="shared" si="212"/>
        <v>0</v>
      </c>
      <c r="DH109" s="607">
        <f t="shared" si="213"/>
        <v>0</v>
      </c>
      <c r="DI109" s="608">
        <f t="shared" si="214"/>
        <v>0</v>
      </c>
      <c r="DJ109" s="607">
        <f t="shared" si="215"/>
        <v>203</v>
      </c>
      <c r="DK109" s="608">
        <f t="shared" si="216"/>
        <v>187</v>
      </c>
      <c r="DL109" s="607">
        <f t="shared" si="217"/>
        <v>203</v>
      </c>
      <c r="DM109" s="608">
        <f t="shared" si="218"/>
        <v>187</v>
      </c>
      <c r="DN109" s="607">
        <f t="shared" si="219"/>
        <v>0</v>
      </c>
      <c r="DO109" s="612">
        <f t="shared" si="220"/>
        <v>0</v>
      </c>
      <c r="DP109" s="607">
        <f t="shared" si="221"/>
        <v>0</v>
      </c>
      <c r="DQ109" s="606">
        <f t="shared" si="222"/>
        <v>0</v>
      </c>
      <c r="DR109" s="607">
        <f t="shared" si="223"/>
        <v>0</v>
      </c>
      <c r="DS109" s="606">
        <f t="shared" si="224"/>
        <v>0</v>
      </c>
      <c r="DT109" s="607">
        <f t="shared" si="225"/>
        <v>0</v>
      </c>
      <c r="DU109" s="606">
        <f t="shared" si="226"/>
        <v>0</v>
      </c>
      <c r="DV109" s="607">
        <f t="shared" si="227"/>
        <v>0</v>
      </c>
      <c r="DW109" s="608">
        <f t="shared" si="228"/>
        <v>0</v>
      </c>
      <c r="DX109" s="607">
        <f t="shared" si="229"/>
        <v>9682085</v>
      </c>
      <c r="DY109" s="608">
        <f t="shared" si="230"/>
        <v>9058280</v>
      </c>
      <c r="DZ109" s="607">
        <f t="shared" si="231"/>
        <v>9682085</v>
      </c>
      <c r="EA109" s="608">
        <f t="shared" si="232"/>
        <v>9058280</v>
      </c>
    </row>
    <row r="110" spans="1:131" ht="15" x14ac:dyDescent="0.2">
      <c r="A110" s="495" t="s">
        <v>34</v>
      </c>
      <c r="B110" s="494" t="s">
        <v>976</v>
      </c>
      <c r="C110" s="548" t="s">
        <v>989</v>
      </c>
      <c r="D110" s="499">
        <v>136516</v>
      </c>
      <c r="E110" s="496">
        <v>8</v>
      </c>
      <c r="F110" s="598"/>
      <c r="G110" s="599"/>
      <c r="H110" s="600"/>
      <c r="I110" s="601"/>
      <c r="J110" s="600"/>
      <c r="K110" s="599"/>
      <c r="L110" s="600"/>
      <c r="M110" s="601"/>
      <c r="N110" s="600"/>
      <c r="O110" s="599"/>
      <c r="P110" s="600"/>
      <c r="Q110" s="601"/>
      <c r="R110" s="600"/>
      <c r="S110" s="599"/>
      <c r="T110" s="600"/>
      <c r="U110" s="601"/>
      <c r="V110" s="600"/>
      <c r="W110" s="599"/>
      <c r="X110" s="600"/>
      <c r="Y110" s="601"/>
      <c r="Z110" s="600"/>
      <c r="AA110" s="599"/>
      <c r="AB110" s="600"/>
      <c r="AC110" s="601"/>
      <c r="AD110" s="600"/>
      <c r="AE110" s="599"/>
      <c r="AF110" s="600"/>
      <c r="AG110" s="601"/>
      <c r="AH110" s="600"/>
      <c r="AI110" s="599"/>
      <c r="AJ110" s="600"/>
      <c r="AK110" s="601"/>
      <c r="AL110" s="600"/>
      <c r="AM110" s="599"/>
      <c r="AN110" s="600"/>
      <c r="AO110" s="601"/>
      <c r="AP110" s="600"/>
      <c r="AQ110" s="599"/>
      <c r="AR110" s="600"/>
      <c r="AS110" s="601"/>
      <c r="AT110" s="600">
        <v>124</v>
      </c>
      <c r="AU110" s="599">
        <v>149</v>
      </c>
      <c r="AV110" s="600"/>
      <c r="AW110" s="601"/>
      <c r="AX110" s="600"/>
      <c r="AY110" s="599"/>
      <c r="AZ110" s="600"/>
      <c r="BA110" s="601"/>
      <c r="BB110" s="602">
        <v>0</v>
      </c>
      <c r="BC110" s="599"/>
      <c r="BD110" s="600">
        <v>0</v>
      </c>
      <c r="BE110" s="599"/>
      <c r="BF110" s="600">
        <v>0</v>
      </c>
      <c r="BG110" s="599"/>
      <c r="BH110" s="600">
        <v>0</v>
      </c>
      <c r="BI110" s="599"/>
      <c r="BJ110" s="600">
        <v>0</v>
      </c>
      <c r="BK110" s="615"/>
      <c r="BL110" s="600">
        <v>6562204</v>
      </c>
      <c r="BM110" s="622">
        <v>8017988</v>
      </c>
      <c r="BN110" s="605">
        <f t="shared" si="167"/>
        <v>0</v>
      </c>
      <c r="BO110" s="606">
        <f t="shared" si="168"/>
        <v>0</v>
      </c>
      <c r="BP110" s="607">
        <f t="shared" si="169"/>
        <v>0</v>
      </c>
      <c r="BQ110" s="606">
        <f t="shared" si="170"/>
        <v>0</v>
      </c>
      <c r="BR110" s="607">
        <f t="shared" si="171"/>
        <v>0</v>
      </c>
      <c r="BS110" s="606">
        <f t="shared" si="172"/>
        <v>0</v>
      </c>
      <c r="BT110" s="607">
        <f t="shared" si="173"/>
        <v>0</v>
      </c>
      <c r="BU110" s="606">
        <f t="shared" si="174"/>
        <v>0</v>
      </c>
      <c r="BV110" s="607">
        <f t="shared" si="175"/>
        <v>0</v>
      </c>
      <c r="BW110" s="608">
        <f t="shared" si="176"/>
        <v>0</v>
      </c>
      <c r="BX110" s="607">
        <f t="shared" si="177"/>
        <v>1116</v>
      </c>
      <c r="BY110" s="608">
        <f t="shared" si="178"/>
        <v>1341</v>
      </c>
      <c r="BZ110" s="607">
        <f t="shared" si="179"/>
        <v>0</v>
      </c>
      <c r="CA110" s="608">
        <f t="shared" si="180"/>
        <v>0</v>
      </c>
      <c r="CB110" s="607">
        <f t="shared" si="181"/>
        <v>0</v>
      </c>
      <c r="CC110" s="608">
        <f t="shared" si="182"/>
        <v>0</v>
      </c>
      <c r="CD110" s="607">
        <f t="shared" si="183"/>
        <v>0</v>
      </c>
      <c r="CE110" s="608">
        <f t="shared" si="184"/>
        <v>0</v>
      </c>
      <c r="CF110" s="607">
        <f t="shared" si="185"/>
        <v>0</v>
      </c>
      <c r="CG110" s="608">
        <f t="shared" si="186"/>
        <v>0</v>
      </c>
      <c r="CH110" s="607">
        <f t="shared" si="187"/>
        <v>0</v>
      </c>
      <c r="CI110" s="608">
        <f t="shared" si="188"/>
        <v>0</v>
      </c>
      <c r="CJ110" s="607">
        <f t="shared" si="189"/>
        <v>5880.1111111111113</v>
      </c>
      <c r="CK110" s="608">
        <f t="shared" si="190"/>
        <v>5979.1111111111113</v>
      </c>
      <c r="CL110" s="609">
        <f t="shared" si="191"/>
        <v>0</v>
      </c>
      <c r="CM110" s="608">
        <f t="shared" si="192"/>
        <v>0</v>
      </c>
      <c r="CN110" s="610">
        <f t="shared" si="193"/>
        <v>0</v>
      </c>
      <c r="CO110" s="606">
        <f t="shared" si="194"/>
        <v>0</v>
      </c>
      <c r="CP110" s="607">
        <f t="shared" si="195"/>
        <v>0</v>
      </c>
      <c r="CQ110" s="606">
        <f t="shared" si="196"/>
        <v>0</v>
      </c>
      <c r="CR110" s="607">
        <f t="shared" si="197"/>
        <v>0</v>
      </c>
      <c r="CS110" s="606">
        <f t="shared" si="198"/>
        <v>0</v>
      </c>
      <c r="CT110" s="607">
        <f t="shared" si="199"/>
        <v>0</v>
      </c>
      <c r="CU110" s="608">
        <f t="shared" si="200"/>
        <v>0</v>
      </c>
      <c r="CV110" s="610">
        <f t="shared" si="201"/>
        <v>52921</v>
      </c>
      <c r="CW110" s="608">
        <f t="shared" si="202"/>
        <v>53812</v>
      </c>
      <c r="CX110" s="610">
        <f t="shared" si="203"/>
        <v>52921</v>
      </c>
      <c r="CY110" s="611">
        <f t="shared" si="204"/>
        <v>53812</v>
      </c>
      <c r="CZ110" s="605">
        <f t="shared" si="205"/>
        <v>0</v>
      </c>
      <c r="DA110" s="612">
        <f t="shared" si="206"/>
        <v>0</v>
      </c>
      <c r="DB110" s="607">
        <f t="shared" si="207"/>
        <v>0</v>
      </c>
      <c r="DC110" s="606">
        <f t="shared" si="208"/>
        <v>0</v>
      </c>
      <c r="DD110" s="607">
        <f t="shared" si="209"/>
        <v>0</v>
      </c>
      <c r="DE110" s="606">
        <f t="shared" si="210"/>
        <v>0</v>
      </c>
      <c r="DF110" s="607">
        <f t="shared" si="211"/>
        <v>0</v>
      </c>
      <c r="DG110" s="606">
        <f t="shared" si="212"/>
        <v>0</v>
      </c>
      <c r="DH110" s="607">
        <f t="shared" si="213"/>
        <v>0</v>
      </c>
      <c r="DI110" s="608">
        <f t="shared" si="214"/>
        <v>0</v>
      </c>
      <c r="DJ110" s="607">
        <f t="shared" si="215"/>
        <v>124</v>
      </c>
      <c r="DK110" s="608">
        <f t="shared" si="216"/>
        <v>149</v>
      </c>
      <c r="DL110" s="607">
        <f t="shared" si="217"/>
        <v>124</v>
      </c>
      <c r="DM110" s="608">
        <f t="shared" si="218"/>
        <v>149</v>
      </c>
      <c r="DN110" s="607">
        <f t="shared" si="219"/>
        <v>0</v>
      </c>
      <c r="DO110" s="612">
        <f t="shared" si="220"/>
        <v>0</v>
      </c>
      <c r="DP110" s="607">
        <f t="shared" si="221"/>
        <v>0</v>
      </c>
      <c r="DQ110" s="606">
        <f t="shared" si="222"/>
        <v>0</v>
      </c>
      <c r="DR110" s="607">
        <f t="shared" si="223"/>
        <v>0</v>
      </c>
      <c r="DS110" s="606">
        <f t="shared" si="224"/>
        <v>0</v>
      </c>
      <c r="DT110" s="607">
        <f t="shared" si="225"/>
        <v>0</v>
      </c>
      <c r="DU110" s="606">
        <f t="shared" si="226"/>
        <v>0</v>
      </c>
      <c r="DV110" s="607">
        <f t="shared" si="227"/>
        <v>0</v>
      </c>
      <c r="DW110" s="608">
        <f t="shared" si="228"/>
        <v>0</v>
      </c>
      <c r="DX110" s="607">
        <f t="shared" si="229"/>
        <v>6562204</v>
      </c>
      <c r="DY110" s="608">
        <f t="shared" si="230"/>
        <v>8017988</v>
      </c>
      <c r="DZ110" s="607">
        <f t="shared" si="231"/>
        <v>6562204</v>
      </c>
      <c r="EA110" s="608">
        <f t="shared" si="232"/>
        <v>8017988</v>
      </c>
    </row>
    <row r="111" spans="1:131" ht="15" x14ac:dyDescent="0.2">
      <c r="A111" s="495" t="s">
        <v>34</v>
      </c>
      <c r="B111" s="494" t="s">
        <v>977</v>
      </c>
      <c r="C111" s="548" t="s">
        <v>990</v>
      </c>
      <c r="D111" s="499">
        <v>137096</v>
      </c>
      <c r="E111" s="496">
        <v>8</v>
      </c>
      <c r="F111" s="598"/>
      <c r="G111" s="599"/>
      <c r="H111" s="600"/>
      <c r="I111" s="601"/>
      <c r="J111" s="600"/>
      <c r="K111" s="599"/>
      <c r="L111" s="600"/>
      <c r="M111" s="601"/>
      <c r="N111" s="600"/>
      <c r="O111" s="599"/>
      <c r="P111" s="600"/>
      <c r="Q111" s="601"/>
      <c r="R111" s="600"/>
      <c r="S111" s="599"/>
      <c r="T111" s="600"/>
      <c r="U111" s="601"/>
      <c r="V111" s="600"/>
      <c r="W111" s="599"/>
      <c r="X111" s="600"/>
      <c r="Y111" s="601"/>
      <c r="Z111" s="600"/>
      <c r="AA111" s="599"/>
      <c r="AB111" s="600"/>
      <c r="AC111" s="601"/>
      <c r="AD111" s="600"/>
      <c r="AE111" s="599"/>
      <c r="AF111" s="600"/>
      <c r="AG111" s="601"/>
      <c r="AH111" s="600"/>
      <c r="AI111" s="599"/>
      <c r="AJ111" s="600"/>
      <c r="AK111" s="601"/>
      <c r="AL111" s="600"/>
      <c r="AM111" s="599"/>
      <c r="AN111" s="600"/>
      <c r="AO111" s="601"/>
      <c r="AP111" s="600"/>
      <c r="AQ111" s="599"/>
      <c r="AR111" s="600"/>
      <c r="AS111" s="601"/>
      <c r="AT111" s="600">
        <v>230</v>
      </c>
      <c r="AU111" s="599">
        <v>234</v>
      </c>
      <c r="AV111" s="600"/>
      <c r="AW111" s="601"/>
      <c r="AX111" s="600"/>
      <c r="AY111" s="599"/>
      <c r="AZ111" s="600"/>
      <c r="BA111" s="601"/>
      <c r="BB111" s="602">
        <v>0</v>
      </c>
      <c r="BC111" s="599"/>
      <c r="BD111" s="600">
        <v>0</v>
      </c>
      <c r="BE111" s="599"/>
      <c r="BF111" s="600">
        <v>0</v>
      </c>
      <c r="BG111" s="599"/>
      <c r="BH111" s="600">
        <v>0</v>
      </c>
      <c r="BI111" s="599"/>
      <c r="BJ111" s="600">
        <v>0</v>
      </c>
      <c r="BK111" s="615"/>
      <c r="BL111" s="600">
        <v>11614310</v>
      </c>
      <c r="BM111" s="622">
        <v>11886732</v>
      </c>
      <c r="BN111" s="605">
        <f t="shared" si="167"/>
        <v>0</v>
      </c>
      <c r="BO111" s="606">
        <f t="shared" si="168"/>
        <v>0</v>
      </c>
      <c r="BP111" s="607">
        <f t="shared" si="169"/>
        <v>0</v>
      </c>
      <c r="BQ111" s="606">
        <f t="shared" si="170"/>
        <v>0</v>
      </c>
      <c r="BR111" s="607">
        <f t="shared" si="171"/>
        <v>0</v>
      </c>
      <c r="BS111" s="606">
        <f t="shared" si="172"/>
        <v>0</v>
      </c>
      <c r="BT111" s="607">
        <f t="shared" si="173"/>
        <v>0</v>
      </c>
      <c r="BU111" s="606">
        <f t="shared" si="174"/>
        <v>0</v>
      </c>
      <c r="BV111" s="607">
        <f t="shared" si="175"/>
        <v>0</v>
      </c>
      <c r="BW111" s="608">
        <f t="shared" si="176"/>
        <v>0</v>
      </c>
      <c r="BX111" s="607">
        <f t="shared" si="177"/>
        <v>2070</v>
      </c>
      <c r="BY111" s="608">
        <f t="shared" si="178"/>
        <v>2106</v>
      </c>
      <c r="BZ111" s="607">
        <f t="shared" si="179"/>
        <v>0</v>
      </c>
      <c r="CA111" s="608">
        <f t="shared" si="180"/>
        <v>0</v>
      </c>
      <c r="CB111" s="607">
        <f t="shared" si="181"/>
        <v>0</v>
      </c>
      <c r="CC111" s="608">
        <f t="shared" si="182"/>
        <v>0</v>
      </c>
      <c r="CD111" s="607">
        <f t="shared" si="183"/>
        <v>0</v>
      </c>
      <c r="CE111" s="608">
        <f t="shared" si="184"/>
        <v>0</v>
      </c>
      <c r="CF111" s="607">
        <f t="shared" si="185"/>
        <v>0</v>
      </c>
      <c r="CG111" s="608">
        <f t="shared" si="186"/>
        <v>0</v>
      </c>
      <c r="CH111" s="607">
        <f t="shared" si="187"/>
        <v>0</v>
      </c>
      <c r="CI111" s="608">
        <f t="shared" si="188"/>
        <v>0</v>
      </c>
      <c r="CJ111" s="607">
        <f t="shared" si="189"/>
        <v>5610.7777777777774</v>
      </c>
      <c r="CK111" s="608">
        <f t="shared" si="190"/>
        <v>5644.2222222222226</v>
      </c>
      <c r="CL111" s="609">
        <f t="shared" si="191"/>
        <v>0</v>
      </c>
      <c r="CM111" s="608">
        <f t="shared" si="192"/>
        <v>0</v>
      </c>
      <c r="CN111" s="610">
        <f t="shared" si="193"/>
        <v>0</v>
      </c>
      <c r="CO111" s="606">
        <f t="shared" si="194"/>
        <v>0</v>
      </c>
      <c r="CP111" s="607">
        <f t="shared" si="195"/>
        <v>0</v>
      </c>
      <c r="CQ111" s="606">
        <f t="shared" si="196"/>
        <v>0</v>
      </c>
      <c r="CR111" s="607">
        <f t="shared" si="197"/>
        <v>0</v>
      </c>
      <c r="CS111" s="606">
        <f t="shared" si="198"/>
        <v>0</v>
      </c>
      <c r="CT111" s="607">
        <f t="shared" si="199"/>
        <v>0</v>
      </c>
      <c r="CU111" s="608">
        <f t="shared" si="200"/>
        <v>0</v>
      </c>
      <c r="CV111" s="610">
        <f t="shared" si="201"/>
        <v>50497</v>
      </c>
      <c r="CW111" s="608">
        <f t="shared" si="202"/>
        <v>50798</v>
      </c>
      <c r="CX111" s="610">
        <f t="shared" si="203"/>
        <v>50497</v>
      </c>
      <c r="CY111" s="611">
        <f t="shared" si="204"/>
        <v>50798</v>
      </c>
      <c r="CZ111" s="605">
        <f t="shared" si="205"/>
        <v>0</v>
      </c>
      <c r="DA111" s="612">
        <f t="shared" si="206"/>
        <v>0</v>
      </c>
      <c r="DB111" s="607">
        <f t="shared" si="207"/>
        <v>0</v>
      </c>
      <c r="DC111" s="606">
        <f t="shared" si="208"/>
        <v>0</v>
      </c>
      <c r="DD111" s="607">
        <f t="shared" si="209"/>
        <v>0</v>
      </c>
      <c r="DE111" s="606">
        <f t="shared" si="210"/>
        <v>0</v>
      </c>
      <c r="DF111" s="607">
        <f t="shared" si="211"/>
        <v>0</v>
      </c>
      <c r="DG111" s="606">
        <f t="shared" si="212"/>
        <v>0</v>
      </c>
      <c r="DH111" s="607">
        <f t="shared" si="213"/>
        <v>0</v>
      </c>
      <c r="DI111" s="608">
        <f t="shared" si="214"/>
        <v>0</v>
      </c>
      <c r="DJ111" s="607">
        <f t="shared" si="215"/>
        <v>230</v>
      </c>
      <c r="DK111" s="608">
        <f t="shared" si="216"/>
        <v>234</v>
      </c>
      <c r="DL111" s="607">
        <f t="shared" si="217"/>
        <v>230</v>
      </c>
      <c r="DM111" s="608">
        <f t="shared" si="218"/>
        <v>234</v>
      </c>
      <c r="DN111" s="607">
        <f t="shared" si="219"/>
        <v>0</v>
      </c>
      <c r="DO111" s="612">
        <f t="shared" si="220"/>
        <v>0</v>
      </c>
      <c r="DP111" s="607">
        <f t="shared" si="221"/>
        <v>0</v>
      </c>
      <c r="DQ111" s="606">
        <f t="shared" si="222"/>
        <v>0</v>
      </c>
      <c r="DR111" s="607">
        <f t="shared" si="223"/>
        <v>0</v>
      </c>
      <c r="DS111" s="606">
        <f t="shared" si="224"/>
        <v>0</v>
      </c>
      <c r="DT111" s="607">
        <f t="shared" si="225"/>
        <v>0</v>
      </c>
      <c r="DU111" s="606">
        <f t="shared" si="226"/>
        <v>0</v>
      </c>
      <c r="DV111" s="607">
        <f t="shared" si="227"/>
        <v>0</v>
      </c>
      <c r="DW111" s="608">
        <f t="shared" si="228"/>
        <v>0</v>
      </c>
      <c r="DX111" s="607">
        <f t="shared" si="229"/>
        <v>11614310</v>
      </c>
      <c r="DY111" s="608">
        <f t="shared" si="230"/>
        <v>11886732</v>
      </c>
      <c r="DZ111" s="607">
        <f t="shared" si="231"/>
        <v>11614310</v>
      </c>
      <c r="EA111" s="608">
        <f t="shared" si="232"/>
        <v>11886732</v>
      </c>
    </row>
    <row r="112" spans="1:131" ht="15" x14ac:dyDescent="0.2">
      <c r="A112" s="495" t="s">
        <v>34</v>
      </c>
      <c r="B112" s="494" t="s">
        <v>978</v>
      </c>
      <c r="C112" s="548" t="s">
        <v>990</v>
      </c>
      <c r="D112" s="499">
        <v>137209</v>
      </c>
      <c r="E112" s="496">
        <v>8</v>
      </c>
      <c r="F112" s="598"/>
      <c r="G112" s="599"/>
      <c r="H112" s="600"/>
      <c r="I112" s="601"/>
      <c r="J112" s="600"/>
      <c r="K112" s="599"/>
      <c r="L112" s="600"/>
      <c r="M112" s="601"/>
      <c r="N112" s="600"/>
      <c r="O112" s="599"/>
      <c r="P112" s="600"/>
      <c r="Q112" s="601"/>
      <c r="R112" s="600"/>
      <c r="S112" s="599"/>
      <c r="T112" s="600"/>
      <c r="U112" s="601"/>
      <c r="V112" s="600"/>
      <c r="W112" s="599"/>
      <c r="X112" s="600"/>
      <c r="Y112" s="601"/>
      <c r="Z112" s="600"/>
      <c r="AA112" s="599"/>
      <c r="AB112" s="600"/>
      <c r="AC112" s="601"/>
      <c r="AD112" s="600"/>
      <c r="AE112" s="599"/>
      <c r="AF112" s="600"/>
      <c r="AG112" s="601"/>
      <c r="AH112" s="600"/>
      <c r="AI112" s="599"/>
      <c r="AJ112" s="600"/>
      <c r="AK112" s="601"/>
      <c r="AL112" s="600"/>
      <c r="AM112" s="599"/>
      <c r="AN112" s="600"/>
      <c r="AO112" s="601"/>
      <c r="AP112" s="600"/>
      <c r="AQ112" s="599"/>
      <c r="AR112" s="600"/>
      <c r="AS112" s="601"/>
      <c r="AT112" s="600">
        <v>199</v>
      </c>
      <c r="AU112" s="599">
        <v>204</v>
      </c>
      <c r="AV112" s="600"/>
      <c r="AW112" s="601"/>
      <c r="AX112" s="600"/>
      <c r="AY112" s="599"/>
      <c r="AZ112" s="600"/>
      <c r="BA112" s="601"/>
      <c r="BB112" s="602">
        <v>0</v>
      </c>
      <c r="BC112" s="599"/>
      <c r="BD112" s="600">
        <v>0</v>
      </c>
      <c r="BE112" s="599"/>
      <c r="BF112" s="600">
        <v>0</v>
      </c>
      <c r="BG112" s="599"/>
      <c r="BH112" s="600">
        <v>0</v>
      </c>
      <c r="BI112" s="599"/>
      <c r="BJ112" s="600">
        <v>0</v>
      </c>
      <c r="BK112" s="615"/>
      <c r="BL112" s="600">
        <v>11222008</v>
      </c>
      <c r="BM112" s="622">
        <v>11078016</v>
      </c>
      <c r="BN112" s="605">
        <f t="shared" si="167"/>
        <v>0</v>
      </c>
      <c r="BO112" s="606">
        <f t="shared" si="168"/>
        <v>0</v>
      </c>
      <c r="BP112" s="607">
        <f t="shared" si="169"/>
        <v>0</v>
      </c>
      <c r="BQ112" s="606">
        <f t="shared" si="170"/>
        <v>0</v>
      </c>
      <c r="BR112" s="607">
        <f t="shared" si="171"/>
        <v>0</v>
      </c>
      <c r="BS112" s="606">
        <f t="shared" si="172"/>
        <v>0</v>
      </c>
      <c r="BT112" s="607">
        <f t="shared" si="173"/>
        <v>0</v>
      </c>
      <c r="BU112" s="606">
        <f t="shared" si="174"/>
        <v>0</v>
      </c>
      <c r="BV112" s="607">
        <f t="shared" si="175"/>
        <v>0</v>
      </c>
      <c r="BW112" s="608">
        <f t="shared" si="176"/>
        <v>0</v>
      </c>
      <c r="BX112" s="607">
        <f t="shared" si="177"/>
        <v>1791</v>
      </c>
      <c r="BY112" s="608">
        <f t="shared" si="178"/>
        <v>1836</v>
      </c>
      <c r="BZ112" s="607">
        <f t="shared" si="179"/>
        <v>0</v>
      </c>
      <c r="CA112" s="608">
        <f t="shared" si="180"/>
        <v>0</v>
      </c>
      <c r="CB112" s="607">
        <f t="shared" si="181"/>
        <v>0</v>
      </c>
      <c r="CC112" s="608">
        <f t="shared" si="182"/>
        <v>0</v>
      </c>
      <c r="CD112" s="607">
        <f t="shared" si="183"/>
        <v>0</v>
      </c>
      <c r="CE112" s="608">
        <f t="shared" si="184"/>
        <v>0</v>
      </c>
      <c r="CF112" s="607">
        <f t="shared" si="185"/>
        <v>0</v>
      </c>
      <c r="CG112" s="608">
        <f t="shared" si="186"/>
        <v>0</v>
      </c>
      <c r="CH112" s="607">
        <f t="shared" si="187"/>
        <v>0</v>
      </c>
      <c r="CI112" s="608">
        <f t="shared" si="188"/>
        <v>0</v>
      </c>
      <c r="CJ112" s="607">
        <f t="shared" si="189"/>
        <v>6265.7777777777774</v>
      </c>
      <c r="CK112" s="608">
        <f t="shared" si="190"/>
        <v>6033.7777777777774</v>
      </c>
      <c r="CL112" s="609">
        <f t="shared" si="191"/>
        <v>0</v>
      </c>
      <c r="CM112" s="608">
        <f t="shared" si="192"/>
        <v>0</v>
      </c>
      <c r="CN112" s="610">
        <f t="shared" si="193"/>
        <v>0</v>
      </c>
      <c r="CO112" s="606">
        <f t="shared" si="194"/>
        <v>0</v>
      </c>
      <c r="CP112" s="607">
        <f t="shared" si="195"/>
        <v>0</v>
      </c>
      <c r="CQ112" s="606">
        <f t="shared" si="196"/>
        <v>0</v>
      </c>
      <c r="CR112" s="607">
        <f t="shared" si="197"/>
        <v>0</v>
      </c>
      <c r="CS112" s="606">
        <f t="shared" si="198"/>
        <v>0</v>
      </c>
      <c r="CT112" s="607">
        <f t="shared" si="199"/>
        <v>0</v>
      </c>
      <c r="CU112" s="608">
        <f t="shared" si="200"/>
        <v>0</v>
      </c>
      <c r="CV112" s="610">
        <f t="shared" si="201"/>
        <v>56392</v>
      </c>
      <c r="CW112" s="608">
        <f t="shared" si="202"/>
        <v>54304</v>
      </c>
      <c r="CX112" s="610">
        <f t="shared" si="203"/>
        <v>56392</v>
      </c>
      <c r="CY112" s="611">
        <f t="shared" si="204"/>
        <v>54304</v>
      </c>
      <c r="CZ112" s="605">
        <f t="shared" si="205"/>
        <v>0</v>
      </c>
      <c r="DA112" s="612">
        <f t="shared" si="206"/>
        <v>0</v>
      </c>
      <c r="DB112" s="607">
        <f t="shared" si="207"/>
        <v>0</v>
      </c>
      <c r="DC112" s="606">
        <f t="shared" si="208"/>
        <v>0</v>
      </c>
      <c r="DD112" s="607">
        <f t="shared" si="209"/>
        <v>0</v>
      </c>
      <c r="DE112" s="606">
        <f t="shared" si="210"/>
        <v>0</v>
      </c>
      <c r="DF112" s="607">
        <f t="shared" si="211"/>
        <v>0</v>
      </c>
      <c r="DG112" s="606">
        <f t="shared" si="212"/>
        <v>0</v>
      </c>
      <c r="DH112" s="607">
        <f t="shared" si="213"/>
        <v>0</v>
      </c>
      <c r="DI112" s="608">
        <f t="shared" si="214"/>
        <v>0</v>
      </c>
      <c r="DJ112" s="607">
        <f t="shared" si="215"/>
        <v>199</v>
      </c>
      <c r="DK112" s="608">
        <f t="shared" si="216"/>
        <v>204</v>
      </c>
      <c r="DL112" s="607">
        <f t="shared" si="217"/>
        <v>199</v>
      </c>
      <c r="DM112" s="608">
        <f t="shared" si="218"/>
        <v>204</v>
      </c>
      <c r="DN112" s="607">
        <f t="shared" si="219"/>
        <v>0</v>
      </c>
      <c r="DO112" s="612">
        <f t="shared" si="220"/>
        <v>0</v>
      </c>
      <c r="DP112" s="607">
        <f t="shared" si="221"/>
        <v>0</v>
      </c>
      <c r="DQ112" s="606">
        <f t="shared" si="222"/>
        <v>0</v>
      </c>
      <c r="DR112" s="607">
        <f t="shared" si="223"/>
        <v>0</v>
      </c>
      <c r="DS112" s="606">
        <f t="shared" si="224"/>
        <v>0</v>
      </c>
      <c r="DT112" s="607">
        <f t="shared" si="225"/>
        <v>0</v>
      </c>
      <c r="DU112" s="606">
        <f t="shared" si="226"/>
        <v>0</v>
      </c>
      <c r="DV112" s="607">
        <f t="shared" si="227"/>
        <v>0</v>
      </c>
      <c r="DW112" s="608">
        <f t="shared" si="228"/>
        <v>0</v>
      </c>
      <c r="DX112" s="607">
        <f t="shared" si="229"/>
        <v>11222008</v>
      </c>
      <c r="DY112" s="608">
        <f t="shared" si="230"/>
        <v>11078016</v>
      </c>
      <c r="DZ112" s="607">
        <f t="shared" si="231"/>
        <v>11222008</v>
      </c>
      <c r="EA112" s="608">
        <f t="shared" si="232"/>
        <v>11078016</v>
      </c>
    </row>
    <row r="113" spans="1:131" ht="15" x14ac:dyDescent="0.2">
      <c r="A113" s="473" t="s">
        <v>34</v>
      </c>
      <c r="B113" s="494" t="s">
        <v>979</v>
      </c>
      <c r="C113" s="548" t="s">
        <v>989</v>
      </c>
      <c r="D113" s="499">
        <v>135391</v>
      </c>
      <c r="E113" s="496">
        <v>8</v>
      </c>
      <c r="F113" s="598"/>
      <c r="G113" s="599"/>
      <c r="H113" s="600"/>
      <c r="I113" s="601"/>
      <c r="J113" s="600"/>
      <c r="K113" s="599"/>
      <c r="L113" s="600"/>
      <c r="M113" s="601"/>
      <c r="N113" s="600"/>
      <c r="O113" s="599"/>
      <c r="P113" s="600"/>
      <c r="Q113" s="601"/>
      <c r="R113" s="600"/>
      <c r="S113" s="599"/>
      <c r="T113" s="600"/>
      <c r="U113" s="601"/>
      <c r="V113" s="600"/>
      <c r="W113" s="599"/>
      <c r="X113" s="600"/>
      <c r="Y113" s="601"/>
      <c r="Z113" s="600"/>
      <c r="AA113" s="599"/>
      <c r="AB113" s="600"/>
      <c r="AC113" s="601"/>
      <c r="AD113" s="600"/>
      <c r="AE113" s="599"/>
      <c r="AF113" s="600"/>
      <c r="AG113" s="601"/>
      <c r="AH113" s="600"/>
      <c r="AI113" s="599"/>
      <c r="AJ113" s="600"/>
      <c r="AK113" s="601"/>
      <c r="AL113" s="600"/>
      <c r="AM113" s="599"/>
      <c r="AN113" s="600"/>
      <c r="AO113" s="601"/>
      <c r="AP113" s="600"/>
      <c r="AQ113" s="599"/>
      <c r="AR113" s="600"/>
      <c r="AS113" s="601"/>
      <c r="AT113" s="600">
        <v>139</v>
      </c>
      <c r="AU113" s="599">
        <v>130</v>
      </c>
      <c r="AV113" s="600"/>
      <c r="AW113" s="601"/>
      <c r="AX113" s="600"/>
      <c r="AY113" s="599"/>
      <c r="AZ113" s="600"/>
      <c r="BA113" s="601"/>
      <c r="BB113" s="602">
        <v>0</v>
      </c>
      <c r="BC113" s="599"/>
      <c r="BD113" s="600">
        <v>0</v>
      </c>
      <c r="BE113" s="599"/>
      <c r="BF113" s="600">
        <v>0</v>
      </c>
      <c r="BG113" s="599"/>
      <c r="BH113" s="600">
        <v>0</v>
      </c>
      <c r="BI113" s="599"/>
      <c r="BJ113" s="600">
        <v>0</v>
      </c>
      <c r="BK113" s="615"/>
      <c r="BL113" s="600">
        <v>7487096</v>
      </c>
      <c r="BM113" s="622">
        <v>7116460</v>
      </c>
      <c r="BN113" s="605">
        <f t="shared" si="167"/>
        <v>0</v>
      </c>
      <c r="BO113" s="606">
        <f t="shared" si="168"/>
        <v>0</v>
      </c>
      <c r="BP113" s="607">
        <f t="shared" si="169"/>
        <v>0</v>
      </c>
      <c r="BQ113" s="606">
        <f t="shared" si="170"/>
        <v>0</v>
      </c>
      <c r="BR113" s="607">
        <f t="shared" si="171"/>
        <v>0</v>
      </c>
      <c r="BS113" s="606">
        <f t="shared" si="172"/>
        <v>0</v>
      </c>
      <c r="BT113" s="607">
        <f t="shared" si="173"/>
        <v>0</v>
      </c>
      <c r="BU113" s="606">
        <f t="shared" si="174"/>
        <v>0</v>
      </c>
      <c r="BV113" s="607">
        <f t="shared" si="175"/>
        <v>0</v>
      </c>
      <c r="BW113" s="608">
        <f t="shared" si="176"/>
        <v>0</v>
      </c>
      <c r="BX113" s="607">
        <f t="shared" si="177"/>
        <v>1251</v>
      </c>
      <c r="BY113" s="608">
        <f t="shared" si="178"/>
        <v>1170</v>
      </c>
      <c r="BZ113" s="607">
        <f t="shared" si="179"/>
        <v>0</v>
      </c>
      <c r="CA113" s="608">
        <f t="shared" si="180"/>
        <v>0</v>
      </c>
      <c r="CB113" s="607">
        <f t="shared" si="181"/>
        <v>0</v>
      </c>
      <c r="CC113" s="608">
        <f t="shared" si="182"/>
        <v>0</v>
      </c>
      <c r="CD113" s="607">
        <f t="shared" si="183"/>
        <v>0</v>
      </c>
      <c r="CE113" s="608">
        <f t="shared" si="184"/>
        <v>0</v>
      </c>
      <c r="CF113" s="607">
        <f t="shared" si="185"/>
        <v>0</v>
      </c>
      <c r="CG113" s="608">
        <f t="shared" si="186"/>
        <v>0</v>
      </c>
      <c r="CH113" s="607">
        <f t="shared" si="187"/>
        <v>0</v>
      </c>
      <c r="CI113" s="608">
        <f t="shared" si="188"/>
        <v>0</v>
      </c>
      <c r="CJ113" s="607">
        <f t="shared" si="189"/>
        <v>5984.8888888888887</v>
      </c>
      <c r="CK113" s="608">
        <f t="shared" si="190"/>
        <v>6082.4444444444443</v>
      </c>
      <c r="CL113" s="609">
        <f t="shared" si="191"/>
        <v>0</v>
      </c>
      <c r="CM113" s="608">
        <f t="shared" si="192"/>
        <v>0</v>
      </c>
      <c r="CN113" s="610">
        <f t="shared" si="193"/>
        <v>0</v>
      </c>
      <c r="CO113" s="606">
        <f t="shared" si="194"/>
        <v>0</v>
      </c>
      <c r="CP113" s="607">
        <f t="shared" si="195"/>
        <v>0</v>
      </c>
      <c r="CQ113" s="606">
        <f t="shared" si="196"/>
        <v>0</v>
      </c>
      <c r="CR113" s="607">
        <f t="shared" si="197"/>
        <v>0</v>
      </c>
      <c r="CS113" s="606">
        <f t="shared" si="198"/>
        <v>0</v>
      </c>
      <c r="CT113" s="607">
        <f t="shared" si="199"/>
        <v>0</v>
      </c>
      <c r="CU113" s="608">
        <f t="shared" si="200"/>
        <v>0</v>
      </c>
      <c r="CV113" s="610">
        <f t="shared" si="201"/>
        <v>53864</v>
      </c>
      <c r="CW113" s="608">
        <f t="shared" si="202"/>
        <v>54742</v>
      </c>
      <c r="CX113" s="610">
        <f t="shared" si="203"/>
        <v>53864</v>
      </c>
      <c r="CY113" s="611">
        <f t="shared" si="204"/>
        <v>54742</v>
      </c>
      <c r="CZ113" s="605">
        <f t="shared" si="205"/>
        <v>0</v>
      </c>
      <c r="DA113" s="612">
        <f t="shared" si="206"/>
        <v>0</v>
      </c>
      <c r="DB113" s="607">
        <f t="shared" si="207"/>
        <v>0</v>
      </c>
      <c r="DC113" s="606">
        <f t="shared" si="208"/>
        <v>0</v>
      </c>
      <c r="DD113" s="607">
        <f t="shared" si="209"/>
        <v>0</v>
      </c>
      <c r="DE113" s="606">
        <f t="shared" si="210"/>
        <v>0</v>
      </c>
      <c r="DF113" s="607">
        <f t="shared" si="211"/>
        <v>0</v>
      </c>
      <c r="DG113" s="606">
        <f t="shared" si="212"/>
        <v>0</v>
      </c>
      <c r="DH113" s="607">
        <f t="shared" si="213"/>
        <v>0</v>
      </c>
      <c r="DI113" s="608">
        <f t="shared" si="214"/>
        <v>0</v>
      </c>
      <c r="DJ113" s="607">
        <f t="shared" si="215"/>
        <v>139</v>
      </c>
      <c r="DK113" s="608">
        <f t="shared" si="216"/>
        <v>130</v>
      </c>
      <c r="DL113" s="607">
        <f t="shared" si="217"/>
        <v>139</v>
      </c>
      <c r="DM113" s="608">
        <f t="shared" si="218"/>
        <v>130</v>
      </c>
      <c r="DN113" s="607">
        <f t="shared" si="219"/>
        <v>0</v>
      </c>
      <c r="DO113" s="612">
        <f t="shared" si="220"/>
        <v>0</v>
      </c>
      <c r="DP113" s="607">
        <f t="shared" si="221"/>
        <v>0</v>
      </c>
      <c r="DQ113" s="606">
        <f t="shared" si="222"/>
        <v>0</v>
      </c>
      <c r="DR113" s="607">
        <f t="shared" si="223"/>
        <v>0</v>
      </c>
      <c r="DS113" s="606">
        <f t="shared" si="224"/>
        <v>0</v>
      </c>
      <c r="DT113" s="607">
        <f t="shared" si="225"/>
        <v>0</v>
      </c>
      <c r="DU113" s="606">
        <f t="shared" si="226"/>
        <v>0</v>
      </c>
      <c r="DV113" s="607">
        <f t="shared" si="227"/>
        <v>0</v>
      </c>
      <c r="DW113" s="608">
        <f t="shared" si="228"/>
        <v>0</v>
      </c>
      <c r="DX113" s="607">
        <f t="shared" si="229"/>
        <v>7487096</v>
      </c>
      <c r="DY113" s="608">
        <f t="shared" si="230"/>
        <v>7116460</v>
      </c>
      <c r="DZ113" s="607">
        <f t="shared" si="231"/>
        <v>7487096</v>
      </c>
      <c r="EA113" s="608">
        <f t="shared" si="232"/>
        <v>7116460</v>
      </c>
    </row>
    <row r="114" spans="1:131" ht="15" x14ac:dyDescent="0.2">
      <c r="A114" s="473" t="s">
        <v>34</v>
      </c>
      <c r="B114" s="494" t="s">
        <v>980</v>
      </c>
      <c r="C114" s="546"/>
      <c r="D114" s="499">
        <v>137759</v>
      </c>
      <c r="E114" s="496">
        <v>8</v>
      </c>
      <c r="F114" s="598"/>
      <c r="G114" s="599"/>
      <c r="H114" s="600"/>
      <c r="I114" s="601"/>
      <c r="J114" s="600"/>
      <c r="K114" s="599"/>
      <c r="L114" s="600"/>
      <c r="M114" s="601"/>
      <c r="N114" s="600"/>
      <c r="O114" s="599"/>
      <c r="P114" s="600"/>
      <c r="Q114" s="601"/>
      <c r="R114" s="600"/>
      <c r="S114" s="599"/>
      <c r="T114" s="600"/>
      <c r="U114" s="601"/>
      <c r="V114" s="600"/>
      <c r="W114" s="599"/>
      <c r="X114" s="600"/>
      <c r="Y114" s="601"/>
      <c r="Z114" s="600"/>
      <c r="AA114" s="599"/>
      <c r="AB114" s="600"/>
      <c r="AC114" s="601"/>
      <c r="AD114" s="600"/>
      <c r="AE114" s="599"/>
      <c r="AF114" s="600"/>
      <c r="AG114" s="601"/>
      <c r="AH114" s="600"/>
      <c r="AI114" s="599"/>
      <c r="AJ114" s="600"/>
      <c r="AK114" s="601"/>
      <c r="AL114" s="600"/>
      <c r="AM114" s="599"/>
      <c r="AN114" s="600"/>
      <c r="AO114" s="601"/>
      <c r="AP114" s="600"/>
      <c r="AQ114" s="599"/>
      <c r="AR114" s="600"/>
      <c r="AS114" s="601"/>
      <c r="AT114" s="600">
        <v>187</v>
      </c>
      <c r="AU114" s="599">
        <v>195</v>
      </c>
      <c r="AV114" s="600"/>
      <c r="AW114" s="601"/>
      <c r="AX114" s="600"/>
      <c r="AY114" s="599"/>
      <c r="AZ114" s="600"/>
      <c r="BA114" s="601"/>
      <c r="BB114" s="602">
        <v>0</v>
      </c>
      <c r="BC114" s="599"/>
      <c r="BD114" s="600">
        <v>0</v>
      </c>
      <c r="BE114" s="599"/>
      <c r="BF114" s="600">
        <v>0</v>
      </c>
      <c r="BG114" s="599"/>
      <c r="BH114" s="600">
        <v>0</v>
      </c>
      <c r="BI114" s="599"/>
      <c r="BJ114" s="600">
        <v>0</v>
      </c>
      <c r="BK114" s="615"/>
      <c r="BL114" s="600">
        <v>10948289</v>
      </c>
      <c r="BM114" s="622">
        <v>10271235</v>
      </c>
      <c r="BN114" s="605">
        <f t="shared" si="167"/>
        <v>0</v>
      </c>
      <c r="BO114" s="606">
        <f t="shared" si="168"/>
        <v>0</v>
      </c>
      <c r="BP114" s="607">
        <f t="shared" si="169"/>
        <v>0</v>
      </c>
      <c r="BQ114" s="606">
        <f t="shared" si="170"/>
        <v>0</v>
      </c>
      <c r="BR114" s="607">
        <f t="shared" si="171"/>
        <v>0</v>
      </c>
      <c r="BS114" s="606">
        <f t="shared" si="172"/>
        <v>0</v>
      </c>
      <c r="BT114" s="607">
        <f t="shared" si="173"/>
        <v>0</v>
      </c>
      <c r="BU114" s="606">
        <f t="shared" si="174"/>
        <v>0</v>
      </c>
      <c r="BV114" s="607">
        <f t="shared" si="175"/>
        <v>0</v>
      </c>
      <c r="BW114" s="608">
        <f t="shared" si="176"/>
        <v>0</v>
      </c>
      <c r="BX114" s="607">
        <f t="shared" si="177"/>
        <v>1683</v>
      </c>
      <c r="BY114" s="608">
        <f t="shared" si="178"/>
        <v>1755</v>
      </c>
      <c r="BZ114" s="607">
        <f t="shared" si="179"/>
        <v>0</v>
      </c>
      <c r="CA114" s="608">
        <f t="shared" si="180"/>
        <v>0</v>
      </c>
      <c r="CB114" s="607">
        <f t="shared" si="181"/>
        <v>0</v>
      </c>
      <c r="CC114" s="608">
        <f t="shared" si="182"/>
        <v>0</v>
      </c>
      <c r="CD114" s="607">
        <f t="shared" si="183"/>
        <v>0</v>
      </c>
      <c r="CE114" s="608">
        <f t="shared" si="184"/>
        <v>0</v>
      </c>
      <c r="CF114" s="607">
        <f t="shared" si="185"/>
        <v>0</v>
      </c>
      <c r="CG114" s="608">
        <f t="shared" si="186"/>
        <v>0</v>
      </c>
      <c r="CH114" s="607">
        <f t="shared" si="187"/>
        <v>0</v>
      </c>
      <c r="CI114" s="608">
        <f t="shared" si="188"/>
        <v>0</v>
      </c>
      <c r="CJ114" s="607">
        <f t="shared" si="189"/>
        <v>6505.2222222222226</v>
      </c>
      <c r="CK114" s="608">
        <f t="shared" si="190"/>
        <v>5852.5555555555557</v>
      </c>
      <c r="CL114" s="609">
        <f t="shared" si="191"/>
        <v>0</v>
      </c>
      <c r="CM114" s="608">
        <f t="shared" si="192"/>
        <v>0</v>
      </c>
      <c r="CN114" s="610">
        <f t="shared" si="193"/>
        <v>0</v>
      </c>
      <c r="CO114" s="606">
        <f t="shared" si="194"/>
        <v>0</v>
      </c>
      <c r="CP114" s="607">
        <f t="shared" si="195"/>
        <v>0</v>
      </c>
      <c r="CQ114" s="606">
        <f t="shared" si="196"/>
        <v>0</v>
      </c>
      <c r="CR114" s="607">
        <f t="shared" si="197"/>
        <v>0</v>
      </c>
      <c r="CS114" s="606">
        <f t="shared" si="198"/>
        <v>0</v>
      </c>
      <c r="CT114" s="607">
        <f t="shared" si="199"/>
        <v>0</v>
      </c>
      <c r="CU114" s="608">
        <f t="shared" si="200"/>
        <v>0</v>
      </c>
      <c r="CV114" s="610">
        <f t="shared" si="201"/>
        <v>58547</v>
      </c>
      <c r="CW114" s="608">
        <f t="shared" si="202"/>
        <v>52673</v>
      </c>
      <c r="CX114" s="610">
        <f t="shared" si="203"/>
        <v>58547</v>
      </c>
      <c r="CY114" s="611">
        <f t="shared" si="204"/>
        <v>52673</v>
      </c>
      <c r="CZ114" s="605">
        <f t="shared" si="205"/>
        <v>0</v>
      </c>
      <c r="DA114" s="612">
        <f t="shared" si="206"/>
        <v>0</v>
      </c>
      <c r="DB114" s="607">
        <f t="shared" si="207"/>
        <v>0</v>
      </c>
      <c r="DC114" s="606">
        <f t="shared" si="208"/>
        <v>0</v>
      </c>
      <c r="DD114" s="607">
        <f t="shared" si="209"/>
        <v>0</v>
      </c>
      <c r="DE114" s="606">
        <f t="shared" si="210"/>
        <v>0</v>
      </c>
      <c r="DF114" s="607">
        <f t="shared" si="211"/>
        <v>0</v>
      </c>
      <c r="DG114" s="606">
        <f t="shared" si="212"/>
        <v>0</v>
      </c>
      <c r="DH114" s="607">
        <f t="shared" si="213"/>
        <v>0</v>
      </c>
      <c r="DI114" s="608">
        <f t="shared" si="214"/>
        <v>0</v>
      </c>
      <c r="DJ114" s="607">
        <f t="shared" si="215"/>
        <v>187</v>
      </c>
      <c r="DK114" s="608">
        <f t="shared" si="216"/>
        <v>195</v>
      </c>
      <c r="DL114" s="607">
        <f t="shared" si="217"/>
        <v>187</v>
      </c>
      <c r="DM114" s="608">
        <f t="shared" si="218"/>
        <v>195</v>
      </c>
      <c r="DN114" s="607">
        <f t="shared" si="219"/>
        <v>0</v>
      </c>
      <c r="DO114" s="612">
        <f t="shared" si="220"/>
        <v>0</v>
      </c>
      <c r="DP114" s="607">
        <f t="shared" si="221"/>
        <v>0</v>
      </c>
      <c r="DQ114" s="606">
        <f t="shared" si="222"/>
        <v>0</v>
      </c>
      <c r="DR114" s="607">
        <f t="shared" si="223"/>
        <v>0</v>
      </c>
      <c r="DS114" s="606">
        <f t="shared" si="224"/>
        <v>0</v>
      </c>
      <c r="DT114" s="607">
        <f t="shared" si="225"/>
        <v>0</v>
      </c>
      <c r="DU114" s="606">
        <f t="shared" si="226"/>
        <v>0</v>
      </c>
      <c r="DV114" s="607">
        <f t="shared" si="227"/>
        <v>0</v>
      </c>
      <c r="DW114" s="608">
        <f t="shared" si="228"/>
        <v>0</v>
      </c>
      <c r="DX114" s="607">
        <f t="shared" si="229"/>
        <v>10948289</v>
      </c>
      <c r="DY114" s="608">
        <f t="shared" si="230"/>
        <v>10271235</v>
      </c>
      <c r="DZ114" s="607">
        <f t="shared" si="231"/>
        <v>10948289</v>
      </c>
      <c r="EA114" s="608">
        <f t="shared" si="232"/>
        <v>10271235</v>
      </c>
    </row>
    <row r="115" spans="1:131" ht="15" x14ac:dyDescent="0.2">
      <c r="A115" s="473" t="s">
        <v>34</v>
      </c>
      <c r="B115" s="494" t="s">
        <v>981</v>
      </c>
      <c r="C115" s="546"/>
      <c r="D115" s="499">
        <v>138187</v>
      </c>
      <c r="E115" s="496">
        <v>8</v>
      </c>
      <c r="F115" s="598"/>
      <c r="G115" s="599"/>
      <c r="H115" s="600"/>
      <c r="I115" s="601"/>
      <c r="J115" s="600"/>
      <c r="K115" s="599"/>
      <c r="L115" s="600"/>
      <c r="M115" s="601"/>
      <c r="N115" s="600"/>
      <c r="O115" s="599"/>
      <c r="P115" s="600"/>
      <c r="Q115" s="601"/>
      <c r="R115" s="600"/>
      <c r="S115" s="599"/>
      <c r="T115" s="600"/>
      <c r="U115" s="601"/>
      <c r="V115" s="600"/>
      <c r="W115" s="599"/>
      <c r="X115" s="600"/>
      <c r="Y115" s="601"/>
      <c r="Z115" s="600"/>
      <c r="AA115" s="599"/>
      <c r="AB115" s="600"/>
      <c r="AC115" s="601"/>
      <c r="AD115" s="600"/>
      <c r="AE115" s="599"/>
      <c r="AF115" s="600"/>
      <c r="AG115" s="601"/>
      <c r="AH115" s="600"/>
      <c r="AI115" s="599"/>
      <c r="AJ115" s="600"/>
      <c r="AK115" s="601"/>
      <c r="AL115" s="600"/>
      <c r="AM115" s="599"/>
      <c r="AN115" s="600"/>
      <c r="AO115" s="601"/>
      <c r="AP115" s="600"/>
      <c r="AQ115" s="599"/>
      <c r="AR115" s="600"/>
      <c r="AS115" s="601"/>
      <c r="AT115" s="600">
        <v>408</v>
      </c>
      <c r="AU115" s="599">
        <v>400</v>
      </c>
      <c r="AV115" s="600"/>
      <c r="AW115" s="601"/>
      <c r="AX115" s="600"/>
      <c r="AY115" s="599"/>
      <c r="AZ115" s="600"/>
      <c r="BA115" s="601"/>
      <c r="BB115" s="602">
        <v>0</v>
      </c>
      <c r="BC115" s="599"/>
      <c r="BD115" s="600">
        <v>0</v>
      </c>
      <c r="BE115" s="599"/>
      <c r="BF115" s="600">
        <v>0</v>
      </c>
      <c r="BG115" s="599"/>
      <c r="BH115" s="600">
        <v>0</v>
      </c>
      <c r="BI115" s="599"/>
      <c r="BJ115" s="600">
        <v>0</v>
      </c>
      <c r="BK115" s="615"/>
      <c r="BL115" s="600">
        <v>22257624</v>
      </c>
      <c r="BM115" s="622">
        <v>21653600</v>
      </c>
      <c r="BN115" s="605">
        <f t="shared" si="167"/>
        <v>0</v>
      </c>
      <c r="BO115" s="606">
        <f t="shared" si="168"/>
        <v>0</v>
      </c>
      <c r="BP115" s="607">
        <f t="shared" si="169"/>
        <v>0</v>
      </c>
      <c r="BQ115" s="606">
        <f t="shared" si="170"/>
        <v>0</v>
      </c>
      <c r="BR115" s="607">
        <f t="shared" si="171"/>
        <v>0</v>
      </c>
      <c r="BS115" s="606">
        <f t="shared" si="172"/>
        <v>0</v>
      </c>
      <c r="BT115" s="607">
        <f t="shared" si="173"/>
        <v>0</v>
      </c>
      <c r="BU115" s="606">
        <f t="shared" si="174"/>
        <v>0</v>
      </c>
      <c r="BV115" s="607">
        <f t="shared" si="175"/>
        <v>0</v>
      </c>
      <c r="BW115" s="608">
        <f t="shared" si="176"/>
        <v>0</v>
      </c>
      <c r="BX115" s="607">
        <f t="shared" si="177"/>
        <v>3672</v>
      </c>
      <c r="BY115" s="608">
        <f t="shared" si="178"/>
        <v>3600</v>
      </c>
      <c r="BZ115" s="607">
        <f t="shared" si="179"/>
        <v>0</v>
      </c>
      <c r="CA115" s="608">
        <f t="shared" si="180"/>
        <v>0</v>
      </c>
      <c r="CB115" s="607">
        <f t="shared" si="181"/>
        <v>0</v>
      </c>
      <c r="CC115" s="608">
        <f t="shared" si="182"/>
        <v>0</v>
      </c>
      <c r="CD115" s="607">
        <f t="shared" si="183"/>
        <v>0</v>
      </c>
      <c r="CE115" s="608">
        <f t="shared" si="184"/>
        <v>0</v>
      </c>
      <c r="CF115" s="607">
        <f t="shared" si="185"/>
        <v>0</v>
      </c>
      <c r="CG115" s="608">
        <f t="shared" si="186"/>
        <v>0</v>
      </c>
      <c r="CH115" s="607">
        <f t="shared" si="187"/>
        <v>0</v>
      </c>
      <c r="CI115" s="608">
        <f t="shared" si="188"/>
        <v>0</v>
      </c>
      <c r="CJ115" s="607">
        <f t="shared" si="189"/>
        <v>6061.4444444444443</v>
      </c>
      <c r="CK115" s="608">
        <f t="shared" si="190"/>
        <v>6014.8888888888887</v>
      </c>
      <c r="CL115" s="609">
        <f t="shared" si="191"/>
        <v>0</v>
      </c>
      <c r="CM115" s="608">
        <f t="shared" si="192"/>
        <v>0</v>
      </c>
      <c r="CN115" s="610">
        <f t="shared" si="193"/>
        <v>0</v>
      </c>
      <c r="CO115" s="606">
        <f t="shared" si="194"/>
        <v>0</v>
      </c>
      <c r="CP115" s="607">
        <f t="shared" si="195"/>
        <v>0</v>
      </c>
      <c r="CQ115" s="606">
        <f t="shared" si="196"/>
        <v>0</v>
      </c>
      <c r="CR115" s="607">
        <f t="shared" si="197"/>
        <v>0</v>
      </c>
      <c r="CS115" s="606">
        <f t="shared" si="198"/>
        <v>0</v>
      </c>
      <c r="CT115" s="607">
        <f t="shared" si="199"/>
        <v>0</v>
      </c>
      <c r="CU115" s="608">
        <f t="shared" si="200"/>
        <v>0</v>
      </c>
      <c r="CV115" s="610">
        <f t="shared" si="201"/>
        <v>54553</v>
      </c>
      <c r="CW115" s="608">
        <f t="shared" si="202"/>
        <v>54134</v>
      </c>
      <c r="CX115" s="610">
        <f t="shared" si="203"/>
        <v>54553</v>
      </c>
      <c r="CY115" s="611">
        <f t="shared" si="204"/>
        <v>54134</v>
      </c>
      <c r="CZ115" s="605">
        <f t="shared" si="205"/>
        <v>0</v>
      </c>
      <c r="DA115" s="612">
        <f t="shared" si="206"/>
        <v>0</v>
      </c>
      <c r="DB115" s="607">
        <f t="shared" si="207"/>
        <v>0</v>
      </c>
      <c r="DC115" s="606">
        <f t="shared" si="208"/>
        <v>0</v>
      </c>
      <c r="DD115" s="607">
        <f t="shared" si="209"/>
        <v>0</v>
      </c>
      <c r="DE115" s="606">
        <f t="shared" si="210"/>
        <v>0</v>
      </c>
      <c r="DF115" s="607">
        <f t="shared" si="211"/>
        <v>0</v>
      </c>
      <c r="DG115" s="606">
        <f t="shared" si="212"/>
        <v>0</v>
      </c>
      <c r="DH115" s="607">
        <f t="shared" si="213"/>
        <v>0</v>
      </c>
      <c r="DI115" s="608">
        <f t="shared" si="214"/>
        <v>0</v>
      </c>
      <c r="DJ115" s="607">
        <f t="shared" si="215"/>
        <v>408</v>
      </c>
      <c r="DK115" s="608">
        <f t="shared" si="216"/>
        <v>400</v>
      </c>
      <c r="DL115" s="607">
        <f t="shared" si="217"/>
        <v>408</v>
      </c>
      <c r="DM115" s="608">
        <f t="shared" si="218"/>
        <v>400</v>
      </c>
      <c r="DN115" s="607">
        <f t="shared" si="219"/>
        <v>0</v>
      </c>
      <c r="DO115" s="612">
        <f t="shared" si="220"/>
        <v>0</v>
      </c>
      <c r="DP115" s="607">
        <f t="shared" si="221"/>
        <v>0</v>
      </c>
      <c r="DQ115" s="606">
        <f t="shared" si="222"/>
        <v>0</v>
      </c>
      <c r="DR115" s="607">
        <f t="shared" si="223"/>
        <v>0</v>
      </c>
      <c r="DS115" s="606">
        <f t="shared" si="224"/>
        <v>0</v>
      </c>
      <c r="DT115" s="607">
        <f t="shared" si="225"/>
        <v>0</v>
      </c>
      <c r="DU115" s="606">
        <f t="shared" si="226"/>
        <v>0</v>
      </c>
      <c r="DV115" s="607">
        <f t="shared" si="227"/>
        <v>0</v>
      </c>
      <c r="DW115" s="608">
        <f t="shared" si="228"/>
        <v>0</v>
      </c>
      <c r="DX115" s="607">
        <f t="shared" si="229"/>
        <v>22257624</v>
      </c>
      <c r="DY115" s="608">
        <f t="shared" si="230"/>
        <v>21653600</v>
      </c>
      <c r="DZ115" s="607">
        <f t="shared" si="231"/>
        <v>22257624</v>
      </c>
      <c r="EA115" s="608">
        <f t="shared" si="232"/>
        <v>21653600</v>
      </c>
    </row>
    <row r="116" spans="1:131" ht="15" x14ac:dyDescent="0.2">
      <c r="A116" s="473" t="s">
        <v>34</v>
      </c>
      <c r="B116" s="494" t="s">
        <v>982</v>
      </c>
      <c r="C116" s="545"/>
      <c r="D116" s="499">
        <v>135160</v>
      </c>
      <c r="E116" s="496">
        <v>9</v>
      </c>
      <c r="F116" s="598"/>
      <c r="G116" s="599"/>
      <c r="H116" s="600"/>
      <c r="I116" s="601"/>
      <c r="J116" s="600"/>
      <c r="K116" s="599"/>
      <c r="L116" s="600"/>
      <c r="M116" s="601"/>
      <c r="N116" s="600"/>
      <c r="O116" s="599"/>
      <c r="P116" s="600"/>
      <c r="Q116" s="601"/>
      <c r="R116" s="600"/>
      <c r="S116" s="599"/>
      <c r="T116" s="600"/>
      <c r="U116" s="601"/>
      <c r="V116" s="600"/>
      <c r="W116" s="599"/>
      <c r="X116" s="600"/>
      <c r="Y116" s="601"/>
      <c r="Z116" s="600"/>
      <c r="AA116" s="599"/>
      <c r="AB116" s="600"/>
      <c r="AC116" s="601"/>
      <c r="AD116" s="600"/>
      <c r="AE116" s="599"/>
      <c r="AF116" s="600"/>
      <c r="AG116" s="601"/>
      <c r="AH116" s="600"/>
      <c r="AI116" s="599"/>
      <c r="AJ116" s="600"/>
      <c r="AK116" s="601"/>
      <c r="AL116" s="600"/>
      <c r="AM116" s="599"/>
      <c r="AN116" s="600"/>
      <c r="AO116" s="601"/>
      <c r="AP116" s="600"/>
      <c r="AQ116" s="599"/>
      <c r="AR116" s="600"/>
      <c r="AS116" s="601"/>
      <c r="AT116" s="600">
        <v>60</v>
      </c>
      <c r="AU116" s="599">
        <v>68</v>
      </c>
      <c r="AV116" s="600"/>
      <c r="AW116" s="601"/>
      <c r="AX116" s="600"/>
      <c r="AY116" s="599"/>
      <c r="AZ116" s="600"/>
      <c r="BA116" s="601"/>
      <c r="BB116" s="602">
        <v>0</v>
      </c>
      <c r="BC116" s="599"/>
      <c r="BD116" s="600">
        <v>0</v>
      </c>
      <c r="BE116" s="599"/>
      <c r="BF116" s="600">
        <v>0</v>
      </c>
      <c r="BG116" s="599"/>
      <c r="BH116" s="600">
        <v>0</v>
      </c>
      <c r="BI116" s="599"/>
      <c r="BJ116" s="600">
        <v>0</v>
      </c>
      <c r="BK116" s="615"/>
      <c r="BL116" s="600">
        <v>5614386</v>
      </c>
      <c r="BM116" s="622">
        <v>3272228</v>
      </c>
      <c r="BN116" s="605">
        <f t="shared" si="167"/>
        <v>0</v>
      </c>
      <c r="BO116" s="606">
        <f t="shared" si="168"/>
        <v>0</v>
      </c>
      <c r="BP116" s="607">
        <f t="shared" si="169"/>
        <v>0</v>
      </c>
      <c r="BQ116" s="606">
        <f t="shared" si="170"/>
        <v>0</v>
      </c>
      <c r="BR116" s="607">
        <f t="shared" si="171"/>
        <v>0</v>
      </c>
      <c r="BS116" s="606">
        <f t="shared" si="172"/>
        <v>0</v>
      </c>
      <c r="BT116" s="607">
        <f t="shared" si="173"/>
        <v>0</v>
      </c>
      <c r="BU116" s="606">
        <f t="shared" si="174"/>
        <v>0</v>
      </c>
      <c r="BV116" s="607">
        <f t="shared" si="175"/>
        <v>0</v>
      </c>
      <c r="BW116" s="608">
        <f t="shared" si="176"/>
        <v>0</v>
      </c>
      <c r="BX116" s="607">
        <f t="shared" si="177"/>
        <v>540</v>
      </c>
      <c r="BY116" s="608">
        <f t="shared" si="178"/>
        <v>612</v>
      </c>
      <c r="BZ116" s="607">
        <f t="shared" si="179"/>
        <v>0</v>
      </c>
      <c r="CA116" s="608">
        <f t="shared" si="180"/>
        <v>0</v>
      </c>
      <c r="CB116" s="607">
        <f t="shared" si="181"/>
        <v>0</v>
      </c>
      <c r="CC116" s="608">
        <f t="shared" si="182"/>
        <v>0</v>
      </c>
      <c r="CD116" s="607">
        <f t="shared" si="183"/>
        <v>0</v>
      </c>
      <c r="CE116" s="608">
        <f t="shared" si="184"/>
        <v>0</v>
      </c>
      <c r="CF116" s="607">
        <f t="shared" si="185"/>
        <v>0</v>
      </c>
      <c r="CG116" s="608">
        <f t="shared" si="186"/>
        <v>0</v>
      </c>
      <c r="CH116" s="607">
        <f t="shared" si="187"/>
        <v>0</v>
      </c>
      <c r="CI116" s="608">
        <f t="shared" si="188"/>
        <v>0</v>
      </c>
      <c r="CJ116" s="607">
        <f t="shared" si="189"/>
        <v>10397.011111111111</v>
      </c>
      <c r="CK116" s="608">
        <f t="shared" si="190"/>
        <v>5346.7777777777774</v>
      </c>
      <c r="CL116" s="609">
        <f t="shared" si="191"/>
        <v>0</v>
      </c>
      <c r="CM116" s="608">
        <f t="shared" si="192"/>
        <v>0</v>
      </c>
      <c r="CN116" s="610">
        <f t="shared" si="193"/>
        <v>0</v>
      </c>
      <c r="CO116" s="606">
        <f t="shared" si="194"/>
        <v>0</v>
      </c>
      <c r="CP116" s="607">
        <f t="shared" si="195"/>
        <v>0</v>
      </c>
      <c r="CQ116" s="606">
        <f t="shared" si="196"/>
        <v>0</v>
      </c>
      <c r="CR116" s="607">
        <f t="shared" si="197"/>
        <v>0</v>
      </c>
      <c r="CS116" s="606">
        <f t="shared" si="198"/>
        <v>0</v>
      </c>
      <c r="CT116" s="607">
        <f t="shared" si="199"/>
        <v>0</v>
      </c>
      <c r="CU116" s="608">
        <f t="shared" si="200"/>
        <v>0</v>
      </c>
      <c r="CV116" s="610">
        <f t="shared" si="201"/>
        <v>93573.1</v>
      </c>
      <c r="CW116" s="608">
        <f t="shared" si="202"/>
        <v>48121</v>
      </c>
      <c r="CX116" s="610">
        <f t="shared" si="203"/>
        <v>93573.1</v>
      </c>
      <c r="CY116" s="611">
        <f t="shared" si="204"/>
        <v>48121</v>
      </c>
      <c r="CZ116" s="605">
        <f t="shared" si="205"/>
        <v>0</v>
      </c>
      <c r="DA116" s="612">
        <f t="shared" si="206"/>
        <v>0</v>
      </c>
      <c r="DB116" s="607">
        <f t="shared" si="207"/>
        <v>0</v>
      </c>
      <c r="DC116" s="606">
        <f t="shared" si="208"/>
        <v>0</v>
      </c>
      <c r="DD116" s="607">
        <f t="shared" si="209"/>
        <v>0</v>
      </c>
      <c r="DE116" s="606">
        <f t="shared" si="210"/>
        <v>0</v>
      </c>
      <c r="DF116" s="607">
        <f t="shared" si="211"/>
        <v>0</v>
      </c>
      <c r="DG116" s="606">
        <f t="shared" si="212"/>
        <v>0</v>
      </c>
      <c r="DH116" s="607">
        <f t="shared" si="213"/>
        <v>0</v>
      </c>
      <c r="DI116" s="608">
        <f t="shared" si="214"/>
        <v>0</v>
      </c>
      <c r="DJ116" s="607">
        <f t="shared" si="215"/>
        <v>60</v>
      </c>
      <c r="DK116" s="608">
        <f t="shared" si="216"/>
        <v>68</v>
      </c>
      <c r="DL116" s="607">
        <f t="shared" si="217"/>
        <v>60</v>
      </c>
      <c r="DM116" s="608">
        <f t="shared" si="218"/>
        <v>68</v>
      </c>
      <c r="DN116" s="607">
        <f t="shared" si="219"/>
        <v>0</v>
      </c>
      <c r="DO116" s="612">
        <f t="shared" si="220"/>
        <v>0</v>
      </c>
      <c r="DP116" s="607">
        <f t="shared" si="221"/>
        <v>0</v>
      </c>
      <c r="DQ116" s="606">
        <f t="shared" si="222"/>
        <v>0</v>
      </c>
      <c r="DR116" s="607">
        <f t="shared" si="223"/>
        <v>0</v>
      </c>
      <c r="DS116" s="606">
        <f t="shared" si="224"/>
        <v>0</v>
      </c>
      <c r="DT116" s="607">
        <f t="shared" si="225"/>
        <v>0</v>
      </c>
      <c r="DU116" s="606">
        <f t="shared" si="226"/>
        <v>0</v>
      </c>
      <c r="DV116" s="607">
        <f t="shared" si="227"/>
        <v>0</v>
      </c>
      <c r="DW116" s="608">
        <f t="shared" si="228"/>
        <v>0</v>
      </c>
      <c r="DX116" s="607">
        <f t="shared" si="229"/>
        <v>5614386</v>
      </c>
      <c r="DY116" s="608">
        <f t="shared" si="230"/>
        <v>3272228</v>
      </c>
      <c r="DZ116" s="607">
        <f t="shared" si="231"/>
        <v>5614386</v>
      </c>
      <c r="EA116" s="608">
        <f t="shared" si="232"/>
        <v>3272228</v>
      </c>
    </row>
    <row r="117" spans="1:131" ht="15" x14ac:dyDescent="0.2">
      <c r="A117" s="495" t="s">
        <v>34</v>
      </c>
      <c r="B117" s="498" t="s">
        <v>983</v>
      </c>
      <c r="C117" s="548" t="s">
        <v>990</v>
      </c>
      <c r="D117" s="499">
        <v>134343</v>
      </c>
      <c r="E117" s="496">
        <v>9</v>
      </c>
      <c r="F117" s="598"/>
      <c r="G117" s="599"/>
      <c r="H117" s="600"/>
      <c r="I117" s="601"/>
      <c r="J117" s="600"/>
      <c r="K117" s="599"/>
      <c r="L117" s="600"/>
      <c r="M117" s="601"/>
      <c r="N117" s="600"/>
      <c r="O117" s="599"/>
      <c r="P117" s="600"/>
      <c r="Q117" s="601"/>
      <c r="R117" s="600"/>
      <c r="S117" s="599"/>
      <c r="T117" s="600"/>
      <c r="U117" s="601"/>
      <c r="V117" s="600"/>
      <c r="W117" s="599"/>
      <c r="X117" s="600"/>
      <c r="Y117" s="601"/>
      <c r="Z117" s="600"/>
      <c r="AA117" s="599"/>
      <c r="AB117" s="600"/>
      <c r="AC117" s="601"/>
      <c r="AD117" s="600"/>
      <c r="AE117" s="599"/>
      <c r="AF117" s="600"/>
      <c r="AG117" s="601"/>
      <c r="AH117" s="600"/>
      <c r="AI117" s="599"/>
      <c r="AJ117" s="600"/>
      <c r="AK117" s="601"/>
      <c r="AL117" s="600"/>
      <c r="AM117" s="599"/>
      <c r="AN117" s="600"/>
      <c r="AO117" s="601"/>
      <c r="AP117" s="600"/>
      <c r="AQ117" s="599"/>
      <c r="AR117" s="600"/>
      <c r="AS117" s="601"/>
      <c r="AT117" s="600">
        <v>114</v>
      </c>
      <c r="AU117" s="599">
        <v>82</v>
      </c>
      <c r="AV117" s="600"/>
      <c r="AW117" s="601"/>
      <c r="AX117" s="600"/>
      <c r="AY117" s="599"/>
      <c r="AZ117" s="600"/>
      <c r="BA117" s="601"/>
      <c r="BB117" s="602">
        <v>0</v>
      </c>
      <c r="BC117" s="599"/>
      <c r="BD117" s="600">
        <v>0</v>
      </c>
      <c r="BE117" s="599"/>
      <c r="BF117" s="600">
        <v>0</v>
      </c>
      <c r="BG117" s="599"/>
      <c r="BH117" s="600">
        <v>0</v>
      </c>
      <c r="BI117" s="599"/>
      <c r="BJ117" s="600">
        <v>0</v>
      </c>
      <c r="BK117" s="615"/>
      <c r="BL117" s="600">
        <v>2791800</v>
      </c>
      <c r="BM117" s="622">
        <v>3621694</v>
      </c>
      <c r="BN117" s="605">
        <f t="shared" si="167"/>
        <v>0</v>
      </c>
      <c r="BO117" s="606">
        <f t="shared" si="168"/>
        <v>0</v>
      </c>
      <c r="BP117" s="607">
        <f t="shared" si="169"/>
        <v>0</v>
      </c>
      <c r="BQ117" s="606">
        <f t="shared" si="170"/>
        <v>0</v>
      </c>
      <c r="BR117" s="607">
        <f t="shared" si="171"/>
        <v>0</v>
      </c>
      <c r="BS117" s="606">
        <f t="shared" si="172"/>
        <v>0</v>
      </c>
      <c r="BT117" s="607">
        <f t="shared" si="173"/>
        <v>0</v>
      </c>
      <c r="BU117" s="606">
        <f t="shared" si="174"/>
        <v>0</v>
      </c>
      <c r="BV117" s="607">
        <f t="shared" si="175"/>
        <v>0</v>
      </c>
      <c r="BW117" s="608">
        <f t="shared" si="176"/>
        <v>0</v>
      </c>
      <c r="BX117" s="607">
        <f t="shared" si="177"/>
        <v>1026</v>
      </c>
      <c r="BY117" s="608">
        <f t="shared" si="178"/>
        <v>738</v>
      </c>
      <c r="BZ117" s="607">
        <f t="shared" si="179"/>
        <v>0</v>
      </c>
      <c r="CA117" s="608">
        <f t="shared" si="180"/>
        <v>0</v>
      </c>
      <c r="CB117" s="607">
        <f t="shared" si="181"/>
        <v>0</v>
      </c>
      <c r="CC117" s="608">
        <f t="shared" si="182"/>
        <v>0</v>
      </c>
      <c r="CD117" s="607">
        <f t="shared" si="183"/>
        <v>0</v>
      </c>
      <c r="CE117" s="608">
        <f t="shared" si="184"/>
        <v>0</v>
      </c>
      <c r="CF117" s="607">
        <f t="shared" si="185"/>
        <v>0</v>
      </c>
      <c r="CG117" s="608">
        <f t="shared" si="186"/>
        <v>0</v>
      </c>
      <c r="CH117" s="607">
        <f t="shared" si="187"/>
        <v>0</v>
      </c>
      <c r="CI117" s="608">
        <f t="shared" si="188"/>
        <v>0</v>
      </c>
      <c r="CJ117" s="607">
        <f t="shared" si="189"/>
        <v>2721.0526315789475</v>
      </c>
      <c r="CK117" s="608">
        <f t="shared" si="190"/>
        <v>4907.4444444444443</v>
      </c>
      <c r="CL117" s="609">
        <f t="shared" si="191"/>
        <v>0</v>
      </c>
      <c r="CM117" s="608">
        <f t="shared" si="192"/>
        <v>0</v>
      </c>
      <c r="CN117" s="610">
        <f t="shared" si="193"/>
        <v>0</v>
      </c>
      <c r="CO117" s="606">
        <f t="shared" si="194"/>
        <v>0</v>
      </c>
      <c r="CP117" s="607">
        <f t="shared" si="195"/>
        <v>0</v>
      </c>
      <c r="CQ117" s="606">
        <f t="shared" si="196"/>
        <v>0</v>
      </c>
      <c r="CR117" s="607">
        <f t="shared" si="197"/>
        <v>0</v>
      </c>
      <c r="CS117" s="606">
        <f t="shared" si="198"/>
        <v>0</v>
      </c>
      <c r="CT117" s="607">
        <f t="shared" si="199"/>
        <v>0</v>
      </c>
      <c r="CU117" s="608">
        <f t="shared" si="200"/>
        <v>0</v>
      </c>
      <c r="CV117" s="610">
        <f t="shared" si="201"/>
        <v>24489.473684210527</v>
      </c>
      <c r="CW117" s="608">
        <f t="shared" si="202"/>
        <v>44167</v>
      </c>
      <c r="CX117" s="610">
        <f t="shared" si="203"/>
        <v>24489.473684210527</v>
      </c>
      <c r="CY117" s="611">
        <f t="shared" si="204"/>
        <v>44167</v>
      </c>
      <c r="CZ117" s="605">
        <f t="shared" si="205"/>
        <v>0</v>
      </c>
      <c r="DA117" s="612">
        <f t="shared" si="206"/>
        <v>0</v>
      </c>
      <c r="DB117" s="607">
        <f t="shared" si="207"/>
        <v>0</v>
      </c>
      <c r="DC117" s="606">
        <f t="shared" si="208"/>
        <v>0</v>
      </c>
      <c r="DD117" s="607">
        <f t="shared" si="209"/>
        <v>0</v>
      </c>
      <c r="DE117" s="606">
        <f t="shared" si="210"/>
        <v>0</v>
      </c>
      <c r="DF117" s="607">
        <f t="shared" si="211"/>
        <v>0</v>
      </c>
      <c r="DG117" s="606">
        <f t="shared" si="212"/>
        <v>0</v>
      </c>
      <c r="DH117" s="607">
        <f t="shared" si="213"/>
        <v>0</v>
      </c>
      <c r="DI117" s="608">
        <f t="shared" si="214"/>
        <v>0</v>
      </c>
      <c r="DJ117" s="607">
        <f t="shared" si="215"/>
        <v>114</v>
      </c>
      <c r="DK117" s="608">
        <f t="shared" si="216"/>
        <v>82</v>
      </c>
      <c r="DL117" s="607">
        <f t="shared" si="217"/>
        <v>114</v>
      </c>
      <c r="DM117" s="608">
        <f t="shared" si="218"/>
        <v>82</v>
      </c>
      <c r="DN117" s="607">
        <f t="shared" si="219"/>
        <v>0</v>
      </c>
      <c r="DO117" s="612">
        <f t="shared" si="220"/>
        <v>0</v>
      </c>
      <c r="DP117" s="607">
        <f t="shared" si="221"/>
        <v>0</v>
      </c>
      <c r="DQ117" s="606">
        <f t="shared" si="222"/>
        <v>0</v>
      </c>
      <c r="DR117" s="607">
        <f t="shared" si="223"/>
        <v>0</v>
      </c>
      <c r="DS117" s="606">
        <f t="shared" si="224"/>
        <v>0</v>
      </c>
      <c r="DT117" s="607">
        <f t="shared" si="225"/>
        <v>0</v>
      </c>
      <c r="DU117" s="606">
        <f t="shared" si="226"/>
        <v>0</v>
      </c>
      <c r="DV117" s="607">
        <f t="shared" si="227"/>
        <v>0</v>
      </c>
      <c r="DW117" s="608">
        <f t="shared" si="228"/>
        <v>0</v>
      </c>
      <c r="DX117" s="607">
        <f t="shared" si="229"/>
        <v>2791800</v>
      </c>
      <c r="DY117" s="608">
        <f t="shared" si="230"/>
        <v>3621694</v>
      </c>
      <c r="DZ117" s="607">
        <f t="shared" si="231"/>
        <v>2791800</v>
      </c>
      <c r="EA117" s="608">
        <f t="shared" si="232"/>
        <v>3621694</v>
      </c>
    </row>
    <row r="118" spans="1:131" ht="15" x14ac:dyDescent="0.2">
      <c r="A118" s="473" t="s">
        <v>34</v>
      </c>
      <c r="B118" s="494" t="s">
        <v>984</v>
      </c>
      <c r="C118" s="545"/>
      <c r="D118" s="499">
        <v>135188</v>
      </c>
      <c r="E118" s="496">
        <v>9</v>
      </c>
      <c r="F118" s="598"/>
      <c r="G118" s="599"/>
      <c r="H118" s="600"/>
      <c r="I118" s="601"/>
      <c r="J118" s="600"/>
      <c r="K118" s="599"/>
      <c r="L118" s="600"/>
      <c r="M118" s="601"/>
      <c r="N118" s="600"/>
      <c r="O118" s="599"/>
      <c r="P118" s="600"/>
      <c r="Q118" s="601"/>
      <c r="R118" s="600"/>
      <c r="S118" s="599"/>
      <c r="T118" s="600"/>
      <c r="U118" s="601"/>
      <c r="V118" s="600"/>
      <c r="W118" s="599"/>
      <c r="X118" s="600"/>
      <c r="Y118" s="601"/>
      <c r="Z118" s="600"/>
      <c r="AA118" s="599"/>
      <c r="AB118" s="600"/>
      <c r="AC118" s="601"/>
      <c r="AD118" s="600"/>
      <c r="AE118" s="599"/>
      <c r="AF118" s="600"/>
      <c r="AG118" s="601"/>
      <c r="AH118" s="600"/>
      <c r="AI118" s="599"/>
      <c r="AJ118" s="600"/>
      <c r="AK118" s="601"/>
      <c r="AL118" s="600"/>
      <c r="AM118" s="599"/>
      <c r="AN118" s="600"/>
      <c r="AO118" s="601"/>
      <c r="AP118" s="600"/>
      <c r="AQ118" s="599"/>
      <c r="AR118" s="600"/>
      <c r="AS118" s="601"/>
      <c r="AT118" s="600">
        <v>79</v>
      </c>
      <c r="AU118" s="599">
        <v>80</v>
      </c>
      <c r="AV118" s="600"/>
      <c r="AW118" s="601"/>
      <c r="AX118" s="600"/>
      <c r="AY118" s="599"/>
      <c r="AZ118" s="600"/>
      <c r="BA118" s="601"/>
      <c r="BB118" s="602">
        <v>0</v>
      </c>
      <c r="BC118" s="599"/>
      <c r="BD118" s="600">
        <v>0</v>
      </c>
      <c r="BE118" s="599"/>
      <c r="BF118" s="600">
        <v>0</v>
      </c>
      <c r="BG118" s="599"/>
      <c r="BH118" s="600">
        <v>0</v>
      </c>
      <c r="BI118" s="599"/>
      <c r="BJ118" s="600">
        <v>0</v>
      </c>
      <c r="BK118" s="615"/>
      <c r="BL118" s="600">
        <v>3570168</v>
      </c>
      <c r="BM118" s="622">
        <v>3677680</v>
      </c>
      <c r="BN118" s="605">
        <f t="shared" si="167"/>
        <v>0</v>
      </c>
      <c r="BO118" s="606">
        <f t="shared" si="168"/>
        <v>0</v>
      </c>
      <c r="BP118" s="607">
        <f t="shared" si="169"/>
        <v>0</v>
      </c>
      <c r="BQ118" s="606">
        <f t="shared" si="170"/>
        <v>0</v>
      </c>
      <c r="BR118" s="607">
        <f t="shared" si="171"/>
        <v>0</v>
      </c>
      <c r="BS118" s="606">
        <f t="shared" si="172"/>
        <v>0</v>
      </c>
      <c r="BT118" s="607">
        <f t="shared" si="173"/>
        <v>0</v>
      </c>
      <c r="BU118" s="606">
        <f t="shared" si="174"/>
        <v>0</v>
      </c>
      <c r="BV118" s="607">
        <f t="shared" si="175"/>
        <v>0</v>
      </c>
      <c r="BW118" s="608">
        <f t="shared" si="176"/>
        <v>0</v>
      </c>
      <c r="BX118" s="607">
        <f t="shared" si="177"/>
        <v>711</v>
      </c>
      <c r="BY118" s="608">
        <f t="shared" si="178"/>
        <v>720</v>
      </c>
      <c r="BZ118" s="607">
        <f t="shared" si="179"/>
        <v>0</v>
      </c>
      <c r="CA118" s="608">
        <f t="shared" si="180"/>
        <v>0</v>
      </c>
      <c r="CB118" s="607">
        <f t="shared" si="181"/>
        <v>0</v>
      </c>
      <c r="CC118" s="608">
        <f t="shared" si="182"/>
        <v>0</v>
      </c>
      <c r="CD118" s="607">
        <f t="shared" si="183"/>
        <v>0</v>
      </c>
      <c r="CE118" s="608">
        <f t="shared" si="184"/>
        <v>0</v>
      </c>
      <c r="CF118" s="607">
        <f t="shared" si="185"/>
        <v>0</v>
      </c>
      <c r="CG118" s="608">
        <f t="shared" si="186"/>
        <v>0</v>
      </c>
      <c r="CH118" s="607">
        <f t="shared" si="187"/>
        <v>0</v>
      </c>
      <c r="CI118" s="608">
        <f t="shared" si="188"/>
        <v>0</v>
      </c>
      <c r="CJ118" s="607">
        <f t="shared" si="189"/>
        <v>5021.333333333333</v>
      </c>
      <c r="CK118" s="608">
        <f t="shared" si="190"/>
        <v>5107.8888888888887</v>
      </c>
      <c r="CL118" s="609">
        <f t="shared" si="191"/>
        <v>0</v>
      </c>
      <c r="CM118" s="608">
        <f t="shared" si="192"/>
        <v>0</v>
      </c>
      <c r="CN118" s="610">
        <f t="shared" si="193"/>
        <v>0</v>
      </c>
      <c r="CO118" s="606">
        <f t="shared" si="194"/>
        <v>0</v>
      </c>
      <c r="CP118" s="607">
        <f t="shared" si="195"/>
        <v>0</v>
      </c>
      <c r="CQ118" s="606">
        <f t="shared" si="196"/>
        <v>0</v>
      </c>
      <c r="CR118" s="607">
        <f t="shared" si="197"/>
        <v>0</v>
      </c>
      <c r="CS118" s="606">
        <f t="shared" si="198"/>
        <v>0</v>
      </c>
      <c r="CT118" s="607">
        <f t="shared" si="199"/>
        <v>0</v>
      </c>
      <c r="CU118" s="608">
        <f t="shared" si="200"/>
        <v>0</v>
      </c>
      <c r="CV118" s="610">
        <f t="shared" si="201"/>
        <v>45192</v>
      </c>
      <c r="CW118" s="608">
        <f t="shared" si="202"/>
        <v>45971</v>
      </c>
      <c r="CX118" s="610">
        <f t="shared" si="203"/>
        <v>45192</v>
      </c>
      <c r="CY118" s="611">
        <f t="shared" si="204"/>
        <v>45971</v>
      </c>
      <c r="CZ118" s="605">
        <f t="shared" si="205"/>
        <v>0</v>
      </c>
      <c r="DA118" s="612">
        <f t="shared" si="206"/>
        <v>0</v>
      </c>
      <c r="DB118" s="607">
        <f t="shared" si="207"/>
        <v>0</v>
      </c>
      <c r="DC118" s="606">
        <f t="shared" si="208"/>
        <v>0</v>
      </c>
      <c r="DD118" s="607">
        <f t="shared" si="209"/>
        <v>0</v>
      </c>
      <c r="DE118" s="606">
        <f t="shared" si="210"/>
        <v>0</v>
      </c>
      <c r="DF118" s="607">
        <f t="shared" si="211"/>
        <v>0</v>
      </c>
      <c r="DG118" s="606">
        <f t="shared" si="212"/>
        <v>0</v>
      </c>
      <c r="DH118" s="607">
        <f t="shared" si="213"/>
        <v>0</v>
      </c>
      <c r="DI118" s="608">
        <f t="shared" si="214"/>
        <v>0</v>
      </c>
      <c r="DJ118" s="607">
        <f t="shared" si="215"/>
        <v>79</v>
      </c>
      <c r="DK118" s="608">
        <f t="shared" si="216"/>
        <v>80</v>
      </c>
      <c r="DL118" s="607">
        <f t="shared" si="217"/>
        <v>79</v>
      </c>
      <c r="DM118" s="608">
        <f t="shared" si="218"/>
        <v>80</v>
      </c>
      <c r="DN118" s="607">
        <f t="shared" si="219"/>
        <v>0</v>
      </c>
      <c r="DO118" s="612">
        <f t="shared" si="220"/>
        <v>0</v>
      </c>
      <c r="DP118" s="607">
        <f t="shared" si="221"/>
        <v>0</v>
      </c>
      <c r="DQ118" s="606">
        <f t="shared" si="222"/>
        <v>0</v>
      </c>
      <c r="DR118" s="607">
        <f t="shared" si="223"/>
        <v>0</v>
      </c>
      <c r="DS118" s="606">
        <f t="shared" si="224"/>
        <v>0</v>
      </c>
      <c r="DT118" s="607">
        <f t="shared" si="225"/>
        <v>0</v>
      </c>
      <c r="DU118" s="606">
        <f t="shared" si="226"/>
        <v>0</v>
      </c>
      <c r="DV118" s="607">
        <f t="shared" si="227"/>
        <v>0</v>
      </c>
      <c r="DW118" s="608">
        <f t="shared" si="228"/>
        <v>0</v>
      </c>
      <c r="DX118" s="607">
        <f t="shared" si="229"/>
        <v>3570168</v>
      </c>
      <c r="DY118" s="608">
        <f t="shared" si="230"/>
        <v>3677680</v>
      </c>
      <c r="DZ118" s="607">
        <f t="shared" si="231"/>
        <v>3570168</v>
      </c>
      <c r="EA118" s="608">
        <f t="shared" si="232"/>
        <v>3677680</v>
      </c>
    </row>
    <row r="119" spans="1:131" ht="15" x14ac:dyDescent="0.2">
      <c r="A119" s="495" t="s">
        <v>34</v>
      </c>
      <c r="B119" s="478" t="s">
        <v>985</v>
      </c>
      <c r="C119" s="545"/>
      <c r="D119" s="499">
        <v>137315</v>
      </c>
      <c r="E119" s="496">
        <v>9</v>
      </c>
      <c r="F119" s="598"/>
      <c r="G119" s="599"/>
      <c r="H119" s="600"/>
      <c r="I119" s="601"/>
      <c r="J119" s="600"/>
      <c r="K119" s="599"/>
      <c r="L119" s="600"/>
      <c r="M119" s="601"/>
      <c r="N119" s="600"/>
      <c r="O119" s="599"/>
      <c r="P119" s="600"/>
      <c r="Q119" s="601"/>
      <c r="R119" s="600"/>
      <c r="S119" s="599"/>
      <c r="T119" s="600"/>
      <c r="U119" s="601"/>
      <c r="V119" s="600"/>
      <c r="W119" s="599"/>
      <c r="X119" s="600"/>
      <c r="Y119" s="601"/>
      <c r="Z119" s="600"/>
      <c r="AA119" s="599"/>
      <c r="AB119" s="600"/>
      <c r="AC119" s="601"/>
      <c r="AD119" s="600"/>
      <c r="AE119" s="599"/>
      <c r="AF119" s="600"/>
      <c r="AG119" s="601"/>
      <c r="AH119" s="600"/>
      <c r="AI119" s="599"/>
      <c r="AJ119" s="600"/>
      <c r="AK119" s="601"/>
      <c r="AL119" s="600"/>
      <c r="AM119" s="599"/>
      <c r="AN119" s="600"/>
      <c r="AO119" s="601"/>
      <c r="AP119" s="600"/>
      <c r="AQ119" s="599"/>
      <c r="AR119" s="600"/>
      <c r="AS119" s="601"/>
      <c r="AT119" s="600">
        <v>62</v>
      </c>
      <c r="AU119" s="599">
        <v>66</v>
      </c>
      <c r="AV119" s="600"/>
      <c r="AW119" s="601"/>
      <c r="AX119" s="600"/>
      <c r="AY119" s="599"/>
      <c r="AZ119" s="600"/>
      <c r="BA119" s="601"/>
      <c r="BB119" s="602">
        <v>0</v>
      </c>
      <c r="BC119" s="599"/>
      <c r="BD119" s="600">
        <v>0</v>
      </c>
      <c r="BE119" s="599"/>
      <c r="BF119" s="600">
        <v>0</v>
      </c>
      <c r="BG119" s="599"/>
      <c r="BH119" s="600">
        <v>0</v>
      </c>
      <c r="BI119" s="599"/>
      <c r="BJ119" s="600">
        <v>0</v>
      </c>
      <c r="BK119" s="615"/>
      <c r="BL119" s="600">
        <v>3016672</v>
      </c>
      <c r="BM119" s="622">
        <v>3227730</v>
      </c>
      <c r="BN119" s="605">
        <f t="shared" si="167"/>
        <v>0</v>
      </c>
      <c r="BO119" s="606">
        <f t="shared" si="168"/>
        <v>0</v>
      </c>
      <c r="BP119" s="607">
        <f t="shared" si="169"/>
        <v>0</v>
      </c>
      <c r="BQ119" s="606">
        <f t="shared" si="170"/>
        <v>0</v>
      </c>
      <c r="BR119" s="607">
        <f t="shared" si="171"/>
        <v>0</v>
      </c>
      <c r="BS119" s="606">
        <f t="shared" si="172"/>
        <v>0</v>
      </c>
      <c r="BT119" s="607">
        <f t="shared" si="173"/>
        <v>0</v>
      </c>
      <c r="BU119" s="606">
        <f t="shared" si="174"/>
        <v>0</v>
      </c>
      <c r="BV119" s="607">
        <f t="shared" si="175"/>
        <v>0</v>
      </c>
      <c r="BW119" s="608">
        <f t="shared" si="176"/>
        <v>0</v>
      </c>
      <c r="BX119" s="607">
        <f t="shared" si="177"/>
        <v>558</v>
      </c>
      <c r="BY119" s="608">
        <f t="shared" si="178"/>
        <v>594</v>
      </c>
      <c r="BZ119" s="607">
        <f t="shared" si="179"/>
        <v>0</v>
      </c>
      <c r="CA119" s="608">
        <f t="shared" si="180"/>
        <v>0</v>
      </c>
      <c r="CB119" s="607">
        <f t="shared" si="181"/>
        <v>0</v>
      </c>
      <c r="CC119" s="608">
        <f t="shared" si="182"/>
        <v>0</v>
      </c>
      <c r="CD119" s="607">
        <f t="shared" si="183"/>
        <v>0</v>
      </c>
      <c r="CE119" s="608">
        <f t="shared" si="184"/>
        <v>0</v>
      </c>
      <c r="CF119" s="607">
        <f t="shared" si="185"/>
        <v>0</v>
      </c>
      <c r="CG119" s="608">
        <f t="shared" si="186"/>
        <v>0</v>
      </c>
      <c r="CH119" s="607">
        <f t="shared" si="187"/>
        <v>0</v>
      </c>
      <c r="CI119" s="608">
        <f t="shared" si="188"/>
        <v>0</v>
      </c>
      <c r="CJ119" s="607">
        <f t="shared" si="189"/>
        <v>5406.2222222222226</v>
      </c>
      <c r="CK119" s="608">
        <f t="shared" si="190"/>
        <v>5433.8888888888887</v>
      </c>
      <c r="CL119" s="609">
        <f t="shared" si="191"/>
        <v>0</v>
      </c>
      <c r="CM119" s="608">
        <f t="shared" si="192"/>
        <v>0</v>
      </c>
      <c r="CN119" s="610">
        <f t="shared" si="193"/>
        <v>0</v>
      </c>
      <c r="CO119" s="606">
        <f t="shared" si="194"/>
        <v>0</v>
      </c>
      <c r="CP119" s="607">
        <f t="shared" si="195"/>
        <v>0</v>
      </c>
      <c r="CQ119" s="606">
        <f t="shared" si="196"/>
        <v>0</v>
      </c>
      <c r="CR119" s="607">
        <f t="shared" si="197"/>
        <v>0</v>
      </c>
      <c r="CS119" s="606">
        <f t="shared" si="198"/>
        <v>0</v>
      </c>
      <c r="CT119" s="607">
        <f t="shared" si="199"/>
        <v>0</v>
      </c>
      <c r="CU119" s="608">
        <f t="shared" si="200"/>
        <v>0</v>
      </c>
      <c r="CV119" s="610">
        <f t="shared" si="201"/>
        <v>48656</v>
      </c>
      <c r="CW119" s="608">
        <f t="shared" si="202"/>
        <v>48905</v>
      </c>
      <c r="CX119" s="610">
        <f t="shared" si="203"/>
        <v>48656</v>
      </c>
      <c r="CY119" s="611">
        <f t="shared" si="204"/>
        <v>48905</v>
      </c>
      <c r="CZ119" s="605">
        <f t="shared" si="205"/>
        <v>0</v>
      </c>
      <c r="DA119" s="612">
        <f t="shared" si="206"/>
        <v>0</v>
      </c>
      <c r="DB119" s="607">
        <f t="shared" si="207"/>
        <v>0</v>
      </c>
      <c r="DC119" s="606">
        <f t="shared" si="208"/>
        <v>0</v>
      </c>
      <c r="DD119" s="607">
        <f t="shared" si="209"/>
        <v>0</v>
      </c>
      <c r="DE119" s="606">
        <f t="shared" si="210"/>
        <v>0</v>
      </c>
      <c r="DF119" s="607">
        <f t="shared" si="211"/>
        <v>0</v>
      </c>
      <c r="DG119" s="606">
        <f t="shared" si="212"/>
        <v>0</v>
      </c>
      <c r="DH119" s="607">
        <f t="shared" si="213"/>
        <v>0</v>
      </c>
      <c r="DI119" s="608">
        <f t="shared" si="214"/>
        <v>0</v>
      </c>
      <c r="DJ119" s="607">
        <f t="shared" si="215"/>
        <v>62</v>
      </c>
      <c r="DK119" s="608">
        <f t="shared" si="216"/>
        <v>66</v>
      </c>
      <c r="DL119" s="607">
        <f t="shared" si="217"/>
        <v>62</v>
      </c>
      <c r="DM119" s="608">
        <f t="shared" si="218"/>
        <v>66</v>
      </c>
      <c r="DN119" s="607">
        <f t="shared" si="219"/>
        <v>0</v>
      </c>
      <c r="DO119" s="612">
        <f t="shared" si="220"/>
        <v>0</v>
      </c>
      <c r="DP119" s="607">
        <f t="shared" si="221"/>
        <v>0</v>
      </c>
      <c r="DQ119" s="606">
        <f t="shared" si="222"/>
        <v>0</v>
      </c>
      <c r="DR119" s="607">
        <f t="shared" si="223"/>
        <v>0</v>
      </c>
      <c r="DS119" s="606">
        <f t="shared" si="224"/>
        <v>0</v>
      </c>
      <c r="DT119" s="607">
        <f t="shared" si="225"/>
        <v>0</v>
      </c>
      <c r="DU119" s="606">
        <f t="shared" si="226"/>
        <v>0</v>
      </c>
      <c r="DV119" s="607">
        <f t="shared" si="227"/>
        <v>0</v>
      </c>
      <c r="DW119" s="608">
        <f t="shared" si="228"/>
        <v>0</v>
      </c>
      <c r="DX119" s="607">
        <f t="shared" si="229"/>
        <v>3016672</v>
      </c>
      <c r="DY119" s="608">
        <f t="shared" si="230"/>
        <v>3227730</v>
      </c>
      <c r="DZ119" s="607">
        <f t="shared" si="231"/>
        <v>3016672</v>
      </c>
      <c r="EA119" s="608">
        <f t="shared" si="232"/>
        <v>3227730</v>
      </c>
    </row>
    <row r="120" spans="1:131" ht="15" x14ac:dyDescent="0.2">
      <c r="A120" s="495" t="s">
        <v>34</v>
      </c>
      <c r="B120" s="494" t="s">
        <v>986</v>
      </c>
      <c r="C120" s="546" t="s">
        <v>989</v>
      </c>
      <c r="D120" s="499">
        <v>137281</v>
      </c>
      <c r="E120" s="496">
        <v>9</v>
      </c>
      <c r="F120" s="598"/>
      <c r="G120" s="599"/>
      <c r="H120" s="600"/>
      <c r="I120" s="601"/>
      <c r="J120" s="600"/>
      <c r="K120" s="599"/>
      <c r="L120" s="600"/>
      <c r="M120" s="601"/>
      <c r="N120" s="600"/>
      <c r="O120" s="599"/>
      <c r="P120" s="600"/>
      <c r="Q120" s="601"/>
      <c r="R120" s="600"/>
      <c r="S120" s="599"/>
      <c r="T120" s="600"/>
      <c r="U120" s="601"/>
      <c r="V120" s="600"/>
      <c r="W120" s="599"/>
      <c r="X120" s="600"/>
      <c r="Y120" s="601"/>
      <c r="Z120" s="600"/>
      <c r="AA120" s="599"/>
      <c r="AB120" s="600"/>
      <c r="AC120" s="601"/>
      <c r="AD120" s="600"/>
      <c r="AE120" s="599"/>
      <c r="AF120" s="600"/>
      <c r="AG120" s="601"/>
      <c r="AH120" s="600"/>
      <c r="AI120" s="599"/>
      <c r="AJ120" s="600"/>
      <c r="AK120" s="601"/>
      <c r="AL120" s="600"/>
      <c r="AM120" s="599"/>
      <c r="AN120" s="600"/>
      <c r="AO120" s="601"/>
      <c r="AP120" s="600"/>
      <c r="AQ120" s="599"/>
      <c r="AR120" s="600"/>
      <c r="AS120" s="601"/>
      <c r="AT120" s="600">
        <v>126</v>
      </c>
      <c r="AU120" s="599">
        <v>138</v>
      </c>
      <c r="AV120" s="600"/>
      <c r="AW120" s="601"/>
      <c r="AX120" s="600"/>
      <c r="AY120" s="599"/>
      <c r="AZ120" s="600"/>
      <c r="BA120" s="601"/>
      <c r="BB120" s="602">
        <v>0</v>
      </c>
      <c r="BC120" s="599"/>
      <c r="BD120" s="600">
        <v>0</v>
      </c>
      <c r="BE120" s="599"/>
      <c r="BF120" s="600">
        <v>0</v>
      </c>
      <c r="BG120" s="599"/>
      <c r="BH120" s="600">
        <v>0</v>
      </c>
      <c r="BI120" s="599"/>
      <c r="BJ120" s="600">
        <v>0</v>
      </c>
      <c r="BK120" s="615"/>
      <c r="BL120" s="600">
        <v>5987898</v>
      </c>
      <c r="BM120" s="622">
        <v>6365664</v>
      </c>
      <c r="BN120" s="605">
        <f t="shared" si="167"/>
        <v>0</v>
      </c>
      <c r="BO120" s="606">
        <f t="shared" si="168"/>
        <v>0</v>
      </c>
      <c r="BP120" s="607">
        <f t="shared" si="169"/>
        <v>0</v>
      </c>
      <c r="BQ120" s="606">
        <f t="shared" si="170"/>
        <v>0</v>
      </c>
      <c r="BR120" s="607">
        <f t="shared" si="171"/>
        <v>0</v>
      </c>
      <c r="BS120" s="606">
        <f t="shared" si="172"/>
        <v>0</v>
      </c>
      <c r="BT120" s="607">
        <f t="shared" si="173"/>
        <v>0</v>
      </c>
      <c r="BU120" s="606">
        <f t="shared" si="174"/>
        <v>0</v>
      </c>
      <c r="BV120" s="607">
        <f t="shared" si="175"/>
        <v>0</v>
      </c>
      <c r="BW120" s="608">
        <f t="shared" si="176"/>
        <v>0</v>
      </c>
      <c r="BX120" s="607">
        <f t="shared" si="177"/>
        <v>1134</v>
      </c>
      <c r="BY120" s="608">
        <f t="shared" si="178"/>
        <v>1242</v>
      </c>
      <c r="BZ120" s="607">
        <f t="shared" si="179"/>
        <v>0</v>
      </c>
      <c r="CA120" s="608">
        <f t="shared" si="180"/>
        <v>0</v>
      </c>
      <c r="CB120" s="607">
        <f t="shared" si="181"/>
        <v>0</v>
      </c>
      <c r="CC120" s="608">
        <f t="shared" si="182"/>
        <v>0</v>
      </c>
      <c r="CD120" s="607">
        <f t="shared" si="183"/>
        <v>0</v>
      </c>
      <c r="CE120" s="608">
        <f t="shared" si="184"/>
        <v>0</v>
      </c>
      <c r="CF120" s="607">
        <f t="shared" si="185"/>
        <v>0</v>
      </c>
      <c r="CG120" s="608">
        <f t="shared" si="186"/>
        <v>0</v>
      </c>
      <c r="CH120" s="607">
        <f t="shared" si="187"/>
        <v>0</v>
      </c>
      <c r="CI120" s="608">
        <f t="shared" si="188"/>
        <v>0</v>
      </c>
      <c r="CJ120" s="607">
        <f t="shared" si="189"/>
        <v>5280.333333333333</v>
      </c>
      <c r="CK120" s="608">
        <f t="shared" si="190"/>
        <v>5125.333333333333</v>
      </c>
      <c r="CL120" s="609">
        <f t="shared" si="191"/>
        <v>0</v>
      </c>
      <c r="CM120" s="608">
        <f t="shared" si="192"/>
        <v>0</v>
      </c>
      <c r="CN120" s="610">
        <f t="shared" si="193"/>
        <v>0</v>
      </c>
      <c r="CO120" s="606">
        <f t="shared" si="194"/>
        <v>0</v>
      </c>
      <c r="CP120" s="607">
        <f t="shared" si="195"/>
        <v>0</v>
      </c>
      <c r="CQ120" s="606">
        <f t="shared" si="196"/>
        <v>0</v>
      </c>
      <c r="CR120" s="607">
        <f t="shared" si="197"/>
        <v>0</v>
      </c>
      <c r="CS120" s="606">
        <f t="shared" si="198"/>
        <v>0</v>
      </c>
      <c r="CT120" s="607">
        <f t="shared" si="199"/>
        <v>0</v>
      </c>
      <c r="CU120" s="608">
        <f t="shared" si="200"/>
        <v>0</v>
      </c>
      <c r="CV120" s="610">
        <f t="shared" si="201"/>
        <v>47523</v>
      </c>
      <c r="CW120" s="608">
        <f t="shared" si="202"/>
        <v>46128</v>
      </c>
      <c r="CX120" s="610">
        <f t="shared" si="203"/>
        <v>47523</v>
      </c>
      <c r="CY120" s="611">
        <f t="shared" si="204"/>
        <v>46128</v>
      </c>
      <c r="CZ120" s="605">
        <f t="shared" si="205"/>
        <v>0</v>
      </c>
      <c r="DA120" s="612">
        <f t="shared" si="206"/>
        <v>0</v>
      </c>
      <c r="DB120" s="607">
        <f t="shared" si="207"/>
        <v>0</v>
      </c>
      <c r="DC120" s="606">
        <f t="shared" si="208"/>
        <v>0</v>
      </c>
      <c r="DD120" s="607">
        <f t="shared" si="209"/>
        <v>0</v>
      </c>
      <c r="DE120" s="606">
        <f t="shared" si="210"/>
        <v>0</v>
      </c>
      <c r="DF120" s="607">
        <f t="shared" si="211"/>
        <v>0</v>
      </c>
      <c r="DG120" s="606">
        <f t="shared" si="212"/>
        <v>0</v>
      </c>
      <c r="DH120" s="607">
        <f t="shared" si="213"/>
        <v>0</v>
      </c>
      <c r="DI120" s="608">
        <f t="shared" si="214"/>
        <v>0</v>
      </c>
      <c r="DJ120" s="607">
        <f t="shared" si="215"/>
        <v>126</v>
      </c>
      <c r="DK120" s="608">
        <f t="shared" si="216"/>
        <v>138</v>
      </c>
      <c r="DL120" s="607">
        <f t="shared" si="217"/>
        <v>126</v>
      </c>
      <c r="DM120" s="608">
        <f t="shared" si="218"/>
        <v>138</v>
      </c>
      <c r="DN120" s="607">
        <f t="shared" si="219"/>
        <v>0</v>
      </c>
      <c r="DO120" s="612">
        <f t="shared" si="220"/>
        <v>0</v>
      </c>
      <c r="DP120" s="607">
        <f t="shared" si="221"/>
        <v>0</v>
      </c>
      <c r="DQ120" s="606">
        <f t="shared" si="222"/>
        <v>0</v>
      </c>
      <c r="DR120" s="607">
        <f t="shared" si="223"/>
        <v>0</v>
      </c>
      <c r="DS120" s="606">
        <f t="shared" si="224"/>
        <v>0</v>
      </c>
      <c r="DT120" s="607">
        <f t="shared" si="225"/>
        <v>0</v>
      </c>
      <c r="DU120" s="606">
        <f t="shared" si="226"/>
        <v>0</v>
      </c>
      <c r="DV120" s="607">
        <f t="shared" si="227"/>
        <v>0</v>
      </c>
      <c r="DW120" s="608">
        <f t="shared" si="228"/>
        <v>0</v>
      </c>
      <c r="DX120" s="607">
        <f t="shared" si="229"/>
        <v>5987898</v>
      </c>
      <c r="DY120" s="608">
        <f t="shared" si="230"/>
        <v>6365664</v>
      </c>
      <c r="DZ120" s="607">
        <f t="shared" si="231"/>
        <v>5987898</v>
      </c>
      <c r="EA120" s="608">
        <f t="shared" si="232"/>
        <v>6365664</v>
      </c>
    </row>
    <row r="121" spans="1:131" ht="15" x14ac:dyDescent="0.2">
      <c r="A121" s="495" t="s">
        <v>34</v>
      </c>
      <c r="B121" s="478" t="s">
        <v>987</v>
      </c>
      <c r="C121" s="545"/>
      <c r="D121" s="499">
        <v>133960</v>
      </c>
      <c r="E121" s="496">
        <v>10</v>
      </c>
      <c r="F121" s="598"/>
      <c r="G121" s="599"/>
      <c r="H121" s="600"/>
      <c r="I121" s="601"/>
      <c r="J121" s="600"/>
      <c r="K121" s="599"/>
      <c r="L121" s="600"/>
      <c r="M121" s="601"/>
      <c r="N121" s="600"/>
      <c r="O121" s="599"/>
      <c r="P121" s="600"/>
      <c r="Q121" s="601"/>
      <c r="R121" s="600"/>
      <c r="S121" s="599"/>
      <c r="T121" s="600"/>
      <c r="U121" s="601"/>
      <c r="V121" s="600"/>
      <c r="W121" s="599"/>
      <c r="X121" s="600"/>
      <c r="Y121" s="601"/>
      <c r="Z121" s="600"/>
      <c r="AA121" s="599"/>
      <c r="AB121" s="600"/>
      <c r="AC121" s="601"/>
      <c r="AD121" s="600"/>
      <c r="AE121" s="599"/>
      <c r="AF121" s="600"/>
      <c r="AG121" s="601"/>
      <c r="AH121" s="600"/>
      <c r="AI121" s="599"/>
      <c r="AJ121" s="600"/>
      <c r="AK121" s="601"/>
      <c r="AL121" s="600"/>
      <c r="AM121" s="599"/>
      <c r="AN121" s="600"/>
      <c r="AO121" s="601"/>
      <c r="AP121" s="600"/>
      <c r="AQ121" s="599"/>
      <c r="AR121" s="600"/>
      <c r="AS121" s="601"/>
      <c r="AT121" s="600">
        <v>28</v>
      </c>
      <c r="AU121" s="599">
        <v>28</v>
      </c>
      <c r="AV121" s="600"/>
      <c r="AW121" s="601"/>
      <c r="AX121" s="600"/>
      <c r="AY121" s="599"/>
      <c r="AZ121" s="600"/>
      <c r="BA121" s="601"/>
      <c r="BB121" s="602">
        <v>0</v>
      </c>
      <c r="BC121" s="599"/>
      <c r="BD121" s="600">
        <v>0</v>
      </c>
      <c r="BE121" s="599"/>
      <c r="BF121" s="600">
        <v>0</v>
      </c>
      <c r="BG121" s="599"/>
      <c r="BH121" s="600">
        <v>0</v>
      </c>
      <c r="BI121" s="599"/>
      <c r="BJ121" s="600">
        <v>0</v>
      </c>
      <c r="BK121" s="615"/>
      <c r="BL121" s="600">
        <v>1549604</v>
      </c>
      <c r="BM121" s="622">
        <v>1600536</v>
      </c>
      <c r="BN121" s="605">
        <f t="shared" si="167"/>
        <v>0</v>
      </c>
      <c r="BO121" s="606">
        <f t="shared" si="168"/>
        <v>0</v>
      </c>
      <c r="BP121" s="607">
        <f t="shared" si="169"/>
        <v>0</v>
      </c>
      <c r="BQ121" s="606">
        <f t="shared" si="170"/>
        <v>0</v>
      </c>
      <c r="BR121" s="607">
        <f t="shared" si="171"/>
        <v>0</v>
      </c>
      <c r="BS121" s="606">
        <f t="shared" si="172"/>
        <v>0</v>
      </c>
      <c r="BT121" s="607">
        <f t="shared" si="173"/>
        <v>0</v>
      </c>
      <c r="BU121" s="606">
        <f t="shared" si="174"/>
        <v>0</v>
      </c>
      <c r="BV121" s="607">
        <f t="shared" si="175"/>
        <v>0</v>
      </c>
      <c r="BW121" s="608">
        <f t="shared" si="176"/>
        <v>0</v>
      </c>
      <c r="BX121" s="607">
        <f t="shared" si="177"/>
        <v>252</v>
      </c>
      <c r="BY121" s="608">
        <f t="shared" si="178"/>
        <v>252</v>
      </c>
      <c r="BZ121" s="607">
        <f t="shared" si="179"/>
        <v>0</v>
      </c>
      <c r="CA121" s="608">
        <f t="shared" si="180"/>
        <v>0</v>
      </c>
      <c r="CB121" s="607">
        <f t="shared" si="181"/>
        <v>0</v>
      </c>
      <c r="CC121" s="608">
        <f t="shared" si="182"/>
        <v>0</v>
      </c>
      <c r="CD121" s="607">
        <f t="shared" si="183"/>
        <v>0</v>
      </c>
      <c r="CE121" s="608">
        <f t="shared" si="184"/>
        <v>0</v>
      </c>
      <c r="CF121" s="607">
        <f t="shared" si="185"/>
        <v>0</v>
      </c>
      <c r="CG121" s="608">
        <f t="shared" si="186"/>
        <v>0</v>
      </c>
      <c r="CH121" s="607">
        <f t="shared" si="187"/>
        <v>0</v>
      </c>
      <c r="CI121" s="608">
        <f t="shared" si="188"/>
        <v>0</v>
      </c>
      <c r="CJ121" s="607">
        <f t="shared" si="189"/>
        <v>6149.2222222222226</v>
      </c>
      <c r="CK121" s="608">
        <f t="shared" si="190"/>
        <v>6351.333333333333</v>
      </c>
      <c r="CL121" s="609">
        <f t="shared" si="191"/>
        <v>0</v>
      </c>
      <c r="CM121" s="608">
        <f t="shared" si="192"/>
        <v>0</v>
      </c>
      <c r="CN121" s="610">
        <f t="shared" si="193"/>
        <v>0</v>
      </c>
      <c r="CO121" s="606">
        <f t="shared" si="194"/>
        <v>0</v>
      </c>
      <c r="CP121" s="607">
        <f t="shared" si="195"/>
        <v>0</v>
      </c>
      <c r="CQ121" s="606">
        <f t="shared" si="196"/>
        <v>0</v>
      </c>
      <c r="CR121" s="607">
        <f t="shared" si="197"/>
        <v>0</v>
      </c>
      <c r="CS121" s="606">
        <f t="shared" si="198"/>
        <v>0</v>
      </c>
      <c r="CT121" s="607">
        <f t="shared" si="199"/>
        <v>0</v>
      </c>
      <c r="CU121" s="608">
        <f t="shared" si="200"/>
        <v>0</v>
      </c>
      <c r="CV121" s="610">
        <f t="shared" si="201"/>
        <v>55343</v>
      </c>
      <c r="CW121" s="608">
        <f t="shared" si="202"/>
        <v>57162</v>
      </c>
      <c r="CX121" s="610">
        <f t="shared" si="203"/>
        <v>55343</v>
      </c>
      <c r="CY121" s="611">
        <f t="shared" si="204"/>
        <v>57162</v>
      </c>
      <c r="CZ121" s="605">
        <f t="shared" si="205"/>
        <v>0</v>
      </c>
      <c r="DA121" s="612">
        <f t="shared" si="206"/>
        <v>0</v>
      </c>
      <c r="DB121" s="607">
        <f t="shared" si="207"/>
        <v>0</v>
      </c>
      <c r="DC121" s="606">
        <f t="shared" si="208"/>
        <v>0</v>
      </c>
      <c r="DD121" s="607">
        <f t="shared" si="209"/>
        <v>0</v>
      </c>
      <c r="DE121" s="606">
        <f t="shared" si="210"/>
        <v>0</v>
      </c>
      <c r="DF121" s="607">
        <f t="shared" si="211"/>
        <v>0</v>
      </c>
      <c r="DG121" s="606">
        <f t="shared" si="212"/>
        <v>0</v>
      </c>
      <c r="DH121" s="607">
        <f t="shared" si="213"/>
        <v>0</v>
      </c>
      <c r="DI121" s="608">
        <f t="shared" si="214"/>
        <v>0</v>
      </c>
      <c r="DJ121" s="607">
        <f t="shared" si="215"/>
        <v>28</v>
      </c>
      <c r="DK121" s="608">
        <f t="shared" si="216"/>
        <v>28</v>
      </c>
      <c r="DL121" s="607">
        <f t="shared" si="217"/>
        <v>28</v>
      </c>
      <c r="DM121" s="608">
        <f t="shared" si="218"/>
        <v>28</v>
      </c>
      <c r="DN121" s="607">
        <f t="shared" si="219"/>
        <v>0</v>
      </c>
      <c r="DO121" s="612">
        <f t="shared" si="220"/>
        <v>0</v>
      </c>
      <c r="DP121" s="607">
        <f t="shared" si="221"/>
        <v>0</v>
      </c>
      <c r="DQ121" s="606">
        <f t="shared" si="222"/>
        <v>0</v>
      </c>
      <c r="DR121" s="607">
        <f t="shared" si="223"/>
        <v>0</v>
      </c>
      <c r="DS121" s="606">
        <f t="shared" si="224"/>
        <v>0</v>
      </c>
      <c r="DT121" s="607">
        <f t="shared" si="225"/>
        <v>0</v>
      </c>
      <c r="DU121" s="606">
        <f t="shared" si="226"/>
        <v>0</v>
      </c>
      <c r="DV121" s="607">
        <f t="shared" si="227"/>
        <v>0</v>
      </c>
      <c r="DW121" s="608">
        <f t="shared" si="228"/>
        <v>0</v>
      </c>
      <c r="DX121" s="607">
        <f t="shared" si="229"/>
        <v>1549604</v>
      </c>
      <c r="DY121" s="608">
        <f t="shared" si="230"/>
        <v>1600536</v>
      </c>
      <c r="DZ121" s="607">
        <f t="shared" si="231"/>
        <v>1549604</v>
      </c>
      <c r="EA121" s="608">
        <f t="shared" si="232"/>
        <v>1600536</v>
      </c>
    </row>
    <row r="122" spans="1:131" ht="15" x14ac:dyDescent="0.2">
      <c r="A122" s="473" t="s">
        <v>34</v>
      </c>
      <c r="B122" s="478" t="s">
        <v>988</v>
      </c>
      <c r="C122" s="545"/>
      <c r="D122" s="499">
        <v>136145</v>
      </c>
      <c r="E122" s="496">
        <v>10</v>
      </c>
      <c r="F122" s="598"/>
      <c r="G122" s="599"/>
      <c r="H122" s="600"/>
      <c r="I122" s="601"/>
      <c r="J122" s="600"/>
      <c r="K122" s="599"/>
      <c r="L122" s="600"/>
      <c r="M122" s="601"/>
      <c r="N122" s="600"/>
      <c r="O122" s="599"/>
      <c r="P122" s="600"/>
      <c r="Q122" s="601"/>
      <c r="R122" s="600"/>
      <c r="S122" s="599"/>
      <c r="T122" s="600"/>
      <c r="U122" s="601"/>
      <c r="V122" s="600"/>
      <c r="W122" s="599"/>
      <c r="X122" s="600"/>
      <c r="Y122" s="601"/>
      <c r="Z122" s="600"/>
      <c r="AA122" s="599"/>
      <c r="AB122" s="600"/>
      <c r="AC122" s="601"/>
      <c r="AD122" s="600"/>
      <c r="AE122" s="599"/>
      <c r="AF122" s="600"/>
      <c r="AG122" s="601"/>
      <c r="AH122" s="600"/>
      <c r="AI122" s="599"/>
      <c r="AJ122" s="600"/>
      <c r="AK122" s="601"/>
      <c r="AL122" s="600"/>
      <c r="AM122" s="599"/>
      <c r="AN122" s="600"/>
      <c r="AO122" s="601"/>
      <c r="AP122" s="600"/>
      <c r="AQ122" s="599"/>
      <c r="AR122" s="600"/>
      <c r="AS122" s="601"/>
      <c r="AT122" s="600">
        <v>29</v>
      </c>
      <c r="AU122" s="599">
        <v>31</v>
      </c>
      <c r="AV122" s="600"/>
      <c r="AW122" s="601"/>
      <c r="AX122" s="600"/>
      <c r="AY122" s="599"/>
      <c r="AZ122" s="600"/>
      <c r="BA122" s="601"/>
      <c r="BB122" s="602">
        <v>0</v>
      </c>
      <c r="BC122" s="599"/>
      <c r="BD122" s="600">
        <v>0</v>
      </c>
      <c r="BE122" s="599"/>
      <c r="BF122" s="600">
        <v>0</v>
      </c>
      <c r="BG122" s="599"/>
      <c r="BH122" s="600">
        <v>0</v>
      </c>
      <c r="BI122" s="599"/>
      <c r="BJ122" s="600">
        <v>0</v>
      </c>
      <c r="BK122" s="615"/>
      <c r="BL122" s="600">
        <v>1240156</v>
      </c>
      <c r="BM122" s="622">
        <v>1355971</v>
      </c>
      <c r="BN122" s="605">
        <f t="shared" si="167"/>
        <v>0</v>
      </c>
      <c r="BO122" s="606">
        <f t="shared" si="168"/>
        <v>0</v>
      </c>
      <c r="BP122" s="607">
        <f t="shared" si="169"/>
        <v>0</v>
      </c>
      <c r="BQ122" s="606">
        <f t="shared" si="170"/>
        <v>0</v>
      </c>
      <c r="BR122" s="607">
        <f t="shared" si="171"/>
        <v>0</v>
      </c>
      <c r="BS122" s="606">
        <f t="shared" si="172"/>
        <v>0</v>
      </c>
      <c r="BT122" s="607">
        <f t="shared" si="173"/>
        <v>0</v>
      </c>
      <c r="BU122" s="606">
        <f t="shared" si="174"/>
        <v>0</v>
      </c>
      <c r="BV122" s="607">
        <f t="shared" si="175"/>
        <v>0</v>
      </c>
      <c r="BW122" s="608">
        <f t="shared" si="176"/>
        <v>0</v>
      </c>
      <c r="BX122" s="607">
        <f t="shared" si="177"/>
        <v>261</v>
      </c>
      <c r="BY122" s="608">
        <f t="shared" si="178"/>
        <v>279</v>
      </c>
      <c r="BZ122" s="607">
        <f t="shared" si="179"/>
        <v>0</v>
      </c>
      <c r="CA122" s="608">
        <f t="shared" si="180"/>
        <v>0</v>
      </c>
      <c r="CB122" s="607">
        <f t="shared" si="181"/>
        <v>0</v>
      </c>
      <c r="CC122" s="608">
        <f t="shared" si="182"/>
        <v>0</v>
      </c>
      <c r="CD122" s="607">
        <f t="shared" si="183"/>
        <v>0</v>
      </c>
      <c r="CE122" s="608">
        <f t="shared" si="184"/>
        <v>0</v>
      </c>
      <c r="CF122" s="607">
        <f t="shared" si="185"/>
        <v>0</v>
      </c>
      <c r="CG122" s="608">
        <f t="shared" si="186"/>
        <v>0</v>
      </c>
      <c r="CH122" s="607">
        <f t="shared" si="187"/>
        <v>0</v>
      </c>
      <c r="CI122" s="608">
        <f t="shared" si="188"/>
        <v>0</v>
      </c>
      <c r="CJ122" s="607">
        <f t="shared" si="189"/>
        <v>4751.5555555555557</v>
      </c>
      <c r="CK122" s="608">
        <f t="shared" si="190"/>
        <v>4860.1111111111113</v>
      </c>
      <c r="CL122" s="609">
        <f t="shared" si="191"/>
        <v>0</v>
      </c>
      <c r="CM122" s="608">
        <f t="shared" si="192"/>
        <v>0</v>
      </c>
      <c r="CN122" s="610">
        <f t="shared" si="193"/>
        <v>0</v>
      </c>
      <c r="CO122" s="606">
        <f t="shared" si="194"/>
        <v>0</v>
      </c>
      <c r="CP122" s="607">
        <f t="shared" si="195"/>
        <v>0</v>
      </c>
      <c r="CQ122" s="606">
        <f t="shared" si="196"/>
        <v>0</v>
      </c>
      <c r="CR122" s="607">
        <f t="shared" si="197"/>
        <v>0</v>
      </c>
      <c r="CS122" s="606">
        <f t="shared" si="198"/>
        <v>0</v>
      </c>
      <c r="CT122" s="607">
        <f t="shared" si="199"/>
        <v>0</v>
      </c>
      <c r="CU122" s="608">
        <f t="shared" si="200"/>
        <v>0</v>
      </c>
      <c r="CV122" s="610">
        <f t="shared" si="201"/>
        <v>42764</v>
      </c>
      <c r="CW122" s="608">
        <f t="shared" si="202"/>
        <v>43741</v>
      </c>
      <c r="CX122" s="610">
        <f t="shared" si="203"/>
        <v>42764</v>
      </c>
      <c r="CY122" s="611">
        <f t="shared" si="204"/>
        <v>43741</v>
      </c>
      <c r="CZ122" s="605">
        <f t="shared" si="205"/>
        <v>0</v>
      </c>
      <c r="DA122" s="612">
        <f t="shared" si="206"/>
        <v>0</v>
      </c>
      <c r="DB122" s="607">
        <f t="shared" si="207"/>
        <v>0</v>
      </c>
      <c r="DC122" s="606">
        <f t="shared" si="208"/>
        <v>0</v>
      </c>
      <c r="DD122" s="607">
        <f t="shared" si="209"/>
        <v>0</v>
      </c>
      <c r="DE122" s="606">
        <f t="shared" si="210"/>
        <v>0</v>
      </c>
      <c r="DF122" s="607">
        <f t="shared" si="211"/>
        <v>0</v>
      </c>
      <c r="DG122" s="606">
        <f t="shared" si="212"/>
        <v>0</v>
      </c>
      <c r="DH122" s="607">
        <f t="shared" si="213"/>
        <v>0</v>
      </c>
      <c r="DI122" s="608">
        <f t="shared" si="214"/>
        <v>0</v>
      </c>
      <c r="DJ122" s="607">
        <f t="shared" si="215"/>
        <v>29</v>
      </c>
      <c r="DK122" s="608">
        <f t="shared" si="216"/>
        <v>31</v>
      </c>
      <c r="DL122" s="607">
        <f t="shared" si="217"/>
        <v>29</v>
      </c>
      <c r="DM122" s="608">
        <f t="shared" si="218"/>
        <v>31</v>
      </c>
      <c r="DN122" s="607">
        <f t="shared" si="219"/>
        <v>0</v>
      </c>
      <c r="DO122" s="612">
        <f t="shared" si="220"/>
        <v>0</v>
      </c>
      <c r="DP122" s="607">
        <f t="shared" si="221"/>
        <v>0</v>
      </c>
      <c r="DQ122" s="606">
        <f t="shared" si="222"/>
        <v>0</v>
      </c>
      <c r="DR122" s="607">
        <f t="shared" si="223"/>
        <v>0</v>
      </c>
      <c r="DS122" s="606">
        <f t="shared" si="224"/>
        <v>0</v>
      </c>
      <c r="DT122" s="607">
        <f t="shared" si="225"/>
        <v>0</v>
      </c>
      <c r="DU122" s="606">
        <f t="shared" si="226"/>
        <v>0</v>
      </c>
      <c r="DV122" s="607">
        <f t="shared" si="227"/>
        <v>0</v>
      </c>
      <c r="DW122" s="608">
        <f t="shared" si="228"/>
        <v>0</v>
      </c>
      <c r="DX122" s="607">
        <f t="shared" si="229"/>
        <v>1240156</v>
      </c>
      <c r="DY122" s="608">
        <f t="shared" si="230"/>
        <v>1355971</v>
      </c>
      <c r="DZ122" s="607">
        <f t="shared" si="231"/>
        <v>1240156</v>
      </c>
      <c r="EA122" s="608">
        <f t="shared" si="232"/>
        <v>1355971</v>
      </c>
    </row>
    <row r="123" spans="1:131" x14ac:dyDescent="0.2">
      <c r="A123" s="469" t="s">
        <v>35</v>
      </c>
      <c r="B123" s="466" t="s">
        <v>857</v>
      </c>
      <c r="C123" s="549"/>
      <c r="D123" s="470">
        <v>139940</v>
      </c>
      <c r="E123" s="392">
        <v>1</v>
      </c>
      <c r="F123" s="598">
        <v>207</v>
      </c>
      <c r="G123" s="599">
        <f>150+64</f>
        <v>214</v>
      </c>
      <c r="H123" s="600"/>
      <c r="I123" s="601"/>
      <c r="J123" s="600">
        <v>7</v>
      </c>
      <c r="K123" s="599">
        <v>10</v>
      </c>
      <c r="L123" s="600"/>
      <c r="M123" s="601"/>
      <c r="N123" s="600">
        <v>321</v>
      </c>
      <c r="O123" s="599">
        <f>167+150</f>
        <v>317</v>
      </c>
      <c r="P123" s="600"/>
      <c r="Q123" s="601"/>
      <c r="R123" s="600">
        <v>5</v>
      </c>
      <c r="S123" s="599">
        <v>7</v>
      </c>
      <c r="T123" s="600"/>
      <c r="U123" s="601"/>
      <c r="V123" s="600">
        <v>329</v>
      </c>
      <c r="W123" s="599">
        <f>157+190</f>
        <v>347</v>
      </c>
      <c r="X123" s="600"/>
      <c r="Y123" s="601"/>
      <c r="Z123" s="600">
        <v>2</v>
      </c>
      <c r="AA123" s="599">
        <v>5</v>
      </c>
      <c r="AB123" s="600"/>
      <c r="AC123" s="601"/>
      <c r="AD123" s="600">
        <v>50</v>
      </c>
      <c r="AE123" s="599">
        <v>56</v>
      </c>
      <c r="AF123" s="600"/>
      <c r="AG123" s="601"/>
      <c r="AH123" s="600">
        <v>4</v>
      </c>
      <c r="AI123" s="599">
        <v>1</v>
      </c>
      <c r="AJ123" s="600"/>
      <c r="AK123" s="601"/>
      <c r="AL123" s="600">
        <v>159</v>
      </c>
      <c r="AM123" s="599">
        <f>85+94</f>
        <v>179</v>
      </c>
      <c r="AN123" s="600"/>
      <c r="AO123" s="601"/>
      <c r="AP123" s="600">
        <v>4</v>
      </c>
      <c r="AQ123" s="599">
        <v>2</v>
      </c>
      <c r="AR123" s="600"/>
      <c r="AS123" s="601"/>
      <c r="AT123" s="600"/>
      <c r="AU123" s="599"/>
      <c r="AV123" s="600"/>
      <c r="AW123" s="601"/>
      <c r="AX123" s="600"/>
      <c r="AY123" s="599"/>
      <c r="AZ123" s="600"/>
      <c r="BA123" s="601"/>
      <c r="BB123" s="602">
        <v>25873845</v>
      </c>
      <c r="BC123" s="599">
        <v>26993525</v>
      </c>
      <c r="BD123" s="600">
        <v>25531233</v>
      </c>
      <c r="BE123" s="599">
        <v>25876648</v>
      </c>
      <c r="BF123" s="600">
        <v>23037774</v>
      </c>
      <c r="BG123" s="599">
        <v>25513716</v>
      </c>
      <c r="BH123" s="600">
        <v>2942824</v>
      </c>
      <c r="BI123" s="599">
        <v>3039505</v>
      </c>
      <c r="BJ123" s="600">
        <v>7409818</v>
      </c>
      <c r="BK123" s="615">
        <v>8587851</v>
      </c>
      <c r="BL123" s="600">
        <v>0</v>
      </c>
      <c r="BM123" s="604"/>
      <c r="BN123" s="605">
        <f t="shared" si="167"/>
        <v>1940</v>
      </c>
      <c r="BO123" s="606">
        <f t="shared" si="168"/>
        <v>2036</v>
      </c>
      <c r="BP123" s="607">
        <f t="shared" si="169"/>
        <v>2944</v>
      </c>
      <c r="BQ123" s="606">
        <f t="shared" si="170"/>
        <v>2930</v>
      </c>
      <c r="BR123" s="607">
        <f t="shared" si="171"/>
        <v>2983</v>
      </c>
      <c r="BS123" s="606">
        <f t="shared" si="172"/>
        <v>3178</v>
      </c>
      <c r="BT123" s="607">
        <f t="shared" si="173"/>
        <v>494</v>
      </c>
      <c r="BU123" s="606">
        <f t="shared" si="174"/>
        <v>515</v>
      </c>
      <c r="BV123" s="607">
        <f t="shared" si="175"/>
        <v>1475</v>
      </c>
      <c r="BW123" s="608">
        <f t="shared" si="176"/>
        <v>1633</v>
      </c>
      <c r="BX123" s="607">
        <f t="shared" si="177"/>
        <v>0</v>
      </c>
      <c r="BY123" s="608">
        <f t="shared" si="178"/>
        <v>0</v>
      </c>
      <c r="BZ123" s="607">
        <f t="shared" si="179"/>
        <v>13337.033505154639</v>
      </c>
      <c r="CA123" s="608">
        <f t="shared" si="180"/>
        <v>13258.116404715127</v>
      </c>
      <c r="CB123" s="607">
        <f t="shared" si="181"/>
        <v>8672.2938179347821</v>
      </c>
      <c r="CC123" s="608">
        <f t="shared" si="182"/>
        <v>8831.6204778156989</v>
      </c>
      <c r="CD123" s="607">
        <f t="shared" si="183"/>
        <v>7723.0217901441501</v>
      </c>
      <c r="CE123" s="608">
        <f t="shared" si="184"/>
        <v>8028.2303335431088</v>
      </c>
      <c r="CF123" s="607">
        <f t="shared" si="185"/>
        <v>5957.1336032388663</v>
      </c>
      <c r="CG123" s="608">
        <f t="shared" si="186"/>
        <v>5901.9514563106795</v>
      </c>
      <c r="CH123" s="607">
        <f t="shared" si="187"/>
        <v>5023.6054237288135</v>
      </c>
      <c r="CI123" s="608">
        <f t="shared" si="188"/>
        <v>5258.9412124923456</v>
      </c>
      <c r="CJ123" s="607">
        <f t="shared" si="189"/>
        <v>0</v>
      </c>
      <c r="CK123" s="608">
        <f t="shared" si="190"/>
        <v>0</v>
      </c>
      <c r="CL123" s="609">
        <f t="shared" si="191"/>
        <v>120033.30154639175</v>
      </c>
      <c r="CM123" s="608">
        <f t="shared" si="192"/>
        <v>119323.04764243614</v>
      </c>
      <c r="CN123" s="610">
        <f t="shared" si="193"/>
        <v>78050.64436141304</v>
      </c>
      <c r="CO123" s="606">
        <f t="shared" si="194"/>
        <v>79484.584300341288</v>
      </c>
      <c r="CP123" s="607">
        <f t="shared" si="195"/>
        <v>69507.196111297351</v>
      </c>
      <c r="CQ123" s="606">
        <f t="shared" si="196"/>
        <v>72254.073001887984</v>
      </c>
      <c r="CR123" s="607">
        <f t="shared" si="197"/>
        <v>53614.202429149795</v>
      </c>
      <c r="CS123" s="606">
        <f t="shared" si="198"/>
        <v>53117.563106796115</v>
      </c>
      <c r="CT123" s="607">
        <f t="shared" si="199"/>
        <v>45212.44881355932</v>
      </c>
      <c r="CU123" s="608">
        <f t="shared" si="200"/>
        <v>47330.470912431112</v>
      </c>
      <c r="CV123" s="610">
        <f t="shared" si="201"/>
        <v>0</v>
      </c>
      <c r="CW123" s="608">
        <f t="shared" si="202"/>
        <v>0</v>
      </c>
      <c r="CX123" s="610">
        <f t="shared" si="203"/>
        <v>77576.575913025896</v>
      </c>
      <c r="CY123" s="611">
        <f t="shared" si="204"/>
        <v>78654.936743513405</v>
      </c>
      <c r="CZ123" s="605">
        <f t="shared" si="205"/>
        <v>214</v>
      </c>
      <c r="DA123" s="612">
        <f t="shared" si="206"/>
        <v>224</v>
      </c>
      <c r="DB123" s="607">
        <f t="shared" si="207"/>
        <v>326</v>
      </c>
      <c r="DC123" s="606">
        <f t="shared" si="208"/>
        <v>324</v>
      </c>
      <c r="DD123" s="607">
        <f t="shared" si="209"/>
        <v>331</v>
      </c>
      <c r="DE123" s="606">
        <f t="shared" si="210"/>
        <v>352</v>
      </c>
      <c r="DF123" s="607">
        <f t="shared" si="211"/>
        <v>54</v>
      </c>
      <c r="DG123" s="606">
        <f t="shared" si="212"/>
        <v>57</v>
      </c>
      <c r="DH123" s="607">
        <f t="shared" si="213"/>
        <v>163</v>
      </c>
      <c r="DI123" s="608">
        <f t="shared" si="214"/>
        <v>181</v>
      </c>
      <c r="DJ123" s="607">
        <f t="shared" si="215"/>
        <v>0</v>
      </c>
      <c r="DK123" s="608">
        <f t="shared" si="216"/>
        <v>0</v>
      </c>
      <c r="DL123" s="607">
        <f t="shared" si="217"/>
        <v>1088</v>
      </c>
      <c r="DM123" s="608">
        <f t="shared" si="218"/>
        <v>1138</v>
      </c>
      <c r="DN123" s="607">
        <f t="shared" si="219"/>
        <v>25687126.530927837</v>
      </c>
      <c r="DO123" s="612">
        <f t="shared" si="220"/>
        <v>26728362.671905696</v>
      </c>
      <c r="DP123" s="607">
        <f t="shared" si="221"/>
        <v>25444510.061820652</v>
      </c>
      <c r="DQ123" s="606">
        <f t="shared" si="222"/>
        <v>25753005.313310578</v>
      </c>
      <c r="DR123" s="607">
        <f t="shared" si="223"/>
        <v>23006881.912839424</v>
      </c>
      <c r="DS123" s="606">
        <f t="shared" si="224"/>
        <v>25433433.696664572</v>
      </c>
      <c r="DT123" s="607">
        <f t="shared" si="225"/>
        <v>2895166.9311740887</v>
      </c>
      <c r="DU123" s="606">
        <f t="shared" si="226"/>
        <v>3027701.0970873786</v>
      </c>
      <c r="DV123" s="607">
        <f t="shared" si="227"/>
        <v>7369629.1566101694</v>
      </c>
      <c r="DW123" s="608">
        <f t="shared" si="228"/>
        <v>8566815.2351500317</v>
      </c>
      <c r="DX123" s="607">
        <f t="shared" si="229"/>
        <v>0</v>
      </c>
      <c r="DY123" s="608">
        <f t="shared" si="230"/>
        <v>0</v>
      </c>
      <c r="DZ123" s="607">
        <f t="shared" si="231"/>
        <v>84403314.593372181</v>
      </c>
      <c r="EA123" s="608">
        <f t="shared" si="232"/>
        <v>89509318.014118254</v>
      </c>
    </row>
    <row r="124" spans="1:131" x14ac:dyDescent="0.2">
      <c r="A124" s="469" t="s">
        <v>35</v>
      </c>
      <c r="B124" s="466" t="s">
        <v>858</v>
      </c>
      <c r="C124" s="549"/>
      <c r="D124" s="470">
        <v>139959</v>
      </c>
      <c r="E124" s="392">
        <v>1</v>
      </c>
      <c r="F124" s="598">
        <v>480</v>
      </c>
      <c r="G124" s="599">
        <f>356+133</f>
        <v>489</v>
      </c>
      <c r="H124" s="600"/>
      <c r="I124" s="601"/>
      <c r="J124" s="600">
        <v>219</v>
      </c>
      <c r="K124" s="599">
        <f>196+42</f>
        <v>238</v>
      </c>
      <c r="L124" s="600"/>
      <c r="M124" s="601"/>
      <c r="N124" s="600">
        <v>383</v>
      </c>
      <c r="O124" s="599">
        <f>216+164</f>
        <v>380</v>
      </c>
      <c r="P124" s="600"/>
      <c r="Q124" s="601"/>
      <c r="R124" s="600">
        <v>127</v>
      </c>
      <c r="S124" s="599">
        <f>90+45</f>
        <v>135</v>
      </c>
      <c r="T124" s="600"/>
      <c r="U124" s="601"/>
      <c r="V124" s="600">
        <v>320</v>
      </c>
      <c r="W124" s="599">
        <f>172+147</f>
        <v>319</v>
      </c>
      <c r="X124" s="600"/>
      <c r="Y124" s="601"/>
      <c r="Z124" s="600">
        <v>81</v>
      </c>
      <c r="AA124" s="599">
        <f>44+40</f>
        <v>84</v>
      </c>
      <c r="AB124" s="600"/>
      <c r="AC124" s="601"/>
      <c r="AD124" s="600">
        <v>41</v>
      </c>
      <c r="AE124" s="599">
        <f>11+17</f>
        <v>28</v>
      </c>
      <c r="AF124" s="600"/>
      <c r="AG124" s="601"/>
      <c r="AH124" s="600">
        <v>10</v>
      </c>
      <c r="AI124" s="599">
        <v>17</v>
      </c>
      <c r="AJ124" s="600"/>
      <c r="AK124" s="601"/>
      <c r="AL124" s="600">
        <v>128</v>
      </c>
      <c r="AM124" s="599">
        <f>63+79</f>
        <v>142</v>
      </c>
      <c r="AN124" s="600"/>
      <c r="AO124" s="601"/>
      <c r="AP124" s="600">
        <v>7</v>
      </c>
      <c r="AQ124" s="599">
        <v>9</v>
      </c>
      <c r="AR124" s="600"/>
      <c r="AS124" s="601"/>
      <c r="AT124" s="600"/>
      <c r="AU124" s="599"/>
      <c r="AV124" s="600"/>
      <c r="AW124" s="601"/>
      <c r="AX124" s="600"/>
      <c r="AY124" s="599"/>
      <c r="AZ124" s="600"/>
      <c r="BA124" s="601"/>
      <c r="BB124" s="602">
        <v>80191401</v>
      </c>
      <c r="BC124" s="599">
        <v>84572326</v>
      </c>
      <c r="BD124" s="600">
        <v>42549469</v>
      </c>
      <c r="BE124" s="599">
        <v>43822895</v>
      </c>
      <c r="BF124" s="600">
        <v>31462455</v>
      </c>
      <c r="BG124" s="599">
        <v>31876757</v>
      </c>
      <c r="BH124" s="600">
        <v>2798152</v>
      </c>
      <c r="BI124" s="599">
        <v>2510094</v>
      </c>
      <c r="BJ124" s="600">
        <v>8135952</v>
      </c>
      <c r="BK124" s="615">
        <v>9051041</v>
      </c>
      <c r="BL124" s="600">
        <v>0</v>
      </c>
      <c r="BM124" s="604"/>
      <c r="BN124" s="605">
        <f t="shared" si="167"/>
        <v>6729</v>
      </c>
      <c r="BO124" s="606">
        <f t="shared" si="168"/>
        <v>7019</v>
      </c>
      <c r="BP124" s="607">
        <f t="shared" si="169"/>
        <v>4844</v>
      </c>
      <c r="BQ124" s="606">
        <f t="shared" si="170"/>
        <v>4905</v>
      </c>
      <c r="BR124" s="607">
        <f t="shared" si="171"/>
        <v>3771</v>
      </c>
      <c r="BS124" s="606">
        <f t="shared" si="172"/>
        <v>3795</v>
      </c>
      <c r="BT124" s="607">
        <f t="shared" si="173"/>
        <v>479</v>
      </c>
      <c r="BU124" s="606">
        <f t="shared" si="174"/>
        <v>439</v>
      </c>
      <c r="BV124" s="607">
        <f t="shared" si="175"/>
        <v>1229</v>
      </c>
      <c r="BW124" s="608">
        <f t="shared" si="176"/>
        <v>1377</v>
      </c>
      <c r="BX124" s="607">
        <f t="shared" si="177"/>
        <v>0</v>
      </c>
      <c r="BY124" s="608">
        <f t="shared" si="178"/>
        <v>0</v>
      </c>
      <c r="BZ124" s="607">
        <f t="shared" si="179"/>
        <v>11917.283548818546</v>
      </c>
      <c r="CA124" s="608">
        <f t="shared" si="180"/>
        <v>12049.056275822766</v>
      </c>
      <c r="CB124" s="607">
        <f t="shared" si="181"/>
        <v>8783.9531379025593</v>
      </c>
      <c r="CC124" s="608">
        <f t="shared" si="182"/>
        <v>8934.3312945973503</v>
      </c>
      <c r="CD124" s="607">
        <f t="shared" si="183"/>
        <v>8343.2657120127278</v>
      </c>
      <c r="CE124" s="608">
        <f t="shared" si="184"/>
        <v>8399.6724637681164</v>
      </c>
      <c r="CF124" s="607">
        <f t="shared" si="185"/>
        <v>5841.653444676409</v>
      </c>
      <c r="CG124" s="608">
        <f t="shared" si="186"/>
        <v>5717.7539863325737</v>
      </c>
      <c r="CH124" s="607">
        <f t="shared" si="187"/>
        <v>6619.9772172497969</v>
      </c>
      <c r="CI124" s="608">
        <f t="shared" si="188"/>
        <v>6573.0145243282495</v>
      </c>
      <c r="CJ124" s="607">
        <f t="shared" si="189"/>
        <v>0</v>
      </c>
      <c r="CK124" s="608">
        <f t="shared" si="190"/>
        <v>0</v>
      </c>
      <c r="CL124" s="609">
        <f t="shared" si="191"/>
        <v>107255.55193936692</v>
      </c>
      <c r="CM124" s="608">
        <f t="shared" si="192"/>
        <v>108441.50648240489</v>
      </c>
      <c r="CN124" s="610">
        <f t="shared" si="193"/>
        <v>79055.578241123032</v>
      </c>
      <c r="CO124" s="606">
        <f t="shared" si="194"/>
        <v>80408.981651376147</v>
      </c>
      <c r="CP124" s="607">
        <f t="shared" si="195"/>
        <v>75089.391408114549</v>
      </c>
      <c r="CQ124" s="606">
        <f t="shared" si="196"/>
        <v>75597.052173913049</v>
      </c>
      <c r="CR124" s="607">
        <f t="shared" si="197"/>
        <v>52574.881002087684</v>
      </c>
      <c r="CS124" s="606">
        <f t="shared" si="198"/>
        <v>51459.785876993163</v>
      </c>
      <c r="CT124" s="607">
        <f t="shared" si="199"/>
        <v>59579.794955248173</v>
      </c>
      <c r="CU124" s="608">
        <f t="shared" si="200"/>
        <v>59157.130718954242</v>
      </c>
      <c r="CV124" s="610">
        <f t="shared" si="201"/>
        <v>0</v>
      </c>
      <c r="CW124" s="608">
        <f t="shared" si="202"/>
        <v>0</v>
      </c>
      <c r="CX124" s="610">
        <f t="shared" si="203"/>
        <v>86929.517212310209</v>
      </c>
      <c r="CY124" s="611">
        <f t="shared" si="204"/>
        <v>87974.812543335589</v>
      </c>
      <c r="CZ124" s="605">
        <f t="shared" si="205"/>
        <v>699</v>
      </c>
      <c r="DA124" s="612">
        <f t="shared" si="206"/>
        <v>727</v>
      </c>
      <c r="DB124" s="607">
        <f t="shared" si="207"/>
        <v>510</v>
      </c>
      <c r="DC124" s="606">
        <f t="shared" si="208"/>
        <v>515</v>
      </c>
      <c r="DD124" s="607">
        <f t="shared" si="209"/>
        <v>401</v>
      </c>
      <c r="DE124" s="606">
        <f t="shared" si="210"/>
        <v>403</v>
      </c>
      <c r="DF124" s="607">
        <f t="shared" si="211"/>
        <v>51</v>
      </c>
      <c r="DG124" s="606">
        <f t="shared" si="212"/>
        <v>45</v>
      </c>
      <c r="DH124" s="607">
        <f t="shared" si="213"/>
        <v>135</v>
      </c>
      <c r="DI124" s="608">
        <f t="shared" si="214"/>
        <v>151</v>
      </c>
      <c r="DJ124" s="607">
        <f t="shared" si="215"/>
        <v>0</v>
      </c>
      <c r="DK124" s="608">
        <f t="shared" si="216"/>
        <v>0</v>
      </c>
      <c r="DL124" s="607">
        <f t="shared" si="217"/>
        <v>1796</v>
      </c>
      <c r="DM124" s="608">
        <f t="shared" si="218"/>
        <v>1841</v>
      </c>
      <c r="DN124" s="607">
        <f t="shared" si="219"/>
        <v>74971630.805617481</v>
      </c>
      <c r="DO124" s="612">
        <f t="shared" si="220"/>
        <v>78836975.212708354</v>
      </c>
      <c r="DP124" s="607">
        <f t="shared" si="221"/>
        <v>40318344.902972743</v>
      </c>
      <c r="DQ124" s="606">
        <f t="shared" si="222"/>
        <v>41410625.550458714</v>
      </c>
      <c r="DR124" s="607">
        <f t="shared" si="223"/>
        <v>30110845.954653934</v>
      </c>
      <c r="DS124" s="606">
        <f t="shared" si="224"/>
        <v>30465612.02608696</v>
      </c>
      <c r="DT124" s="607">
        <f t="shared" si="225"/>
        <v>2681318.9311064719</v>
      </c>
      <c r="DU124" s="606">
        <f t="shared" si="226"/>
        <v>2315690.3644646923</v>
      </c>
      <c r="DV124" s="607">
        <f t="shared" si="227"/>
        <v>8043272.3189585032</v>
      </c>
      <c r="DW124" s="608">
        <f t="shared" si="228"/>
        <v>8932726.7385620903</v>
      </c>
      <c r="DX124" s="607">
        <f t="shared" si="229"/>
        <v>0</v>
      </c>
      <c r="DY124" s="608">
        <f t="shared" si="230"/>
        <v>0</v>
      </c>
      <c r="DZ124" s="607">
        <f t="shared" si="231"/>
        <v>156125412.91330913</v>
      </c>
      <c r="EA124" s="608">
        <f t="shared" si="232"/>
        <v>161961629.89228082</v>
      </c>
    </row>
    <row r="125" spans="1:131" x14ac:dyDescent="0.2">
      <c r="A125" s="465" t="s">
        <v>35</v>
      </c>
      <c r="B125" s="466" t="s">
        <v>859</v>
      </c>
      <c r="C125" s="549"/>
      <c r="D125" s="470">
        <v>139755</v>
      </c>
      <c r="E125" s="392">
        <v>2</v>
      </c>
      <c r="F125" s="598">
        <v>374</v>
      </c>
      <c r="G125" s="599">
        <f>326+59</f>
        <v>385</v>
      </c>
      <c r="H125" s="600"/>
      <c r="I125" s="601"/>
      <c r="J125" s="600">
        <v>43</v>
      </c>
      <c r="K125" s="599">
        <f>44</f>
        <v>44</v>
      </c>
      <c r="L125" s="600"/>
      <c r="M125" s="601"/>
      <c r="N125" s="600">
        <v>252</v>
      </c>
      <c r="O125" s="599">
        <f>196+65</f>
        <v>261</v>
      </c>
      <c r="P125" s="600"/>
      <c r="Q125" s="601"/>
      <c r="R125" s="600">
        <v>2</v>
      </c>
      <c r="S125" s="599">
        <v>2</v>
      </c>
      <c r="T125" s="600"/>
      <c r="U125" s="601"/>
      <c r="V125" s="600">
        <v>225</v>
      </c>
      <c r="W125" s="599">
        <f>151+65</f>
        <v>216</v>
      </c>
      <c r="X125" s="600"/>
      <c r="Y125" s="601"/>
      <c r="Z125" s="600"/>
      <c r="AA125" s="599"/>
      <c r="AB125" s="600"/>
      <c r="AC125" s="601"/>
      <c r="AD125" s="600">
        <v>45</v>
      </c>
      <c r="AE125" s="599">
        <v>48</v>
      </c>
      <c r="AF125" s="600"/>
      <c r="AG125" s="601"/>
      <c r="AH125" s="600"/>
      <c r="AI125" s="599"/>
      <c r="AJ125" s="600"/>
      <c r="AK125" s="601"/>
      <c r="AL125" s="600">
        <v>64</v>
      </c>
      <c r="AM125" s="599">
        <f>14+26+23+9</f>
        <v>72</v>
      </c>
      <c r="AN125" s="600"/>
      <c r="AO125" s="601"/>
      <c r="AP125" s="600">
        <v>23</v>
      </c>
      <c r="AQ125" s="599">
        <v>15</v>
      </c>
      <c r="AR125" s="600"/>
      <c r="AS125" s="601"/>
      <c r="AT125" s="600"/>
      <c r="AU125" s="599"/>
      <c r="AV125" s="600"/>
      <c r="AW125" s="601"/>
      <c r="AX125" s="600"/>
      <c r="AY125" s="599"/>
      <c r="AZ125" s="600"/>
      <c r="BA125" s="601"/>
      <c r="BB125" s="602">
        <v>60520640</v>
      </c>
      <c r="BC125" s="599">
        <v>63082292</v>
      </c>
      <c r="BD125" s="600">
        <v>24166064</v>
      </c>
      <c r="BE125" s="599">
        <v>25269205</v>
      </c>
      <c r="BF125" s="600">
        <v>19505025</v>
      </c>
      <c r="BG125" s="599">
        <v>19339651</v>
      </c>
      <c r="BH125" s="600">
        <v>1566135</v>
      </c>
      <c r="BI125" s="599">
        <v>1744034</v>
      </c>
      <c r="BJ125" s="600">
        <v>6145765</v>
      </c>
      <c r="BK125" s="599">
        <v>6174127</v>
      </c>
      <c r="BL125" s="600">
        <v>0</v>
      </c>
      <c r="BM125" s="604"/>
      <c r="BN125" s="605">
        <f t="shared" si="167"/>
        <v>3839</v>
      </c>
      <c r="BO125" s="606">
        <f t="shared" si="168"/>
        <v>3949</v>
      </c>
      <c r="BP125" s="607">
        <f t="shared" si="169"/>
        <v>2290</v>
      </c>
      <c r="BQ125" s="606">
        <f t="shared" si="170"/>
        <v>2371</v>
      </c>
      <c r="BR125" s="607">
        <f t="shared" si="171"/>
        <v>2025</v>
      </c>
      <c r="BS125" s="606">
        <f t="shared" si="172"/>
        <v>1944</v>
      </c>
      <c r="BT125" s="607">
        <f t="shared" si="173"/>
        <v>405</v>
      </c>
      <c r="BU125" s="606">
        <f t="shared" si="174"/>
        <v>432</v>
      </c>
      <c r="BV125" s="607">
        <f t="shared" si="175"/>
        <v>829</v>
      </c>
      <c r="BW125" s="608">
        <f t="shared" si="176"/>
        <v>813</v>
      </c>
      <c r="BX125" s="607">
        <f t="shared" si="177"/>
        <v>0</v>
      </c>
      <c r="BY125" s="608">
        <f t="shared" si="178"/>
        <v>0</v>
      </c>
      <c r="BZ125" s="607">
        <f t="shared" si="179"/>
        <v>15764.688721021099</v>
      </c>
      <c r="CA125" s="608">
        <f t="shared" si="180"/>
        <v>15974.244618890858</v>
      </c>
      <c r="CB125" s="607">
        <f t="shared" si="181"/>
        <v>10552.866375545851</v>
      </c>
      <c r="CC125" s="608">
        <f t="shared" si="182"/>
        <v>10657.61493040911</v>
      </c>
      <c r="CD125" s="607">
        <f t="shared" si="183"/>
        <v>9632.1111111111113</v>
      </c>
      <c r="CE125" s="608">
        <f t="shared" si="184"/>
        <v>9948.3801440329225</v>
      </c>
      <c r="CF125" s="607">
        <f t="shared" si="185"/>
        <v>3867</v>
      </c>
      <c r="CG125" s="608">
        <f t="shared" si="186"/>
        <v>4037.1157407407409</v>
      </c>
      <c r="CH125" s="607">
        <f t="shared" si="187"/>
        <v>7413.4680337756336</v>
      </c>
      <c r="CI125" s="608">
        <f t="shared" si="188"/>
        <v>7594.2521525215252</v>
      </c>
      <c r="CJ125" s="607">
        <f t="shared" si="189"/>
        <v>0</v>
      </c>
      <c r="CK125" s="608">
        <f t="shared" si="190"/>
        <v>0</v>
      </c>
      <c r="CL125" s="609">
        <f t="shared" si="191"/>
        <v>141882.1984891899</v>
      </c>
      <c r="CM125" s="608">
        <f t="shared" si="192"/>
        <v>143768.20157001773</v>
      </c>
      <c r="CN125" s="610">
        <f t="shared" si="193"/>
        <v>94975.797379912663</v>
      </c>
      <c r="CO125" s="606">
        <f t="shared" si="194"/>
        <v>95918.534373681992</v>
      </c>
      <c r="CP125" s="607">
        <f t="shared" si="195"/>
        <v>86689</v>
      </c>
      <c r="CQ125" s="606">
        <f t="shared" si="196"/>
        <v>89535.421296296307</v>
      </c>
      <c r="CR125" s="607">
        <f t="shared" si="197"/>
        <v>34803</v>
      </c>
      <c r="CS125" s="606">
        <f t="shared" si="198"/>
        <v>36334.041666666672</v>
      </c>
      <c r="CT125" s="607">
        <f t="shared" si="199"/>
        <v>66721.212303980705</v>
      </c>
      <c r="CU125" s="608">
        <f t="shared" si="200"/>
        <v>68348.269372693729</v>
      </c>
      <c r="CV125" s="610">
        <f t="shared" si="201"/>
        <v>0</v>
      </c>
      <c r="CW125" s="608">
        <f t="shared" si="202"/>
        <v>0</v>
      </c>
      <c r="CX125" s="610">
        <f t="shared" si="203"/>
        <v>107164.04160986023</v>
      </c>
      <c r="CY125" s="611">
        <f t="shared" si="204"/>
        <v>109235.9707087635</v>
      </c>
      <c r="CZ125" s="605">
        <f t="shared" si="205"/>
        <v>417</v>
      </c>
      <c r="DA125" s="612">
        <f t="shared" si="206"/>
        <v>429</v>
      </c>
      <c r="DB125" s="607">
        <f t="shared" si="207"/>
        <v>254</v>
      </c>
      <c r="DC125" s="606">
        <f t="shared" si="208"/>
        <v>263</v>
      </c>
      <c r="DD125" s="607">
        <f t="shared" si="209"/>
        <v>225</v>
      </c>
      <c r="DE125" s="606">
        <f t="shared" si="210"/>
        <v>216</v>
      </c>
      <c r="DF125" s="607">
        <f t="shared" si="211"/>
        <v>45</v>
      </c>
      <c r="DG125" s="606">
        <f t="shared" si="212"/>
        <v>48</v>
      </c>
      <c r="DH125" s="607">
        <f t="shared" si="213"/>
        <v>87</v>
      </c>
      <c r="DI125" s="608">
        <f t="shared" si="214"/>
        <v>87</v>
      </c>
      <c r="DJ125" s="607">
        <f t="shared" si="215"/>
        <v>0</v>
      </c>
      <c r="DK125" s="608">
        <f t="shared" si="216"/>
        <v>0</v>
      </c>
      <c r="DL125" s="607">
        <f t="shared" si="217"/>
        <v>1028</v>
      </c>
      <c r="DM125" s="608">
        <f t="shared" si="218"/>
        <v>1043</v>
      </c>
      <c r="DN125" s="607">
        <f t="shared" si="219"/>
        <v>59164876.769992188</v>
      </c>
      <c r="DO125" s="612">
        <f t="shared" si="220"/>
        <v>61676558.473537609</v>
      </c>
      <c r="DP125" s="607">
        <f t="shared" si="221"/>
        <v>24123852.534497816</v>
      </c>
      <c r="DQ125" s="606">
        <f t="shared" si="222"/>
        <v>25226574.540278364</v>
      </c>
      <c r="DR125" s="607">
        <f t="shared" si="223"/>
        <v>19505025</v>
      </c>
      <c r="DS125" s="606">
        <f t="shared" si="224"/>
        <v>19339651.000000004</v>
      </c>
      <c r="DT125" s="607">
        <f t="shared" si="225"/>
        <v>1566135</v>
      </c>
      <c r="DU125" s="606">
        <f t="shared" si="226"/>
        <v>1744034.0000000002</v>
      </c>
      <c r="DV125" s="607">
        <f t="shared" si="227"/>
        <v>5804745.4704463212</v>
      </c>
      <c r="DW125" s="608">
        <f t="shared" si="228"/>
        <v>5946299.4354243539</v>
      </c>
      <c r="DX125" s="607">
        <f t="shared" si="229"/>
        <v>0</v>
      </c>
      <c r="DY125" s="608">
        <f t="shared" si="230"/>
        <v>0</v>
      </c>
      <c r="DZ125" s="607">
        <f t="shared" si="231"/>
        <v>110164634.77493632</v>
      </c>
      <c r="EA125" s="608">
        <f t="shared" si="232"/>
        <v>113933117.44924033</v>
      </c>
    </row>
    <row r="126" spans="1:131" x14ac:dyDescent="0.2">
      <c r="A126" s="469" t="s">
        <v>35</v>
      </c>
      <c r="B126" s="466" t="s">
        <v>860</v>
      </c>
      <c r="C126" s="549"/>
      <c r="D126" s="470">
        <v>139931</v>
      </c>
      <c r="E126" s="392">
        <v>3</v>
      </c>
      <c r="F126" s="598">
        <v>145</v>
      </c>
      <c r="G126" s="599">
        <f>94+45</f>
        <v>139</v>
      </c>
      <c r="H126" s="600"/>
      <c r="I126" s="601"/>
      <c r="J126" s="600">
        <v>7</v>
      </c>
      <c r="K126" s="599">
        <v>0</v>
      </c>
      <c r="L126" s="600"/>
      <c r="M126" s="601"/>
      <c r="N126" s="600">
        <v>191</v>
      </c>
      <c r="O126" s="599">
        <f>117+88</f>
        <v>205</v>
      </c>
      <c r="P126" s="600"/>
      <c r="Q126" s="601"/>
      <c r="R126" s="600">
        <v>16</v>
      </c>
      <c r="S126" s="599">
        <v>3</v>
      </c>
      <c r="T126" s="600"/>
      <c r="U126" s="601"/>
      <c r="V126" s="600">
        <v>244</v>
      </c>
      <c r="W126" s="599">
        <f>132+107</f>
        <v>239</v>
      </c>
      <c r="X126" s="600"/>
      <c r="Y126" s="601"/>
      <c r="Z126" s="600">
        <v>8</v>
      </c>
      <c r="AA126" s="599"/>
      <c r="AB126" s="600"/>
      <c r="AC126" s="601"/>
      <c r="AD126" s="600">
        <v>106</v>
      </c>
      <c r="AE126" s="599">
        <f>37+84</f>
        <v>121</v>
      </c>
      <c r="AF126" s="600"/>
      <c r="AG126" s="601"/>
      <c r="AH126" s="600"/>
      <c r="AI126" s="599">
        <v>1</v>
      </c>
      <c r="AJ126" s="600"/>
      <c r="AK126" s="601"/>
      <c r="AL126" s="600">
        <v>45</v>
      </c>
      <c r="AM126" s="599">
        <v>52</v>
      </c>
      <c r="AN126" s="600"/>
      <c r="AO126" s="601"/>
      <c r="AP126" s="600">
        <v>3</v>
      </c>
      <c r="AQ126" s="599"/>
      <c r="AR126" s="600"/>
      <c r="AS126" s="601"/>
      <c r="AT126" s="600"/>
      <c r="AU126" s="599"/>
      <c r="AV126" s="600"/>
      <c r="AW126" s="601"/>
      <c r="AX126" s="600"/>
      <c r="AY126" s="599"/>
      <c r="AZ126" s="600"/>
      <c r="BA126" s="601"/>
      <c r="BB126" s="602">
        <v>12275422</v>
      </c>
      <c r="BC126" s="599">
        <v>11094406</v>
      </c>
      <c r="BD126" s="600">
        <v>14075618</v>
      </c>
      <c r="BE126" s="599">
        <v>13955130</v>
      </c>
      <c r="BF126" s="600">
        <v>14754860</v>
      </c>
      <c r="BG126" s="623">
        <v>14549574</v>
      </c>
      <c r="BH126" s="600">
        <v>4226856</v>
      </c>
      <c r="BI126" s="599">
        <v>4985905</v>
      </c>
      <c r="BJ126" s="600">
        <v>2147916</v>
      </c>
      <c r="BK126" s="615">
        <v>2386028</v>
      </c>
      <c r="BL126" s="600">
        <v>0</v>
      </c>
      <c r="BM126" s="604"/>
      <c r="BN126" s="605">
        <f t="shared" si="167"/>
        <v>1382</v>
      </c>
      <c r="BO126" s="606">
        <f t="shared" si="168"/>
        <v>1251</v>
      </c>
      <c r="BP126" s="607">
        <f t="shared" si="169"/>
        <v>1895</v>
      </c>
      <c r="BQ126" s="606">
        <f t="shared" si="170"/>
        <v>1878</v>
      </c>
      <c r="BR126" s="607">
        <f t="shared" si="171"/>
        <v>2284</v>
      </c>
      <c r="BS126" s="606">
        <f t="shared" si="172"/>
        <v>2151</v>
      </c>
      <c r="BT126" s="607">
        <f t="shared" si="173"/>
        <v>954</v>
      </c>
      <c r="BU126" s="606">
        <f t="shared" si="174"/>
        <v>1100</v>
      </c>
      <c r="BV126" s="607">
        <f t="shared" si="175"/>
        <v>438</v>
      </c>
      <c r="BW126" s="608">
        <f t="shared" si="176"/>
        <v>468</v>
      </c>
      <c r="BX126" s="607">
        <f t="shared" si="177"/>
        <v>0</v>
      </c>
      <c r="BY126" s="608">
        <f t="shared" si="178"/>
        <v>0</v>
      </c>
      <c r="BZ126" s="607">
        <f t="shared" si="179"/>
        <v>8882.3603473227213</v>
      </c>
      <c r="CA126" s="608">
        <f t="shared" si="180"/>
        <v>8868.4300559552357</v>
      </c>
      <c r="CB126" s="607">
        <f t="shared" si="181"/>
        <v>7427.7667546174143</v>
      </c>
      <c r="CC126" s="608">
        <f t="shared" si="182"/>
        <v>7430.8466453674118</v>
      </c>
      <c r="CD126" s="607">
        <f t="shared" si="183"/>
        <v>6460.0963222416813</v>
      </c>
      <c r="CE126" s="608">
        <f t="shared" si="184"/>
        <v>6764.0976290097633</v>
      </c>
      <c r="CF126" s="607">
        <f t="shared" si="185"/>
        <v>4430.666666666667</v>
      </c>
      <c r="CG126" s="608">
        <f t="shared" si="186"/>
        <v>4532.6409090909092</v>
      </c>
      <c r="CH126" s="607">
        <f t="shared" si="187"/>
        <v>4903.9178082191784</v>
      </c>
      <c r="CI126" s="608">
        <f t="shared" si="188"/>
        <v>5098.3504273504277</v>
      </c>
      <c r="CJ126" s="607">
        <f t="shared" si="189"/>
        <v>0</v>
      </c>
      <c r="CK126" s="608">
        <f t="shared" si="190"/>
        <v>0</v>
      </c>
      <c r="CL126" s="609">
        <f t="shared" si="191"/>
        <v>79941.243125904497</v>
      </c>
      <c r="CM126" s="608">
        <f t="shared" si="192"/>
        <v>79815.870503597122</v>
      </c>
      <c r="CN126" s="610">
        <f t="shared" si="193"/>
        <v>66849.900791556734</v>
      </c>
      <c r="CO126" s="606">
        <f t="shared" si="194"/>
        <v>66877.619808306714</v>
      </c>
      <c r="CP126" s="607">
        <f t="shared" si="195"/>
        <v>58140.866900175133</v>
      </c>
      <c r="CQ126" s="606">
        <f t="shared" si="196"/>
        <v>60876.878661087867</v>
      </c>
      <c r="CR126" s="607">
        <f t="shared" si="197"/>
        <v>39876</v>
      </c>
      <c r="CS126" s="606">
        <f t="shared" si="198"/>
        <v>40793.768181818181</v>
      </c>
      <c r="CT126" s="607">
        <f t="shared" si="199"/>
        <v>44135.260273972606</v>
      </c>
      <c r="CU126" s="608">
        <f t="shared" si="200"/>
        <v>45885.153846153851</v>
      </c>
      <c r="CV126" s="610">
        <f t="shared" si="201"/>
        <v>0</v>
      </c>
      <c r="CW126" s="608">
        <f t="shared" si="202"/>
        <v>0</v>
      </c>
      <c r="CX126" s="610">
        <f t="shared" si="203"/>
        <v>61419.405713705281</v>
      </c>
      <c r="CY126" s="611">
        <f t="shared" si="204"/>
        <v>61733.411366196859</v>
      </c>
      <c r="CZ126" s="605">
        <f t="shared" si="205"/>
        <v>152</v>
      </c>
      <c r="DA126" s="612">
        <f t="shared" si="206"/>
        <v>139</v>
      </c>
      <c r="DB126" s="607">
        <f t="shared" si="207"/>
        <v>207</v>
      </c>
      <c r="DC126" s="606">
        <f t="shared" si="208"/>
        <v>208</v>
      </c>
      <c r="DD126" s="607">
        <f t="shared" si="209"/>
        <v>252</v>
      </c>
      <c r="DE126" s="606">
        <f t="shared" si="210"/>
        <v>239</v>
      </c>
      <c r="DF126" s="607">
        <f t="shared" si="211"/>
        <v>106</v>
      </c>
      <c r="DG126" s="606">
        <f t="shared" si="212"/>
        <v>122</v>
      </c>
      <c r="DH126" s="607">
        <f t="shared" si="213"/>
        <v>48</v>
      </c>
      <c r="DI126" s="608">
        <f t="shared" si="214"/>
        <v>52</v>
      </c>
      <c r="DJ126" s="607">
        <f t="shared" si="215"/>
        <v>0</v>
      </c>
      <c r="DK126" s="608">
        <f t="shared" si="216"/>
        <v>0</v>
      </c>
      <c r="DL126" s="607">
        <f t="shared" si="217"/>
        <v>765</v>
      </c>
      <c r="DM126" s="608">
        <f t="shared" si="218"/>
        <v>760</v>
      </c>
      <c r="DN126" s="607">
        <f t="shared" si="219"/>
        <v>12151068.955137484</v>
      </c>
      <c r="DO126" s="612">
        <f t="shared" si="220"/>
        <v>11094406</v>
      </c>
      <c r="DP126" s="607">
        <f t="shared" si="221"/>
        <v>13837929.463852243</v>
      </c>
      <c r="DQ126" s="606">
        <f t="shared" si="222"/>
        <v>13910544.920127796</v>
      </c>
      <c r="DR126" s="607">
        <f t="shared" si="223"/>
        <v>14651498.458844133</v>
      </c>
      <c r="DS126" s="606">
        <f t="shared" si="224"/>
        <v>14549574</v>
      </c>
      <c r="DT126" s="607">
        <f t="shared" si="225"/>
        <v>4226856</v>
      </c>
      <c r="DU126" s="606">
        <f t="shared" si="226"/>
        <v>4976839.7181818178</v>
      </c>
      <c r="DV126" s="607">
        <f t="shared" si="227"/>
        <v>2118492.493150685</v>
      </c>
      <c r="DW126" s="608">
        <f t="shared" si="228"/>
        <v>2386028.0000000005</v>
      </c>
      <c r="DX126" s="607">
        <f t="shared" si="229"/>
        <v>0</v>
      </c>
      <c r="DY126" s="608">
        <f t="shared" si="230"/>
        <v>0</v>
      </c>
      <c r="DZ126" s="607">
        <f t="shared" si="231"/>
        <v>46985845.370984539</v>
      </c>
      <c r="EA126" s="608">
        <f t="shared" si="232"/>
        <v>46917392.638309613</v>
      </c>
    </row>
    <row r="127" spans="1:131" x14ac:dyDescent="0.2">
      <c r="A127" s="469" t="s">
        <v>35</v>
      </c>
      <c r="B127" s="466" t="s">
        <v>861</v>
      </c>
      <c r="C127" s="549"/>
      <c r="D127" s="470">
        <v>141334</v>
      </c>
      <c r="E127" s="392">
        <v>3</v>
      </c>
      <c r="F127" s="598">
        <v>81</v>
      </c>
      <c r="G127" s="599">
        <f>57+24</f>
        <v>81</v>
      </c>
      <c r="H127" s="600"/>
      <c r="I127" s="601"/>
      <c r="J127" s="600">
        <v>18</v>
      </c>
      <c r="K127" s="599">
        <v>23</v>
      </c>
      <c r="L127" s="600"/>
      <c r="M127" s="601"/>
      <c r="N127" s="600">
        <v>90</v>
      </c>
      <c r="O127" s="599">
        <f>56+44</f>
        <v>100</v>
      </c>
      <c r="P127" s="600"/>
      <c r="Q127" s="601"/>
      <c r="R127" s="600">
        <v>8</v>
      </c>
      <c r="S127" s="599">
        <v>7</v>
      </c>
      <c r="T127" s="600"/>
      <c r="U127" s="601"/>
      <c r="V127" s="600">
        <v>138</v>
      </c>
      <c r="W127" s="599">
        <f>45+93</f>
        <v>138</v>
      </c>
      <c r="X127" s="600"/>
      <c r="Y127" s="601"/>
      <c r="Z127" s="600">
        <v>6</v>
      </c>
      <c r="AA127" s="599">
        <v>8</v>
      </c>
      <c r="AB127" s="600"/>
      <c r="AC127" s="601"/>
      <c r="AD127" s="600">
        <v>63</v>
      </c>
      <c r="AE127" s="599">
        <f>27+42</f>
        <v>69</v>
      </c>
      <c r="AF127" s="600"/>
      <c r="AG127" s="601"/>
      <c r="AH127" s="600">
        <v>5</v>
      </c>
      <c r="AI127" s="599">
        <v>5</v>
      </c>
      <c r="AJ127" s="600"/>
      <c r="AK127" s="601"/>
      <c r="AL127" s="600">
        <v>39</v>
      </c>
      <c r="AM127" s="599">
        <v>46</v>
      </c>
      <c r="AN127" s="600"/>
      <c r="AO127" s="601"/>
      <c r="AP127" s="600"/>
      <c r="AQ127" s="599">
        <v>1</v>
      </c>
      <c r="AR127" s="600"/>
      <c r="AS127" s="601"/>
      <c r="AT127" s="600"/>
      <c r="AU127" s="599"/>
      <c r="AV127" s="600"/>
      <c r="AW127" s="601"/>
      <c r="AX127" s="600"/>
      <c r="AY127" s="599"/>
      <c r="AZ127" s="600"/>
      <c r="BA127" s="601"/>
      <c r="BB127" s="602">
        <v>8515800</v>
      </c>
      <c r="BC127" s="599">
        <f>7379064+3056672</f>
        <v>10435736</v>
      </c>
      <c r="BD127" s="600">
        <v>6212136</v>
      </c>
      <c r="BE127" s="599">
        <f>3996367+2813507</f>
        <v>6809874</v>
      </c>
      <c r="BF127" s="600">
        <v>7482402</v>
      </c>
      <c r="BG127" s="599">
        <f>2772904+5296434</f>
        <v>8069338</v>
      </c>
      <c r="BH127" s="600">
        <v>2605569</v>
      </c>
      <c r="BI127" s="599">
        <f>1232014+1739302</f>
        <v>2971316</v>
      </c>
      <c r="BJ127" s="600">
        <v>1667211</v>
      </c>
      <c r="BK127" s="615">
        <f>736116+1425280</f>
        <v>2161396</v>
      </c>
      <c r="BL127" s="600">
        <v>0</v>
      </c>
      <c r="BM127" s="604"/>
      <c r="BN127" s="605">
        <f t="shared" si="167"/>
        <v>927</v>
      </c>
      <c r="BO127" s="606">
        <f t="shared" si="168"/>
        <v>982</v>
      </c>
      <c r="BP127" s="607">
        <f t="shared" si="169"/>
        <v>898</v>
      </c>
      <c r="BQ127" s="606">
        <f t="shared" si="170"/>
        <v>977</v>
      </c>
      <c r="BR127" s="607">
        <f t="shared" si="171"/>
        <v>1308</v>
      </c>
      <c r="BS127" s="606">
        <f t="shared" si="172"/>
        <v>1330</v>
      </c>
      <c r="BT127" s="607">
        <f t="shared" si="173"/>
        <v>622</v>
      </c>
      <c r="BU127" s="606">
        <f t="shared" si="174"/>
        <v>676</v>
      </c>
      <c r="BV127" s="607">
        <f t="shared" si="175"/>
        <v>351</v>
      </c>
      <c r="BW127" s="608">
        <f t="shared" si="176"/>
        <v>425</v>
      </c>
      <c r="BX127" s="607">
        <f t="shared" si="177"/>
        <v>0</v>
      </c>
      <c r="BY127" s="608">
        <f t="shared" si="178"/>
        <v>0</v>
      </c>
      <c r="BZ127" s="607">
        <f t="shared" si="179"/>
        <v>9186.4077669902908</v>
      </c>
      <c r="CA127" s="608">
        <f t="shared" si="180"/>
        <v>10627.022403258656</v>
      </c>
      <c r="CB127" s="607">
        <f t="shared" si="181"/>
        <v>6917.7461024498889</v>
      </c>
      <c r="CC127" s="608">
        <f t="shared" si="182"/>
        <v>6970.1883316274307</v>
      </c>
      <c r="CD127" s="607">
        <f t="shared" si="183"/>
        <v>5720.4908256880735</v>
      </c>
      <c r="CE127" s="608">
        <f t="shared" si="184"/>
        <v>6067.1714285714288</v>
      </c>
      <c r="CF127" s="607">
        <f t="shared" si="185"/>
        <v>4189.0176848874598</v>
      </c>
      <c r="CG127" s="608">
        <f t="shared" si="186"/>
        <v>4395.4378698224855</v>
      </c>
      <c r="CH127" s="607">
        <f t="shared" si="187"/>
        <v>4749.8888888888887</v>
      </c>
      <c r="CI127" s="608">
        <f t="shared" si="188"/>
        <v>5085.6376470588239</v>
      </c>
      <c r="CJ127" s="607">
        <f t="shared" si="189"/>
        <v>0</v>
      </c>
      <c r="CK127" s="608">
        <f t="shared" si="190"/>
        <v>0</v>
      </c>
      <c r="CL127" s="609">
        <f t="shared" si="191"/>
        <v>82677.669902912618</v>
      </c>
      <c r="CM127" s="608">
        <f t="shared" si="192"/>
        <v>95643.201629327901</v>
      </c>
      <c r="CN127" s="610">
        <f t="shared" si="193"/>
        <v>62259.714922049003</v>
      </c>
      <c r="CO127" s="606">
        <f t="shared" si="194"/>
        <v>62731.694984646878</v>
      </c>
      <c r="CP127" s="607">
        <f t="shared" si="195"/>
        <v>51484.417431192662</v>
      </c>
      <c r="CQ127" s="606">
        <f t="shared" si="196"/>
        <v>54604.542857142857</v>
      </c>
      <c r="CR127" s="607">
        <f t="shared" si="197"/>
        <v>37701.15916398714</v>
      </c>
      <c r="CS127" s="606">
        <f t="shared" si="198"/>
        <v>39558.940828402367</v>
      </c>
      <c r="CT127" s="607">
        <f t="shared" si="199"/>
        <v>42749</v>
      </c>
      <c r="CU127" s="608">
        <f t="shared" si="200"/>
        <v>45770.738823529413</v>
      </c>
      <c r="CV127" s="610">
        <f t="shared" si="201"/>
        <v>0</v>
      </c>
      <c r="CW127" s="608">
        <f t="shared" si="202"/>
        <v>0</v>
      </c>
      <c r="CX127" s="610">
        <f t="shared" si="203"/>
        <v>57882.114544625045</v>
      </c>
      <c r="CY127" s="611">
        <f t="shared" si="204"/>
        <v>62154.882711208847</v>
      </c>
      <c r="CZ127" s="605">
        <f t="shared" si="205"/>
        <v>99</v>
      </c>
      <c r="DA127" s="612">
        <f t="shared" si="206"/>
        <v>104</v>
      </c>
      <c r="DB127" s="607">
        <f t="shared" si="207"/>
        <v>98</v>
      </c>
      <c r="DC127" s="606">
        <f t="shared" si="208"/>
        <v>107</v>
      </c>
      <c r="DD127" s="607">
        <f t="shared" si="209"/>
        <v>144</v>
      </c>
      <c r="DE127" s="606">
        <f t="shared" si="210"/>
        <v>146</v>
      </c>
      <c r="DF127" s="607">
        <f t="shared" si="211"/>
        <v>68</v>
      </c>
      <c r="DG127" s="606">
        <f t="shared" si="212"/>
        <v>74</v>
      </c>
      <c r="DH127" s="607">
        <f t="shared" si="213"/>
        <v>39</v>
      </c>
      <c r="DI127" s="608">
        <f t="shared" si="214"/>
        <v>47</v>
      </c>
      <c r="DJ127" s="607">
        <f t="shared" si="215"/>
        <v>0</v>
      </c>
      <c r="DK127" s="608">
        <f t="shared" si="216"/>
        <v>0</v>
      </c>
      <c r="DL127" s="607">
        <f t="shared" si="217"/>
        <v>448</v>
      </c>
      <c r="DM127" s="608">
        <f t="shared" si="218"/>
        <v>478</v>
      </c>
      <c r="DN127" s="607">
        <f t="shared" si="219"/>
        <v>8185089.3203883488</v>
      </c>
      <c r="DO127" s="612">
        <f t="shared" si="220"/>
        <v>9946892.9694501013</v>
      </c>
      <c r="DP127" s="607">
        <f t="shared" si="221"/>
        <v>6101452.0623608027</v>
      </c>
      <c r="DQ127" s="606">
        <f t="shared" si="222"/>
        <v>6712291.3633572161</v>
      </c>
      <c r="DR127" s="607">
        <f t="shared" si="223"/>
        <v>7413756.1100917431</v>
      </c>
      <c r="DS127" s="606">
        <f t="shared" si="224"/>
        <v>7972263.2571428567</v>
      </c>
      <c r="DT127" s="607">
        <f t="shared" si="225"/>
        <v>2563678.8231511256</v>
      </c>
      <c r="DU127" s="606">
        <f t="shared" si="226"/>
        <v>2927361.6213017753</v>
      </c>
      <c r="DV127" s="607">
        <f t="shared" si="227"/>
        <v>1667211</v>
      </c>
      <c r="DW127" s="608">
        <f t="shared" si="228"/>
        <v>2151224.7247058824</v>
      </c>
      <c r="DX127" s="607">
        <f t="shared" si="229"/>
        <v>0</v>
      </c>
      <c r="DY127" s="608">
        <f t="shared" si="230"/>
        <v>0</v>
      </c>
      <c r="DZ127" s="607">
        <f t="shared" si="231"/>
        <v>25931187.31599202</v>
      </c>
      <c r="EA127" s="608">
        <f t="shared" si="232"/>
        <v>29710033.93595783</v>
      </c>
    </row>
    <row r="128" spans="1:131" x14ac:dyDescent="0.2">
      <c r="A128" s="469" t="s">
        <v>35</v>
      </c>
      <c r="B128" s="466" t="s">
        <v>862</v>
      </c>
      <c r="C128" s="549"/>
      <c r="D128" s="470">
        <v>141264</v>
      </c>
      <c r="E128" s="392">
        <v>3</v>
      </c>
      <c r="F128" s="598">
        <v>125</v>
      </c>
      <c r="G128" s="599">
        <f>84+44</f>
        <v>128</v>
      </c>
      <c r="H128" s="600"/>
      <c r="I128" s="601"/>
      <c r="J128" s="600">
        <v>7</v>
      </c>
      <c r="K128" s="599">
        <v>9</v>
      </c>
      <c r="L128" s="600"/>
      <c r="M128" s="601"/>
      <c r="N128" s="600">
        <v>94</v>
      </c>
      <c r="O128" s="599">
        <v>86</v>
      </c>
      <c r="P128" s="600"/>
      <c r="Q128" s="601"/>
      <c r="R128" s="600">
        <v>3</v>
      </c>
      <c r="S128" s="599">
        <v>1</v>
      </c>
      <c r="T128" s="600"/>
      <c r="U128" s="601"/>
      <c r="V128" s="600">
        <v>160</v>
      </c>
      <c r="W128" s="599">
        <f>79+68</f>
        <v>147</v>
      </c>
      <c r="X128" s="600"/>
      <c r="Y128" s="601"/>
      <c r="Z128" s="600">
        <v>11</v>
      </c>
      <c r="AA128" s="599">
        <v>16</v>
      </c>
      <c r="AB128" s="600"/>
      <c r="AC128" s="601"/>
      <c r="AD128" s="600">
        <v>46</v>
      </c>
      <c r="AE128" s="599">
        <v>29</v>
      </c>
      <c r="AF128" s="600"/>
      <c r="AG128" s="601"/>
      <c r="AH128" s="600">
        <v>18</v>
      </c>
      <c r="AI128" s="599">
        <v>12</v>
      </c>
      <c r="AJ128" s="600"/>
      <c r="AK128" s="601"/>
      <c r="AL128" s="600">
        <v>25</v>
      </c>
      <c r="AM128" s="599">
        <v>22</v>
      </c>
      <c r="AN128" s="600"/>
      <c r="AO128" s="601"/>
      <c r="AP128" s="600"/>
      <c r="AQ128" s="599"/>
      <c r="AR128" s="600"/>
      <c r="AS128" s="601"/>
      <c r="AT128" s="600"/>
      <c r="AU128" s="599"/>
      <c r="AV128" s="600"/>
      <c r="AW128" s="601"/>
      <c r="AX128" s="600"/>
      <c r="AY128" s="599"/>
      <c r="AZ128" s="600"/>
      <c r="BA128" s="601"/>
      <c r="BB128" s="602">
        <v>9702386</v>
      </c>
      <c r="BC128" s="599">
        <v>10180140</v>
      </c>
      <c r="BD128" s="600">
        <v>5890248</v>
      </c>
      <c r="BE128" s="599">
        <v>5323990</v>
      </c>
      <c r="BF128" s="600">
        <v>9244728</v>
      </c>
      <c r="BG128" s="599">
        <v>8976722</v>
      </c>
      <c r="BH128" s="600">
        <v>2933534</v>
      </c>
      <c r="BI128" s="599">
        <v>2443946</v>
      </c>
      <c r="BJ128" s="600">
        <v>999675</v>
      </c>
      <c r="BK128" s="615">
        <v>956480</v>
      </c>
      <c r="BL128" s="600">
        <v>0</v>
      </c>
      <c r="BM128" s="604"/>
      <c r="BN128" s="605">
        <f t="shared" si="167"/>
        <v>1202</v>
      </c>
      <c r="BO128" s="606">
        <f t="shared" si="168"/>
        <v>1251</v>
      </c>
      <c r="BP128" s="607">
        <f t="shared" si="169"/>
        <v>879</v>
      </c>
      <c r="BQ128" s="606">
        <f t="shared" si="170"/>
        <v>785</v>
      </c>
      <c r="BR128" s="607">
        <f t="shared" si="171"/>
        <v>1561</v>
      </c>
      <c r="BS128" s="606">
        <f t="shared" si="172"/>
        <v>1499</v>
      </c>
      <c r="BT128" s="607">
        <f t="shared" si="173"/>
        <v>612</v>
      </c>
      <c r="BU128" s="606">
        <f t="shared" si="174"/>
        <v>393</v>
      </c>
      <c r="BV128" s="607">
        <f t="shared" si="175"/>
        <v>225</v>
      </c>
      <c r="BW128" s="608">
        <f t="shared" si="176"/>
        <v>198</v>
      </c>
      <c r="BX128" s="607">
        <f t="shared" si="177"/>
        <v>0</v>
      </c>
      <c r="BY128" s="608">
        <f t="shared" si="178"/>
        <v>0</v>
      </c>
      <c r="BZ128" s="607">
        <f t="shared" si="179"/>
        <v>8071.8685524126458</v>
      </c>
      <c r="CA128" s="608">
        <f t="shared" si="180"/>
        <v>8137.6019184652278</v>
      </c>
      <c r="CB128" s="607">
        <f t="shared" si="181"/>
        <v>6701.0784982935156</v>
      </c>
      <c r="CC128" s="608">
        <f t="shared" si="182"/>
        <v>6782.1528662420378</v>
      </c>
      <c r="CD128" s="607">
        <f t="shared" si="183"/>
        <v>5922.3113388853299</v>
      </c>
      <c r="CE128" s="608">
        <f t="shared" si="184"/>
        <v>5988.4736490993992</v>
      </c>
      <c r="CF128" s="607">
        <f t="shared" si="185"/>
        <v>4793.3562091503272</v>
      </c>
      <c r="CG128" s="608">
        <f t="shared" si="186"/>
        <v>6218.6921119592871</v>
      </c>
      <c r="CH128" s="607">
        <f t="shared" si="187"/>
        <v>4443</v>
      </c>
      <c r="CI128" s="608">
        <f t="shared" si="188"/>
        <v>4830.7070707070707</v>
      </c>
      <c r="CJ128" s="607">
        <f t="shared" si="189"/>
        <v>0</v>
      </c>
      <c r="CK128" s="608">
        <f t="shared" si="190"/>
        <v>0</v>
      </c>
      <c r="CL128" s="609">
        <f t="shared" si="191"/>
        <v>72646.816971713808</v>
      </c>
      <c r="CM128" s="608">
        <f t="shared" si="192"/>
        <v>73238.417266187054</v>
      </c>
      <c r="CN128" s="610">
        <f t="shared" si="193"/>
        <v>60309.70648464164</v>
      </c>
      <c r="CO128" s="606">
        <f t="shared" si="194"/>
        <v>61039.375796178341</v>
      </c>
      <c r="CP128" s="607">
        <f t="shared" si="195"/>
        <v>53300.80204996797</v>
      </c>
      <c r="CQ128" s="606">
        <f t="shared" si="196"/>
        <v>53896.26284189459</v>
      </c>
      <c r="CR128" s="607">
        <f t="shared" si="197"/>
        <v>43140.205882352944</v>
      </c>
      <c r="CS128" s="606">
        <f t="shared" si="198"/>
        <v>55968.229007633585</v>
      </c>
      <c r="CT128" s="607">
        <f t="shared" si="199"/>
        <v>39987</v>
      </c>
      <c r="CU128" s="608">
        <f t="shared" si="200"/>
        <v>43476.363636363632</v>
      </c>
      <c r="CV128" s="610">
        <f t="shared" si="201"/>
        <v>0</v>
      </c>
      <c r="CW128" s="608">
        <f t="shared" si="202"/>
        <v>0</v>
      </c>
      <c r="CX128" s="610">
        <f t="shared" si="203"/>
        <v>57902.876679532863</v>
      </c>
      <c r="CY128" s="611">
        <f t="shared" si="204"/>
        <v>60845.237982837643</v>
      </c>
      <c r="CZ128" s="605">
        <f t="shared" si="205"/>
        <v>132</v>
      </c>
      <c r="DA128" s="612">
        <f t="shared" si="206"/>
        <v>137</v>
      </c>
      <c r="DB128" s="607">
        <f t="shared" si="207"/>
        <v>97</v>
      </c>
      <c r="DC128" s="606">
        <f t="shared" si="208"/>
        <v>87</v>
      </c>
      <c r="DD128" s="607">
        <f t="shared" si="209"/>
        <v>171</v>
      </c>
      <c r="DE128" s="606">
        <f t="shared" si="210"/>
        <v>163</v>
      </c>
      <c r="DF128" s="607">
        <f t="shared" si="211"/>
        <v>64</v>
      </c>
      <c r="DG128" s="606">
        <f t="shared" si="212"/>
        <v>41</v>
      </c>
      <c r="DH128" s="607">
        <f t="shared" si="213"/>
        <v>25</v>
      </c>
      <c r="DI128" s="608">
        <f t="shared" si="214"/>
        <v>22</v>
      </c>
      <c r="DJ128" s="607">
        <f t="shared" si="215"/>
        <v>0</v>
      </c>
      <c r="DK128" s="608">
        <f t="shared" si="216"/>
        <v>0</v>
      </c>
      <c r="DL128" s="607">
        <f t="shared" si="217"/>
        <v>489</v>
      </c>
      <c r="DM128" s="608">
        <f t="shared" si="218"/>
        <v>450</v>
      </c>
      <c r="DN128" s="607">
        <f t="shared" si="219"/>
        <v>9589379.8402662221</v>
      </c>
      <c r="DO128" s="612">
        <f t="shared" si="220"/>
        <v>10033663.165467627</v>
      </c>
      <c r="DP128" s="607">
        <f t="shared" si="221"/>
        <v>5850041.5290102391</v>
      </c>
      <c r="DQ128" s="606">
        <f t="shared" si="222"/>
        <v>5310425.694267516</v>
      </c>
      <c r="DR128" s="607">
        <f t="shared" si="223"/>
        <v>9114437.1505445223</v>
      </c>
      <c r="DS128" s="606">
        <f t="shared" si="224"/>
        <v>8785090.8432288188</v>
      </c>
      <c r="DT128" s="607">
        <f t="shared" si="225"/>
        <v>2760973.1764705884</v>
      </c>
      <c r="DU128" s="606">
        <f t="shared" si="226"/>
        <v>2294697.389312977</v>
      </c>
      <c r="DV128" s="607">
        <f t="shared" si="227"/>
        <v>999675</v>
      </c>
      <c r="DW128" s="608">
        <f t="shared" si="228"/>
        <v>956479.99999999988</v>
      </c>
      <c r="DX128" s="607">
        <f t="shared" si="229"/>
        <v>0</v>
      </c>
      <c r="DY128" s="608">
        <f t="shared" si="230"/>
        <v>0</v>
      </c>
      <c r="DZ128" s="607">
        <f t="shared" si="231"/>
        <v>28314506.69629157</v>
      </c>
      <c r="EA128" s="608">
        <f t="shared" si="232"/>
        <v>27380357.092276938</v>
      </c>
    </row>
    <row r="129" spans="1:131" x14ac:dyDescent="0.2">
      <c r="A129" s="469" t="s">
        <v>35</v>
      </c>
      <c r="B129" s="466" t="s">
        <v>863</v>
      </c>
      <c r="C129" s="549"/>
      <c r="D129" s="470">
        <v>138716</v>
      </c>
      <c r="E129" s="392">
        <v>4</v>
      </c>
      <c r="F129" s="598">
        <v>25</v>
      </c>
      <c r="G129" s="599">
        <v>30</v>
      </c>
      <c r="H129" s="600"/>
      <c r="I129" s="601"/>
      <c r="J129" s="600"/>
      <c r="K129" s="599"/>
      <c r="L129" s="600"/>
      <c r="M129" s="601"/>
      <c r="N129" s="600">
        <v>44</v>
      </c>
      <c r="O129" s="599">
        <f>23+11</f>
        <v>34</v>
      </c>
      <c r="P129" s="600"/>
      <c r="Q129" s="601"/>
      <c r="R129" s="600">
        <v>1</v>
      </c>
      <c r="S129" s="599"/>
      <c r="T129" s="600"/>
      <c r="U129" s="601"/>
      <c r="V129" s="600">
        <v>73</v>
      </c>
      <c r="W129" s="599">
        <v>73</v>
      </c>
      <c r="X129" s="600"/>
      <c r="Y129" s="601"/>
      <c r="Z129" s="600"/>
      <c r="AA129" s="599"/>
      <c r="AB129" s="600"/>
      <c r="AC129" s="601"/>
      <c r="AD129" s="600">
        <v>9</v>
      </c>
      <c r="AE129" s="599">
        <v>8</v>
      </c>
      <c r="AF129" s="600"/>
      <c r="AG129" s="601"/>
      <c r="AH129" s="600"/>
      <c r="AI129" s="599"/>
      <c r="AJ129" s="600"/>
      <c r="AK129" s="601"/>
      <c r="AL129" s="600"/>
      <c r="AM129" s="599">
        <v>1</v>
      </c>
      <c r="AN129" s="600"/>
      <c r="AO129" s="601"/>
      <c r="AP129" s="600"/>
      <c r="AQ129" s="599"/>
      <c r="AR129" s="600"/>
      <c r="AS129" s="601"/>
      <c r="AT129" s="600"/>
      <c r="AU129" s="599"/>
      <c r="AV129" s="600"/>
      <c r="AW129" s="601"/>
      <c r="AX129" s="600"/>
      <c r="AY129" s="599"/>
      <c r="AZ129" s="600"/>
      <c r="BA129" s="601"/>
      <c r="BB129" s="602">
        <v>1747325</v>
      </c>
      <c r="BC129" s="599">
        <v>2168469</v>
      </c>
      <c r="BD129" s="600">
        <v>2593588</v>
      </c>
      <c r="BE129" s="599">
        <v>1984101</v>
      </c>
      <c r="BF129" s="600">
        <v>3742710</v>
      </c>
      <c r="BG129" s="599">
        <v>3776946</v>
      </c>
      <c r="BH129" s="600">
        <v>426996</v>
      </c>
      <c r="BI129" s="599">
        <v>456446</v>
      </c>
      <c r="BJ129" s="600">
        <v>0</v>
      </c>
      <c r="BK129" s="615"/>
      <c r="BL129" s="600">
        <v>0</v>
      </c>
      <c r="BM129" s="604"/>
      <c r="BN129" s="605">
        <f t="shared" si="167"/>
        <v>225</v>
      </c>
      <c r="BO129" s="606">
        <f t="shared" si="168"/>
        <v>270</v>
      </c>
      <c r="BP129" s="607">
        <f t="shared" si="169"/>
        <v>407</v>
      </c>
      <c r="BQ129" s="606">
        <f t="shared" si="170"/>
        <v>306</v>
      </c>
      <c r="BR129" s="607">
        <f t="shared" si="171"/>
        <v>657</v>
      </c>
      <c r="BS129" s="606">
        <f t="shared" si="172"/>
        <v>657</v>
      </c>
      <c r="BT129" s="607">
        <f t="shared" si="173"/>
        <v>81</v>
      </c>
      <c r="BU129" s="606">
        <f t="shared" si="174"/>
        <v>72</v>
      </c>
      <c r="BV129" s="607">
        <f t="shared" si="175"/>
        <v>0</v>
      </c>
      <c r="BW129" s="608">
        <f t="shared" si="176"/>
        <v>9</v>
      </c>
      <c r="BX129" s="607">
        <f t="shared" si="177"/>
        <v>0</v>
      </c>
      <c r="BY129" s="608">
        <f t="shared" si="178"/>
        <v>0</v>
      </c>
      <c r="BZ129" s="607">
        <f t="shared" si="179"/>
        <v>7765.8888888888887</v>
      </c>
      <c r="CA129" s="608">
        <f t="shared" si="180"/>
        <v>8031.3666666666668</v>
      </c>
      <c r="CB129" s="607">
        <f t="shared" si="181"/>
        <v>6372.4520884520889</v>
      </c>
      <c r="CC129" s="608">
        <f t="shared" si="182"/>
        <v>6483.9901960784309</v>
      </c>
      <c r="CD129" s="607">
        <f t="shared" si="183"/>
        <v>5696.666666666667</v>
      </c>
      <c r="CE129" s="608">
        <f t="shared" si="184"/>
        <v>5748.7762557077622</v>
      </c>
      <c r="CF129" s="607">
        <f t="shared" si="185"/>
        <v>5271.5555555555557</v>
      </c>
      <c r="CG129" s="608">
        <f t="shared" si="186"/>
        <v>6339.5277777777774</v>
      </c>
      <c r="CH129" s="607">
        <f t="shared" si="187"/>
        <v>0</v>
      </c>
      <c r="CI129" s="608">
        <f t="shared" si="188"/>
        <v>0</v>
      </c>
      <c r="CJ129" s="607">
        <f t="shared" si="189"/>
        <v>0</v>
      </c>
      <c r="CK129" s="608">
        <f t="shared" si="190"/>
        <v>0</v>
      </c>
      <c r="CL129" s="609">
        <f t="shared" si="191"/>
        <v>69893</v>
      </c>
      <c r="CM129" s="608">
        <f t="shared" si="192"/>
        <v>72282.3</v>
      </c>
      <c r="CN129" s="610">
        <f t="shared" si="193"/>
        <v>57352.068796068801</v>
      </c>
      <c r="CO129" s="606">
        <f t="shared" si="194"/>
        <v>58355.911764705881</v>
      </c>
      <c r="CP129" s="607">
        <f t="shared" si="195"/>
        <v>51270</v>
      </c>
      <c r="CQ129" s="606">
        <f t="shared" si="196"/>
        <v>51738.986301369863</v>
      </c>
      <c r="CR129" s="607">
        <f t="shared" si="197"/>
        <v>47444</v>
      </c>
      <c r="CS129" s="606">
        <f t="shared" si="198"/>
        <v>57055.75</v>
      </c>
      <c r="CT129" s="607">
        <f t="shared" si="199"/>
        <v>0</v>
      </c>
      <c r="CU129" s="608">
        <f t="shared" si="200"/>
        <v>0</v>
      </c>
      <c r="CV129" s="610">
        <f t="shared" si="201"/>
        <v>0</v>
      </c>
      <c r="CW129" s="608">
        <f t="shared" si="202"/>
        <v>0</v>
      </c>
      <c r="CX129" s="610">
        <f t="shared" si="203"/>
        <v>55907.06641988879</v>
      </c>
      <c r="CY129" s="611">
        <f t="shared" si="204"/>
        <v>57438.095890410958</v>
      </c>
      <c r="CZ129" s="605">
        <f t="shared" si="205"/>
        <v>25</v>
      </c>
      <c r="DA129" s="612">
        <f t="shared" si="206"/>
        <v>30</v>
      </c>
      <c r="DB129" s="607">
        <f t="shared" si="207"/>
        <v>45</v>
      </c>
      <c r="DC129" s="606">
        <f t="shared" si="208"/>
        <v>34</v>
      </c>
      <c r="DD129" s="607">
        <f t="shared" si="209"/>
        <v>73</v>
      </c>
      <c r="DE129" s="606">
        <f t="shared" si="210"/>
        <v>73</v>
      </c>
      <c r="DF129" s="607">
        <f t="shared" si="211"/>
        <v>9</v>
      </c>
      <c r="DG129" s="606">
        <f t="shared" si="212"/>
        <v>8</v>
      </c>
      <c r="DH129" s="607">
        <f t="shared" si="213"/>
        <v>0</v>
      </c>
      <c r="DI129" s="608">
        <f t="shared" si="214"/>
        <v>1</v>
      </c>
      <c r="DJ129" s="607">
        <f t="shared" si="215"/>
        <v>0</v>
      </c>
      <c r="DK129" s="608">
        <f t="shared" si="216"/>
        <v>0</v>
      </c>
      <c r="DL129" s="607">
        <f t="shared" si="217"/>
        <v>152</v>
      </c>
      <c r="DM129" s="608">
        <f t="shared" si="218"/>
        <v>146</v>
      </c>
      <c r="DN129" s="607">
        <f t="shared" si="219"/>
        <v>1747325</v>
      </c>
      <c r="DO129" s="612">
        <f t="shared" si="220"/>
        <v>2168469</v>
      </c>
      <c r="DP129" s="607">
        <f t="shared" si="221"/>
        <v>2580843.0958230961</v>
      </c>
      <c r="DQ129" s="606">
        <f t="shared" si="222"/>
        <v>1984101</v>
      </c>
      <c r="DR129" s="607">
        <f t="shared" si="223"/>
        <v>3742710</v>
      </c>
      <c r="DS129" s="606">
        <f t="shared" si="224"/>
        <v>3776946</v>
      </c>
      <c r="DT129" s="607">
        <f t="shared" si="225"/>
        <v>426996</v>
      </c>
      <c r="DU129" s="606">
        <f t="shared" si="226"/>
        <v>456446</v>
      </c>
      <c r="DV129" s="607">
        <f t="shared" si="227"/>
        <v>0</v>
      </c>
      <c r="DW129" s="608">
        <f t="shared" si="228"/>
        <v>0</v>
      </c>
      <c r="DX129" s="607">
        <f t="shared" si="229"/>
        <v>0</v>
      </c>
      <c r="DY129" s="608">
        <f t="shared" si="230"/>
        <v>0</v>
      </c>
      <c r="DZ129" s="607">
        <f t="shared" si="231"/>
        <v>8497874.0958230961</v>
      </c>
      <c r="EA129" s="608">
        <f t="shared" si="232"/>
        <v>8385962</v>
      </c>
    </row>
    <row r="130" spans="1:131" x14ac:dyDescent="0.2">
      <c r="A130" s="469" t="s">
        <v>35</v>
      </c>
      <c r="B130" s="466" t="s">
        <v>864</v>
      </c>
      <c r="C130" s="549"/>
      <c r="D130" s="470">
        <v>138789</v>
      </c>
      <c r="E130" s="392">
        <v>4</v>
      </c>
      <c r="F130" s="598">
        <v>43</v>
      </c>
      <c r="G130" s="599">
        <v>46</v>
      </c>
      <c r="H130" s="600"/>
      <c r="I130" s="601"/>
      <c r="J130" s="600">
        <v>1</v>
      </c>
      <c r="K130" s="599">
        <v>1</v>
      </c>
      <c r="L130" s="600"/>
      <c r="M130" s="601"/>
      <c r="N130" s="600">
        <v>50</v>
      </c>
      <c r="O130" s="599">
        <f>29+25</f>
        <v>54</v>
      </c>
      <c r="P130" s="600"/>
      <c r="Q130" s="601"/>
      <c r="R130" s="600">
        <v>1</v>
      </c>
      <c r="S130" s="599">
        <v>1</v>
      </c>
      <c r="T130" s="600"/>
      <c r="U130" s="601"/>
      <c r="V130" s="600">
        <v>83</v>
      </c>
      <c r="W130" s="599">
        <v>72</v>
      </c>
      <c r="X130" s="600"/>
      <c r="Y130" s="601"/>
      <c r="Z130" s="600">
        <v>6</v>
      </c>
      <c r="AA130" s="599">
        <v>5</v>
      </c>
      <c r="AB130" s="600"/>
      <c r="AC130" s="601"/>
      <c r="AD130" s="600">
        <v>67</v>
      </c>
      <c r="AE130" s="599">
        <v>67</v>
      </c>
      <c r="AF130" s="600"/>
      <c r="AG130" s="601"/>
      <c r="AH130" s="600">
        <v>7</v>
      </c>
      <c r="AI130" s="599">
        <v>5</v>
      </c>
      <c r="AJ130" s="600"/>
      <c r="AK130" s="601"/>
      <c r="AL130" s="600"/>
      <c r="AM130" s="599"/>
      <c r="AN130" s="600"/>
      <c r="AO130" s="601"/>
      <c r="AP130" s="600"/>
      <c r="AQ130" s="599"/>
      <c r="AR130" s="600"/>
      <c r="AS130" s="601"/>
      <c r="AT130" s="600"/>
      <c r="AU130" s="599"/>
      <c r="AV130" s="600"/>
      <c r="AW130" s="601"/>
      <c r="AX130" s="600"/>
      <c r="AY130" s="599"/>
      <c r="AZ130" s="600"/>
      <c r="BA130" s="601"/>
      <c r="BB130" s="602">
        <v>3357729</v>
      </c>
      <c r="BC130" s="599">
        <v>3631332</v>
      </c>
      <c r="BD130" s="600">
        <v>3252876</v>
      </c>
      <c r="BE130" s="599">
        <v>3726094</v>
      </c>
      <c r="BF130" s="600">
        <v>4655488</v>
      </c>
      <c r="BG130" s="599">
        <v>3921343</v>
      </c>
      <c r="BH130" s="600">
        <v>3371396</v>
      </c>
      <c r="BI130" s="599">
        <v>3200037</v>
      </c>
      <c r="BJ130" s="600">
        <v>0</v>
      </c>
      <c r="BK130" s="615"/>
      <c r="BL130" s="600">
        <v>0</v>
      </c>
      <c r="BM130" s="604"/>
      <c r="BN130" s="605">
        <f t="shared" si="167"/>
        <v>398</v>
      </c>
      <c r="BO130" s="606">
        <f t="shared" si="168"/>
        <v>425</v>
      </c>
      <c r="BP130" s="607">
        <f t="shared" si="169"/>
        <v>461</v>
      </c>
      <c r="BQ130" s="606">
        <f t="shared" si="170"/>
        <v>497</v>
      </c>
      <c r="BR130" s="607">
        <f t="shared" si="171"/>
        <v>813</v>
      </c>
      <c r="BS130" s="606">
        <f t="shared" si="172"/>
        <v>703</v>
      </c>
      <c r="BT130" s="607">
        <f t="shared" si="173"/>
        <v>680</v>
      </c>
      <c r="BU130" s="606">
        <f t="shared" si="174"/>
        <v>658</v>
      </c>
      <c r="BV130" s="607">
        <f t="shared" si="175"/>
        <v>0</v>
      </c>
      <c r="BW130" s="608">
        <f t="shared" si="176"/>
        <v>0</v>
      </c>
      <c r="BX130" s="607">
        <f t="shared" si="177"/>
        <v>0</v>
      </c>
      <c r="BY130" s="608">
        <f t="shared" si="178"/>
        <v>0</v>
      </c>
      <c r="BZ130" s="607">
        <f t="shared" si="179"/>
        <v>8436.5050251256289</v>
      </c>
      <c r="CA130" s="608">
        <f t="shared" si="180"/>
        <v>8544.3105882352938</v>
      </c>
      <c r="CB130" s="607">
        <f t="shared" si="181"/>
        <v>7056.1301518438177</v>
      </c>
      <c r="CC130" s="608">
        <f t="shared" si="182"/>
        <v>7497.1710261569415</v>
      </c>
      <c r="CD130" s="607">
        <f t="shared" si="183"/>
        <v>5726.3075030750306</v>
      </c>
      <c r="CE130" s="608">
        <f t="shared" si="184"/>
        <v>5578.01280227596</v>
      </c>
      <c r="CF130" s="607">
        <f t="shared" si="185"/>
        <v>4957.9352941176467</v>
      </c>
      <c r="CG130" s="608">
        <f t="shared" si="186"/>
        <v>4863.27811550152</v>
      </c>
      <c r="CH130" s="607">
        <f t="shared" si="187"/>
        <v>0</v>
      </c>
      <c r="CI130" s="608">
        <f t="shared" si="188"/>
        <v>0</v>
      </c>
      <c r="CJ130" s="607">
        <f t="shared" si="189"/>
        <v>0</v>
      </c>
      <c r="CK130" s="608">
        <f t="shared" si="190"/>
        <v>0</v>
      </c>
      <c r="CL130" s="609">
        <f t="shared" si="191"/>
        <v>75928.545226130664</v>
      </c>
      <c r="CM130" s="608">
        <f t="shared" si="192"/>
        <v>76898.795294117648</v>
      </c>
      <c r="CN130" s="610">
        <f t="shared" si="193"/>
        <v>63505.171366594361</v>
      </c>
      <c r="CO130" s="606">
        <f t="shared" si="194"/>
        <v>67474.539235412478</v>
      </c>
      <c r="CP130" s="607">
        <f t="shared" si="195"/>
        <v>51536.767527675278</v>
      </c>
      <c r="CQ130" s="606">
        <f t="shared" si="196"/>
        <v>50202.11522048364</v>
      </c>
      <c r="CR130" s="607">
        <f t="shared" si="197"/>
        <v>44621.417647058821</v>
      </c>
      <c r="CS130" s="606">
        <f t="shared" si="198"/>
        <v>43769.503039513678</v>
      </c>
      <c r="CT130" s="607">
        <f t="shared" si="199"/>
        <v>0</v>
      </c>
      <c r="CU130" s="608">
        <f t="shared" si="200"/>
        <v>0</v>
      </c>
      <c r="CV130" s="610">
        <f t="shared" si="201"/>
        <v>0</v>
      </c>
      <c r="CW130" s="608">
        <f t="shared" si="202"/>
        <v>0</v>
      </c>
      <c r="CX130" s="610">
        <f t="shared" si="203"/>
        <v>56078.980408881835</v>
      </c>
      <c r="CY130" s="611">
        <f t="shared" si="204"/>
        <v>57140.67779917705</v>
      </c>
      <c r="CZ130" s="605">
        <f t="shared" si="205"/>
        <v>44</v>
      </c>
      <c r="DA130" s="612">
        <f t="shared" si="206"/>
        <v>47</v>
      </c>
      <c r="DB130" s="607">
        <f t="shared" si="207"/>
        <v>51</v>
      </c>
      <c r="DC130" s="606">
        <f t="shared" si="208"/>
        <v>55</v>
      </c>
      <c r="DD130" s="607">
        <f t="shared" si="209"/>
        <v>89</v>
      </c>
      <c r="DE130" s="606">
        <f t="shared" si="210"/>
        <v>77</v>
      </c>
      <c r="DF130" s="607">
        <f t="shared" si="211"/>
        <v>74</v>
      </c>
      <c r="DG130" s="606">
        <f t="shared" si="212"/>
        <v>72</v>
      </c>
      <c r="DH130" s="607">
        <f t="shared" si="213"/>
        <v>0</v>
      </c>
      <c r="DI130" s="608">
        <f t="shared" si="214"/>
        <v>0</v>
      </c>
      <c r="DJ130" s="607">
        <f t="shared" si="215"/>
        <v>0</v>
      </c>
      <c r="DK130" s="608">
        <f t="shared" si="216"/>
        <v>0</v>
      </c>
      <c r="DL130" s="607">
        <f t="shared" si="217"/>
        <v>258</v>
      </c>
      <c r="DM130" s="608">
        <f t="shared" si="218"/>
        <v>251</v>
      </c>
      <c r="DN130" s="607">
        <f t="shared" si="219"/>
        <v>3340855.9899497493</v>
      </c>
      <c r="DO130" s="612">
        <f t="shared" si="220"/>
        <v>3614243.3788235295</v>
      </c>
      <c r="DP130" s="607">
        <f t="shared" si="221"/>
        <v>3238763.7396963122</v>
      </c>
      <c r="DQ130" s="606">
        <f t="shared" si="222"/>
        <v>3711099.6579476865</v>
      </c>
      <c r="DR130" s="607">
        <f t="shared" si="223"/>
        <v>4586772.3099630997</v>
      </c>
      <c r="DS130" s="606">
        <f t="shared" si="224"/>
        <v>3865562.8719772403</v>
      </c>
      <c r="DT130" s="607">
        <f t="shared" si="225"/>
        <v>3301984.905882353</v>
      </c>
      <c r="DU130" s="606">
        <f t="shared" si="226"/>
        <v>3151404.2188449847</v>
      </c>
      <c r="DV130" s="607">
        <f t="shared" si="227"/>
        <v>0</v>
      </c>
      <c r="DW130" s="608">
        <f t="shared" si="228"/>
        <v>0</v>
      </c>
      <c r="DX130" s="607">
        <f t="shared" si="229"/>
        <v>0</v>
      </c>
      <c r="DY130" s="608">
        <f t="shared" si="230"/>
        <v>0</v>
      </c>
      <c r="DZ130" s="607">
        <f t="shared" si="231"/>
        <v>14468376.945491513</v>
      </c>
      <c r="EA130" s="608">
        <f t="shared" si="232"/>
        <v>14342310.127593439</v>
      </c>
    </row>
    <row r="131" spans="1:131" x14ac:dyDescent="0.2">
      <c r="A131" s="469" t="s">
        <v>35</v>
      </c>
      <c r="B131" s="466" t="s">
        <v>868</v>
      </c>
      <c r="C131" s="550" t="s">
        <v>708</v>
      </c>
      <c r="D131" s="470">
        <v>138983</v>
      </c>
      <c r="E131" s="467">
        <v>4</v>
      </c>
      <c r="F131" s="598">
        <v>49</v>
      </c>
      <c r="G131" s="599">
        <v>49</v>
      </c>
      <c r="H131" s="600"/>
      <c r="I131" s="601"/>
      <c r="J131" s="600">
        <v>1</v>
      </c>
      <c r="K131" s="599">
        <v>1</v>
      </c>
      <c r="L131" s="600"/>
      <c r="M131" s="601"/>
      <c r="N131" s="600">
        <v>46</v>
      </c>
      <c r="O131" s="599">
        <f>29+19</f>
        <v>48</v>
      </c>
      <c r="P131" s="600"/>
      <c r="Q131" s="601"/>
      <c r="R131" s="600">
        <v>1</v>
      </c>
      <c r="S131" s="599">
        <v>1</v>
      </c>
      <c r="T131" s="600"/>
      <c r="U131" s="601"/>
      <c r="V131" s="600">
        <v>83</v>
      </c>
      <c r="W131" s="599">
        <f>37+46</f>
        <v>83</v>
      </c>
      <c r="X131" s="600"/>
      <c r="Y131" s="601"/>
      <c r="Z131" s="600"/>
      <c r="AA131" s="599">
        <v>1</v>
      </c>
      <c r="AB131" s="600"/>
      <c r="AC131" s="601"/>
      <c r="AD131" s="600">
        <v>40</v>
      </c>
      <c r="AE131" s="599">
        <v>36</v>
      </c>
      <c r="AF131" s="600"/>
      <c r="AG131" s="601"/>
      <c r="AH131" s="600">
        <v>1</v>
      </c>
      <c r="AI131" s="599">
        <v>1</v>
      </c>
      <c r="AJ131" s="600"/>
      <c r="AK131" s="601"/>
      <c r="AL131" s="600">
        <v>20</v>
      </c>
      <c r="AM131" s="599">
        <v>20</v>
      </c>
      <c r="AN131" s="600"/>
      <c r="AO131" s="601"/>
      <c r="AP131" s="600"/>
      <c r="AQ131" s="599"/>
      <c r="AR131" s="600"/>
      <c r="AS131" s="601"/>
      <c r="AT131" s="600"/>
      <c r="AU131" s="599"/>
      <c r="AV131" s="600"/>
      <c r="AW131" s="601"/>
      <c r="AX131" s="600"/>
      <c r="AY131" s="599"/>
      <c r="AZ131" s="600"/>
      <c r="BA131" s="601"/>
      <c r="BB131" s="602">
        <v>3772566</v>
      </c>
      <c r="BC131" s="599">
        <v>3825570</v>
      </c>
      <c r="BD131" s="600">
        <v>2687733</v>
      </c>
      <c r="BE131" s="599">
        <v>2813015</v>
      </c>
      <c r="BF131" s="600">
        <v>4427469</v>
      </c>
      <c r="BG131" s="599">
        <v>4528510</v>
      </c>
      <c r="BH131" s="600">
        <v>1674522</v>
      </c>
      <c r="BI131" s="599">
        <v>1541747</v>
      </c>
      <c r="BJ131" s="600">
        <v>894000</v>
      </c>
      <c r="BK131" s="615">
        <v>881597</v>
      </c>
      <c r="BL131" s="600">
        <v>0</v>
      </c>
      <c r="BM131" s="604"/>
      <c r="BN131" s="605">
        <f t="shared" si="167"/>
        <v>452</v>
      </c>
      <c r="BO131" s="606">
        <f t="shared" si="168"/>
        <v>452</v>
      </c>
      <c r="BP131" s="607">
        <f t="shared" si="169"/>
        <v>425</v>
      </c>
      <c r="BQ131" s="606">
        <f t="shared" si="170"/>
        <v>443</v>
      </c>
      <c r="BR131" s="607">
        <f t="shared" si="171"/>
        <v>747</v>
      </c>
      <c r="BS131" s="606">
        <f t="shared" si="172"/>
        <v>758</v>
      </c>
      <c r="BT131" s="607">
        <f t="shared" si="173"/>
        <v>371</v>
      </c>
      <c r="BU131" s="606">
        <f t="shared" si="174"/>
        <v>335</v>
      </c>
      <c r="BV131" s="607">
        <f t="shared" si="175"/>
        <v>180</v>
      </c>
      <c r="BW131" s="608">
        <f t="shared" si="176"/>
        <v>180</v>
      </c>
      <c r="BX131" s="607">
        <f t="shared" si="177"/>
        <v>0</v>
      </c>
      <c r="BY131" s="608">
        <f t="shared" si="178"/>
        <v>0</v>
      </c>
      <c r="BZ131" s="607">
        <f t="shared" si="179"/>
        <v>8346.3849557522117</v>
      </c>
      <c r="CA131" s="608">
        <f t="shared" si="180"/>
        <v>8463.6504424778759</v>
      </c>
      <c r="CB131" s="607">
        <f t="shared" si="181"/>
        <v>6324.0776470588235</v>
      </c>
      <c r="CC131" s="608">
        <f t="shared" si="182"/>
        <v>6349.9209932279909</v>
      </c>
      <c r="CD131" s="607">
        <f t="shared" si="183"/>
        <v>5927</v>
      </c>
      <c r="CE131" s="608">
        <f t="shared" si="184"/>
        <v>5974.2875989445911</v>
      </c>
      <c r="CF131" s="607">
        <f t="shared" si="185"/>
        <v>4513.5363881401618</v>
      </c>
      <c r="CG131" s="608">
        <f t="shared" si="186"/>
        <v>4602.2298507462683</v>
      </c>
      <c r="CH131" s="607">
        <f t="shared" si="187"/>
        <v>4966.666666666667</v>
      </c>
      <c r="CI131" s="608">
        <f t="shared" si="188"/>
        <v>4897.7611111111109</v>
      </c>
      <c r="CJ131" s="607">
        <f t="shared" si="189"/>
        <v>0</v>
      </c>
      <c r="CK131" s="608">
        <f t="shared" si="190"/>
        <v>0</v>
      </c>
      <c r="CL131" s="609">
        <f t="shared" si="191"/>
        <v>75117.464601769898</v>
      </c>
      <c r="CM131" s="608">
        <f t="shared" si="192"/>
        <v>76172.853982300876</v>
      </c>
      <c r="CN131" s="610">
        <f t="shared" si="193"/>
        <v>56916.698823529412</v>
      </c>
      <c r="CO131" s="606">
        <f t="shared" si="194"/>
        <v>57149.288939051919</v>
      </c>
      <c r="CP131" s="607">
        <f t="shared" si="195"/>
        <v>53343</v>
      </c>
      <c r="CQ131" s="606">
        <f t="shared" si="196"/>
        <v>53768.588390501318</v>
      </c>
      <c r="CR131" s="607">
        <f t="shared" si="197"/>
        <v>40621.827493261459</v>
      </c>
      <c r="CS131" s="606">
        <f t="shared" si="198"/>
        <v>41420.068656716416</v>
      </c>
      <c r="CT131" s="607">
        <f t="shared" si="199"/>
        <v>44700</v>
      </c>
      <c r="CU131" s="608">
        <f t="shared" si="200"/>
        <v>44079.85</v>
      </c>
      <c r="CV131" s="610">
        <f t="shared" si="201"/>
        <v>0</v>
      </c>
      <c r="CW131" s="608">
        <f t="shared" si="202"/>
        <v>0</v>
      </c>
      <c r="CX131" s="610">
        <f t="shared" si="203"/>
        <v>55676.024904639409</v>
      </c>
      <c r="CY131" s="611">
        <f t="shared" si="204"/>
        <v>56415.245092621692</v>
      </c>
      <c r="CZ131" s="605">
        <f t="shared" si="205"/>
        <v>50</v>
      </c>
      <c r="DA131" s="612">
        <f t="shared" si="206"/>
        <v>50</v>
      </c>
      <c r="DB131" s="607">
        <f t="shared" si="207"/>
        <v>47</v>
      </c>
      <c r="DC131" s="606">
        <f t="shared" si="208"/>
        <v>49</v>
      </c>
      <c r="DD131" s="607">
        <f t="shared" si="209"/>
        <v>83</v>
      </c>
      <c r="DE131" s="606">
        <f t="shared" si="210"/>
        <v>84</v>
      </c>
      <c r="DF131" s="607">
        <f t="shared" si="211"/>
        <v>41</v>
      </c>
      <c r="DG131" s="606">
        <f t="shared" si="212"/>
        <v>37</v>
      </c>
      <c r="DH131" s="607">
        <f t="shared" si="213"/>
        <v>20</v>
      </c>
      <c r="DI131" s="608">
        <f t="shared" si="214"/>
        <v>20</v>
      </c>
      <c r="DJ131" s="607">
        <f t="shared" si="215"/>
        <v>0</v>
      </c>
      <c r="DK131" s="608">
        <f t="shared" si="216"/>
        <v>0</v>
      </c>
      <c r="DL131" s="607">
        <f t="shared" si="217"/>
        <v>241</v>
      </c>
      <c r="DM131" s="608">
        <f t="shared" si="218"/>
        <v>240</v>
      </c>
      <c r="DN131" s="607">
        <f t="shared" si="219"/>
        <v>3755873.2300884947</v>
      </c>
      <c r="DO131" s="612">
        <f t="shared" si="220"/>
        <v>3808642.699115044</v>
      </c>
      <c r="DP131" s="607">
        <f t="shared" si="221"/>
        <v>2675084.8447058825</v>
      </c>
      <c r="DQ131" s="606">
        <f t="shared" si="222"/>
        <v>2800315.158013544</v>
      </c>
      <c r="DR131" s="607">
        <f t="shared" si="223"/>
        <v>4427469</v>
      </c>
      <c r="DS131" s="606">
        <f t="shared" si="224"/>
        <v>4516561.4248021105</v>
      </c>
      <c r="DT131" s="607">
        <f t="shared" si="225"/>
        <v>1665494.9272237199</v>
      </c>
      <c r="DU131" s="606">
        <f t="shared" si="226"/>
        <v>1532542.5402985073</v>
      </c>
      <c r="DV131" s="607">
        <f t="shared" si="227"/>
        <v>894000</v>
      </c>
      <c r="DW131" s="608">
        <f t="shared" si="228"/>
        <v>881597</v>
      </c>
      <c r="DX131" s="607">
        <f t="shared" si="229"/>
        <v>0</v>
      </c>
      <c r="DY131" s="608">
        <f t="shared" si="230"/>
        <v>0</v>
      </c>
      <c r="DZ131" s="607">
        <f t="shared" si="231"/>
        <v>13417922.002018098</v>
      </c>
      <c r="EA131" s="608">
        <f t="shared" si="232"/>
        <v>13539658.822229207</v>
      </c>
    </row>
    <row r="132" spans="1:131" x14ac:dyDescent="0.2">
      <c r="A132" s="469" t="s">
        <v>35</v>
      </c>
      <c r="B132" s="466" t="s">
        <v>865</v>
      </c>
      <c r="C132" s="549"/>
      <c r="D132" s="470">
        <v>139366</v>
      </c>
      <c r="E132" s="392">
        <v>4</v>
      </c>
      <c r="F132" s="598">
        <v>52</v>
      </c>
      <c r="G132" s="599">
        <v>44</v>
      </c>
      <c r="H132" s="600"/>
      <c r="I132" s="601"/>
      <c r="J132" s="600">
        <v>14</v>
      </c>
      <c r="K132" s="599">
        <v>18</v>
      </c>
      <c r="L132" s="600"/>
      <c r="M132" s="601"/>
      <c r="N132" s="600">
        <v>72</v>
      </c>
      <c r="O132" s="599">
        <f>36+25</f>
        <v>61</v>
      </c>
      <c r="P132" s="600"/>
      <c r="Q132" s="601"/>
      <c r="R132" s="600">
        <v>6</v>
      </c>
      <c r="S132" s="599">
        <v>8</v>
      </c>
      <c r="T132" s="600"/>
      <c r="U132" s="601"/>
      <c r="V132" s="600">
        <v>97</v>
      </c>
      <c r="W132" s="599">
        <f>61+45</f>
        <v>106</v>
      </c>
      <c r="X132" s="600"/>
      <c r="Y132" s="601"/>
      <c r="Z132" s="600">
        <v>2</v>
      </c>
      <c r="AA132" s="599">
        <v>5</v>
      </c>
      <c r="AB132" s="600"/>
      <c r="AC132" s="601"/>
      <c r="AD132" s="600">
        <v>8</v>
      </c>
      <c r="AE132" s="599">
        <v>13</v>
      </c>
      <c r="AF132" s="600"/>
      <c r="AG132" s="601"/>
      <c r="AH132" s="600"/>
      <c r="AI132" s="599">
        <v>2</v>
      </c>
      <c r="AJ132" s="600"/>
      <c r="AK132" s="601"/>
      <c r="AL132" s="600">
        <v>18</v>
      </c>
      <c r="AM132" s="599">
        <v>29</v>
      </c>
      <c r="AN132" s="600"/>
      <c r="AO132" s="601"/>
      <c r="AP132" s="600">
        <v>2</v>
      </c>
      <c r="AQ132" s="599">
        <v>3</v>
      </c>
      <c r="AR132" s="600"/>
      <c r="AS132" s="601"/>
      <c r="AT132" s="600"/>
      <c r="AU132" s="599"/>
      <c r="AV132" s="600"/>
      <c r="AW132" s="601"/>
      <c r="AX132" s="600"/>
      <c r="AY132" s="599"/>
      <c r="AZ132" s="600"/>
      <c r="BA132" s="601"/>
      <c r="BB132" s="602">
        <v>5097432</v>
      </c>
      <c r="BC132" s="599">
        <v>4906245</v>
      </c>
      <c r="BD132" s="600">
        <v>4867650</v>
      </c>
      <c r="BE132" s="599">
        <v>4605254</v>
      </c>
      <c r="BF132" s="600">
        <v>5368447</v>
      </c>
      <c r="BG132" s="599">
        <v>6443006</v>
      </c>
      <c r="BH132" s="600">
        <v>433128</v>
      </c>
      <c r="BI132" s="599">
        <v>821934</v>
      </c>
      <c r="BJ132" s="600">
        <v>855470</v>
      </c>
      <c r="BK132" s="615">
        <v>1481630</v>
      </c>
      <c r="BL132" s="600">
        <v>0</v>
      </c>
      <c r="BM132" s="604"/>
      <c r="BN132" s="605">
        <f t="shared" si="167"/>
        <v>622</v>
      </c>
      <c r="BO132" s="606">
        <f t="shared" si="168"/>
        <v>594</v>
      </c>
      <c r="BP132" s="607">
        <f t="shared" si="169"/>
        <v>714</v>
      </c>
      <c r="BQ132" s="606">
        <f t="shared" si="170"/>
        <v>637</v>
      </c>
      <c r="BR132" s="607">
        <f t="shared" si="171"/>
        <v>895</v>
      </c>
      <c r="BS132" s="606">
        <f t="shared" si="172"/>
        <v>1009</v>
      </c>
      <c r="BT132" s="607">
        <f t="shared" si="173"/>
        <v>72</v>
      </c>
      <c r="BU132" s="606">
        <f t="shared" si="174"/>
        <v>139</v>
      </c>
      <c r="BV132" s="607">
        <f t="shared" si="175"/>
        <v>184</v>
      </c>
      <c r="BW132" s="608">
        <f t="shared" si="176"/>
        <v>294</v>
      </c>
      <c r="BX132" s="607">
        <f t="shared" si="177"/>
        <v>0</v>
      </c>
      <c r="BY132" s="608">
        <f t="shared" si="178"/>
        <v>0</v>
      </c>
      <c r="BZ132" s="607">
        <f t="shared" si="179"/>
        <v>8195.2282958199357</v>
      </c>
      <c r="CA132" s="608">
        <f t="shared" si="180"/>
        <v>8259.6717171717173</v>
      </c>
      <c r="CB132" s="607">
        <f t="shared" si="181"/>
        <v>6817.4369747899163</v>
      </c>
      <c r="CC132" s="608">
        <f t="shared" si="182"/>
        <v>7229.5981161695445</v>
      </c>
      <c r="CD132" s="607">
        <f t="shared" si="183"/>
        <v>5998.2648044692742</v>
      </c>
      <c r="CE132" s="608">
        <f t="shared" si="184"/>
        <v>6385.536174430129</v>
      </c>
      <c r="CF132" s="607">
        <f t="shared" si="185"/>
        <v>6015.666666666667</v>
      </c>
      <c r="CG132" s="608">
        <f t="shared" si="186"/>
        <v>5913.1942446043167</v>
      </c>
      <c r="CH132" s="607">
        <f t="shared" si="187"/>
        <v>4649.29347826087</v>
      </c>
      <c r="CI132" s="608">
        <f t="shared" si="188"/>
        <v>5039.557823129252</v>
      </c>
      <c r="CJ132" s="607">
        <f t="shared" si="189"/>
        <v>0</v>
      </c>
      <c r="CK132" s="608">
        <f t="shared" si="190"/>
        <v>0</v>
      </c>
      <c r="CL132" s="609">
        <f t="shared" si="191"/>
        <v>73757.054662379422</v>
      </c>
      <c r="CM132" s="608">
        <f t="shared" si="192"/>
        <v>74337.045454545456</v>
      </c>
      <c r="CN132" s="610">
        <f t="shared" si="193"/>
        <v>61356.932773109249</v>
      </c>
      <c r="CO132" s="606">
        <f t="shared" si="194"/>
        <v>65066.383045525901</v>
      </c>
      <c r="CP132" s="607">
        <f t="shared" si="195"/>
        <v>53984.383240223469</v>
      </c>
      <c r="CQ132" s="606">
        <f t="shared" si="196"/>
        <v>57469.825569871158</v>
      </c>
      <c r="CR132" s="607">
        <f t="shared" si="197"/>
        <v>54141</v>
      </c>
      <c r="CS132" s="606">
        <f t="shared" si="198"/>
        <v>53218.748201438852</v>
      </c>
      <c r="CT132" s="607">
        <f t="shared" si="199"/>
        <v>41843.641304347831</v>
      </c>
      <c r="CU132" s="608">
        <f t="shared" si="200"/>
        <v>45356.020408163269</v>
      </c>
      <c r="CV132" s="610">
        <f t="shared" si="201"/>
        <v>0</v>
      </c>
      <c r="CW132" s="608">
        <f t="shared" si="202"/>
        <v>0</v>
      </c>
      <c r="CX132" s="610">
        <f t="shared" si="203"/>
        <v>60030.483877817875</v>
      </c>
      <c r="CY132" s="611">
        <f t="shared" si="204"/>
        <v>61340.144507479628</v>
      </c>
      <c r="CZ132" s="605">
        <f t="shared" si="205"/>
        <v>66</v>
      </c>
      <c r="DA132" s="612">
        <f t="shared" si="206"/>
        <v>62</v>
      </c>
      <c r="DB132" s="607">
        <f t="shared" si="207"/>
        <v>78</v>
      </c>
      <c r="DC132" s="606">
        <f t="shared" si="208"/>
        <v>69</v>
      </c>
      <c r="DD132" s="607">
        <f t="shared" si="209"/>
        <v>99</v>
      </c>
      <c r="DE132" s="606">
        <f t="shared" si="210"/>
        <v>111</v>
      </c>
      <c r="DF132" s="607">
        <f t="shared" si="211"/>
        <v>8</v>
      </c>
      <c r="DG132" s="606">
        <f t="shared" si="212"/>
        <v>15</v>
      </c>
      <c r="DH132" s="607">
        <f t="shared" si="213"/>
        <v>20</v>
      </c>
      <c r="DI132" s="608">
        <f t="shared" si="214"/>
        <v>32</v>
      </c>
      <c r="DJ132" s="607">
        <f t="shared" si="215"/>
        <v>0</v>
      </c>
      <c r="DK132" s="608">
        <f t="shared" si="216"/>
        <v>0</v>
      </c>
      <c r="DL132" s="607">
        <f t="shared" si="217"/>
        <v>271</v>
      </c>
      <c r="DM132" s="608">
        <f t="shared" si="218"/>
        <v>289</v>
      </c>
      <c r="DN132" s="607">
        <f t="shared" si="219"/>
        <v>4867965.6077170419</v>
      </c>
      <c r="DO132" s="612">
        <f t="shared" si="220"/>
        <v>4608896.8181818184</v>
      </c>
      <c r="DP132" s="607">
        <f t="shared" si="221"/>
        <v>4785840.7563025216</v>
      </c>
      <c r="DQ132" s="606">
        <f t="shared" si="222"/>
        <v>4489580.4301412869</v>
      </c>
      <c r="DR132" s="607">
        <f t="shared" si="223"/>
        <v>5344453.9407821232</v>
      </c>
      <c r="DS132" s="606">
        <f t="shared" si="224"/>
        <v>6379150.6382556986</v>
      </c>
      <c r="DT132" s="607">
        <f t="shared" si="225"/>
        <v>433128</v>
      </c>
      <c r="DU132" s="606">
        <f t="shared" si="226"/>
        <v>798281.22302158282</v>
      </c>
      <c r="DV132" s="607">
        <f t="shared" si="227"/>
        <v>836872.82608695666</v>
      </c>
      <c r="DW132" s="608">
        <f t="shared" si="228"/>
        <v>1451392.6530612246</v>
      </c>
      <c r="DX132" s="607">
        <f t="shared" si="229"/>
        <v>0</v>
      </c>
      <c r="DY132" s="608">
        <f t="shared" si="230"/>
        <v>0</v>
      </c>
      <c r="DZ132" s="607">
        <f t="shared" si="231"/>
        <v>16268261.130888645</v>
      </c>
      <c r="EA132" s="608">
        <f t="shared" si="232"/>
        <v>17727301.762661614</v>
      </c>
    </row>
    <row r="133" spans="1:131" x14ac:dyDescent="0.2">
      <c r="A133" s="469" t="s">
        <v>35</v>
      </c>
      <c r="B133" s="466" t="s">
        <v>866</v>
      </c>
      <c r="C133" s="549"/>
      <c r="D133" s="470">
        <v>139861</v>
      </c>
      <c r="E133" s="392">
        <v>4</v>
      </c>
      <c r="F133" s="598">
        <v>50</v>
      </c>
      <c r="G133" s="599">
        <v>73</v>
      </c>
      <c r="H133" s="600"/>
      <c r="I133" s="601"/>
      <c r="J133" s="600">
        <v>14</v>
      </c>
      <c r="K133" s="599">
        <v>10</v>
      </c>
      <c r="L133" s="600"/>
      <c r="M133" s="601"/>
      <c r="N133" s="600">
        <v>61</v>
      </c>
      <c r="O133" s="599">
        <f>23+35</f>
        <v>58</v>
      </c>
      <c r="P133" s="600"/>
      <c r="Q133" s="601"/>
      <c r="R133" s="600">
        <v>9</v>
      </c>
      <c r="S133" s="599">
        <v>7</v>
      </c>
      <c r="T133" s="600"/>
      <c r="U133" s="601"/>
      <c r="V133" s="600">
        <v>137</v>
      </c>
      <c r="W133" s="599">
        <f>46+72</f>
        <v>118</v>
      </c>
      <c r="X133" s="600"/>
      <c r="Y133" s="601"/>
      <c r="Z133" s="600">
        <v>3</v>
      </c>
      <c r="AA133" s="599">
        <v>4</v>
      </c>
      <c r="AB133" s="600"/>
      <c r="AC133" s="601"/>
      <c r="AD133" s="600">
        <v>10</v>
      </c>
      <c r="AE133" s="599">
        <v>13</v>
      </c>
      <c r="AF133" s="600"/>
      <c r="AG133" s="601"/>
      <c r="AH133" s="600"/>
      <c r="AI133" s="599"/>
      <c r="AJ133" s="600"/>
      <c r="AK133" s="601"/>
      <c r="AL133" s="600">
        <v>20</v>
      </c>
      <c r="AM133" s="599">
        <v>23</v>
      </c>
      <c r="AN133" s="600"/>
      <c r="AO133" s="601"/>
      <c r="AP133" s="600">
        <v>1</v>
      </c>
      <c r="AQ133" s="599">
        <v>2</v>
      </c>
      <c r="AR133" s="600"/>
      <c r="AS133" s="601"/>
      <c r="AT133" s="600"/>
      <c r="AU133" s="599"/>
      <c r="AV133" s="600"/>
      <c r="AW133" s="601"/>
      <c r="AX133" s="600"/>
      <c r="AY133" s="599"/>
      <c r="AZ133" s="600"/>
      <c r="BA133" s="601"/>
      <c r="BB133" s="602">
        <v>4921580</v>
      </c>
      <c r="BC133" s="599">
        <v>6667757</v>
      </c>
      <c r="BD133" s="600">
        <v>4595515</v>
      </c>
      <c r="BE133" s="599">
        <v>4501153</v>
      </c>
      <c r="BF133" s="600">
        <v>7164677</v>
      </c>
      <c r="BG133" s="599">
        <v>6910033</v>
      </c>
      <c r="BH133" s="600">
        <v>447000</v>
      </c>
      <c r="BI133" s="599">
        <v>614180</v>
      </c>
      <c r="BJ133" s="600">
        <v>956160</v>
      </c>
      <c r="BK133" s="615">
        <v>1144946</v>
      </c>
      <c r="BL133" s="600">
        <v>0</v>
      </c>
      <c r="BM133" s="604"/>
      <c r="BN133" s="605">
        <f t="shared" si="167"/>
        <v>604</v>
      </c>
      <c r="BO133" s="606">
        <f t="shared" si="168"/>
        <v>767</v>
      </c>
      <c r="BP133" s="607">
        <f t="shared" si="169"/>
        <v>648</v>
      </c>
      <c r="BQ133" s="606">
        <f t="shared" si="170"/>
        <v>599</v>
      </c>
      <c r="BR133" s="607">
        <f t="shared" si="171"/>
        <v>1266</v>
      </c>
      <c r="BS133" s="606">
        <f t="shared" si="172"/>
        <v>1106</v>
      </c>
      <c r="BT133" s="607">
        <f t="shared" si="173"/>
        <v>90</v>
      </c>
      <c r="BU133" s="606">
        <f t="shared" si="174"/>
        <v>117</v>
      </c>
      <c r="BV133" s="607">
        <f t="shared" si="175"/>
        <v>191</v>
      </c>
      <c r="BW133" s="608">
        <f t="shared" si="176"/>
        <v>229</v>
      </c>
      <c r="BX133" s="607">
        <f t="shared" si="177"/>
        <v>0</v>
      </c>
      <c r="BY133" s="608">
        <f t="shared" si="178"/>
        <v>0</v>
      </c>
      <c r="BZ133" s="607">
        <f t="shared" si="179"/>
        <v>8148.3112582781459</v>
      </c>
      <c r="CA133" s="608">
        <f t="shared" si="180"/>
        <v>8693.2946544980441</v>
      </c>
      <c r="CB133" s="607">
        <f t="shared" si="181"/>
        <v>7091.8441358024693</v>
      </c>
      <c r="CC133" s="608">
        <f t="shared" si="182"/>
        <v>7514.4457429048416</v>
      </c>
      <c r="CD133" s="607">
        <f t="shared" si="183"/>
        <v>5659.3025276461294</v>
      </c>
      <c r="CE133" s="608">
        <f t="shared" si="184"/>
        <v>6247.7694394213386</v>
      </c>
      <c r="CF133" s="607">
        <f t="shared" si="185"/>
        <v>4966.666666666667</v>
      </c>
      <c r="CG133" s="608">
        <f t="shared" si="186"/>
        <v>5249.401709401709</v>
      </c>
      <c r="CH133" s="607">
        <f t="shared" si="187"/>
        <v>5006.073298429319</v>
      </c>
      <c r="CI133" s="608">
        <f t="shared" si="188"/>
        <v>4999.764192139738</v>
      </c>
      <c r="CJ133" s="607">
        <f t="shared" si="189"/>
        <v>0</v>
      </c>
      <c r="CK133" s="608">
        <f t="shared" si="190"/>
        <v>0</v>
      </c>
      <c r="CL133" s="609">
        <f t="shared" si="191"/>
        <v>73334.801324503307</v>
      </c>
      <c r="CM133" s="608">
        <f t="shared" si="192"/>
        <v>78239.651890482404</v>
      </c>
      <c r="CN133" s="610">
        <f t="shared" si="193"/>
        <v>63826.597222222226</v>
      </c>
      <c r="CO133" s="606">
        <f t="shared" si="194"/>
        <v>67630.011686143582</v>
      </c>
      <c r="CP133" s="607">
        <f t="shared" si="195"/>
        <v>50933.722748815162</v>
      </c>
      <c r="CQ133" s="606">
        <f t="shared" si="196"/>
        <v>56229.924954792048</v>
      </c>
      <c r="CR133" s="607">
        <f t="shared" si="197"/>
        <v>44700</v>
      </c>
      <c r="CS133" s="606">
        <f t="shared" si="198"/>
        <v>47244.615384615383</v>
      </c>
      <c r="CT133" s="607">
        <f t="shared" si="199"/>
        <v>45054.659685863873</v>
      </c>
      <c r="CU133" s="608">
        <f t="shared" si="200"/>
        <v>44997.877729257641</v>
      </c>
      <c r="CV133" s="610">
        <f t="shared" si="201"/>
        <v>0</v>
      </c>
      <c r="CW133" s="608">
        <f t="shared" si="202"/>
        <v>0</v>
      </c>
      <c r="CX133" s="610">
        <f t="shared" si="203"/>
        <v>57984.125011675511</v>
      </c>
      <c r="CY133" s="611">
        <f t="shared" si="204"/>
        <v>63276.037838394295</v>
      </c>
      <c r="CZ133" s="605">
        <f t="shared" si="205"/>
        <v>64</v>
      </c>
      <c r="DA133" s="612">
        <f t="shared" si="206"/>
        <v>83</v>
      </c>
      <c r="DB133" s="607">
        <f t="shared" si="207"/>
        <v>70</v>
      </c>
      <c r="DC133" s="606">
        <f t="shared" si="208"/>
        <v>65</v>
      </c>
      <c r="DD133" s="607">
        <f t="shared" si="209"/>
        <v>140</v>
      </c>
      <c r="DE133" s="606">
        <f t="shared" si="210"/>
        <v>122</v>
      </c>
      <c r="DF133" s="607">
        <f t="shared" si="211"/>
        <v>10</v>
      </c>
      <c r="DG133" s="606">
        <f t="shared" si="212"/>
        <v>13</v>
      </c>
      <c r="DH133" s="607">
        <f t="shared" si="213"/>
        <v>21</v>
      </c>
      <c r="DI133" s="608">
        <f t="shared" si="214"/>
        <v>25</v>
      </c>
      <c r="DJ133" s="607">
        <f t="shared" si="215"/>
        <v>0</v>
      </c>
      <c r="DK133" s="608">
        <f t="shared" si="216"/>
        <v>0</v>
      </c>
      <c r="DL133" s="607">
        <f t="shared" si="217"/>
        <v>305</v>
      </c>
      <c r="DM133" s="608">
        <f t="shared" si="218"/>
        <v>308</v>
      </c>
      <c r="DN133" s="607">
        <f t="shared" si="219"/>
        <v>4693427.2847682117</v>
      </c>
      <c r="DO133" s="612">
        <f t="shared" si="220"/>
        <v>6493891.1069100397</v>
      </c>
      <c r="DP133" s="607">
        <f t="shared" si="221"/>
        <v>4467861.805555556</v>
      </c>
      <c r="DQ133" s="606">
        <f t="shared" si="222"/>
        <v>4395950.7595993327</v>
      </c>
      <c r="DR133" s="607">
        <f t="shared" si="223"/>
        <v>7130721.1848341227</v>
      </c>
      <c r="DS133" s="606">
        <f t="shared" si="224"/>
        <v>6860050.84448463</v>
      </c>
      <c r="DT133" s="607">
        <f t="shared" si="225"/>
        <v>447000</v>
      </c>
      <c r="DU133" s="606">
        <f t="shared" si="226"/>
        <v>614180</v>
      </c>
      <c r="DV133" s="607">
        <f t="shared" si="227"/>
        <v>946147.85340314137</v>
      </c>
      <c r="DW133" s="608">
        <f t="shared" si="228"/>
        <v>1124946.9432314411</v>
      </c>
      <c r="DX133" s="607">
        <f t="shared" si="229"/>
        <v>0</v>
      </c>
      <c r="DY133" s="608">
        <f t="shared" si="230"/>
        <v>0</v>
      </c>
      <c r="DZ133" s="607">
        <f t="shared" si="231"/>
        <v>17685158.128561031</v>
      </c>
      <c r="EA133" s="608">
        <f t="shared" si="232"/>
        <v>19489019.654225443</v>
      </c>
    </row>
    <row r="134" spans="1:131" x14ac:dyDescent="0.2">
      <c r="A134" s="469" t="s">
        <v>35</v>
      </c>
      <c r="B134" s="466" t="s">
        <v>867</v>
      </c>
      <c r="C134" s="549" t="s">
        <v>890</v>
      </c>
      <c r="D134" s="470">
        <v>140164</v>
      </c>
      <c r="E134" s="392">
        <v>4</v>
      </c>
      <c r="F134" s="598">
        <v>121</v>
      </c>
      <c r="G134" s="599">
        <f>68+51</f>
        <v>119</v>
      </c>
      <c r="H134" s="600"/>
      <c r="I134" s="601"/>
      <c r="J134" s="600">
        <v>12</v>
      </c>
      <c r="K134" s="599">
        <v>7</v>
      </c>
      <c r="L134" s="600"/>
      <c r="M134" s="601"/>
      <c r="N134" s="600">
        <v>172</v>
      </c>
      <c r="O134" s="599">
        <f>86+89</f>
        <v>175</v>
      </c>
      <c r="P134" s="600"/>
      <c r="Q134" s="601"/>
      <c r="R134" s="600">
        <v>7</v>
      </c>
      <c r="S134" s="599">
        <v>3</v>
      </c>
      <c r="T134" s="600"/>
      <c r="U134" s="601"/>
      <c r="V134" s="600">
        <v>253</v>
      </c>
      <c r="W134" s="599">
        <f>99+112</f>
        <v>211</v>
      </c>
      <c r="X134" s="600"/>
      <c r="Y134" s="601"/>
      <c r="Z134" s="600">
        <v>12</v>
      </c>
      <c r="AA134" s="599">
        <v>1</v>
      </c>
      <c r="AB134" s="600"/>
      <c r="AC134" s="601"/>
      <c r="AD134" s="600">
        <v>34</v>
      </c>
      <c r="AE134" s="599">
        <v>41</v>
      </c>
      <c r="AF134" s="600"/>
      <c r="AG134" s="601"/>
      <c r="AH134" s="600">
        <v>1</v>
      </c>
      <c r="AI134" s="599">
        <v>3</v>
      </c>
      <c r="AJ134" s="600"/>
      <c r="AK134" s="601"/>
      <c r="AL134" s="600">
        <v>111</v>
      </c>
      <c r="AM134" s="599">
        <f>44+73</f>
        <v>117</v>
      </c>
      <c r="AN134" s="600"/>
      <c r="AO134" s="601"/>
      <c r="AP134" s="600">
        <v>12</v>
      </c>
      <c r="AQ134" s="599">
        <v>11</v>
      </c>
      <c r="AR134" s="600"/>
      <c r="AS134" s="601"/>
      <c r="AT134" s="600"/>
      <c r="AU134" s="599"/>
      <c r="AV134" s="600"/>
      <c r="AW134" s="601"/>
      <c r="AX134" s="600"/>
      <c r="AY134" s="599"/>
      <c r="AZ134" s="600"/>
      <c r="BA134" s="601"/>
      <c r="BB134" s="602">
        <v>11434180</v>
      </c>
      <c r="BC134" s="599">
        <v>10282368</v>
      </c>
      <c r="BD134" s="600">
        <v>12123720</v>
      </c>
      <c r="BE134" s="599">
        <v>11962262</v>
      </c>
      <c r="BF134" s="600">
        <v>15371316</v>
      </c>
      <c r="BG134" s="599">
        <v>11891436</v>
      </c>
      <c r="BH134" s="600">
        <v>1576512</v>
      </c>
      <c r="BI134" s="599">
        <v>1878025</v>
      </c>
      <c r="BJ134" s="600">
        <v>6135315</v>
      </c>
      <c r="BK134" s="615">
        <v>6361508</v>
      </c>
      <c r="BL134" s="600">
        <v>0</v>
      </c>
      <c r="BM134" s="604"/>
      <c r="BN134" s="605">
        <f t="shared" si="167"/>
        <v>1221</v>
      </c>
      <c r="BO134" s="606">
        <f t="shared" si="168"/>
        <v>1148</v>
      </c>
      <c r="BP134" s="607">
        <f t="shared" si="169"/>
        <v>1625</v>
      </c>
      <c r="BQ134" s="606">
        <f t="shared" si="170"/>
        <v>1608</v>
      </c>
      <c r="BR134" s="607">
        <f t="shared" si="171"/>
        <v>2409</v>
      </c>
      <c r="BS134" s="606">
        <f t="shared" si="172"/>
        <v>1910</v>
      </c>
      <c r="BT134" s="607">
        <f t="shared" si="173"/>
        <v>317</v>
      </c>
      <c r="BU134" s="606">
        <f t="shared" si="174"/>
        <v>402</v>
      </c>
      <c r="BV134" s="607">
        <f t="shared" si="175"/>
        <v>1131</v>
      </c>
      <c r="BW134" s="608">
        <f t="shared" si="176"/>
        <v>1174</v>
      </c>
      <c r="BX134" s="607">
        <f t="shared" si="177"/>
        <v>0</v>
      </c>
      <c r="BY134" s="608">
        <f t="shared" si="178"/>
        <v>0</v>
      </c>
      <c r="BZ134" s="607">
        <f t="shared" si="179"/>
        <v>9364.6027846027846</v>
      </c>
      <c r="CA134" s="608">
        <f t="shared" si="180"/>
        <v>8956.7665505226487</v>
      </c>
      <c r="CB134" s="607">
        <f t="shared" si="181"/>
        <v>7460.750769230769</v>
      </c>
      <c r="CC134" s="608">
        <f t="shared" si="182"/>
        <v>7439.2176616915422</v>
      </c>
      <c r="CD134" s="607">
        <f t="shared" si="183"/>
        <v>6380.7870485678704</v>
      </c>
      <c r="CE134" s="608">
        <f t="shared" si="184"/>
        <v>6225.882722513089</v>
      </c>
      <c r="CF134" s="607">
        <f t="shared" si="185"/>
        <v>4973.2239747634067</v>
      </c>
      <c r="CG134" s="608">
        <f t="shared" si="186"/>
        <v>4671.7039800995026</v>
      </c>
      <c r="CH134" s="607">
        <f t="shared" si="187"/>
        <v>5424.681697612732</v>
      </c>
      <c r="CI134" s="608">
        <f t="shared" si="188"/>
        <v>5418.6609880749575</v>
      </c>
      <c r="CJ134" s="607">
        <f t="shared" si="189"/>
        <v>0</v>
      </c>
      <c r="CK134" s="608">
        <f t="shared" si="190"/>
        <v>0</v>
      </c>
      <c r="CL134" s="609">
        <f t="shared" si="191"/>
        <v>84281.425061425063</v>
      </c>
      <c r="CM134" s="608">
        <f t="shared" si="192"/>
        <v>80610.898954703836</v>
      </c>
      <c r="CN134" s="610">
        <f t="shared" si="193"/>
        <v>67146.756923076915</v>
      </c>
      <c r="CO134" s="606">
        <f t="shared" si="194"/>
        <v>66952.958955223876</v>
      </c>
      <c r="CP134" s="607">
        <f t="shared" si="195"/>
        <v>57427.083437110836</v>
      </c>
      <c r="CQ134" s="606">
        <f t="shared" si="196"/>
        <v>56032.9445026178</v>
      </c>
      <c r="CR134" s="607">
        <f t="shared" si="197"/>
        <v>44759.015772870662</v>
      </c>
      <c r="CS134" s="606">
        <f t="shared" si="198"/>
        <v>42045.335820895525</v>
      </c>
      <c r="CT134" s="607">
        <f t="shared" si="199"/>
        <v>48822.135278514586</v>
      </c>
      <c r="CU134" s="608">
        <f t="shared" si="200"/>
        <v>48767.94889267462</v>
      </c>
      <c r="CV134" s="610">
        <f t="shared" si="201"/>
        <v>0</v>
      </c>
      <c r="CW134" s="608">
        <f t="shared" si="202"/>
        <v>0</v>
      </c>
      <c r="CX134" s="610">
        <f t="shared" si="203"/>
        <v>62610.291598016927</v>
      </c>
      <c r="CY134" s="611">
        <f t="shared" si="204"/>
        <v>61113.192487295448</v>
      </c>
      <c r="CZ134" s="605">
        <f t="shared" si="205"/>
        <v>133</v>
      </c>
      <c r="DA134" s="612">
        <f t="shared" si="206"/>
        <v>126</v>
      </c>
      <c r="DB134" s="607">
        <f t="shared" si="207"/>
        <v>179</v>
      </c>
      <c r="DC134" s="606">
        <f t="shared" si="208"/>
        <v>178</v>
      </c>
      <c r="DD134" s="607">
        <f t="shared" si="209"/>
        <v>265</v>
      </c>
      <c r="DE134" s="606">
        <f t="shared" si="210"/>
        <v>212</v>
      </c>
      <c r="DF134" s="607">
        <f t="shared" si="211"/>
        <v>35</v>
      </c>
      <c r="DG134" s="606">
        <f t="shared" si="212"/>
        <v>44</v>
      </c>
      <c r="DH134" s="607">
        <f t="shared" si="213"/>
        <v>123</v>
      </c>
      <c r="DI134" s="608">
        <f t="shared" si="214"/>
        <v>128</v>
      </c>
      <c r="DJ134" s="607">
        <f t="shared" si="215"/>
        <v>0</v>
      </c>
      <c r="DK134" s="608">
        <f t="shared" si="216"/>
        <v>0</v>
      </c>
      <c r="DL134" s="607">
        <f t="shared" si="217"/>
        <v>735</v>
      </c>
      <c r="DM134" s="608">
        <f t="shared" si="218"/>
        <v>688</v>
      </c>
      <c r="DN134" s="607">
        <f t="shared" si="219"/>
        <v>11209429.533169534</v>
      </c>
      <c r="DO134" s="612">
        <f t="shared" si="220"/>
        <v>10156973.268292684</v>
      </c>
      <c r="DP134" s="607">
        <f t="shared" si="221"/>
        <v>12019269.489230767</v>
      </c>
      <c r="DQ134" s="606">
        <f t="shared" si="222"/>
        <v>11917626.694029849</v>
      </c>
      <c r="DR134" s="607">
        <f t="shared" si="223"/>
        <v>15218177.110834371</v>
      </c>
      <c r="DS134" s="606">
        <f t="shared" si="224"/>
        <v>11878984.234554974</v>
      </c>
      <c r="DT134" s="607">
        <f t="shared" si="225"/>
        <v>1566565.5520504732</v>
      </c>
      <c r="DU134" s="606">
        <f t="shared" si="226"/>
        <v>1849994.7761194031</v>
      </c>
      <c r="DV134" s="607">
        <f t="shared" si="227"/>
        <v>6005122.6392572941</v>
      </c>
      <c r="DW134" s="608">
        <f t="shared" si="228"/>
        <v>6242297.4582623513</v>
      </c>
      <c r="DX134" s="607">
        <f t="shared" si="229"/>
        <v>0</v>
      </c>
      <c r="DY134" s="608">
        <f t="shared" si="230"/>
        <v>0</v>
      </c>
      <c r="DZ134" s="607">
        <f t="shared" si="231"/>
        <v>46018564.32454244</v>
      </c>
      <c r="EA134" s="608">
        <f t="shared" si="232"/>
        <v>42045876.431259267</v>
      </c>
    </row>
    <row r="135" spans="1:131" x14ac:dyDescent="0.2">
      <c r="A135" s="469" t="s">
        <v>35</v>
      </c>
      <c r="B135" s="466" t="s">
        <v>872</v>
      </c>
      <c r="C135" s="550" t="s">
        <v>708</v>
      </c>
      <c r="D135" s="470">
        <v>140669</v>
      </c>
      <c r="E135" s="467">
        <v>4</v>
      </c>
      <c r="F135" s="598">
        <v>34</v>
      </c>
      <c r="G135" s="599">
        <v>34</v>
      </c>
      <c r="H135" s="600"/>
      <c r="I135" s="601"/>
      <c r="J135" s="600">
        <v>10</v>
      </c>
      <c r="K135" s="599">
        <v>3</v>
      </c>
      <c r="L135" s="600"/>
      <c r="M135" s="601"/>
      <c r="N135" s="600">
        <v>67</v>
      </c>
      <c r="O135" s="599">
        <f>37+27</f>
        <v>64</v>
      </c>
      <c r="P135" s="600"/>
      <c r="Q135" s="601"/>
      <c r="R135" s="600">
        <v>5</v>
      </c>
      <c r="S135" s="599">
        <v>4</v>
      </c>
      <c r="T135" s="600"/>
      <c r="U135" s="601"/>
      <c r="V135" s="600">
        <v>82</v>
      </c>
      <c r="W135" s="599">
        <f>26+59</f>
        <v>85</v>
      </c>
      <c r="X135" s="600"/>
      <c r="Y135" s="601"/>
      <c r="Z135" s="600">
        <v>6</v>
      </c>
      <c r="AA135" s="599">
        <v>7</v>
      </c>
      <c r="AB135" s="600"/>
      <c r="AC135" s="601"/>
      <c r="AD135" s="600">
        <v>31</v>
      </c>
      <c r="AE135" s="599">
        <v>17</v>
      </c>
      <c r="AF135" s="600"/>
      <c r="AG135" s="601"/>
      <c r="AH135" s="600">
        <v>2</v>
      </c>
      <c r="AI135" s="599">
        <v>1</v>
      </c>
      <c r="AJ135" s="600"/>
      <c r="AK135" s="601"/>
      <c r="AL135" s="600">
        <v>11</v>
      </c>
      <c r="AM135" s="599">
        <v>17</v>
      </c>
      <c r="AN135" s="600"/>
      <c r="AO135" s="601"/>
      <c r="AP135" s="600"/>
      <c r="AQ135" s="599"/>
      <c r="AR135" s="600"/>
      <c r="AS135" s="601"/>
      <c r="AT135" s="600"/>
      <c r="AU135" s="599"/>
      <c r="AV135" s="600"/>
      <c r="AW135" s="601"/>
      <c r="AX135" s="600"/>
      <c r="AY135" s="599"/>
      <c r="AZ135" s="600"/>
      <c r="BA135" s="601"/>
      <c r="BB135" s="602">
        <v>3455572</v>
      </c>
      <c r="BC135" s="599">
        <v>2826913</v>
      </c>
      <c r="BD135" s="600">
        <v>4728740</v>
      </c>
      <c r="BE135" s="599">
        <v>4590109</v>
      </c>
      <c r="BF135" s="600">
        <v>4583468</v>
      </c>
      <c r="BG135" s="599">
        <v>4816905</v>
      </c>
      <c r="BH135" s="600">
        <v>1507300</v>
      </c>
      <c r="BI135" s="599">
        <v>783851</v>
      </c>
      <c r="BJ135" s="600">
        <v>447832</v>
      </c>
      <c r="BK135" s="615">
        <v>357551</v>
      </c>
      <c r="BL135" s="600">
        <v>0</v>
      </c>
      <c r="BM135" s="604"/>
      <c r="BN135" s="605">
        <f t="shared" si="167"/>
        <v>416</v>
      </c>
      <c r="BO135" s="606">
        <f t="shared" si="168"/>
        <v>339</v>
      </c>
      <c r="BP135" s="607">
        <f t="shared" si="169"/>
        <v>658</v>
      </c>
      <c r="BQ135" s="606">
        <f t="shared" si="170"/>
        <v>620</v>
      </c>
      <c r="BR135" s="607">
        <f t="shared" si="171"/>
        <v>804</v>
      </c>
      <c r="BS135" s="606">
        <f t="shared" si="172"/>
        <v>842</v>
      </c>
      <c r="BT135" s="607">
        <f t="shared" si="173"/>
        <v>301</v>
      </c>
      <c r="BU135" s="606">
        <f t="shared" si="174"/>
        <v>164</v>
      </c>
      <c r="BV135" s="607">
        <f t="shared" si="175"/>
        <v>99</v>
      </c>
      <c r="BW135" s="608">
        <f t="shared" si="176"/>
        <v>153</v>
      </c>
      <c r="BX135" s="607">
        <f t="shared" si="177"/>
        <v>0</v>
      </c>
      <c r="BY135" s="608">
        <f t="shared" si="178"/>
        <v>0</v>
      </c>
      <c r="BZ135" s="607">
        <f t="shared" si="179"/>
        <v>8306.663461538461</v>
      </c>
      <c r="CA135" s="608">
        <f t="shared" si="180"/>
        <v>8338.9764011799416</v>
      </c>
      <c r="CB135" s="607">
        <f t="shared" si="181"/>
        <v>7186.5349544072951</v>
      </c>
      <c r="CC135" s="608">
        <f t="shared" si="182"/>
        <v>7403.4016129032261</v>
      </c>
      <c r="CD135" s="607">
        <f t="shared" si="183"/>
        <v>5700.8308457711446</v>
      </c>
      <c r="CE135" s="608">
        <f t="shared" si="184"/>
        <v>5720.7897862232776</v>
      </c>
      <c r="CF135" s="607">
        <f t="shared" si="185"/>
        <v>5007.6411960132891</v>
      </c>
      <c r="CG135" s="608">
        <f t="shared" si="186"/>
        <v>4779.5792682926831</v>
      </c>
      <c r="CH135" s="607">
        <f t="shared" si="187"/>
        <v>4523.5555555555557</v>
      </c>
      <c r="CI135" s="608">
        <f t="shared" si="188"/>
        <v>2336.9346405228757</v>
      </c>
      <c r="CJ135" s="607">
        <f t="shared" si="189"/>
        <v>0</v>
      </c>
      <c r="CK135" s="608">
        <f t="shared" si="190"/>
        <v>0</v>
      </c>
      <c r="CL135" s="609">
        <f t="shared" si="191"/>
        <v>74759.971153846156</v>
      </c>
      <c r="CM135" s="608">
        <f t="shared" si="192"/>
        <v>75050.787610619474</v>
      </c>
      <c r="CN135" s="610">
        <f t="shared" si="193"/>
        <v>64678.814589665657</v>
      </c>
      <c r="CO135" s="606">
        <f t="shared" si="194"/>
        <v>66630.614516129033</v>
      </c>
      <c r="CP135" s="607">
        <f t="shared" si="195"/>
        <v>51307.477611940303</v>
      </c>
      <c r="CQ135" s="606">
        <f t="shared" si="196"/>
        <v>51487.108076009499</v>
      </c>
      <c r="CR135" s="607">
        <f t="shared" si="197"/>
        <v>45068.770764119603</v>
      </c>
      <c r="CS135" s="606">
        <f t="shared" si="198"/>
        <v>43016.213414634149</v>
      </c>
      <c r="CT135" s="607">
        <f t="shared" si="199"/>
        <v>40712</v>
      </c>
      <c r="CU135" s="608">
        <f t="shared" si="200"/>
        <v>21032.411764705881</v>
      </c>
      <c r="CV135" s="610">
        <f t="shared" si="201"/>
        <v>0</v>
      </c>
      <c r="CW135" s="608">
        <f t="shared" si="202"/>
        <v>0</v>
      </c>
      <c r="CX135" s="610">
        <f t="shared" si="203"/>
        <v>58050.293735047788</v>
      </c>
      <c r="CY135" s="611">
        <f t="shared" si="204"/>
        <v>56794.903935974071</v>
      </c>
      <c r="CZ135" s="605">
        <f t="shared" si="205"/>
        <v>44</v>
      </c>
      <c r="DA135" s="612">
        <f t="shared" si="206"/>
        <v>37</v>
      </c>
      <c r="DB135" s="607">
        <f t="shared" si="207"/>
        <v>72</v>
      </c>
      <c r="DC135" s="606">
        <f t="shared" si="208"/>
        <v>68</v>
      </c>
      <c r="DD135" s="607">
        <f t="shared" si="209"/>
        <v>88</v>
      </c>
      <c r="DE135" s="606">
        <f t="shared" si="210"/>
        <v>92</v>
      </c>
      <c r="DF135" s="607">
        <f t="shared" si="211"/>
        <v>33</v>
      </c>
      <c r="DG135" s="606">
        <f t="shared" si="212"/>
        <v>18</v>
      </c>
      <c r="DH135" s="607">
        <f t="shared" si="213"/>
        <v>11</v>
      </c>
      <c r="DI135" s="608">
        <f t="shared" si="214"/>
        <v>17</v>
      </c>
      <c r="DJ135" s="607">
        <f t="shared" si="215"/>
        <v>0</v>
      </c>
      <c r="DK135" s="608">
        <f t="shared" si="216"/>
        <v>0</v>
      </c>
      <c r="DL135" s="607">
        <f t="shared" si="217"/>
        <v>248</v>
      </c>
      <c r="DM135" s="608">
        <f t="shared" si="218"/>
        <v>232</v>
      </c>
      <c r="DN135" s="607">
        <f t="shared" si="219"/>
        <v>3289438.730769231</v>
      </c>
      <c r="DO135" s="612">
        <f t="shared" si="220"/>
        <v>2776879.1415929208</v>
      </c>
      <c r="DP135" s="607">
        <f t="shared" si="221"/>
        <v>4656874.6504559275</v>
      </c>
      <c r="DQ135" s="606">
        <f t="shared" si="222"/>
        <v>4530881.7870967742</v>
      </c>
      <c r="DR135" s="607">
        <f t="shared" si="223"/>
        <v>4515058.0298507465</v>
      </c>
      <c r="DS135" s="606">
        <f t="shared" si="224"/>
        <v>4736813.9429928735</v>
      </c>
      <c r="DT135" s="607">
        <f t="shared" si="225"/>
        <v>1487269.435215947</v>
      </c>
      <c r="DU135" s="606">
        <f t="shared" si="226"/>
        <v>774291.84146341472</v>
      </c>
      <c r="DV135" s="607">
        <f t="shared" si="227"/>
        <v>447832</v>
      </c>
      <c r="DW135" s="608">
        <f t="shared" si="228"/>
        <v>357551</v>
      </c>
      <c r="DX135" s="607">
        <f t="shared" si="229"/>
        <v>0</v>
      </c>
      <c r="DY135" s="608">
        <f t="shared" si="230"/>
        <v>0</v>
      </c>
      <c r="DZ135" s="607">
        <f t="shared" si="231"/>
        <v>14396472.846291851</v>
      </c>
      <c r="EA135" s="608">
        <f t="shared" si="232"/>
        <v>13176417.713145984</v>
      </c>
    </row>
    <row r="136" spans="1:131" x14ac:dyDescent="0.2">
      <c r="A136" s="469" t="s">
        <v>35</v>
      </c>
      <c r="B136" s="466" t="s">
        <v>869</v>
      </c>
      <c r="C136" s="549" t="s">
        <v>891</v>
      </c>
      <c r="D136" s="470">
        <v>139311</v>
      </c>
      <c r="E136" s="471">
        <v>5</v>
      </c>
      <c r="F136" s="598">
        <v>19</v>
      </c>
      <c r="G136" s="599">
        <v>20</v>
      </c>
      <c r="H136" s="600"/>
      <c r="I136" s="601"/>
      <c r="J136" s="600">
        <v>15</v>
      </c>
      <c r="K136" s="599">
        <v>1</v>
      </c>
      <c r="L136" s="600"/>
      <c r="M136" s="601"/>
      <c r="N136" s="600">
        <v>68</v>
      </c>
      <c r="O136" s="599">
        <v>52</v>
      </c>
      <c r="P136" s="600"/>
      <c r="Q136" s="601"/>
      <c r="R136" s="600">
        <v>8</v>
      </c>
      <c r="S136" s="599">
        <v>3</v>
      </c>
      <c r="T136" s="600"/>
      <c r="U136" s="601"/>
      <c r="V136" s="600">
        <v>69</v>
      </c>
      <c r="W136" s="599">
        <v>73</v>
      </c>
      <c r="X136" s="600"/>
      <c r="Y136" s="601"/>
      <c r="Z136" s="600">
        <v>5</v>
      </c>
      <c r="AA136" s="599">
        <v>4</v>
      </c>
      <c r="AB136" s="600"/>
      <c r="AC136" s="601"/>
      <c r="AD136" s="600">
        <v>8</v>
      </c>
      <c r="AE136" s="599">
        <v>11</v>
      </c>
      <c r="AF136" s="600"/>
      <c r="AG136" s="601"/>
      <c r="AH136" s="600"/>
      <c r="AI136" s="599"/>
      <c r="AJ136" s="600"/>
      <c r="AK136" s="601"/>
      <c r="AL136" s="600">
        <v>31</v>
      </c>
      <c r="AM136" s="599">
        <v>32</v>
      </c>
      <c r="AN136" s="600"/>
      <c r="AO136" s="601"/>
      <c r="AP136" s="600"/>
      <c r="AQ136" s="599"/>
      <c r="AR136" s="600"/>
      <c r="AS136" s="601"/>
      <c r="AT136" s="600"/>
      <c r="AU136" s="599"/>
      <c r="AV136" s="600"/>
      <c r="AW136" s="601"/>
      <c r="AX136" s="600"/>
      <c r="AY136" s="599"/>
      <c r="AZ136" s="600"/>
      <c r="BA136" s="601"/>
      <c r="BB136" s="602">
        <v>3163311</v>
      </c>
      <c r="BC136" s="599">
        <v>1636265</v>
      </c>
      <c r="BD136" s="600">
        <v>4920640</v>
      </c>
      <c r="BE136" s="599">
        <v>3582774</v>
      </c>
      <c r="BF136" s="600">
        <v>4192033</v>
      </c>
      <c r="BG136" s="599">
        <v>4424973</v>
      </c>
      <c r="BH136" s="600">
        <v>411000</v>
      </c>
      <c r="BI136" s="599">
        <v>594900</v>
      </c>
      <c r="BJ136" s="600">
        <v>1548822</v>
      </c>
      <c r="BK136" s="615">
        <v>1566964</v>
      </c>
      <c r="BL136" s="600">
        <v>0</v>
      </c>
      <c r="BM136" s="604"/>
      <c r="BN136" s="605">
        <f t="shared" si="167"/>
        <v>336</v>
      </c>
      <c r="BO136" s="606">
        <f t="shared" si="168"/>
        <v>191</v>
      </c>
      <c r="BP136" s="607">
        <f t="shared" si="169"/>
        <v>700</v>
      </c>
      <c r="BQ136" s="606">
        <f t="shared" si="170"/>
        <v>501</v>
      </c>
      <c r="BR136" s="607">
        <f t="shared" si="171"/>
        <v>676</v>
      </c>
      <c r="BS136" s="606">
        <f t="shared" si="172"/>
        <v>701</v>
      </c>
      <c r="BT136" s="607">
        <f t="shared" si="173"/>
        <v>72</v>
      </c>
      <c r="BU136" s="606">
        <f t="shared" si="174"/>
        <v>99</v>
      </c>
      <c r="BV136" s="607">
        <f t="shared" si="175"/>
        <v>279</v>
      </c>
      <c r="BW136" s="608">
        <f t="shared" si="176"/>
        <v>288</v>
      </c>
      <c r="BX136" s="607">
        <f t="shared" si="177"/>
        <v>0</v>
      </c>
      <c r="BY136" s="608">
        <f t="shared" si="178"/>
        <v>0</v>
      </c>
      <c r="BZ136" s="607">
        <f t="shared" si="179"/>
        <v>9414.6160714285706</v>
      </c>
      <c r="CA136" s="608">
        <f t="shared" si="180"/>
        <v>8566.8324607329851</v>
      </c>
      <c r="CB136" s="607">
        <f t="shared" si="181"/>
        <v>7029.4857142857145</v>
      </c>
      <c r="CC136" s="608">
        <f t="shared" si="182"/>
        <v>7151.245508982036</v>
      </c>
      <c r="CD136" s="607">
        <f t="shared" si="183"/>
        <v>6201.2322485207096</v>
      </c>
      <c r="CE136" s="608">
        <f t="shared" si="184"/>
        <v>6312.3723252496429</v>
      </c>
      <c r="CF136" s="607">
        <f t="shared" si="185"/>
        <v>5708.333333333333</v>
      </c>
      <c r="CG136" s="608">
        <f t="shared" si="186"/>
        <v>6009.090909090909</v>
      </c>
      <c r="CH136" s="607">
        <f t="shared" si="187"/>
        <v>5551.333333333333</v>
      </c>
      <c r="CI136" s="608">
        <f t="shared" si="188"/>
        <v>5440.8472222222226</v>
      </c>
      <c r="CJ136" s="607">
        <f t="shared" si="189"/>
        <v>0</v>
      </c>
      <c r="CK136" s="608">
        <f t="shared" si="190"/>
        <v>0</v>
      </c>
      <c r="CL136" s="609">
        <f t="shared" si="191"/>
        <v>84731.54464285713</v>
      </c>
      <c r="CM136" s="608">
        <f t="shared" si="192"/>
        <v>77101.492146596865</v>
      </c>
      <c r="CN136" s="610">
        <f t="shared" si="193"/>
        <v>63265.37142857143</v>
      </c>
      <c r="CO136" s="606">
        <f t="shared" si="194"/>
        <v>64361.209580838324</v>
      </c>
      <c r="CP136" s="607">
        <f t="shared" si="195"/>
        <v>55811.090236686388</v>
      </c>
      <c r="CQ136" s="606">
        <f t="shared" si="196"/>
        <v>56811.350927246785</v>
      </c>
      <c r="CR136" s="607">
        <f t="shared" si="197"/>
        <v>51375</v>
      </c>
      <c r="CS136" s="606">
        <f t="shared" si="198"/>
        <v>54081.818181818184</v>
      </c>
      <c r="CT136" s="607">
        <f t="shared" si="199"/>
        <v>49962</v>
      </c>
      <c r="CU136" s="608">
        <f t="shared" si="200"/>
        <v>48967.625</v>
      </c>
      <c r="CV136" s="610">
        <f t="shared" si="201"/>
        <v>0</v>
      </c>
      <c r="CW136" s="608">
        <f t="shared" si="202"/>
        <v>0</v>
      </c>
      <c r="CX136" s="610">
        <f t="shared" si="203"/>
        <v>61788.714905575631</v>
      </c>
      <c r="CY136" s="611">
        <f t="shared" si="204"/>
        <v>59670.081037870637</v>
      </c>
      <c r="CZ136" s="605">
        <f t="shared" si="205"/>
        <v>34</v>
      </c>
      <c r="DA136" s="612">
        <f t="shared" si="206"/>
        <v>21</v>
      </c>
      <c r="DB136" s="607">
        <f t="shared" si="207"/>
        <v>76</v>
      </c>
      <c r="DC136" s="606">
        <f t="shared" si="208"/>
        <v>55</v>
      </c>
      <c r="DD136" s="607">
        <f t="shared" si="209"/>
        <v>74</v>
      </c>
      <c r="DE136" s="606">
        <f t="shared" si="210"/>
        <v>77</v>
      </c>
      <c r="DF136" s="607">
        <f t="shared" si="211"/>
        <v>8</v>
      </c>
      <c r="DG136" s="606">
        <f t="shared" si="212"/>
        <v>11</v>
      </c>
      <c r="DH136" s="607">
        <f t="shared" si="213"/>
        <v>31</v>
      </c>
      <c r="DI136" s="608">
        <f t="shared" si="214"/>
        <v>32</v>
      </c>
      <c r="DJ136" s="607">
        <f t="shared" si="215"/>
        <v>0</v>
      </c>
      <c r="DK136" s="608">
        <f t="shared" si="216"/>
        <v>0</v>
      </c>
      <c r="DL136" s="607">
        <f t="shared" si="217"/>
        <v>223</v>
      </c>
      <c r="DM136" s="608">
        <f t="shared" si="218"/>
        <v>196</v>
      </c>
      <c r="DN136" s="607">
        <f t="shared" si="219"/>
        <v>2880872.5178571423</v>
      </c>
      <c r="DO136" s="612">
        <f t="shared" si="220"/>
        <v>1619131.3350785342</v>
      </c>
      <c r="DP136" s="607">
        <f t="shared" si="221"/>
        <v>4808168.2285714289</v>
      </c>
      <c r="DQ136" s="606">
        <f t="shared" si="222"/>
        <v>3539866.5269461079</v>
      </c>
      <c r="DR136" s="607">
        <f t="shared" si="223"/>
        <v>4130020.6775147929</v>
      </c>
      <c r="DS136" s="606">
        <f t="shared" si="224"/>
        <v>4374474.0213980023</v>
      </c>
      <c r="DT136" s="607">
        <f t="shared" si="225"/>
        <v>411000</v>
      </c>
      <c r="DU136" s="606">
        <f t="shared" si="226"/>
        <v>594900</v>
      </c>
      <c r="DV136" s="607">
        <f t="shared" si="227"/>
        <v>1548822</v>
      </c>
      <c r="DW136" s="608">
        <f t="shared" si="228"/>
        <v>1566964</v>
      </c>
      <c r="DX136" s="607">
        <f t="shared" si="229"/>
        <v>0</v>
      </c>
      <c r="DY136" s="608">
        <f t="shared" si="230"/>
        <v>0</v>
      </c>
      <c r="DZ136" s="607">
        <f t="shared" si="231"/>
        <v>13778883.423943365</v>
      </c>
      <c r="EA136" s="608">
        <f t="shared" si="232"/>
        <v>11695335.883422645</v>
      </c>
    </row>
    <row r="137" spans="1:131" x14ac:dyDescent="0.2">
      <c r="A137" s="469" t="s">
        <v>35</v>
      </c>
      <c r="B137" s="466" t="s">
        <v>870</v>
      </c>
      <c r="C137" s="549"/>
      <c r="D137" s="470">
        <v>139719</v>
      </c>
      <c r="E137" s="392">
        <v>5</v>
      </c>
      <c r="F137" s="598">
        <v>19</v>
      </c>
      <c r="G137" s="599">
        <v>9</v>
      </c>
      <c r="H137" s="600"/>
      <c r="I137" s="601"/>
      <c r="J137" s="600">
        <v>28</v>
      </c>
      <c r="K137" s="599">
        <v>4</v>
      </c>
      <c r="L137" s="600"/>
      <c r="M137" s="601"/>
      <c r="N137" s="600">
        <v>28</v>
      </c>
      <c r="O137" s="599">
        <v>23</v>
      </c>
      <c r="P137" s="600"/>
      <c r="Q137" s="601"/>
      <c r="R137" s="600"/>
      <c r="S137" s="599">
        <v>2</v>
      </c>
      <c r="T137" s="600"/>
      <c r="U137" s="601"/>
      <c r="V137" s="600">
        <v>52</v>
      </c>
      <c r="W137" s="599">
        <v>35</v>
      </c>
      <c r="X137" s="600"/>
      <c r="Y137" s="601"/>
      <c r="Z137" s="600">
        <v>11</v>
      </c>
      <c r="AA137" s="599">
        <v>7</v>
      </c>
      <c r="AB137" s="600"/>
      <c r="AC137" s="601"/>
      <c r="AD137" s="600">
        <v>5</v>
      </c>
      <c r="AE137" s="599">
        <v>1</v>
      </c>
      <c r="AF137" s="600"/>
      <c r="AG137" s="601"/>
      <c r="AH137" s="600"/>
      <c r="AI137" s="599"/>
      <c r="AJ137" s="600"/>
      <c r="AK137" s="601"/>
      <c r="AL137" s="600"/>
      <c r="AM137" s="599">
        <v>2</v>
      </c>
      <c r="AN137" s="600"/>
      <c r="AO137" s="601"/>
      <c r="AP137" s="600"/>
      <c r="AQ137" s="599"/>
      <c r="AR137" s="600"/>
      <c r="AS137" s="601"/>
      <c r="AT137" s="600"/>
      <c r="AU137" s="599"/>
      <c r="AV137" s="600"/>
      <c r="AW137" s="601"/>
      <c r="AX137" s="600"/>
      <c r="AY137" s="599"/>
      <c r="AZ137" s="600"/>
      <c r="BA137" s="601"/>
      <c r="BB137" s="602">
        <v>3910472</v>
      </c>
      <c r="BC137" s="635">
        <v>1032244</v>
      </c>
      <c r="BD137" s="600">
        <v>1616216</v>
      </c>
      <c r="BE137" s="635">
        <v>1526316</v>
      </c>
      <c r="BF137" s="600">
        <v>3297123</v>
      </c>
      <c r="BG137" s="635">
        <v>2213184</v>
      </c>
      <c r="BH137" s="600">
        <v>217935</v>
      </c>
      <c r="BI137" s="635">
        <v>54665</v>
      </c>
      <c r="BJ137" s="600">
        <v>0</v>
      </c>
      <c r="BK137" s="667">
        <v>89000</v>
      </c>
      <c r="BL137" s="600">
        <v>0</v>
      </c>
      <c r="BM137" s="604"/>
      <c r="BN137" s="605">
        <f t="shared" ref="BN137:BN200" si="233">((F137*9)+(H137*10)+(J137*11)+(L137*12))</f>
        <v>479</v>
      </c>
      <c r="BO137" s="606">
        <f t="shared" ref="BO137:BO200" si="234">((G137*9)+(I137*10)+(K137*11)+(M137*12))</f>
        <v>125</v>
      </c>
      <c r="BP137" s="607">
        <f t="shared" ref="BP137:BP200" si="235">((N137*9)+(P137*10)+(R137*11)+(T137*12))</f>
        <v>252</v>
      </c>
      <c r="BQ137" s="606">
        <f t="shared" ref="BQ137:BQ200" si="236">((O137*9)+(Q137*10)+(S137*11)+(U137*12))</f>
        <v>229</v>
      </c>
      <c r="BR137" s="607">
        <f t="shared" ref="BR137:BR200" si="237">((V137*9)+(X137*10)+(Z137*11)+(AB137*12))</f>
        <v>589</v>
      </c>
      <c r="BS137" s="606">
        <f t="shared" ref="BS137:BS200" si="238">((W137*9)+(Y137*10)+(AA137*11)+(AC137*12))</f>
        <v>392</v>
      </c>
      <c r="BT137" s="607">
        <f t="shared" ref="BT137:BT200" si="239">((AD137*9)+(AF137*10)+(AH137*11)+(AJ137*12))</f>
        <v>45</v>
      </c>
      <c r="BU137" s="606">
        <f t="shared" ref="BU137:BU200" si="240">((AE137*9)+(AG137*10)+(AI137*11)+(AK137*12))</f>
        <v>9</v>
      </c>
      <c r="BV137" s="607">
        <f t="shared" ref="BV137:BV200" si="241">((AL137*9)+(AN137*10)+(AP137*11)+(AR137*12))</f>
        <v>0</v>
      </c>
      <c r="BW137" s="608">
        <f t="shared" ref="BW137:BW200" si="242">((AM137*9)+(AO137*10)+(AQ137*11)+(AS137*12))</f>
        <v>18</v>
      </c>
      <c r="BX137" s="607">
        <f t="shared" ref="BX137:BX200" si="243">((AT137*9)+(AV137*10)+(AX137*11)+(AZ137*12))</f>
        <v>0</v>
      </c>
      <c r="BY137" s="608">
        <f t="shared" ref="BY137:BY200" si="244">((AU137*9)+(AW137*10)+(AY137*11)+(BA137*12))</f>
        <v>0</v>
      </c>
      <c r="BZ137" s="607">
        <f t="shared" ref="BZ137:BZ200" si="245">IF(BN137&gt;0,BB137/BN137,)</f>
        <v>8163.8246346555325</v>
      </c>
      <c r="CA137" s="608">
        <f t="shared" ref="CA137:CA200" si="246">IF(BO137&gt;0,BC137/BO137,)</f>
        <v>8257.9519999999993</v>
      </c>
      <c r="CB137" s="607">
        <f t="shared" ref="CB137:CB200" si="247">IF(BP137&gt;0,BD137/BP137,)</f>
        <v>6413.5555555555557</v>
      </c>
      <c r="CC137" s="608">
        <f t="shared" ref="CC137:CC200" si="248">IF(BQ137&gt;0,BE137/BQ137,)</f>
        <v>6665.1353711790389</v>
      </c>
      <c r="CD137" s="607">
        <f t="shared" ref="CD137:CD200" si="249">IF(BR137&gt;0,BF137/BR137,)</f>
        <v>5597.8319185059427</v>
      </c>
      <c r="CE137" s="608">
        <f t="shared" ref="CE137:CE200" si="250">IF(BS137&gt;0,BG137/BS137,)</f>
        <v>5645.8775510204077</v>
      </c>
      <c r="CF137" s="607">
        <f t="shared" ref="CF137:CF200" si="251">IF(BT137&gt;0,BH137/BT137,)</f>
        <v>4843</v>
      </c>
      <c r="CG137" s="608">
        <f t="shared" ref="CG137:CG200" si="252">IF(BU137&gt;0,BI137/BU137,)</f>
        <v>6073.8888888888887</v>
      </c>
      <c r="CH137" s="607">
        <f t="shared" ref="CH137:CH200" si="253">IF(BV137&gt;0,BJ137/BV137,)</f>
        <v>0</v>
      </c>
      <c r="CI137" s="608">
        <f t="shared" ref="CI137:CI200" si="254">IF(BW137&gt;0,BK137/BW137,)</f>
        <v>4944.4444444444443</v>
      </c>
      <c r="CJ137" s="607">
        <f t="shared" ref="CJ137:CJ200" si="255">IF(BX137&gt;0,BL137/BX137,)</f>
        <v>0</v>
      </c>
      <c r="CK137" s="608">
        <f t="shared" ref="CK137:CK200" si="256">IF(BY137&gt;0,BM137/BY137,)</f>
        <v>0</v>
      </c>
      <c r="CL137" s="609">
        <f t="shared" ref="CL137:CL200" si="257">+BZ137*9</f>
        <v>73474.421711899791</v>
      </c>
      <c r="CM137" s="608">
        <f t="shared" ref="CM137:CM200" si="258">+CA137*9</f>
        <v>74321.567999999999</v>
      </c>
      <c r="CN137" s="610">
        <f t="shared" ref="CN137:CN200" si="259">+CB137*9</f>
        <v>57722</v>
      </c>
      <c r="CO137" s="606">
        <f t="shared" ref="CO137:CO200" si="260">+CC137*9</f>
        <v>59986.218340611347</v>
      </c>
      <c r="CP137" s="607">
        <f t="shared" ref="CP137:CP200" si="261">+CD137*9</f>
        <v>50380.487266553486</v>
      </c>
      <c r="CQ137" s="606">
        <f t="shared" ref="CQ137:CQ200" si="262">+CE137*9</f>
        <v>50812.897959183669</v>
      </c>
      <c r="CR137" s="607">
        <f t="shared" ref="CR137:CR200" si="263">+CF137*9</f>
        <v>43587</v>
      </c>
      <c r="CS137" s="606">
        <f t="shared" ref="CS137:CS200" si="264">+CG137*9</f>
        <v>54665</v>
      </c>
      <c r="CT137" s="607">
        <f t="shared" ref="CT137:CT200" si="265">+CH137*9</f>
        <v>0</v>
      </c>
      <c r="CU137" s="608">
        <f t="shared" ref="CU137:CU200" si="266">+CI137*9</f>
        <v>44500</v>
      </c>
      <c r="CV137" s="610">
        <f t="shared" ref="CV137:CV200" si="267">+CJ137*9</f>
        <v>0</v>
      </c>
      <c r="CW137" s="608">
        <f t="shared" ref="CW137:CW200" si="268">+CK137*9</f>
        <v>0</v>
      </c>
      <c r="CX137" s="610">
        <f t="shared" ref="CX137:CX200" si="269">IF(DL137&gt;0,((CL137*CZ137)+(CN137*DB137)+(CP137*DD137)+(CR137*DF137)+(CT137*DH137)+(CV137*DJ137))/DL137,)</f>
        <v>59170.765861903223</v>
      </c>
      <c r="CY137" s="611">
        <f t="shared" ref="CY137:CY200" si="270">IF(DM137&gt;0,((CM137*DA137)+(CO137*DC137)+(CQ137*DE137)+(CS137*DG137)+(CU137*DI137)+(CW137*DK137))/DM137,)</f>
        <v>57152.319961457804</v>
      </c>
      <c r="CZ137" s="605">
        <f t="shared" ref="CZ137:CZ200" si="271">+F137+H137+J137+L137</f>
        <v>47</v>
      </c>
      <c r="DA137" s="612">
        <f t="shared" ref="DA137:DA200" si="272">+G137+I137+K137+M137</f>
        <v>13</v>
      </c>
      <c r="DB137" s="607">
        <f t="shared" ref="DB137:DB200" si="273">+N137+P137+R137+T137</f>
        <v>28</v>
      </c>
      <c r="DC137" s="606">
        <f t="shared" ref="DC137:DC200" si="274">+O137+Q137+S137+U137</f>
        <v>25</v>
      </c>
      <c r="DD137" s="607">
        <f t="shared" ref="DD137:DD200" si="275">+V137+X137+Z137+AB137</f>
        <v>63</v>
      </c>
      <c r="DE137" s="606">
        <f t="shared" ref="DE137:DE200" si="276">+W137+Y137+AA137+AC137</f>
        <v>42</v>
      </c>
      <c r="DF137" s="607">
        <f t="shared" ref="DF137:DF200" si="277">+AD137+AF137+AH137+AJ137</f>
        <v>5</v>
      </c>
      <c r="DG137" s="606">
        <f t="shared" ref="DG137:DG200" si="278">+AE137+AG137+AI137+AK137</f>
        <v>1</v>
      </c>
      <c r="DH137" s="607">
        <f t="shared" ref="DH137:DH200" si="279">+AL137+AN137+AP137+AR137</f>
        <v>0</v>
      </c>
      <c r="DI137" s="608">
        <f t="shared" ref="DI137:DI200" si="280">+AM137+AO137+AQ137+AS137</f>
        <v>2</v>
      </c>
      <c r="DJ137" s="607">
        <f t="shared" ref="DJ137:DJ200" si="281">+AT137+AV137+AX137+AZ137</f>
        <v>0</v>
      </c>
      <c r="DK137" s="608">
        <f t="shared" ref="DK137:DK200" si="282">+AU137+AW137+AY137+BA137</f>
        <v>0</v>
      </c>
      <c r="DL137" s="607">
        <f t="shared" ref="DL137:DL200" si="283">+CZ137+DB137+DD137+DF137+DH137+DJ137</f>
        <v>143</v>
      </c>
      <c r="DM137" s="608">
        <f t="shared" ref="DM137:DM200" si="284">+DA137+DC137+DE137+DG137+DI137+DK137</f>
        <v>83</v>
      </c>
      <c r="DN137" s="607">
        <f t="shared" ref="DN137:DN200" si="285">+CZ137*CL137</f>
        <v>3453297.8204592904</v>
      </c>
      <c r="DO137" s="612">
        <f t="shared" ref="DO137:DO200" si="286">+DA137*CM137</f>
        <v>966180.38399999996</v>
      </c>
      <c r="DP137" s="607">
        <f t="shared" ref="DP137:DP200" si="287">+DB137*CN137</f>
        <v>1616216</v>
      </c>
      <c r="DQ137" s="606">
        <f t="shared" ref="DQ137:DQ200" si="288">+DC137*CO137</f>
        <v>1499655.4585152837</v>
      </c>
      <c r="DR137" s="607">
        <f t="shared" ref="DR137:DR200" si="289">+DD137*CP137</f>
        <v>3173970.6977928695</v>
      </c>
      <c r="DS137" s="606">
        <f t="shared" ref="DS137:DS200" si="290">+DE137*CQ137</f>
        <v>2134141.7142857141</v>
      </c>
      <c r="DT137" s="607">
        <f t="shared" ref="DT137:DT200" si="291">+DF137*CR137</f>
        <v>217935</v>
      </c>
      <c r="DU137" s="606">
        <f t="shared" ref="DU137:DU200" si="292">+DG137*CS137</f>
        <v>54665</v>
      </c>
      <c r="DV137" s="607">
        <f t="shared" ref="DV137:DV200" si="293">+DH137*CT137</f>
        <v>0</v>
      </c>
      <c r="DW137" s="608">
        <f t="shared" ref="DW137:DW200" si="294">+DI137*CU137</f>
        <v>89000</v>
      </c>
      <c r="DX137" s="607">
        <f t="shared" ref="DX137:DX200" si="295">+DJ137*CV137</f>
        <v>0</v>
      </c>
      <c r="DY137" s="608">
        <f t="shared" ref="DY137:DY200" si="296">+DK137*CW137</f>
        <v>0</v>
      </c>
      <c r="DZ137" s="607">
        <f t="shared" ref="DZ137:DZ200" si="297">+DL137*CX137</f>
        <v>8461419.5182521604</v>
      </c>
      <c r="EA137" s="608">
        <f t="shared" ref="EA137:EA200" si="298">+DM137*CY137</f>
        <v>4743642.5568009978</v>
      </c>
    </row>
    <row r="138" spans="1:131" x14ac:dyDescent="0.2">
      <c r="A138" s="469" t="s">
        <v>35</v>
      </c>
      <c r="B138" s="466" t="s">
        <v>871</v>
      </c>
      <c r="C138" s="549"/>
      <c r="D138" s="470">
        <v>139764</v>
      </c>
      <c r="E138" s="392">
        <v>5</v>
      </c>
      <c r="F138" s="598">
        <v>21</v>
      </c>
      <c r="G138" s="599">
        <v>23</v>
      </c>
      <c r="H138" s="600"/>
      <c r="I138" s="601"/>
      <c r="J138" s="600"/>
      <c r="K138" s="599"/>
      <c r="L138" s="600"/>
      <c r="M138" s="601"/>
      <c r="N138" s="600">
        <v>28</v>
      </c>
      <c r="O138" s="599">
        <v>29</v>
      </c>
      <c r="P138" s="600"/>
      <c r="Q138" s="601"/>
      <c r="R138" s="600"/>
      <c r="S138" s="599">
        <v>1</v>
      </c>
      <c r="T138" s="600"/>
      <c r="U138" s="601"/>
      <c r="V138" s="600">
        <v>34</v>
      </c>
      <c r="W138" s="599">
        <v>26</v>
      </c>
      <c r="X138" s="600"/>
      <c r="Y138" s="601"/>
      <c r="Z138" s="600"/>
      <c r="AA138" s="599"/>
      <c r="AB138" s="600"/>
      <c r="AC138" s="601"/>
      <c r="AD138" s="600">
        <v>8</v>
      </c>
      <c r="AE138" s="599">
        <v>23</v>
      </c>
      <c r="AF138" s="600"/>
      <c r="AG138" s="601"/>
      <c r="AH138" s="600"/>
      <c r="AI138" s="599"/>
      <c r="AJ138" s="600"/>
      <c r="AK138" s="601"/>
      <c r="AL138" s="600">
        <v>16</v>
      </c>
      <c r="AM138" s="599"/>
      <c r="AN138" s="600"/>
      <c r="AO138" s="601"/>
      <c r="AP138" s="600"/>
      <c r="AQ138" s="599"/>
      <c r="AR138" s="600"/>
      <c r="AS138" s="601"/>
      <c r="AT138" s="600"/>
      <c r="AU138" s="599"/>
      <c r="AV138" s="600"/>
      <c r="AW138" s="601"/>
      <c r="AX138" s="600"/>
      <c r="AY138" s="599"/>
      <c r="AZ138" s="600"/>
      <c r="BA138" s="601"/>
      <c r="BB138" s="602">
        <v>1421994</v>
      </c>
      <c r="BC138" s="599">
        <v>1541490</v>
      </c>
      <c r="BD138" s="600">
        <v>1697052</v>
      </c>
      <c r="BE138" s="599">
        <v>1819305</v>
      </c>
      <c r="BF138" s="600">
        <v>1695818</v>
      </c>
      <c r="BG138" s="599">
        <v>1324021</v>
      </c>
      <c r="BH138" s="600">
        <v>390200</v>
      </c>
      <c r="BI138" s="599">
        <v>241175</v>
      </c>
      <c r="BJ138" s="600">
        <v>711152</v>
      </c>
      <c r="BK138" s="615">
        <v>1021643</v>
      </c>
      <c r="BL138" s="600">
        <v>0</v>
      </c>
      <c r="BM138" s="604"/>
      <c r="BN138" s="605">
        <f t="shared" si="233"/>
        <v>189</v>
      </c>
      <c r="BO138" s="606">
        <f t="shared" si="234"/>
        <v>207</v>
      </c>
      <c r="BP138" s="607">
        <f t="shared" si="235"/>
        <v>252</v>
      </c>
      <c r="BQ138" s="606">
        <f t="shared" si="236"/>
        <v>272</v>
      </c>
      <c r="BR138" s="607">
        <f t="shared" si="237"/>
        <v>306</v>
      </c>
      <c r="BS138" s="606">
        <f t="shared" si="238"/>
        <v>234</v>
      </c>
      <c r="BT138" s="607">
        <f t="shared" si="239"/>
        <v>72</v>
      </c>
      <c r="BU138" s="606">
        <f t="shared" si="240"/>
        <v>207</v>
      </c>
      <c r="BV138" s="607">
        <f t="shared" si="241"/>
        <v>144</v>
      </c>
      <c r="BW138" s="608">
        <f t="shared" si="242"/>
        <v>0</v>
      </c>
      <c r="BX138" s="607">
        <f t="shared" si="243"/>
        <v>0</v>
      </c>
      <c r="BY138" s="608">
        <f t="shared" si="244"/>
        <v>0</v>
      </c>
      <c r="BZ138" s="607">
        <f t="shared" si="245"/>
        <v>7523.7777777777774</v>
      </c>
      <c r="CA138" s="608">
        <f t="shared" si="246"/>
        <v>7446.811594202899</v>
      </c>
      <c r="CB138" s="607">
        <f t="shared" si="247"/>
        <v>6734.333333333333</v>
      </c>
      <c r="CC138" s="608">
        <f t="shared" si="248"/>
        <v>6688.6213235294117</v>
      </c>
      <c r="CD138" s="607">
        <f t="shared" si="249"/>
        <v>5541.8888888888887</v>
      </c>
      <c r="CE138" s="608">
        <f t="shared" si="250"/>
        <v>5658.2094017094014</v>
      </c>
      <c r="CF138" s="607">
        <f t="shared" si="251"/>
        <v>5419.4444444444443</v>
      </c>
      <c r="CG138" s="608">
        <f t="shared" si="252"/>
        <v>1165.0966183574878</v>
      </c>
      <c r="CH138" s="607">
        <f t="shared" si="253"/>
        <v>4938.5555555555557</v>
      </c>
      <c r="CI138" s="608">
        <f t="shared" si="254"/>
        <v>0</v>
      </c>
      <c r="CJ138" s="607">
        <f t="shared" si="255"/>
        <v>0</v>
      </c>
      <c r="CK138" s="608">
        <f t="shared" si="256"/>
        <v>0</v>
      </c>
      <c r="CL138" s="609">
        <f t="shared" si="257"/>
        <v>67714</v>
      </c>
      <c r="CM138" s="608">
        <f t="shared" si="258"/>
        <v>67021.304347826095</v>
      </c>
      <c r="CN138" s="610">
        <f t="shared" si="259"/>
        <v>60609</v>
      </c>
      <c r="CO138" s="606">
        <f t="shared" si="260"/>
        <v>60197.591911764706</v>
      </c>
      <c r="CP138" s="607">
        <f t="shared" si="261"/>
        <v>49877</v>
      </c>
      <c r="CQ138" s="606">
        <f t="shared" si="262"/>
        <v>50923.88461538461</v>
      </c>
      <c r="CR138" s="607">
        <f t="shared" si="263"/>
        <v>48775</v>
      </c>
      <c r="CS138" s="606">
        <f t="shared" si="264"/>
        <v>10485.86956521739</v>
      </c>
      <c r="CT138" s="607">
        <f t="shared" si="265"/>
        <v>44447</v>
      </c>
      <c r="CU138" s="608">
        <f t="shared" si="266"/>
        <v>0</v>
      </c>
      <c r="CV138" s="610">
        <f t="shared" si="267"/>
        <v>0</v>
      </c>
      <c r="CW138" s="608">
        <f t="shared" si="268"/>
        <v>0</v>
      </c>
      <c r="CX138" s="610">
        <f t="shared" si="269"/>
        <v>55291.738317757008</v>
      </c>
      <c r="CY138" s="611">
        <f t="shared" si="270"/>
        <v>48162.879974048446</v>
      </c>
      <c r="CZ138" s="605">
        <f t="shared" si="271"/>
        <v>21</v>
      </c>
      <c r="DA138" s="612">
        <f t="shared" si="272"/>
        <v>23</v>
      </c>
      <c r="DB138" s="607">
        <f t="shared" si="273"/>
        <v>28</v>
      </c>
      <c r="DC138" s="606">
        <f t="shared" si="274"/>
        <v>30</v>
      </c>
      <c r="DD138" s="607">
        <f t="shared" si="275"/>
        <v>34</v>
      </c>
      <c r="DE138" s="606">
        <f t="shared" si="276"/>
        <v>26</v>
      </c>
      <c r="DF138" s="607">
        <f t="shared" si="277"/>
        <v>8</v>
      </c>
      <c r="DG138" s="606">
        <f t="shared" si="278"/>
        <v>23</v>
      </c>
      <c r="DH138" s="607">
        <f t="shared" si="279"/>
        <v>16</v>
      </c>
      <c r="DI138" s="608">
        <f t="shared" si="280"/>
        <v>0</v>
      </c>
      <c r="DJ138" s="607">
        <f t="shared" si="281"/>
        <v>0</v>
      </c>
      <c r="DK138" s="608">
        <f t="shared" si="282"/>
        <v>0</v>
      </c>
      <c r="DL138" s="607">
        <f t="shared" si="283"/>
        <v>107</v>
      </c>
      <c r="DM138" s="608">
        <f t="shared" si="284"/>
        <v>102</v>
      </c>
      <c r="DN138" s="607">
        <f t="shared" si="285"/>
        <v>1421994</v>
      </c>
      <c r="DO138" s="612">
        <f t="shared" si="286"/>
        <v>1541490.0000000002</v>
      </c>
      <c r="DP138" s="607">
        <f t="shared" si="287"/>
        <v>1697052</v>
      </c>
      <c r="DQ138" s="606">
        <f t="shared" si="288"/>
        <v>1805927.7573529412</v>
      </c>
      <c r="DR138" s="607">
        <f t="shared" si="289"/>
        <v>1695818</v>
      </c>
      <c r="DS138" s="606">
        <f t="shared" si="290"/>
        <v>1324020.9999999998</v>
      </c>
      <c r="DT138" s="607">
        <f t="shared" si="291"/>
        <v>390200</v>
      </c>
      <c r="DU138" s="606">
        <f t="shared" si="292"/>
        <v>241174.99999999997</v>
      </c>
      <c r="DV138" s="607">
        <f t="shared" si="293"/>
        <v>711152</v>
      </c>
      <c r="DW138" s="608">
        <f t="shared" si="294"/>
        <v>0</v>
      </c>
      <c r="DX138" s="607">
        <f t="shared" si="295"/>
        <v>0</v>
      </c>
      <c r="DY138" s="608">
        <f t="shared" si="296"/>
        <v>0</v>
      </c>
      <c r="DZ138" s="607">
        <f t="shared" si="297"/>
        <v>5916216</v>
      </c>
      <c r="EA138" s="608">
        <f t="shared" si="298"/>
        <v>4912613.7573529417</v>
      </c>
    </row>
    <row r="139" spans="1:131" x14ac:dyDescent="0.2">
      <c r="A139" s="469" t="s">
        <v>35</v>
      </c>
      <c r="B139" s="466" t="s">
        <v>873</v>
      </c>
      <c r="C139" s="549"/>
      <c r="D139" s="470">
        <v>140960</v>
      </c>
      <c r="E139" s="392">
        <v>5</v>
      </c>
      <c r="F139" s="598">
        <v>18</v>
      </c>
      <c r="G139" s="599">
        <v>22</v>
      </c>
      <c r="H139" s="600"/>
      <c r="I139" s="601"/>
      <c r="J139" s="600"/>
      <c r="K139" s="599"/>
      <c r="L139" s="600"/>
      <c r="M139" s="601"/>
      <c r="N139" s="600">
        <v>30</v>
      </c>
      <c r="O139" s="599">
        <f>21+13</f>
        <v>34</v>
      </c>
      <c r="P139" s="600"/>
      <c r="Q139" s="601"/>
      <c r="R139" s="600">
        <v>2</v>
      </c>
      <c r="S139" s="599"/>
      <c r="T139" s="600"/>
      <c r="U139" s="601"/>
      <c r="V139" s="600">
        <v>62</v>
      </c>
      <c r="W139" s="599">
        <f>26+22</f>
        <v>48</v>
      </c>
      <c r="X139" s="600"/>
      <c r="Y139" s="601"/>
      <c r="Z139" s="600">
        <v>5</v>
      </c>
      <c r="AA139" s="599">
        <v>3</v>
      </c>
      <c r="AB139" s="600"/>
      <c r="AC139" s="601"/>
      <c r="AD139" s="600">
        <v>25</v>
      </c>
      <c r="AE139" s="599">
        <v>30</v>
      </c>
      <c r="AF139" s="600"/>
      <c r="AG139" s="601"/>
      <c r="AH139" s="600">
        <v>2</v>
      </c>
      <c r="AI139" s="599">
        <v>1</v>
      </c>
      <c r="AJ139" s="600"/>
      <c r="AK139" s="601"/>
      <c r="AL139" s="600">
        <v>17</v>
      </c>
      <c r="AM139" s="599">
        <v>16</v>
      </c>
      <c r="AN139" s="600"/>
      <c r="AO139" s="601"/>
      <c r="AP139" s="600">
        <v>1</v>
      </c>
      <c r="AQ139" s="599"/>
      <c r="AR139" s="600"/>
      <c r="AS139" s="601"/>
      <c r="AT139" s="600"/>
      <c r="AU139" s="599"/>
      <c r="AV139" s="600"/>
      <c r="AW139" s="601"/>
      <c r="AX139" s="600"/>
      <c r="AY139" s="599"/>
      <c r="AZ139" s="600"/>
      <c r="BA139" s="601"/>
      <c r="BB139" s="602">
        <v>1302822</v>
      </c>
      <c r="BC139" s="599">
        <v>1580252</v>
      </c>
      <c r="BD139" s="600">
        <v>2051384</v>
      </c>
      <c r="BE139" s="599">
        <v>2167375</v>
      </c>
      <c r="BF139" s="600">
        <v>3589828</v>
      </c>
      <c r="BG139" s="599">
        <v>2749072</v>
      </c>
      <c r="BH139" s="600">
        <v>1081900</v>
      </c>
      <c r="BI139" s="599">
        <v>1239486</v>
      </c>
      <c r="BJ139" s="600">
        <v>764476</v>
      </c>
      <c r="BK139" s="615">
        <v>681163</v>
      </c>
      <c r="BL139" s="600">
        <v>0</v>
      </c>
      <c r="BM139" s="604"/>
      <c r="BN139" s="605">
        <f t="shared" si="233"/>
        <v>162</v>
      </c>
      <c r="BO139" s="606">
        <f t="shared" si="234"/>
        <v>198</v>
      </c>
      <c r="BP139" s="607">
        <f t="shared" si="235"/>
        <v>292</v>
      </c>
      <c r="BQ139" s="606">
        <f t="shared" si="236"/>
        <v>306</v>
      </c>
      <c r="BR139" s="607">
        <f t="shared" si="237"/>
        <v>613</v>
      </c>
      <c r="BS139" s="606">
        <f t="shared" si="238"/>
        <v>465</v>
      </c>
      <c r="BT139" s="607">
        <f t="shared" si="239"/>
        <v>247</v>
      </c>
      <c r="BU139" s="606">
        <f t="shared" si="240"/>
        <v>281</v>
      </c>
      <c r="BV139" s="607">
        <f t="shared" si="241"/>
        <v>164</v>
      </c>
      <c r="BW139" s="608">
        <f t="shared" si="242"/>
        <v>144</v>
      </c>
      <c r="BX139" s="607">
        <f t="shared" si="243"/>
        <v>0</v>
      </c>
      <c r="BY139" s="608">
        <f t="shared" si="244"/>
        <v>0</v>
      </c>
      <c r="BZ139" s="607">
        <f t="shared" si="245"/>
        <v>8042.1111111111113</v>
      </c>
      <c r="CA139" s="608">
        <f t="shared" si="246"/>
        <v>7981.0707070707067</v>
      </c>
      <c r="CB139" s="607">
        <f t="shared" si="247"/>
        <v>7025.2876712328771</v>
      </c>
      <c r="CC139" s="608">
        <f t="shared" si="248"/>
        <v>7082.9248366013071</v>
      </c>
      <c r="CD139" s="607">
        <f t="shared" si="249"/>
        <v>5856.1631321370314</v>
      </c>
      <c r="CE139" s="608">
        <f t="shared" si="250"/>
        <v>5911.9827956989247</v>
      </c>
      <c r="CF139" s="607">
        <f t="shared" si="251"/>
        <v>4380.1619433198384</v>
      </c>
      <c r="CG139" s="608">
        <f t="shared" si="252"/>
        <v>4410.9822064056943</v>
      </c>
      <c r="CH139" s="607">
        <f t="shared" si="253"/>
        <v>4661.4390243902435</v>
      </c>
      <c r="CI139" s="608">
        <f t="shared" si="254"/>
        <v>4730.2986111111113</v>
      </c>
      <c r="CJ139" s="607">
        <f t="shared" si="255"/>
        <v>0</v>
      </c>
      <c r="CK139" s="608">
        <f t="shared" si="256"/>
        <v>0</v>
      </c>
      <c r="CL139" s="609">
        <f t="shared" si="257"/>
        <v>72379</v>
      </c>
      <c r="CM139" s="608">
        <f t="shared" si="258"/>
        <v>71829.636363636353</v>
      </c>
      <c r="CN139" s="610">
        <f t="shared" si="259"/>
        <v>63227.589041095896</v>
      </c>
      <c r="CO139" s="606">
        <f t="shared" si="260"/>
        <v>63746.323529411762</v>
      </c>
      <c r="CP139" s="607">
        <f t="shared" si="261"/>
        <v>52705.468189233281</v>
      </c>
      <c r="CQ139" s="606">
        <f t="shared" si="262"/>
        <v>53207.845161290323</v>
      </c>
      <c r="CR139" s="607">
        <f t="shared" si="263"/>
        <v>39421.457489878543</v>
      </c>
      <c r="CS139" s="606">
        <f t="shared" si="264"/>
        <v>39698.839857651248</v>
      </c>
      <c r="CT139" s="607">
        <f t="shared" si="265"/>
        <v>41952.951219512193</v>
      </c>
      <c r="CU139" s="608">
        <f t="shared" si="266"/>
        <v>42572.6875</v>
      </c>
      <c r="CV139" s="610">
        <f t="shared" si="267"/>
        <v>0</v>
      </c>
      <c r="CW139" s="608">
        <f t="shared" si="268"/>
        <v>0</v>
      </c>
      <c r="CX139" s="610">
        <f t="shared" si="269"/>
        <v>53561.133902294067</v>
      </c>
      <c r="CY139" s="611">
        <f t="shared" si="270"/>
        <v>54370.481420863609</v>
      </c>
      <c r="CZ139" s="605">
        <f t="shared" si="271"/>
        <v>18</v>
      </c>
      <c r="DA139" s="612">
        <f t="shared" si="272"/>
        <v>22</v>
      </c>
      <c r="DB139" s="607">
        <f t="shared" si="273"/>
        <v>32</v>
      </c>
      <c r="DC139" s="606">
        <f t="shared" si="274"/>
        <v>34</v>
      </c>
      <c r="DD139" s="607">
        <f t="shared" si="275"/>
        <v>67</v>
      </c>
      <c r="DE139" s="606">
        <f t="shared" si="276"/>
        <v>51</v>
      </c>
      <c r="DF139" s="607">
        <f t="shared" si="277"/>
        <v>27</v>
      </c>
      <c r="DG139" s="606">
        <f t="shared" si="278"/>
        <v>31</v>
      </c>
      <c r="DH139" s="607">
        <f t="shared" si="279"/>
        <v>18</v>
      </c>
      <c r="DI139" s="608">
        <f t="shared" si="280"/>
        <v>16</v>
      </c>
      <c r="DJ139" s="607">
        <f t="shared" si="281"/>
        <v>0</v>
      </c>
      <c r="DK139" s="608">
        <f t="shared" si="282"/>
        <v>0</v>
      </c>
      <c r="DL139" s="607">
        <f t="shared" si="283"/>
        <v>162</v>
      </c>
      <c r="DM139" s="608">
        <f t="shared" si="284"/>
        <v>154</v>
      </c>
      <c r="DN139" s="607">
        <f t="shared" si="285"/>
        <v>1302822</v>
      </c>
      <c r="DO139" s="612">
        <f t="shared" si="286"/>
        <v>1580251.9999999998</v>
      </c>
      <c r="DP139" s="607">
        <f t="shared" si="287"/>
        <v>2023282.8493150687</v>
      </c>
      <c r="DQ139" s="606">
        <f t="shared" si="288"/>
        <v>2167375</v>
      </c>
      <c r="DR139" s="607">
        <f t="shared" si="289"/>
        <v>3531266.3686786299</v>
      </c>
      <c r="DS139" s="606">
        <f t="shared" si="290"/>
        <v>2713600.1032258063</v>
      </c>
      <c r="DT139" s="607">
        <f t="shared" si="291"/>
        <v>1064379.3522267207</v>
      </c>
      <c r="DU139" s="606">
        <f t="shared" si="292"/>
        <v>1230664.0355871888</v>
      </c>
      <c r="DV139" s="607">
        <f t="shared" si="293"/>
        <v>755153.12195121951</v>
      </c>
      <c r="DW139" s="608">
        <f t="shared" si="294"/>
        <v>681163</v>
      </c>
      <c r="DX139" s="607">
        <f t="shared" si="295"/>
        <v>0</v>
      </c>
      <c r="DY139" s="608">
        <f t="shared" si="296"/>
        <v>0</v>
      </c>
      <c r="DZ139" s="607">
        <f t="shared" si="297"/>
        <v>8676903.6921716388</v>
      </c>
      <c r="EA139" s="608">
        <f t="shared" si="298"/>
        <v>8373054.1388129955</v>
      </c>
    </row>
    <row r="140" spans="1:131" x14ac:dyDescent="0.2">
      <c r="A140" s="469" t="s">
        <v>35</v>
      </c>
      <c r="B140" s="466" t="s">
        <v>874</v>
      </c>
      <c r="C140" s="550"/>
      <c r="D140" s="470">
        <v>447689</v>
      </c>
      <c r="E140" s="471">
        <v>6</v>
      </c>
      <c r="F140" s="598">
        <v>15</v>
      </c>
      <c r="G140" s="599">
        <v>17</v>
      </c>
      <c r="H140" s="600"/>
      <c r="I140" s="601"/>
      <c r="J140" s="600"/>
      <c r="K140" s="599"/>
      <c r="L140" s="600"/>
      <c r="M140" s="601"/>
      <c r="N140" s="600">
        <v>55</v>
      </c>
      <c r="O140" s="599">
        <f>36+25</f>
        <v>61</v>
      </c>
      <c r="P140" s="600"/>
      <c r="Q140" s="601"/>
      <c r="R140" s="600"/>
      <c r="S140" s="599"/>
      <c r="T140" s="600"/>
      <c r="U140" s="601"/>
      <c r="V140" s="600">
        <v>214</v>
      </c>
      <c r="W140" s="599">
        <f>121+121</f>
        <v>242</v>
      </c>
      <c r="X140" s="600"/>
      <c r="Y140" s="601"/>
      <c r="Z140" s="600">
        <v>6</v>
      </c>
      <c r="AA140" s="599">
        <v>22</v>
      </c>
      <c r="AB140" s="600"/>
      <c r="AC140" s="601"/>
      <c r="AD140" s="600">
        <v>16</v>
      </c>
      <c r="AE140" s="599"/>
      <c r="AF140" s="600"/>
      <c r="AG140" s="601"/>
      <c r="AH140" s="600">
        <v>2</v>
      </c>
      <c r="AI140" s="599"/>
      <c r="AJ140" s="600"/>
      <c r="AK140" s="601"/>
      <c r="AL140" s="600"/>
      <c r="AM140" s="599"/>
      <c r="AN140" s="600"/>
      <c r="AO140" s="601"/>
      <c r="AP140" s="600"/>
      <c r="AQ140" s="599"/>
      <c r="AR140" s="600"/>
      <c r="AS140" s="601"/>
      <c r="AT140" s="600"/>
      <c r="AU140" s="599"/>
      <c r="AV140" s="600"/>
      <c r="AW140" s="601"/>
      <c r="AX140" s="600"/>
      <c r="AY140" s="599"/>
      <c r="AZ140" s="600"/>
      <c r="BA140" s="601"/>
      <c r="BB140" s="602">
        <v>1555575</v>
      </c>
      <c r="BC140" s="599">
        <v>1719120</v>
      </c>
      <c r="BD140" s="600">
        <v>4002020</v>
      </c>
      <c r="BE140" s="599">
        <v>4469759</v>
      </c>
      <c r="BF140" s="600">
        <v>13424372</v>
      </c>
      <c r="BG140" s="599">
        <v>14881967</v>
      </c>
      <c r="BH140" s="600">
        <v>891490</v>
      </c>
      <c r="BI140" s="599">
        <v>1125439</v>
      </c>
      <c r="BJ140" s="600">
        <v>0</v>
      </c>
      <c r="BK140" s="615"/>
      <c r="BL140" s="600">
        <v>0</v>
      </c>
      <c r="BM140" s="604"/>
      <c r="BN140" s="605">
        <f t="shared" si="233"/>
        <v>135</v>
      </c>
      <c r="BO140" s="606">
        <f t="shared" si="234"/>
        <v>153</v>
      </c>
      <c r="BP140" s="607">
        <f t="shared" si="235"/>
        <v>495</v>
      </c>
      <c r="BQ140" s="606">
        <f t="shared" si="236"/>
        <v>549</v>
      </c>
      <c r="BR140" s="607">
        <f t="shared" si="237"/>
        <v>1992</v>
      </c>
      <c r="BS140" s="606">
        <f t="shared" si="238"/>
        <v>2420</v>
      </c>
      <c r="BT140" s="607">
        <f t="shared" si="239"/>
        <v>166</v>
      </c>
      <c r="BU140" s="606">
        <f t="shared" si="240"/>
        <v>0</v>
      </c>
      <c r="BV140" s="607">
        <f t="shared" si="241"/>
        <v>0</v>
      </c>
      <c r="BW140" s="608">
        <f t="shared" si="242"/>
        <v>0</v>
      </c>
      <c r="BX140" s="607">
        <f t="shared" si="243"/>
        <v>0</v>
      </c>
      <c r="BY140" s="608">
        <f t="shared" si="244"/>
        <v>0</v>
      </c>
      <c r="BZ140" s="607">
        <f t="shared" si="245"/>
        <v>11522.777777777777</v>
      </c>
      <c r="CA140" s="608">
        <f t="shared" si="246"/>
        <v>11236.078431372549</v>
      </c>
      <c r="CB140" s="607">
        <f t="shared" si="247"/>
        <v>8084.8888888888887</v>
      </c>
      <c r="CC140" s="608">
        <f t="shared" si="248"/>
        <v>8141.6375227686704</v>
      </c>
      <c r="CD140" s="607">
        <f t="shared" si="249"/>
        <v>6739.1425702811248</v>
      </c>
      <c r="CE140" s="608">
        <f t="shared" si="250"/>
        <v>6149.5731404958678</v>
      </c>
      <c r="CF140" s="607">
        <f t="shared" si="251"/>
        <v>5370.4216867469877</v>
      </c>
      <c r="CG140" s="608">
        <f t="shared" si="252"/>
        <v>0</v>
      </c>
      <c r="CH140" s="607">
        <f t="shared" si="253"/>
        <v>0</v>
      </c>
      <c r="CI140" s="608">
        <f t="shared" si="254"/>
        <v>0</v>
      </c>
      <c r="CJ140" s="607">
        <f t="shared" si="255"/>
        <v>0</v>
      </c>
      <c r="CK140" s="608">
        <f t="shared" si="256"/>
        <v>0</v>
      </c>
      <c r="CL140" s="609">
        <f t="shared" si="257"/>
        <v>103705</v>
      </c>
      <c r="CM140" s="608">
        <f t="shared" si="258"/>
        <v>101124.70588235294</v>
      </c>
      <c r="CN140" s="610">
        <f t="shared" si="259"/>
        <v>72764</v>
      </c>
      <c r="CO140" s="606">
        <f t="shared" si="260"/>
        <v>73274.737704918036</v>
      </c>
      <c r="CP140" s="607">
        <f t="shared" si="261"/>
        <v>60652.283132530123</v>
      </c>
      <c r="CQ140" s="606">
        <f t="shared" si="262"/>
        <v>55346.158264462807</v>
      </c>
      <c r="CR140" s="607">
        <f t="shared" si="263"/>
        <v>48333.795180722889</v>
      </c>
      <c r="CS140" s="606">
        <f t="shared" si="264"/>
        <v>0</v>
      </c>
      <c r="CT140" s="607">
        <f t="shared" si="265"/>
        <v>0</v>
      </c>
      <c r="CU140" s="608">
        <f t="shared" si="266"/>
        <v>0</v>
      </c>
      <c r="CV140" s="610">
        <f t="shared" si="267"/>
        <v>0</v>
      </c>
      <c r="CW140" s="608">
        <f t="shared" si="268"/>
        <v>0</v>
      </c>
      <c r="CX140" s="610">
        <f t="shared" si="269"/>
        <v>64191.9013065248</v>
      </c>
      <c r="CY140" s="611">
        <f t="shared" si="270"/>
        <v>60819.487666135035</v>
      </c>
      <c r="CZ140" s="605">
        <f t="shared" si="271"/>
        <v>15</v>
      </c>
      <c r="DA140" s="612">
        <f t="shared" si="272"/>
        <v>17</v>
      </c>
      <c r="DB140" s="607">
        <f t="shared" si="273"/>
        <v>55</v>
      </c>
      <c r="DC140" s="606">
        <f t="shared" si="274"/>
        <v>61</v>
      </c>
      <c r="DD140" s="607">
        <f t="shared" si="275"/>
        <v>220</v>
      </c>
      <c r="DE140" s="606">
        <f t="shared" si="276"/>
        <v>264</v>
      </c>
      <c r="DF140" s="607">
        <f t="shared" si="277"/>
        <v>18</v>
      </c>
      <c r="DG140" s="606">
        <f t="shared" si="278"/>
        <v>0</v>
      </c>
      <c r="DH140" s="607">
        <f t="shared" si="279"/>
        <v>0</v>
      </c>
      <c r="DI140" s="608">
        <f t="shared" si="280"/>
        <v>0</v>
      </c>
      <c r="DJ140" s="607">
        <f t="shared" si="281"/>
        <v>0</v>
      </c>
      <c r="DK140" s="608">
        <f t="shared" si="282"/>
        <v>0</v>
      </c>
      <c r="DL140" s="607">
        <f t="shared" si="283"/>
        <v>308</v>
      </c>
      <c r="DM140" s="608">
        <f t="shared" si="284"/>
        <v>342</v>
      </c>
      <c r="DN140" s="607">
        <f t="shared" si="285"/>
        <v>1555575</v>
      </c>
      <c r="DO140" s="612">
        <f t="shared" si="286"/>
        <v>1719120</v>
      </c>
      <c r="DP140" s="607">
        <f t="shared" si="287"/>
        <v>4002020</v>
      </c>
      <c r="DQ140" s="606">
        <f t="shared" si="288"/>
        <v>4469759</v>
      </c>
      <c r="DR140" s="607">
        <f t="shared" si="289"/>
        <v>13343502.289156627</v>
      </c>
      <c r="DS140" s="606">
        <f t="shared" si="290"/>
        <v>14611385.781818181</v>
      </c>
      <c r="DT140" s="607">
        <f t="shared" si="291"/>
        <v>870008.31325301202</v>
      </c>
      <c r="DU140" s="606">
        <f t="shared" si="292"/>
        <v>0</v>
      </c>
      <c r="DV140" s="607">
        <f t="shared" si="293"/>
        <v>0</v>
      </c>
      <c r="DW140" s="608">
        <f t="shared" si="294"/>
        <v>0</v>
      </c>
      <c r="DX140" s="607">
        <f t="shared" si="295"/>
        <v>0</v>
      </c>
      <c r="DY140" s="608">
        <f t="shared" si="296"/>
        <v>0</v>
      </c>
      <c r="DZ140" s="607">
        <f t="shared" si="297"/>
        <v>19771105.602409638</v>
      </c>
      <c r="EA140" s="608">
        <f t="shared" si="298"/>
        <v>20800264.781818181</v>
      </c>
    </row>
    <row r="141" spans="1:131" x14ac:dyDescent="0.2">
      <c r="A141" s="469" t="s">
        <v>35</v>
      </c>
      <c r="B141" s="466" t="s">
        <v>875</v>
      </c>
      <c r="C141" s="549"/>
      <c r="D141" s="470">
        <v>140322</v>
      </c>
      <c r="E141" s="392">
        <v>6</v>
      </c>
      <c r="F141" s="598">
        <v>16</v>
      </c>
      <c r="G141" s="599">
        <v>15</v>
      </c>
      <c r="H141" s="600"/>
      <c r="I141" s="601"/>
      <c r="J141" s="600"/>
      <c r="K141" s="599"/>
      <c r="L141" s="600"/>
      <c r="M141" s="601"/>
      <c r="N141" s="600">
        <v>52</v>
      </c>
      <c r="O141" s="599">
        <v>64</v>
      </c>
      <c r="P141" s="600"/>
      <c r="Q141" s="601"/>
      <c r="R141" s="600"/>
      <c r="S141" s="599">
        <v>1</v>
      </c>
      <c r="T141" s="600"/>
      <c r="U141" s="601"/>
      <c r="V141" s="600">
        <v>78</v>
      </c>
      <c r="W141" s="599">
        <v>73</v>
      </c>
      <c r="X141" s="600"/>
      <c r="Y141" s="601"/>
      <c r="Z141" s="600">
        <v>1</v>
      </c>
      <c r="AA141" s="599"/>
      <c r="AB141" s="600"/>
      <c r="AC141" s="601"/>
      <c r="AD141" s="600"/>
      <c r="AE141" s="599">
        <v>4</v>
      </c>
      <c r="AF141" s="600"/>
      <c r="AG141" s="601"/>
      <c r="AH141" s="600"/>
      <c r="AI141" s="599"/>
      <c r="AJ141" s="600"/>
      <c r="AK141" s="601"/>
      <c r="AL141" s="600">
        <v>16</v>
      </c>
      <c r="AM141" s="599">
        <v>19</v>
      </c>
      <c r="AN141" s="600"/>
      <c r="AO141" s="601"/>
      <c r="AP141" s="600"/>
      <c r="AQ141" s="599"/>
      <c r="AR141" s="600"/>
      <c r="AS141" s="601"/>
      <c r="AT141" s="600"/>
      <c r="AU141" s="599"/>
      <c r="AV141" s="600"/>
      <c r="AW141" s="601"/>
      <c r="AX141" s="600"/>
      <c r="AY141" s="599"/>
      <c r="AZ141" s="600"/>
      <c r="BA141" s="601"/>
      <c r="BB141" s="602">
        <v>1168272</v>
      </c>
      <c r="BC141" s="599">
        <v>1206696</v>
      </c>
      <c r="BD141" s="600">
        <v>2873520</v>
      </c>
      <c r="BE141" s="599">
        <v>3542018</v>
      </c>
      <c r="BF141" s="600">
        <v>3786350</v>
      </c>
      <c r="BG141" s="599">
        <v>3612118</v>
      </c>
      <c r="BH141" s="600">
        <v>0</v>
      </c>
      <c r="BI141" s="599">
        <v>176509</v>
      </c>
      <c r="BJ141" s="600">
        <v>717184</v>
      </c>
      <c r="BK141" s="615">
        <v>849655</v>
      </c>
      <c r="BL141" s="600">
        <v>0</v>
      </c>
      <c r="BM141" s="604"/>
      <c r="BN141" s="605">
        <f t="shared" si="233"/>
        <v>144</v>
      </c>
      <c r="BO141" s="606">
        <f t="shared" si="234"/>
        <v>135</v>
      </c>
      <c r="BP141" s="607">
        <f t="shared" si="235"/>
        <v>468</v>
      </c>
      <c r="BQ141" s="606">
        <f t="shared" si="236"/>
        <v>587</v>
      </c>
      <c r="BR141" s="607">
        <f t="shared" si="237"/>
        <v>713</v>
      </c>
      <c r="BS141" s="606">
        <f t="shared" si="238"/>
        <v>657</v>
      </c>
      <c r="BT141" s="607">
        <f t="shared" si="239"/>
        <v>0</v>
      </c>
      <c r="BU141" s="606">
        <f t="shared" si="240"/>
        <v>36</v>
      </c>
      <c r="BV141" s="607">
        <f t="shared" si="241"/>
        <v>144</v>
      </c>
      <c r="BW141" s="608">
        <f t="shared" si="242"/>
        <v>171</v>
      </c>
      <c r="BX141" s="607">
        <f t="shared" si="243"/>
        <v>0</v>
      </c>
      <c r="BY141" s="608">
        <f t="shared" si="244"/>
        <v>0</v>
      </c>
      <c r="BZ141" s="607">
        <f t="shared" si="245"/>
        <v>8113</v>
      </c>
      <c r="CA141" s="608">
        <f t="shared" si="246"/>
        <v>8938.4888888888891</v>
      </c>
      <c r="CB141" s="607">
        <f t="shared" si="247"/>
        <v>6140</v>
      </c>
      <c r="CC141" s="608">
        <f t="shared" si="248"/>
        <v>6034.1022146507667</v>
      </c>
      <c r="CD141" s="607">
        <f t="shared" si="249"/>
        <v>5310.4488078541372</v>
      </c>
      <c r="CE141" s="608">
        <f t="shared" si="250"/>
        <v>5497.8964992389647</v>
      </c>
      <c r="CF141" s="607">
        <f t="shared" si="251"/>
        <v>0</v>
      </c>
      <c r="CG141" s="608">
        <f t="shared" si="252"/>
        <v>4903.0277777777774</v>
      </c>
      <c r="CH141" s="607">
        <f t="shared" si="253"/>
        <v>4980.4444444444443</v>
      </c>
      <c r="CI141" s="608">
        <f t="shared" si="254"/>
        <v>4968.7426900584796</v>
      </c>
      <c r="CJ141" s="607">
        <f t="shared" si="255"/>
        <v>0</v>
      </c>
      <c r="CK141" s="608">
        <f t="shared" si="256"/>
        <v>0</v>
      </c>
      <c r="CL141" s="609">
        <f t="shared" si="257"/>
        <v>73017</v>
      </c>
      <c r="CM141" s="608">
        <f t="shared" si="258"/>
        <v>80446.399999999994</v>
      </c>
      <c r="CN141" s="610">
        <f t="shared" si="259"/>
        <v>55260</v>
      </c>
      <c r="CO141" s="606">
        <f t="shared" si="260"/>
        <v>54306.919931856901</v>
      </c>
      <c r="CP141" s="607">
        <f t="shared" si="261"/>
        <v>47794.039270687237</v>
      </c>
      <c r="CQ141" s="606">
        <f t="shared" si="262"/>
        <v>49481.068493150684</v>
      </c>
      <c r="CR141" s="607">
        <f t="shared" si="263"/>
        <v>0</v>
      </c>
      <c r="CS141" s="606">
        <f t="shared" si="264"/>
        <v>44127.25</v>
      </c>
      <c r="CT141" s="607">
        <f t="shared" si="265"/>
        <v>44824</v>
      </c>
      <c r="CU141" s="608">
        <f t="shared" si="266"/>
        <v>44718.68421052632</v>
      </c>
      <c r="CV141" s="610">
        <f t="shared" si="267"/>
        <v>0</v>
      </c>
      <c r="CW141" s="608">
        <f t="shared" si="268"/>
        <v>0</v>
      </c>
      <c r="CX141" s="610">
        <f t="shared" si="269"/>
        <v>52360.154002357616</v>
      </c>
      <c r="CY141" s="611">
        <f t="shared" si="270"/>
        <v>53266.635202106234</v>
      </c>
      <c r="CZ141" s="605">
        <f t="shared" si="271"/>
        <v>16</v>
      </c>
      <c r="DA141" s="612">
        <f t="shared" si="272"/>
        <v>15</v>
      </c>
      <c r="DB141" s="607">
        <f t="shared" si="273"/>
        <v>52</v>
      </c>
      <c r="DC141" s="606">
        <f t="shared" si="274"/>
        <v>65</v>
      </c>
      <c r="DD141" s="607">
        <f t="shared" si="275"/>
        <v>79</v>
      </c>
      <c r="DE141" s="606">
        <f t="shared" si="276"/>
        <v>73</v>
      </c>
      <c r="DF141" s="607">
        <f t="shared" si="277"/>
        <v>0</v>
      </c>
      <c r="DG141" s="606">
        <f t="shared" si="278"/>
        <v>4</v>
      </c>
      <c r="DH141" s="607">
        <f t="shared" si="279"/>
        <v>16</v>
      </c>
      <c r="DI141" s="608">
        <f t="shared" si="280"/>
        <v>19</v>
      </c>
      <c r="DJ141" s="607">
        <f t="shared" si="281"/>
        <v>0</v>
      </c>
      <c r="DK141" s="608">
        <f t="shared" si="282"/>
        <v>0</v>
      </c>
      <c r="DL141" s="607">
        <f t="shared" si="283"/>
        <v>163</v>
      </c>
      <c r="DM141" s="608">
        <f t="shared" si="284"/>
        <v>176</v>
      </c>
      <c r="DN141" s="607">
        <f t="shared" si="285"/>
        <v>1168272</v>
      </c>
      <c r="DO141" s="612">
        <f t="shared" si="286"/>
        <v>1206696</v>
      </c>
      <c r="DP141" s="607">
        <f t="shared" si="287"/>
        <v>2873520</v>
      </c>
      <c r="DQ141" s="606">
        <f t="shared" si="288"/>
        <v>3529949.7955706986</v>
      </c>
      <c r="DR141" s="607">
        <f t="shared" si="289"/>
        <v>3775729.1023842916</v>
      </c>
      <c r="DS141" s="606">
        <f t="shared" si="290"/>
        <v>3612118</v>
      </c>
      <c r="DT141" s="607">
        <f t="shared" si="291"/>
        <v>0</v>
      </c>
      <c r="DU141" s="606">
        <f t="shared" si="292"/>
        <v>176509</v>
      </c>
      <c r="DV141" s="607">
        <f t="shared" si="293"/>
        <v>717184</v>
      </c>
      <c r="DW141" s="608">
        <f t="shared" si="294"/>
        <v>849655.00000000012</v>
      </c>
      <c r="DX141" s="607">
        <f t="shared" si="295"/>
        <v>0</v>
      </c>
      <c r="DY141" s="608">
        <f t="shared" si="296"/>
        <v>0</v>
      </c>
      <c r="DZ141" s="607">
        <f t="shared" si="297"/>
        <v>8534705.1023842916</v>
      </c>
      <c r="EA141" s="608">
        <f t="shared" si="298"/>
        <v>9374927.7955706976</v>
      </c>
    </row>
    <row r="142" spans="1:131" x14ac:dyDescent="0.2">
      <c r="A142" s="469" t="s">
        <v>35</v>
      </c>
      <c r="B142" s="466" t="s">
        <v>876</v>
      </c>
      <c r="C142" s="549" t="s">
        <v>892</v>
      </c>
      <c r="D142" s="470">
        <v>139463</v>
      </c>
      <c r="E142" s="399">
        <v>7</v>
      </c>
      <c r="F142" s="598">
        <v>14</v>
      </c>
      <c r="G142" s="599">
        <v>15</v>
      </c>
      <c r="H142" s="600"/>
      <c r="I142" s="601"/>
      <c r="J142" s="600">
        <v>1</v>
      </c>
      <c r="K142" s="599"/>
      <c r="L142" s="600"/>
      <c r="M142" s="601"/>
      <c r="N142" s="600">
        <v>55</v>
      </c>
      <c r="O142" s="599">
        <f>22+26</f>
        <v>48</v>
      </c>
      <c r="P142" s="600"/>
      <c r="Q142" s="601"/>
      <c r="R142" s="600"/>
      <c r="S142" s="599"/>
      <c r="T142" s="600"/>
      <c r="U142" s="601"/>
      <c r="V142" s="600">
        <v>56</v>
      </c>
      <c r="W142" s="599">
        <f>27+38</f>
        <v>65</v>
      </c>
      <c r="X142" s="600"/>
      <c r="Y142" s="601"/>
      <c r="Z142" s="600"/>
      <c r="AA142" s="599"/>
      <c r="AB142" s="600"/>
      <c r="AC142" s="601"/>
      <c r="AD142" s="600">
        <v>15</v>
      </c>
      <c r="AE142" s="599">
        <v>13</v>
      </c>
      <c r="AF142" s="600"/>
      <c r="AG142" s="601"/>
      <c r="AH142" s="600"/>
      <c r="AI142" s="599"/>
      <c r="AJ142" s="600"/>
      <c r="AK142" s="601"/>
      <c r="AL142" s="600">
        <v>9</v>
      </c>
      <c r="AM142" s="599">
        <v>10</v>
      </c>
      <c r="AN142" s="600"/>
      <c r="AO142" s="601"/>
      <c r="AP142" s="600"/>
      <c r="AQ142" s="599"/>
      <c r="AR142" s="600"/>
      <c r="AS142" s="601"/>
      <c r="AT142" s="600"/>
      <c r="AU142" s="599"/>
      <c r="AV142" s="600"/>
      <c r="AW142" s="601"/>
      <c r="AX142" s="600"/>
      <c r="AY142" s="599"/>
      <c r="AZ142" s="600"/>
      <c r="BA142" s="601"/>
      <c r="BB142" s="602">
        <v>1138164</v>
      </c>
      <c r="BC142" s="599">
        <v>1050412</v>
      </c>
      <c r="BD142" s="600">
        <v>3085775</v>
      </c>
      <c r="BE142" s="599">
        <v>2547683</v>
      </c>
      <c r="BF142" s="600">
        <v>2706368</v>
      </c>
      <c r="BG142" s="599">
        <v>3224828</v>
      </c>
      <c r="BH142" s="600">
        <v>639885</v>
      </c>
      <c r="BI142" s="599">
        <v>606082</v>
      </c>
      <c r="BJ142" s="600">
        <v>260001</v>
      </c>
      <c r="BK142" s="615">
        <v>322500</v>
      </c>
      <c r="BL142" s="600">
        <v>0</v>
      </c>
      <c r="BM142" s="604"/>
      <c r="BN142" s="605">
        <f t="shared" si="233"/>
        <v>137</v>
      </c>
      <c r="BO142" s="606">
        <f t="shared" si="234"/>
        <v>135</v>
      </c>
      <c r="BP142" s="607">
        <f t="shared" si="235"/>
        <v>495</v>
      </c>
      <c r="BQ142" s="606">
        <f t="shared" si="236"/>
        <v>432</v>
      </c>
      <c r="BR142" s="607">
        <f t="shared" si="237"/>
        <v>504</v>
      </c>
      <c r="BS142" s="606">
        <f t="shared" si="238"/>
        <v>585</v>
      </c>
      <c r="BT142" s="607">
        <f t="shared" si="239"/>
        <v>135</v>
      </c>
      <c r="BU142" s="606">
        <f t="shared" si="240"/>
        <v>117</v>
      </c>
      <c r="BV142" s="607">
        <f t="shared" si="241"/>
        <v>81</v>
      </c>
      <c r="BW142" s="608">
        <f t="shared" si="242"/>
        <v>90</v>
      </c>
      <c r="BX142" s="607">
        <f t="shared" si="243"/>
        <v>0</v>
      </c>
      <c r="BY142" s="608">
        <f t="shared" si="244"/>
        <v>0</v>
      </c>
      <c r="BZ142" s="607">
        <f t="shared" si="245"/>
        <v>8307.7664233576634</v>
      </c>
      <c r="CA142" s="608">
        <f t="shared" si="246"/>
        <v>7780.8296296296294</v>
      </c>
      <c r="CB142" s="607">
        <f t="shared" si="247"/>
        <v>6233.8888888888887</v>
      </c>
      <c r="CC142" s="608">
        <f t="shared" si="248"/>
        <v>5897.4143518518522</v>
      </c>
      <c r="CD142" s="607">
        <f t="shared" si="249"/>
        <v>5369.7777777777774</v>
      </c>
      <c r="CE142" s="608">
        <f t="shared" si="250"/>
        <v>5512.5264957264953</v>
      </c>
      <c r="CF142" s="607">
        <f t="shared" si="251"/>
        <v>4739.8888888888887</v>
      </c>
      <c r="CG142" s="608">
        <f t="shared" si="252"/>
        <v>5180.1880341880342</v>
      </c>
      <c r="CH142" s="607">
        <f t="shared" si="253"/>
        <v>3209.8888888888887</v>
      </c>
      <c r="CI142" s="608">
        <f t="shared" si="254"/>
        <v>3583.3333333333335</v>
      </c>
      <c r="CJ142" s="607">
        <f t="shared" si="255"/>
        <v>0</v>
      </c>
      <c r="CK142" s="608">
        <f t="shared" si="256"/>
        <v>0</v>
      </c>
      <c r="CL142" s="609">
        <f t="shared" si="257"/>
        <v>74769.897810218972</v>
      </c>
      <c r="CM142" s="608">
        <f t="shared" si="258"/>
        <v>70027.46666666666</v>
      </c>
      <c r="CN142" s="610">
        <f t="shared" si="259"/>
        <v>56105</v>
      </c>
      <c r="CO142" s="606">
        <f t="shared" si="260"/>
        <v>53076.729166666672</v>
      </c>
      <c r="CP142" s="607">
        <f t="shared" si="261"/>
        <v>48328</v>
      </c>
      <c r="CQ142" s="606">
        <f t="shared" si="262"/>
        <v>49612.738461538458</v>
      </c>
      <c r="CR142" s="607">
        <f t="shared" si="263"/>
        <v>42659</v>
      </c>
      <c r="CS142" s="606">
        <f t="shared" si="264"/>
        <v>46621.692307692305</v>
      </c>
      <c r="CT142" s="607">
        <f t="shared" si="265"/>
        <v>28889</v>
      </c>
      <c r="CU142" s="608">
        <f t="shared" si="266"/>
        <v>32250</v>
      </c>
      <c r="CV142" s="610">
        <f t="shared" si="267"/>
        <v>0</v>
      </c>
      <c r="CW142" s="608">
        <f t="shared" si="268"/>
        <v>0</v>
      </c>
      <c r="CX142" s="610">
        <f t="shared" si="269"/>
        <v>52090.516447688562</v>
      </c>
      <c r="CY142" s="611">
        <f t="shared" si="270"/>
        <v>51334.470198675495</v>
      </c>
      <c r="CZ142" s="605">
        <f t="shared" si="271"/>
        <v>15</v>
      </c>
      <c r="DA142" s="612">
        <f t="shared" si="272"/>
        <v>15</v>
      </c>
      <c r="DB142" s="607">
        <f t="shared" si="273"/>
        <v>55</v>
      </c>
      <c r="DC142" s="606">
        <f t="shared" si="274"/>
        <v>48</v>
      </c>
      <c r="DD142" s="607">
        <f t="shared" si="275"/>
        <v>56</v>
      </c>
      <c r="DE142" s="606">
        <f t="shared" si="276"/>
        <v>65</v>
      </c>
      <c r="DF142" s="607">
        <f t="shared" si="277"/>
        <v>15</v>
      </c>
      <c r="DG142" s="606">
        <f t="shared" si="278"/>
        <v>13</v>
      </c>
      <c r="DH142" s="607">
        <f t="shared" si="279"/>
        <v>9</v>
      </c>
      <c r="DI142" s="608">
        <f t="shared" si="280"/>
        <v>10</v>
      </c>
      <c r="DJ142" s="607">
        <f t="shared" si="281"/>
        <v>0</v>
      </c>
      <c r="DK142" s="608">
        <f t="shared" si="282"/>
        <v>0</v>
      </c>
      <c r="DL142" s="607">
        <f t="shared" si="283"/>
        <v>150</v>
      </c>
      <c r="DM142" s="608">
        <f t="shared" si="284"/>
        <v>151</v>
      </c>
      <c r="DN142" s="607">
        <f t="shared" si="285"/>
        <v>1121548.4671532847</v>
      </c>
      <c r="DO142" s="612">
        <f t="shared" si="286"/>
        <v>1050412</v>
      </c>
      <c r="DP142" s="607">
        <f t="shared" si="287"/>
        <v>3085775</v>
      </c>
      <c r="DQ142" s="606">
        <f t="shared" si="288"/>
        <v>2547683</v>
      </c>
      <c r="DR142" s="607">
        <f t="shared" si="289"/>
        <v>2706368</v>
      </c>
      <c r="DS142" s="606">
        <f t="shared" si="290"/>
        <v>3224828</v>
      </c>
      <c r="DT142" s="607">
        <f t="shared" si="291"/>
        <v>639885</v>
      </c>
      <c r="DU142" s="606">
        <f t="shared" si="292"/>
        <v>606082</v>
      </c>
      <c r="DV142" s="607">
        <f t="shared" si="293"/>
        <v>260001</v>
      </c>
      <c r="DW142" s="608">
        <f t="shared" si="294"/>
        <v>322500</v>
      </c>
      <c r="DX142" s="607">
        <f t="shared" si="295"/>
        <v>0</v>
      </c>
      <c r="DY142" s="608">
        <f t="shared" si="296"/>
        <v>0</v>
      </c>
      <c r="DZ142" s="607">
        <f t="shared" si="297"/>
        <v>7813577.4671532847</v>
      </c>
      <c r="EA142" s="608">
        <f t="shared" si="298"/>
        <v>7751505</v>
      </c>
    </row>
    <row r="143" spans="1:131" x14ac:dyDescent="0.2">
      <c r="A143" s="395" t="s">
        <v>35</v>
      </c>
      <c r="B143" s="468" t="s">
        <v>877</v>
      </c>
      <c r="C143" s="549"/>
      <c r="D143" s="470">
        <v>139773</v>
      </c>
      <c r="E143" s="472">
        <v>7</v>
      </c>
      <c r="F143" s="598">
        <v>40</v>
      </c>
      <c r="G143" s="599">
        <v>23</v>
      </c>
      <c r="H143" s="600"/>
      <c r="I143" s="601"/>
      <c r="J143" s="600">
        <v>1</v>
      </c>
      <c r="K143" s="599"/>
      <c r="L143" s="600"/>
      <c r="M143" s="601"/>
      <c r="N143" s="600">
        <v>33</v>
      </c>
      <c r="O143" s="599">
        <v>31</v>
      </c>
      <c r="P143" s="600"/>
      <c r="Q143" s="601"/>
      <c r="R143" s="600">
        <v>6</v>
      </c>
      <c r="S143" s="599">
        <v>1</v>
      </c>
      <c r="T143" s="600"/>
      <c r="U143" s="601"/>
      <c r="V143" s="600">
        <v>84</v>
      </c>
      <c r="W143" s="599">
        <v>76</v>
      </c>
      <c r="X143" s="600"/>
      <c r="Y143" s="601"/>
      <c r="Z143" s="600">
        <v>5</v>
      </c>
      <c r="AA143" s="599">
        <v>4</v>
      </c>
      <c r="AB143" s="600"/>
      <c r="AC143" s="601"/>
      <c r="AD143" s="600">
        <v>8</v>
      </c>
      <c r="AE143" s="599">
        <v>29</v>
      </c>
      <c r="AF143" s="600"/>
      <c r="AG143" s="601"/>
      <c r="AH143" s="600"/>
      <c r="AI143" s="599"/>
      <c r="AJ143" s="600"/>
      <c r="AK143" s="601"/>
      <c r="AL143" s="600">
        <v>25</v>
      </c>
      <c r="AM143" s="599"/>
      <c r="AN143" s="600"/>
      <c r="AO143" s="601"/>
      <c r="AP143" s="600"/>
      <c r="AQ143" s="599"/>
      <c r="AR143" s="600"/>
      <c r="AS143" s="601"/>
      <c r="AT143" s="600"/>
      <c r="AU143" s="599"/>
      <c r="AV143" s="600"/>
      <c r="AW143" s="601"/>
      <c r="AX143" s="600"/>
      <c r="AY143" s="599"/>
      <c r="AZ143" s="600"/>
      <c r="BA143" s="601"/>
      <c r="BB143" s="602">
        <v>2642962</v>
      </c>
      <c r="BC143" s="599">
        <v>1529220</v>
      </c>
      <c r="BD143" s="600">
        <v>1995396</v>
      </c>
      <c r="BE143" s="599">
        <v>1603555</v>
      </c>
      <c r="BF143" s="600">
        <v>3872250</v>
      </c>
      <c r="BG143" s="599">
        <v>3537005</v>
      </c>
      <c r="BH143" s="600">
        <v>319608</v>
      </c>
      <c r="BI143" s="599">
        <v>226070</v>
      </c>
      <c r="BJ143" s="600">
        <v>941150</v>
      </c>
      <c r="BK143" s="615">
        <v>1130592</v>
      </c>
      <c r="BL143" s="600">
        <v>0</v>
      </c>
      <c r="BM143" s="604"/>
      <c r="BN143" s="605">
        <f t="shared" si="233"/>
        <v>371</v>
      </c>
      <c r="BO143" s="606">
        <f t="shared" si="234"/>
        <v>207</v>
      </c>
      <c r="BP143" s="607">
        <f t="shared" si="235"/>
        <v>363</v>
      </c>
      <c r="BQ143" s="606">
        <f t="shared" si="236"/>
        <v>290</v>
      </c>
      <c r="BR143" s="607">
        <f t="shared" si="237"/>
        <v>811</v>
      </c>
      <c r="BS143" s="606">
        <f t="shared" si="238"/>
        <v>728</v>
      </c>
      <c r="BT143" s="607">
        <f t="shared" si="239"/>
        <v>72</v>
      </c>
      <c r="BU143" s="606">
        <f t="shared" si="240"/>
        <v>261</v>
      </c>
      <c r="BV143" s="607">
        <f t="shared" si="241"/>
        <v>225</v>
      </c>
      <c r="BW143" s="608">
        <f t="shared" si="242"/>
        <v>0</v>
      </c>
      <c r="BX143" s="607">
        <f t="shared" si="243"/>
        <v>0</v>
      </c>
      <c r="BY143" s="608">
        <f t="shared" si="244"/>
        <v>0</v>
      </c>
      <c r="BZ143" s="607">
        <f t="shared" si="245"/>
        <v>7123.8867924528304</v>
      </c>
      <c r="CA143" s="608">
        <f t="shared" si="246"/>
        <v>7387.536231884058</v>
      </c>
      <c r="CB143" s="607">
        <f t="shared" si="247"/>
        <v>5496.9586776859505</v>
      </c>
      <c r="CC143" s="608">
        <f t="shared" si="248"/>
        <v>5529.5</v>
      </c>
      <c r="CD143" s="607">
        <f t="shared" si="249"/>
        <v>4774.6609124537608</v>
      </c>
      <c r="CE143" s="608">
        <f t="shared" si="250"/>
        <v>4858.5233516483513</v>
      </c>
      <c r="CF143" s="607">
        <f t="shared" si="251"/>
        <v>4439</v>
      </c>
      <c r="CG143" s="608">
        <f t="shared" si="252"/>
        <v>866.16858237547888</v>
      </c>
      <c r="CH143" s="607">
        <f t="shared" si="253"/>
        <v>4182.8888888888887</v>
      </c>
      <c r="CI143" s="608">
        <f t="shared" si="254"/>
        <v>0</v>
      </c>
      <c r="CJ143" s="607">
        <f t="shared" si="255"/>
        <v>0</v>
      </c>
      <c r="CK143" s="608">
        <f t="shared" si="256"/>
        <v>0</v>
      </c>
      <c r="CL143" s="609">
        <f t="shared" si="257"/>
        <v>64114.981132075474</v>
      </c>
      <c r="CM143" s="608">
        <f t="shared" si="258"/>
        <v>66487.826086956527</v>
      </c>
      <c r="CN143" s="610">
        <f t="shared" si="259"/>
        <v>49472.628099173555</v>
      </c>
      <c r="CO143" s="606">
        <f t="shared" si="260"/>
        <v>49765.5</v>
      </c>
      <c r="CP143" s="607">
        <f t="shared" si="261"/>
        <v>42971.948212083851</v>
      </c>
      <c r="CQ143" s="606">
        <f t="shared" si="262"/>
        <v>43726.71016483516</v>
      </c>
      <c r="CR143" s="607">
        <f t="shared" si="263"/>
        <v>39951</v>
      </c>
      <c r="CS143" s="606">
        <f t="shared" si="264"/>
        <v>7795.5172413793098</v>
      </c>
      <c r="CT143" s="607">
        <f t="shared" si="265"/>
        <v>37646</v>
      </c>
      <c r="CU143" s="608">
        <f t="shared" si="266"/>
        <v>0</v>
      </c>
      <c r="CV143" s="610">
        <f t="shared" si="267"/>
        <v>0</v>
      </c>
      <c r="CW143" s="608">
        <f t="shared" si="268"/>
        <v>0</v>
      </c>
      <c r="CX143" s="610">
        <f t="shared" si="269"/>
        <v>47739.644124546168</v>
      </c>
      <c r="CY143" s="611">
        <f t="shared" si="270"/>
        <v>41743.431787724468</v>
      </c>
      <c r="CZ143" s="605">
        <f t="shared" si="271"/>
        <v>41</v>
      </c>
      <c r="DA143" s="612">
        <f t="shared" si="272"/>
        <v>23</v>
      </c>
      <c r="DB143" s="607">
        <f t="shared" si="273"/>
        <v>39</v>
      </c>
      <c r="DC143" s="606">
        <f t="shared" si="274"/>
        <v>32</v>
      </c>
      <c r="DD143" s="607">
        <f t="shared" si="275"/>
        <v>89</v>
      </c>
      <c r="DE143" s="606">
        <f t="shared" si="276"/>
        <v>80</v>
      </c>
      <c r="DF143" s="607">
        <f t="shared" si="277"/>
        <v>8</v>
      </c>
      <c r="DG143" s="606">
        <f t="shared" si="278"/>
        <v>29</v>
      </c>
      <c r="DH143" s="607">
        <f t="shared" si="279"/>
        <v>25</v>
      </c>
      <c r="DI143" s="608">
        <f t="shared" si="280"/>
        <v>0</v>
      </c>
      <c r="DJ143" s="607">
        <f t="shared" si="281"/>
        <v>0</v>
      </c>
      <c r="DK143" s="608">
        <f t="shared" si="282"/>
        <v>0</v>
      </c>
      <c r="DL143" s="607">
        <f t="shared" si="283"/>
        <v>202</v>
      </c>
      <c r="DM143" s="608">
        <f t="shared" si="284"/>
        <v>164</v>
      </c>
      <c r="DN143" s="607">
        <f t="shared" si="285"/>
        <v>2628714.2264150945</v>
      </c>
      <c r="DO143" s="612">
        <f t="shared" si="286"/>
        <v>1529220.0000000002</v>
      </c>
      <c r="DP143" s="607">
        <f t="shared" si="287"/>
        <v>1929432.4958677685</v>
      </c>
      <c r="DQ143" s="606">
        <f t="shared" si="288"/>
        <v>1592496</v>
      </c>
      <c r="DR143" s="607">
        <f t="shared" si="289"/>
        <v>3824503.3908754629</v>
      </c>
      <c r="DS143" s="606">
        <f t="shared" si="290"/>
        <v>3498136.8131868127</v>
      </c>
      <c r="DT143" s="607">
        <f t="shared" si="291"/>
        <v>319608</v>
      </c>
      <c r="DU143" s="606">
        <f t="shared" si="292"/>
        <v>226069.99999999997</v>
      </c>
      <c r="DV143" s="607">
        <f t="shared" si="293"/>
        <v>941150</v>
      </c>
      <c r="DW143" s="608">
        <f t="shared" si="294"/>
        <v>0</v>
      </c>
      <c r="DX143" s="607">
        <f t="shared" si="295"/>
        <v>0</v>
      </c>
      <c r="DY143" s="608">
        <f t="shared" si="296"/>
        <v>0</v>
      </c>
      <c r="DZ143" s="607">
        <f t="shared" si="297"/>
        <v>9643408.1131583266</v>
      </c>
      <c r="EA143" s="608">
        <f t="shared" si="298"/>
        <v>6845922.8131868131</v>
      </c>
    </row>
    <row r="144" spans="1:131" x14ac:dyDescent="0.2">
      <c r="A144" s="469" t="s">
        <v>35</v>
      </c>
      <c r="B144" s="466" t="s">
        <v>878</v>
      </c>
      <c r="C144" s="550"/>
      <c r="D144" s="470">
        <v>139968</v>
      </c>
      <c r="E144" s="551">
        <v>7</v>
      </c>
      <c r="F144" s="598">
        <v>26</v>
      </c>
      <c r="G144" s="599">
        <v>30</v>
      </c>
      <c r="H144" s="600"/>
      <c r="I144" s="601"/>
      <c r="J144" s="600"/>
      <c r="K144" s="599"/>
      <c r="L144" s="600"/>
      <c r="M144" s="601"/>
      <c r="N144" s="600">
        <v>39</v>
      </c>
      <c r="O144" s="599">
        <f>24+19</f>
        <v>43</v>
      </c>
      <c r="P144" s="600"/>
      <c r="Q144" s="601"/>
      <c r="R144" s="600"/>
      <c r="S144" s="599"/>
      <c r="T144" s="600"/>
      <c r="U144" s="601"/>
      <c r="V144" s="600">
        <v>39</v>
      </c>
      <c r="W144" s="599">
        <v>39</v>
      </c>
      <c r="X144" s="600"/>
      <c r="Y144" s="601"/>
      <c r="Z144" s="600"/>
      <c r="AA144" s="599"/>
      <c r="AB144" s="600"/>
      <c r="AC144" s="601"/>
      <c r="AD144" s="600">
        <v>11</v>
      </c>
      <c r="AE144" s="599">
        <v>12</v>
      </c>
      <c r="AF144" s="600"/>
      <c r="AG144" s="601"/>
      <c r="AH144" s="600"/>
      <c r="AI144" s="599"/>
      <c r="AJ144" s="600"/>
      <c r="AK144" s="601"/>
      <c r="AL144" s="600"/>
      <c r="AM144" s="599"/>
      <c r="AN144" s="600"/>
      <c r="AO144" s="601"/>
      <c r="AP144" s="600"/>
      <c r="AQ144" s="599"/>
      <c r="AR144" s="600"/>
      <c r="AS144" s="601"/>
      <c r="AT144" s="600"/>
      <c r="AU144" s="599"/>
      <c r="AV144" s="600"/>
      <c r="AW144" s="601"/>
      <c r="AX144" s="600"/>
      <c r="AY144" s="599"/>
      <c r="AZ144" s="600"/>
      <c r="BA144" s="601"/>
      <c r="BB144" s="602">
        <v>1657318</v>
      </c>
      <c r="BC144" s="599">
        <v>1882663</v>
      </c>
      <c r="BD144" s="600">
        <v>2057991</v>
      </c>
      <c r="BE144" s="599">
        <v>2274420</v>
      </c>
      <c r="BF144" s="600">
        <v>1817829</v>
      </c>
      <c r="BG144" s="599">
        <v>1795821</v>
      </c>
      <c r="BH144" s="600">
        <v>435666</v>
      </c>
      <c r="BI144" s="599">
        <v>455980</v>
      </c>
      <c r="BJ144" s="600">
        <v>0</v>
      </c>
      <c r="BK144" s="615"/>
      <c r="BL144" s="600">
        <v>0</v>
      </c>
      <c r="BM144" s="604"/>
      <c r="BN144" s="605">
        <f t="shared" si="233"/>
        <v>234</v>
      </c>
      <c r="BO144" s="606">
        <f t="shared" si="234"/>
        <v>270</v>
      </c>
      <c r="BP144" s="607">
        <f t="shared" si="235"/>
        <v>351</v>
      </c>
      <c r="BQ144" s="606">
        <f t="shared" si="236"/>
        <v>387</v>
      </c>
      <c r="BR144" s="607">
        <f t="shared" si="237"/>
        <v>351</v>
      </c>
      <c r="BS144" s="606">
        <f t="shared" si="238"/>
        <v>351</v>
      </c>
      <c r="BT144" s="607">
        <f t="shared" si="239"/>
        <v>99</v>
      </c>
      <c r="BU144" s="606">
        <f t="shared" si="240"/>
        <v>108</v>
      </c>
      <c r="BV144" s="607">
        <f t="shared" si="241"/>
        <v>0</v>
      </c>
      <c r="BW144" s="608">
        <f t="shared" si="242"/>
        <v>0</v>
      </c>
      <c r="BX144" s="607">
        <f t="shared" si="243"/>
        <v>0</v>
      </c>
      <c r="BY144" s="608">
        <f t="shared" si="244"/>
        <v>0</v>
      </c>
      <c r="BZ144" s="607">
        <f t="shared" si="245"/>
        <v>7082.5555555555557</v>
      </c>
      <c r="CA144" s="608">
        <f t="shared" si="246"/>
        <v>6972.8259259259257</v>
      </c>
      <c r="CB144" s="607">
        <f t="shared" si="247"/>
        <v>5863.2222222222226</v>
      </c>
      <c r="CC144" s="608">
        <f t="shared" si="248"/>
        <v>5877.0542635658912</v>
      </c>
      <c r="CD144" s="607">
        <f t="shared" si="249"/>
        <v>5179</v>
      </c>
      <c r="CE144" s="608">
        <f t="shared" si="250"/>
        <v>5116.2991452991455</v>
      </c>
      <c r="CF144" s="607">
        <f t="shared" si="251"/>
        <v>4400.666666666667</v>
      </c>
      <c r="CG144" s="608">
        <f t="shared" si="252"/>
        <v>4222.0370370370374</v>
      </c>
      <c r="CH144" s="607">
        <f t="shared" si="253"/>
        <v>0</v>
      </c>
      <c r="CI144" s="608">
        <f t="shared" si="254"/>
        <v>0</v>
      </c>
      <c r="CJ144" s="607">
        <f t="shared" si="255"/>
        <v>0</v>
      </c>
      <c r="CK144" s="608">
        <f t="shared" si="256"/>
        <v>0</v>
      </c>
      <c r="CL144" s="609">
        <f t="shared" si="257"/>
        <v>63743</v>
      </c>
      <c r="CM144" s="608">
        <f t="shared" si="258"/>
        <v>62755.433333333334</v>
      </c>
      <c r="CN144" s="610">
        <f t="shared" si="259"/>
        <v>52769</v>
      </c>
      <c r="CO144" s="606">
        <f t="shared" si="260"/>
        <v>52893.488372093023</v>
      </c>
      <c r="CP144" s="607">
        <f t="shared" si="261"/>
        <v>46611</v>
      </c>
      <c r="CQ144" s="606">
        <f t="shared" si="262"/>
        <v>46046.692307692312</v>
      </c>
      <c r="CR144" s="607">
        <f t="shared" si="263"/>
        <v>39606</v>
      </c>
      <c r="CS144" s="606">
        <f t="shared" si="264"/>
        <v>37998.333333333336</v>
      </c>
      <c r="CT144" s="607">
        <f t="shared" si="265"/>
        <v>0</v>
      </c>
      <c r="CU144" s="608">
        <f t="shared" si="266"/>
        <v>0</v>
      </c>
      <c r="CV144" s="610">
        <f t="shared" si="267"/>
        <v>0</v>
      </c>
      <c r="CW144" s="608">
        <f t="shared" si="268"/>
        <v>0</v>
      </c>
      <c r="CX144" s="610">
        <f t="shared" si="269"/>
        <v>51902.64347826087</v>
      </c>
      <c r="CY144" s="611">
        <f t="shared" si="270"/>
        <v>51684.548387096773</v>
      </c>
      <c r="CZ144" s="605">
        <f t="shared" si="271"/>
        <v>26</v>
      </c>
      <c r="DA144" s="612">
        <f t="shared" si="272"/>
        <v>30</v>
      </c>
      <c r="DB144" s="607">
        <f t="shared" si="273"/>
        <v>39</v>
      </c>
      <c r="DC144" s="606">
        <f t="shared" si="274"/>
        <v>43</v>
      </c>
      <c r="DD144" s="607">
        <f t="shared" si="275"/>
        <v>39</v>
      </c>
      <c r="DE144" s="606">
        <f t="shared" si="276"/>
        <v>39</v>
      </c>
      <c r="DF144" s="607">
        <f t="shared" si="277"/>
        <v>11</v>
      </c>
      <c r="DG144" s="606">
        <f t="shared" si="278"/>
        <v>12</v>
      </c>
      <c r="DH144" s="607">
        <f t="shared" si="279"/>
        <v>0</v>
      </c>
      <c r="DI144" s="608">
        <f t="shared" si="280"/>
        <v>0</v>
      </c>
      <c r="DJ144" s="607">
        <f t="shared" si="281"/>
        <v>0</v>
      </c>
      <c r="DK144" s="608">
        <f t="shared" si="282"/>
        <v>0</v>
      </c>
      <c r="DL144" s="607">
        <f t="shared" si="283"/>
        <v>115</v>
      </c>
      <c r="DM144" s="608">
        <f t="shared" si="284"/>
        <v>124</v>
      </c>
      <c r="DN144" s="607">
        <f t="shared" si="285"/>
        <v>1657318</v>
      </c>
      <c r="DO144" s="612">
        <f t="shared" si="286"/>
        <v>1882663</v>
      </c>
      <c r="DP144" s="607">
        <f t="shared" si="287"/>
        <v>2057991</v>
      </c>
      <c r="DQ144" s="606">
        <f t="shared" si="288"/>
        <v>2274420</v>
      </c>
      <c r="DR144" s="607">
        <f t="shared" si="289"/>
        <v>1817829</v>
      </c>
      <c r="DS144" s="606">
        <f t="shared" si="290"/>
        <v>1795821.0000000002</v>
      </c>
      <c r="DT144" s="607">
        <f t="shared" si="291"/>
        <v>435666</v>
      </c>
      <c r="DU144" s="606">
        <f t="shared" si="292"/>
        <v>455980</v>
      </c>
      <c r="DV144" s="607">
        <f t="shared" si="293"/>
        <v>0</v>
      </c>
      <c r="DW144" s="608">
        <f t="shared" si="294"/>
        <v>0</v>
      </c>
      <c r="DX144" s="607">
        <f t="shared" si="295"/>
        <v>0</v>
      </c>
      <c r="DY144" s="608">
        <f t="shared" si="296"/>
        <v>0</v>
      </c>
      <c r="DZ144" s="607">
        <f t="shared" si="297"/>
        <v>5968804</v>
      </c>
      <c r="EA144" s="608">
        <f t="shared" si="298"/>
        <v>6408884</v>
      </c>
    </row>
    <row r="145" spans="1:131" x14ac:dyDescent="0.2">
      <c r="A145" s="469" t="s">
        <v>35</v>
      </c>
      <c r="B145" s="466" t="s">
        <v>879</v>
      </c>
      <c r="C145" s="549"/>
      <c r="D145" s="470">
        <v>244437</v>
      </c>
      <c r="E145" s="399">
        <v>8</v>
      </c>
      <c r="F145" s="598">
        <v>30</v>
      </c>
      <c r="G145" s="599">
        <v>38</v>
      </c>
      <c r="H145" s="600"/>
      <c r="I145" s="601"/>
      <c r="J145" s="600">
        <v>1</v>
      </c>
      <c r="K145" s="599"/>
      <c r="L145" s="600"/>
      <c r="M145" s="601"/>
      <c r="N145" s="600">
        <v>128</v>
      </c>
      <c r="O145" s="599">
        <f>55+62</f>
        <v>117</v>
      </c>
      <c r="P145" s="600"/>
      <c r="Q145" s="601"/>
      <c r="R145" s="600">
        <v>6</v>
      </c>
      <c r="S145" s="599"/>
      <c r="T145" s="600"/>
      <c r="U145" s="601"/>
      <c r="V145" s="600">
        <v>113</v>
      </c>
      <c r="W145" s="599">
        <f>57+66</f>
        <v>123</v>
      </c>
      <c r="X145" s="600"/>
      <c r="Y145" s="601"/>
      <c r="Z145" s="600">
        <v>3</v>
      </c>
      <c r="AA145" s="599"/>
      <c r="AB145" s="600"/>
      <c r="AC145" s="601"/>
      <c r="AD145" s="600">
        <v>266</v>
      </c>
      <c r="AE145" s="599">
        <f>69+128</f>
        <v>197</v>
      </c>
      <c r="AF145" s="600"/>
      <c r="AG145" s="601"/>
      <c r="AH145" s="600">
        <v>6</v>
      </c>
      <c r="AI145" s="599"/>
      <c r="AJ145" s="600"/>
      <c r="AK145" s="601"/>
      <c r="AL145" s="600">
        <v>15</v>
      </c>
      <c r="AM145" s="599">
        <v>13</v>
      </c>
      <c r="AN145" s="600"/>
      <c r="AO145" s="601"/>
      <c r="AP145" s="600">
        <v>5</v>
      </c>
      <c r="AQ145" s="599"/>
      <c r="AR145" s="600"/>
      <c r="AS145" s="601"/>
      <c r="AT145" s="600"/>
      <c r="AU145" s="599"/>
      <c r="AV145" s="600"/>
      <c r="AW145" s="601"/>
      <c r="AX145" s="600"/>
      <c r="AY145" s="599"/>
      <c r="AZ145" s="600"/>
      <c r="BA145" s="601"/>
      <c r="BB145" s="602">
        <v>1971300</v>
      </c>
      <c r="BC145" s="599">
        <v>2442122</v>
      </c>
      <c r="BD145" s="600">
        <v>7551258</v>
      </c>
      <c r="BE145" s="599">
        <v>6649916</v>
      </c>
      <c r="BF145" s="600">
        <v>5242633</v>
      </c>
      <c r="BG145" s="599">
        <v>5461557</v>
      </c>
      <c r="BH145" s="600">
        <v>10584488</v>
      </c>
      <c r="BI145" s="599">
        <v>7693660</v>
      </c>
      <c r="BJ145" s="600">
        <v>792385</v>
      </c>
      <c r="BK145" s="615">
        <v>528632</v>
      </c>
      <c r="BL145" s="600">
        <v>0</v>
      </c>
      <c r="BM145" s="604"/>
      <c r="BN145" s="605">
        <f t="shared" si="233"/>
        <v>281</v>
      </c>
      <c r="BO145" s="606">
        <f t="shared" si="234"/>
        <v>342</v>
      </c>
      <c r="BP145" s="607">
        <f t="shared" si="235"/>
        <v>1218</v>
      </c>
      <c r="BQ145" s="606">
        <f t="shared" si="236"/>
        <v>1053</v>
      </c>
      <c r="BR145" s="607">
        <f t="shared" si="237"/>
        <v>1050</v>
      </c>
      <c r="BS145" s="606">
        <f t="shared" si="238"/>
        <v>1107</v>
      </c>
      <c r="BT145" s="607">
        <f t="shared" si="239"/>
        <v>2460</v>
      </c>
      <c r="BU145" s="606">
        <f t="shared" si="240"/>
        <v>1773</v>
      </c>
      <c r="BV145" s="607">
        <f t="shared" si="241"/>
        <v>190</v>
      </c>
      <c r="BW145" s="608">
        <f t="shared" si="242"/>
        <v>117</v>
      </c>
      <c r="BX145" s="607">
        <f t="shared" si="243"/>
        <v>0</v>
      </c>
      <c r="BY145" s="608">
        <f t="shared" si="244"/>
        <v>0</v>
      </c>
      <c r="BZ145" s="607">
        <f t="shared" si="245"/>
        <v>7015.3024911032026</v>
      </c>
      <c r="CA145" s="608">
        <f t="shared" si="246"/>
        <v>7140.707602339181</v>
      </c>
      <c r="CB145" s="607">
        <f t="shared" si="247"/>
        <v>6199.7192118226603</v>
      </c>
      <c r="CC145" s="608">
        <f t="shared" si="248"/>
        <v>6315.2098765432102</v>
      </c>
      <c r="CD145" s="607">
        <f t="shared" si="249"/>
        <v>4992.9838095238092</v>
      </c>
      <c r="CE145" s="608">
        <f t="shared" si="250"/>
        <v>4933.6558265582653</v>
      </c>
      <c r="CF145" s="607">
        <f t="shared" si="251"/>
        <v>4302.6373983739841</v>
      </c>
      <c r="CG145" s="608">
        <f t="shared" si="252"/>
        <v>4339.3457416807669</v>
      </c>
      <c r="CH145" s="607">
        <f t="shared" si="253"/>
        <v>4170.4473684210525</v>
      </c>
      <c r="CI145" s="608">
        <f t="shared" si="254"/>
        <v>4518.2222222222226</v>
      </c>
      <c r="CJ145" s="607">
        <f t="shared" si="255"/>
        <v>0</v>
      </c>
      <c r="CK145" s="608">
        <f t="shared" si="256"/>
        <v>0</v>
      </c>
      <c r="CL145" s="609">
        <f t="shared" si="257"/>
        <v>63137.722419928825</v>
      </c>
      <c r="CM145" s="608">
        <f t="shared" si="258"/>
        <v>64266.368421052626</v>
      </c>
      <c r="CN145" s="610">
        <f t="shared" si="259"/>
        <v>55797.472906403942</v>
      </c>
      <c r="CO145" s="606">
        <f t="shared" si="260"/>
        <v>56836.888888888891</v>
      </c>
      <c r="CP145" s="607">
        <f t="shared" si="261"/>
        <v>44936.854285714282</v>
      </c>
      <c r="CQ145" s="606">
        <f t="shared" si="262"/>
        <v>44402.902439024387</v>
      </c>
      <c r="CR145" s="607">
        <f t="shared" si="263"/>
        <v>38723.736585365856</v>
      </c>
      <c r="CS145" s="606">
        <f t="shared" si="264"/>
        <v>39054.1116751269</v>
      </c>
      <c r="CT145" s="607">
        <f t="shared" si="265"/>
        <v>37534.026315789473</v>
      </c>
      <c r="CU145" s="608">
        <f t="shared" si="266"/>
        <v>40664</v>
      </c>
      <c r="CV145" s="610">
        <f t="shared" si="267"/>
        <v>0</v>
      </c>
      <c r="CW145" s="608">
        <f t="shared" si="268"/>
        <v>0</v>
      </c>
      <c r="CX145" s="610">
        <f t="shared" si="269"/>
        <v>45253.652249832601</v>
      </c>
      <c r="CY145" s="611">
        <f t="shared" si="270"/>
        <v>46671.899590163935</v>
      </c>
      <c r="CZ145" s="605">
        <f t="shared" si="271"/>
        <v>31</v>
      </c>
      <c r="DA145" s="612">
        <f t="shared" si="272"/>
        <v>38</v>
      </c>
      <c r="DB145" s="607">
        <f t="shared" si="273"/>
        <v>134</v>
      </c>
      <c r="DC145" s="606">
        <f t="shared" si="274"/>
        <v>117</v>
      </c>
      <c r="DD145" s="607">
        <f t="shared" si="275"/>
        <v>116</v>
      </c>
      <c r="DE145" s="606">
        <f t="shared" si="276"/>
        <v>123</v>
      </c>
      <c r="DF145" s="607">
        <f t="shared" si="277"/>
        <v>272</v>
      </c>
      <c r="DG145" s="606">
        <f t="shared" si="278"/>
        <v>197</v>
      </c>
      <c r="DH145" s="607">
        <f t="shared" si="279"/>
        <v>20</v>
      </c>
      <c r="DI145" s="608">
        <f t="shared" si="280"/>
        <v>13</v>
      </c>
      <c r="DJ145" s="607">
        <f t="shared" si="281"/>
        <v>0</v>
      </c>
      <c r="DK145" s="608">
        <f t="shared" si="282"/>
        <v>0</v>
      </c>
      <c r="DL145" s="607">
        <f t="shared" si="283"/>
        <v>573</v>
      </c>
      <c r="DM145" s="608">
        <f t="shared" si="284"/>
        <v>488</v>
      </c>
      <c r="DN145" s="607">
        <f t="shared" si="285"/>
        <v>1957269.3950177936</v>
      </c>
      <c r="DO145" s="612">
        <f t="shared" si="286"/>
        <v>2442122</v>
      </c>
      <c r="DP145" s="607">
        <f t="shared" si="287"/>
        <v>7476861.3694581278</v>
      </c>
      <c r="DQ145" s="606">
        <f t="shared" si="288"/>
        <v>6649916</v>
      </c>
      <c r="DR145" s="607">
        <f t="shared" si="289"/>
        <v>5212675.0971428566</v>
      </c>
      <c r="DS145" s="606">
        <f t="shared" si="290"/>
        <v>5461557</v>
      </c>
      <c r="DT145" s="607">
        <f t="shared" si="291"/>
        <v>10532856.351219513</v>
      </c>
      <c r="DU145" s="606">
        <f t="shared" si="292"/>
        <v>7693659.9999999991</v>
      </c>
      <c r="DV145" s="607">
        <f t="shared" si="293"/>
        <v>750680.52631578944</v>
      </c>
      <c r="DW145" s="608">
        <f t="shared" si="294"/>
        <v>528632</v>
      </c>
      <c r="DX145" s="607">
        <f t="shared" si="295"/>
        <v>0</v>
      </c>
      <c r="DY145" s="608">
        <f t="shared" si="296"/>
        <v>0</v>
      </c>
      <c r="DZ145" s="607">
        <f t="shared" si="297"/>
        <v>25930342.739154082</v>
      </c>
      <c r="EA145" s="608">
        <f t="shared" si="298"/>
        <v>22775887</v>
      </c>
    </row>
    <row r="146" spans="1:131" x14ac:dyDescent="0.2">
      <c r="A146" s="469" t="s">
        <v>35</v>
      </c>
      <c r="B146" s="466" t="s">
        <v>880</v>
      </c>
      <c r="C146" s="549" t="s">
        <v>893</v>
      </c>
      <c r="D146" s="470">
        <v>138558</v>
      </c>
      <c r="E146" s="399">
        <v>9</v>
      </c>
      <c r="F146" s="598">
        <v>8</v>
      </c>
      <c r="G146" s="599">
        <v>8</v>
      </c>
      <c r="H146" s="600"/>
      <c r="I146" s="601"/>
      <c r="J146" s="600"/>
      <c r="K146" s="599"/>
      <c r="L146" s="600"/>
      <c r="M146" s="601"/>
      <c r="N146" s="600">
        <v>14</v>
      </c>
      <c r="O146" s="599">
        <v>14</v>
      </c>
      <c r="P146" s="600"/>
      <c r="Q146" s="601"/>
      <c r="R146" s="600">
        <v>5</v>
      </c>
      <c r="S146" s="599">
        <v>5</v>
      </c>
      <c r="T146" s="600"/>
      <c r="U146" s="601"/>
      <c r="V146" s="600">
        <v>30</v>
      </c>
      <c r="W146" s="599">
        <v>33</v>
      </c>
      <c r="X146" s="600"/>
      <c r="Y146" s="601"/>
      <c r="Z146" s="600">
        <v>2</v>
      </c>
      <c r="AA146" s="599"/>
      <c r="AB146" s="600"/>
      <c r="AC146" s="601"/>
      <c r="AD146" s="600">
        <v>21</v>
      </c>
      <c r="AE146" s="599">
        <v>13</v>
      </c>
      <c r="AF146" s="600"/>
      <c r="AG146" s="601"/>
      <c r="AH146" s="600">
        <v>3</v>
      </c>
      <c r="AI146" s="599">
        <v>1</v>
      </c>
      <c r="AJ146" s="600"/>
      <c r="AK146" s="601"/>
      <c r="AL146" s="600"/>
      <c r="AM146" s="599">
        <v>4</v>
      </c>
      <c r="AN146" s="600"/>
      <c r="AO146" s="601"/>
      <c r="AP146" s="600"/>
      <c r="AQ146" s="599"/>
      <c r="AR146" s="600"/>
      <c r="AS146" s="601"/>
      <c r="AT146" s="600"/>
      <c r="AU146" s="599"/>
      <c r="AV146" s="600"/>
      <c r="AW146" s="601"/>
      <c r="AX146" s="600"/>
      <c r="AY146" s="599"/>
      <c r="AZ146" s="600"/>
      <c r="BA146" s="601"/>
      <c r="BB146" s="602">
        <v>414600</v>
      </c>
      <c r="BC146" s="599">
        <v>426700</v>
      </c>
      <c r="BD146" s="600">
        <v>1036920</v>
      </c>
      <c r="BE146" s="599">
        <v>1021602</v>
      </c>
      <c r="BF146" s="600">
        <v>1465634</v>
      </c>
      <c r="BG146" s="599">
        <v>1511227</v>
      </c>
      <c r="BH146" s="600">
        <v>1056153</v>
      </c>
      <c r="BI146" s="599">
        <v>2226343</v>
      </c>
      <c r="BJ146" s="600">
        <v>0</v>
      </c>
      <c r="BK146" s="615">
        <v>219400</v>
      </c>
      <c r="BL146" s="600">
        <v>0</v>
      </c>
      <c r="BM146" s="604"/>
      <c r="BN146" s="605">
        <f t="shared" si="233"/>
        <v>72</v>
      </c>
      <c r="BO146" s="606">
        <f t="shared" si="234"/>
        <v>72</v>
      </c>
      <c r="BP146" s="607">
        <f t="shared" si="235"/>
        <v>181</v>
      </c>
      <c r="BQ146" s="606">
        <f t="shared" si="236"/>
        <v>181</v>
      </c>
      <c r="BR146" s="607">
        <f t="shared" si="237"/>
        <v>292</v>
      </c>
      <c r="BS146" s="606">
        <f t="shared" si="238"/>
        <v>297</v>
      </c>
      <c r="BT146" s="607">
        <f t="shared" si="239"/>
        <v>222</v>
      </c>
      <c r="BU146" s="606">
        <f t="shared" si="240"/>
        <v>128</v>
      </c>
      <c r="BV146" s="607">
        <f t="shared" si="241"/>
        <v>0</v>
      </c>
      <c r="BW146" s="608">
        <f t="shared" si="242"/>
        <v>36</v>
      </c>
      <c r="BX146" s="607">
        <f t="shared" si="243"/>
        <v>0</v>
      </c>
      <c r="BY146" s="608">
        <f t="shared" si="244"/>
        <v>0</v>
      </c>
      <c r="BZ146" s="607">
        <f t="shared" si="245"/>
        <v>5758.333333333333</v>
      </c>
      <c r="CA146" s="608">
        <f t="shared" si="246"/>
        <v>5926.3888888888887</v>
      </c>
      <c r="CB146" s="607">
        <f t="shared" si="247"/>
        <v>5728.8397790055251</v>
      </c>
      <c r="CC146" s="608">
        <f t="shared" si="248"/>
        <v>5644.209944751381</v>
      </c>
      <c r="CD146" s="607">
        <f t="shared" si="249"/>
        <v>5019.2945205479455</v>
      </c>
      <c r="CE146" s="608">
        <f t="shared" si="250"/>
        <v>5088.3063973063972</v>
      </c>
      <c r="CF146" s="607">
        <f t="shared" si="251"/>
        <v>4757.4459459459458</v>
      </c>
      <c r="CG146" s="608">
        <f t="shared" si="252"/>
        <v>17393.3046875</v>
      </c>
      <c r="CH146" s="607">
        <f t="shared" si="253"/>
        <v>0</v>
      </c>
      <c r="CI146" s="608">
        <f t="shared" si="254"/>
        <v>6094.4444444444443</v>
      </c>
      <c r="CJ146" s="607">
        <f t="shared" si="255"/>
        <v>0</v>
      </c>
      <c r="CK146" s="608">
        <f t="shared" si="256"/>
        <v>0</v>
      </c>
      <c r="CL146" s="609">
        <f t="shared" si="257"/>
        <v>51825</v>
      </c>
      <c r="CM146" s="608">
        <f t="shared" si="258"/>
        <v>53337.5</v>
      </c>
      <c r="CN146" s="610">
        <f t="shared" si="259"/>
        <v>51559.558011049725</v>
      </c>
      <c r="CO146" s="606">
        <f t="shared" si="260"/>
        <v>50797.889502762431</v>
      </c>
      <c r="CP146" s="607">
        <f t="shared" si="261"/>
        <v>45173.650684931512</v>
      </c>
      <c r="CQ146" s="606">
        <f t="shared" si="262"/>
        <v>45794.757575757576</v>
      </c>
      <c r="CR146" s="607">
        <f t="shared" si="263"/>
        <v>42817.013513513513</v>
      </c>
      <c r="CS146" s="606">
        <f t="shared" si="264"/>
        <v>156539.7421875</v>
      </c>
      <c r="CT146" s="607">
        <f t="shared" si="265"/>
        <v>0</v>
      </c>
      <c r="CU146" s="608">
        <f t="shared" si="266"/>
        <v>54850</v>
      </c>
      <c r="CV146" s="610">
        <f t="shared" si="267"/>
        <v>0</v>
      </c>
      <c r="CW146" s="608">
        <f t="shared" si="268"/>
        <v>0</v>
      </c>
      <c r="CX146" s="610">
        <f t="shared" si="269"/>
        <v>46595.141547615385</v>
      </c>
      <c r="CY146" s="611">
        <f t="shared" si="270"/>
        <v>68128.7601433011</v>
      </c>
      <c r="CZ146" s="605">
        <f t="shared" si="271"/>
        <v>8</v>
      </c>
      <c r="DA146" s="612">
        <f t="shared" si="272"/>
        <v>8</v>
      </c>
      <c r="DB146" s="607">
        <f t="shared" si="273"/>
        <v>19</v>
      </c>
      <c r="DC146" s="606">
        <f t="shared" si="274"/>
        <v>19</v>
      </c>
      <c r="DD146" s="607">
        <f t="shared" si="275"/>
        <v>32</v>
      </c>
      <c r="DE146" s="606">
        <f t="shared" si="276"/>
        <v>33</v>
      </c>
      <c r="DF146" s="607">
        <f t="shared" si="277"/>
        <v>24</v>
      </c>
      <c r="DG146" s="606">
        <f t="shared" si="278"/>
        <v>14</v>
      </c>
      <c r="DH146" s="607">
        <f t="shared" si="279"/>
        <v>0</v>
      </c>
      <c r="DI146" s="608">
        <f t="shared" si="280"/>
        <v>4</v>
      </c>
      <c r="DJ146" s="607">
        <f t="shared" si="281"/>
        <v>0</v>
      </c>
      <c r="DK146" s="608">
        <f t="shared" si="282"/>
        <v>0</v>
      </c>
      <c r="DL146" s="607">
        <f t="shared" si="283"/>
        <v>83</v>
      </c>
      <c r="DM146" s="608">
        <f t="shared" si="284"/>
        <v>78</v>
      </c>
      <c r="DN146" s="607">
        <f t="shared" si="285"/>
        <v>414600</v>
      </c>
      <c r="DO146" s="612">
        <f t="shared" si="286"/>
        <v>426700</v>
      </c>
      <c r="DP146" s="607">
        <f t="shared" si="287"/>
        <v>979631.60220994474</v>
      </c>
      <c r="DQ146" s="606">
        <f t="shared" si="288"/>
        <v>965159.90055248619</v>
      </c>
      <c r="DR146" s="607">
        <f t="shared" si="289"/>
        <v>1445556.8219178084</v>
      </c>
      <c r="DS146" s="606">
        <f t="shared" si="290"/>
        <v>1511227</v>
      </c>
      <c r="DT146" s="607">
        <f t="shared" si="291"/>
        <v>1027608.3243243243</v>
      </c>
      <c r="DU146" s="606">
        <f t="shared" si="292"/>
        <v>2191556.390625</v>
      </c>
      <c r="DV146" s="607">
        <f t="shared" si="293"/>
        <v>0</v>
      </c>
      <c r="DW146" s="608">
        <f t="shared" si="294"/>
        <v>219400</v>
      </c>
      <c r="DX146" s="607">
        <f t="shared" si="295"/>
        <v>0</v>
      </c>
      <c r="DY146" s="608">
        <f t="shared" si="296"/>
        <v>0</v>
      </c>
      <c r="DZ146" s="607">
        <f t="shared" si="297"/>
        <v>3867396.7484520772</v>
      </c>
      <c r="EA146" s="608">
        <f t="shared" si="298"/>
        <v>5314043.2911774861</v>
      </c>
    </row>
    <row r="147" spans="1:131" x14ac:dyDescent="0.2">
      <c r="A147" s="469" t="s">
        <v>35</v>
      </c>
      <c r="B147" s="466" t="s">
        <v>881</v>
      </c>
      <c r="C147" s="550"/>
      <c r="D147" s="470">
        <v>138901</v>
      </c>
      <c r="E147" s="551">
        <v>9</v>
      </c>
      <c r="F147" s="598">
        <v>4</v>
      </c>
      <c r="G147" s="599">
        <v>3</v>
      </c>
      <c r="H147" s="600"/>
      <c r="I147" s="601"/>
      <c r="J147" s="600">
        <v>2</v>
      </c>
      <c r="K147" s="599"/>
      <c r="L147" s="600"/>
      <c r="M147" s="601"/>
      <c r="N147" s="600">
        <v>11</v>
      </c>
      <c r="O147" s="599">
        <v>11</v>
      </c>
      <c r="P147" s="600"/>
      <c r="Q147" s="601"/>
      <c r="R147" s="600">
        <v>2</v>
      </c>
      <c r="S147" s="599"/>
      <c r="T147" s="600"/>
      <c r="U147" s="601"/>
      <c r="V147" s="600">
        <v>27</v>
      </c>
      <c r="W147" s="599">
        <v>26</v>
      </c>
      <c r="X147" s="600"/>
      <c r="Y147" s="601"/>
      <c r="Z147" s="600"/>
      <c r="AA147" s="599"/>
      <c r="AB147" s="600"/>
      <c r="AC147" s="601"/>
      <c r="AD147" s="600">
        <v>4</v>
      </c>
      <c r="AE147" s="599">
        <v>2</v>
      </c>
      <c r="AF147" s="600"/>
      <c r="AG147" s="601"/>
      <c r="AH147" s="600"/>
      <c r="AI147" s="599"/>
      <c r="AJ147" s="600"/>
      <c r="AK147" s="601"/>
      <c r="AL147" s="600">
        <v>14</v>
      </c>
      <c r="AM147" s="599">
        <v>14</v>
      </c>
      <c r="AN147" s="600"/>
      <c r="AO147" s="601"/>
      <c r="AP147" s="600"/>
      <c r="AQ147" s="599"/>
      <c r="AR147" s="600"/>
      <c r="AS147" s="601"/>
      <c r="AT147" s="600"/>
      <c r="AU147" s="599"/>
      <c r="AV147" s="600"/>
      <c r="AW147" s="601"/>
      <c r="AX147" s="600"/>
      <c r="AY147" s="599"/>
      <c r="AZ147" s="600"/>
      <c r="BA147" s="601"/>
      <c r="BB147" s="602">
        <v>383620</v>
      </c>
      <c r="BC147" s="599">
        <v>180505</v>
      </c>
      <c r="BD147" s="600">
        <v>741847</v>
      </c>
      <c r="BE147" s="599">
        <v>597348</v>
      </c>
      <c r="BF147" s="600">
        <v>1147743</v>
      </c>
      <c r="BG147" s="599">
        <v>1222729</v>
      </c>
      <c r="BH147" s="600">
        <v>217440</v>
      </c>
      <c r="BI147" s="599">
        <v>48000</v>
      </c>
      <c r="BJ147" s="600">
        <v>368004</v>
      </c>
      <c r="BK147" s="615">
        <v>336000</v>
      </c>
      <c r="BL147" s="600">
        <v>0</v>
      </c>
      <c r="BM147" s="604"/>
      <c r="BN147" s="605">
        <f t="shared" si="233"/>
        <v>58</v>
      </c>
      <c r="BO147" s="606">
        <f t="shared" si="234"/>
        <v>27</v>
      </c>
      <c r="BP147" s="607">
        <f t="shared" si="235"/>
        <v>121</v>
      </c>
      <c r="BQ147" s="606">
        <f t="shared" si="236"/>
        <v>99</v>
      </c>
      <c r="BR147" s="607">
        <f t="shared" si="237"/>
        <v>243</v>
      </c>
      <c r="BS147" s="606">
        <f t="shared" si="238"/>
        <v>234</v>
      </c>
      <c r="BT147" s="607">
        <f t="shared" si="239"/>
        <v>36</v>
      </c>
      <c r="BU147" s="606">
        <f t="shared" si="240"/>
        <v>18</v>
      </c>
      <c r="BV147" s="607">
        <f t="shared" si="241"/>
        <v>126</v>
      </c>
      <c r="BW147" s="608">
        <f t="shared" si="242"/>
        <v>126</v>
      </c>
      <c r="BX147" s="607">
        <f t="shared" si="243"/>
        <v>0</v>
      </c>
      <c r="BY147" s="608">
        <f t="shared" si="244"/>
        <v>0</v>
      </c>
      <c r="BZ147" s="607">
        <f t="shared" si="245"/>
        <v>6614.1379310344828</v>
      </c>
      <c r="CA147" s="608">
        <f t="shared" si="246"/>
        <v>6685.3703703703704</v>
      </c>
      <c r="CB147" s="607">
        <f t="shared" si="247"/>
        <v>6130.9669421487606</v>
      </c>
      <c r="CC147" s="608">
        <f t="shared" si="248"/>
        <v>6033.818181818182</v>
      </c>
      <c r="CD147" s="607">
        <f t="shared" si="249"/>
        <v>4723.2222222222226</v>
      </c>
      <c r="CE147" s="608">
        <f t="shared" si="250"/>
        <v>5225.3376068376065</v>
      </c>
      <c r="CF147" s="607">
        <f t="shared" si="251"/>
        <v>6040</v>
      </c>
      <c r="CG147" s="608">
        <f t="shared" si="252"/>
        <v>2666.6666666666665</v>
      </c>
      <c r="CH147" s="607">
        <f t="shared" si="253"/>
        <v>2920.6666666666665</v>
      </c>
      <c r="CI147" s="608">
        <f t="shared" si="254"/>
        <v>2666.6666666666665</v>
      </c>
      <c r="CJ147" s="607">
        <f t="shared" si="255"/>
        <v>0</v>
      </c>
      <c r="CK147" s="608">
        <f t="shared" si="256"/>
        <v>0</v>
      </c>
      <c r="CL147" s="609">
        <f t="shared" si="257"/>
        <v>59527.241379310348</v>
      </c>
      <c r="CM147" s="608">
        <f t="shared" si="258"/>
        <v>60168.333333333336</v>
      </c>
      <c r="CN147" s="610">
        <f t="shared" si="259"/>
        <v>55178.702479338848</v>
      </c>
      <c r="CO147" s="606">
        <f t="shared" si="260"/>
        <v>54304.36363636364</v>
      </c>
      <c r="CP147" s="607">
        <f t="shared" si="261"/>
        <v>42509</v>
      </c>
      <c r="CQ147" s="606">
        <f t="shared" si="262"/>
        <v>47028.038461538461</v>
      </c>
      <c r="CR147" s="607">
        <f t="shared" si="263"/>
        <v>54360</v>
      </c>
      <c r="CS147" s="606">
        <f t="shared" si="264"/>
        <v>24000</v>
      </c>
      <c r="CT147" s="607">
        <f t="shared" si="265"/>
        <v>26286</v>
      </c>
      <c r="CU147" s="608">
        <f t="shared" si="266"/>
        <v>24000</v>
      </c>
      <c r="CV147" s="610">
        <f t="shared" si="267"/>
        <v>0</v>
      </c>
      <c r="CW147" s="608">
        <f t="shared" si="268"/>
        <v>0</v>
      </c>
      <c r="CX147" s="610">
        <f t="shared" si="269"/>
        <v>43869.899695426051</v>
      </c>
      <c r="CY147" s="611">
        <f t="shared" si="270"/>
        <v>42581.821428571428</v>
      </c>
      <c r="CZ147" s="605">
        <f t="shared" si="271"/>
        <v>6</v>
      </c>
      <c r="DA147" s="612">
        <f t="shared" si="272"/>
        <v>3</v>
      </c>
      <c r="DB147" s="607">
        <f t="shared" si="273"/>
        <v>13</v>
      </c>
      <c r="DC147" s="606">
        <f t="shared" si="274"/>
        <v>11</v>
      </c>
      <c r="DD147" s="607">
        <f t="shared" si="275"/>
        <v>27</v>
      </c>
      <c r="DE147" s="606">
        <f t="shared" si="276"/>
        <v>26</v>
      </c>
      <c r="DF147" s="607">
        <f t="shared" si="277"/>
        <v>4</v>
      </c>
      <c r="DG147" s="606">
        <f t="shared" si="278"/>
        <v>2</v>
      </c>
      <c r="DH147" s="607">
        <f t="shared" si="279"/>
        <v>14</v>
      </c>
      <c r="DI147" s="608">
        <f t="shared" si="280"/>
        <v>14</v>
      </c>
      <c r="DJ147" s="607">
        <f t="shared" si="281"/>
        <v>0</v>
      </c>
      <c r="DK147" s="608">
        <f t="shared" si="282"/>
        <v>0</v>
      </c>
      <c r="DL147" s="607">
        <f t="shared" si="283"/>
        <v>64</v>
      </c>
      <c r="DM147" s="608">
        <f t="shared" si="284"/>
        <v>56</v>
      </c>
      <c r="DN147" s="607">
        <f t="shared" si="285"/>
        <v>357163.44827586209</v>
      </c>
      <c r="DO147" s="612">
        <f t="shared" si="286"/>
        <v>180505</v>
      </c>
      <c r="DP147" s="607">
        <f t="shared" si="287"/>
        <v>717323.132231405</v>
      </c>
      <c r="DQ147" s="606">
        <f t="shared" si="288"/>
        <v>597348</v>
      </c>
      <c r="DR147" s="607">
        <f t="shared" si="289"/>
        <v>1147743</v>
      </c>
      <c r="DS147" s="606">
        <f t="shared" si="290"/>
        <v>1222729</v>
      </c>
      <c r="DT147" s="607">
        <f t="shared" si="291"/>
        <v>217440</v>
      </c>
      <c r="DU147" s="606">
        <f t="shared" si="292"/>
        <v>48000</v>
      </c>
      <c r="DV147" s="607">
        <f t="shared" si="293"/>
        <v>368004</v>
      </c>
      <c r="DW147" s="608">
        <f t="shared" si="294"/>
        <v>336000</v>
      </c>
      <c r="DX147" s="607">
        <f t="shared" si="295"/>
        <v>0</v>
      </c>
      <c r="DY147" s="608">
        <f t="shared" si="296"/>
        <v>0</v>
      </c>
      <c r="DZ147" s="607">
        <f t="shared" si="297"/>
        <v>2807673.5805072673</v>
      </c>
      <c r="EA147" s="608">
        <f t="shared" si="298"/>
        <v>2384582</v>
      </c>
    </row>
    <row r="148" spans="1:131" x14ac:dyDescent="0.2">
      <c r="A148" s="469" t="s">
        <v>35</v>
      </c>
      <c r="B148" s="466" t="s">
        <v>882</v>
      </c>
      <c r="C148" s="549"/>
      <c r="D148" s="470">
        <v>139010</v>
      </c>
      <c r="E148" s="399">
        <v>9</v>
      </c>
      <c r="F148" s="598">
        <v>5</v>
      </c>
      <c r="G148" s="599">
        <v>6</v>
      </c>
      <c r="H148" s="600"/>
      <c r="I148" s="601"/>
      <c r="J148" s="600"/>
      <c r="K148" s="599"/>
      <c r="L148" s="600"/>
      <c r="M148" s="601"/>
      <c r="N148" s="600">
        <v>15</v>
      </c>
      <c r="O148" s="599">
        <v>16</v>
      </c>
      <c r="P148" s="600"/>
      <c r="Q148" s="601"/>
      <c r="R148" s="600"/>
      <c r="S148" s="599"/>
      <c r="T148" s="600"/>
      <c r="U148" s="601"/>
      <c r="V148" s="600">
        <v>25</v>
      </c>
      <c r="W148" s="599">
        <v>17</v>
      </c>
      <c r="X148" s="600"/>
      <c r="Y148" s="601"/>
      <c r="Z148" s="600">
        <v>5</v>
      </c>
      <c r="AA148" s="599">
        <v>8</v>
      </c>
      <c r="AB148" s="600"/>
      <c r="AC148" s="601"/>
      <c r="AD148" s="600">
        <v>10</v>
      </c>
      <c r="AE148" s="599">
        <v>16</v>
      </c>
      <c r="AF148" s="600"/>
      <c r="AG148" s="601"/>
      <c r="AH148" s="600">
        <v>12</v>
      </c>
      <c r="AI148" s="599">
        <v>8</v>
      </c>
      <c r="AJ148" s="600"/>
      <c r="AK148" s="601"/>
      <c r="AL148" s="600"/>
      <c r="AM148" s="599"/>
      <c r="AN148" s="600"/>
      <c r="AO148" s="601"/>
      <c r="AP148" s="600"/>
      <c r="AQ148" s="599"/>
      <c r="AR148" s="600"/>
      <c r="AS148" s="601"/>
      <c r="AT148" s="600"/>
      <c r="AU148" s="599"/>
      <c r="AV148" s="600"/>
      <c r="AW148" s="601"/>
      <c r="AX148" s="600"/>
      <c r="AY148" s="599"/>
      <c r="AZ148" s="600"/>
      <c r="BA148" s="601"/>
      <c r="BB148" s="602">
        <v>289235</v>
      </c>
      <c r="BC148" s="599">
        <v>332243</v>
      </c>
      <c r="BD148" s="600">
        <v>695100</v>
      </c>
      <c r="BE148" s="599">
        <v>761252</v>
      </c>
      <c r="BF148" s="600">
        <v>1210115</v>
      </c>
      <c r="BG148" s="599">
        <v>1087918</v>
      </c>
      <c r="BH148" s="600">
        <v>893048</v>
      </c>
      <c r="BI148" s="599">
        <v>670458</v>
      </c>
      <c r="BJ148" s="600">
        <v>0</v>
      </c>
      <c r="BK148" s="615"/>
      <c r="BL148" s="600">
        <v>0</v>
      </c>
      <c r="BM148" s="604"/>
      <c r="BN148" s="605">
        <f t="shared" si="233"/>
        <v>45</v>
      </c>
      <c r="BO148" s="606">
        <f t="shared" si="234"/>
        <v>54</v>
      </c>
      <c r="BP148" s="607">
        <f t="shared" si="235"/>
        <v>135</v>
      </c>
      <c r="BQ148" s="606">
        <f t="shared" si="236"/>
        <v>144</v>
      </c>
      <c r="BR148" s="607">
        <f t="shared" si="237"/>
        <v>280</v>
      </c>
      <c r="BS148" s="606">
        <f t="shared" si="238"/>
        <v>241</v>
      </c>
      <c r="BT148" s="607">
        <f t="shared" si="239"/>
        <v>222</v>
      </c>
      <c r="BU148" s="606">
        <f t="shared" si="240"/>
        <v>232</v>
      </c>
      <c r="BV148" s="607">
        <f t="shared" si="241"/>
        <v>0</v>
      </c>
      <c r="BW148" s="608">
        <f t="shared" si="242"/>
        <v>0</v>
      </c>
      <c r="BX148" s="607">
        <f t="shared" si="243"/>
        <v>0</v>
      </c>
      <c r="BY148" s="608">
        <f t="shared" si="244"/>
        <v>0</v>
      </c>
      <c r="BZ148" s="607">
        <f t="shared" si="245"/>
        <v>6427.4444444444443</v>
      </c>
      <c r="CA148" s="608">
        <f t="shared" si="246"/>
        <v>6152.6481481481478</v>
      </c>
      <c r="CB148" s="607">
        <f t="shared" si="247"/>
        <v>5148.8888888888887</v>
      </c>
      <c r="CC148" s="608">
        <f t="shared" si="248"/>
        <v>5286.4722222222226</v>
      </c>
      <c r="CD148" s="607">
        <f t="shared" si="249"/>
        <v>4321.8392857142853</v>
      </c>
      <c r="CE148" s="608">
        <f t="shared" si="250"/>
        <v>4514.1825726141078</v>
      </c>
      <c r="CF148" s="607">
        <f t="shared" si="251"/>
        <v>4022.7387387387389</v>
      </c>
      <c r="CG148" s="608">
        <f t="shared" si="252"/>
        <v>2889.905172413793</v>
      </c>
      <c r="CH148" s="607">
        <f t="shared" si="253"/>
        <v>0</v>
      </c>
      <c r="CI148" s="608">
        <f t="shared" si="254"/>
        <v>0</v>
      </c>
      <c r="CJ148" s="607">
        <f t="shared" si="255"/>
        <v>0</v>
      </c>
      <c r="CK148" s="608">
        <f t="shared" si="256"/>
        <v>0</v>
      </c>
      <c r="CL148" s="609">
        <f t="shared" si="257"/>
        <v>57847</v>
      </c>
      <c r="CM148" s="608">
        <f t="shared" si="258"/>
        <v>55373.833333333328</v>
      </c>
      <c r="CN148" s="610">
        <f t="shared" si="259"/>
        <v>46340</v>
      </c>
      <c r="CO148" s="606">
        <f t="shared" si="260"/>
        <v>47578.25</v>
      </c>
      <c r="CP148" s="607">
        <f t="shared" si="261"/>
        <v>38896.553571428565</v>
      </c>
      <c r="CQ148" s="606">
        <f t="shared" si="262"/>
        <v>40627.643153526973</v>
      </c>
      <c r="CR148" s="607">
        <f t="shared" si="263"/>
        <v>36204.648648648654</v>
      </c>
      <c r="CS148" s="606">
        <f t="shared" si="264"/>
        <v>26009.146551724138</v>
      </c>
      <c r="CT148" s="607">
        <f t="shared" si="265"/>
        <v>0</v>
      </c>
      <c r="CU148" s="608">
        <f t="shared" si="266"/>
        <v>0</v>
      </c>
      <c r="CV148" s="610">
        <f t="shared" si="267"/>
        <v>0</v>
      </c>
      <c r="CW148" s="608">
        <f t="shared" si="268"/>
        <v>0</v>
      </c>
      <c r="CX148" s="610">
        <f t="shared" si="269"/>
        <v>40940.748297404549</v>
      </c>
      <c r="CY148" s="611">
        <f t="shared" si="270"/>
        <v>38498.670367317653</v>
      </c>
      <c r="CZ148" s="605">
        <f t="shared" si="271"/>
        <v>5</v>
      </c>
      <c r="DA148" s="612">
        <f t="shared" si="272"/>
        <v>6</v>
      </c>
      <c r="DB148" s="607">
        <f t="shared" si="273"/>
        <v>15</v>
      </c>
      <c r="DC148" s="606">
        <f t="shared" si="274"/>
        <v>16</v>
      </c>
      <c r="DD148" s="607">
        <f t="shared" si="275"/>
        <v>30</v>
      </c>
      <c r="DE148" s="606">
        <f t="shared" si="276"/>
        <v>25</v>
      </c>
      <c r="DF148" s="607">
        <f t="shared" si="277"/>
        <v>22</v>
      </c>
      <c r="DG148" s="606">
        <f t="shared" si="278"/>
        <v>24</v>
      </c>
      <c r="DH148" s="607">
        <f t="shared" si="279"/>
        <v>0</v>
      </c>
      <c r="DI148" s="608">
        <f t="shared" si="280"/>
        <v>0</v>
      </c>
      <c r="DJ148" s="607">
        <f t="shared" si="281"/>
        <v>0</v>
      </c>
      <c r="DK148" s="608">
        <f t="shared" si="282"/>
        <v>0</v>
      </c>
      <c r="DL148" s="607">
        <f t="shared" si="283"/>
        <v>72</v>
      </c>
      <c r="DM148" s="608">
        <f t="shared" si="284"/>
        <v>71</v>
      </c>
      <c r="DN148" s="607">
        <f t="shared" si="285"/>
        <v>289235</v>
      </c>
      <c r="DO148" s="612">
        <f t="shared" si="286"/>
        <v>332243</v>
      </c>
      <c r="DP148" s="607">
        <f t="shared" si="287"/>
        <v>695100</v>
      </c>
      <c r="DQ148" s="606">
        <f t="shared" si="288"/>
        <v>761252</v>
      </c>
      <c r="DR148" s="607">
        <f t="shared" si="289"/>
        <v>1166896.607142857</v>
      </c>
      <c r="DS148" s="606">
        <f t="shared" si="290"/>
        <v>1015691.0788381743</v>
      </c>
      <c r="DT148" s="607">
        <f t="shared" si="291"/>
        <v>796502.27027027041</v>
      </c>
      <c r="DU148" s="606">
        <f t="shared" si="292"/>
        <v>624219.51724137925</v>
      </c>
      <c r="DV148" s="607">
        <f t="shared" si="293"/>
        <v>0</v>
      </c>
      <c r="DW148" s="608">
        <f t="shared" si="294"/>
        <v>0</v>
      </c>
      <c r="DX148" s="607">
        <f t="shared" si="295"/>
        <v>0</v>
      </c>
      <c r="DY148" s="608">
        <f t="shared" si="296"/>
        <v>0</v>
      </c>
      <c r="DZ148" s="607">
        <f t="shared" si="297"/>
        <v>2947733.8774131276</v>
      </c>
      <c r="EA148" s="608">
        <f t="shared" si="298"/>
        <v>2733405.5960795535</v>
      </c>
    </row>
    <row r="149" spans="1:131" x14ac:dyDescent="0.2">
      <c r="A149" s="469" t="s">
        <v>35</v>
      </c>
      <c r="B149" s="397" t="s">
        <v>883</v>
      </c>
      <c r="C149" s="549" t="s">
        <v>893</v>
      </c>
      <c r="D149" s="470">
        <v>139250</v>
      </c>
      <c r="E149" s="402">
        <v>9</v>
      </c>
      <c r="F149" s="598">
        <v>6</v>
      </c>
      <c r="G149" s="599">
        <v>6</v>
      </c>
      <c r="H149" s="600"/>
      <c r="I149" s="601"/>
      <c r="J149" s="600">
        <v>1</v>
      </c>
      <c r="K149" s="599">
        <v>1</v>
      </c>
      <c r="L149" s="600"/>
      <c r="M149" s="601"/>
      <c r="N149" s="600">
        <v>16</v>
      </c>
      <c r="O149" s="599">
        <v>21</v>
      </c>
      <c r="P149" s="600"/>
      <c r="Q149" s="601"/>
      <c r="R149" s="600">
        <v>1</v>
      </c>
      <c r="S149" s="599">
        <v>2</v>
      </c>
      <c r="T149" s="600"/>
      <c r="U149" s="601"/>
      <c r="V149" s="600">
        <v>47</v>
      </c>
      <c r="W149" s="599">
        <v>39</v>
      </c>
      <c r="X149" s="600"/>
      <c r="Y149" s="601"/>
      <c r="Z149" s="600">
        <v>9</v>
      </c>
      <c r="AA149" s="599">
        <v>8</v>
      </c>
      <c r="AB149" s="600"/>
      <c r="AC149" s="601"/>
      <c r="AD149" s="600">
        <v>6</v>
      </c>
      <c r="AE149" s="599">
        <v>5</v>
      </c>
      <c r="AF149" s="600"/>
      <c r="AG149" s="601"/>
      <c r="AH149" s="600">
        <v>5</v>
      </c>
      <c r="AI149" s="599">
        <v>3</v>
      </c>
      <c r="AJ149" s="600"/>
      <c r="AK149" s="601"/>
      <c r="AL149" s="600"/>
      <c r="AM149" s="599">
        <v>3</v>
      </c>
      <c r="AN149" s="600"/>
      <c r="AO149" s="601"/>
      <c r="AP149" s="600"/>
      <c r="AQ149" s="599"/>
      <c r="AR149" s="600"/>
      <c r="AS149" s="601"/>
      <c r="AT149" s="600"/>
      <c r="AU149" s="599"/>
      <c r="AV149" s="600"/>
      <c r="AW149" s="601"/>
      <c r="AX149" s="600"/>
      <c r="AY149" s="599"/>
      <c r="AZ149" s="600"/>
      <c r="BA149" s="601"/>
      <c r="BB149" s="602">
        <v>511086</v>
      </c>
      <c r="BC149" s="599">
        <v>480085</v>
      </c>
      <c r="BD149" s="600">
        <v>982918</v>
      </c>
      <c r="BE149" s="599">
        <v>1362291</v>
      </c>
      <c r="BF149" s="600">
        <v>3043132</v>
      </c>
      <c r="BG149" s="599">
        <v>2637370</v>
      </c>
      <c r="BH149" s="600">
        <v>519654</v>
      </c>
      <c r="BI149" s="599">
        <v>371371</v>
      </c>
      <c r="BJ149" s="600">
        <v>0</v>
      </c>
      <c r="BK149" s="615">
        <v>132451</v>
      </c>
      <c r="BL149" s="600">
        <v>0</v>
      </c>
      <c r="BM149" s="604"/>
      <c r="BN149" s="605">
        <f t="shared" si="233"/>
        <v>65</v>
      </c>
      <c r="BO149" s="606">
        <f t="shared" si="234"/>
        <v>65</v>
      </c>
      <c r="BP149" s="607">
        <f t="shared" si="235"/>
        <v>155</v>
      </c>
      <c r="BQ149" s="606">
        <f t="shared" si="236"/>
        <v>211</v>
      </c>
      <c r="BR149" s="607">
        <f t="shared" si="237"/>
        <v>522</v>
      </c>
      <c r="BS149" s="606">
        <f t="shared" si="238"/>
        <v>439</v>
      </c>
      <c r="BT149" s="607">
        <f t="shared" si="239"/>
        <v>109</v>
      </c>
      <c r="BU149" s="606">
        <f t="shared" si="240"/>
        <v>78</v>
      </c>
      <c r="BV149" s="607">
        <f t="shared" si="241"/>
        <v>0</v>
      </c>
      <c r="BW149" s="608">
        <f t="shared" si="242"/>
        <v>27</v>
      </c>
      <c r="BX149" s="607">
        <f t="shared" si="243"/>
        <v>0</v>
      </c>
      <c r="BY149" s="608">
        <f t="shared" si="244"/>
        <v>0</v>
      </c>
      <c r="BZ149" s="607">
        <f t="shared" si="245"/>
        <v>7862.8615384615387</v>
      </c>
      <c r="CA149" s="608">
        <f t="shared" si="246"/>
        <v>7385.9230769230771</v>
      </c>
      <c r="CB149" s="607">
        <f t="shared" si="247"/>
        <v>6341.4064516129029</v>
      </c>
      <c r="CC149" s="608">
        <f t="shared" si="248"/>
        <v>6456.355450236967</v>
      </c>
      <c r="CD149" s="607">
        <f t="shared" si="249"/>
        <v>5829.7547892720304</v>
      </c>
      <c r="CE149" s="608">
        <f t="shared" si="250"/>
        <v>6007.6765375854211</v>
      </c>
      <c r="CF149" s="607">
        <f t="shared" si="251"/>
        <v>4767.4678899082564</v>
      </c>
      <c r="CG149" s="608">
        <f t="shared" si="252"/>
        <v>4761.166666666667</v>
      </c>
      <c r="CH149" s="607">
        <f t="shared" si="253"/>
        <v>0</v>
      </c>
      <c r="CI149" s="608">
        <f t="shared" si="254"/>
        <v>4905.5925925925922</v>
      </c>
      <c r="CJ149" s="607">
        <f t="shared" si="255"/>
        <v>0</v>
      </c>
      <c r="CK149" s="608">
        <f t="shared" si="256"/>
        <v>0</v>
      </c>
      <c r="CL149" s="609">
        <f t="shared" si="257"/>
        <v>70765.75384615385</v>
      </c>
      <c r="CM149" s="608">
        <f t="shared" si="258"/>
        <v>66473.307692307688</v>
      </c>
      <c r="CN149" s="610">
        <f t="shared" si="259"/>
        <v>57072.658064516123</v>
      </c>
      <c r="CO149" s="606">
        <f t="shared" si="260"/>
        <v>58107.199052132702</v>
      </c>
      <c r="CP149" s="607">
        <f t="shared" si="261"/>
        <v>52467.793103448275</v>
      </c>
      <c r="CQ149" s="606">
        <f t="shared" si="262"/>
        <v>54069.088838268792</v>
      </c>
      <c r="CR149" s="607">
        <f t="shared" si="263"/>
        <v>42907.211009174309</v>
      </c>
      <c r="CS149" s="606">
        <f t="shared" si="264"/>
        <v>42850.5</v>
      </c>
      <c r="CT149" s="607">
        <f t="shared" si="265"/>
        <v>0</v>
      </c>
      <c r="CU149" s="608">
        <f t="shared" si="266"/>
        <v>44150.333333333328</v>
      </c>
      <c r="CV149" s="610">
        <f t="shared" si="267"/>
        <v>0</v>
      </c>
      <c r="CW149" s="608">
        <f t="shared" si="268"/>
        <v>0</v>
      </c>
      <c r="CX149" s="610">
        <f t="shared" si="269"/>
        <v>53579.903284767825</v>
      </c>
      <c r="CY149" s="611">
        <f t="shared" si="270"/>
        <v>54753.19213004363</v>
      </c>
      <c r="CZ149" s="605">
        <f t="shared" si="271"/>
        <v>7</v>
      </c>
      <c r="DA149" s="612">
        <f t="shared" si="272"/>
        <v>7</v>
      </c>
      <c r="DB149" s="607">
        <f t="shared" si="273"/>
        <v>17</v>
      </c>
      <c r="DC149" s="606">
        <f t="shared" si="274"/>
        <v>23</v>
      </c>
      <c r="DD149" s="607">
        <f t="shared" si="275"/>
        <v>56</v>
      </c>
      <c r="DE149" s="606">
        <f t="shared" si="276"/>
        <v>47</v>
      </c>
      <c r="DF149" s="607">
        <f t="shared" si="277"/>
        <v>11</v>
      </c>
      <c r="DG149" s="606">
        <f t="shared" si="278"/>
        <v>8</v>
      </c>
      <c r="DH149" s="607">
        <f t="shared" si="279"/>
        <v>0</v>
      </c>
      <c r="DI149" s="608">
        <f t="shared" si="280"/>
        <v>3</v>
      </c>
      <c r="DJ149" s="607">
        <f t="shared" si="281"/>
        <v>0</v>
      </c>
      <c r="DK149" s="608">
        <f t="shared" si="282"/>
        <v>0</v>
      </c>
      <c r="DL149" s="607">
        <f t="shared" si="283"/>
        <v>91</v>
      </c>
      <c r="DM149" s="608">
        <f t="shared" si="284"/>
        <v>88</v>
      </c>
      <c r="DN149" s="607">
        <f t="shared" si="285"/>
        <v>495360.27692307695</v>
      </c>
      <c r="DO149" s="612">
        <f t="shared" si="286"/>
        <v>465313.15384615381</v>
      </c>
      <c r="DP149" s="607">
        <f t="shared" si="287"/>
        <v>970235.18709677411</v>
      </c>
      <c r="DQ149" s="606">
        <f t="shared" si="288"/>
        <v>1336465.5781990523</v>
      </c>
      <c r="DR149" s="607">
        <f t="shared" si="289"/>
        <v>2938196.4137931033</v>
      </c>
      <c r="DS149" s="606">
        <f t="shared" si="290"/>
        <v>2541247.1753986333</v>
      </c>
      <c r="DT149" s="607">
        <f t="shared" si="291"/>
        <v>471979.32110091741</v>
      </c>
      <c r="DU149" s="606">
        <f t="shared" si="292"/>
        <v>342804</v>
      </c>
      <c r="DV149" s="607">
        <f t="shared" si="293"/>
        <v>0</v>
      </c>
      <c r="DW149" s="608">
        <f t="shared" si="294"/>
        <v>132451</v>
      </c>
      <c r="DX149" s="607">
        <f t="shared" si="295"/>
        <v>0</v>
      </c>
      <c r="DY149" s="608">
        <f t="shared" si="296"/>
        <v>0</v>
      </c>
      <c r="DZ149" s="607">
        <f t="shared" si="297"/>
        <v>4875771.1989138722</v>
      </c>
      <c r="EA149" s="608">
        <f t="shared" si="298"/>
        <v>4818280.9074438391</v>
      </c>
    </row>
    <row r="150" spans="1:131" x14ac:dyDescent="0.2">
      <c r="A150" s="469" t="s">
        <v>35</v>
      </c>
      <c r="B150" s="397" t="s">
        <v>884</v>
      </c>
      <c r="C150" s="549"/>
      <c r="D150" s="470">
        <v>138691</v>
      </c>
      <c r="E150" s="399">
        <v>9</v>
      </c>
      <c r="F150" s="598">
        <v>2</v>
      </c>
      <c r="G150" s="599">
        <v>3</v>
      </c>
      <c r="H150" s="600"/>
      <c r="I150" s="601"/>
      <c r="J150" s="600">
        <v>1</v>
      </c>
      <c r="K150" s="599"/>
      <c r="L150" s="600"/>
      <c r="M150" s="601"/>
      <c r="N150" s="600">
        <v>10</v>
      </c>
      <c r="O150" s="599">
        <v>8</v>
      </c>
      <c r="P150" s="600"/>
      <c r="Q150" s="601"/>
      <c r="R150" s="600">
        <v>1</v>
      </c>
      <c r="S150" s="599">
        <v>3</v>
      </c>
      <c r="T150" s="600"/>
      <c r="U150" s="601"/>
      <c r="V150" s="600">
        <v>57</v>
      </c>
      <c r="W150" s="599">
        <v>56</v>
      </c>
      <c r="X150" s="600"/>
      <c r="Y150" s="601"/>
      <c r="Z150" s="600">
        <v>8</v>
      </c>
      <c r="AA150" s="599">
        <v>10</v>
      </c>
      <c r="AB150" s="600"/>
      <c r="AC150" s="601"/>
      <c r="AD150" s="600">
        <v>26</v>
      </c>
      <c r="AE150" s="599">
        <v>26</v>
      </c>
      <c r="AF150" s="600"/>
      <c r="AG150" s="601"/>
      <c r="AH150" s="600">
        <v>15</v>
      </c>
      <c r="AI150" s="599">
        <v>18</v>
      </c>
      <c r="AJ150" s="600"/>
      <c r="AK150" s="601"/>
      <c r="AL150" s="600"/>
      <c r="AM150" s="599"/>
      <c r="AN150" s="600"/>
      <c r="AO150" s="601"/>
      <c r="AP150" s="600"/>
      <c r="AQ150" s="599"/>
      <c r="AR150" s="600"/>
      <c r="AS150" s="601"/>
      <c r="AT150" s="600"/>
      <c r="AU150" s="599"/>
      <c r="AV150" s="600"/>
      <c r="AW150" s="601"/>
      <c r="AX150" s="600"/>
      <c r="AY150" s="599"/>
      <c r="AZ150" s="600"/>
      <c r="BA150" s="601"/>
      <c r="BB150" s="602">
        <v>217335</v>
      </c>
      <c r="BC150" s="599">
        <v>174420</v>
      </c>
      <c r="BD150" s="600">
        <v>577303</v>
      </c>
      <c r="BE150" s="599">
        <v>622216</v>
      </c>
      <c r="BF150" s="600">
        <v>2996736</v>
      </c>
      <c r="BG150" s="599">
        <v>2980139</v>
      </c>
      <c r="BH150" s="600">
        <v>1921665</v>
      </c>
      <c r="BI150" s="599">
        <v>1950190</v>
      </c>
      <c r="BJ150" s="600">
        <v>0</v>
      </c>
      <c r="BK150" s="615"/>
      <c r="BL150" s="600">
        <v>0</v>
      </c>
      <c r="BM150" s="604"/>
      <c r="BN150" s="605">
        <f t="shared" si="233"/>
        <v>29</v>
      </c>
      <c r="BO150" s="606">
        <f t="shared" si="234"/>
        <v>27</v>
      </c>
      <c r="BP150" s="607">
        <f t="shared" si="235"/>
        <v>101</v>
      </c>
      <c r="BQ150" s="606">
        <f t="shared" si="236"/>
        <v>105</v>
      </c>
      <c r="BR150" s="607">
        <f t="shared" si="237"/>
        <v>601</v>
      </c>
      <c r="BS150" s="606">
        <f t="shared" si="238"/>
        <v>614</v>
      </c>
      <c r="BT150" s="607">
        <f t="shared" si="239"/>
        <v>399</v>
      </c>
      <c r="BU150" s="606">
        <f t="shared" si="240"/>
        <v>432</v>
      </c>
      <c r="BV150" s="607">
        <f t="shared" si="241"/>
        <v>0</v>
      </c>
      <c r="BW150" s="608">
        <f t="shared" si="242"/>
        <v>0</v>
      </c>
      <c r="BX150" s="607">
        <f t="shared" si="243"/>
        <v>0</v>
      </c>
      <c r="BY150" s="608">
        <f t="shared" si="244"/>
        <v>0</v>
      </c>
      <c r="BZ150" s="607">
        <f t="shared" si="245"/>
        <v>7494.3103448275861</v>
      </c>
      <c r="CA150" s="608">
        <f t="shared" si="246"/>
        <v>6460</v>
      </c>
      <c r="CB150" s="607">
        <f t="shared" si="247"/>
        <v>5715.8712871287125</v>
      </c>
      <c r="CC150" s="608">
        <f t="shared" si="248"/>
        <v>5925.8666666666668</v>
      </c>
      <c r="CD150" s="607">
        <f t="shared" si="249"/>
        <v>4986.249584026622</v>
      </c>
      <c r="CE150" s="608">
        <f t="shared" si="250"/>
        <v>4853.6465798045601</v>
      </c>
      <c r="CF150" s="607">
        <f t="shared" si="251"/>
        <v>4816.2030075187968</v>
      </c>
      <c r="CG150" s="608">
        <f t="shared" si="252"/>
        <v>4514.3287037037035</v>
      </c>
      <c r="CH150" s="607">
        <f t="shared" si="253"/>
        <v>0</v>
      </c>
      <c r="CI150" s="608">
        <f t="shared" si="254"/>
        <v>0</v>
      </c>
      <c r="CJ150" s="607">
        <f t="shared" si="255"/>
        <v>0</v>
      </c>
      <c r="CK150" s="608">
        <f t="shared" si="256"/>
        <v>0</v>
      </c>
      <c r="CL150" s="609">
        <f t="shared" si="257"/>
        <v>67448.793103448275</v>
      </c>
      <c r="CM150" s="608">
        <f t="shared" si="258"/>
        <v>58140</v>
      </c>
      <c r="CN150" s="610">
        <f t="shared" si="259"/>
        <v>51442.841584158414</v>
      </c>
      <c r="CO150" s="606">
        <f t="shared" si="260"/>
        <v>53332.800000000003</v>
      </c>
      <c r="CP150" s="607">
        <f t="shared" si="261"/>
        <v>44876.246256239596</v>
      </c>
      <c r="CQ150" s="606">
        <f t="shared" si="262"/>
        <v>43682.819218241042</v>
      </c>
      <c r="CR150" s="607">
        <f t="shared" si="263"/>
        <v>43345.827067669168</v>
      </c>
      <c r="CS150" s="606">
        <f t="shared" si="264"/>
        <v>40628.958333333328</v>
      </c>
      <c r="CT150" s="607">
        <f t="shared" si="265"/>
        <v>0</v>
      </c>
      <c r="CU150" s="608">
        <f t="shared" si="266"/>
        <v>0</v>
      </c>
      <c r="CV150" s="610">
        <f t="shared" si="267"/>
        <v>0</v>
      </c>
      <c r="CW150" s="608">
        <f t="shared" si="268"/>
        <v>0</v>
      </c>
      <c r="CX150" s="610">
        <f t="shared" si="269"/>
        <v>45519.604609717477</v>
      </c>
      <c r="CY150" s="611">
        <f t="shared" si="270"/>
        <v>43805.008347343355</v>
      </c>
      <c r="CZ150" s="605">
        <f t="shared" si="271"/>
        <v>3</v>
      </c>
      <c r="DA150" s="612">
        <f t="shared" si="272"/>
        <v>3</v>
      </c>
      <c r="DB150" s="607">
        <f t="shared" si="273"/>
        <v>11</v>
      </c>
      <c r="DC150" s="606">
        <f t="shared" si="274"/>
        <v>11</v>
      </c>
      <c r="DD150" s="607">
        <f t="shared" si="275"/>
        <v>65</v>
      </c>
      <c r="DE150" s="606">
        <f t="shared" si="276"/>
        <v>66</v>
      </c>
      <c r="DF150" s="607">
        <f t="shared" si="277"/>
        <v>41</v>
      </c>
      <c r="DG150" s="606">
        <f t="shared" si="278"/>
        <v>44</v>
      </c>
      <c r="DH150" s="607">
        <f t="shared" si="279"/>
        <v>0</v>
      </c>
      <c r="DI150" s="608">
        <f t="shared" si="280"/>
        <v>0</v>
      </c>
      <c r="DJ150" s="607">
        <f t="shared" si="281"/>
        <v>0</v>
      </c>
      <c r="DK150" s="608">
        <f t="shared" si="282"/>
        <v>0</v>
      </c>
      <c r="DL150" s="607">
        <f t="shared" si="283"/>
        <v>120</v>
      </c>
      <c r="DM150" s="608">
        <f t="shared" si="284"/>
        <v>124</v>
      </c>
      <c r="DN150" s="607">
        <f t="shared" si="285"/>
        <v>202346.37931034481</v>
      </c>
      <c r="DO150" s="612">
        <f t="shared" si="286"/>
        <v>174420</v>
      </c>
      <c r="DP150" s="607">
        <f t="shared" si="287"/>
        <v>565871.25742574257</v>
      </c>
      <c r="DQ150" s="606">
        <f t="shared" si="288"/>
        <v>586660.80000000005</v>
      </c>
      <c r="DR150" s="607">
        <f t="shared" si="289"/>
        <v>2916956.0066555738</v>
      </c>
      <c r="DS150" s="606">
        <f t="shared" si="290"/>
        <v>2883066.068403909</v>
      </c>
      <c r="DT150" s="607">
        <f t="shared" si="291"/>
        <v>1777178.9097744359</v>
      </c>
      <c r="DU150" s="606">
        <f t="shared" si="292"/>
        <v>1787674.1666666665</v>
      </c>
      <c r="DV150" s="607">
        <f t="shared" si="293"/>
        <v>0</v>
      </c>
      <c r="DW150" s="608">
        <f t="shared" si="294"/>
        <v>0</v>
      </c>
      <c r="DX150" s="607">
        <f t="shared" si="295"/>
        <v>0</v>
      </c>
      <c r="DY150" s="608">
        <f t="shared" si="296"/>
        <v>0</v>
      </c>
      <c r="DZ150" s="607">
        <f t="shared" si="297"/>
        <v>5462352.553166097</v>
      </c>
      <c r="EA150" s="608">
        <f t="shared" si="298"/>
        <v>5431821.0350705758</v>
      </c>
    </row>
    <row r="151" spans="1:131" x14ac:dyDescent="0.2">
      <c r="A151" s="469" t="s">
        <v>35</v>
      </c>
      <c r="B151" s="466" t="s">
        <v>885</v>
      </c>
      <c r="C151" s="550"/>
      <c r="D151" s="470">
        <v>139621</v>
      </c>
      <c r="E151" s="551">
        <v>9</v>
      </c>
      <c r="F151" s="598">
        <v>1</v>
      </c>
      <c r="G151" s="599">
        <v>1</v>
      </c>
      <c r="H151" s="600"/>
      <c r="I151" s="601"/>
      <c r="J151" s="600">
        <v>1</v>
      </c>
      <c r="K151" s="599"/>
      <c r="L151" s="600"/>
      <c r="M151" s="601"/>
      <c r="N151" s="600">
        <v>13</v>
      </c>
      <c r="O151" s="599">
        <v>11</v>
      </c>
      <c r="P151" s="600"/>
      <c r="Q151" s="601"/>
      <c r="R151" s="600">
        <v>2</v>
      </c>
      <c r="S151" s="599"/>
      <c r="T151" s="600"/>
      <c r="U151" s="601"/>
      <c r="V151" s="600">
        <v>28</v>
      </c>
      <c r="W151" s="599">
        <v>33</v>
      </c>
      <c r="X151" s="600"/>
      <c r="Y151" s="601"/>
      <c r="Z151" s="600"/>
      <c r="AA151" s="599"/>
      <c r="AB151" s="600"/>
      <c r="AC151" s="601"/>
      <c r="AD151" s="600">
        <v>19</v>
      </c>
      <c r="AE151" s="599">
        <v>20</v>
      </c>
      <c r="AF151" s="600"/>
      <c r="AG151" s="601"/>
      <c r="AH151" s="600"/>
      <c r="AI151" s="599"/>
      <c r="AJ151" s="600"/>
      <c r="AK151" s="601"/>
      <c r="AL151" s="600">
        <v>2</v>
      </c>
      <c r="AM151" s="599"/>
      <c r="AN151" s="600"/>
      <c r="AO151" s="601"/>
      <c r="AP151" s="600"/>
      <c r="AQ151" s="599"/>
      <c r="AR151" s="600"/>
      <c r="AS151" s="601"/>
      <c r="AT151" s="600"/>
      <c r="AU151" s="599"/>
      <c r="AV151" s="600"/>
      <c r="AW151" s="601"/>
      <c r="AX151" s="600"/>
      <c r="AY151" s="599"/>
      <c r="AZ151" s="600"/>
      <c r="BA151" s="601"/>
      <c r="BB151" s="602">
        <v>153728</v>
      </c>
      <c r="BC151" s="599">
        <v>63384</v>
      </c>
      <c r="BD151" s="600">
        <v>800935</v>
      </c>
      <c r="BE151" s="599">
        <v>568892</v>
      </c>
      <c r="BF151" s="600">
        <v>1161636</v>
      </c>
      <c r="BG151" s="599">
        <v>1411274</v>
      </c>
      <c r="BH151" s="600">
        <v>703342</v>
      </c>
      <c r="BI151" s="599">
        <v>755033</v>
      </c>
      <c r="BJ151" s="600">
        <v>68000</v>
      </c>
      <c r="BK151" s="615"/>
      <c r="BL151" s="600">
        <v>0</v>
      </c>
      <c r="BM151" s="604"/>
      <c r="BN151" s="605">
        <f t="shared" si="233"/>
        <v>20</v>
      </c>
      <c r="BO151" s="606">
        <f t="shared" si="234"/>
        <v>9</v>
      </c>
      <c r="BP151" s="607">
        <f t="shared" si="235"/>
        <v>139</v>
      </c>
      <c r="BQ151" s="606">
        <f t="shared" si="236"/>
        <v>99</v>
      </c>
      <c r="BR151" s="607">
        <f t="shared" si="237"/>
        <v>252</v>
      </c>
      <c r="BS151" s="606">
        <f t="shared" si="238"/>
        <v>297</v>
      </c>
      <c r="BT151" s="607">
        <f t="shared" si="239"/>
        <v>171</v>
      </c>
      <c r="BU151" s="606">
        <f t="shared" si="240"/>
        <v>180</v>
      </c>
      <c r="BV151" s="607">
        <f t="shared" si="241"/>
        <v>18</v>
      </c>
      <c r="BW151" s="608">
        <f t="shared" si="242"/>
        <v>0</v>
      </c>
      <c r="BX151" s="607">
        <f t="shared" si="243"/>
        <v>0</v>
      </c>
      <c r="BY151" s="608">
        <f t="shared" si="244"/>
        <v>0</v>
      </c>
      <c r="BZ151" s="607">
        <f t="shared" si="245"/>
        <v>7686.4</v>
      </c>
      <c r="CA151" s="608">
        <f t="shared" si="246"/>
        <v>7042.666666666667</v>
      </c>
      <c r="CB151" s="607">
        <f t="shared" si="247"/>
        <v>5762.1223021582737</v>
      </c>
      <c r="CC151" s="608">
        <f t="shared" si="248"/>
        <v>5746.3838383838383</v>
      </c>
      <c r="CD151" s="607">
        <f t="shared" si="249"/>
        <v>4609.666666666667</v>
      </c>
      <c r="CE151" s="608">
        <f t="shared" si="250"/>
        <v>4751.7643097643095</v>
      </c>
      <c r="CF151" s="607">
        <f t="shared" si="251"/>
        <v>4113.1111111111113</v>
      </c>
      <c r="CG151" s="608">
        <f t="shared" si="252"/>
        <v>4194.6277777777777</v>
      </c>
      <c r="CH151" s="607">
        <f t="shared" si="253"/>
        <v>3777.7777777777778</v>
      </c>
      <c r="CI151" s="608">
        <f t="shared" si="254"/>
        <v>0</v>
      </c>
      <c r="CJ151" s="607">
        <f t="shared" si="255"/>
        <v>0</v>
      </c>
      <c r="CK151" s="608">
        <f t="shared" si="256"/>
        <v>0</v>
      </c>
      <c r="CL151" s="609">
        <f t="shared" si="257"/>
        <v>69177.599999999991</v>
      </c>
      <c r="CM151" s="608">
        <f t="shared" si="258"/>
        <v>63384</v>
      </c>
      <c r="CN151" s="610">
        <f t="shared" si="259"/>
        <v>51859.100719424459</v>
      </c>
      <c r="CO151" s="606">
        <f t="shared" si="260"/>
        <v>51717.454545454544</v>
      </c>
      <c r="CP151" s="607">
        <f t="shared" si="261"/>
        <v>41487</v>
      </c>
      <c r="CQ151" s="606">
        <f t="shared" si="262"/>
        <v>42765.878787878784</v>
      </c>
      <c r="CR151" s="607">
        <f t="shared" si="263"/>
        <v>37018</v>
      </c>
      <c r="CS151" s="606">
        <f t="shared" si="264"/>
        <v>37751.65</v>
      </c>
      <c r="CT151" s="607">
        <f t="shared" si="265"/>
        <v>34000</v>
      </c>
      <c r="CU151" s="608">
        <f t="shared" si="266"/>
        <v>0</v>
      </c>
      <c r="CV151" s="610">
        <f t="shared" si="267"/>
        <v>0</v>
      </c>
      <c r="CW151" s="608">
        <f t="shared" si="268"/>
        <v>0</v>
      </c>
      <c r="CX151" s="610">
        <f t="shared" si="269"/>
        <v>43169.99561805102</v>
      </c>
      <c r="CY151" s="611">
        <f t="shared" si="270"/>
        <v>43055.123076923075</v>
      </c>
      <c r="CZ151" s="605">
        <f t="shared" si="271"/>
        <v>2</v>
      </c>
      <c r="DA151" s="612">
        <f t="shared" si="272"/>
        <v>1</v>
      </c>
      <c r="DB151" s="607">
        <f t="shared" si="273"/>
        <v>15</v>
      </c>
      <c r="DC151" s="606">
        <f t="shared" si="274"/>
        <v>11</v>
      </c>
      <c r="DD151" s="607">
        <f t="shared" si="275"/>
        <v>28</v>
      </c>
      <c r="DE151" s="606">
        <f t="shared" si="276"/>
        <v>33</v>
      </c>
      <c r="DF151" s="607">
        <f t="shared" si="277"/>
        <v>19</v>
      </c>
      <c r="DG151" s="606">
        <f t="shared" si="278"/>
        <v>20</v>
      </c>
      <c r="DH151" s="607">
        <f t="shared" si="279"/>
        <v>2</v>
      </c>
      <c r="DI151" s="608">
        <f t="shared" si="280"/>
        <v>0</v>
      </c>
      <c r="DJ151" s="607">
        <f t="shared" si="281"/>
        <v>0</v>
      </c>
      <c r="DK151" s="608">
        <f t="shared" si="282"/>
        <v>0</v>
      </c>
      <c r="DL151" s="607">
        <f t="shared" si="283"/>
        <v>66</v>
      </c>
      <c r="DM151" s="608">
        <f t="shared" si="284"/>
        <v>65</v>
      </c>
      <c r="DN151" s="607">
        <f t="shared" si="285"/>
        <v>138355.19999999998</v>
      </c>
      <c r="DO151" s="612">
        <f t="shared" si="286"/>
        <v>63384</v>
      </c>
      <c r="DP151" s="607">
        <f t="shared" si="287"/>
        <v>777886.51079136692</v>
      </c>
      <c r="DQ151" s="606">
        <f t="shared" si="288"/>
        <v>568892</v>
      </c>
      <c r="DR151" s="607">
        <f t="shared" si="289"/>
        <v>1161636</v>
      </c>
      <c r="DS151" s="606">
        <f t="shared" si="290"/>
        <v>1411274</v>
      </c>
      <c r="DT151" s="607">
        <f t="shared" si="291"/>
        <v>703342</v>
      </c>
      <c r="DU151" s="606">
        <f t="shared" si="292"/>
        <v>755033</v>
      </c>
      <c r="DV151" s="607">
        <f t="shared" si="293"/>
        <v>68000</v>
      </c>
      <c r="DW151" s="608">
        <f t="shared" si="294"/>
        <v>0</v>
      </c>
      <c r="DX151" s="607">
        <f t="shared" si="295"/>
        <v>0</v>
      </c>
      <c r="DY151" s="608">
        <f t="shared" si="296"/>
        <v>0</v>
      </c>
      <c r="DZ151" s="607">
        <f t="shared" si="297"/>
        <v>2849219.7107913671</v>
      </c>
      <c r="EA151" s="608">
        <f t="shared" si="298"/>
        <v>2798583</v>
      </c>
    </row>
    <row r="152" spans="1:131" x14ac:dyDescent="0.2">
      <c r="A152" s="395" t="s">
        <v>35</v>
      </c>
      <c r="B152" s="396" t="s">
        <v>886</v>
      </c>
      <c r="C152" s="549"/>
      <c r="D152" s="470">
        <v>139700</v>
      </c>
      <c r="E152" s="402">
        <v>9</v>
      </c>
      <c r="F152" s="598">
        <v>15</v>
      </c>
      <c r="G152" s="599">
        <v>15</v>
      </c>
      <c r="H152" s="600"/>
      <c r="I152" s="601"/>
      <c r="J152" s="600"/>
      <c r="K152" s="599"/>
      <c r="L152" s="600"/>
      <c r="M152" s="601"/>
      <c r="N152" s="600">
        <v>30</v>
      </c>
      <c r="O152" s="599">
        <v>34</v>
      </c>
      <c r="P152" s="600"/>
      <c r="Q152" s="601"/>
      <c r="R152" s="600"/>
      <c r="S152" s="599"/>
      <c r="T152" s="600"/>
      <c r="U152" s="601"/>
      <c r="V152" s="600">
        <v>36</v>
      </c>
      <c r="W152" s="599">
        <f>19+23</f>
        <v>42</v>
      </c>
      <c r="X152" s="600"/>
      <c r="Y152" s="601"/>
      <c r="Z152" s="600"/>
      <c r="AA152" s="599"/>
      <c r="AB152" s="600"/>
      <c r="AC152" s="601"/>
      <c r="AD152" s="600">
        <v>33</v>
      </c>
      <c r="AE152" s="599">
        <v>20</v>
      </c>
      <c r="AF152" s="600"/>
      <c r="AG152" s="601"/>
      <c r="AH152" s="600">
        <v>2</v>
      </c>
      <c r="AI152" s="599">
        <v>2</v>
      </c>
      <c r="AJ152" s="600"/>
      <c r="AK152" s="601"/>
      <c r="AL152" s="600">
        <v>18</v>
      </c>
      <c r="AM152" s="599">
        <v>21</v>
      </c>
      <c r="AN152" s="600"/>
      <c r="AO152" s="601"/>
      <c r="AP152" s="600"/>
      <c r="AQ152" s="599"/>
      <c r="AR152" s="600"/>
      <c r="AS152" s="601"/>
      <c r="AT152" s="600"/>
      <c r="AU152" s="599"/>
      <c r="AV152" s="600"/>
      <c r="AW152" s="601"/>
      <c r="AX152" s="600"/>
      <c r="AY152" s="599"/>
      <c r="AZ152" s="600"/>
      <c r="BA152" s="601"/>
      <c r="BB152" s="602">
        <v>915525</v>
      </c>
      <c r="BC152" s="599">
        <v>917847</v>
      </c>
      <c r="BD152" s="600">
        <v>1446060</v>
      </c>
      <c r="BE152" s="599">
        <v>1647645</v>
      </c>
      <c r="BF152" s="600">
        <v>1506348</v>
      </c>
      <c r="BG152" s="599">
        <v>1720093</v>
      </c>
      <c r="BH152" s="600">
        <v>1429894</v>
      </c>
      <c r="BI152" s="599">
        <v>895790</v>
      </c>
      <c r="BJ152" s="600">
        <v>725310</v>
      </c>
      <c r="BK152" s="615">
        <v>851320</v>
      </c>
      <c r="BL152" s="600">
        <v>0</v>
      </c>
      <c r="BM152" s="604"/>
      <c r="BN152" s="605">
        <f t="shared" si="233"/>
        <v>135</v>
      </c>
      <c r="BO152" s="606">
        <f t="shared" si="234"/>
        <v>135</v>
      </c>
      <c r="BP152" s="607">
        <f t="shared" si="235"/>
        <v>270</v>
      </c>
      <c r="BQ152" s="606">
        <f t="shared" si="236"/>
        <v>306</v>
      </c>
      <c r="BR152" s="607">
        <f t="shared" si="237"/>
        <v>324</v>
      </c>
      <c r="BS152" s="606">
        <f t="shared" si="238"/>
        <v>378</v>
      </c>
      <c r="BT152" s="607">
        <f t="shared" si="239"/>
        <v>319</v>
      </c>
      <c r="BU152" s="606">
        <f t="shared" si="240"/>
        <v>202</v>
      </c>
      <c r="BV152" s="607">
        <f t="shared" si="241"/>
        <v>162</v>
      </c>
      <c r="BW152" s="608">
        <f t="shared" si="242"/>
        <v>189</v>
      </c>
      <c r="BX152" s="607">
        <f t="shared" si="243"/>
        <v>0</v>
      </c>
      <c r="BY152" s="608">
        <f t="shared" si="244"/>
        <v>0</v>
      </c>
      <c r="BZ152" s="607">
        <f t="shared" si="245"/>
        <v>6781.666666666667</v>
      </c>
      <c r="CA152" s="608">
        <f t="shared" si="246"/>
        <v>6798.8666666666668</v>
      </c>
      <c r="CB152" s="607">
        <f t="shared" si="247"/>
        <v>5355.7777777777774</v>
      </c>
      <c r="CC152" s="608">
        <f t="shared" si="248"/>
        <v>5384.4607843137255</v>
      </c>
      <c r="CD152" s="607">
        <f t="shared" si="249"/>
        <v>4649.2222222222226</v>
      </c>
      <c r="CE152" s="608">
        <f t="shared" si="250"/>
        <v>4550.5105820105819</v>
      </c>
      <c r="CF152" s="607">
        <f t="shared" si="251"/>
        <v>4482.4263322884017</v>
      </c>
      <c r="CG152" s="608">
        <f t="shared" si="252"/>
        <v>4434.6039603960398</v>
      </c>
      <c r="CH152" s="607">
        <f t="shared" si="253"/>
        <v>4477.2222222222226</v>
      </c>
      <c r="CI152" s="608">
        <f t="shared" si="254"/>
        <v>4504.338624338624</v>
      </c>
      <c r="CJ152" s="607">
        <f t="shared" si="255"/>
        <v>0</v>
      </c>
      <c r="CK152" s="608">
        <f t="shared" si="256"/>
        <v>0</v>
      </c>
      <c r="CL152" s="609">
        <f t="shared" si="257"/>
        <v>61035</v>
      </c>
      <c r="CM152" s="608">
        <f t="shared" si="258"/>
        <v>61189.8</v>
      </c>
      <c r="CN152" s="610">
        <f t="shared" si="259"/>
        <v>48202</v>
      </c>
      <c r="CO152" s="606">
        <f t="shared" si="260"/>
        <v>48460.147058823532</v>
      </c>
      <c r="CP152" s="607">
        <f t="shared" si="261"/>
        <v>41843</v>
      </c>
      <c r="CQ152" s="606">
        <f t="shared" si="262"/>
        <v>40954.595238095237</v>
      </c>
      <c r="CR152" s="607">
        <f t="shared" si="263"/>
        <v>40341.836990595613</v>
      </c>
      <c r="CS152" s="606">
        <f t="shared" si="264"/>
        <v>39911.435643564357</v>
      </c>
      <c r="CT152" s="607">
        <f t="shared" si="265"/>
        <v>40295</v>
      </c>
      <c r="CU152" s="608">
        <f t="shared" si="266"/>
        <v>40539.047619047618</v>
      </c>
      <c r="CV152" s="610">
        <f t="shared" si="267"/>
        <v>0</v>
      </c>
      <c r="CW152" s="608">
        <f t="shared" si="268"/>
        <v>0</v>
      </c>
      <c r="CX152" s="610">
        <f t="shared" si="269"/>
        <v>44814.979810976467</v>
      </c>
      <c r="CY152" s="611">
        <f t="shared" si="270"/>
        <v>44887.735702674749</v>
      </c>
      <c r="CZ152" s="605">
        <f t="shared" si="271"/>
        <v>15</v>
      </c>
      <c r="DA152" s="612">
        <f t="shared" si="272"/>
        <v>15</v>
      </c>
      <c r="DB152" s="607">
        <f t="shared" si="273"/>
        <v>30</v>
      </c>
      <c r="DC152" s="606">
        <f t="shared" si="274"/>
        <v>34</v>
      </c>
      <c r="DD152" s="607">
        <f t="shared" si="275"/>
        <v>36</v>
      </c>
      <c r="DE152" s="606">
        <f t="shared" si="276"/>
        <v>42</v>
      </c>
      <c r="DF152" s="607">
        <f t="shared" si="277"/>
        <v>35</v>
      </c>
      <c r="DG152" s="606">
        <f t="shared" si="278"/>
        <v>22</v>
      </c>
      <c r="DH152" s="607">
        <f t="shared" si="279"/>
        <v>18</v>
      </c>
      <c r="DI152" s="608">
        <f t="shared" si="280"/>
        <v>21</v>
      </c>
      <c r="DJ152" s="607">
        <f t="shared" si="281"/>
        <v>0</v>
      </c>
      <c r="DK152" s="608">
        <f t="shared" si="282"/>
        <v>0</v>
      </c>
      <c r="DL152" s="607">
        <f t="shared" si="283"/>
        <v>134</v>
      </c>
      <c r="DM152" s="608">
        <f t="shared" si="284"/>
        <v>134</v>
      </c>
      <c r="DN152" s="607">
        <f t="shared" si="285"/>
        <v>915525</v>
      </c>
      <c r="DO152" s="612">
        <f t="shared" si="286"/>
        <v>917847</v>
      </c>
      <c r="DP152" s="607">
        <f t="shared" si="287"/>
        <v>1446060</v>
      </c>
      <c r="DQ152" s="606">
        <f t="shared" si="288"/>
        <v>1647645</v>
      </c>
      <c r="DR152" s="607">
        <f t="shared" si="289"/>
        <v>1506348</v>
      </c>
      <c r="DS152" s="606">
        <f t="shared" si="290"/>
        <v>1720093</v>
      </c>
      <c r="DT152" s="607">
        <f t="shared" si="291"/>
        <v>1411964.2946708465</v>
      </c>
      <c r="DU152" s="606">
        <f t="shared" si="292"/>
        <v>878051.58415841591</v>
      </c>
      <c r="DV152" s="607">
        <f t="shared" si="293"/>
        <v>725310</v>
      </c>
      <c r="DW152" s="608">
        <f t="shared" si="294"/>
        <v>851320</v>
      </c>
      <c r="DX152" s="607">
        <f t="shared" si="295"/>
        <v>0</v>
      </c>
      <c r="DY152" s="608">
        <f t="shared" si="296"/>
        <v>0</v>
      </c>
      <c r="DZ152" s="607">
        <f t="shared" si="297"/>
        <v>6005207.2946708463</v>
      </c>
      <c r="EA152" s="608">
        <f t="shared" si="298"/>
        <v>6014956.5841584159</v>
      </c>
    </row>
    <row r="153" spans="1:131" x14ac:dyDescent="0.2">
      <c r="A153" s="469" t="s">
        <v>35</v>
      </c>
      <c r="B153" s="396" t="s">
        <v>887</v>
      </c>
      <c r="C153" s="549" t="s">
        <v>893</v>
      </c>
      <c r="D153" s="470">
        <v>140483</v>
      </c>
      <c r="E153" s="399">
        <v>9</v>
      </c>
      <c r="F153" s="598">
        <v>11</v>
      </c>
      <c r="G153" s="599">
        <v>12</v>
      </c>
      <c r="H153" s="600"/>
      <c r="I153" s="601"/>
      <c r="J153" s="600"/>
      <c r="K153" s="599"/>
      <c r="L153" s="600"/>
      <c r="M153" s="601"/>
      <c r="N153" s="600">
        <v>29</v>
      </c>
      <c r="O153" s="599">
        <v>29</v>
      </c>
      <c r="P153" s="600"/>
      <c r="Q153" s="601"/>
      <c r="R153" s="600"/>
      <c r="S153" s="599">
        <v>1</v>
      </c>
      <c r="T153" s="600"/>
      <c r="U153" s="601"/>
      <c r="V153" s="600">
        <v>35</v>
      </c>
      <c r="W153" s="599">
        <v>34</v>
      </c>
      <c r="X153" s="600"/>
      <c r="Y153" s="601"/>
      <c r="Z153" s="600">
        <v>2</v>
      </c>
      <c r="AA153" s="599"/>
      <c r="AB153" s="600"/>
      <c r="AC153" s="601"/>
      <c r="AD153" s="600">
        <v>22</v>
      </c>
      <c r="AE153" s="599">
        <v>17</v>
      </c>
      <c r="AF153" s="600"/>
      <c r="AG153" s="601"/>
      <c r="AH153" s="600">
        <v>1</v>
      </c>
      <c r="AI153" s="599">
        <v>2</v>
      </c>
      <c r="AJ153" s="600"/>
      <c r="AK153" s="601"/>
      <c r="AL153" s="600"/>
      <c r="AM153" s="599">
        <v>1</v>
      </c>
      <c r="AN153" s="600"/>
      <c r="AO153" s="601"/>
      <c r="AP153" s="600"/>
      <c r="AQ153" s="599"/>
      <c r="AR153" s="600"/>
      <c r="AS153" s="601"/>
      <c r="AT153" s="600"/>
      <c r="AU153" s="599"/>
      <c r="AV153" s="600"/>
      <c r="AW153" s="601"/>
      <c r="AX153" s="600"/>
      <c r="AY153" s="599"/>
      <c r="AZ153" s="600"/>
      <c r="BA153" s="601"/>
      <c r="BB153" s="602">
        <v>656920</v>
      </c>
      <c r="BC153" s="599">
        <v>700655</v>
      </c>
      <c r="BD153" s="600">
        <v>1429120</v>
      </c>
      <c r="BE153" s="599">
        <v>1478700</v>
      </c>
      <c r="BF153" s="600">
        <v>1682163</v>
      </c>
      <c r="BG153" s="599">
        <v>1502731</v>
      </c>
      <c r="BH153" s="600">
        <v>1038978</v>
      </c>
      <c r="BI153" s="599">
        <v>866861</v>
      </c>
      <c r="BJ153" s="600">
        <v>0</v>
      </c>
      <c r="BK153" s="615">
        <v>40800</v>
      </c>
      <c r="BL153" s="600">
        <v>0</v>
      </c>
      <c r="BM153" s="604"/>
      <c r="BN153" s="605">
        <f t="shared" si="233"/>
        <v>99</v>
      </c>
      <c r="BO153" s="606">
        <f t="shared" si="234"/>
        <v>108</v>
      </c>
      <c r="BP153" s="607">
        <f t="shared" si="235"/>
        <v>261</v>
      </c>
      <c r="BQ153" s="606">
        <f t="shared" si="236"/>
        <v>272</v>
      </c>
      <c r="BR153" s="607">
        <f t="shared" si="237"/>
        <v>337</v>
      </c>
      <c r="BS153" s="606">
        <f t="shared" si="238"/>
        <v>306</v>
      </c>
      <c r="BT153" s="607">
        <f t="shared" si="239"/>
        <v>209</v>
      </c>
      <c r="BU153" s="606">
        <f t="shared" si="240"/>
        <v>175</v>
      </c>
      <c r="BV153" s="607">
        <f t="shared" si="241"/>
        <v>0</v>
      </c>
      <c r="BW153" s="608">
        <f t="shared" si="242"/>
        <v>9</v>
      </c>
      <c r="BX153" s="607">
        <f t="shared" si="243"/>
        <v>0</v>
      </c>
      <c r="BY153" s="608">
        <f t="shared" si="244"/>
        <v>0</v>
      </c>
      <c r="BZ153" s="607">
        <f t="shared" si="245"/>
        <v>6635.5555555555557</v>
      </c>
      <c r="CA153" s="608">
        <f t="shared" si="246"/>
        <v>6487.5462962962965</v>
      </c>
      <c r="CB153" s="607">
        <f t="shared" si="247"/>
        <v>5475.5555555555557</v>
      </c>
      <c r="CC153" s="608">
        <f t="shared" si="248"/>
        <v>5436.3970588235297</v>
      </c>
      <c r="CD153" s="607">
        <f t="shared" si="249"/>
        <v>4991.5816023738871</v>
      </c>
      <c r="CE153" s="608">
        <f t="shared" si="250"/>
        <v>4910.8856209150326</v>
      </c>
      <c r="CF153" s="607">
        <f t="shared" si="251"/>
        <v>4971.1866028708137</v>
      </c>
      <c r="CG153" s="608">
        <f t="shared" si="252"/>
        <v>4953.4914285714285</v>
      </c>
      <c r="CH153" s="607">
        <f t="shared" si="253"/>
        <v>0</v>
      </c>
      <c r="CI153" s="608">
        <f t="shared" si="254"/>
        <v>4533.333333333333</v>
      </c>
      <c r="CJ153" s="607">
        <f t="shared" si="255"/>
        <v>0</v>
      </c>
      <c r="CK153" s="608">
        <f t="shared" si="256"/>
        <v>0</v>
      </c>
      <c r="CL153" s="609">
        <f t="shared" si="257"/>
        <v>59720</v>
      </c>
      <c r="CM153" s="608">
        <f t="shared" si="258"/>
        <v>58387.916666666672</v>
      </c>
      <c r="CN153" s="610">
        <f t="shared" si="259"/>
        <v>49280</v>
      </c>
      <c r="CO153" s="606">
        <f t="shared" si="260"/>
        <v>48927.573529411769</v>
      </c>
      <c r="CP153" s="607">
        <f t="shared" si="261"/>
        <v>44924.234421364985</v>
      </c>
      <c r="CQ153" s="606">
        <f t="shared" si="262"/>
        <v>44197.970588235294</v>
      </c>
      <c r="CR153" s="607">
        <f t="shared" si="263"/>
        <v>44740.679425837327</v>
      </c>
      <c r="CS153" s="606">
        <f t="shared" si="264"/>
        <v>44581.422857142854</v>
      </c>
      <c r="CT153" s="607">
        <f t="shared" si="265"/>
        <v>0</v>
      </c>
      <c r="CU153" s="608">
        <f t="shared" si="266"/>
        <v>40800</v>
      </c>
      <c r="CV153" s="610">
        <f t="shared" si="267"/>
        <v>0</v>
      </c>
      <c r="CW153" s="608">
        <f t="shared" si="268"/>
        <v>0</v>
      </c>
      <c r="CX153" s="610">
        <f t="shared" si="269"/>
        <v>47772.723003847626</v>
      </c>
      <c r="CY153" s="611">
        <f t="shared" si="270"/>
        <v>47490.210835084028</v>
      </c>
      <c r="CZ153" s="605">
        <f t="shared" si="271"/>
        <v>11</v>
      </c>
      <c r="DA153" s="612">
        <f t="shared" si="272"/>
        <v>12</v>
      </c>
      <c r="DB153" s="607">
        <f t="shared" si="273"/>
        <v>29</v>
      </c>
      <c r="DC153" s="606">
        <f t="shared" si="274"/>
        <v>30</v>
      </c>
      <c r="DD153" s="607">
        <f t="shared" si="275"/>
        <v>37</v>
      </c>
      <c r="DE153" s="606">
        <f t="shared" si="276"/>
        <v>34</v>
      </c>
      <c r="DF153" s="607">
        <f t="shared" si="277"/>
        <v>23</v>
      </c>
      <c r="DG153" s="606">
        <f t="shared" si="278"/>
        <v>19</v>
      </c>
      <c r="DH153" s="607">
        <f t="shared" si="279"/>
        <v>0</v>
      </c>
      <c r="DI153" s="608">
        <f t="shared" si="280"/>
        <v>1</v>
      </c>
      <c r="DJ153" s="607">
        <f t="shared" si="281"/>
        <v>0</v>
      </c>
      <c r="DK153" s="608">
        <f t="shared" si="282"/>
        <v>0</v>
      </c>
      <c r="DL153" s="607">
        <f t="shared" si="283"/>
        <v>100</v>
      </c>
      <c r="DM153" s="608">
        <f t="shared" si="284"/>
        <v>96</v>
      </c>
      <c r="DN153" s="607">
        <f t="shared" si="285"/>
        <v>656920</v>
      </c>
      <c r="DO153" s="612">
        <f t="shared" si="286"/>
        <v>700655</v>
      </c>
      <c r="DP153" s="607">
        <f t="shared" si="287"/>
        <v>1429120</v>
      </c>
      <c r="DQ153" s="606">
        <f t="shared" si="288"/>
        <v>1467827.205882353</v>
      </c>
      <c r="DR153" s="607">
        <f t="shared" si="289"/>
        <v>1662196.6735905043</v>
      </c>
      <c r="DS153" s="606">
        <f t="shared" si="290"/>
        <v>1502731</v>
      </c>
      <c r="DT153" s="607">
        <f t="shared" si="291"/>
        <v>1029035.6267942585</v>
      </c>
      <c r="DU153" s="606">
        <f t="shared" si="292"/>
        <v>847047.03428571427</v>
      </c>
      <c r="DV153" s="607">
        <f t="shared" si="293"/>
        <v>0</v>
      </c>
      <c r="DW153" s="608">
        <f t="shared" si="294"/>
        <v>40800</v>
      </c>
      <c r="DX153" s="607">
        <f t="shared" si="295"/>
        <v>0</v>
      </c>
      <c r="DY153" s="608">
        <f t="shared" si="296"/>
        <v>0</v>
      </c>
      <c r="DZ153" s="607">
        <f t="shared" si="297"/>
        <v>4777272.3003847627</v>
      </c>
      <c r="EA153" s="608">
        <f t="shared" si="298"/>
        <v>4559060.2401680667</v>
      </c>
    </row>
    <row r="154" spans="1:131" x14ac:dyDescent="0.2">
      <c r="A154" s="469" t="s">
        <v>35</v>
      </c>
      <c r="B154" s="466" t="s">
        <v>888</v>
      </c>
      <c r="C154" s="549"/>
      <c r="D154" s="470">
        <v>140997</v>
      </c>
      <c r="E154" s="399">
        <v>10</v>
      </c>
      <c r="F154" s="598">
        <v>2</v>
      </c>
      <c r="G154" s="599">
        <v>2</v>
      </c>
      <c r="H154" s="600"/>
      <c r="I154" s="601"/>
      <c r="J154" s="600"/>
      <c r="K154" s="599"/>
      <c r="L154" s="600"/>
      <c r="M154" s="601"/>
      <c r="N154" s="600">
        <v>8</v>
      </c>
      <c r="O154" s="599">
        <v>12</v>
      </c>
      <c r="P154" s="600"/>
      <c r="Q154" s="601"/>
      <c r="R154" s="600"/>
      <c r="S154" s="599"/>
      <c r="T154" s="600"/>
      <c r="U154" s="601"/>
      <c r="V154" s="600">
        <v>14</v>
      </c>
      <c r="W154" s="599">
        <v>11</v>
      </c>
      <c r="X154" s="600"/>
      <c r="Y154" s="601"/>
      <c r="Z154" s="600"/>
      <c r="AA154" s="599"/>
      <c r="AB154" s="600"/>
      <c r="AC154" s="601"/>
      <c r="AD154" s="600">
        <v>10</v>
      </c>
      <c r="AE154" s="599">
        <v>9</v>
      </c>
      <c r="AF154" s="600"/>
      <c r="AG154" s="601"/>
      <c r="AH154" s="600"/>
      <c r="AI154" s="599"/>
      <c r="AJ154" s="600"/>
      <c r="AK154" s="601"/>
      <c r="AL154" s="600">
        <v>8</v>
      </c>
      <c r="AM154" s="599">
        <v>5</v>
      </c>
      <c r="AN154" s="600"/>
      <c r="AO154" s="601"/>
      <c r="AP154" s="600"/>
      <c r="AQ154" s="599"/>
      <c r="AR154" s="600"/>
      <c r="AS154" s="601"/>
      <c r="AT154" s="600"/>
      <c r="AU154" s="599"/>
      <c r="AV154" s="600"/>
      <c r="AW154" s="601"/>
      <c r="AX154" s="600"/>
      <c r="AY154" s="599"/>
      <c r="AZ154" s="600"/>
      <c r="BA154" s="601"/>
      <c r="BB154" s="602">
        <v>108546</v>
      </c>
      <c r="BC154" s="599">
        <v>97415</v>
      </c>
      <c r="BD154" s="600">
        <v>380000</v>
      </c>
      <c r="BE154" s="599">
        <v>551457</v>
      </c>
      <c r="BF154" s="600">
        <v>603316</v>
      </c>
      <c r="BG154" s="599">
        <v>488960</v>
      </c>
      <c r="BH154" s="600">
        <v>369760</v>
      </c>
      <c r="BI154" s="599">
        <v>331755</v>
      </c>
      <c r="BJ154" s="600">
        <v>318400</v>
      </c>
      <c r="BK154" s="615">
        <v>179000</v>
      </c>
      <c r="BL154" s="600">
        <v>0</v>
      </c>
      <c r="BM154" s="604"/>
      <c r="BN154" s="605">
        <f t="shared" si="233"/>
        <v>18</v>
      </c>
      <c r="BO154" s="606">
        <f t="shared" si="234"/>
        <v>18</v>
      </c>
      <c r="BP154" s="607">
        <f t="shared" si="235"/>
        <v>72</v>
      </c>
      <c r="BQ154" s="606">
        <f t="shared" si="236"/>
        <v>108</v>
      </c>
      <c r="BR154" s="607">
        <f t="shared" si="237"/>
        <v>126</v>
      </c>
      <c r="BS154" s="606">
        <f t="shared" si="238"/>
        <v>99</v>
      </c>
      <c r="BT154" s="607">
        <f t="shared" si="239"/>
        <v>90</v>
      </c>
      <c r="BU154" s="606">
        <f t="shared" si="240"/>
        <v>81</v>
      </c>
      <c r="BV154" s="607">
        <f t="shared" si="241"/>
        <v>72</v>
      </c>
      <c r="BW154" s="608">
        <f t="shared" si="242"/>
        <v>45</v>
      </c>
      <c r="BX154" s="607">
        <f t="shared" si="243"/>
        <v>0</v>
      </c>
      <c r="BY154" s="608">
        <f t="shared" si="244"/>
        <v>0</v>
      </c>
      <c r="BZ154" s="607">
        <f t="shared" si="245"/>
        <v>6030.333333333333</v>
      </c>
      <c r="CA154" s="608">
        <f t="shared" si="246"/>
        <v>5411.9444444444443</v>
      </c>
      <c r="CB154" s="607">
        <f t="shared" si="247"/>
        <v>5277.7777777777774</v>
      </c>
      <c r="CC154" s="608">
        <f t="shared" si="248"/>
        <v>5106.083333333333</v>
      </c>
      <c r="CD154" s="607">
        <f t="shared" si="249"/>
        <v>4788.2222222222226</v>
      </c>
      <c r="CE154" s="608">
        <f t="shared" si="250"/>
        <v>4938.9898989898993</v>
      </c>
      <c r="CF154" s="607">
        <f t="shared" si="251"/>
        <v>4108.4444444444443</v>
      </c>
      <c r="CG154" s="608">
        <f t="shared" si="252"/>
        <v>4095.7407407407409</v>
      </c>
      <c r="CH154" s="607">
        <f t="shared" si="253"/>
        <v>4422.2222222222226</v>
      </c>
      <c r="CI154" s="608">
        <f t="shared" si="254"/>
        <v>3977.7777777777778</v>
      </c>
      <c r="CJ154" s="607">
        <f t="shared" si="255"/>
        <v>0</v>
      </c>
      <c r="CK154" s="608">
        <f t="shared" si="256"/>
        <v>0</v>
      </c>
      <c r="CL154" s="609">
        <f t="shared" si="257"/>
        <v>54273</v>
      </c>
      <c r="CM154" s="608">
        <f t="shared" si="258"/>
        <v>48707.5</v>
      </c>
      <c r="CN154" s="610">
        <f t="shared" si="259"/>
        <v>47500</v>
      </c>
      <c r="CO154" s="606">
        <f t="shared" si="260"/>
        <v>45954.75</v>
      </c>
      <c r="CP154" s="607">
        <f t="shared" si="261"/>
        <v>43094</v>
      </c>
      <c r="CQ154" s="606">
        <f t="shared" si="262"/>
        <v>44450.909090909096</v>
      </c>
      <c r="CR154" s="607">
        <f t="shared" si="263"/>
        <v>36976</v>
      </c>
      <c r="CS154" s="606">
        <f t="shared" si="264"/>
        <v>36861.666666666672</v>
      </c>
      <c r="CT154" s="607">
        <f t="shared" si="265"/>
        <v>39800</v>
      </c>
      <c r="CU154" s="608">
        <f t="shared" si="266"/>
        <v>35800</v>
      </c>
      <c r="CV154" s="610">
        <f t="shared" si="267"/>
        <v>0</v>
      </c>
      <c r="CW154" s="608">
        <f t="shared" si="268"/>
        <v>0</v>
      </c>
      <c r="CX154" s="610">
        <f t="shared" si="269"/>
        <v>42381.476190476191</v>
      </c>
      <c r="CY154" s="611">
        <f t="shared" si="270"/>
        <v>42271.461538461539</v>
      </c>
      <c r="CZ154" s="605">
        <f t="shared" si="271"/>
        <v>2</v>
      </c>
      <c r="DA154" s="612">
        <f t="shared" si="272"/>
        <v>2</v>
      </c>
      <c r="DB154" s="607">
        <f t="shared" si="273"/>
        <v>8</v>
      </c>
      <c r="DC154" s="606">
        <f t="shared" si="274"/>
        <v>12</v>
      </c>
      <c r="DD154" s="607">
        <f t="shared" si="275"/>
        <v>14</v>
      </c>
      <c r="DE154" s="606">
        <f t="shared" si="276"/>
        <v>11</v>
      </c>
      <c r="DF154" s="607">
        <f t="shared" si="277"/>
        <v>10</v>
      </c>
      <c r="DG154" s="606">
        <f t="shared" si="278"/>
        <v>9</v>
      </c>
      <c r="DH154" s="607">
        <f t="shared" si="279"/>
        <v>8</v>
      </c>
      <c r="DI154" s="608">
        <f t="shared" si="280"/>
        <v>5</v>
      </c>
      <c r="DJ154" s="607">
        <f t="shared" si="281"/>
        <v>0</v>
      </c>
      <c r="DK154" s="608">
        <f t="shared" si="282"/>
        <v>0</v>
      </c>
      <c r="DL154" s="607">
        <f t="shared" si="283"/>
        <v>42</v>
      </c>
      <c r="DM154" s="608">
        <f t="shared" si="284"/>
        <v>39</v>
      </c>
      <c r="DN154" s="607">
        <f t="shared" si="285"/>
        <v>108546</v>
      </c>
      <c r="DO154" s="612">
        <f t="shared" si="286"/>
        <v>97415</v>
      </c>
      <c r="DP154" s="607">
        <f t="shared" si="287"/>
        <v>380000</v>
      </c>
      <c r="DQ154" s="606">
        <f t="shared" si="288"/>
        <v>551457</v>
      </c>
      <c r="DR154" s="607">
        <f t="shared" si="289"/>
        <v>603316</v>
      </c>
      <c r="DS154" s="606">
        <f t="shared" si="290"/>
        <v>488960.00000000006</v>
      </c>
      <c r="DT154" s="607">
        <f t="shared" si="291"/>
        <v>369760</v>
      </c>
      <c r="DU154" s="606">
        <f t="shared" si="292"/>
        <v>331755.00000000006</v>
      </c>
      <c r="DV154" s="607">
        <f t="shared" si="293"/>
        <v>318400</v>
      </c>
      <c r="DW154" s="608">
        <f t="shared" si="294"/>
        <v>179000</v>
      </c>
      <c r="DX154" s="607">
        <f t="shared" si="295"/>
        <v>0</v>
      </c>
      <c r="DY154" s="608">
        <f t="shared" si="296"/>
        <v>0</v>
      </c>
      <c r="DZ154" s="607">
        <f t="shared" si="297"/>
        <v>1780022</v>
      </c>
      <c r="EA154" s="608">
        <f t="shared" si="298"/>
        <v>1648587</v>
      </c>
    </row>
    <row r="155" spans="1:131" x14ac:dyDescent="0.2">
      <c r="A155" s="469" t="s">
        <v>35</v>
      </c>
      <c r="B155" s="466" t="s">
        <v>889</v>
      </c>
      <c r="C155" s="549"/>
      <c r="D155" s="470">
        <v>141307</v>
      </c>
      <c r="E155" s="399">
        <v>10</v>
      </c>
      <c r="F155" s="598">
        <v>2</v>
      </c>
      <c r="G155" s="599">
        <v>2</v>
      </c>
      <c r="H155" s="600"/>
      <c r="I155" s="601"/>
      <c r="J155" s="600"/>
      <c r="K155" s="599"/>
      <c r="L155" s="600"/>
      <c r="M155" s="601"/>
      <c r="N155" s="600">
        <v>4</v>
      </c>
      <c r="O155" s="599">
        <v>7</v>
      </c>
      <c r="P155" s="600"/>
      <c r="Q155" s="601"/>
      <c r="R155" s="600"/>
      <c r="S155" s="599"/>
      <c r="T155" s="600"/>
      <c r="U155" s="601"/>
      <c r="V155" s="600">
        <v>7</v>
      </c>
      <c r="W155" s="599">
        <v>5</v>
      </c>
      <c r="X155" s="600"/>
      <c r="Y155" s="601"/>
      <c r="Z155" s="600"/>
      <c r="AA155" s="599"/>
      <c r="AB155" s="600"/>
      <c r="AC155" s="601"/>
      <c r="AD155" s="600">
        <v>9</v>
      </c>
      <c r="AE155" s="599">
        <v>8</v>
      </c>
      <c r="AF155" s="600"/>
      <c r="AG155" s="601"/>
      <c r="AH155" s="600"/>
      <c r="AI155" s="599"/>
      <c r="AJ155" s="600"/>
      <c r="AK155" s="601"/>
      <c r="AL155" s="600"/>
      <c r="AM155" s="599"/>
      <c r="AN155" s="600"/>
      <c r="AO155" s="601"/>
      <c r="AP155" s="600"/>
      <c r="AQ155" s="599"/>
      <c r="AR155" s="600"/>
      <c r="AS155" s="601"/>
      <c r="AT155" s="600"/>
      <c r="AU155" s="599"/>
      <c r="AV155" s="600"/>
      <c r="AW155" s="601"/>
      <c r="AX155" s="600"/>
      <c r="AY155" s="599"/>
      <c r="AZ155" s="600"/>
      <c r="BA155" s="601"/>
      <c r="BB155" s="602">
        <v>122658</v>
      </c>
      <c r="BC155" s="599">
        <v>122657</v>
      </c>
      <c r="BD155" s="600">
        <v>200900</v>
      </c>
      <c r="BE155" s="599">
        <v>351575</v>
      </c>
      <c r="BF155" s="600">
        <v>290318</v>
      </c>
      <c r="BG155" s="599">
        <v>215465</v>
      </c>
      <c r="BH155" s="600">
        <v>343827</v>
      </c>
      <c r="BI155" s="599">
        <v>298830</v>
      </c>
      <c r="BJ155" s="600">
        <v>0</v>
      </c>
      <c r="BK155" s="615"/>
      <c r="BL155" s="600">
        <v>0</v>
      </c>
      <c r="BM155" s="604"/>
      <c r="BN155" s="605">
        <f t="shared" si="233"/>
        <v>18</v>
      </c>
      <c r="BO155" s="606">
        <f t="shared" si="234"/>
        <v>18</v>
      </c>
      <c r="BP155" s="607">
        <f t="shared" si="235"/>
        <v>36</v>
      </c>
      <c r="BQ155" s="606">
        <f t="shared" si="236"/>
        <v>63</v>
      </c>
      <c r="BR155" s="607">
        <f t="shared" si="237"/>
        <v>63</v>
      </c>
      <c r="BS155" s="606">
        <f t="shared" si="238"/>
        <v>45</v>
      </c>
      <c r="BT155" s="607">
        <f t="shared" si="239"/>
        <v>81</v>
      </c>
      <c r="BU155" s="606">
        <f t="shared" si="240"/>
        <v>72</v>
      </c>
      <c r="BV155" s="607">
        <f t="shared" si="241"/>
        <v>0</v>
      </c>
      <c r="BW155" s="608">
        <f t="shared" si="242"/>
        <v>0</v>
      </c>
      <c r="BX155" s="607">
        <f t="shared" si="243"/>
        <v>0</v>
      </c>
      <c r="BY155" s="608">
        <f t="shared" si="244"/>
        <v>0</v>
      </c>
      <c r="BZ155" s="607">
        <f t="shared" si="245"/>
        <v>6814.333333333333</v>
      </c>
      <c r="CA155" s="608">
        <f t="shared" si="246"/>
        <v>6814.2777777777774</v>
      </c>
      <c r="CB155" s="607">
        <f t="shared" si="247"/>
        <v>5580.5555555555557</v>
      </c>
      <c r="CC155" s="608">
        <f t="shared" si="248"/>
        <v>5580.5555555555557</v>
      </c>
      <c r="CD155" s="607">
        <f t="shared" si="249"/>
        <v>4608.2222222222226</v>
      </c>
      <c r="CE155" s="608">
        <f t="shared" si="250"/>
        <v>4788.1111111111113</v>
      </c>
      <c r="CF155" s="607">
        <f t="shared" si="251"/>
        <v>4244.7777777777774</v>
      </c>
      <c r="CG155" s="608">
        <f t="shared" si="252"/>
        <v>4150.416666666667</v>
      </c>
      <c r="CH155" s="607">
        <f t="shared" si="253"/>
        <v>0</v>
      </c>
      <c r="CI155" s="608">
        <f t="shared" si="254"/>
        <v>0</v>
      </c>
      <c r="CJ155" s="607">
        <f t="shared" si="255"/>
        <v>0</v>
      </c>
      <c r="CK155" s="608">
        <f t="shared" si="256"/>
        <v>0</v>
      </c>
      <c r="CL155" s="609">
        <f t="shared" si="257"/>
        <v>61329</v>
      </c>
      <c r="CM155" s="608">
        <f t="shared" si="258"/>
        <v>61328.5</v>
      </c>
      <c r="CN155" s="610">
        <f t="shared" si="259"/>
        <v>50225</v>
      </c>
      <c r="CO155" s="606">
        <f t="shared" si="260"/>
        <v>50225</v>
      </c>
      <c r="CP155" s="607">
        <f t="shared" si="261"/>
        <v>41474</v>
      </c>
      <c r="CQ155" s="606">
        <f t="shared" si="262"/>
        <v>43093</v>
      </c>
      <c r="CR155" s="607">
        <f t="shared" si="263"/>
        <v>38203</v>
      </c>
      <c r="CS155" s="606">
        <f t="shared" si="264"/>
        <v>37353.75</v>
      </c>
      <c r="CT155" s="607">
        <f t="shared" si="265"/>
        <v>0</v>
      </c>
      <c r="CU155" s="608">
        <f t="shared" si="266"/>
        <v>0</v>
      </c>
      <c r="CV155" s="610">
        <f t="shared" si="267"/>
        <v>0</v>
      </c>
      <c r="CW155" s="608">
        <f t="shared" si="268"/>
        <v>0</v>
      </c>
      <c r="CX155" s="610">
        <f t="shared" si="269"/>
        <v>43531.954545454544</v>
      </c>
      <c r="CY155" s="611">
        <f t="shared" si="270"/>
        <v>44933.045454545456</v>
      </c>
      <c r="CZ155" s="605">
        <f t="shared" si="271"/>
        <v>2</v>
      </c>
      <c r="DA155" s="612">
        <f t="shared" si="272"/>
        <v>2</v>
      </c>
      <c r="DB155" s="607">
        <f t="shared" si="273"/>
        <v>4</v>
      </c>
      <c r="DC155" s="606">
        <f t="shared" si="274"/>
        <v>7</v>
      </c>
      <c r="DD155" s="607">
        <f t="shared" si="275"/>
        <v>7</v>
      </c>
      <c r="DE155" s="606">
        <f t="shared" si="276"/>
        <v>5</v>
      </c>
      <c r="DF155" s="607">
        <f t="shared" si="277"/>
        <v>9</v>
      </c>
      <c r="DG155" s="606">
        <f t="shared" si="278"/>
        <v>8</v>
      </c>
      <c r="DH155" s="607">
        <f t="shared" si="279"/>
        <v>0</v>
      </c>
      <c r="DI155" s="608">
        <f t="shared" si="280"/>
        <v>0</v>
      </c>
      <c r="DJ155" s="607">
        <f t="shared" si="281"/>
        <v>0</v>
      </c>
      <c r="DK155" s="608">
        <f t="shared" si="282"/>
        <v>0</v>
      </c>
      <c r="DL155" s="607">
        <f t="shared" si="283"/>
        <v>22</v>
      </c>
      <c r="DM155" s="608">
        <f t="shared" si="284"/>
        <v>22</v>
      </c>
      <c r="DN155" s="607">
        <f t="shared" si="285"/>
        <v>122658</v>
      </c>
      <c r="DO155" s="612">
        <f t="shared" si="286"/>
        <v>122657</v>
      </c>
      <c r="DP155" s="607">
        <f t="shared" si="287"/>
        <v>200900</v>
      </c>
      <c r="DQ155" s="606">
        <f t="shared" si="288"/>
        <v>351575</v>
      </c>
      <c r="DR155" s="607">
        <f t="shared" si="289"/>
        <v>290318</v>
      </c>
      <c r="DS155" s="606">
        <f t="shared" si="290"/>
        <v>215465</v>
      </c>
      <c r="DT155" s="607">
        <f t="shared" si="291"/>
        <v>343827</v>
      </c>
      <c r="DU155" s="606">
        <f t="shared" si="292"/>
        <v>298830</v>
      </c>
      <c r="DV155" s="607">
        <f t="shared" si="293"/>
        <v>0</v>
      </c>
      <c r="DW155" s="608">
        <f t="shared" si="294"/>
        <v>0</v>
      </c>
      <c r="DX155" s="607">
        <f t="shared" si="295"/>
        <v>0</v>
      </c>
      <c r="DY155" s="608">
        <f t="shared" si="296"/>
        <v>0</v>
      </c>
      <c r="DZ155" s="607">
        <f t="shared" si="297"/>
        <v>957703</v>
      </c>
      <c r="EA155" s="608">
        <f t="shared" si="298"/>
        <v>988527</v>
      </c>
    </row>
    <row r="156" spans="1:131" x14ac:dyDescent="0.2">
      <c r="A156" s="381" t="s">
        <v>35</v>
      </c>
      <c r="B156" s="375" t="s">
        <v>561</v>
      </c>
      <c r="C156" s="552"/>
      <c r="D156" s="376">
        <v>138682</v>
      </c>
      <c r="E156" s="377">
        <v>12</v>
      </c>
      <c r="F156" s="598"/>
      <c r="G156" s="599"/>
      <c r="H156" s="600"/>
      <c r="I156" s="601"/>
      <c r="J156" s="600"/>
      <c r="K156" s="599"/>
      <c r="L156" s="600"/>
      <c r="M156" s="601"/>
      <c r="N156" s="600"/>
      <c r="O156" s="599"/>
      <c r="P156" s="600"/>
      <c r="Q156" s="601"/>
      <c r="R156" s="600"/>
      <c r="S156" s="599"/>
      <c r="T156" s="600"/>
      <c r="U156" s="601"/>
      <c r="V156" s="600"/>
      <c r="W156" s="599"/>
      <c r="X156" s="600"/>
      <c r="Y156" s="601"/>
      <c r="Z156" s="600"/>
      <c r="AA156" s="599"/>
      <c r="AB156" s="600"/>
      <c r="AC156" s="601"/>
      <c r="AD156" s="600"/>
      <c r="AE156" s="599"/>
      <c r="AF156" s="600"/>
      <c r="AG156" s="601"/>
      <c r="AH156" s="600"/>
      <c r="AI156" s="599"/>
      <c r="AJ156" s="600"/>
      <c r="AK156" s="601"/>
      <c r="AL156" s="600"/>
      <c r="AM156" s="599"/>
      <c r="AN156" s="600"/>
      <c r="AO156" s="601"/>
      <c r="AP156" s="600"/>
      <c r="AQ156" s="599"/>
      <c r="AR156" s="600"/>
      <c r="AS156" s="601"/>
      <c r="AT156" s="600"/>
      <c r="AU156" s="599"/>
      <c r="AV156" s="600"/>
      <c r="AW156" s="601"/>
      <c r="AX156" s="600">
        <v>87</v>
      </c>
      <c r="AY156" s="599"/>
      <c r="AZ156" s="600"/>
      <c r="BA156" s="601">
        <v>84</v>
      </c>
      <c r="BB156" s="602">
        <v>0</v>
      </c>
      <c r="BC156" s="599"/>
      <c r="BD156" s="600">
        <v>0</v>
      </c>
      <c r="BE156" s="599"/>
      <c r="BF156" s="600">
        <v>0</v>
      </c>
      <c r="BG156" s="599"/>
      <c r="BH156" s="600">
        <v>0</v>
      </c>
      <c r="BI156" s="599"/>
      <c r="BJ156" s="600">
        <v>0</v>
      </c>
      <c r="BK156" s="615"/>
      <c r="BL156" s="600">
        <v>4491462</v>
      </c>
      <c r="BM156" s="604">
        <v>4467120</v>
      </c>
      <c r="BN156" s="605">
        <f t="shared" si="233"/>
        <v>0</v>
      </c>
      <c r="BO156" s="606">
        <f t="shared" si="234"/>
        <v>0</v>
      </c>
      <c r="BP156" s="607">
        <f t="shared" si="235"/>
        <v>0</v>
      </c>
      <c r="BQ156" s="606">
        <f t="shared" si="236"/>
        <v>0</v>
      </c>
      <c r="BR156" s="607">
        <f t="shared" si="237"/>
        <v>0</v>
      </c>
      <c r="BS156" s="606">
        <f t="shared" si="238"/>
        <v>0</v>
      </c>
      <c r="BT156" s="607">
        <f t="shared" si="239"/>
        <v>0</v>
      </c>
      <c r="BU156" s="606">
        <f t="shared" si="240"/>
        <v>0</v>
      </c>
      <c r="BV156" s="607">
        <f t="shared" si="241"/>
        <v>0</v>
      </c>
      <c r="BW156" s="608">
        <f t="shared" si="242"/>
        <v>0</v>
      </c>
      <c r="BX156" s="607">
        <f t="shared" si="243"/>
        <v>957</v>
      </c>
      <c r="BY156" s="608">
        <f t="shared" si="244"/>
        <v>1008</v>
      </c>
      <c r="BZ156" s="607">
        <f t="shared" si="245"/>
        <v>0</v>
      </c>
      <c r="CA156" s="608">
        <f t="shared" si="246"/>
        <v>0</v>
      </c>
      <c r="CB156" s="607">
        <f t="shared" si="247"/>
        <v>0</v>
      </c>
      <c r="CC156" s="608">
        <f t="shared" si="248"/>
        <v>0</v>
      </c>
      <c r="CD156" s="607">
        <f t="shared" si="249"/>
        <v>0</v>
      </c>
      <c r="CE156" s="608">
        <f t="shared" si="250"/>
        <v>0</v>
      </c>
      <c r="CF156" s="607">
        <f t="shared" si="251"/>
        <v>0</v>
      </c>
      <c r="CG156" s="608">
        <f t="shared" si="252"/>
        <v>0</v>
      </c>
      <c r="CH156" s="607">
        <f t="shared" si="253"/>
        <v>0</v>
      </c>
      <c r="CI156" s="608">
        <f t="shared" si="254"/>
        <v>0</v>
      </c>
      <c r="CJ156" s="607">
        <f t="shared" si="255"/>
        <v>4693.272727272727</v>
      </c>
      <c r="CK156" s="608">
        <f t="shared" si="256"/>
        <v>4431.666666666667</v>
      </c>
      <c r="CL156" s="609">
        <f t="shared" si="257"/>
        <v>0</v>
      </c>
      <c r="CM156" s="608">
        <f t="shared" si="258"/>
        <v>0</v>
      </c>
      <c r="CN156" s="610">
        <f t="shared" si="259"/>
        <v>0</v>
      </c>
      <c r="CO156" s="606">
        <f t="shared" si="260"/>
        <v>0</v>
      </c>
      <c r="CP156" s="607">
        <f t="shared" si="261"/>
        <v>0</v>
      </c>
      <c r="CQ156" s="606">
        <f t="shared" si="262"/>
        <v>0</v>
      </c>
      <c r="CR156" s="607">
        <f t="shared" si="263"/>
        <v>0</v>
      </c>
      <c r="CS156" s="606">
        <f t="shared" si="264"/>
        <v>0</v>
      </c>
      <c r="CT156" s="607">
        <f t="shared" si="265"/>
        <v>0</v>
      </c>
      <c r="CU156" s="608">
        <f t="shared" si="266"/>
        <v>0</v>
      </c>
      <c r="CV156" s="610">
        <f t="shared" si="267"/>
        <v>42239.454545454544</v>
      </c>
      <c r="CW156" s="608">
        <f t="shared" si="268"/>
        <v>39885</v>
      </c>
      <c r="CX156" s="610">
        <f t="shared" si="269"/>
        <v>42239.454545454544</v>
      </c>
      <c r="CY156" s="611">
        <f t="shared" si="270"/>
        <v>39885</v>
      </c>
      <c r="CZ156" s="605">
        <f t="shared" si="271"/>
        <v>0</v>
      </c>
      <c r="DA156" s="612">
        <f t="shared" si="272"/>
        <v>0</v>
      </c>
      <c r="DB156" s="607">
        <f t="shared" si="273"/>
        <v>0</v>
      </c>
      <c r="DC156" s="606">
        <f t="shared" si="274"/>
        <v>0</v>
      </c>
      <c r="DD156" s="607">
        <f t="shared" si="275"/>
        <v>0</v>
      </c>
      <c r="DE156" s="606">
        <f t="shared" si="276"/>
        <v>0</v>
      </c>
      <c r="DF156" s="607">
        <f t="shared" si="277"/>
        <v>0</v>
      </c>
      <c r="DG156" s="606">
        <f t="shared" si="278"/>
        <v>0</v>
      </c>
      <c r="DH156" s="607">
        <f t="shared" si="279"/>
        <v>0</v>
      </c>
      <c r="DI156" s="608">
        <f t="shared" si="280"/>
        <v>0</v>
      </c>
      <c r="DJ156" s="607">
        <f t="shared" si="281"/>
        <v>87</v>
      </c>
      <c r="DK156" s="608">
        <f t="shared" si="282"/>
        <v>84</v>
      </c>
      <c r="DL156" s="607">
        <f t="shared" si="283"/>
        <v>87</v>
      </c>
      <c r="DM156" s="608">
        <f t="shared" si="284"/>
        <v>84</v>
      </c>
      <c r="DN156" s="607">
        <f t="shared" si="285"/>
        <v>0</v>
      </c>
      <c r="DO156" s="612">
        <f t="shared" si="286"/>
        <v>0</v>
      </c>
      <c r="DP156" s="607">
        <f t="shared" si="287"/>
        <v>0</v>
      </c>
      <c r="DQ156" s="606">
        <f t="shared" si="288"/>
        <v>0</v>
      </c>
      <c r="DR156" s="607">
        <f t="shared" si="289"/>
        <v>0</v>
      </c>
      <c r="DS156" s="606">
        <f t="shared" si="290"/>
        <v>0</v>
      </c>
      <c r="DT156" s="607">
        <f t="shared" si="291"/>
        <v>0</v>
      </c>
      <c r="DU156" s="606">
        <f t="shared" si="292"/>
        <v>0</v>
      </c>
      <c r="DV156" s="607">
        <f t="shared" si="293"/>
        <v>0</v>
      </c>
      <c r="DW156" s="608">
        <f t="shared" si="294"/>
        <v>0</v>
      </c>
      <c r="DX156" s="607">
        <f t="shared" si="295"/>
        <v>3674832.5454545454</v>
      </c>
      <c r="DY156" s="608">
        <f t="shared" si="296"/>
        <v>3350340</v>
      </c>
      <c r="DZ156" s="607">
        <f t="shared" si="297"/>
        <v>3674832.5454545454</v>
      </c>
      <c r="EA156" s="608">
        <f t="shared" si="298"/>
        <v>3350340</v>
      </c>
    </row>
    <row r="157" spans="1:131" x14ac:dyDescent="0.2">
      <c r="A157" s="378" t="s">
        <v>35</v>
      </c>
      <c r="B157" s="379" t="s">
        <v>562</v>
      </c>
      <c r="C157" s="531"/>
      <c r="D157" s="380">
        <v>366447</v>
      </c>
      <c r="E157" s="377">
        <v>12</v>
      </c>
      <c r="F157" s="598"/>
      <c r="G157" s="599"/>
      <c r="H157" s="600"/>
      <c r="I157" s="601"/>
      <c r="J157" s="600"/>
      <c r="K157" s="599"/>
      <c r="L157" s="600"/>
      <c r="M157" s="601"/>
      <c r="N157" s="600"/>
      <c r="O157" s="599"/>
      <c r="P157" s="600"/>
      <c r="Q157" s="601"/>
      <c r="R157" s="600"/>
      <c r="S157" s="599"/>
      <c r="T157" s="600"/>
      <c r="U157" s="601"/>
      <c r="V157" s="600"/>
      <c r="W157" s="599"/>
      <c r="X157" s="600"/>
      <c r="Y157" s="601"/>
      <c r="Z157" s="600"/>
      <c r="AA157" s="599"/>
      <c r="AB157" s="600"/>
      <c r="AC157" s="601"/>
      <c r="AD157" s="600"/>
      <c r="AE157" s="599"/>
      <c r="AF157" s="600"/>
      <c r="AG157" s="601"/>
      <c r="AH157" s="600"/>
      <c r="AI157" s="599"/>
      <c r="AJ157" s="600"/>
      <c r="AK157" s="601"/>
      <c r="AL157" s="600"/>
      <c r="AM157" s="599"/>
      <c r="AN157" s="600"/>
      <c r="AO157" s="601"/>
      <c r="AP157" s="600"/>
      <c r="AQ157" s="599"/>
      <c r="AR157" s="600"/>
      <c r="AS157" s="601"/>
      <c r="AT157" s="600"/>
      <c r="AU157" s="599"/>
      <c r="AV157" s="600"/>
      <c r="AW157" s="601"/>
      <c r="AX157" s="600">
        <v>48</v>
      </c>
      <c r="AY157" s="599"/>
      <c r="AZ157" s="600"/>
      <c r="BA157" s="601">
        <v>50</v>
      </c>
      <c r="BB157" s="602">
        <v>0</v>
      </c>
      <c r="BC157" s="599"/>
      <c r="BD157" s="600">
        <v>0</v>
      </c>
      <c r="BE157" s="599"/>
      <c r="BF157" s="600">
        <v>0</v>
      </c>
      <c r="BG157" s="599"/>
      <c r="BH157" s="600">
        <v>0</v>
      </c>
      <c r="BI157" s="599"/>
      <c r="BJ157" s="600">
        <v>0</v>
      </c>
      <c r="BK157" s="615"/>
      <c r="BL157" s="600">
        <v>2323584</v>
      </c>
      <c r="BM157" s="604">
        <v>2430452</v>
      </c>
      <c r="BN157" s="605">
        <f t="shared" si="233"/>
        <v>0</v>
      </c>
      <c r="BO157" s="606">
        <f t="shared" si="234"/>
        <v>0</v>
      </c>
      <c r="BP157" s="607">
        <f t="shared" si="235"/>
        <v>0</v>
      </c>
      <c r="BQ157" s="606">
        <f t="shared" si="236"/>
        <v>0</v>
      </c>
      <c r="BR157" s="607">
        <f t="shared" si="237"/>
        <v>0</v>
      </c>
      <c r="BS157" s="606">
        <f t="shared" si="238"/>
        <v>0</v>
      </c>
      <c r="BT157" s="607">
        <f t="shared" si="239"/>
        <v>0</v>
      </c>
      <c r="BU157" s="606">
        <f t="shared" si="240"/>
        <v>0</v>
      </c>
      <c r="BV157" s="607">
        <f t="shared" si="241"/>
        <v>0</v>
      </c>
      <c r="BW157" s="608">
        <f t="shared" si="242"/>
        <v>0</v>
      </c>
      <c r="BX157" s="607">
        <f t="shared" si="243"/>
        <v>528</v>
      </c>
      <c r="BY157" s="608">
        <f t="shared" si="244"/>
        <v>600</v>
      </c>
      <c r="BZ157" s="607">
        <f t="shared" si="245"/>
        <v>0</v>
      </c>
      <c r="CA157" s="608">
        <f t="shared" si="246"/>
        <v>0</v>
      </c>
      <c r="CB157" s="607">
        <f t="shared" si="247"/>
        <v>0</v>
      </c>
      <c r="CC157" s="608">
        <f t="shared" si="248"/>
        <v>0</v>
      </c>
      <c r="CD157" s="607">
        <f t="shared" si="249"/>
        <v>0</v>
      </c>
      <c r="CE157" s="608">
        <f t="shared" si="250"/>
        <v>0</v>
      </c>
      <c r="CF157" s="607">
        <f t="shared" si="251"/>
        <v>0</v>
      </c>
      <c r="CG157" s="608">
        <f t="shared" si="252"/>
        <v>0</v>
      </c>
      <c r="CH157" s="607">
        <f t="shared" si="253"/>
        <v>0</v>
      </c>
      <c r="CI157" s="608">
        <f t="shared" si="254"/>
        <v>0</v>
      </c>
      <c r="CJ157" s="607">
        <f t="shared" si="255"/>
        <v>4400.727272727273</v>
      </c>
      <c r="CK157" s="608">
        <f t="shared" si="256"/>
        <v>4050.7533333333336</v>
      </c>
      <c r="CL157" s="609">
        <f t="shared" si="257"/>
        <v>0</v>
      </c>
      <c r="CM157" s="608">
        <f t="shared" si="258"/>
        <v>0</v>
      </c>
      <c r="CN157" s="610">
        <f t="shared" si="259"/>
        <v>0</v>
      </c>
      <c r="CO157" s="606">
        <f t="shared" si="260"/>
        <v>0</v>
      </c>
      <c r="CP157" s="607">
        <f t="shared" si="261"/>
        <v>0</v>
      </c>
      <c r="CQ157" s="606">
        <f t="shared" si="262"/>
        <v>0</v>
      </c>
      <c r="CR157" s="607">
        <f t="shared" si="263"/>
        <v>0</v>
      </c>
      <c r="CS157" s="606">
        <f t="shared" si="264"/>
        <v>0</v>
      </c>
      <c r="CT157" s="607">
        <f t="shared" si="265"/>
        <v>0</v>
      </c>
      <c r="CU157" s="608">
        <f t="shared" si="266"/>
        <v>0</v>
      </c>
      <c r="CV157" s="610">
        <f t="shared" si="267"/>
        <v>39606.545454545456</v>
      </c>
      <c r="CW157" s="608">
        <f t="shared" si="268"/>
        <v>36456.78</v>
      </c>
      <c r="CX157" s="610">
        <f t="shared" si="269"/>
        <v>39606.545454545456</v>
      </c>
      <c r="CY157" s="611">
        <f t="shared" si="270"/>
        <v>36456.78</v>
      </c>
      <c r="CZ157" s="605">
        <f t="shared" si="271"/>
        <v>0</v>
      </c>
      <c r="DA157" s="612">
        <f t="shared" si="272"/>
        <v>0</v>
      </c>
      <c r="DB157" s="607">
        <f t="shared" si="273"/>
        <v>0</v>
      </c>
      <c r="DC157" s="606">
        <f t="shared" si="274"/>
        <v>0</v>
      </c>
      <c r="DD157" s="607">
        <f t="shared" si="275"/>
        <v>0</v>
      </c>
      <c r="DE157" s="606">
        <f t="shared" si="276"/>
        <v>0</v>
      </c>
      <c r="DF157" s="607">
        <f t="shared" si="277"/>
        <v>0</v>
      </c>
      <c r="DG157" s="606">
        <f t="shared" si="278"/>
        <v>0</v>
      </c>
      <c r="DH157" s="607">
        <f t="shared" si="279"/>
        <v>0</v>
      </c>
      <c r="DI157" s="608">
        <f t="shared" si="280"/>
        <v>0</v>
      </c>
      <c r="DJ157" s="607">
        <f t="shared" si="281"/>
        <v>48</v>
      </c>
      <c r="DK157" s="608">
        <f t="shared" si="282"/>
        <v>50</v>
      </c>
      <c r="DL157" s="607">
        <f t="shared" si="283"/>
        <v>48</v>
      </c>
      <c r="DM157" s="608">
        <f t="shared" si="284"/>
        <v>50</v>
      </c>
      <c r="DN157" s="607">
        <f t="shared" si="285"/>
        <v>0</v>
      </c>
      <c r="DO157" s="612">
        <f t="shared" si="286"/>
        <v>0</v>
      </c>
      <c r="DP157" s="607">
        <f t="shared" si="287"/>
        <v>0</v>
      </c>
      <c r="DQ157" s="606">
        <f t="shared" si="288"/>
        <v>0</v>
      </c>
      <c r="DR157" s="607">
        <f t="shared" si="289"/>
        <v>0</v>
      </c>
      <c r="DS157" s="606">
        <f t="shared" si="290"/>
        <v>0</v>
      </c>
      <c r="DT157" s="607">
        <f t="shared" si="291"/>
        <v>0</v>
      </c>
      <c r="DU157" s="606">
        <f t="shared" si="292"/>
        <v>0</v>
      </c>
      <c r="DV157" s="607">
        <f t="shared" si="293"/>
        <v>0</v>
      </c>
      <c r="DW157" s="608">
        <f t="shared" si="294"/>
        <v>0</v>
      </c>
      <c r="DX157" s="607">
        <f t="shared" si="295"/>
        <v>1901114.1818181819</v>
      </c>
      <c r="DY157" s="608">
        <f t="shared" si="296"/>
        <v>1822839</v>
      </c>
      <c r="DZ157" s="607">
        <f t="shared" si="297"/>
        <v>1901114.1818181819</v>
      </c>
      <c r="EA157" s="608">
        <f t="shared" si="298"/>
        <v>1822839</v>
      </c>
    </row>
    <row r="158" spans="1:131" x14ac:dyDescent="0.2">
      <c r="A158" s="381" t="s">
        <v>35</v>
      </c>
      <c r="B158" s="375" t="s">
        <v>563</v>
      </c>
      <c r="C158" s="552"/>
      <c r="D158" s="376">
        <v>246813</v>
      </c>
      <c r="E158" s="377">
        <v>12</v>
      </c>
      <c r="F158" s="598"/>
      <c r="G158" s="599"/>
      <c r="H158" s="600"/>
      <c r="I158" s="601"/>
      <c r="J158" s="600"/>
      <c r="K158" s="599"/>
      <c r="L158" s="600"/>
      <c r="M158" s="601"/>
      <c r="N158" s="600"/>
      <c r="O158" s="599"/>
      <c r="P158" s="600"/>
      <c r="Q158" s="601"/>
      <c r="R158" s="600"/>
      <c r="S158" s="599"/>
      <c r="T158" s="600"/>
      <c r="U158" s="601"/>
      <c r="V158" s="600"/>
      <c r="W158" s="599"/>
      <c r="X158" s="600"/>
      <c r="Y158" s="601"/>
      <c r="Z158" s="600"/>
      <c r="AA158" s="599"/>
      <c r="AB158" s="600"/>
      <c r="AC158" s="601"/>
      <c r="AD158" s="600"/>
      <c r="AE158" s="599"/>
      <c r="AF158" s="600"/>
      <c r="AG158" s="601"/>
      <c r="AH158" s="600"/>
      <c r="AI158" s="599"/>
      <c r="AJ158" s="600"/>
      <c r="AK158" s="601"/>
      <c r="AL158" s="600"/>
      <c r="AM158" s="599"/>
      <c r="AN158" s="600"/>
      <c r="AO158" s="601"/>
      <c r="AP158" s="600"/>
      <c r="AQ158" s="599"/>
      <c r="AR158" s="600"/>
      <c r="AS158" s="601"/>
      <c r="AT158" s="600">
        <v>14</v>
      </c>
      <c r="AU158" s="599">
        <v>11</v>
      </c>
      <c r="AV158" s="600"/>
      <c r="AW158" s="601"/>
      <c r="AX158" s="600">
        <v>84</v>
      </c>
      <c r="AY158" s="599"/>
      <c r="AZ158" s="600"/>
      <c r="BA158" s="601">
        <v>88</v>
      </c>
      <c r="BB158" s="602">
        <v>0</v>
      </c>
      <c r="BC158" s="599"/>
      <c r="BD158" s="600">
        <v>0</v>
      </c>
      <c r="BE158" s="599"/>
      <c r="BF158" s="600">
        <v>0</v>
      </c>
      <c r="BG158" s="599"/>
      <c r="BH158" s="600">
        <v>0</v>
      </c>
      <c r="BI158" s="599"/>
      <c r="BJ158" s="600">
        <v>0</v>
      </c>
      <c r="BK158" s="615"/>
      <c r="BL158" s="600">
        <v>6030248</v>
      </c>
      <c r="BM158" s="604">
        <v>5933158</v>
      </c>
      <c r="BN158" s="605">
        <f t="shared" si="233"/>
        <v>0</v>
      </c>
      <c r="BO158" s="606">
        <f t="shared" si="234"/>
        <v>0</v>
      </c>
      <c r="BP158" s="607">
        <f t="shared" si="235"/>
        <v>0</v>
      </c>
      <c r="BQ158" s="606">
        <f t="shared" si="236"/>
        <v>0</v>
      </c>
      <c r="BR158" s="607">
        <f t="shared" si="237"/>
        <v>0</v>
      </c>
      <c r="BS158" s="606">
        <f t="shared" si="238"/>
        <v>0</v>
      </c>
      <c r="BT158" s="607">
        <f t="shared" si="239"/>
        <v>0</v>
      </c>
      <c r="BU158" s="606">
        <f t="shared" si="240"/>
        <v>0</v>
      </c>
      <c r="BV158" s="607">
        <f t="shared" si="241"/>
        <v>0</v>
      </c>
      <c r="BW158" s="608">
        <f t="shared" si="242"/>
        <v>0</v>
      </c>
      <c r="BX158" s="607">
        <f t="shared" si="243"/>
        <v>1050</v>
      </c>
      <c r="BY158" s="608">
        <f t="shared" si="244"/>
        <v>1155</v>
      </c>
      <c r="BZ158" s="607">
        <f t="shared" si="245"/>
        <v>0</v>
      </c>
      <c r="CA158" s="608">
        <f t="shared" si="246"/>
        <v>0</v>
      </c>
      <c r="CB158" s="607">
        <f t="shared" si="247"/>
        <v>0</v>
      </c>
      <c r="CC158" s="608">
        <f t="shared" si="248"/>
        <v>0</v>
      </c>
      <c r="CD158" s="607">
        <f t="shared" si="249"/>
        <v>0</v>
      </c>
      <c r="CE158" s="608">
        <f t="shared" si="250"/>
        <v>0</v>
      </c>
      <c r="CF158" s="607">
        <f t="shared" si="251"/>
        <v>0</v>
      </c>
      <c r="CG158" s="608">
        <f t="shared" si="252"/>
        <v>0</v>
      </c>
      <c r="CH158" s="607">
        <f t="shared" si="253"/>
        <v>0</v>
      </c>
      <c r="CI158" s="608">
        <f t="shared" si="254"/>
        <v>0</v>
      </c>
      <c r="CJ158" s="607">
        <f t="shared" si="255"/>
        <v>5743.0933333333332</v>
      </c>
      <c r="CK158" s="608">
        <f t="shared" si="256"/>
        <v>5136.9333333333334</v>
      </c>
      <c r="CL158" s="609">
        <f t="shared" si="257"/>
        <v>0</v>
      </c>
      <c r="CM158" s="608">
        <f t="shared" si="258"/>
        <v>0</v>
      </c>
      <c r="CN158" s="610">
        <f t="shared" si="259"/>
        <v>0</v>
      </c>
      <c r="CO158" s="606">
        <f t="shared" si="260"/>
        <v>0</v>
      </c>
      <c r="CP158" s="607">
        <f t="shared" si="261"/>
        <v>0</v>
      </c>
      <c r="CQ158" s="606">
        <f t="shared" si="262"/>
        <v>0</v>
      </c>
      <c r="CR158" s="607">
        <f t="shared" si="263"/>
        <v>0</v>
      </c>
      <c r="CS158" s="606">
        <f t="shared" si="264"/>
        <v>0</v>
      </c>
      <c r="CT158" s="607">
        <f t="shared" si="265"/>
        <v>0</v>
      </c>
      <c r="CU158" s="608">
        <f t="shared" si="266"/>
        <v>0</v>
      </c>
      <c r="CV158" s="610">
        <f t="shared" si="267"/>
        <v>51687.839999999997</v>
      </c>
      <c r="CW158" s="608">
        <f t="shared" si="268"/>
        <v>46232.4</v>
      </c>
      <c r="CX158" s="610">
        <f t="shared" si="269"/>
        <v>51687.839999999997</v>
      </c>
      <c r="CY158" s="611">
        <f t="shared" si="270"/>
        <v>46232.400000000009</v>
      </c>
      <c r="CZ158" s="605">
        <f t="shared" si="271"/>
        <v>0</v>
      </c>
      <c r="DA158" s="612">
        <f t="shared" si="272"/>
        <v>0</v>
      </c>
      <c r="DB158" s="607">
        <f t="shared" si="273"/>
        <v>0</v>
      </c>
      <c r="DC158" s="606">
        <f t="shared" si="274"/>
        <v>0</v>
      </c>
      <c r="DD158" s="607">
        <f t="shared" si="275"/>
        <v>0</v>
      </c>
      <c r="DE158" s="606">
        <f t="shared" si="276"/>
        <v>0</v>
      </c>
      <c r="DF158" s="607">
        <f t="shared" si="277"/>
        <v>0</v>
      </c>
      <c r="DG158" s="606">
        <f t="shared" si="278"/>
        <v>0</v>
      </c>
      <c r="DH158" s="607">
        <f t="shared" si="279"/>
        <v>0</v>
      </c>
      <c r="DI158" s="608">
        <f t="shared" si="280"/>
        <v>0</v>
      </c>
      <c r="DJ158" s="607">
        <f t="shared" si="281"/>
        <v>98</v>
      </c>
      <c r="DK158" s="608">
        <f t="shared" si="282"/>
        <v>99</v>
      </c>
      <c r="DL158" s="607">
        <f t="shared" si="283"/>
        <v>98</v>
      </c>
      <c r="DM158" s="608">
        <f t="shared" si="284"/>
        <v>99</v>
      </c>
      <c r="DN158" s="607">
        <f t="shared" si="285"/>
        <v>0</v>
      </c>
      <c r="DO158" s="612">
        <f t="shared" si="286"/>
        <v>0</v>
      </c>
      <c r="DP158" s="607">
        <f t="shared" si="287"/>
        <v>0</v>
      </c>
      <c r="DQ158" s="606">
        <f t="shared" si="288"/>
        <v>0</v>
      </c>
      <c r="DR158" s="607">
        <f t="shared" si="289"/>
        <v>0</v>
      </c>
      <c r="DS158" s="606">
        <f t="shared" si="290"/>
        <v>0</v>
      </c>
      <c r="DT158" s="607">
        <f t="shared" si="291"/>
        <v>0</v>
      </c>
      <c r="DU158" s="606">
        <f t="shared" si="292"/>
        <v>0</v>
      </c>
      <c r="DV158" s="607">
        <f t="shared" si="293"/>
        <v>0</v>
      </c>
      <c r="DW158" s="608">
        <f t="shared" si="294"/>
        <v>0</v>
      </c>
      <c r="DX158" s="607">
        <f t="shared" si="295"/>
        <v>5065408.3199999994</v>
      </c>
      <c r="DY158" s="608">
        <f t="shared" si="296"/>
        <v>4577007.6000000006</v>
      </c>
      <c r="DZ158" s="607">
        <f t="shared" si="297"/>
        <v>5065408.3199999994</v>
      </c>
      <c r="EA158" s="608">
        <f t="shared" si="298"/>
        <v>4577007.6000000006</v>
      </c>
    </row>
    <row r="159" spans="1:131" x14ac:dyDescent="0.2">
      <c r="A159" s="381" t="s">
        <v>35</v>
      </c>
      <c r="B159" s="375" t="s">
        <v>564</v>
      </c>
      <c r="C159" s="552"/>
      <c r="D159" s="376">
        <v>138840</v>
      </c>
      <c r="E159" s="377">
        <v>12</v>
      </c>
      <c r="F159" s="598"/>
      <c r="G159" s="599"/>
      <c r="H159" s="600"/>
      <c r="I159" s="601"/>
      <c r="J159" s="600"/>
      <c r="K159" s="599"/>
      <c r="L159" s="600"/>
      <c r="M159" s="601"/>
      <c r="N159" s="600"/>
      <c r="O159" s="599"/>
      <c r="P159" s="600"/>
      <c r="Q159" s="601"/>
      <c r="R159" s="600"/>
      <c r="S159" s="599"/>
      <c r="T159" s="600"/>
      <c r="U159" s="601"/>
      <c r="V159" s="600"/>
      <c r="W159" s="599"/>
      <c r="X159" s="600"/>
      <c r="Y159" s="601"/>
      <c r="Z159" s="600"/>
      <c r="AA159" s="599"/>
      <c r="AB159" s="600"/>
      <c r="AC159" s="601"/>
      <c r="AD159" s="600"/>
      <c r="AE159" s="599"/>
      <c r="AF159" s="600"/>
      <c r="AG159" s="601"/>
      <c r="AH159" s="600"/>
      <c r="AI159" s="599"/>
      <c r="AJ159" s="600"/>
      <c r="AK159" s="601"/>
      <c r="AL159" s="600"/>
      <c r="AM159" s="599"/>
      <c r="AN159" s="600"/>
      <c r="AO159" s="601"/>
      <c r="AP159" s="600"/>
      <c r="AQ159" s="599"/>
      <c r="AR159" s="600"/>
      <c r="AS159" s="601"/>
      <c r="AT159" s="600"/>
      <c r="AU159" s="599"/>
      <c r="AV159" s="600"/>
      <c r="AW159" s="601"/>
      <c r="AX159" s="600">
        <v>95</v>
      </c>
      <c r="AY159" s="599"/>
      <c r="AZ159" s="600"/>
      <c r="BA159" s="601">
        <v>110</v>
      </c>
      <c r="BB159" s="602">
        <v>0</v>
      </c>
      <c r="BC159" s="599"/>
      <c r="BD159" s="600">
        <v>0</v>
      </c>
      <c r="BE159" s="599"/>
      <c r="BF159" s="600">
        <v>0</v>
      </c>
      <c r="BG159" s="599"/>
      <c r="BH159" s="600">
        <v>0</v>
      </c>
      <c r="BI159" s="599"/>
      <c r="BJ159" s="600">
        <v>0</v>
      </c>
      <c r="BK159" s="615"/>
      <c r="BL159" s="600">
        <v>5038800</v>
      </c>
      <c r="BM159" s="604">
        <v>5827718</v>
      </c>
      <c r="BN159" s="605">
        <f t="shared" si="233"/>
        <v>0</v>
      </c>
      <c r="BO159" s="606">
        <f t="shared" si="234"/>
        <v>0</v>
      </c>
      <c r="BP159" s="607">
        <f t="shared" si="235"/>
        <v>0</v>
      </c>
      <c r="BQ159" s="606">
        <f t="shared" si="236"/>
        <v>0</v>
      </c>
      <c r="BR159" s="607">
        <f t="shared" si="237"/>
        <v>0</v>
      </c>
      <c r="BS159" s="606">
        <f t="shared" si="238"/>
        <v>0</v>
      </c>
      <c r="BT159" s="607">
        <f t="shared" si="239"/>
        <v>0</v>
      </c>
      <c r="BU159" s="606">
        <f t="shared" si="240"/>
        <v>0</v>
      </c>
      <c r="BV159" s="607">
        <f t="shared" si="241"/>
        <v>0</v>
      </c>
      <c r="BW159" s="608">
        <f t="shared" si="242"/>
        <v>0</v>
      </c>
      <c r="BX159" s="607">
        <f t="shared" si="243"/>
        <v>1045</v>
      </c>
      <c r="BY159" s="608">
        <f t="shared" si="244"/>
        <v>1320</v>
      </c>
      <c r="BZ159" s="607">
        <f t="shared" si="245"/>
        <v>0</v>
      </c>
      <c r="CA159" s="608">
        <f t="shared" si="246"/>
        <v>0</v>
      </c>
      <c r="CB159" s="607">
        <f t="shared" si="247"/>
        <v>0</v>
      </c>
      <c r="CC159" s="608">
        <f t="shared" si="248"/>
        <v>0</v>
      </c>
      <c r="CD159" s="607">
        <f t="shared" si="249"/>
        <v>0</v>
      </c>
      <c r="CE159" s="608">
        <f t="shared" si="250"/>
        <v>0</v>
      </c>
      <c r="CF159" s="607">
        <f t="shared" si="251"/>
        <v>0</v>
      </c>
      <c r="CG159" s="608">
        <f t="shared" si="252"/>
        <v>0</v>
      </c>
      <c r="CH159" s="607">
        <f t="shared" si="253"/>
        <v>0</v>
      </c>
      <c r="CI159" s="608">
        <f t="shared" si="254"/>
        <v>0</v>
      </c>
      <c r="CJ159" s="607">
        <f t="shared" si="255"/>
        <v>4821.818181818182</v>
      </c>
      <c r="CK159" s="608">
        <f t="shared" si="256"/>
        <v>4414.9378787878786</v>
      </c>
      <c r="CL159" s="609">
        <f t="shared" si="257"/>
        <v>0</v>
      </c>
      <c r="CM159" s="608">
        <f t="shared" si="258"/>
        <v>0</v>
      </c>
      <c r="CN159" s="610">
        <f t="shared" si="259"/>
        <v>0</v>
      </c>
      <c r="CO159" s="606">
        <f t="shared" si="260"/>
        <v>0</v>
      </c>
      <c r="CP159" s="607">
        <f t="shared" si="261"/>
        <v>0</v>
      </c>
      <c r="CQ159" s="606">
        <f t="shared" si="262"/>
        <v>0</v>
      </c>
      <c r="CR159" s="607">
        <f t="shared" si="263"/>
        <v>0</v>
      </c>
      <c r="CS159" s="606">
        <f t="shared" si="264"/>
        <v>0</v>
      </c>
      <c r="CT159" s="607">
        <f t="shared" si="265"/>
        <v>0</v>
      </c>
      <c r="CU159" s="608">
        <f t="shared" si="266"/>
        <v>0</v>
      </c>
      <c r="CV159" s="610">
        <f t="shared" si="267"/>
        <v>43396.36363636364</v>
      </c>
      <c r="CW159" s="608">
        <f t="shared" si="268"/>
        <v>39734.44090909091</v>
      </c>
      <c r="CX159" s="610">
        <f t="shared" si="269"/>
        <v>43396.36363636364</v>
      </c>
      <c r="CY159" s="611">
        <f t="shared" si="270"/>
        <v>39734.44090909091</v>
      </c>
      <c r="CZ159" s="605">
        <f t="shared" si="271"/>
        <v>0</v>
      </c>
      <c r="DA159" s="612">
        <f t="shared" si="272"/>
        <v>0</v>
      </c>
      <c r="DB159" s="607">
        <f t="shared" si="273"/>
        <v>0</v>
      </c>
      <c r="DC159" s="606">
        <f t="shared" si="274"/>
        <v>0</v>
      </c>
      <c r="DD159" s="607">
        <f t="shared" si="275"/>
        <v>0</v>
      </c>
      <c r="DE159" s="606">
        <f t="shared" si="276"/>
        <v>0</v>
      </c>
      <c r="DF159" s="607">
        <f t="shared" si="277"/>
        <v>0</v>
      </c>
      <c r="DG159" s="606">
        <f t="shared" si="278"/>
        <v>0</v>
      </c>
      <c r="DH159" s="607">
        <f t="shared" si="279"/>
        <v>0</v>
      </c>
      <c r="DI159" s="608">
        <f t="shared" si="280"/>
        <v>0</v>
      </c>
      <c r="DJ159" s="607">
        <f t="shared" si="281"/>
        <v>95</v>
      </c>
      <c r="DK159" s="608">
        <f t="shared" si="282"/>
        <v>110</v>
      </c>
      <c r="DL159" s="607">
        <f t="shared" si="283"/>
        <v>95</v>
      </c>
      <c r="DM159" s="608">
        <f t="shared" si="284"/>
        <v>110</v>
      </c>
      <c r="DN159" s="607">
        <f t="shared" si="285"/>
        <v>0</v>
      </c>
      <c r="DO159" s="612">
        <f t="shared" si="286"/>
        <v>0</v>
      </c>
      <c r="DP159" s="607">
        <f t="shared" si="287"/>
        <v>0</v>
      </c>
      <c r="DQ159" s="606">
        <f t="shared" si="288"/>
        <v>0</v>
      </c>
      <c r="DR159" s="607">
        <f t="shared" si="289"/>
        <v>0</v>
      </c>
      <c r="DS159" s="606">
        <f t="shared" si="290"/>
        <v>0</v>
      </c>
      <c r="DT159" s="607">
        <f t="shared" si="291"/>
        <v>0</v>
      </c>
      <c r="DU159" s="606">
        <f t="shared" si="292"/>
        <v>0</v>
      </c>
      <c r="DV159" s="607">
        <f t="shared" si="293"/>
        <v>0</v>
      </c>
      <c r="DW159" s="608">
        <f t="shared" si="294"/>
        <v>0</v>
      </c>
      <c r="DX159" s="607">
        <f t="shared" si="295"/>
        <v>4122654.5454545459</v>
      </c>
      <c r="DY159" s="608">
        <f t="shared" si="296"/>
        <v>4370788.5</v>
      </c>
      <c r="DZ159" s="607">
        <f t="shared" si="297"/>
        <v>4122654.5454545459</v>
      </c>
      <c r="EA159" s="608">
        <f t="shared" si="298"/>
        <v>4370788.5</v>
      </c>
    </row>
    <row r="160" spans="1:131" x14ac:dyDescent="0.2">
      <c r="A160" s="381" t="s">
        <v>35</v>
      </c>
      <c r="B160" s="375" t="s">
        <v>565</v>
      </c>
      <c r="C160" s="552"/>
      <c r="D160" s="376">
        <v>138956</v>
      </c>
      <c r="E160" s="377">
        <v>12</v>
      </c>
      <c r="F160" s="598"/>
      <c r="G160" s="599"/>
      <c r="H160" s="600"/>
      <c r="I160" s="601"/>
      <c r="J160" s="600"/>
      <c r="K160" s="599"/>
      <c r="L160" s="600"/>
      <c r="M160" s="601"/>
      <c r="N160" s="600"/>
      <c r="O160" s="599"/>
      <c r="P160" s="600"/>
      <c r="Q160" s="601"/>
      <c r="R160" s="600"/>
      <c r="S160" s="599"/>
      <c r="T160" s="600"/>
      <c r="U160" s="601"/>
      <c r="V160" s="600"/>
      <c r="W160" s="599"/>
      <c r="X160" s="600"/>
      <c r="Y160" s="601"/>
      <c r="Z160" s="600"/>
      <c r="AA160" s="599"/>
      <c r="AB160" s="600"/>
      <c r="AC160" s="601"/>
      <c r="AD160" s="600"/>
      <c r="AE160" s="599"/>
      <c r="AF160" s="600"/>
      <c r="AG160" s="601"/>
      <c r="AH160" s="600"/>
      <c r="AI160" s="599"/>
      <c r="AJ160" s="600"/>
      <c r="AK160" s="601"/>
      <c r="AL160" s="600"/>
      <c r="AM160" s="599"/>
      <c r="AN160" s="600"/>
      <c r="AO160" s="601"/>
      <c r="AP160" s="600"/>
      <c r="AQ160" s="599"/>
      <c r="AR160" s="600"/>
      <c r="AS160" s="601"/>
      <c r="AT160" s="600">
        <v>2</v>
      </c>
      <c r="AU160" s="599"/>
      <c r="AV160" s="600"/>
      <c r="AW160" s="601">
        <v>1</v>
      </c>
      <c r="AX160" s="600">
        <v>131</v>
      </c>
      <c r="AY160" s="599">
        <v>2</v>
      </c>
      <c r="AZ160" s="600"/>
      <c r="BA160" s="601">
        <v>135</v>
      </c>
      <c r="BB160" s="602">
        <v>0</v>
      </c>
      <c r="BC160" s="599"/>
      <c r="BD160" s="600">
        <v>0</v>
      </c>
      <c r="BE160" s="599"/>
      <c r="BF160" s="600">
        <v>0</v>
      </c>
      <c r="BG160" s="599"/>
      <c r="BH160" s="600">
        <v>0</v>
      </c>
      <c r="BI160" s="599"/>
      <c r="BJ160" s="600">
        <v>0</v>
      </c>
      <c r="BK160" s="615"/>
      <c r="BL160" s="600">
        <v>7642864</v>
      </c>
      <c r="BM160" s="604">
        <v>8046284</v>
      </c>
      <c r="BN160" s="605">
        <f t="shared" si="233"/>
        <v>0</v>
      </c>
      <c r="BO160" s="606">
        <f t="shared" si="234"/>
        <v>0</v>
      </c>
      <c r="BP160" s="607">
        <f t="shared" si="235"/>
        <v>0</v>
      </c>
      <c r="BQ160" s="606">
        <f t="shared" si="236"/>
        <v>0</v>
      </c>
      <c r="BR160" s="607">
        <f t="shared" si="237"/>
        <v>0</v>
      </c>
      <c r="BS160" s="606">
        <f t="shared" si="238"/>
        <v>0</v>
      </c>
      <c r="BT160" s="607">
        <f t="shared" si="239"/>
        <v>0</v>
      </c>
      <c r="BU160" s="606">
        <f t="shared" si="240"/>
        <v>0</v>
      </c>
      <c r="BV160" s="607">
        <f t="shared" si="241"/>
        <v>0</v>
      </c>
      <c r="BW160" s="608">
        <f t="shared" si="242"/>
        <v>0</v>
      </c>
      <c r="BX160" s="607">
        <f t="shared" si="243"/>
        <v>1459</v>
      </c>
      <c r="BY160" s="608">
        <f t="shared" si="244"/>
        <v>1652</v>
      </c>
      <c r="BZ160" s="607">
        <f t="shared" si="245"/>
        <v>0</v>
      </c>
      <c r="CA160" s="608">
        <f t="shared" si="246"/>
        <v>0</v>
      </c>
      <c r="CB160" s="607">
        <f t="shared" si="247"/>
        <v>0</v>
      </c>
      <c r="CC160" s="608">
        <f t="shared" si="248"/>
        <v>0</v>
      </c>
      <c r="CD160" s="607">
        <f t="shared" si="249"/>
        <v>0</v>
      </c>
      <c r="CE160" s="608">
        <f t="shared" si="250"/>
        <v>0</v>
      </c>
      <c r="CF160" s="607">
        <f t="shared" si="251"/>
        <v>0</v>
      </c>
      <c r="CG160" s="608">
        <f t="shared" si="252"/>
        <v>0</v>
      </c>
      <c r="CH160" s="607">
        <f t="shared" si="253"/>
        <v>0</v>
      </c>
      <c r="CI160" s="608">
        <f t="shared" si="254"/>
        <v>0</v>
      </c>
      <c r="CJ160" s="607">
        <f t="shared" si="255"/>
        <v>5238.4263193968472</v>
      </c>
      <c r="CK160" s="608">
        <f t="shared" si="256"/>
        <v>4870.6319612590796</v>
      </c>
      <c r="CL160" s="609">
        <f t="shared" si="257"/>
        <v>0</v>
      </c>
      <c r="CM160" s="608">
        <f t="shared" si="258"/>
        <v>0</v>
      </c>
      <c r="CN160" s="610">
        <f t="shared" si="259"/>
        <v>0</v>
      </c>
      <c r="CO160" s="606">
        <f t="shared" si="260"/>
        <v>0</v>
      </c>
      <c r="CP160" s="607">
        <f t="shared" si="261"/>
        <v>0</v>
      </c>
      <c r="CQ160" s="606">
        <f t="shared" si="262"/>
        <v>0</v>
      </c>
      <c r="CR160" s="607">
        <f t="shared" si="263"/>
        <v>0</v>
      </c>
      <c r="CS160" s="606">
        <f t="shared" si="264"/>
        <v>0</v>
      </c>
      <c r="CT160" s="607">
        <f t="shared" si="265"/>
        <v>0</v>
      </c>
      <c r="CU160" s="608">
        <f t="shared" si="266"/>
        <v>0</v>
      </c>
      <c r="CV160" s="610">
        <f t="shared" si="267"/>
        <v>47145.836874571629</v>
      </c>
      <c r="CW160" s="608">
        <f t="shared" si="268"/>
        <v>43835.687651331718</v>
      </c>
      <c r="CX160" s="610">
        <f t="shared" si="269"/>
        <v>47145.836874571629</v>
      </c>
      <c r="CY160" s="611">
        <f t="shared" si="270"/>
        <v>43835.687651331718</v>
      </c>
      <c r="CZ160" s="605">
        <f t="shared" si="271"/>
        <v>0</v>
      </c>
      <c r="DA160" s="612">
        <f t="shared" si="272"/>
        <v>0</v>
      </c>
      <c r="DB160" s="607">
        <f t="shared" si="273"/>
        <v>0</v>
      </c>
      <c r="DC160" s="606">
        <f t="shared" si="274"/>
        <v>0</v>
      </c>
      <c r="DD160" s="607">
        <f t="shared" si="275"/>
        <v>0</v>
      </c>
      <c r="DE160" s="606">
        <f t="shared" si="276"/>
        <v>0</v>
      </c>
      <c r="DF160" s="607">
        <f t="shared" si="277"/>
        <v>0</v>
      </c>
      <c r="DG160" s="606">
        <f t="shared" si="278"/>
        <v>0</v>
      </c>
      <c r="DH160" s="607">
        <f t="shared" si="279"/>
        <v>0</v>
      </c>
      <c r="DI160" s="608">
        <f t="shared" si="280"/>
        <v>0</v>
      </c>
      <c r="DJ160" s="607">
        <f t="shared" si="281"/>
        <v>133</v>
      </c>
      <c r="DK160" s="608">
        <f t="shared" si="282"/>
        <v>138</v>
      </c>
      <c r="DL160" s="607">
        <f t="shared" si="283"/>
        <v>133</v>
      </c>
      <c r="DM160" s="608">
        <f t="shared" si="284"/>
        <v>138</v>
      </c>
      <c r="DN160" s="607">
        <f t="shared" si="285"/>
        <v>0</v>
      </c>
      <c r="DO160" s="612">
        <f t="shared" si="286"/>
        <v>0</v>
      </c>
      <c r="DP160" s="607">
        <f t="shared" si="287"/>
        <v>0</v>
      </c>
      <c r="DQ160" s="606">
        <f t="shared" si="288"/>
        <v>0</v>
      </c>
      <c r="DR160" s="607">
        <f t="shared" si="289"/>
        <v>0</v>
      </c>
      <c r="DS160" s="606">
        <f t="shared" si="290"/>
        <v>0</v>
      </c>
      <c r="DT160" s="607">
        <f t="shared" si="291"/>
        <v>0</v>
      </c>
      <c r="DU160" s="606">
        <f t="shared" si="292"/>
        <v>0</v>
      </c>
      <c r="DV160" s="607">
        <f t="shared" si="293"/>
        <v>0</v>
      </c>
      <c r="DW160" s="608">
        <f t="shared" si="294"/>
        <v>0</v>
      </c>
      <c r="DX160" s="607">
        <f t="shared" si="295"/>
        <v>6270396.3043180266</v>
      </c>
      <c r="DY160" s="608">
        <f t="shared" si="296"/>
        <v>6049324.8958837772</v>
      </c>
      <c r="DZ160" s="607">
        <f t="shared" si="297"/>
        <v>6270396.3043180266</v>
      </c>
      <c r="EA160" s="608">
        <f t="shared" si="298"/>
        <v>6049324.8958837772</v>
      </c>
    </row>
    <row r="161" spans="1:131" x14ac:dyDescent="0.2">
      <c r="A161" s="381" t="s">
        <v>35</v>
      </c>
      <c r="B161" s="375" t="s">
        <v>566</v>
      </c>
      <c r="C161" s="552"/>
      <c r="D161" s="376">
        <v>140304</v>
      </c>
      <c r="E161" s="377">
        <v>12</v>
      </c>
      <c r="F161" s="598"/>
      <c r="G161" s="599"/>
      <c r="H161" s="600"/>
      <c r="I161" s="601"/>
      <c r="J161" s="600"/>
      <c r="K161" s="599"/>
      <c r="L161" s="600"/>
      <c r="M161" s="601"/>
      <c r="N161" s="600"/>
      <c r="O161" s="599"/>
      <c r="P161" s="600"/>
      <c r="Q161" s="601"/>
      <c r="R161" s="600"/>
      <c r="S161" s="599"/>
      <c r="T161" s="600"/>
      <c r="U161" s="601"/>
      <c r="V161" s="600"/>
      <c r="W161" s="599"/>
      <c r="X161" s="600"/>
      <c r="Y161" s="601"/>
      <c r="Z161" s="600"/>
      <c r="AA161" s="599"/>
      <c r="AB161" s="600"/>
      <c r="AC161" s="601"/>
      <c r="AD161" s="600"/>
      <c r="AE161" s="599"/>
      <c r="AF161" s="600"/>
      <c r="AG161" s="601"/>
      <c r="AH161" s="600"/>
      <c r="AI161" s="599"/>
      <c r="AJ161" s="600"/>
      <c r="AK161" s="601"/>
      <c r="AL161" s="600"/>
      <c r="AM161" s="599"/>
      <c r="AN161" s="600"/>
      <c r="AO161" s="601"/>
      <c r="AP161" s="600"/>
      <c r="AQ161" s="599"/>
      <c r="AR161" s="600"/>
      <c r="AS161" s="601"/>
      <c r="AT161" s="600">
        <v>1</v>
      </c>
      <c r="AU161" s="599"/>
      <c r="AV161" s="600"/>
      <c r="AW161" s="601"/>
      <c r="AX161" s="600">
        <v>123</v>
      </c>
      <c r="AY161" s="599">
        <v>1</v>
      </c>
      <c r="AZ161" s="600"/>
      <c r="BA161" s="601">
        <v>120</v>
      </c>
      <c r="BB161" s="602">
        <v>0</v>
      </c>
      <c r="BC161" s="599"/>
      <c r="BD161" s="600">
        <v>0</v>
      </c>
      <c r="BE161" s="599"/>
      <c r="BF161" s="600">
        <v>0</v>
      </c>
      <c r="BG161" s="599"/>
      <c r="BH161" s="600">
        <v>0</v>
      </c>
      <c r="BI161" s="599"/>
      <c r="BJ161" s="600">
        <v>0</v>
      </c>
      <c r="BK161" s="615"/>
      <c r="BL161" s="600">
        <v>8686121</v>
      </c>
      <c r="BM161" s="604">
        <v>9108977</v>
      </c>
      <c r="BN161" s="605">
        <f t="shared" si="233"/>
        <v>0</v>
      </c>
      <c r="BO161" s="606">
        <f t="shared" si="234"/>
        <v>0</v>
      </c>
      <c r="BP161" s="607">
        <f t="shared" si="235"/>
        <v>0</v>
      </c>
      <c r="BQ161" s="606">
        <f t="shared" si="236"/>
        <v>0</v>
      </c>
      <c r="BR161" s="607">
        <f t="shared" si="237"/>
        <v>0</v>
      </c>
      <c r="BS161" s="606">
        <f t="shared" si="238"/>
        <v>0</v>
      </c>
      <c r="BT161" s="607">
        <f t="shared" si="239"/>
        <v>0</v>
      </c>
      <c r="BU161" s="606">
        <f t="shared" si="240"/>
        <v>0</v>
      </c>
      <c r="BV161" s="607">
        <f t="shared" si="241"/>
        <v>0</v>
      </c>
      <c r="BW161" s="608">
        <f t="shared" si="242"/>
        <v>0</v>
      </c>
      <c r="BX161" s="607">
        <f t="shared" si="243"/>
        <v>1362</v>
      </c>
      <c r="BY161" s="608">
        <f t="shared" si="244"/>
        <v>1451</v>
      </c>
      <c r="BZ161" s="607">
        <f t="shared" si="245"/>
        <v>0</v>
      </c>
      <c r="CA161" s="608">
        <f t="shared" si="246"/>
        <v>0</v>
      </c>
      <c r="CB161" s="607">
        <f t="shared" si="247"/>
        <v>0</v>
      </c>
      <c r="CC161" s="608">
        <f t="shared" si="248"/>
        <v>0</v>
      </c>
      <c r="CD161" s="607">
        <f t="shared" si="249"/>
        <v>0</v>
      </c>
      <c r="CE161" s="608">
        <f t="shared" si="250"/>
        <v>0</v>
      </c>
      <c r="CF161" s="607">
        <f t="shared" si="251"/>
        <v>0</v>
      </c>
      <c r="CG161" s="608">
        <f t="shared" si="252"/>
        <v>0</v>
      </c>
      <c r="CH161" s="607">
        <f t="shared" si="253"/>
        <v>0</v>
      </c>
      <c r="CI161" s="608">
        <f t="shared" si="254"/>
        <v>0</v>
      </c>
      <c r="CJ161" s="607">
        <f t="shared" si="255"/>
        <v>6377.4750367107199</v>
      </c>
      <c r="CK161" s="608">
        <f t="shared" si="256"/>
        <v>6277.7236388697447</v>
      </c>
      <c r="CL161" s="609">
        <f t="shared" si="257"/>
        <v>0</v>
      </c>
      <c r="CM161" s="608">
        <f t="shared" si="258"/>
        <v>0</v>
      </c>
      <c r="CN161" s="610">
        <f t="shared" si="259"/>
        <v>0</v>
      </c>
      <c r="CO161" s="606">
        <f t="shared" si="260"/>
        <v>0</v>
      </c>
      <c r="CP161" s="607">
        <f t="shared" si="261"/>
        <v>0</v>
      </c>
      <c r="CQ161" s="606">
        <f t="shared" si="262"/>
        <v>0</v>
      </c>
      <c r="CR161" s="607">
        <f t="shared" si="263"/>
        <v>0</v>
      </c>
      <c r="CS161" s="606">
        <f t="shared" si="264"/>
        <v>0</v>
      </c>
      <c r="CT161" s="607">
        <f t="shared" si="265"/>
        <v>0</v>
      </c>
      <c r="CU161" s="608">
        <f t="shared" si="266"/>
        <v>0</v>
      </c>
      <c r="CV161" s="610">
        <f t="shared" si="267"/>
        <v>57397.275330396478</v>
      </c>
      <c r="CW161" s="608">
        <f t="shared" si="268"/>
        <v>56499.5127498277</v>
      </c>
      <c r="CX161" s="610">
        <f t="shared" si="269"/>
        <v>57397.275330396478</v>
      </c>
      <c r="CY161" s="611">
        <f t="shared" si="270"/>
        <v>56499.5127498277</v>
      </c>
      <c r="CZ161" s="605">
        <f t="shared" si="271"/>
        <v>0</v>
      </c>
      <c r="DA161" s="612">
        <f t="shared" si="272"/>
        <v>0</v>
      </c>
      <c r="DB161" s="607">
        <f t="shared" si="273"/>
        <v>0</v>
      </c>
      <c r="DC161" s="606">
        <f t="shared" si="274"/>
        <v>0</v>
      </c>
      <c r="DD161" s="607">
        <f t="shared" si="275"/>
        <v>0</v>
      </c>
      <c r="DE161" s="606">
        <f t="shared" si="276"/>
        <v>0</v>
      </c>
      <c r="DF161" s="607">
        <f t="shared" si="277"/>
        <v>0</v>
      </c>
      <c r="DG161" s="606">
        <f t="shared" si="278"/>
        <v>0</v>
      </c>
      <c r="DH161" s="607">
        <f t="shared" si="279"/>
        <v>0</v>
      </c>
      <c r="DI161" s="608">
        <f t="shared" si="280"/>
        <v>0</v>
      </c>
      <c r="DJ161" s="607">
        <f t="shared" si="281"/>
        <v>124</v>
      </c>
      <c r="DK161" s="608">
        <f t="shared" si="282"/>
        <v>121</v>
      </c>
      <c r="DL161" s="607">
        <f t="shared" si="283"/>
        <v>124</v>
      </c>
      <c r="DM161" s="608">
        <f t="shared" si="284"/>
        <v>121</v>
      </c>
      <c r="DN161" s="607">
        <f t="shared" si="285"/>
        <v>0</v>
      </c>
      <c r="DO161" s="612">
        <f t="shared" si="286"/>
        <v>0</v>
      </c>
      <c r="DP161" s="607">
        <f t="shared" si="287"/>
        <v>0</v>
      </c>
      <c r="DQ161" s="606">
        <f t="shared" si="288"/>
        <v>0</v>
      </c>
      <c r="DR161" s="607">
        <f t="shared" si="289"/>
        <v>0</v>
      </c>
      <c r="DS161" s="606">
        <f t="shared" si="290"/>
        <v>0</v>
      </c>
      <c r="DT161" s="607">
        <f t="shared" si="291"/>
        <v>0</v>
      </c>
      <c r="DU161" s="606">
        <f t="shared" si="292"/>
        <v>0</v>
      </c>
      <c r="DV161" s="607">
        <f t="shared" si="293"/>
        <v>0</v>
      </c>
      <c r="DW161" s="608">
        <f t="shared" si="294"/>
        <v>0</v>
      </c>
      <c r="DX161" s="607">
        <f t="shared" si="295"/>
        <v>7117262.1409691637</v>
      </c>
      <c r="DY161" s="608">
        <f t="shared" si="296"/>
        <v>6836441.0427291514</v>
      </c>
      <c r="DZ161" s="607">
        <f t="shared" si="297"/>
        <v>7117262.1409691637</v>
      </c>
      <c r="EA161" s="608">
        <f t="shared" si="298"/>
        <v>6836441.0427291514</v>
      </c>
    </row>
    <row r="162" spans="1:131" x14ac:dyDescent="0.2">
      <c r="A162" s="381" t="s">
        <v>35</v>
      </c>
      <c r="B162" s="375" t="s">
        <v>567</v>
      </c>
      <c r="C162" s="552"/>
      <c r="D162" s="376">
        <v>140331</v>
      </c>
      <c r="E162" s="377">
        <v>12</v>
      </c>
      <c r="F162" s="598"/>
      <c r="G162" s="599"/>
      <c r="H162" s="600"/>
      <c r="I162" s="601"/>
      <c r="J162" s="600"/>
      <c r="K162" s="599"/>
      <c r="L162" s="600"/>
      <c r="M162" s="601"/>
      <c r="N162" s="600"/>
      <c r="O162" s="599"/>
      <c r="P162" s="600"/>
      <c r="Q162" s="601"/>
      <c r="R162" s="600"/>
      <c r="S162" s="599"/>
      <c r="T162" s="600"/>
      <c r="U162" s="601"/>
      <c r="V162" s="600"/>
      <c r="W162" s="599"/>
      <c r="X162" s="600"/>
      <c r="Y162" s="601"/>
      <c r="Z162" s="600"/>
      <c r="AA162" s="599"/>
      <c r="AB162" s="600"/>
      <c r="AC162" s="601"/>
      <c r="AD162" s="600"/>
      <c r="AE162" s="599"/>
      <c r="AF162" s="600"/>
      <c r="AG162" s="601"/>
      <c r="AH162" s="600"/>
      <c r="AI162" s="599"/>
      <c r="AJ162" s="600"/>
      <c r="AK162" s="601"/>
      <c r="AL162" s="600"/>
      <c r="AM162" s="599"/>
      <c r="AN162" s="600"/>
      <c r="AO162" s="601"/>
      <c r="AP162" s="600"/>
      <c r="AQ162" s="599"/>
      <c r="AR162" s="600"/>
      <c r="AS162" s="601"/>
      <c r="AT162" s="600">
        <v>1</v>
      </c>
      <c r="AU162" s="599"/>
      <c r="AV162" s="600"/>
      <c r="AW162" s="601"/>
      <c r="AX162" s="600">
        <v>185</v>
      </c>
      <c r="AY162" s="599"/>
      <c r="AZ162" s="600"/>
      <c r="BA162" s="601">
        <v>172</v>
      </c>
      <c r="BB162" s="602">
        <v>0</v>
      </c>
      <c r="BC162" s="599"/>
      <c r="BD162" s="600">
        <v>0</v>
      </c>
      <c r="BE162" s="599"/>
      <c r="BF162" s="600">
        <v>0</v>
      </c>
      <c r="BG162" s="599"/>
      <c r="BH162" s="600">
        <v>0</v>
      </c>
      <c r="BI162" s="599"/>
      <c r="BJ162" s="600">
        <v>0</v>
      </c>
      <c r="BK162" s="615"/>
      <c r="BL162" s="600">
        <v>10417043</v>
      </c>
      <c r="BM162" s="604">
        <v>9562693</v>
      </c>
      <c r="BN162" s="605">
        <f t="shared" si="233"/>
        <v>0</v>
      </c>
      <c r="BO162" s="606">
        <f t="shared" si="234"/>
        <v>0</v>
      </c>
      <c r="BP162" s="607">
        <f t="shared" si="235"/>
        <v>0</v>
      </c>
      <c r="BQ162" s="606">
        <f t="shared" si="236"/>
        <v>0</v>
      </c>
      <c r="BR162" s="607">
        <f t="shared" si="237"/>
        <v>0</v>
      </c>
      <c r="BS162" s="606">
        <f t="shared" si="238"/>
        <v>0</v>
      </c>
      <c r="BT162" s="607">
        <f t="shared" si="239"/>
        <v>0</v>
      </c>
      <c r="BU162" s="606">
        <f t="shared" si="240"/>
        <v>0</v>
      </c>
      <c r="BV162" s="607">
        <f t="shared" si="241"/>
        <v>0</v>
      </c>
      <c r="BW162" s="608">
        <f t="shared" si="242"/>
        <v>0</v>
      </c>
      <c r="BX162" s="607">
        <f t="shared" si="243"/>
        <v>2044</v>
      </c>
      <c r="BY162" s="608">
        <f t="shared" si="244"/>
        <v>2064</v>
      </c>
      <c r="BZ162" s="607">
        <f t="shared" si="245"/>
        <v>0</v>
      </c>
      <c r="CA162" s="608">
        <f t="shared" si="246"/>
        <v>0</v>
      </c>
      <c r="CB162" s="607">
        <f t="shared" si="247"/>
        <v>0</v>
      </c>
      <c r="CC162" s="608">
        <f t="shared" si="248"/>
        <v>0</v>
      </c>
      <c r="CD162" s="607">
        <f t="shared" si="249"/>
        <v>0</v>
      </c>
      <c r="CE162" s="608">
        <f t="shared" si="250"/>
        <v>0</v>
      </c>
      <c r="CF162" s="607">
        <f t="shared" si="251"/>
        <v>0</v>
      </c>
      <c r="CG162" s="608">
        <f t="shared" si="252"/>
        <v>0</v>
      </c>
      <c r="CH162" s="607">
        <f t="shared" si="253"/>
        <v>0</v>
      </c>
      <c r="CI162" s="608">
        <f t="shared" si="254"/>
        <v>0</v>
      </c>
      <c r="CJ162" s="607">
        <f t="shared" si="255"/>
        <v>5096.4006849315065</v>
      </c>
      <c r="CK162" s="608">
        <f t="shared" si="256"/>
        <v>4633.0876937984494</v>
      </c>
      <c r="CL162" s="609">
        <f t="shared" si="257"/>
        <v>0</v>
      </c>
      <c r="CM162" s="608">
        <f t="shared" si="258"/>
        <v>0</v>
      </c>
      <c r="CN162" s="610">
        <f t="shared" si="259"/>
        <v>0</v>
      </c>
      <c r="CO162" s="606">
        <f t="shared" si="260"/>
        <v>0</v>
      </c>
      <c r="CP162" s="607">
        <f t="shared" si="261"/>
        <v>0</v>
      </c>
      <c r="CQ162" s="606">
        <f t="shared" si="262"/>
        <v>0</v>
      </c>
      <c r="CR162" s="607">
        <f t="shared" si="263"/>
        <v>0</v>
      </c>
      <c r="CS162" s="606">
        <f t="shared" si="264"/>
        <v>0</v>
      </c>
      <c r="CT162" s="607">
        <f t="shared" si="265"/>
        <v>0</v>
      </c>
      <c r="CU162" s="608">
        <f t="shared" si="266"/>
        <v>0</v>
      </c>
      <c r="CV162" s="610">
        <f t="shared" si="267"/>
        <v>45867.606164383556</v>
      </c>
      <c r="CW162" s="608">
        <f t="shared" si="268"/>
        <v>41697.789244186046</v>
      </c>
      <c r="CX162" s="610">
        <f t="shared" si="269"/>
        <v>45867.606164383549</v>
      </c>
      <c r="CY162" s="611">
        <f t="shared" si="270"/>
        <v>41697.789244186046</v>
      </c>
      <c r="CZ162" s="605">
        <f t="shared" si="271"/>
        <v>0</v>
      </c>
      <c r="DA162" s="612">
        <f t="shared" si="272"/>
        <v>0</v>
      </c>
      <c r="DB162" s="607">
        <f t="shared" si="273"/>
        <v>0</v>
      </c>
      <c r="DC162" s="606">
        <f t="shared" si="274"/>
        <v>0</v>
      </c>
      <c r="DD162" s="607">
        <f t="shared" si="275"/>
        <v>0</v>
      </c>
      <c r="DE162" s="606">
        <f t="shared" si="276"/>
        <v>0</v>
      </c>
      <c r="DF162" s="607">
        <f t="shared" si="277"/>
        <v>0</v>
      </c>
      <c r="DG162" s="606">
        <f t="shared" si="278"/>
        <v>0</v>
      </c>
      <c r="DH162" s="607">
        <f t="shared" si="279"/>
        <v>0</v>
      </c>
      <c r="DI162" s="608">
        <f t="shared" si="280"/>
        <v>0</v>
      </c>
      <c r="DJ162" s="607">
        <f t="shared" si="281"/>
        <v>186</v>
      </c>
      <c r="DK162" s="608">
        <f t="shared" si="282"/>
        <v>172</v>
      </c>
      <c r="DL162" s="607">
        <f t="shared" si="283"/>
        <v>186</v>
      </c>
      <c r="DM162" s="608">
        <f t="shared" si="284"/>
        <v>172</v>
      </c>
      <c r="DN162" s="607">
        <f t="shared" si="285"/>
        <v>0</v>
      </c>
      <c r="DO162" s="612">
        <f t="shared" si="286"/>
        <v>0</v>
      </c>
      <c r="DP162" s="607">
        <f t="shared" si="287"/>
        <v>0</v>
      </c>
      <c r="DQ162" s="606">
        <f t="shared" si="288"/>
        <v>0</v>
      </c>
      <c r="DR162" s="607">
        <f t="shared" si="289"/>
        <v>0</v>
      </c>
      <c r="DS162" s="606">
        <f t="shared" si="290"/>
        <v>0</v>
      </c>
      <c r="DT162" s="607">
        <f t="shared" si="291"/>
        <v>0</v>
      </c>
      <c r="DU162" s="606">
        <f t="shared" si="292"/>
        <v>0</v>
      </c>
      <c r="DV162" s="607">
        <f t="shared" si="293"/>
        <v>0</v>
      </c>
      <c r="DW162" s="608">
        <f t="shared" si="294"/>
        <v>0</v>
      </c>
      <c r="DX162" s="607">
        <f t="shared" si="295"/>
        <v>8531374.7465753406</v>
      </c>
      <c r="DY162" s="608">
        <f t="shared" si="296"/>
        <v>7172019.75</v>
      </c>
      <c r="DZ162" s="607">
        <f t="shared" si="297"/>
        <v>8531374.7465753406</v>
      </c>
      <c r="EA162" s="608">
        <f t="shared" si="298"/>
        <v>7172019.75</v>
      </c>
    </row>
    <row r="163" spans="1:131" x14ac:dyDescent="0.2">
      <c r="A163" s="381" t="s">
        <v>35</v>
      </c>
      <c r="B163" s="375" t="s">
        <v>568</v>
      </c>
      <c r="C163" s="552"/>
      <c r="D163" s="376">
        <v>139357</v>
      </c>
      <c r="E163" s="377">
        <v>12</v>
      </c>
      <c r="F163" s="598"/>
      <c r="G163" s="599"/>
      <c r="H163" s="600"/>
      <c r="I163" s="601"/>
      <c r="J163" s="600"/>
      <c r="K163" s="599"/>
      <c r="L163" s="600"/>
      <c r="M163" s="601"/>
      <c r="N163" s="600"/>
      <c r="O163" s="599"/>
      <c r="P163" s="600"/>
      <c r="Q163" s="601"/>
      <c r="R163" s="600"/>
      <c r="S163" s="599"/>
      <c r="T163" s="600"/>
      <c r="U163" s="601"/>
      <c r="V163" s="600"/>
      <c r="W163" s="599"/>
      <c r="X163" s="600"/>
      <c r="Y163" s="601"/>
      <c r="Z163" s="600"/>
      <c r="AA163" s="599"/>
      <c r="AB163" s="600"/>
      <c r="AC163" s="601"/>
      <c r="AD163" s="600"/>
      <c r="AE163" s="599"/>
      <c r="AF163" s="600"/>
      <c r="AG163" s="601"/>
      <c r="AH163" s="600"/>
      <c r="AI163" s="599"/>
      <c r="AJ163" s="600"/>
      <c r="AK163" s="601"/>
      <c r="AL163" s="600"/>
      <c r="AM163" s="599"/>
      <c r="AN163" s="600"/>
      <c r="AO163" s="601"/>
      <c r="AP163" s="600"/>
      <c r="AQ163" s="599"/>
      <c r="AR163" s="600"/>
      <c r="AS163" s="601"/>
      <c r="AT163" s="600"/>
      <c r="AU163" s="599"/>
      <c r="AV163" s="600"/>
      <c r="AW163" s="601"/>
      <c r="AX163" s="600">
        <v>70</v>
      </c>
      <c r="AY163" s="599"/>
      <c r="AZ163" s="600"/>
      <c r="BA163" s="601">
        <v>75</v>
      </c>
      <c r="BB163" s="602">
        <v>0</v>
      </c>
      <c r="BC163" s="599"/>
      <c r="BD163" s="600">
        <v>0</v>
      </c>
      <c r="BE163" s="599"/>
      <c r="BF163" s="600">
        <v>0</v>
      </c>
      <c r="BG163" s="599"/>
      <c r="BH163" s="600">
        <v>0</v>
      </c>
      <c r="BI163" s="599"/>
      <c r="BJ163" s="600">
        <v>0</v>
      </c>
      <c r="BK163" s="615"/>
      <c r="BL163" s="600">
        <v>3593030</v>
      </c>
      <c r="BM163" s="604">
        <v>3938352</v>
      </c>
      <c r="BN163" s="605">
        <f t="shared" si="233"/>
        <v>0</v>
      </c>
      <c r="BO163" s="606">
        <f t="shared" si="234"/>
        <v>0</v>
      </c>
      <c r="BP163" s="607">
        <f t="shared" si="235"/>
        <v>0</v>
      </c>
      <c r="BQ163" s="606">
        <f t="shared" si="236"/>
        <v>0</v>
      </c>
      <c r="BR163" s="607">
        <f t="shared" si="237"/>
        <v>0</v>
      </c>
      <c r="BS163" s="606">
        <f t="shared" si="238"/>
        <v>0</v>
      </c>
      <c r="BT163" s="607">
        <f t="shared" si="239"/>
        <v>0</v>
      </c>
      <c r="BU163" s="606">
        <f t="shared" si="240"/>
        <v>0</v>
      </c>
      <c r="BV163" s="607">
        <f t="shared" si="241"/>
        <v>0</v>
      </c>
      <c r="BW163" s="608">
        <f t="shared" si="242"/>
        <v>0</v>
      </c>
      <c r="BX163" s="607">
        <f t="shared" si="243"/>
        <v>770</v>
      </c>
      <c r="BY163" s="608">
        <f t="shared" si="244"/>
        <v>900</v>
      </c>
      <c r="BZ163" s="607">
        <f t="shared" si="245"/>
        <v>0</v>
      </c>
      <c r="CA163" s="608">
        <f t="shared" si="246"/>
        <v>0</v>
      </c>
      <c r="CB163" s="607">
        <f t="shared" si="247"/>
        <v>0</v>
      </c>
      <c r="CC163" s="608">
        <f t="shared" si="248"/>
        <v>0</v>
      </c>
      <c r="CD163" s="607">
        <f t="shared" si="249"/>
        <v>0</v>
      </c>
      <c r="CE163" s="608">
        <f t="shared" si="250"/>
        <v>0</v>
      </c>
      <c r="CF163" s="607">
        <f t="shared" si="251"/>
        <v>0</v>
      </c>
      <c r="CG163" s="608">
        <f t="shared" si="252"/>
        <v>0</v>
      </c>
      <c r="CH163" s="607">
        <f t="shared" si="253"/>
        <v>0</v>
      </c>
      <c r="CI163" s="608">
        <f t="shared" si="254"/>
        <v>0</v>
      </c>
      <c r="CJ163" s="607">
        <f t="shared" si="255"/>
        <v>4666.272727272727</v>
      </c>
      <c r="CK163" s="608">
        <f t="shared" si="256"/>
        <v>4375.9466666666667</v>
      </c>
      <c r="CL163" s="609">
        <f t="shared" si="257"/>
        <v>0</v>
      </c>
      <c r="CM163" s="608">
        <f t="shared" si="258"/>
        <v>0</v>
      </c>
      <c r="CN163" s="610">
        <f t="shared" si="259"/>
        <v>0</v>
      </c>
      <c r="CO163" s="606">
        <f t="shared" si="260"/>
        <v>0</v>
      </c>
      <c r="CP163" s="607">
        <f t="shared" si="261"/>
        <v>0</v>
      </c>
      <c r="CQ163" s="606">
        <f t="shared" si="262"/>
        <v>0</v>
      </c>
      <c r="CR163" s="607">
        <f t="shared" si="263"/>
        <v>0</v>
      </c>
      <c r="CS163" s="606">
        <f t="shared" si="264"/>
        <v>0</v>
      </c>
      <c r="CT163" s="607">
        <f t="shared" si="265"/>
        <v>0</v>
      </c>
      <c r="CU163" s="608">
        <f t="shared" si="266"/>
        <v>0</v>
      </c>
      <c r="CV163" s="610">
        <f t="shared" si="267"/>
        <v>41996.454545454544</v>
      </c>
      <c r="CW163" s="608">
        <f t="shared" si="268"/>
        <v>39383.520000000004</v>
      </c>
      <c r="CX163" s="610">
        <f t="shared" si="269"/>
        <v>41996.454545454544</v>
      </c>
      <c r="CY163" s="611">
        <f t="shared" si="270"/>
        <v>39383.520000000004</v>
      </c>
      <c r="CZ163" s="605">
        <f t="shared" si="271"/>
        <v>0</v>
      </c>
      <c r="DA163" s="612">
        <f t="shared" si="272"/>
        <v>0</v>
      </c>
      <c r="DB163" s="607">
        <f t="shared" si="273"/>
        <v>0</v>
      </c>
      <c r="DC163" s="606">
        <f t="shared" si="274"/>
        <v>0</v>
      </c>
      <c r="DD163" s="607">
        <f t="shared" si="275"/>
        <v>0</v>
      </c>
      <c r="DE163" s="606">
        <f t="shared" si="276"/>
        <v>0</v>
      </c>
      <c r="DF163" s="607">
        <f t="shared" si="277"/>
        <v>0</v>
      </c>
      <c r="DG163" s="606">
        <f t="shared" si="278"/>
        <v>0</v>
      </c>
      <c r="DH163" s="607">
        <f t="shared" si="279"/>
        <v>0</v>
      </c>
      <c r="DI163" s="608">
        <f t="shared" si="280"/>
        <v>0</v>
      </c>
      <c r="DJ163" s="607">
        <f t="shared" si="281"/>
        <v>70</v>
      </c>
      <c r="DK163" s="608">
        <f t="shared" si="282"/>
        <v>75</v>
      </c>
      <c r="DL163" s="607">
        <f t="shared" si="283"/>
        <v>70</v>
      </c>
      <c r="DM163" s="608">
        <f t="shared" si="284"/>
        <v>75</v>
      </c>
      <c r="DN163" s="607">
        <f t="shared" si="285"/>
        <v>0</v>
      </c>
      <c r="DO163" s="612">
        <f t="shared" si="286"/>
        <v>0</v>
      </c>
      <c r="DP163" s="607">
        <f t="shared" si="287"/>
        <v>0</v>
      </c>
      <c r="DQ163" s="606">
        <f t="shared" si="288"/>
        <v>0</v>
      </c>
      <c r="DR163" s="607">
        <f t="shared" si="289"/>
        <v>0</v>
      </c>
      <c r="DS163" s="606">
        <f t="shared" si="290"/>
        <v>0</v>
      </c>
      <c r="DT163" s="607">
        <f t="shared" si="291"/>
        <v>0</v>
      </c>
      <c r="DU163" s="606">
        <f t="shared" si="292"/>
        <v>0</v>
      </c>
      <c r="DV163" s="607">
        <f t="shared" si="293"/>
        <v>0</v>
      </c>
      <c r="DW163" s="608">
        <f t="shared" si="294"/>
        <v>0</v>
      </c>
      <c r="DX163" s="607">
        <f t="shared" si="295"/>
        <v>2939751.8181818179</v>
      </c>
      <c r="DY163" s="608">
        <f t="shared" si="296"/>
        <v>2953764.0000000005</v>
      </c>
      <c r="DZ163" s="607">
        <f t="shared" si="297"/>
        <v>2939751.8181818179</v>
      </c>
      <c r="EA163" s="608">
        <f t="shared" si="298"/>
        <v>2953764.0000000005</v>
      </c>
    </row>
    <row r="164" spans="1:131" x14ac:dyDescent="0.2">
      <c r="A164" s="381" t="s">
        <v>35</v>
      </c>
      <c r="B164" s="375" t="s">
        <v>569</v>
      </c>
      <c r="C164" s="552"/>
      <c r="D164" s="376">
        <v>139384</v>
      </c>
      <c r="E164" s="377">
        <v>12</v>
      </c>
      <c r="F164" s="598"/>
      <c r="G164" s="599"/>
      <c r="H164" s="600"/>
      <c r="I164" s="601"/>
      <c r="J164" s="600"/>
      <c r="K164" s="599"/>
      <c r="L164" s="600"/>
      <c r="M164" s="601"/>
      <c r="N164" s="600"/>
      <c r="O164" s="599"/>
      <c r="P164" s="600"/>
      <c r="Q164" s="601"/>
      <c r="R164" s="600"/>
      <c r="S164" s="599"/>
      <c r="T164" s="600"/>
      <c r="U164" s="601"/>
      <c r="V164" s="600"/>
      <c r="W164" s="599"/>
      <c r="X164" s="600"/>
      <c r="Y164" s="601"/>
      <c r="Z164" s="600"/>
      <c r="AA164" s="599"/>
      <c r="AB164" s="600"/>
      <c r="AC164" s="601"/>
      <c r="AD164" s="600"/>
      <c r="AE164" s="599"/>
      <c r="AF164" s="600"/>
      <c r="AG164" s="601"/>
      <c r="AH164" s="600"/>
      <c r="AI164" s="599"/>
      <c r="AJ164" s="600"/>
      <c r="AK164" s="601"/>
      <c r="AL164" s="600"/>
      <c r="AM164" s="599"/>
      <c r="AN164" s="600"/>
      <c r="AO164" s="601"/>
      <c r="AP164" s="600"/>
      <c r="AQ164" s="599"/>
      <c r="AR164" s="600"/>
      <c r="AS164" s="601"/>
      <c r="AT164" s="600">
        <v>7</v>
      </c>
      <c r="AU164" s="599">
        <v>6</v>
      </c>
      <c r="AV164" s="600"/>
      <c r="AW164" s="601">
        <v>3</v>
      </c>
      <c r="AX164" s="600">
        <v>118</v>
      </c>
      <c r="AY164" s="599">
        <v>4</v>
      </c>
      <c r="AZ164" s="600"/>
      <c r="BA164" s="601">
        <v>112</v>
      </c>
      <c r="BB164" s="602">
        <v>0</v>
      </c>
      <c r="BC164" s="599"/>
      <c r="BD164" s="600">
        <v>0</v>
      </c>
      <c r="BE164" s="599"/>
      <c r="BF164" s="600">
        <v>0</v>
      </c>
      <c r="BG164" s="599"/>
      <c r="BH164" s="600">
        <v>0</v>
      </c>
      <c r="BI164" s="599"/>
      <c r="BJ164" s="600">
        <v>0</v>
      </c>
      <c r="BK164" s="615"/>
      <c r="BL164" s="600">
        <v>6984554</v>
      </c>
      <c r="BM164" s="604">
        <v>6894465</v>
      </c>
      <c r="BN164" s="605">
        <f t="shared" si="233"/>
        <v>0</v>
      </c>
      <c r="BO164" s="606">
        <f t="shared" si="234"/>
        <v>0</v>
      </c>
      <c r="BP164" s="607">
        <f t="shared" si="235"/>
        <v>0</v>
      </c>
      <c r="BQ164" s="606">
        <f t="shared" si="236"/>
        <v>0</v>
      </c>
      <c r="BR164" s="607">
        <f t="shared" si="237"/>
        <v>0</v>
      </c>
      <c r="BS164" s="606">
        <f t="shared" si="238"/>
        <v>0</v>
      </c>
      <c r="BT164" s="607">
        <f t="shared" si="239"/>
        <v>0</v>
      </c>
      <c r="BU164" s="606">
        <f t="shared" si="240"/>
        <v>0</v>
      </c>
      <c r="BV164" s="607">
        <f t="shared" si="241"/>
        <v>0</v>
      </c>
      <c r="BW164" s="608">
        <f t="shared" si="242"/>
        <v>0</v>
      </c>
      <c r="BX164" s="607">
        <f t="shared" si="243"/>
        <v>1361</v>
      </c>
      <c r="BY164" s="608">
        <f t="shared" si="244"/>
        <v>1472</v>
      </c>
      <c r="BZ164" s="607">
        <f t="shared" si="245"/>
        <v>0</v>
      </c>
      <c r="CA164" s="608">
        <f t="shared" si="246"/>
        <v>0</v>
      </c>
      <c r="CB164" s="607">
        <f t="shared" si="247"/>
        <v>0</v>
      </c>
      <c r="CC164" s="608">
        <f t="shared" si="248"/>
        <v>0</v>
      </c>
      <c r="CD164" s="607">
        <f t="shared" si="249"/>
        <v>0</v>
      </c>
      <c r="CE164" s="608">
        <f t="shared" si="250"/>
        <v>0</v>
      </c>
      <c r="CF164" s="607">
        <f t="shared" si="251"/>
        <v>0</v>
      </c>
      <c r="CG164" s="608">
        <f t="shared" si="252"/>
        <v>0</v>
      </c>
      <c r="CH164" s="607">
        <f t="shared" si="253"/>
        <v>0</v>
      </c>
      <c r="CI164" s="608">
        <f t="shared" si="254"/>
        <v>0</v>
      </c>
      <c r="CJ164" s="607">
        <f t="shared" si="255"/>
        <v>5131.9279941219693</v>
      </c>
      <c r="CK164" s="608">
        <f t="shared" si="256"/>
        <v>4683.739809782609</v>
      </c>
      <c r="CL164" s="609">
        <f t="shared" si="257"/>
        <v>0</v>
      </c>
      <c r="CM164" s="608">
        <f t="shared" si="258"/>
        <v>0</v>
      </c>
      <c r="CN164" s="610">
        <f t="shared" si="259"/>
        <v>0</v>
      </c>
      <c r="CO164" s="606">
        <f t="shared" si="260"/>
        <v>0</v>
      </c>
      <c r="CP164" s="607">
        <f t="shared" si="261"/>
        <v>0</v>
      </c>
      <c r="CQ164" s="606">
        <f t="shared" si="262"/>
        <v>0</v>
      </c>
      <c r="CR164" s="607">
        <f t="shared" si="263"/>
        <v>0</v>
      </c>
      <c r="CS164" s="606">
        <f t="shared" si="264"/>
        <v>0</v>
      </c>
      <c r="CT164" s="607">
        <f t="shared" si="265"/>
        <v>0</v>
      </c>
      <c r="CU164" s="608">
        <f t="shared" si="266"/>
        <v>0</v>
      </c>
      <c r="CV164" s="610">
        <f t="shared" si="267"/>
        <v>46187.351947097726</v>
      </c>
      <c r="CW164" s="608">
        <f t="shared" si="268"/>
        <v>42153.65828804348</v>
      </c>
      <c r="CX164" s="610">
        <f t="shared" si="269"/>
        <v>46187.351947097726</v>
      </c>
      <c r="CY164" s="611">
        <f t="shared" si="270"/>
        <v>42153.65828804348</v>
      </c>
      <c r="CZ164" s="605">
        <f t="shared" si="271"/>
        <v>0</v>
      </c>
      <c r="DA164" s="612">
        <f t="shared" si="272"/>
        <v>0</v>
      </c>
      <c r="DB164" s="607">
        <f t="shared" si="273"/>
        <v>0</v>
      </c>
      <c r="DC164" s="606">
        <f t="shared" si="274"/>
        <v>0</v>
      </c>
      <c r="DD164" s="607">
        <f t="shared" si="275"/>
        <v>0</v>
      </c>
      <c r="DE164" s="606">
        <f t="shared" si="276"/>
        <v>0</v>
      </c>
      <c r="DF164" s="607">
        <f t="shared" si="277"/>
        <v>0</v>
      </c>
      <c r="DG164" s="606">
        <f t="shared" si="278"/>
        <v>0</v>
      </c>
      <c r="DH164" s="607">
        <f t="shared" si="279"/>
        <v>0</v>
      </c>
      <c r="DI164" s="608">
        <f t="shared" si="280"/>
        <v>0</v>
      </c>
      <c r="DJ164" s="607">
        <f t="shared" si="281"/>
        <v>125</v>
      </c>
      <c r="DK164" s="608">
        <f t="shared" si="282"/>
        <v>125</v>
      </c>
      <c r="DL164" s="607">
        <f t="shared" si="283"/>
        <v>125</v>
      </c>
      <c r="DM164" s="608">
        <f t="shared" si="284"/>
        <v>125</v>
      </c>
      <c r="DN164" s="607">
        <f t="shared" si="285"/>
        <v>0</v>
      </c>
      <c r="DO164" s="612">
        <f t="shared" si="286"/>
        <v>0</v>
      </c>
      <c r="DP164" s="607">
        <f t="shared" si="287"/>
        <v>0</v>
      </c>
      <c r="DQ164" s="606">
        <f t="shared" si="288"/>
        <v>0</v>
      </c>
      <c r="DR164" s="607">
        <f t="shared" si="289"/>
        <v>0</v>
      </c>
      <c r="DS164" s="606">
        <f t="shared" si="290"/>
        <v>0</v>
      </c>
      <c r="DT164" s="607">
        <f t="shared" si="291"/>
        <v>0</v>
      </c>
      <c r="DU164" s="606">
        <f t="shared" si="292"/>
        <v>0</v>
      </c>
      <c r="DV164" s="607">
        <f t="shared" si="293"/>
        <v>0</v>
      </c>
      <c r="DW164" s="608">
        <f t="shared" si="294"/>
        <v>0</v>
      </c>
      <c r="DX164" s="607">
        <f t="shared" si="295"/>
        <v>5773418.9933872158</v>
      </c>
      <c r="DY164" s="608">
        <f t="shared" si="296"/>
        <v>5269207.2860054346</v>
      </c>
      <c r="DZ164" s="607">
        <f t="shared" si="297"/>
        <v>5773418.9933872158</v>
      </c>
      <c r="EA164" s="608">
        <f t="shared" si="298"/>
        <v>5269207.2860054346</v>
      </c>
    </row>
    <row r="165" spans="1:131" x14ac:dyDescent="0.2">
      <c r="A165" s="381" t="s">
        <v>35</v>
      </c>
      <c r="B165" s="375" t="s">
        <v>570</v>
      </c>
      <c r="C165" s="553"/>
      <c r="D165" s="376">
        <v>244446</v>
      </c>
      <c r="E165" s="377">
        <v>12</v>
      </c>
      <c r="F165" s="598"/>
      <c r="G165" s="599"/>
      <c r="H165" s="600"/>
      <c r="I165" s="601"/>
      <c r="J165" s="600"/>
      <c r="K165" s="599"/>
      <c r="L165" s="600"/>
      <c r="M165" s="601"/>
      <c r="N165" s="600"/>
      <c r="O165" s="599"/>
      <c r="P165" s="600"/>
      <c r="Q165" s="601"/>
      <c r="R165" s="600"/>
      <c r="S165" s="599"/>
      <c r="T165" s="600"/>
      <c r="U165" s="601"/>
      <c r="V165" s="600"/>
      <c r="W165" s="599"/>
      <c r="X165" s="600"/>
      <c r="Y165" s="601"/>
      <c r="Z165" s="600"/>
      <c r="AA165" s="599"/>
      <c r="AB165" s="600"/>
      <c r="AC165" s="601"/>
      <c r="AD165" s="600"/>
      <c r="AE165" s="599"/>
      <c r="AF165" s="600"/>
      <c r="AG165" s="601"/>
      <c r="AH165" s="600"/>
      <c r="AI165" s="599"/>
      <c r="AJ165" s="600"/>
      <c r="AK165" s="601"/>
      <c r="AL165" s="600"/>
      <c r="AM165" s="599"/>
      <c r="AN165" s="600"/>
      <c r="AO165" s="601"/>
      <c r="AP165" s="600"/>
      <c r="AQ165" s="599"/>
      <c r="AR165" s="600"/>
      <c r="AS165" s="601"/>
      <c r="AT165" s="600"/>
      <c r="AU165" s="599"/>
      <c r="AV165" s="600"/>
      <c r="AW165" s="601"/>
      <c r="AX165" s="600">
        <v>84</v>
      </c>
      <c r="AY165" s="599"/>
      <c r="AZ165" s="600"/>
      <c r="BA165" s="601">
        <v>8</v>
      </c>
      <c r="BB165" s="602">
        <v>0</v>
      </c>
      <c r="BC165" s="599"/>
      <c r="BD165" s="600">
        <v>0</v>
      </c>
      <c r="BE165" s="599"/>
      <c r="BF165" s="600">
        <v>0</v>
      </c>
      <c r="BG165" s="599"/>
      <c r="BH165" s="600">
        <v>0</v>
      </c>
      <c r="BI165" s="599"/>
      <c r="BJ165" s="600">
        <v>0</v>
      </c>
      <c r="BK165" s="615"/>
      <c r="BL165" s="600">
        <v>4970868</v>
      </c>
      <c r="BM165" s="604">
        <v>1129140</v>
      </c>
      <c r="BN165" s="605">
        <f t="shared" si="233"/>
        <v>0</v>
      </c>
      <c r="BO165" s="606">
        <f t="shared" si="234"/>
        <v>0</v>
      </c>
      <c r="BP165" s="607">
        <f t="shared" si="235"/>
        <v>0</v>
      </c>
      <c r="BQ165" s="606">
        <f t="shared" si="236"/>
        <v>0</v>
      </c>
      <c r="BR165" s="607">
        <f t="shared" si="237"/>
        <v>0</v>
      </c>
      <c r="BS165" s="606">
        <f t="shared" si="238"/>
        <v>0</v>
      </c>
      <c r="BT165" s="607">
        <f t="shared" si="239"/>
        <v>0</v>
      </c>
      <c r="BU165" s="606">
        <f t="shared" si="240"/>
        <v>0</v>
      </c>
      <c r="BV165" s="607">
        <f t="shared" si="241"/>
        <v>0</v>
      </c>
      <c r="BW165" s="608">
        <f t="shared" si="242"/>
        <v>0</v>
      </c>
      <c r="BX165" s="607">
        <f t="shared" si="243"/>
        <v>924</v>
      </c>
      <c r="BY165" s="608">
        <f t="shared" si="244"/>
        <v>96</v>
      </c>
      <c r="BZ165" s="607">
        <f t="shared" si="245"/>
        <v>0</v>
      </c>
      <c r="CA165" s="608">
        <f t="shared" si="246"/>
        <v>0</v>
      </c>
      <c r="CB165" s="607">
        <f t="shared" si="247"/>
        <v>0</v>
      </c>
      <c r="CC165" s="608">
        <f t="shared" si="248"/>
        <v>0</v>
      </c>
      <c r="CD165" s="607">
        <f t="shared" si="249"/>
        <v>0</v>
      </c>
      <c r="CE165" s="608">
        <f t="shared" si="250"/>
        <v>0</v>
      </c>
      <c r="CF165" s="607">
        <f t="shared" si="251"/>
        <v>0</v>
      </c>
      <c r="CG165" s="608">
        <f t="shared" si="252"/>
        <v>0</v>
      </c>
      <c r="CH165" s="607">
        <f t="shared" si="253"/>
        <v>0</v>
      </c>
      <c r="CI165" s="608">
        <f t="shared" si="254"/>
        <v>0</v>
      </c>
      <c r="CJ165" s="607">
        <f t="shared" si="255"/>
        <v>5379.727272727273</v>
      </c>
      <c r="CK165" s="608">
        <f t="shared" si="256"/>
        <v>11761.875</v>
      </c>
      <c r="CL165" s="609">
        <f t="shared" si="257"/>
        <v>0</v>
      </c>
      <c r="CM165" s="608">
        <f t="shared" si="258"/>
        <v>0</v>
      </c>
      <c r="CN165" s="610">
        <f t="shared" si="259"/>
        <v>0</v>
      </c>
      <c r="CO165" s="606">
        <f t="shared" si="260"/>
        <v>0</v>
      </c>
      <c r="CP165" s="607">
        <f t="shared" si="261"/>
        <v>0</v>
      </c>
      <c r="CQ165" s="606">
        <f t="shared" si="262"/>
        <v>0</v>
      </c>
      <c r="CR165" s="607">
        <f t="shared" si="263"/>
        <v>0</v>
      </c>
      <c r="CS165" s="606">
        <f t="shared" si="264"/>
        <v>0</v>
      </c>
      <c r="CT165" s="607">
        <f t="shared" si="265"/>
        <v>0</v>
      </c>
      <c r="CU165" s="608">
        <f t="shared" si="266"/>
        <v>0</v>
      </c>
      <c r="CV165" s="610">
        <f t="shared" si="267"/>
        <v>48417.545454545456</v>
      </c>
      <c r="CW165" s="608">
        <f t="shared" si="268"/>
        <v>105856.875</v>
      </c>
      <c r="CX165" s="610">
        <f t="shared" si="269"/>
        <v>48417.545454545456</v>
      </c>
      <c r="CY165" s="611">
        <f t="shared" si="270"/>
        <v>105856.875</v>
      </c>
      <c r="CZ165" s="605">
        <f t="shared" si="271"/>
        <v>0</v>
      </c>
      <c r="DA165" s="612">
        <f t="shared" si="272"/>
        <v>0</v>
      </c>
      <c r="DB165" s="607">
        <f t="shared" si="273"/>
        <v>0</v>
      </c>
      <c r="DC165" s="606">
        <f t="shared" si="274"/>
        <v>0</v>
      </c>
      <c r="DD165" s="607">
        <f t="shared" si="275"/>
        <v>0</v>
      </c>
      <c r="DE165" s="606">
        <f t="shared" si="276"/>
        <v>0</v>
      </c>
      <c r="DF165" s="607">
        <f t="shared" si="277"/>
        <v>0</v>
      </c>
      <c r="DG165" s="606">
        <f t="shared" si="278"/>
        <v>0</v>
      </c>
      <c r="DH165" s="607">
        <f t="shared" si="279"/>
        <v>0</v>
      </c>
      <c r="DI165" s="608">
        <f t="shared" si="280"/>
        <v>0</v>
      </c>
      <c r="DJ165" s="607">
        <f t="shared" si="281"/>
        <v>84</v>
      </c>
      <c r="DK165" s="608">
        <f t="shared" si="282"/>
        <v>8</v>
      </c>
      <c r="DL165" s="607">
        <f t="shared" si="283"/>
        <v>84</v>
      </c>
      <c r="DM165" s="608">
        <f t="shared" si="284"/>
        <v>8</v>
      </c>
      <c r="DN165" s="607">
        <f t="shared" si="285"/>
        <v>0</v>
      </c>
      <c r="DO165" s="612">
        <f t="shared" si="286"/>
        <v>0</v>
      </c>
      <c r="DP165" s="607">
        <f t="shared" si="287"/>
        <v>0</v>
      </c>
      <c r="DQ165" s="606">
        <f t="shared" si="288"/>
        <v>0</v>
      </c>
      <c r="DR165" s="607">
        <f t="shared" si="289"/>
        <v>0</v>
      </c>
      <c r="DS165" s="606">
        <f t="shared" si="290"/>
        <v>0</v>
      </c>
      <c r="DT165" s="607">
        <f t="shared" si="291"/>
        <v>0</v>
      </c>
      <c r="DU165" s="606">
        <f t="shared" si="292"/>
        <v>0</v>
      </c>
      <c r="DV165" s="607">
        <f t="shared" si="293"/>
        <v>0</v>
      </c>
      <c r="DW165" s="608">
        <f t="shared" si="294"/>
        <v>0</v>
      </c>
      <c r="DX165" s="607">
        <f t="shared" si="295"/>
        <v>4067073.8181818184</v>
      </c>
      <c r="DY165" s="608">
        <f t="shared" si="296"/>
        <v>846855</v>
      </c>
      <c r="DZ165" s="607">
        <f t="shared" si="297"/>
        <v>4067073.8181818184</v>
      </c>
      <c r="EA165" s="608">
        <f t="shared" si="298"/>
        <v>846855</v>
      </c>
    </row>
    <row r="166" spans="1:131" x14ac:dyDescent="0.2">
      <c r="A166" s="381" t="s">
        <v>35</v>
      </c>
      <c r="B166" s="375" t="s">
        <v>571</v>
      </c>
      <c r="C166" s="552"/>
      <c r="D166" s="376">
        <v>140012</v>
      </c>
      <c r="E166" s="377">
        <v>12</v>
      </c>
      <c r="F166" s="598"/>
      <c r="G166" s="599"/>
      <c r="H166" s="600"/>
      <c r="I166" s="601"/>
      <c r="J166" s="600"/>
      <c r="K166" s="599"/>
      <c r="L166" s="600"/>
      <c r="M166" s="601"/>
      <c r="N166" s="600"/>
      <c r="O166" s="599"/>
      <c r="P166" s="600"/>
      <c r="Q166" s="601"/>
      <c r="R166" s="600"/>
      <c r="S166" s="599"/>
      <c r="T166" s="600"/>
      <c r="U166" s="601"/>
      <c r="V166" s="600"/>
      <c r="W166" s="599"/>
      <c r="X166" s="600"/>
      <c r="Y166" s="601"/>
      <c r="Z166" s="600"/>
      <c r="AA166" s="599"/>
      <c r="AB166" s="600"/>
      <c r="AC166" s="601"/>
      <c r="AD166" s="600"/>
      <c r="AE166" s="599"/>
      <c r="AF166" s="600"/>
      <c r="AG166" s="601"/>
      <c r="AH166" s="600"/>
      <c r="AI166" s="599"/>
      <c r="AJ166" s="600"/>
      <c r="AK166" s="601"/>
      <c r="AL166" s="600"/>
      <c r="AM166" s="599"/>
      <c r="AN166" s="600"/>
      <c r="AO166" s="601"/>
      <c r="AP166" s="600"/>
      <c r="AQ166" s="599"/>
      <c r="AR166" s="600"/>
      <c r="AS166" s="601"/>
      <c r="AT166" s="600"/>
      <c r="AU166" s="599"/>
      <c r="AV166" s="600"/>
      <c r="AW166" s="601"/>
      <c r="AX166" s="600">
        <v>88</v>
      </c>
      <c r="AY166" s="599"/>
      <c r="AZ166" s="600"/>
      <c r="BA166" s="601">
        <v>96</v>
      </c>
      <c r="BB166" s="602">
        <v>0</v>
      </c>
      <c r="BC166" s="599"/>
      <c r="BD166" s="600">
        <v>0</v>
      </c>
      <c r="BE166" s="599"/>
      <c r="BF166" s="600">
        <v>0</v>
      </c>
      <c r="BG166" s="599"/>
      <c r="BH166" s="600">
        <v>0</v>
      </c>
      <c r="BI166" s="599"/>
      <c r="BJ166" s="600">
        <v>0</v>
      </c>
      <c r="BK166" s="615"/>
      <c r="BL166" s="600">
        <v>5739536</v>
      </c>
      <c r="BM166" s="604">
        <v>6217669</v>
      </c>
      <c r="BN166" s="605">
        <f t="shared" si="233"/>
        <v>0</v>
      </c>
      <c r="BO166" s="606">
        <f t="shared" si="234"/>
        <v>0</v>
      </c>
      <c r="BP166" s="607">
        <f t="shared" si="235"/>
        <v>0</v>
      </c>
      <c r="BQ166" s="606">
        <f t="shared" si="236"/>
        <v>0</v>
      </c>
      <c r="BR166" s="607">
        <f t="shared" si="237"/>
        <v>0</v>
      </c>
      <c r="BS166" s="606">
        <f t="shared" si="238"/>
        <v>0</v>
      </c>
      <c r="BT166" s="607">
        <f t="shared" si="239"/>
        <v>0</v>
      </c>
      <c r="BU166" s="606">
        <f t="shared" si="240"/>
        <v>0</v>
      </c>
      <c r="BV166" s="607">
        <f t="shared" si="241"/>
        <v>0</v>
      </c>
      <c r="BW166" s="608">
        <f t="shared" si="242"/>
        <v>0</v>
      </c>
      <c r="BX166" s="607">
        <f t="shared" si="243"/>
        <v>968</v>
      </c>
      <c r="BY166" s="608">
        <f t="shared" si="244"/>
        <v>1152</v>
      </c>
      <c r="BZ166" s="607">
        <f t="shared" si="245"/>
        <v>0</v>
      </c>
      <c r="CA166" s="608">
        <f t="shared" si="246"/>
        <v>0</v>
      </c>
      <c r="CB166" s="607">
        <f t="shared" si="247"/>
        <v>0</v>
      </c>
      <c r="CC166" s="608">
        <f t="shared" si="248"/>
        <v>0</v>
      </c>
      <c r="CD166" s="607">
        <f t="shared" si="249"/>
        <v>0</v>
      </c>
      <c r="CE166" s="608">
        <f t="shared" si="250"/>
        <v>0</v>
      </c>
      <c r="CF166" s="607">
        <f t="shared" si="251"/>
        <v>0</v>
      </c>
      <c r="CG166" s="608">
        <f t="shared" si="252"/>
        <v>0</v>
      </c>
      <c r="CH166" s="607">
        <f t="shared" si="253"/>
        <v>0</v>
      </c>
      <c r="CI166" s="608">
        <f t="shared" si="254"/>
        <v>0</v>
      </c>
      <c r="CJ166" s="607">
        <f t="shared" si="255"/>
        <v>5929.272727272727</v>
      </c>
      <c r="CK166" s="608">
        <f t="shared" si="256"/>
        <v>5397.2821180555557</v>
      </c>
      <c r="CL166" s="609">
        <f t="shared" si="257"/>
        <v>0</v>
      </c>
      <c r="CM166" s="608">
        <f t="shared" si="258"/>
        <v>0</v>
      </c>
      <c r="CN166" s="610">
        <f t="shared" si="259"/>
        <v>0</v>
      </c>
      <c r="CO166" s="606">
        <f t="shared" si="260"/>
        <v>0</v>
      </c>
      <c r="CP166" s="607">
        <f t="shared" si="261"/>
        <v>0</v>
      </c>
      <c r="CQ166" s="606">
        <f t="shared" si="262"/>
        <v>0</v>
      </c>
      <c r="CR166" s="607">
        <f t="shared" si="263"/>
        <v>0</v>
      </c>
      <c r="CS166" s="606">
        <f t="shared" si="264"/>
        <v>0</v>
      </c>
      <c r="CT166" s="607">
        <f t="shared" si="265"/>
        <v>0</v>
      </c>
      <c r="CU166" s="608">
        <f t="shared" si="266"/>
        <v>0</v>
      </c>
      <c r="CV166" s="610">
        <f t="shared" si="267"/>
        <v>53363.454545454544</v>
      </c>
      <c r="CW166" s="608">
        <f t="shared" si="268"/>
        <v>48575.5390625</v>
      </c>
      <c r="CX166" s="610">
        <f t="shared" si="269"/>
        <v>53363.454545454544</v>
      </c>
      <c r="CY166" s="611">
        <f t="shared" si="270"/>
        <v>48575.5390625</v>
      </c>
      <c r="CZ166" s="605">
        <f t="shared" si="271"/>
        <v>0</v>
      </c>
      <c r="DA166" s="612">
        <f t="shared" si="272"/>
        <v>0</v>
      </c>
      <c r="DB166" s="607">
        <f t="shared" si="273"/>
        <v>0</v>
      </c>
      <c r="DC166" s="606">
        <f t="shared" si="274"/>
        <v>0</v>
      </c>
      <c r="DD166" s="607">
        <f t="shared" si="275"/>
        <v>0</v>
      </c>
      <c r="DE166" s="606">
        <f t="shared" si="276"/>
        <v>0</v>
      </c>
      <c r="DF166" s="607">
        <f t="shared" si="277"/>
        <v>0</v>
      </c>
      <c r="DG166" s="606">
        <f t="shared" si="278"/>
        <v>0</v>
      </c>
      <c r="DH166" s="607">
        <f t="shared" si="279"/>
        <v>0</v>
      </c>
      <c r="DI166" s="608">
        <f t="shared" si="280"/>
        <v>0</v>
      </c>
      <c r="DJ166" s="607">
        <f t="shared" si="281"/>
        <v>88</v>
      </c>
      <c r="DK166" s="608">
        <f t="shared" si="282"/>
        <v>96</v>
      </c>
      <c r="DL166" s="607">
        <f t="shared" si="283"/>
        <v>88</v>
      </c>
      <c r="DM166" s="608">
        <f t="shared" si="284"/>
        <v>96</v>
      </c>
      <c r="DN166" s="607">
        <f t="shared" si="285"/>
        <v>0</v>
      </c>
      <c r="DO166" s="612">
        <f t="shared" si="286"/>
        <v>0</v>
      </c>
      <c r="DP166" s="607">
        <f t="shared" si="287"/>
        <v>0</v>
      </c>
      <c r="DQ166" s="606">
        <f t="shared" si="288"/>
        <v>0</v>
      </c>
      <c r="DR166" s="607">
        <f t="shared" si="289"/>
        <v>0</v>
      </c>
      <c r="DS166" s="606">
        <f t="shared" si="290"/>
        <v>0</v>
      </c>
      <c r="DT166" s="607">
        <f t="shared" si="291"/>
        <v>0</v>
      </c>
      <c r="DU166" s="606">
        <f t="shared" si="292"/>
        <v>0</v>
      </c>
      <c r="DV166" s="607">
        <f t="shared" si="293"/>
        <v>0</v>
      </c>
      <c r="DW166" s="608">
        <f t="shared" si="294"/>
        <v>0</v>
      </c>
      <c r="DX166" s="607">
        <f t="shared" si="295"/>
        <v>4695984</v>
      </c>
      <c r="DY166" s="608">
        <f t="shared" si="296"/>
        <v>4663251.75</v>
      </c>
      <c r="DZ166" s="607">
        <f t="shared" si="297"/>
        <v>4695984</v>
      </c>
      <c r="EA166" s="608">
        <f t="shared" si="298"/>
        <v>4663251.75</v>
      </c>
    </row>
    <row r="167" spans="1:131" x14ac:dyDescent="0.2">
      <c r="A167" s="381" t="s">
        <v>35</v>
      </c>
      <c r="B167" s="375" t="s">
        <v>572</v>
      </c>
      <c r="C167" s="552"/>
      <c r="D167" s="376">
        <v>140243</v>
      </c>
      <c r="E167" s="377">
        <v>12</v>
      </c>
      <c r="F167" s="598"/>
      <c r="G167" s="599"/>
      <c r="H167" s="600"/>
      <c r="I167" s="601"/>
      <c r="J167" s="600"/>
      <c r="K167" s="599"/>
      <c r="L167" s="600"/>
      <c r="M167" s="601"/>
      <c r="N167" s="600"/>
      <c r="O167" s="599"/>
      <c r="P167" s="600"/>
      <c r="Q167" s="601"/>
      <c r="R167" s="600"/>
      <c r="S167" s="599"/>
      <c r="T167" s="600"/>
      <c r="U167" s="601"/>
      <c r="V167" s="600"/>
      <c r="W167" s="599"/>
      <c r="X167" s="600"/>
      <c r="Y167" s="601"/>
      <c r="Z167" s="600"/>
      <c r="AA167" s="599"/>
      <c r="AB167" s="600"/>
      <c r="AC167" s="601"/>
      <c r="AD167" s="600"/>
      <c r="AE167" s="599"/>
      <c r="AF167" s="600"/>
      <c r="AG167" s="601"/>
      <c r="AH167" s="600"/>
      <c r="AI167" s="599"/>
      <c r="AJ167" s="600"/>
      <c r="AK167" s="601"/>
      <c r="AL167" s="600"/>
      <c r="AM167" s="599"/>
      <c r="AN167" s="600"/>
      <c r="AO167" s="601"/>
      <c r="AP167" s="600"/>
      <c r="AQ167" s="599"/>
      <c r="AR167" s="600"/>
      <c r="AS167" s="601"/>
      <c r="AT167" s="600">
        <v>10</v>
      </c>
      <c r="AU167" s="599">
        <v>11</v>
      </c>
      <c r="AV167" s="600"/>
      <c r="AW167" s="601">
        <v>1</v>
      </c>
      <c r="AX167" s="600">
        <v>78</v>
      </c>
      <c r="AY167" s="599">
        <v>3</v>
      </c>
      <c r="AZ167" s="600"/>
      <c r="BA167" s="601">
        <v>66</v>
      </c>
      <c r="BB167" s="602">
        <v>0</v>
      </c>
      <c r="BC167" s="599"/>
      <c r="BD167" s="600">
        <v>0</v>
      </c>
      <c r="BE167" s="599"/>
      <c r="BF167" s="600">
        <v>0</v>
      </c>
      <c r="BG167" s="599"/>
      <c r="BH167" s="600">
        <v>0</v>
      </c>
      <c r="BI167" s="599"/>
      <c r="BJ167" s="600">
        <v>0</v>
      </c>
      <c r="BK167" s="615"/>
      <c r="BL167" s="600">
        <v>4660836</v>
      </c>
      <c r="BM167" s="604">
        <v>4259746</v>
      </c>
      <c r="BN167" s="605">
        <f t="shared" si="233"/>
        <v>0</v>
      </c>
      <c r="BO167" s="606">
        <f t="shared" si="234"/>
        <v>0</v>
      </c>
      <c r="BP167" s="607">
        <f t="shared" si="235"/>
        <v>0</v>
      </c>
      <c r="BQ167" s="606">
        <f t="shared" si="236"/>
        <v>0</v>
      </c>
      <c r="BR167" s="607">
        <f t="shared" si="237"/>
        <v>0</v>
      </c>
      <c r="BS167" s="606">
        <f t="shared" si="238"/>
        <v>0</v>
      </c>
      <c r="BT167" s="607">
        <f t="shared" si="239"/>
        <v>0</v>
      </c>
      <c r="BU167" s="606">
        <f t="shared" si="240"/>
        <v>0</v>
      </c>
      <c r="BV167" s="607">
        <f t="shared" si="241"/>
        <v>0</v>
      </c>
      <c r="BW167" s="608">
        <f t="shared" si="242"/>
        <v>0</v>
      </c>
      <c r="BX167" s="607">
        <f t="shared" si="243"/>
        <v>948</v>
      </c>
      <c r="BY167" s="608">
        <f t="shared" si="244"/>
        <v>934</v>
      </c>
      <c r="BZ167" s="607">
        <f t="shared" si="245"/>
        <v>0</v>
      </c>
      <c r="CA167" s="608">
        <f t="shared" si="246"/>
        <v>0</v>
      </c>
      <c r="CB167" s="607">
        <f t="shared" si="247"/>
        <v>0</v>
      </c>
      <c r="CC167" s="608">
        <f t="shared" si="248"/>
        <v>0</v>
      </c>
      <c r="CD167" s="607">
        <f t="shared" si="249"/>
        <v>0</v>
      </c>
      <c r="CE167" s="608">
        <f t="shared" si="250"/>
        <v>0</v>
      </c>
      <c r="CF167" s="607">
        <f t="shared" si="251"/>
        <v>0</v>
      </c>
      <c r="CG167" s="608">
        <f t="shared" si="252"/>
        <v>0</v>
      </c>
      <c r="CH167" s="607">
        <f t="shared" si="253"/>
        <v>0</v>
      </c>
      <c r="CI167" s="608">
        <f t="shared" si="254"/>
        <v>0</v>
      </c>
      <c r="CJ167" s="607">
        <f t="shared" si="255"/>
        <v>4916.493670886076</v>
      </c>
      <c r="CK167" s="608">
        <f t="shared" si="256"/>
        <v>4560.7558886509632</v>
      </c>
      <c r="CL167" s="609">
        <f t="shared" si="257"/>
        <v>0</v>
      </c>
      <c r="CM167" s="608">
        <f t="shared" si="258"/>
        <v>0</v>
      </c>
      <c r="CN167" s="610">
        <f t="shared" si="259"/>
        <v>0</v>
      </c>
      <c r="CO167" s="606">
        <f t="shared" si="260"/>
        <v>0</v>
      </c>
      <c r="CP167" s="607">
        <f t="shared" si="261"/>
        <v>0</v>
      </c>
      <c r="CQ167" s="606">
        <f t="shared" si="262"/>
        <v>0</v>
      </c>
      <c r="CR167" s="607">
        <f t="shared" si="263"/>
        <v>0</v>
      </c>
      <c r="CS167" s="606">
        <f t="shared" si="264"/>
        <v>0</v>
      </c>
      <c r="CT167" s="607">
        <f t="shared" si="265"/>
        <v>0</v>
      </c>
      <c r="CU167" s="608">
        <f t="shared" si="266"/>
        <v>0</v>
      </c>
      <c r="CV167" s="610">
        <f t="shared" si="267"/>
        <v>44248.443037974685</v>
      </c>
      <c r="CW167" s="608">
        <f t="shared" si="268"/>
        <v>41046.802997858671</v>
      </c>
      <c r="CX167" s="610">
        <f t="shared" si="269"/>
        <v>44248.443037974685</v>
      </c>
      <c r="CY167" s="611">
        <f t="shared" si="270"/>
        <v>41046.802997858671</v>
      </c>
      <c r="CZ167" s="605">
        <f t="shared" si="271"/>
        <v>0</v>
      </c>
      <c r="DA167" s="612">
        <f t="shared" si="272"/>
        <v>0</v>
      </c>
      <c r="DB167" s="607">
        <f t="shared" si="273"/>
        <v>0</v>
      </c>
      <c r="DC167" s="606">
        <f t="shared" si="274"/>
        <v>0</v>
      </c>
      <c r="DD167" s="607">
        <f t="shared" si="275"/>
        <v>0</v>
      </c>
      <c r="DE167" s="606">
        <f t="shared" si="276"/>
        <v>0</v>
      </c>
      <c r="DF167" s="607">
        <f t="shared" si="277"/>
        <v>0</v>
      </c>
      <c r="DG167" s="606">
        <f t="shared" si="278"/>
        <v>0</v>
      </c>
      <c r="DH167" s="607">
        <f t="shared" si="279"/>
        <v>0</v>
      </c>
      <c r="DI167" s="608">
        <f t="shared" si="280"/>
        <v>0</v>
      </c>
      <c r="DJ167" s="607">
        <f t="shared" si="281"/>
        <v>88</v>
      </c>
      <c r="DK167" s="608">
        <f t="shared" si="282"/>
        <v>81</v>
      </c>
      <c r="DL167" s="607">
        <f t="shared" si="283"/>
        <v>88</v>
      </c>
      <c r="DM167" s="608">
        <f t="shared" si="284"/>
        <v>81</v>
      </c>
      <c r="DN167" s="607">
        <f t="shared" si="285"/>
        <v>0</v>
      </c>
      <c r="DO167" s="612">
        <f t="shared" si="286"/>
        <v>0</v>
      </c>
      <c r="DP167" s="607">
        <f t="shared" si="287"/>
        <v>0</v>
      </c>
      <c r="DQ167" s="606">
        <f t="shared" si="288"/>
        <v>0</v>
      </c>
      <c r="DR167" s="607">
        <f t="shared" si="289"/>
        <v>0</v>
      </c>
      <c r="DS167" s="606">
        <f t="shared" si="290"/>
        <v>0</v>
      </c>
      <c r="DT167" s="607">
        <f t="shared" si="291"/>
        <v>0</v>
      </c>
      <c r="DU167" s="606">
        <f t="shared" si="292"/>
        <v>0</v>
      </c>
      <c r="DV167" s="607">
        <f t="shared" si="293"/>
        <v>0</v>
      </c>
      <c r="DW167" s="608">
        <f t="shared" si="294"/>
        <v>0</v>
      </c>
      <c r="DX167" s="607">
        <f t="shared" si="295"/>
        <v>3893862.9873417723</v>
      </c>
      <c r="DY167" s="608">
        <f t="shared" si="296"/>
        <v>3324791.0428265524</v>
      </c>
      <c r="DZ167" s="607">
        <f t="shared" si="297"/>
        <v>3893862.9873417723</v>
      </c>
      <c r="EA167" s="608">
        <f t="shared" si="298"/>
        <v>3324791.0428265524</v>
      </c>
    </row>
    <row r="168" spans="1:131" x14ac:dyDescent="0.2">
      <c r="A168" s="381" t="s">
        <v>35</v>
      </c>
      <c r="B168" s="375" t="s">
        <v>573</v>
      </c>
      <c r="C168" s="552"/>
      <c r="D168" s="376">
        <v>140085</v>
      </c>
      <c r="E168" s="377">
        <v>12</v>
      </c>
      <c r="F168" s="598"/>
      <c r="G168" s="599"/>
      <c r="H168" s="600"/>
      <c r="I168" s="601"/>
      <c r="J168" s="600"/>
      <c r="K168" s="599"/>
      <c r="L168" s="600"/>
      <c r="M168" s="601"/>
      <c r="N168" s="600"/>
      <c r="O168" s="599"/>
      <c r="P168" s="600"/>
      <c r="Q168" s="601"/>
      <c r="R168" s="600"/>
      <c r="S168" s="599"/>
      <c r="T168" s="600"/>
      <c r="U168" s="601"/>
      <c r="V168" s="600"/>
      <c r="W168" s="599"/>
      <c r="X168" s="600"/>
      <c r="Y168" s="601"/>
      <c r="Z168" s="600"/>
      <c r="AA168" s="599"/>
      <c r="AB168" s="600"/>
      <c r="AC168" s="601"/>
      <c r="AD168" s="600"/>
      <c r="AE168" s="599"/>
      <c r="AF168" s="600"/>
      <c r="AG168" s="601"/>
      <c r="AH168" s="600"/>
      <c r="AI168" s="599"/>
      <c r="AJ168" s="600"/>
      <c r="AK168" s="601"/>
      <c r="AL168" s="600"/>
      <c r="AM168" s="599"/>
      <c r="AN168" s="600"/>
      <c r="AO168" s="601"/>
      <c r="AP168" s="600"/>
      <c r="AQ168" s="599"/>
      <c r="AR168" s="600"/>
      <c r="AS168" s="601"/>
      <c r="AT168" s="600"/>
      <c r="AU168" s="599"/>
      <c r="AV168" s="600"/>
      <c r="AW168" s="601"/>
      <c r="AX168" s="600">
        <v>93</v>
      </c>
      <c r="AY168" s="599"/>
      <c r="AZ168" s="600"/>
      <c r="BA168" s="601">
        <v>82</v>
      </c>
      <c r="BB168" s="602">
        <v>0</v>
      </c>
      <c r="BC168" s="599"/>
      <c r="BD168" s="600">
        <v>0</v>
      </c>
      <c r="BE168" s="599"/>
      <c r="BF168" s="600">
        <v>0</v>
      </c>
      <c r="BG168" s="599"/>
      <c r="BH168" s="600">
        <v>0</v>
      </c>
      <c r="BI168" s="599"/>
      <c r="BJ168" s="600">
        <v>0</v>
      </c>
      <c r="BK168" s="615"/>
      <c r="BL168" s="600">
        <v>4561092</v>
      </c>
      <c r="BM168" s="604">
        <v>4242304</v>
      </c>
      <c r="BN168" s="605">
        <f t="shared" si="233"/>
        <v>0</v>
      </c>
      <c r="BO168" s="606">
        <f t="shared" si="234"/>
        <v>0</v>
      </c>
      <c r="BP168" s="607">
        <f t="shared" si="235"/>
        <v>0</v>
      </c>
      <c r="BQ168" s="606">
        <f t="shared" si="236"/>
        <v>0</v>
      </c>
      <c r="BR168" s="607">
        <f t="shared" si="237"/>
        <v>0</v>
      </c>
      <c r="BS168" s="606">
        <f t="shared" si="238"/>
        <v>0</v>
      </c>
      <c r="BT168" s="607">
        <f t="shared" si="239"/>
        <v>0</v>
      </c>
      <c r="BU168" s="606">
        <f t="shared" si="240"/>
        <v>0</v>
      </c>
      <c r="BV168" s="607">
        <f t="shared" si="241"/>
        <v>0</v>
      </c>
      <c r="BW168" s="608">
        <f t="shared" si="242"/>
        <v>0</v>
      </c>
      <c r="BX168" s="607">
        <f t="shared" si="243"/>
        <v>1023</v>
      </c>
      <c r="BY168" s="608">
        <f t="shared" si="244"/>
        <v>984</v>
      </c>
      <c r="BZ168" s="607">
        <f t="shared" si="245"/>
        <v>0</v>
      </c>
      <c r="CA168" s="608">
        <f t="shared" si="246"/>
        <v>0</v>
      </c>
      <c r="CB168" s="607">
        <f t="shared" si="247"/>
        <v>0</v>
      </c>
      <c r="CC168" s="608">
        <f t="shared" si="248"/>
        <v>0</v>
      </c>
      <c r="CD168" s="607">
        <f t="shared" si="249"/>
        <v>0</v>
      </c>
      <c r="CE168" s="608">
        <f t="shared" si="250"/>
        <v>0</v>
      </c>
      <c r="CF168" s="607">
        <f t="shared" si="251"/>
        <v>0</v>
      </c>
      <c r="CG168" s="608">
        <f t="shared" si="252"/>
        <v>0</v>
      </c>
      <c r="CH168" s="607">
        <f t="shared" si="253"/>
        <v>0</v>
      </c>
      <c r="CI168" s="608">
        <f t="shared" si="254"/>
        <v>0</v>
      </c>
      <c r="CJ168" s="607">
        <f t="shared" si="255"/>
        <v>4458.545454545455</v>
      </c>
      <c r="CK168" s="608">
        <f t="shared" si="256"/>
        <v>4311.2845528455282</v>
      </c>
      <c r="CL168" s="609">
        <f t="shared" si="257"/>
        <v>0</v>
      </c>
      <c r="CM168" s="608">
        <f t="shared" si="258"/>
        <v>0</v>
      </c>
      <c r="CN168" s="610">
        <f t="shared" si="259"/>
        <v>0</v>
      </c>
      <c r="CO168" s="606">
        <f t="shared" si="260"/>
        <v>0</v>
      </c>
      <c r="CP168" s="607">
        <f t="shared" si="261"/>
        <v>0</v>
      </c>
      <c r="CQ168" s="606">
        <f t="shared" si="262"/>
        <v>0</v>
      </c>
      <c r="CR168" s="607">
        <f t="shared" si="263"/>
        <v>0</v>
      </c>
      <c r="CS168" s="606">
        <f t="shared" si="264"/>
        <v>0</v>
      </c>
      <c r="CT168" s="607">
        <f t="shared" si="265"/>
        <v>0</v>
      </c>
      <c r="CU168" s="608">
        <f t="shared" si="266"/>
        <v>0</v>
      </c>
      <c r="CV168" s="610">
        <f t="shared" si="267"/>
        <v>40126.909090909096</v>
      </c>
      <c r="CW168" s="608">
        <f t="shared" si="268"/>
        <v>38801.560975609755</v>
      </c>
      <c r="CX168" s="610">
        <f t="shared" si="269"/>
        <v>40126.909090909096</v>
      </c>
      <c r="CY168" s="611">
        <f t="shared" si="270"/>
        <v>38801.560975609755</v>
      </c>
      <c r="CZ168" s="605">
        <f t="shared" si="271"/>
        <v>0</v>
      </c>
      <c r="DA168" s="612">
        <f t="shared" si="272"/>
        <v>0</v>
      </c>
      <c r="DB168" s="607">
        <f t="shared" si="273"/>
        <v>0</v>
      </c>
      <c r="DC168" s="606">
        <f t="shared" si="274"/>
        <v>0</v>
      </c>
      <c r="DD168" s="607">
        <f t="shared" si="275"/>
        <v>0</v>
      </c>
      <c r="DE168" s="606">
        <f t="shared" si="276"/>
        <v>0</v>
      </c>
      <c r="DF168" s="607">
        <f t="shared" si="277"/>
        <v>0</v>
      </c>
      <c r="DG168" s="606">
        <f t="shared" si="278"/>
        <v>0</v>
      </c>
      <c r="DH168" s="607">
        <f t="shared" si="279"/>
        <v>0</v>
      </c>
      <c r="DI168" s="608">
        <f t="shared" si="280"/>
        <v>0</v>
      </c>
      <c r="DJ168" s="607">
        <f t="shared" si="281"/>
        <v>93</v>
      </c>
      <c r="DK168" s="608">
        <f t="shared" si="282"/>
        <v>82</v>
      </c>
      <c r="DL168" s="607">
        <f t="shared" si="283"/>
        <v>93</v>
      </c>
      <c r="DM168" s="608">
        <f t="shared" si="284"/>
        <v>82</v>
      </c>
      <c r="DN168" s="607">
        <f t="shared" si="285"/>
        <v>0</v>
      </c>
      <c r="DO168" s="612">
        <f t="shared" si="286"/>
        <v>0</v>
      </c>
      <c r="DP168" s="607">
        <f t="shared" si="287"/>
        <v>0</v>
      </c>
      <c r="DQ168" s="606">
        <f t="shared" si="288"/>
        <v>0</v>
      </c>
      <c r="DR168" s="607">
        <f t="shared" si="289"/>
        <v>0</v>
      </c>
      <c r="DS168" s="606">
        <f t="shared" si="290"/>
        <v>0</v>
      </c>
      <c r="DT168" s="607">
        <f t="shared" si="291"/>
        <v>0</v>
      </c>
      <c r="DU168" s="606">
        <f t="shared" si="292"/>
        <v>0</v>
      </c>
      <c r="DV168" s="607">
        <f t="shared" si="293"/>
        <v>0</v>
      </c>
      <c r="DW168" s="608">
        <f t="shared" si="294"/>
        <v>0</v>
      </c>
      <c r="DX168" s="607">
        <f t="shared" si="295"/>
        <v>3731802.5454545459</v>
      </c>
      <c r="DY168" s="608">
        <f t="shared" si="296"/>
        <v>3181728</v>
      </c>
      <c r="DZ168" s="607">
        <f t="shared" si="297"/>
        <v>3731802.5454545459</v>
      </c>
      <c r="EA168" s="608">
        <f t="shared" si="298"/>
        <v>3181728</v>
      </c>
    </row>
    <row r="169" spans="1:131" x14ac:dyDescent="0.2">
      <c r="A169" s="381" t="s">
        <v>35</v>
      </c>
      <c r="B169" s="375" t="s">
        <v>574</v>
      </c>
      <c r="C169" s="552"/>
      <c r="D169" s="376">
        <v>140599</v>
      </c>
      <c r="E169" s="377">
        <v>12</v>
      </c>
      <c r="F169" s="598"/>
      <c r="G169" s="599"/>
      <c r="H169" s="600"/>
      <c r="I169" s="601"/>
      <c r="J169" s="600"/>
      <c r="K169" s="599"/>
      <c r="L169" s="600"/>
      <c r="M169" s="601"/>
      <c r="N169" s="600"/>
      <c r="O169" s="599"/>
      <c r="P169" s="600"/>
      <c r="Q169" s="601"/>
      <c r="R169" s="600"/>
      <c r="S169" s="599"/>
      <c r="T169" s="600"/>
      <c r="U169" s="601"/>
      <c r="V169" s="600"/>
      <c r="W169" s="599"/>
      <c r="X169" s="600"/>
      <c r="Y169" s="601"/>
      <c r="Z169" s="600"/>
      <c r="AA169" s="599"/>
      <c r="AB169" s="600"/>
      <c r="AC169" s="601"/>
      <c r="AD169" s="600"/>
      <c r="AE169" s="599"/>
      <c r="AF169" s="600"/>
      <c r="AG169" s="601"/>
      <c r="AH169" s="600"/>
      <c r="AI169" s="599"/>
      <c r="AJ169" s="600"/>
      <c r="AK169" s="601"/>
      <c r="AL169" s="600"/>
      <c r="AM169" s="599"/>
      <c r="AN169" s="600"/>
      <c r="AO169" s="601"/>
      <c r="AP169" s="600"/>
      <c r="AQ169" s="599"/>
      <c r="AR169" s="600"/>
      <c r="AS169" s="601"/>
      <c r="AT169" s="600">
        <v>1</v>
      </c>
      <c r="AU169" s="599">
        <v>1</v>
      </c>
      <c r="AV169" s="600"/>
      <c r="AW169" s="601">
        <v>3</v>
      </c>
      <c r="AX169" s="600">
        <v>60</v>
      </c>
      <c r="AY169" s="599"/>
      <c r="AZ169" s="600"/>
      <c r="BA169" s="601">
        <v>55</v>
      </c>
      <c r="BB169" s="602">
        <v>0</v>
      </c>
      <c r="BC169" s="599"/>
      <c r="BD169" s="600">
        <v>0</v>
      </c>
      <c r="BE169" s="599"/>
      <c r="BF169" s="600">
        <v>0</v>
      </c>
      <c r="BG169" s="599"/>
      <c r="BH169" s="600">
        <v>0</v>
      </c>
      <c r="BI169" s="599"/>
      <c r="BJ169" s="600">
        <v>0</v>
      </c>
      <c r="BK169" s="615"/>
      <c r="BL169" s="600">
        <v>3108684</v>
      </c>
      <c r="BM169" s="604">
        <v>2945088</v>
      </c>
      <c r="BN169" s="605">
        <f t="shared" si="233"/>
        <v>0</v>
      </c>
      <c r="BO169" s="606">
        <f t="shared" si="234"/>
        <v>0</v>
      </c>
      <c r="BP169" s="607">
        <f t="shared" si="235"/>
        <v>0</v>
      </c>
      <c r="BQ169" s="606">
        <f t="shared" si="236"/>
        <v>0</v>
      </c>
      <c r="BR169" s="607">
        <f t="shared" si="237"/>
        <v>0</v>
      </c>
      <c r="BS169" s="606">
        <f t="shared" si="238"/>
        <v>0</v>
      </c>
      <c r="BT169" s="607">
        <f t="shared" si="239"/>
        <v>0</v>
      </c>
      <c r="BU169" s="606">
        <f t="shared" si="240"/>
        <v>0</v>
      </c>
      <c r="BV169" s="607">
        <f t="shared" si="241"/>
        <v>0</v>
      </c>
      <c r="BW169" s="608">
        <f t="shared" si="242"/>
        <v>0</v>
      </c>
      <c r="BX169" s="607">
        <f t="shared" si="243"/>
        <v>669</v>
      </c>
      <c r="BY169" s="608">
        <f t="shared" si="244"/>
        <v>699</v>
      </c>
      <c r="BZ169" s="607">
        <f t="shared" si="245"/>
        <v>0</v>
      </c>
      <c r="CA169" s="608">
        <f t="shared" si="246"/>
        <v>0</v>
      </c>
      <c r="CB169" s="607">
        <f t="shared" si="247"/>
        <v>0</v>
      </c>
      <c r="CC169" s="608">
        <f t="shared" si="248"/>
        <v>0</v>
      </c>
      <c r="CD169" s="607">
        <f t="shared" si="249"/>
        <v>0</v>
      </c>
      <c r="CE169" s="608">
        <f t="shared" si="250"/>
        <v>0</v>
      </c>
      <c r="CF169" s="607">
        <f t="shared" si="251"/>
        <v>0</v>
      </c>
      <c r="CG169" s="608">
        <f t="shared" si="252"/>
        <v>0</v>
      </c>
      <c r="CH169" s="607">
        <f t="shared" si="253"/>
        <v>0</v>
      </c>
      <c r="CI169" s="608">
        <f t="shared" si="254"/>
        <v>0</v>
      </c>
      <c r="CJ169" s="607">
        <f t="shared" si="255"/>
        <v>4646.7623318385649</v>
      </c>
      <c r="CK169" s="608">
        <f t="shared" si="256"/>
        <v>4213.2875536480688</v>
      </c>
      <c r="CL169" s="609">
        <f t="shared" si="257"/>
        <v>0</v>
      </c>
      <c r="CM169" s="608">
        <f t="shared" si="258"/>
        <v>0</v>
      </c>
      <c r="CN169" s="610">
        <f t="shared" si="259"/>
        <v>0</v>
      </c>
      <c r="CO169" s="606">
        <f t="shared" si="260"/>
        <v>0</v>
      </c>
      <c r="CP169" s="607">
        <f t="shared" si="261"/>
        <v>0</v>
      </c>
      <c r="CQ169" s="606">
        <f t="shared" si="262"/>
        <v>0</v>
      </c>
      <c r="CR169" s="607">
        <f t="shared" si="263"/>
        <v>0</v>
      </c>
      <c r="CS169" s="606">
        <f t="shared" si="264"/>
        <v>0</v>
      </c>
      <c r="CT169" s="607">
        <f t="shared" si="265"/>
        <v>0</v>
      </c>
      <c r="CU169" s="608">
        <f t="shared" si="266"/>
        <v>0</v>
      </c>
      <c r="CV169" s="610">
        <f t="shared" si="267"/>
        <v>41820.860986547086</v>
      </c>
      <c r="CW169" s="608">
        <f t="shared" si="268"/>
        <v>37919.587982832621</v>
      </c>
      <c r="CX169" s="610">
        <f t="shared" si="269"/>
        <v>41820.860986547086</v>
      </c>
      <c r="CY169" s="611">
        <f t="shared" si="270"/>
        <v>37919.587982832621</v>
      </c>
      <c r="CZ169" s="605">
        <f t="shared" si="271"/>
        <v>0</v>
      </c>
      <c r="DA169" s="612">
        <f t="shared" si="272"/>
        <v>0</v>
      </c>
      <c r="DB169" s="607">
        <f t="shared" si="273"/>
        <v>0</v>
      </c>
      <c r="DC169" s="606">
        <f t="shared" si="274"/>
        <v>0</v>
      </c>
      <c r="DD169" s="607">
        <f t="shared" si="275"/>
        <v>0</v>
      </c>
      <c r="DE169" s="606">
        <f t="shared" si="276"/>
        <v>0</v>
      </c>
      <c r="DF169" s="607">
        <f t="shared" si="277"/>
        <v>0</v>
      </c>
      <c r="DG169" s="606">
        <f t="shared" si="278"/>
        <v>0</v>
      </c>
      <c r="DH169" s="607">
        <f t="shared" si="279"/>
        <v>0</v>
      </c>
      <c r="DI169" s="608">
        <f t="shared" si="280"/>
        <v>0</v>
      </c>
      <c r="DJ169" s="607">
        <f t="shared" si="281"/>
        <v>61</v>
      </c>
      <c r="DK169" s="608">
        <f t="shared" si="282"/>
        <v>59</v>
      </c>
      <c r="DL169" s="607">
        <f t="shared" si="283"/>
        <v>61</v>
      </c>
      <c r="DM169" s="608">
        <f t="shared" si="284"/>
        <v>59</v>
      </c>
      <c r="DN169" s="607">
        <f t="shared" si="285"/>
        <v>0</v>
      </c>
      <c r="DO169" s="612">
        <f t="shared" si="286"/>
        <v>0</v>
      </c>
      <c r="DP169" s="607">
        <f t="shared" si="287"/>
        <v>0</v>
      </c>
      <c r="DQ169" s="606">
        <f t="shared" si="288"/>
        <v>0</v>
      </c>
      <c r="DR169" s="607">
        <f t="shared" si="289"/>
        <v>0</v>
      </c>
      <c r="DS169" s="606">
        <f t="shared" si="290"/>
        <v>0</v>
      </c>
      <c r="DT169" s="607">
        <f t="shared" si="291"/>
        <v>0</v>
      </c>
      <c r="DU169" s="606">
        <f t="shared" si="292"/>
        <v>0</v>
      </c>
      <c r="DV169" s="607">
        <f t="shared" si="293"/>
        <v>0</v>
      </c>
      <c r="DW169" s="608">
        <f t="shared" si="294"/>
        <v>0</v>
      </c>
      <c r="DX169" s="607">
        <f t="shared" si="295"/>
        <v>2551072.5201793723</v>
      </c>
      <c r="DY169" s="608">
        <f t="shared" si="296"/>
        <v>2237255.6909871246</v>
      </c>
      <c r="DZ169" s="607">
        <f t="shared" si="297"/>
        <v>2551072.5201793723</v>
      </c>
      <c r="EA169" s="608">
        <f t="shared" si="298"/>
        <v>2237255.6909871246</v>
      </c>
    </row>
    <row r="170" spans="1:131" x14ac:dyDescent="0.2">
      <c r="A170" s="381" t="s">
        <v>35</v>
      </c>
      <c r="B170" s="375" t="s">
        <v>575</v>
      </c>
      <c r="C170" s="552"/>
      <c r="D170" s="376">
        <v>140678</v>
      </c>
      <c r="E170" s="377">
        <v>12</v>
      </c>
      <c r="F170" s="598"/>
      <c r="G170" s="599"/>
      <c r="H170" s="600"/>
      <c r="I170" s="601"/>
      <c r="J170" s="600"/>
      <c r="K170" s="599"/>
      <c r="L170" s="600"/>
      <c r="M170" s="601"/>
      <c r="N170" s="600"/>
      <c r="O170" s="599"/>
      <c r="P170" s="600"/>
      <c r="Q170" s="601"/>
      <c r="R170" s="600"/>
      <c r="S170" s="599"/>
      <c r="T170" s="600"/>
      <c r="U170" s="601"/>
      <c r="V170" s="600"/>
      <c r="W170" s="599"/>
      <c r="X170" s="600"/>
      <c r="Y170" s="601"/>
      <c r="Z170" s="600"/>
      <c r="AA170" s="599"/>
      <c r="AB170" s="600"/>
      <c r="AC170" s="601"/>
      <c r="AD170" s="600"/>
      <c r="AE170" s="599"/>
      <c r="AF170" s="600"/>
      <c r="AG170" s="601"/>
      <c r="AH170" s="600"/>
      <c r="AI170" s="599"/>
      <c r="AJ170" s="600"/>
      <c r="AK170" s="601"/>
      <c r="AL170" s="600"/>
      <c r="AM170" s="599"/>
      <c r="AN170" s="600"/>
      <c r="AO170" s="601"/>
      <c r="AP170" s="600"/>
      <c r="AQ170" s="599"/>
      <c r="AR170" s="600"/>
      <c r="AS170" s="601"/>
      <c r="AT170" s="600"/>
      <c r="AU170" s="599"/>
      <c r="AV170" s="600"/>
      <c r="AW170" s="601"/>
      <c r="AX170" s="600">
        <v>71</v>
      </c>
      <c r="AY170" s="599"/>
      <c r="AZ170" s="600"/>
      <c r="BA170" s="601">
        <v>71</v>
      </c>
      <c r="BB170" s="602">
        <v>0</v>
      </c>
      <c r="BC170" s="599"/>
      <c r="BD170" s="600">
        <v>0</v>
      </c>
      <c r="BE170" s="599"/>
      <c r="BF170" s="600">
        <v>0</v>
      </c>
      <c r="BG170" s="599"/>
      <c r="BH170" s="600">
        <v>0</v>
      </c>
      <c r="BI170" s="599"/>
      <c r="BJ170" s="600">
        <v>0</v>
      </c>
      <c r="BK170" s="615"/>
      <c r="BL170" s="600">
        <v>3455570</v>
      </c>
      <c r="BM170" s="604">
        <v>3491801</v>
      </c>
      <c r="BN170" s="605">
        <f t="shared" si="233"/>
        <v>0</v>
      </c>
      <c r="BO170" s="606">
        <f t="shared" si="234"/>
        <v>0</v>
      </c>
      <c r="BP170" s="607">
        <f t="shared" si="235"/>
        <v>0</v>
      </c>
      <c r="BQ170" s="606">
        <f t="shared" si="236"/>
        <v>0</v>
      </c>
      <c r="BR170" s="607">
        <f t="shared" si="237"/>
        <v>0</v>
      </c>
      <c r="BS170" s="606">
        <f t="shared" si="238"/>
        <v>0</v>
      </c>
      <c r="BT170" s="607">
        <f t="shared" si="239"/>
        <v>0</v>
      </c>
      <c r="BU170" s="606">
        <f t="shared" si="240"/>
        <v>0</v>
      </c>
      <c r="BV170" s="607">
        <f t="shared" si="241"/>
        <v>0</v>
      </c>
      <c r="BW170" s="608">
        <f t="shared" si="242"/>
        <v>0</v>
      </c>
      <c r="BX170" s="607">
        <f t="shared" si="243"/>
        <v>781</v>
      </c>
      <c r="BY170" s="608">
        <f t="shared" si="244"/>
        <v>852</v>
      </c>
      <c r="BZ170" s="607">
        <f t="shared" si="245"/>
        <v>0</v>
      </c>
      <c r="CA170" s="608">
        <f t="shared" si="246"/>
        <v>0</v>
      </c>
      <c r="CB170" s="607">
        <f t="shared" si="247"/>
        <v>0</v>
      </c>
      <c r="CC170" s="608">
        <f t="shared" si="248"/>
        <v>0</v>
      </c>
      <c r="CD170" s="607">
        <f t="shared" si="249"/>
        <v>0</v>
      </c>
      <c r="CE170" s="608">
        <f t="shared" si="250"/>
        <v>0</v>
      </c>
      <c r="CF170" s="607">
        <f t="shared" si="251"/>
        <v>0</v>
      </c>
      <c r="CG170" s="608">
        <f t="shared" si="252"/>
        <v>0</v>
      </c>
      <c r="CH170" s="607">
        <f t="shared" si="253"/>
        <v>0</v>
      </c>
      <c r="CI170" s="608">
        <f t="shared" si="254"/>
        <v>0</v>
      </c>
      <c r="CJ170" s="607">
        <f t="shared" si="255"/>
        <v>4424.545454545455</v>
      </c>
      <c r="CK170" s="608">
        <f t="shared" si="256"/>
        <v>4098.3579812206572</v>
      </c>
      <c r="CL170" s="609">
        <f t="shared" si="257"/>
        <v>0</v>
      </c>
      <c r="CM170" s="608">
        <f t="shared" si="258"/>
        <v>0</v>
      </c>
      <c r="CN170" s="610">
        <f t="shared" si="259"/>
        <v>0</v>
      </c>
      <c r="CO170" s="606">
        <f t="shared" si="260"/>
        <v>0</v>
      </c>
      <c r="CP170" s="607">
        <f t="shared" si="261"/>
        <v>0</v>
      </c>
      <c r="CQ170" s="606">
        <f t="shared" si="262"/>
        <v>0</v>
      </c>
      <c r="CR170" s="607">
        <f t="shared" si="263"/>
        <v>0</v>
      </c>
      <c r="CS170" s="606">
        <f t="shared" si="264"/>
        <v>0</v>
      </c>
      <c r="CT170" s="607">
        <f t="shared" si="265"/>
        <v>0</v>
      </c>
      <c r="CU170" s="608">
        <f t="shared" si="266"/>
        <v>0</v>
      </c>
      <c r="CV170" s="610">
        <f t="shared" si="267"/>
        <v>39820.909090909096</v>
      </c>
      <c r="CW170" s="608">
        <f t="shared" si="268"/>
        <v>36885.221830985916</v>
      </c>
      <c r="CX170" s="610">
        <f t="shared" si="269"/>
        <v>39820.909090909096</v>
      </c>
      <c r="CY170" s="611">
        <f t="shared" si="270"/>
        <v>36885.221830985916</v>
      </c>
      <c r="CZ170" s="605">
        <f t="shared" si="271"/>
        <v>0</v>
      </c>
      <c r="DA170" s="612">
        <f t="shared" si="272"/>
        <v>0</v>
      </c>
      <c r="DB170" s="607">
        <f t="shared" si="273"/>
        <v>0</v>
      </c>
      <c r="DC170" s="606">
        <f t="shared" si="274"/>
        <v>0</v>
      </c>
      <c r="DD170" s="607">
        <f t="shared" si="275"/>
        <v>0</v>
      </c>
      <c r="DE170" s="606">
        <f t="shared" si="276"/>
        <v>0</v>
      </c>
      <c r="DF170" s="607">
        <f t="shared" si="277"/>
        <v>0</v>
      </c>
      <c r="DG170" s="606">
        <f t="shared" si="278"/>
        <v>0</v>
      </c>
      <c r="DH170" s="607">
        <f t="shared" si="279"/>
        <v>0</v>
      </c>
      <c r="DI170" s="608">
        <f t="shared" si="280"/>
        <v>0</v>
      </c>
      <c r="DJ170" s="607">
        <f t="shared" si="281"/>
        <v>71</v>
      </c>
      <c r="DK170" s="608">
        <f t="shared" si="282"/>
        <v>71</v>
      </c>
      <c r="DL170" s="607">
        <f t="shared" si="283"/>
        <v>71</v>
      </c>
      <c r="DM170" s="608">
        <f t="shared" si="284"/>
        <v>71</v>
      </c>
      <c r="DN170" s="607">
        <f t="shared" si="285"/>
        <v>0</v>
      </c>
      <c r="DO170" s="612">
        <f t="shared" si="286"/>
        <v>0</v>
      </c>
      <c r="DP170" s="607">
        <f t="shared" si="287"/>
        <v>0</v>
      </c>
      <c r="DQ170" s="606">
        <f t="shared" si="288"/>
        <v>0</v>
      </c>
      <c r="DR170" s="607">
        <f t="shared" si="289"/>
        <v>0</v>
      </c>
      <c r="DS170" s="606">
        <f t="shared" si="290"/>
        <v>0</v>
      </c>
      <c r="DT170" s="607">
        <f t="shared" si="291"/>
        <v>0</v>
      </c>
      <c r="DU170" s="606">
        <f t="shared" si="292"/>
        <v>0</v>
      </c>
      <c r="DV170" s="607">
        <f t="shared" si="293"/>
        <v>0</v>
      </c>
      <c r="DW170" s="608">
        <f t="shared" si="294"/>
        <v>0</v>
      </c>
      <c r="DX170" s="607">
        <f t="shared" si="295"/>
        <v>2827284.5454545459</v>
      </c>
      <c r="DY170" s="608">
        <f t="shared" si="296"/>
        <v>2618850.75</v>
      </c>
      <c r="DZ170" s="607">
        <f t="shared" si="297"/>
        <v>2827284.5454545459</v>
      </c>
      <c r="EA170" s="608">
        <f t="shared" si="298"/>
        <v>2618850.75</v>
      </c>
    </row>
    <row r="171" spans="1:131" x14ac:dyDescent="0.2">
      <c r="A171" s="381" t="s">
        <v>35</v>
      </c>
      <c r="B171" s="375" t="s">
        <v>576</v>
      </c>
      <c r="C171" s="553"/>
      <c r="D171" s="376">
        <v>420431</v>
      </c>
      <c r="E171" s="377">
        <v>12</v>
      </c>
      <c r="F171" s="598"/>
      <c r="G171" s="599"/>
      <c r="H171" s="600"/>
      <c r="I171" s="601"/>
      <c r="J171" s="600"/>
      <c r="K171" s="599"/>
      <c r="L171" s="600"/>
      <c r="M171" s="601"/>
      <c r="N171" s="600"/>
      <c r="O171" s="599"/>
      <c r="P171" s="600"/>
      <c r="Q171" s="601"/>
      <c r="R171" s="600"/>
      <c r="S171" s="599"/>
      <c r="T171" s="600"/>
      <c r="U171" s="601"/>
      <c r="V171" s="600"/>
      <c r="W171" s="599"/>
      <c r="X171" s="600"/>
      <c r="Y171" s="601"/>
      <c r="Z171" s="600"/>
      <c r="AA171" s="599"/>
      <c r="AB171" s="600"/>
      <c r="AC171" s="601"/>
      <c r="AD171" s="600"/>
      <c r="AE171" s="599"/>
      <c r="AF171" s="600"/>
      <c r="AG171" s="601"/>
      <c r="AH171" s="600"/>
      <c r="AI171" s="599"/>
      <c r="AJ171" s="600"/>
      <c r="AK171" s="601"/>
      <c r="AL171" s="600"/>
      <c r="AM171" s="599"/>
      <c r="AN171" s="600"/>
      <c r="AO171" s="601"/>
      <c r="AP171" s="600"/>
      <c r="AQ171" s="599"/>
      <c r="AR171" s="600"/>
      <c r="AS171" s="601"/>
      <c r="AT171" s="600"/>
      <c r="AU171" s="599"/>
      <c r="AV171" s="600"/>
      <c r="AW171" s="601"/>
      <c r="AX171" s="600">
        <v>75</v>
      </c>
      <c r="AY171" s="599"/>
      <c r="AZ171" s="600"/>
      <c r="BA171" s="601">
        <v>65</v>
      </c>
      <c r="BB171" s="602">
        <v>0</v>
      </c>
      <c r="BC171" s="599"/>
      <c r="BD171" s="600">
        <v>0</v>
      </c>
      <c r="BE171" s="599"/>
      <c r="BF171" s="600">
        <v>0</v>
      </c>
      <c r="BG171" s="599"/>
      <c r="BH171" s="600">
        <v>0</v>
      </c>
      <c r="BI171" s="599"/>
      <c r="BJ171" s="600">
        <v>0</v>
      </c>
      <c r="BK171" s="615"/>
      <c r="BL171" s="600">
        <v>3668325</v>
      </c>
      <c r="BM171" s="604">
        <v>3374462</v>
      </c>
      <c r="BN171" s="605">
        <f t="shared" si="233"/>
        <v>0</v>
      </c>
      <c r="BO171" s="606">
        <f t="shared" si="234"/>
        <v>0</v>
      </c>
      <c r="BP171" s="607">
        <f t="shared" si="235"/>
        <v>0</v>
      </c>
      <c r="BQ171" s="606">
        <f t="shared" si="236"/>
        <v>0</v>
      </c>
      <c r="BR171" s="607">
        <f t="shared" si="237"/>
        <v>0</v>
      </c>
      <c r="BS171" s="606">
        <f t="shared" si="238"/>
        <v>0</v>
      </c>
      <c r="BT171" s="607">
        <f t="shared" si="239"/>
        <v>0</v>
      </c>
      <c r="BU171" s="606">
        <f t="shared" si="240"/>
        <v>0</v>
      </c>
      <c r="BV171" s="607">
        <f t="shared" si="241"/>
        <v>0</v>
      </c>
      <c r="BW171" s="608">
        <f t="shared" si="242"/>
        <v>0</v>
      </c>
      <c r="BX171" s="607">
        <f t="shared" si="243"/>
        <v>825</v>
      </c>
      <c r="BY171" s="608">
        <f t="shared" si="244"/>
        <v>780</v>
      </c>
      <c r="BZ171" s="607">
        <f t="shared" si="245"/>
        <v>0</v>
      </c>
      <c r="CA171" s="608">
        <f t="shared" si="246"/>
        <v>0</v>
      </c>
      <c r="CB171" s="607">
        <f t="shared" si="247"/>
        <v>0</v>
      </c>
      <c r="CC171" s="608">
        <f t="shared" si="248"/>
        <v>0</v>
      </c>
      <c r="CD171" s="607">
        <f t="shared" si="249"/>
        <v>0</v>
      </c>
      <c r="CE171" s="608">
        <f t="shared" si="250"/>
        <v>0</v>
      </c>
      <c r="CF171" s="607">
        <f t="shared" si="251"/>
        <v>0</v>
      </c>
      <c r="CG171" s="608">
        <f t="shared" si="252"/>
        <v>0</v>
      </c>
      <c r="CH171" s="607">
        <f t="shared" si="253"/>
        <v>0</v>
      </c>
      <c r="CI171" s="608">
        <f t="shared" si="254"/>
        <v>0</v>
      </c>
      <c r="CJ171" s="607">
        <f t="shared" si="255"/>
        <v>4446.454545454545</v>
      </c>
      <c r="CK171" s="608">
        <f t="shared" si="256"/>
        <v>4326.2333333333336</v>
      </c>
      <c r="CL171" s="609">
        <f t="shared" si="257"/>
        <v>0</v>
      </c>
      <c r="CM171" s="608">
        <f t="shared" si="258"/>
        <v>0</v>
      </c>
      <c r="CN171" s="610">
        <f t="shared" si="259"/>
        <v>0</v>
      </c>
      <c r="CO171" s="606">
        <f t="shared" si="260"/>
        <v>0</v>
      </c>
      <c r="CP171" s="607">
        <f t="shared" si="261"/>
        <v>0</v>
      </c>
      <c r="CQ171" s="606">
        <f t="shared" si="262"/>
        <v>0</v>
      </c>
      <c r="CR171" s="607">
        <f t="shared" si="263"/>
        <v>0</v>
      </c>
      <c r="CS171" s="606">
        <f t="shared" si="264"/>
        <v>0</v>
      </c>
      <c r="CT171" s="607">
        <f t="shared" si="265"/>
        <v>0</v>
      </c>
      <c r="CU171" s="608">
        <f t="shared" si="266"/>
        <v>0</v>
      </c>
      <c r="CV171" s="610">
        <f t="shared" si="267"/>
        <v>40018.090909090904</v>
      </c>
      <c r="CW171" s="608">
        <f t="shared" si="268"/>
        <v>38936.100000000006</v>
      </c>
      <c r="CX171" s="610">
        <f t="shared" si="269"/>
        <v>40018.090909090904</v>
      </c>
      <c r="CY171" s="611">
        <f t="shared" si="270"/>
        <v>38936.100000000006</v>
      </c>
      <c r="CZ171" s="605">
        <f t="shared" si="271"/>
        <v>0</v>
      </c>
      <c r="DA171" s="612">
        <f t="shared" si="272"/>
        <v>0</v>
      </c>
      <c r="DB171" s="607">
        <f t="shared" si="273"/>
        <v>0</v>
      </c>
      <c r="DC171" s="606">
        <f t="shared" si="274"/>
        <v>0</v>
      </c>
      <c r="DD171" s="607">
        <f t="shared" si="275"/>
        <v>0</v>
      </c>
      <c r="DE171" s="606">
        <f t="shared" si="276"/>
        <v>0</v>
      </c>
      <c r="DF171" s="607">
        <f t="shared" si="277"/>
        <v>0</v>
      </c>
      <c r="DG171" s="606">
        <f t="shared" si="278"/>
        <v>0</v>
      </c>
      <c r="DH171" s="607">
        <f t="shared" si="279"/>
        <v>0</v>
      </c>
      <c r="DI171" s="608">
        <f t="shared" si="280"/>
        <v>0</v>
      </c>
      <c r="DJ171" s="607">
        <f t="shared" si="281"/>
        <v>75</v>
      </c>
      <c r="DK171" s="608">
        <f t="shared" si="282"/>
        <v>65</v>
      </c>
      <c r="DL171" s="607">
        <f t="shared" si="283"/>
        <v>75</v>
      </c>
      <c r="DM171" s="608">
        <f t="shared" si="284"/>
        <v>65</v>
      </c>
      <c r="DN171" s="607">
        <f t="shared" si="285"/>
        <v>0</v>
      </c>
      <c r="DO171" s="612">
        <f t="shared" si="286"/>
        <v>0</v>
      </c>
      <c r="DP171" s="607">
        <f t="shared" si="287"/>
        <v>0</v>
      </c>
      <c r="DQ171" s="606">
        <f t="shared" si="288"/>
        <v>0</v>
      </c>
      <c r="DR171" s="607">
        <f t="shared" si="289"/>
        <v>0</v>
      </c>
      <c r="DS171" s="606">
        <f t="shared" si="290"/>
        <v>0</v>
      </c>
      <c r="DT171" s="607">
        <f t="shared" si="291"/>
        <v>0</v>
      </c>
      <c r="DU171" s="606">
        <f t="shared" si="292"/>
        <v>0</v>
      </c>
      <c r="DV171" s="607">
        <f t="shared" si="293"/>
        <v>0</v>
      </c>
      <c r="DW171" s="608">
        <f t="shared" si="294"/>
        <v>0</v>
      </c>
      <c r="DX171" s="607">
        <f t="shared" si="295"/>
        <v>3001356.8181818179</v>
      </c>
      <c r="DY171" s="608">
        <f t="shared" si="296"/>
        <v>2530846.5000000005</v>
      </c>
      <c r="DZ171" s="607">
        <f t="shared" si="297"/>
        <v>3001356.8181818179</v>
      </c>
      <c r="EA171" s="608">
        <f t="shared" si="298"/>
        <v>2530846.5000000005</v>
      </c>
    </row>
    <row r="172" spans="1:131" x14ac:dyDescent="0.2">
      <c r="A172" s="381" t="s">
        <v>35</v>
      </c>
      <c r="B172" s="375" t="s">
        <v>577</v>
      </c>
      <c r="C172" s="552"/>
      <c r="D172" s="376">
        <v>366465</v>
      </c>
      <c r="E172" s="377">
        <v>12</v>
      </c>
      <c r="F172" s="598"/>
      <c r="G172" s="599"/>
      <c r="H172" s="600"/>
      <c r="I172" s="601"/>
      <c r="J172" s="600"/>
      <c r="K172" s="599"/>
      <c r="L172" s="600"/>
      <c r="M172" s="601"/>
      <c r="N172" s="600"/>
      <c r="O172" s="599"/>
      <c r="P172" s="600"/>
      <c r="Q172" s="601"/>
      <c r="R172" s="600"/>
      <c r="S172" s="599"/>
      <c r="T172" s="600"/>
      <c r="U172" s="601"/>
      <c r="V172" s="600"/>
      <c r="W172" s="599"/>
      <c r="X172" s="600"/>
      <c r="Y172" s="601"/>
      <c r="Z172" s="600"/>
      <c r="AA172" s="599"/>
      <c r="AB172" s="600"/>
      <c r="AC172" s="601"/>
      <c r="AD172" s="600"/>
      <c r="AE172" s="599"/>
      <c r="AF172" s="600"/>
      <c r="AG172" s="601"/>
      <c r="AH172" s="600"/>
      <c r="AI172" s="599"/>
      <c r="AJ172" s="600"/>
      <c r="AK172" s="601"/>
      <c r="AL172" s="600"/>
      <c r="AM172" s="599"/>
      <c r="AN172" s="600"/>
      <c r="AO172" s="601"/>
      <c r="AP172" s="600"/>
      <c r="AQ172" s="599"/>
      <c r="AR172" s="600"/>
      <c r="AS172" s="601"/>
      <c r="AT172" s="600"/>
      <c r="AU172" s="599"/>
      <c r="AV172" s="600"/>
      <c r="AW172" s="601"/>
      <c r="AX172" s="600">
        <v>68</v>
      </c>
      <c r="AY172" s="599"/>
      <c r="AZ172" s="600"/>
      <c r="BA172" s="601">
        <v>66</v>
      </c>
      <c r="BB172" s="602">
        <v>0</v>
      </c>
      <c r="BC172" s="599"/>
      <c r="BD172" s="600">
        <v>0</v>
      </c>
      <c r="BE172" s="599"/>
      <c r="BF172" s="600">
        <v>0</v>
      </c>
      <c r="BG172" s="599"/>
      <c r="BH172" s="600">
        <v>0</v>
      </c>
      <c r="BI172" s="599"/>
      <c r="BJ172" s="600">
        <v>0</v>
      </c>
      <c r="BK172" s="615"/>
      <c r="BL172" s="600">
        <v>3462084</v>
      </c>
      <c r="BM172" s="604">
        <v>3366312</v>
      </c>
      <c r="BN172" s="605">
        <f t="shared" si="233"/>
        <v>0</v>
      </c>
      <c r="BO172" s="606">
        <f t="shared" si="234"/>
        <v>0</v>
      </c>
      <c r="BP172" s="607">
        <f t="shared" si="235"/>
        <v>0</v>
      </c>
      <c r="BQ172" s="606">
        <f t="shared" si="236"/>
        <v>0</v>
      </c>
      <c r="BR172" s="607">
        <f t="shared" si="237"/>
        <v>0</v>
      </c>
      <c r="BS172" s="606">
        <f t="shared" si="238"/>
        <v>0</v>
      </c>
      <c r="BT172" s="607">
        <f t="shared" si="239"/>
        <v>0</v>
      </c>
      <c r="BU172" s="606">
        <f t="shared" si="240"/>
        <v>0</v>
      </c>
      <c r="BV172" s="607">
        <f t="shared" si="241"/>
        <v>0</v>
      </c>
      <c r="BW172" s="608">
        <f t="shared" si="242"/>
        <v>0</v>
      </c>
      <c r="BX172" s="607">
        <f t="shared" si="243"/>
        <v>748</v>
      </c>
      <c r="BY172" s="608">
        <f t="shared" si="244"/>
        <v>792</v>
      </c>
      <c r="BZ172" s="607">
        <f t="shared" si="245"/>
        <v>0</v>
      </c>
      <c r="CA172" s="608">
        <f t="shared" si="246"/>
        <v>0</v>
      </c>
      <c r="CB172" s="607">
        <f t="shared" si="247"/>
        <v>0</v>
      </c>
      <c r="CC172" s="608">
        <f t="shared" si="248"/>
        <v>0</v>
      </c>
      <c r="CD172" s="607">
        <f t="shared" si="249"/>
        <v>0</v>
      </c>
      <c r="CE172" s="608">
        <f t="shared" si="250"/>
        <v>0</v>
      </c>
      <c r="CF172" s="607">
        <f t="shared" si="251"/>
        <v>0</v>
      </c>
      <c r="CG172" s="608">
        <f t="shared" si="252"/>
        <v>0</v>
      </c>
      <c r="CH172" s="607">
        <f t="shared" si="253"/>
        <v>0</v>
      </c>
      <c r="CI172" s="608">
        <f t="shared" si="254"/>
        <v>0</v>
      </c>
      <c r="CJ172" s="607">
        <f t="shared" si="255"/>
        <v>4628.454545454545</v>
      </c>
      <c r="CK172" s="608">
        <f t="shared" si="256"/>
        <v>4250.393939393939</v>
      </c>
      <c r="CL172" s="609">
        <f t="shared" si="257"/>
        <v>0</v>
      </c>
      <c r="CM172" s="608">
        <f t="shared" si="258"/>
        <v>0</v>
      </c>
      <c r="CN172" s="610">
        <f t="shared" si="259"/>
        <v>0</v>
      </c>
      <c r="CO172" s="606">
        <f t="shared" si="260"/>
        <v>0</v>
      </c>
      <c r="CP172" s="607">
        <f t="shared" si="261"/>
        <v>0</v>
      </c>
      <c r="CQ172" s="606">
        <f t="shared" si="262"/>
        <v>0</v>
      </c>
      <c r="CR172" s="607">
        <f t="shared" si="263"/>
        <v>0</v>
      </c>
      <c r="CS172" s="606">
        <f t="shared" si="264"/>
        <v>0</v>
      </c>
      <c r="CT172" s="607">
        <f t="shared" si="265"/>
        <v>0</v>
      </c>
      <c r="CU172" s="608">
        <f t="shared" si="266"/>
        <v>0</v>
      </c>
      <c r="CV172" s="610">
        <f t="shared" si="267"/>
        <v>41656.090909090904</v>
      </c>
      <c r="CW172" s="608">
        <f t="shared" si="268"/>
        <v>38253.545454545449</v>
      </c>
      <c r="CX172" s="610">
        <f t="shared" si="269"/>
        <v>41656.090909090904</v>
      </c>
      <c r="CY172" s="611">
        <f t="shared" si="270"/>
        <v>38253.545454545449</v>
      </c>
      <c r="CZ172" s="605">
        <f t="shared" si="271"/>
        <v>0</v>
      </c>
      <c r="DA172" s="612">
        <f t="shared" si="272"/>
        <v>0</v>
      </c>
      <c r="DB172" s="607">
        <f t="shared" si="273"/>
        <v>0</v>
      </c>
      <c r="DC172" s="606">
        <f t="shared" si="274"/>
        <v>0</v>
      </c>
      <c r="DD172" s="607">
        <f t="shared" si="275"/>
        <v>0</v>
      </c>
      <c r="DE172" s="606">
        <f t="shared" si="276"/>
        <v>0</v>
      </c>
      <c r="DF172" s="607">
        <f t="shared" si="277"/>
        <v>0</v>
      </c>
      <c r="DG172" s="606">
        <f t="shared" si="278"/>
        <v>0</v>
      </c>
      <c r="DH172" s="607">
        <f t="shared" si="279"/>
        <v>0</v>
      </c>
      <c r="DI172" s="608">
        <f t="shared" si="280"/>
        <v>0</v>
      </c>
      <c r="DJ172" s="607">
        <f t="shared" si="281"/>
        <v>68</v>
      </c>
      <c r="DK172" s="608">
        <f t="shared" si="282"/>
        <v>66</v>
      </c>
      <c r="DL172" s="607">
        <f t="shared" si="283"/>
        <v>68</v>
      </c>
      <c r="DM172" s="608">
        <f t="shared" si="284"/>
        <v>66</v>
      </c>
      <c r="DN172" s="607">
        <f t="shared" si="285"/>
        <v>0</v>
      </c>
      <c r="DO172" s="612">
        <f t="shared" si="286"/>
        <v>0</v>
      </c>
      <c r="DP172" s="607">
        <f t="shared" si="287"/>
        <v>0</v>
      </c>
      <c r="DQ172" s="606">
        <f t="shared" si="288"/>
        <v>0</v>
      </c>
      <c r="DR172" s="607">
        <f t="shared" si="289"/>
        <v>0</v>
      </c>
      <c r="DS172" s="606">
        <f t="shared" si="290"/>
        <v>0</v>
      </c>
      <c r="DT172" s="607">
        <f t="shared" si="291"/>
        <v>0</v>
      </c>
      <c r="DU172" s="606">
        <f t="shared" si="292"/>
        <v>0</v>
      </c>
      <c r="DV172" s="607">
        <f t="shared" si="293"/>
        <v>0</v>
      </c>
      <c r="DW172" s="608">
        <f t="shared" si="294"/>
        <v>0</v>
      </c>
      <c r="DX172" s="607">
        <f t="shared" si="295"/>
        <v>2832614.1818181816</v>
      </c>
      <c r="DY172" s="608">
        <f t="shared" si="296"/>
        <v>2524733.9999999995</v>
      </c>
      <c r="DZ172" s="607">
        <f t="shared" si="297"/>
        <v>2832614.1818181816</v>
      </c>
      <c r="EA172" s="608">
        <f t="shared" si="298"/>
        <v>2524733.9999999995</v>
      </c>
    </row>
    <row r="173" spans="1:131" x14ac:dyDescent="0.2">
      <c r="A173" s="381" t="s">
        <v>35</v>
      </c>
      <c r="B173" s="375" t="s">
        <v>578</v>
      </c>
      <c r="C173" s="552"/>
      <c r="D173" s="376">
        <v>248776</v>
      </c>
      <c r="E173" s="377">
        <v>12</v>
      </c>
      <c r="F173" s="598"/>
      <c r="G173" s="599"/>
      <c r="H173" s="600"/>
      <c r="I173" s="601"/>
      <c r="J173" s="600"/>
      <c r="K173" s="599"/>
      <c r="L173" s="600"/>
      <c r="M173" s="601"/>
      <c r="N173" s="600"/>
      <c r="O173" s="599"/>
      <c r="P173" s="600"/>
      <c r="Q173" s="601"/>
      <c r="R173" s="600"/>
      <c r="S173" s="599"/>
      <c r="T173" s="600"/>
      <c r="U173" s="601"/>
      <c r="V173" s="600"/>
      <c r="W173" s="599"/>
      <c r="X173" s="600"/>
      <c r="Y173" s="601"/>
      <c r="Z173" s="600"/>
      <c r="AA173" s="599"/>
      <c r="AB173" s="600"/>
      <c r="AC173" s="601"/>
      <c r="AD173" s="600"/>
      <c r="AE173" s="599"/>
      <c r="AF173" s="600"/>
      <c r="AG173" s="601"/>
      <c r="AH173" s="600"/>
      <c r="AI173" s="599"/>
      <c r="AJ173" s="600"/>
      <c r="AK173" s="601"/>
      <c r="AL173" s="600"/>
      <c r="AM173" s="599"/>
      <c r="AN173" s="600"/>
      <c r="AO173" s="601"/>
      <c r="AP173" s="600"/>
      <c r="AQ173" s="599"/>
      <c r="AR173" s="600"/>
      <c r="AS173" s="601"/>
      <c r="AT173" s="600">
        <v>1</v>
      </c>
      <c r="AU173" s="599"/>
      <c r="AV173" s="600"/>
      <c r="AW173" s="601"/>
      <c r="AX173" s="600">
        <v>44</v>
      </c>
      <c r="AY173" s="599"/>
      <c r="AZ173" s="600"/>
      <c r="BA173" s="601">
        <v>47</v>
      </c>
      <c r="BB173" s="602">
        <v>0</v>
      </c>
      <c r="BC173" s="599"/>
      <c r="BD173" s="600">
        <v>0</v>
      </c>
      <c r="BE173" s="599"/>
      <c r="BF173" s="600">
        <v>0</v>
      </c>
      <c r="BG173" s="599"/>
      <c r="BH173" s="600">
        <v>0</v>
      </c>
      <c r="BI173" s="599"/>
      <c r="BJ173" s="600">
        <v>0</v>
      </c>
      <c r="BK173" s="615"/>
      <c r="BL173" s="600">
        <v>2172936</v>
      </c>
      <c r="BM173" s="604">
        <v>2261343</v>
      </c>
      <c r="BN173" s="605">
        <f t="shared" si="233"/>
        <v>0</v>
      </c>
      <c r="BO173" s="606">
        <f t="shared" si="234"/>
        <v>0</v>
      </c>
      <c r="BP173" s="607">
        <f t="shared" si="235"/>
        <v>0</v>
      </c>
      <c r="BQ173" s="606">
        <f t="shared" si="236"/>
        <v>0</v>
      </c>
      <c r="BR173" s="607">
        <f t="shared" si="237"/>
        <v>0</v>
      </c>
      <c r="BS173" s="606">
        <f t="shared" si="238"/>
        <v>0</v>
      </c>
      <c r="BT173" s="607">
        <f t="shared" si="239"/>
        <v>0</v>
      </c>
      <c r="BU173" s="606">
        <f t="shared" si="240"/>
        <v>0</v>
      </c>
      <c r="BV173" s="607">
        <f t="shared" si="241"/>
        <v>0</v>
      </c>
      <c r="BW173" s="608">
        <f t="shared" si="242"/>
        <v>0</v>
      </c>
      <c r="BX173" s="607">
        <f t="shared" si="243"/>
        <v>493</v>
      </c>
      <c r="BY173" s="608">
        <f t="shared" si="244"/>
        <v>564</v>
      </c>
      <c r="BZ173" s="607">
        <f t="shared" si="245"/>
        <v>0</v>
      </c>
      <c r="CA173" s="608">
        <f t="shared" si="246"/>
        <v>0</v>
      </c>
      <c r="CB173" s="607">
        <f t="shared" si="247"/>
        <v>0</v>
      </c>
      <c r="CC173" s="608">
        <f t="shared" si="248"/>
        <v>0</v>
      </c>
      <c r="CD173" s="607">
        <f t="shared" si="249"/>
        <v>0</v>
      </c>
      <c r="CE173" s="608">
        <f t="shared" si="250"/>
        <v>0</v>
      </c>
      <c r="CF173" s="607">
        <f t="shared" si="251"/>
        <v>0</v>
      </c>
      <c r="CG173" s="608">
        <f t="shared" si="252"/>
        <v>0</v>
      </c>
      <c r="CH173" s="607">
        <f t="shared" si="253"/>
        <v>0</v>
      </c>
      <c r="CI173" s="608">
        <f t="shared" si="254"/>
        <v>0</v>
      </c>
      <c r="CJ173" s="607">
        <f t="shared" si="255"/>
        <v>4407.5780933062879</v>
      </c>
      <c r="CK173" s="608">
        <f t="shared" si="256"/>
        <v>4009.4734042553191</v>
      </c>
      <c r="CL173" s="609">
        <f t="shared" si="257"/>
        <v>0</v>
      </c>
      <c r="CM173" s="608">
        <f t="shared" si="258"/>
        <v>0</v>
      </c>
      <c r="CN173" s="610">
        <f t="shared" si="259"/>
        <v>0</v>
      </c>
      <c r="CO173" s="606">
        <f t="shared" si="260"/>
        <v>0</v>
      </c>
      <c r="CP173" s="607">
        <f t="shared" si="261"/>
        <v>0</v>
      </c>
      <c r="CQ173" s="606">
        <f t="shared" si="262"/>
        <v>0</v>
      </c>
      <c r="CR173" s="607">
        <f t="shared" si="263"/>
        <v>0</v>
      </c>
      <c r="CS173" s="606">
        <f t="shared" si="264"/>
        <v>0</v>
      </c>
      <c r="CT173" s="607">
        <f t="shared" si="265"/>
        <v>0</v>
      </c>
      <c r="CU173" s="608">
        <f t="shared" si="266"/>
        <v>0</v>
      </c>
      <c r="CV173" s="610">
        <f t="shared" si="267"/>
        <v>39668.202839756588</v>
      </c>
      <c r="CW173" s="608">
        <f t="shared" si="268"/>
        <v>36085.26063829787</v>
      </c>
      <c r="CX173" s="610">
        <f t="shared" si="269"/>
        <v>39668.202839756588</v>
      </c>
      <c r="CY173" s="611">
        <f t="shared" si="270"/>
        <v>36085.26063829787</v>
      </c>
      <c r="CZ173" s="605">
        <f t="shared" si="271"/>
        <v>0</v>
      </c>
      <c r="DA173" s="612">
        <f t="shared" si="272"/>
        <v>0</v>
      </c>
      <c r="DB173" s="607">
        <f t="shared" si="273"/>
        <v>0</v>
      </c>
      <c r="DC173" s="606">
        <f t="shared" si="274"/>
        <v>0</v>
      </c>
      <c r="DD173" s="607">
        <f t="shared" si="275"/>
        <v>0</v>
      </c>
      <c r="DE173" s="606">
        <f t="shared" si="276"/>
        <v>0</v>
      </c>
      <c r="DF173" s="607">
        <f t="shared" si="277"/>
        <v>0</v>
      </c>
      <c r="DG173" s="606">
        <f t="shared" si="278"/>
        <v>0</v>
      </c>
      <c r="DH173" s="607">
        <f t="shared" si="279"/>
        <v>0</v>
      </c>
      <c r="DI173" s="608">
        <f t="shared" si="280"/>
        <v>0</v>
      </c>
      <c r="DJ173" s="607">
        <f t="shared" si="281"/>
        <v>45</v>
      </c>
      <c r="DK173" s="608">
        <f t="shared" si="282"/>
        <v>47</v>
      </c>
      <c r="DL173" s="607">
        <f t="shared" si="283"/>
        <v>45</v>
      </c>
      <c r="DM173" s="608">
        <f t="shared" si="284"/>
        <v>47</v>
      </c>
      <c r="DN173" s="607">
        <f t="shared" si="285"/>
        <v>0</v>
      </c>
      <c r="DO173" s="612">
        <f t="shared" si="286"/>
        <v>0</v>
      </c>
      <c r="DP173" s="607">
        <f t="shared" si="287"/>
        <v>0</v>
      </c>
      <c r="DQ173" s="606">
        <f t="shared" si="288"/>
        <v>0</v>
      </c>
      <c r="DR173" s="607">
        <f t="shared" si="289"/>
        <v>0</v>
      </c>
      <c r="DS173" s="606">
        <f t="shared" si="290"/>
        <v>0</v>
      </c>
      <c r="DT173" s="607">
        <f t="shared" si="291"/>
        <v>0</v>
      </c>
      <c r="DU173" s="606">
        <f t="shared" si="292"/>
        <v>0</v>
      </c>
      <c r="DV173" s="607">
        <f t="shared" si="293"/>
        <v>0</v>
      </c>
      <c r="DW173" s="608">
        <f t="shared" si="294"/>
        <v>0</v>
      </c>
      <c r="DX173" s="607">
        <f t="shared" si="295"/>
        <v>1785069.1277890464</v>
      </c>
      <c r="DY173" s="608">
        <f t="shared" si="296"/>
        <v>1696007.25</v>
      </c>
      <c r="DZ173" s="607">
        <f t="shared" si="297"/>
        <v>1785069.1277890464</v>
      </c>
      <c r="EA173" s="608">
        <f t="shared" si="298"/>
        <v>1696007.25</v>
      </c>
    </row>
    <row r="174" spans="1:131" x14ac:dyDescent="0.2">
      <c r="A174" s="381" t="s">
        <v>35</v>
      </c>
      <c r="B174" s="375" t="s">
        <v>579</v>
      </c>
      <c r="C174" s="552"/>
      <c r="D174" s="376">
        <v>140942</v>
      </c>
      <c r="E174" s="377">
        <v>12</v>
      </c>
      <c r="F174" s="598"/>
      <c r="G174" s="599"/>
      <c r="H174" s="600"/>
      <c r="I174" s="601"/>
      <c r="J174" s="600"/>
      <c r="K174" s="599"/>
      <c r="L174" s="600"/>
      <c r="M174" s="601"/>
      <c r="N174" s="600"/>
      <c r="O174" s="599"/>
      <c r="P174" s="600"/>
      <c r="Q174" s="601"/>
      <c r="R174" s="600"/>
      <c r="S174" s="599"/>
      <c r="T174" s="600"/>
      <c r="U174" s="601"/>
      <c r="V174" s="600"/>
      <c r="W174" s="599"/>
      <c r="X174" s="600"/>
      <c r="Y174" s="601"/>
      <c r="Z174" s="600"/>
      <c r="AA174" s="599"/>
      <c r="AB174" s="600"/>
      <c r="AC174" s="601"/>
      <c r="AD174" s="600"/>
      <c r="AE174" s="599"/>
      <c r="AF174" s="600"/>
      <c r="AG174" s="601"/>
      <c r="AH174" s="600"/>
      <c r="AI174" s="599"/>
      <c r="AJ174" s="600"/>
      <c r="AK174" s="601"/>
      <c r="AL174" s="600"/>
      <c r="AM174" s="599"/>
      <c r="AN174" s="600"/>
      <c r="AO174" s="601"/>
      <c r="AP174" s="600"/>
      <c r="AQ174" s="599"/>
      <c r="AR174" s="600"/>
      <c r="AS174" s="601"/>
      <c r="AT174" s="600">
        <v>1</v>
      </c>
      <c r="AU174" s="599"/>
      <c r="AV174" s="600"/>
      <c r="AW174" s="601"/>
      <c r="AX174" s="600">
        <v>89</v>
      </c>
      <c r="AY174" s="599">
        <v>4</v>
      </c>
      <c r="AZ174" s="600"/>
      <c r="BA174" s="601">
        <v>83</v>
      </c>
      <c r="BB174" s="602">
        <v>0</v>
      </c>
      <c r="BC174" s="599"/>
      <c r="BD174" s="600">
        <v>0</v>
      </c>
      <c r="BE174" s="599"/>
      <c r="BF174" s="600">
        <v>0</v>
      </c>
      <c r="BG174" s="599"/>
      <c r="BH174" s="600">
        <v>0</v>
      </c>
      <c r="BI174" s="599"/>
      <c r="BJ174" s="600">
        <v>0</v>
      </c>
      <c r="BK174" s="615"/>
      <c r="BL174" s="600">
        <v>4841065</v>
      </c>
      <c r="BM174" s="604">
        <v>4726015</v>
      </c>
      <c r="BN174" s="605">
        <f t="shared" si="233"/>
        <v>0</v>
      </c>
      <c r="BO174" s="606">
        <f t="shared" si="234"/>
        <v>0</v>
      </c>
      <c r="BP174" s="607">
        <f t="shared" si="235"/>
        <v>0</v>
      </c>
      <c r="BQ174" s="606">
        <f t="shared" si="236"/>
        <v>0</v>
      </c>
      <c r="BR174" s="607">
        <f t="shared" si="237"/>
        <v>0</v>
      </c>
      <c r="BS174" s="606">
        <f t="shared" si="238"/>
        <v>0</v>
      </c>
      <c r="BT174" s="607">
        <f t="shared" si="239"/>
        <v>0</v>
      </c>
      <c r="BU174" s="606">
        <f t="shared" si="240"/>
        <v>0</v>
      </c>
      <c r="BV174" s="607">
        <f t="shared" si="241"/>
        <v>0</v>
      </c>
      <c r="BW174" s="608">
        <f t="shared" si="242"/>
        <v>0</v>
      </c>
      <c r="BX174" s="607">
        <f t="shared" si="243"/>
        <v>988</v>
      </c>
      <c r="BY174" s="608">
        <f t="shared" si="244"/>
        <v>1040</v>
      </c>
      <c r="BZ174" s="607">
        <f t="shared" si="245"/>
        <v>0</v>
      </c>
      <c r="CA174" s="608">
        <f t="shared" si="246"/>
        <v>0</v>
      </c>
      <c r="CB174" s="607">
        <f t="shared" si="247"/>
        <v>0</v>
      </c>
      <c r="CC174" s="608">
        <f t="shared" si="248"/>
        <v>0</v>
      </c>
      <c r="CD174" s="607">
        <f t="shared" si="249"/>
        <v>0</v>
      </c>
      <c r="CE174" s="608">
        <f t="shared" si="250"/>
        <v>0</v>
      </c>
      <c r="CF174" s="607">
        <f t="shared" si="251"/>
        <v>0</v>
      </c>
      <c r="CG174" s="608">
        <f t="shared" si="252"/>
        <v>0</v>
      </c>
      <c r="CH174" s="607">
        <f t="shared" si="253"/>
        <v>0</v>
      </c>
      <c r="CI174" s="608">
        <f t="shared" si="254"/>
        <v>0</v>
      </c>
      <c r="CJ174" s="607">
        <f t="shared" si="255"/>
        <v>4899.8633603238868</v>
      </c>
      <c r="CK174" s="608">
        <f t="shared" si="256"/>
        <v>4544.2451923076924</v>
      </c>
      <c r="CL174" s="609">
        <f t="shared" si="257"/>
        <v>0</v>
      </c>
      <c r="CM174" s="608">
        <f t="shared" si="258"/>
        <v>0</v>
      </c>
      <c r="CN174" s="610">
        <f t="shared" si="259"/>
        <v>0</v>
      </c>
      <c r="CO174" s="606">
        <f t="shared" si="260"/>
        <v>0</v>
      </c>
      <c r="CP174" s="607">
        <f t="shared" si="261"/>
        <v>0</v>
      </c>
      <c r="CQ174" s="606">
        <f t="shared" si="262"/>
        <v>0</v>
      </c>
      <c r="CR174" s="607">
        <f t="shared" si="263"/>
        <v>0</v>
      </c>
      <c r="CS174" s="606">
        <f t="shared" si="264"/>
        <v>0</v>
      </c>
      <c r="CT174" s="607">
        <f t="shared" si="265"/>
        <v>0</v>
      </c>
      <c r="CU174" s="608">
        <f t="shared" si="266"/>
        <v>0</v>
      </c>
      <c r="CV174" s="610">
        <f t="shared" si="267"/>
        <v>44098.770242914979</v>
      </c>
      <c r="CW174" s="608">
        <f t="shared" si="268"/>
        <v>40898.206730769234</v>
      </c>
      <c r="CX174" s="610">
        <f t="shared" si="269"/>
        <v>44098.770242914979</v>
      </c>
      <c r="CY174" s="611">
        <f t="shared" si="270"/>
        <v>40898.206730769234</v>
      </c>
      <c r="CZ174" s="605">
        <f t="shared" si="271"/>
        <v>0</v>
      </c>
      <c r="DA174" s="612">
        <f t="shared" si="272"/>
        <v>0</v>
      </c>
      <c r="DB174" s="607">
        <f t="shared" si="273"/>
        <v>0</v>
      </c>
      <c r="DC174" s="606">
        <f t="shared" si="274"/>
        <v>0</v>
      </c>
      <c r="DD174" s="607">
        <f t="shared" si="275"/>
        <v>0</v>
      </c>
      <c r="DE174" s="606">
        <f t="shared" si="276"/>
        <v>0</v>
      </c>
      <c r="DF174" s="607">
        <f t="shared" si="277"/>
        <v>0</v>
      </c>
      <c r="DG174" s="606">
        <f t="shared" si="278"/>
        <v>0</v>
      </c>
      <c r="DH174" s="607">
        <f t="shared" si="279"/>
        <v>0</v>
      </c>
      <c r="DI174" s="608">
        <f t="shared" si="280"/>
        <v>0</v>
      </c>
      <c r="DJ174" s="607">
        <f t="shared" si="281"/>
        <v>90</v>
      </c>
      <c r="DK174" s="608">
        <f t="shared" si="282"/>
        <v>87</v>
      </c>
      <c r="DL174" s="607">
        <f t="shared" si="283"/>
        <v>90</v>
      </c>
      <c r="DM174" s="608">
        <f t="shared" si="284"/>
        <v>87</v>
      </c>
      <c r="DN174" s="607">
        <f t="shared" si="285"/>
        <v>0</v>
      </c>
      <c r="DO174" s="612">
        <f t="shared" si="286"/>
        <v>0</v>
      </c>
      <c r="DP174" s="607">
        <f t="shared" si="287"/>
        <v>0</v>
      </c>
      <c r="DQ174" s="606">
        <f t="shared" si="288"/>
        <v>0</v>
      </c>
      <c r="DR174" s="607">
        <f t="shared" si="289"/>
        <v>0</v>
      </c>
      <c r="DS174" s="606">
        <f t="shared" si="290"/>
        <v>0</v>
      </c>
      <c r="DT174" s="607">
        <f t="shared" si="291"/>
        <v>0</v>
      </c>
      <c r="DU174" s="606">
        <f t="shared" si="292"/>
        <v>0</v>
      </c>
      <c r="DV174" s="607">
        <f t="shared" si="293"/>
        <v>0</v>
      </c>
      <c r="DW174" s="608">
        <f t="shared" si="294"/>
        <v>0</v>
      </c>
      <c r="DX174" s="607">
        <f t="shared" si="295"/>
        <v>3968889.3218623484</v>
      </c>
      <c r="DY174" s="608">
        <f t="shared" si="296"/>
        <v>3558143.9855769235</v>
      </c>
      <c r="DZ174" s="607">
        <f t="shared" si="297"/>
        <v>3968889.3218623484</v>
      </c>
      <c r="EA174" s="608">
        <f t="shared" si="298"/>
        <v>3558143.9855769235</v>
      </c>
    </row>
    <row r="175" spans="1:131" x14ac:dyDescent="0.2">
      <c r="A175" s="381" t="s">
        <v>35</v>
      </c>
      <c r="B175" s="375" t="s">
        <v>580</v>
      </c>
      <c r="C175" s="552"/>
      <c r="D175" s="376">
        <v>141006</v>
      </c>
      <c r="E175" s="377">
        <v>12</v>
      </c>
      <c r="F175" s="598"/>
      <c r="G175" s="599"/>
      <c r="H175" s="600"/>
      <c r="I175" s="601"/>
      <c r="J175" s="600"/>
      <c r="K175" s="599"/>
      <c r="L175" s="600"/>
      <c r="M175" s="601"/>
      <c r="N175" s="600"/>
      <c r="O175" s="599"/>
      <c r="P175" s="600"/>
      <c r="Q175" s="601"/>
      <c r="R175" s="600"/>
      <c r="S175" s="599"/>
      <c r="T175" s="600"/>
      <c r="U175" s="601"/>
      <c r="V175" s="600"/>
      <c r="W175" s="599"/>
      <c r="X175" s="600"/>
      <c r="Y175" s="601"/>
      <c r="Z175" s="600"/>
      <c r="AA175" s="599"/>
      <c r="AB175" s="600"/>
      <c r="AC175" s="601"/>
      <c r="AD175" s="600"/>
      <c r="AE175" s="599"/>
      <c r="AF175" s="600"/>
      <c r="AG175" s="601"/>
      <c r="AH175" s="600"/>
      <c r="AI175" s="599"/>
      <c r="AJ175" s="600"/>
      <c r="AK175" s="601"/>
      <c r="AL175" s="600"/>
      <c r="AM175" s="599"/>
      <c r="AN175" s="600"/>
      <c r="AO175" s="601"/>
      <c r="AP175" s="600"/>
      <c r="AQ175" s="599"/>
      <c r="AR175" s="600"/>
      <c r="AS175" s="601"/>
      <c r="AT175" s="600"/>
      <c r="AU175" s="599"/>
      <c r="AV175" s="600"/>
      <c r="AW175" s="601"/>
      <c r="AX175" s="600">
        <v>63</v>
      </c>
      <c r="AY175" s="599"/>
      <c r="AZ175" s="600"/>
      <c r="BA175" s="601">
        <v>54</v>
      </c>
      <c r="BB175" s="602">
        <v>0</v>
      </c>
      <c r="BC175" s="599"/>
      <c r="BD175" s="600">
        <v>0</v>
      </c>
      <c r="BE175" s="599"/>
      <c r="BF175" s="600">
        <v>0</v>
      </c>
      <c r="BG175" s="599"/>
      <c r="BH175" s="600">
        <v>0</v>
      </c>
      <c r="BI175" s="599"/>
      <c r="BJ175" s="600">
        <v>0</v>
      </c>
      <c r="BK175" s="615"/>
      <c r="BL175" s="600">
        <v>3349395</v>
      </c>
      <c r="BM175" s="604">
        <v>2747241</v>
      </c>
      <c r="BN175" s="605">
        <f t="shared" si="233"/>
        <v>0</v>
      </c>
      <c r="BO175" s="606">
        <f t="shared" si="234"/>
        <v>0</v>
      </c>
      <c r="BP175" s="607">
        <f t="shared" si="235"/>
        <v>0</v>
      </c>
      <c r="BQ175" s="606">
        <f t="shared" si="236"/>
        <v>0</v>
      </c>
      <c r="BR175" s="607">
        <f t="shared" si="237"/>
        <v>0</v>
      </c>
      <c r="BS175" s="606">
        <f t="shared" si="238"/>
        <v>0</v>
      </c>
      <c r="BT175" s="607">
        <f t="shared" si="239"/>
        <v>0</v>
      </c>
      <c r="BU175" s="606">
        <f t="shared" si="240"/>
        <v>0</v>
      </c>
      <c r="BV175" s="607">
        <f t="shared" si="241"/>
        <v>0</v>
      </c>
      <c r="BW175" s="608">
        <f t="shared" si="242"/>
        <v>0</v>
      </c>
      <c r="BX175" s="607">
        <f t="shared" si="243"/>
        <v>693</v>
      </c>
      <c r="BY175" s="608">
        <f t="shared" si="244"/>
        <v>648</v>
      </c>
      <c r="BZ175" s="607">
        <f t="shared" si="245"/>
        <v>0</v>
      </c>
      <c r="CA175" s="608">
        <f t="shared" si="246"/>
        <v>0</v>
      </c>
      <c r="CB175" s="607">
        <f t="shared" si="247"/>
        <v>0</v>
      </c>
      <c r="CC175" s="608">
        <f t="shared" si="248"/>
        <v>0</v>
      </c>
      <c r="CD175" s="607">
        <f t="shared" si="249"/>
        <v>0</v>
      </c>
      <c r="CE175" s="608">
        <f t="shared" si="250"/>
        <v>0</v>
      </c>
      <c r="CF175" s="607">
        <f t="shared" si="251"/>
        <v>0</v>
      </c>
      <c r="CG175" s="608">
        <f t="shared" si="252"/>
        <v>0</v>
      </c>
      <c r="CH175" s="607">
        <f t="shared" si="253"/>
        <v>0</v>
      </c>
      <c r="CI175" s="608">
        <f t="shared" si="254"/>
        <v>0</v>
      </c>
      <c r="CJ175" s="607">
        <f t="shared" si="255"/>
        <v>4833.181818181818</v>
      </c>
      <c r="CK175" s="608">
        <f t="shared" si="256"/>
        <v>4239.5694444444443</v>
      </c>
      <c r="CL175" s="609">
        <f t="shared" si="257"/>
        <v>0</v>
      </c>
      <c r="CM175" s="608">
        <f t="shared" si="258"/>
        <v>0</v>
      </c>
      <c r="CN175" s="610">
        <f t="shared" si="259"/>
        <v>0</v>
      </c>
      <c r="CO175" s="606">
        <f t="shared" si="260"/>
        <v>0</v>
      </c>
      <c r="CP175" s="607">
        <f t="shared" si="261"/>
        <v>0</v>
      </c>
      <c r="CQ175" s="606">
        <f t="shared" si="262"/>
        <v>0</v>
      </c>
      <c r="CR175" s="607">
        <f t="shared" si="263"/>
        <v>0</v>
      </c>
      <c r="CS175" s="606">
        <f t="shared" si="264"/>
        <v>0</v>
      </c>
      <c r="CT175" s="607">
        <f t="shared" si="265"/>
        <v>0</v>
      </c>
      <c r="CU175" s="608">
        <f t="shared" si="266"/>
        <v>0</v>
      </c>
      <c r="CV175" s="610">
        <f t="shared" si="267"/>
        <v>43498.63636363636</v>
      </c>
      <c r="CW175" s="608">
        <f t="shared" si="268"/>
        <v>38156.125</v>
      </c>
      <c r="CX175" s="610">
        <f t="shared" si="269"/>
        <v>43498.63636363636</v>
      </c>
      <c r="CY175" s="611">
        <f t="shared" si="270"/>
        <v>38156.125</v>
      </c>
      <c r="CZ175" s="605">
        <f t="shared" si="271"/>
        <v>0</v>
      </c>
      <c r="DA175" s="612">
        <f t="shared" si="272"/>
        <v>0</v>
      </c>
      <c r="DB175" s="607">
        <f t="shared" si="273"/>
        <v>0</v>
      </c>
      <c r="DC175" s="606">
        <f t="shared" si="274"/>
        <v>0</v>
      </c>
      <c r="DD175" s="607">
        <f t="shared" si="275"/>
        <v>0</v>
      </c>
      <c r="DE175" s="606">
        <f t="shared" si="276"/>
        <v>0</v>
      </c>
      <c r="DF175" s="607">
        <f t="shared" si="277"/>
        <v>0</v>
      </c>
      <c r="DG175" s="606">
        <f t="shared" si="278"/>
        <v>0</v>
      </c>
      <c r="DH175" s="607">
        <f t="shared" si="279"/>
        <v>0</v>
      </c>
      <c r="DI175" s="608">
        <f t="shared" si="280"/>
        <v>0</v>
      </c>
      <c r="DJ175" s="607">
        <f t="shared" si="281"/>
        <v>63</v>
      </c>
      <c r="DK175" s="608">
        <f t="shared" si="282"/>
        <v>54</v>
      </c>
      <c r="DL175" s="607">
        <f t="shared" si="283"/>
        <v>63</v>
      </c>
      <c r="DM175" s="608">
        <f t="shared" si="284"/>
        <v>54</v>
      </c>
      <c r="DN175" s="607">
        <f t="shared" si="285"/>
        <v>0</v>
      </c>
      <c r="DO175" s="612">
        <f t="shared" si="286"/>
        <v>0</v>
      </c>
      <c r="DP175" s="607">
        <f t="shared" si="287"/>
        <v>0</v>
      </c>
      <c r="DQ175" s="606">
        <f t="shared" si="288"/>
        <v>0</v>
      </c>
      <c r="DR175" s="607">
        <f t="shared" si="289"/>
        <v>0</v>
      </c>
      <c r="DS175" s="606">
        <f t="shared" si="290"/>
        <v>0</v>
      </c>
      <c r="DT175" s="607">
        <f t="shared" si="291"/>
        <v>0</v>
      </c>
      <c r="DU175" s="606">
        <f t="shared" si="292"/>
        <v>0</v>
      </c>
      <c r="DV175" s="607">
        <f t="shared" si="293"/>
        <v>0</v>
      </c>
      <c r="DW175" s="608">
        <f t="shared" si="294"/>
        <v>0</v>
      </c>
      <c r="DX175" s="607">
        <f t="shared" si="295"/>
        <v>2740414.0909090908</v>
      </c>
      <c r="DY175" s="608">
        <f t="shared" si="296"/>
        <v>2060430.75</v>
      </c>
      <c r="DZ175" s="607">
        <f t="shared" si="297"/>
        <v>2740414.0909090908</v>
      </c>
      <c r="EA175" s="608">
        <f t="shared" si="298"/>
        <v>2060430.75</v>
      </c>
    </row>
    <row r="176" spans="1:131" x14ac:dyDescent="0.2">
      <c r="A176" s="381" t="s">
        <v>35</v>
      </c>
      <c r="B176" s="375" t="s">
        <v>581</v>
      </c>
      <c r="C176" s="552"/>
      <c r="D176" s="376">
        <v>368911</v>
      </c>
      <c r="E176" s="377">
        <v>12</v>
      </c>
      <c r="F176" s="598"/>
      <c r="G176" s="599"/>
      <c r="H176" s="600"/>
      <c r="I176" s="601"/>
      <c r="J176" s="600"/>
      <c r="K176" s="599"/>
      <c r="L176" s="600"/>
      <c r="M176" s="601"/>
      <c r="N176" s="600"/>
      <c r="O176" s="599"/>
      <c r="P176" s="600"/>
      <c r="Q176" s="601"/>
      <c r="R176" s="600"/>
      <c r="S176" s="599"/>
      <c r="T176" s="600"/>
      <c r="U176" s="601"/>
      <c r="V176" s="600"/>
      <c r="W176" s="599"/>
      <c r="X176" s="600"/>
      <c r="Y176" s="601"/>
      <c r="Z176" s="600"/>
      <c r="AA176" s="599"/>
      <c r="AB176" s="600"/>
      <c r="AC176" s="601"/>
      <c r="AD176" s="600"/>
      <c r="AE176" s="599"/>
      <c r="AF176" s="600"/>
      <c r="AG176" s="601"/>
      <c r="AH176" s="600"/>
      <c r="AI176" s="599"/>
      <c r="AJ176" s="600"/>
      <c r="AK176" s="601"/>
      <c r="AL176" s="600"/>
      <c r="AM176" s="599"/>
      <c r="AN176" s="600"/>
      <c r="AO176" s="601"/>
      <c r="AP176" s="600"/>
      <c r="AQ176" s="599"/>
      <c r="AR176" s="600"/>
      <c r="AS176" s="601"/>
      <c r="AT176" s="600"/>
      <c r="AU176" s="599"/>
      <c r="AV176" s="600"/>
      <c r="AW176" s="601"/>
      <c r="AX176" s="600">
        <v>70</v>
      </c>
      <c r="AY176" s="599"/>
      <c r="AZ176" s="600"/>
      <c r="BA176" s="601">
        <v>68</v>
      </c>
      <c r="BB176" s="602">
        <v>0</v>
      </c>
      <c r="BC176" s="599"/>
      <c r="BD176" s="600">
        <v>0</v>
      </c>
      <c r="BE176" s="599"/>
      <c r="BF176" s="600">
        <v>0</v>
      </c>
      <c r="BG176" s="599"/>
      <c r="BH176" s="600">
        <v>0</v>
      </c>
      <c r="BI176" s="599"/>
      <c r="BJ176" s="600">
        <v>0</v>
      </c>
      <c r="BK176" s="615"/>
      <c r="BL176" s="600">
        <v>3591420</v>
      </c>
      <c r="BM176" s="604">
        <v>3513519</v>
      </c>
      <c r="BN176" s="605">
        <f t="shared" si="233"/>
        <v>0</v>
      </c>
      <c r="BO176" s="606">
        <f t="shared" si="234"/>
        <v>0</v>
      </c>
      <c r="BP176" s="607">
        <f t="shared" si="235"/>
        <v>0</v>
      </c>
      <c r="BQ176" s="606">
        <f t="shared" si="236"/>
        <v>0</v>
      </c>
      <c r="BR176" s="607">
        <f t="shared" si="237"/>
        <v>0</v>
      </c>
      <c r="BS176" s="606">
        <f t="shared" si="238"/>
        <v>0</v>
      </c>
      <c r="BT176" s="607">
        <f t="shared" si="239"/>
        <v>0</v>
      </c>
      <c r="BU176" s="606">
        <f t="shared" si="240"/>
        <v>0</v>
      </c>
      <c r="BV176" s="607">
        <f t="shared" si="241"/>
        <v>0</v>
      </c>
      <c r="BW176" s="608">
        <f t="shared" si="242"/>
        <v>0</v>
      </c>
      <c r="BX176" s="607">
        <f t="shared" si="243"/>
        <v>770</v>
      </c>
      <c r="BY176" s="608">
        <f t="shared" si="244"/>
        <v>816</v>
      </c>
      <c r="BZ176" s="607">
        <f t="shared" si="245"/>
        <v>0</v>
      </c>
      <c r="CA176" s="608">
        <f t="shared" si="246"/>
        <v>0</v>
      </c>
      <c r="CB176" s="607">
        <f t="shared" si="247"/>
        <v>0</v>
      </c>
      <c r="CC176" s="608">
        <f t="shared" si="248"/>
        <v>0</v>
      </c>
      <c r="CD176" s="607">
        <f t="shared" si="249"/>
        <v>0</v>
      </c>
      <c r="CE176" s="608">
        <f t="shared" si="250"/>
        <v>0</v>
      </c>
      <c r="CF176" s="607">
        <f t="shared" si="251"/>
        <v>0</v>
      </c>
      <c r="CG176" s="608">
        <f t="shared" si="252"/>
        <v>0</v>
      </c>
      <c r="CH176" s="607">
        <f t="shared" si="253"/>
        <v>0</v>
      </c>
      <c r="CI176" s="608">
        <f t="shared" si="254"/>
        <v>0</v>
      </c>
      <c r="CJ176" s="607">
        <f t="shared" si="255"/>
        <v>4664.181818181818</v>
      </c>
      <c r="CK176" s="608">
        <f t="shared" si="256"/>
        <v>4305.7830882352937</v>
      </c>
      <c r="CL176" s="609">
        <f t="shared" si="257"/>
        <v>0</v>
      </c>
      <c r="CM176" s="608">
        <f t="shared" si="258"/>
        <v>0</v>
      </c>
      <c r="CN176" s="610">
        <f t="shared" si="259"/>
        <v>0</v>
      </c>
      <c r="CO176" s="606">
        <f t="shared" si="260"/>
        <v>0</v>
      </c>
      <c r="CP176" s="607">
        <f t="shared" si="261"/>
        <v>0</v>
      </c>
      <c r="CQ176" s="606">
        <f t="shared" si="262"/>
        <v>0</v>
      </c>
      <c r="CR176" s="607">
        <f t="shared" si="263"/>
        <v>0</v>
      </c>
      <c r="CS176" s="606">
        <f t="shared" si="264"/>
        <v>0</v>
      </c>
      <c r="CT176" s="607">
        <f t="shared" si="265"/>
        <v>0</v>
      </c>
      <c r="CU176" s="608">
        <f t="shared" si="266"/>
        <v>0</v>
      </c>
      <c r="CV176" s="610">
        <f t="shared" si="267"/>
        <v>41977.63636363636</v>
      </c>
      <c r="CW176" s="608">
        <f t="shared" si="268"/>
        <v>38752.047794117643</v>
      </c>
      <c r="CX176" s="610">
        <f t="shared" si="269"/>
        <v>41977.63636363636</v>
      </c>
      <c r="CY176" s="611">
        <f t="shared" si="270"/>
        <v>38752.047794117643</v>
      </c>
      <c r="CZ176" s="605">
        <f t="shared" si="271"/>
        <v>0</v>
      </c>
      <c r="DA176" s="612">
        <f t="shared" si="272"/>
        <v>0</v>
      </c>
      <c r="DB176" s="607">
        <f t="shared" si="273"/>
        <v>0</v>
      </c>
      <c r="DC176" s="606">
        <f t="shared" si="274"/>
        <v>0</v>
      </c>
      <c r="DD176" s="607">
        <f t="shared" si="275"/>
        <v>0</v>
      </c>
      <c r="DE176" s="606">
        <f t="shared" si="276"/>
        <v>0</v>
      </c>
      <c r="DF176" s="607">
        <f t="shared" si="277"/>
        <v>0</v>
      </c>
      <c r="DG176" s="606">
        <f t="shared" si="278"/>
        <v>0</v>
      </c>
      <c r="DH176" s="607">
        <f t="shared" si="279"/>
        <v>0</v>
      </c>
      <c r="DI176" s="608">
        <f t="shared" si="280"/>
        <v>0</v>
      </c>
      <c r="DJ176" s="607">
        <f t="shared" si="281"/>
        <v>70</v>
      </c>
      <c r="DK176" s="608">
        <f t="shared" si="282"/>
        <v>68</v>
      </c>
      <c r="DL176" s="607">
        <f t="shared" si="283"/>
        <v>70</v>
      </c>
      <c r="DM176" s="608">
        <f t="shared" si="284"/>
        <v>68</v>
      </c>
      <c r="DN176" s="607">
        <f t="shared" si="285"/>
        <v>0</v>
      </c>
      <c r="DO176" s="612">
        <f t="shared" si="286"/>
        <v>0</v>
      </c>
      <c r="DP176" s="607">
        <f t="shared" si="287"/>
        <v>0</v>
      </c>
      <c r="DQ176" s="606">
        <f t="shared" si="288"/>
        <v>0</v>
      </c>
      <c r="DR176" s="607">
        <f t="shared" si="289"/>
        <v>0</v>
      </c>
      <c r="DS176" s="606">
        <f t="shared" si="290"/>
        <v>0</v>
      </c>
      <c r="DT176" s="607">
        <f t="shared" si="291"/>
        <v>0</v>
      </c>
      <c r="DU176" s="606">
        <f t="shared" si="292"/>
        <v>0</v>
      </c>
      <c r="DV176" s="607">
        <f t="shared" si="293"/>
        <v>0</v>
      </c>
      <c r="DW176" s="608">
        <f t="shared" si="294"/>
        <v>0</v>
      </c>
      <c r="DX176" s="607">
        <f t="shared" si="295"/>
        <v>2938434.5454545454</v>
      </c>
      <c r="DY176" s="608">
        <f t="shared" si="296"/>
        <v>2635139.2499999995</v>
      </c>
      <c r="DZ176" s="607">
        <f t="shared" si="297"/>
        <v>2938434.5454545454</v>
      </c>
      <c r="EA176" s="608">
        <f t="shared" si="298"/>
        <v>2635139.2499999995</v>
      </c>
    </row>
    <row r="177" spans="1:131" x14ac:dyDescent="0.2">
      <c r="A177" s="381" t="s">
        <v>35</v>
      </c>
      <c r="B177" s="379" t="s">
        <v>582</v>
      </c>
      <c r="C177" s="531"/>
      <c r="D177" s="376">
        <v>139986</v>
      </c>
      <c r="E177" s="377">
        <v>12</v>
      </c>
      <c r="F177" s="598"/>
      <c r="G177" s="599"/>
      <c r="H177" s="600"/>
      <c r="I177" s="601"/>
      <c r="J177" s="600"/>
      <c r="K177" s="599"/>
      <c r="L177" s="600"/>
      <c r="M177" s="601"/>
      <c r="N177" s="600"/>
      <c r="O177" s="599"/>
      <c r="P177" s="600"/>
      <c r="Q177" s="601"/>
      <c r="R177" s="600"/>
      <c r="S177" s="599"/>
      <c r="T177" s="600"/>
      <c r="U177" s="601"/>
      <c r="V177" s="600"/>
      <c r="W177" s="599"/>
      <c r="X177" s="600"/>
      <c r="Y177" s="601"/>
      <c r="Z177" s="600"/>
      <c r="AA177" s="599"/>
      <c r="AB177" s="600"/>
      <c r="AC177" s="601"/>
      <c r="AD177" s="600"/>
      <c r="AE177" s="599"/>
      <c r="AF177" s="600"/>
      <c r="AG177" s="601"/>
      <c r="AH177" s="600"/>
      <c r="AI177" s="599"/>
      <c r="AJ177" s="600"/>
      <c r="AK177" s="601"/>
      <c r="AL177" s="600"/>
      <c r="AM177" s="599"/>
      <c r="AN177" s="600"/>
      <c r="AO177" s="601"/>
      <c r="AP177" s="600"/>
      <c r="AQ177" s="599"/>
      <c r="AR177" s="600"/>
      <c r="AS177" s="601"/>
      <c r="AT177" s="600"/>
      <c r="AU177" s="599"/>
      <c r="AV177" s="600"/>
      <c r="AW177" s="601"/>
      <c r="AX177" s="600">
        <v>107</v>
      </c>
      <c r="AY177" s="599"/>
      <c r="AZ177" s="600"/>
      <c r="BA177" s="601">
        <v>106</v>
      </c>
      <c r="BB177" s="602">
        <v>0</v>
      </c>
      <c r="BC177" s="599"/>
      <c r="BD177" s="600">
        <v>0</v>
      </c>
      <c r="BE177" s="599"/>
      <c r="BF177" s="600">
        <v>0</v>
      </c>
      <c r="BG177" s="599"/>
      <c r="BH177" s="600">
        <v>0</v>
      </c>
      <c r="BI177" s="599"/>
      <c r="BJ177" s="600">
        <v>0</v>
      </c>
      <c r="BK177" s="615"/>
      <c r="BL177" s="600">
        <v>5760880</v>
      </c>
      <c r="BM177" s="604">
        <v>5735927</v>
      </c>
      <c r="BN177" s="605">
        <f t="shared" si="233"/>
        <v>0</v>
      </c>
      <c r="BO177" s="606">
        <f t="shared" si="234"/>
        <v>0</v>
      </c>
      <c r="BP177" s="607">
        <f t="shared" si="235"/>
        <v>0</v>
      </c>
      <c r="BQ177" s="606">
        <f t="shared" si="236"/>
        <v>0</v>
      </c>
      <c r="BR177" s="607">
        <f t="shared" si="237"/>
        <v>0</v>
      </c>
      <c r="BS177" s="606">
        <f t="shared" si="238"/>
        <v>0</v>
      </c>
      <c r="BT177" s="607">
        <f t="shared" si="239"/>
        <v>0</v>
      </c>
      <c r="BU177" s="606">
        <f t="shared" si="240"/>
        <v>0</v>
      </c>
      <c r="BV177" s="607">
        <f t="shared" si="241"/>
        <v>0</v>
      </c>
      <c r="BW177" s="608">
        <f t="shared" si="242"/>
        <v>0</v>
      </c>
      <c r="BX177" s="607">
        <f t="shared" si="243"/>
        <v>1177</v>
      </c>
      <c r="BY177" s="608">
        <f t="shared" si="244"/>
        <v>1272</v>
      </c>
      <c r="BZ177" s="607">
        <f t="shared" si="245"/>
        <v>0</v>
      </c>
      <c r="CA177" s="608">
        <f t="shared" si="246"/>
        <v>0</v>
      </c>
      <c r="CB177" s="607">
        <f t="shared" si="247"/>
        <v>0</v>
      </c>
      <c r="CC177" s="608">
        <f t="shared" si="248"/>
        <v>0</v>
      </c>
      <c r="CD177" s="607">
        <f t="shared" si="249"/>
        <v>0</v>
      </c>
      <c r="CE177" s="608">
        <f t="shared" si="250"/>
        <v>0</v>
      </c>
      <c r="CF177" s="607">
        <f t="shared" si="251"/>
        <v>0</v>
      </c>
      <c r="CG177" s="608">
        <f t="shared" si="252"/>
        <v>0</v>
      </c>
      <c r="CH177" s="607">
        <f t="shared" si="253"/>
        <v>0</v>
      </c>
      <c r="CI177" s="608">
        <f t="shared" si="254"/>
        <v>0</v>
      </c>
      <c r="CJ177" s="607">
        <f t="shared" si="255"/>
        <v>4894.545454545455</v>
      </c>
      <c r="CK177" s="608">
        <f t="shared" si="256"/>
        <v>4509.3765723270444</v>
      </c>
      <c r="CL177" s="609">
        <f t="shared" si="257"/>
        <v>0</v>
      </c>
      <c r="CM177" s="608">
        <f t="shared" si="258"/>
        <v>0</v>
      </c>
      <c r="CN177" s="610">
        <f t="shared" si="259"/>
        <v>0</v>
      </c>
      <c r="CO177" s="606">
        <f t="shared" si="260"/>
        <v>0</v>
      </c>
      <c r="CP177" s="607">
        <f t="shared" si="261"/>
        <v>0</v>
      </c>
      <c r="CQ177" s="606">
        <f t="shared" si="262"/>
        <v>0</v>
      </c>
      <c r="CR177" s="607">
        <f t="shared" si="263"/>
        <v>0</v>
      </c>
      <c r="CS177" s="606">
        <f t="shared" si="264"/>
        <v>0</v>
      </c>
      <c r="CT177" s="607">
        <f t="shared" si="265"/>
        <v>0</v>
      </c>
      <c r="CU177" s="608">
        <f t="shared" si="266"/>
        <v>0</v>
      </c>
      <c r="CV177" s="610">
        <f t="shared" si="267"/>
        <v>44050.909090909096</v>
      </c>
      <c r="CW177" s="608">
        <f t="shared" si="268"/>
        <v>40584.389150943403</v>
      </c>
      <c r="CX177" s="610">
        <f t="shared" si="269"/>
        <v>44050.909090909096</v>
      </c>
      <c r="CY177" s="611">
        <f t="shared" si="270"/>
        <v>40584.389150943403</v>
      </c>
      <c r="CZ177" s="605">
        <f t="shared" si="271"/>
        <v>0</v>
      </c>
      <c r="DA177" s="612">
        <f t="shared" si="272"/>
        <v>0</v>
      </c>
      <c r="DB177" s="607">
        <f t="shared" si="273"/>
        <v>0</v>
      </c>
      <c r="DC177" s="606">
        <f t="shared" si="274"/>
        <v>0</v>
      </c>
      <c r="DD177" s="607">
        <f t="shared" si="275"/>
        <v>0</v>
      </c>
      <c r="DE177" s="606">
        <f t="shared" si="276"/>
        <v>0</v>
      </c>
      <c r="DF177" s="607">
        <f t="shared" si="277"/>
        <v>0</v>
      </c>
      <c r="DG177" s="606">
        <f t="shared" si="278"/>
        <v>0</v>
      </c>
      <c r="DH177" s="607">
        <f t="shared" si="279"/>
        <v>0</v>
      </c>
      <c r="DI177" s="608">
        <f t="shared" si="280"/>
        <v>0</v>
      </c>
      <c r="DJ177" s="607">
        <f t="shared" si="281"/>
        <v>107</v>
      </c>
      <c r="DK177" s="608">
        <f t="shared" si="282"/>
        <v>106</v>
      </c>
      <c r="DL177" s="607">
        <f t="shared" si="283"/>
        <v>107</v>
      </c>
      <c r="DM177" s="608">
        <f t="shared" si="284"/>
        <v>106</v>
      </c>
      <c r="DN177" s="607">
        <f t="shared" si="285"/>
        <v>0</v>
      </c>
      <c r="DO177" s="612">
        <f t="shared" si="286"/>
        <v>0</v>
      </c>
      <c r="DP177" s="607">
        <f t="shared" si="287"/>
        <v>0</v>
      </c>
      <c r="DQ177" s="606">
        <f t="shared" si="288"/>
        <v>0</v>
      </c>
      <c r="DR177" s="607">
        <f t="shared" si="289"/>
        <v>0</v>
      </c>
      <c r="DS177" s="606">
        <f t="shared" si="290"/>
        <v>0</v>
      </c>
      <c r="DT177" s="607">
        <f t="shared" si="291"/>
        <v>0</v>
      </c>
      <c r="DU177" s="606">
        <f t="shared" si="292"/>
        <v>0</v>
      </c>
      <c r="DV177" s="607">
        <f t="shared" si="293"/>
        <v>0</v>
      </c>
      <c r="DW177" s="608">
        <f t="shared" si="294"/>
        <v>0</v>
      </c>
      <c r="DX177" s="607">
        <f t="shared" si="295"/>
        <v>4713447.2727272734</v>
      </c>
      <c r="DY177" s="608">
        <f t="shared" si="296"/>
        <v>4301945.2500000009</v>
      </c>
      <c r="DZ177" s="607">
        <f t="shared" si="297"/>
        <v>4713447.2727272734</v>
      </c>
      <c r="EA177" s="608">
        <f t="shared" si="298"/>
        <v>4301945.2500000009</v>
      </c>
    </row>
    <row r="178" spans="1:131" x14ac:dyDescent="0.2">
      <c r="A178" s="381" t="s">
        <v>35</v>
      </c>
      <c r="B178" s="375" t="s">
        <v>583</v>
      </c>
      <c r="C178" s="552"/>
      <c r="D178" s="376">
        <v>141158</v>
      </c>
      <c r="E178" s="377">
        <v>12</v>
      </c>
      <c r="F178" s="598"/>
      <c r="G178" s="599"/>
      <c r="H178" s="600"/>
      <c r="I178" s="601"/>
      <c r="J178" s="600"/>
      <c r="K178" s="599"/>
      <c r="L178" s="600"/>
      <c r="M178" s="601"/>
      <c r="N178" s="600"/>
      <c r="O178" s="599"/>
      <c r="P178" s="600"/>
      <c r="Q178" s="601"/>
      <c r="R178" s="600"/>
      <c r="S178" s="599"/>
      <c r="T178" s="600"/>
      <c r="U178" s="601"/>
      <c r="V178" s="600"/>
      <c r="W178" s="599"/>
      <c r="X178" s="600"/>
      <c r="Y178" s="601"/>
      <c r="Z178" s="600"/>
      <c r="AA178" s="599"/>
      <c r="AB178" s="600"/>
      <c r="AC178" s="601"/>
      <c r="AD178" s="600"/>
      <c r="AE178" s="599"/>
      <c r="AF178" s="600"/>
      <c r="AG178" s="601"/>
      <c r="AH178" s="600"/>
      <c r="AI178" s="599"/>
      <c r="AJ178" s="600"/>
      <c r="AK178" s="601"/>
      <c r="AL178" s="600"/>
      <c r="AM178" s="599"/>
      <c r="AN178" s="600"/>
      <c r="AO178" s="601"/>
      <c r="AP178" s="600"/>
      <c r="AQ178" s="599"/>
      <c r="AR178" s="600"/>
      <c r="AS178" s="601"/>
      <c r="AT178" s="600">
        <v>1</v>
      </c>
      <c r="AU178" s="599"/>
      <c r="AV178" s="600"/>
      <c r="AW178" s="601">
        <v>1</v>
      </c>
      <c r="AX178" s="600">
        <v>54</v>
      </c>
      <c r="AY178" s="599"/>
      <c r="AZ178" s="600"/>
      <c r="BA178" s="601">
        <v>49</v>
      </c>
      <c r="BB178" s="602">
        <v>0</v>
      </c>
      <c r="BC178" s="599"/>
      <c r="BD178" s="600">
        <v>0</v>
      </c>
      <c r="BE178" s="599"/>
      <c r="BF178" s="600">
        <v>0</v>
      </c>
      <c r="BG178" s="599"/>
      <c r="BH178" s="600">
        <v>0</v>
      </c>
      <c r="BI178" s="599"/>
      <c r="BJ178" s="600">
        <v>0</v>
      </c>
      <c r="BK178" s="615"/>
      <c r="BL178" s="600">
        <v>3067716</v>
      </c>
      <c r="BM178" s="604">
        <v>2808503</v>
      </c>
      <c r="BN178" s="605">
        <f t="shared" si="233"/>
        <v>0</v>
      </c>
      <c r="BO178" s="606">
        <f t="shared" si="234"/>
        <v>0</v>
      </c>
      <c r="BP178" s="607">
        <f t="shared" si="235"/>
        <v>0</v>
      </c>
      <c r="BQ178" s="606">
        <f t="shared" si="236"/>
        <v>0</v>
      </c>
      <c r="BR178" s="607">
        <f t="shared" si="237"/>
        <v>0</v>
      </c>
      <c r="BS178" s="606">
        <f t="shared" si="238"/>
        <v>0</v>
      </c>
      <c r="BT178" s="607">
        <f t="shared" si="239"/>
        <v>0</v>
      </c>
      <c r="BU178" s="606">
        <f t="shared" si="240"/>
        <v>0</v>
      </c>
      <c r="BV178" s="607">
        <f t="shared" si="241"/>
        <v>0</v>
      </c>
      <c r="BW178" s="608">
        <f t="shared" si="242"/>
        <v>0</v>
      </c>
      <c r="BX178" s="607">
        <f t="shared" si="243"/>
        <v>603</v>
      </c>
      <c r="BY178" s="608">
        <f t="shared" si="244"/>
        <v>598</v>
      </c>
      <c r="BZ178" s="607">
        <f t="shared" si="245"/>
        <v>0</v>
      </c>
      <c r="CA178" s="608">
        <f t="shared" si="246"/>
        <v>0</v>
      </c>
      <c r="CB178" s="607">
        <f t="shared" si="247"/>
        <v>0</v>
      </c>
      <c r="CC178" s="608">
        <f t="shared" si="248"/>
        <v>0</v>
      </c>
      <c r="CD178" s="607">
        <f t="shared" si="249"/>
        <v>0</v>
      </c>
      <c r="CE178" s="608">
        <f t="shared" si="250"/>
        <v>0</v>
      </c>
      <c r="CF178" s="607">
        <f t="shared" si="251"/>
        <v>0</v>
      </c>
      <c r="CG178" s="608">
        <f t="shared" si="252"/>
        <v>0</v>
      </c>
      <c r="CH178" s="607">
        <f t="shared" si="253"/>
        <v>0</v>
      </c>
      <c r="CI178" s="608">
        <f t="shared" si="254"/>
        <v>0</v>
      </c>
      <c r="CJ178" s="607">
        <f t="shared" si="255"/>
        <v>5087.4228855721394</v>
      </c>
      <c r="CK178" s="608">
        <f t="shared" si="256"/>
        <v>4696.4933110367892</v>
      </c>
      <c r="CL178" s="609">
        <f t="shared" si="257"/>
        <v>0</v>
      </c>
      <c r="CM178" s="608">
        <f t="shared" si="258"/>
        <v>0</v>
      </c>
      <c r="CN178" s="610">
        <f t="shared" si="259"/>
        <v>0</v>
      </c>
      <c r="CO178" s="606">
        <f t="shared" si="260"/>
        <v>0</v>
      </c>
      <c r="CP178" s="607">
        <f t="shared" si="261"/>
        <v>0</v>
      </c>
      <c r="CQ178" s="606">
        <f t="shared" si="262"/>
        <v>0</v>
      </c>
      <c r="CR178" s="607">
        <f t="shared" si="263"/>
        <v>0</v>
      </c>
      <c r="CS178" s="606">
        <f t="shared" si="264"/>
        <v>0</v>
      </c>
      <c r="CT178" s="607">
        <f t="shared" si="265"/>
        <v>0</v>
      </c>
      <c r="CU178" s="608">
        <f t="shared" si="266"/>
        <v>0</v>
      </c>
      <c r="CV178" s="610">
        <f t="shared" si="267"/>
        <v>45786.805970149253</v>
      </c>
      <c r="CW178" s="608">
        <f t="shared" si="268"/>
        <v>42268.439799331099</v>
      </c>
      <c r="CX178" s="610">
        <f t="shared" si="269"/>
        <v>45786.805970149253</v>
      </c>
      <c r="CY178" s="611">
        <f t="shared" si="270"/>
        <v>42268.439799331099</v>
      </c>
      <c r="CZ178" s="605">
        <f t="shared" si="271"/>
        <v>0</v>
      </c>
      <c r="DA178" s="612">
        <f t="shared" si="272"/>
        <v>0</v>
      </c>
      <c r="DB178" s="607">
        <f t="shared" si="273"/>
        <v>0</v>
      </c>
      <c r="DC178" s="606">
        <f t="shared" si="274"/>
        <v>0</v>
      </c>
      <c r="DD178" s="607">
        <f t="shared" si="275"/>
        <v>0</v>
      </c>
      <c r="DE178" s="606">
        <f t="shared" si="276"/>
        <v>0</v>
      </c>
      <c r="DF178" s="607">
        <f t="shared" si="277"/>
        <v>0</v>
      </c>
      <c r="DG178" s="606">
        <f t="shared" si="278"/>
        <v>0</v>
      </c>
      <c r="DH178" s="607">
        <f t="shared" si="279"/>
        <v>0</v>
      </c>
      <c r="DI178" s="608">
        <f t="shared" si="280"/>
        <v>0</v>
      </c>
      <c r="DJ178" s="607">
        <f t="shared" si="281"/>
        <v>55</v>
      </c>
      <c r="DK178" s="608">
        <f t="shared" si="282"/>
        <v>50</v>
      </c>
      <c r="DL178" s="607">
        <f t="shared" si="283"/>
        <v>55</v>
      </c>
      <c r="DM178" s="608">
        <f t="shared" si="284"/>
        <v>50</v>
      </c>
      <c r="DN178" s="607">
        <f t="shared" si="285"/>
        <v>0</v>
      </c>
      <c r="DO178" s="612">
        <f t="shared" si="286"/>
        <v>0</v>
      </c>
      <c r="DP178" s="607">
        <f t="shared" si="287"/>
        <v>0</v>
      </c>
      <c r="DQ178" s="606">
        <f t="shared" si="288"/>
        <v>0</v>
      </c>
      <c r="DR178" s="607">
        <f t="shared" si="289"/>
        <v>0</v>
      </c>
      <c r="DS178" s="606">
        <f t="shared" si="290"/>
        <v>0</v>
      </c>
      <c r="DT178" s="607">
        <f t="shared" si="291"/>
        <v>0</v>
      </c>
      <c r="DU178" s="606">
        <f t="shared" si="292"/>
        <v>0</v>
      </c>
      <c r="DV178" s="607">
        <f t="shared" si="293"/>
        <v>0</v>
      </c>
      <c r="DW178" s="608">
        <f t="shared" si="294"/>
        <v>0</v>
      </c>
      <c r="DX178" s="607">
        <f t="shared" si="295"/>
        <v>2518274.3283582088</v>
      </c>
      <c r="DY178" s="608">
        <f t="shared" si="296"/>
        <v>2113421.989966555</v>
      </c>
      <c r="DZ178" s="607">
        <f t="shared" si="297"/>
        <v>2518274.3283582088</v>
      </c>
      <c r="EA178" s="608">
        <f t="shared" si="298"/>
        <v>2113421.989966555</v>
      </c>
    </row>
    <row r="179" spans="1:131" x14ac:dyDescent="0.2">
      <c r="A179" s="381" t="s">
        <v>35</v>
      </c>
      <c r="B179" s="375" t="s">
        <v>584</v>
      </c>
      <c r="C179" s="552"/>
      <c r="D179" s="376">
        <v>139278</v>
      </c>
      <c r="E179" s="377">
        <v>12</v>
      </c>
      <c r="F179" s="598"/>
      <c r="G179" s="599"/>
      <c r="H179" s="600"/>
      <c r="I179" s="601"/>
      <c r="J179" s="600"/>
      <c r="K179" s="599"/>
      <c r="L179" s="600"/>
      <c r="M179" s="601"/>
      <c r="N179" s="600"/>
      <c r="O179" s="599"/>
      <c r="P179" s="600"/>
      <c r="Q179" s="601"/>
      <c r="R179" s="600"/>
      <c r="S179" s="599"/>
      <c r="T179" s="600"/>
      <c r="U179" s="601"/>
      <c r="V179" s="600"/>
      <c r="W179" s="599"/>
      <c r="X179" s="600"/>
      <c r="Y179" s="601"/>
      <c r="Z179" s="600"/>
      <c r="AA179" s="599"/>
      <c r="AB179" s="600"/>
      <c r="AC179" s="601"/>
      <c r="AD179" s="600"/>
      <c r="AE179" s="599"/>
      <c r="AF179" s="600"/>
      <c r="AG179" s="601"/>
      <c r="AH179" s="600"/>
      <c r="AI179" s="599"/>
      <c r="AJ179" s="600"/>
      <c r="AK179" s="601"/>
      <c r="AL179" s="600"/>
      <c r="AM179" s="599"/>
      <c r="AN179" s="600"/>
      <c r="AO179" s="601"/>
      <c r="AP179" s="600"/>
      <c r="AQ179" s="599"/>
      <c r="AR179" s="600"/>
      <c r="AS179" s="601"/>
      <c r="AT179" s="600"/>
      <c r="AU179" s="599"/>
      <c r="AV179" s="600"/>
      <c r="AW179" s="601"/>
      <c r="AX179" s="600">
        <v>135</v>
      </c>
      <c r="AY179" s="599"/>
      <c r="AZ179" s="600"/>
      <c r="BA179" s="601">
        <v>126</v>
      </c>
      <c r="BB179" s="602">
        <v>0</v>
      </c>
      <c r="BC179" s="599"/>
      <c r="BD179" s="600">
        <v>0</v>
      </c>
      <c r="BE179" s="599"/>
      <c r="BF179" s="600">
        <v>0</v>
      </c>
      <c r="BG179" s="599"/>
      <c r="BH179" s="600">
        <v>0</v>
      </c>
      <c r="BI179" s="599"/>
      <c r="BJ179" s="600">
        <v>0</v>
      </c>
      <c r="BK179" s="615"/>
      <c r="BL179" s="600">
        <v>6671565</v>
      </c>
      <c r="BM179" s="604">
        <v>6381060</v>
      </c>
      <c r="BN179" s="605">
        <f t="shared" si="233"/>
        <v>0</v>
      </c>
      <c r="BO179" s="606">
        <f t="shared" si="234"/>
        <v>0</v>
      </c>
      <c r="BP179" s="607">
        <f t="shared" si="235"/>
        <v>0</v>
      </c>
      <c r="BQ179" s="606">
        <f t="shared" si="236"/>
        <v>0</v>
      </c>
      <c r="BR179" s="607">
        <f t="shared" si="237"/>
        <v>0</v>
      </c>
      <c r="BS179" s="606">
        <f t="shared" si="238"/>
        <v>0</v>
      </c>
      <c r="BT179" s="607">
        <f t="shared" si="239"/>
        <v>0</v>
      </c>
      <c r="BU179" s="606">
        <f t="shared" si="240"/>
        <v>0</v>
      </c>
      <c r="BV179" s="607">
        <f t="shared" si="241"/>
        <v>0</v>
      </c>
      <c r="BW179" s="608">
        <f t="shared" si="242"/>
        <v>0</v>
      </c>
      <c r="BX179" s="607">
        <f t="shared" si="243"/>
        <v>1485</v>
      </c>
      <c r="BY179" s="608">
        <f t="shared" si="244"/>
        <v>1512</v>
      </c>
      <c r="BZ179" s="607">
        <f t="shared" si="245"/>
        <v>0</v>
      </c>
      <c r="CA179" s="608">
        <f t="shared" si="246"/>
        <v>0</v>
      </c>
      <c r="CB179" s="607">
        <f t="shared" si="247"/>
        <v>0</v>
      </c>
      <c r="CC179" s="608">
        <f t="shared" si="248"/>
        <v>0</v>
      </c>
      <c r="CD179" s="607">
        <f t="shared" si="249"/>
        <v>0</v>
      </c>
      <c r="CE179" s="608">
        <f t="shared" si="250"/>
        <v>0</v>
      </c>
      <c r="CF179" s="607">
        <f t="shared" si="251"/>
        <v>0</v>
      </c>
      <c r="CG179" s="608">
        <f t="shared" si="252"/>
        <v>0</v>
      </c>
      <c r="CH179" s="607">
        <f t="shared" si="253"/>
        <v>0</v>
      </c>
      <c r="CI179" s="608">
        <f t="shared" si="254"/>
        <v>0</v>
      </c>
      <c r="CJ179" s="607">
        <f t="shared" si="255"/>
        <v>4492.636363636364</v>
      </c>
      <c r="CK179" s="608">
        <f t="shared" si="256"/>
        <v>4220.2777777777774</v>
      </c>
      <c r="CL179" s="609">
        <f t="shared" si="257"/>
        <v>0</v>
      </c>
      <c r="CM179" s="608">
        <f t="shared" si="258"/>
        <v>0</v>
      </c>
      <c r="CN179" s="610">
        <f t="shared" si="259"/>
        <v>0</v>
      </c>
      <c r="CO179" s="606">
        <f t="shared" si="260"/>
        <v>0</v>
      </c>
      <c r="CP179" s="607">
        <f t="shared" si="261"/>
        <v>0</v>
      </c>
      <c r="CQ179" s="606">
        <f t="shared" si="262"/>
        <v>0</v>
      </c>
      <c r="CR179" s="607">
        <f t="shared" si="263"/>
        <v>0</v>
      </c>
      <c r="CS179" s="606">
        <f t="shared" si="264"/>
        <v>0</v>
      </c>
      <c r="CT179" s="607">
        <f t="shared" si="265"/>
        <v>0</v>
      </c>
      <c r="CU179" s="608">
        <f t="shared" si="266"/>
        <v>0</v>
      </c>
      <c r="CV179" s="610">
        <f t="shared" si="267"/>
        <v>40433.727272727279</v>
      </c>
      <c r="CW179" s="608">
        <f t="shared" si="268"/>
        <v>37982.5</v>
      </c>
      <c r="CX179" s="610">
        <f t="shared" si="269"/>
        <v>40433.727272727279</v>
      </c>
      <c r="CY179" s="611">
        <f t="shared" si="270"/>
        <v>37982.5</v>
      </c>
      <c r="CZ179" s="605">
        <f t="shared" si="271"/>
        <v>0</v>
      </c>
      <c r="DA179" s="612">
        <f t="shared" si="272"/>
        <v>0</v>
      </c>
      <c r="DB179" s="607">
        <f t="shared" si="273"/>
        <v>0</v>
      </c>
      <c r="DC179" s="606">
        <f t="shared" si="274"/>
        <v>0</v>
      </c>
      <c r="DD179" s="607">
        <f t="shared" si="275"/>
        <v>0</v>
      </c>
      <c r="DE179" s="606">
        <f t="shared" si="276"/>
        <v>0</v>
      </c>
      <c r="DF179" s="607">
        <f t="shared" si="277"/>
        <v>0</v>
      </c>
      <c r="DG179" s="606">
        <f t="shared" si="278"/>
        <v>0</v>
      </c>
      <c r="DH179" s="607">
        <f t="shared" si="279"/>
        <v>0</v>
      </c>
      <c r="DI179" s="608">
        <f t="shared" si="280"/>
        <v>0</v>
      </c>
      <c r="DJ179" s="607">
        <f t="shared" si="281"/>
        <v>135</v>
      </c>
      <c r="DK179" s="608">
        <f t="shared" si="282"/>
        <v>126</v>
      </c>
      <c r="DL179" s="607">
        <f t="shared" si="283"/>
        <v>135</v>
      </c>
      <c r="DM179" s="608">
        <f t="shared" si="284"/>
        <v>126</v>
      </c>
      <c r="DN179" s="607">
        <f t="shared" si="285"/>
        <v>0</v>
      </c>
      <c r="DO179" s="612">
        <f t="shared" si="286"/>
        <v>0</v>
      </c>
      <c r="DP179" s="607">
        <f t="shared" si="287"/>
        <v>0</v>
      </c>
      <c r="DQ179" s="606">
        <f t="shared" si="288"/>
        <v>0</v>
      </c>
      <c r="DR179" s="607">
        <f t="shared" si="289"/>
        <v>0</v>
      </c>
      <c r="DS179" s="606">
        <f t="shared" si="290"/>
        <v>0</v>
      </c>
      <c r="DT179" s="607">
        <f t="shared" si="291"/>
        <v>0</v>
      </c>
      <c r="DU179" s="606">
        <f t="shared" si="292"/>
        <v>0</v>
      </c>
      <c r="DV179" s="607">
        <f t="shared" si="293"/>
        <v>0</v>
      </c>
      <c r="DW179" s="608">
        <f t="shared" si="294"/>
        <v>0</v>
      </c>
      <c r="DX179" s="607">
        <f t="shared" si="295"/>
        <v>5458553.1818181826</v>
      </c>
      <c r="DY179" s="608">
        <f t="shared" si="296"/>
        <v>4785795</v>
      </c>
      <c r="DZ179" s="607">
        <f t="shared" si="297"/>
        <v>5458553.1818181826</v>
      </c>
      <c r="EA179" s="608">
        <f t="shared" si="298"/>
        <v>4785795</v>
      </c>
    </row>
    <row r="180" spans="1:131" x14ac:dyDescent="0.2">
      <c r="A180" s="381" t="s">
        <v>35</v>
      </c>
      <c r="B180" s="379" t="s">
        <v>585</v>
      </c>
      <c r="C180" s="531"/>
      <c r="D180" s="376">
        <v>141255</v>
      </c>
      <c r="E180" s="377">
        <v>12</v>
      </c>
      <c r="F180" s="598"/>
      <c r="G180" s="599"/>
      <c r="H180" s="600"/>
      <c r="I180" s="601"/>
      <c r="J180" s="600"/>
      <c r="K180" s="599"/>
      <c r="L180" s="600"/>
      <c r="M180" s="601"/>
      <c r="N180" s="600"/>
      <c r="O180" s="599"/>
      <c r="P180" s="600"/>
      <c r="Q180" s="601"/>
      <c r="R180" s="600"/>
      <c r="S180" s="599"/>
      <c r="T180" s="600"/>
      <c r="U180" s="601"/>
      <c r="V180" s="600"/>
      <c r="W180" s="599"/>
      <c r="X180" s="600"/>
      <c r="Y180" s="601"/>
      <c r="Z180" s="600"/>
      <c r="AA180" s="599"/>
      <c r="AB180" s="600"/>
      <c r="AC180" s="601"/>
      <c r="AD180" s="600"/>
      <c r="AE180" s="599"/>
      <c r="AF180" s="600"/>
      <c r="AG180" s="601"/>
      <c r="AH180" s="600"/>
      <c r="AI180" s="599"/>
      <c r="AJ180" s="600"/>
      <c r="AK180" s="601"/>
      <c r="AL180" s="600"/>
      <c r="AM180" s="599"/>
      <c r="AN180" s="600"/>
      <c r="AO180" s="601"/>
      <c r="AP180" s="600"/>
      <c r="AQ180" s="599"/>
      <c r="AR180" s="600"/>
      <c r="AS180" s="601"/>
      <c r="AT180" s="600"/>
      <c r="AU180" s="599"/>
      <c r="AV180" s="600"/>
      <c r="AW180" s="601"/>
      <c r="AX180" s="600">
        <v>129</v>
      </c>
      <c r="AY180" s="599">
        <v>6</v>
      </c>
      <c r="AZ180" s="600"/>
      <c r="BA180" s="601">
        <v>121</v>
      </c>
      <c r="BB180" s="602">
        <v>0</v>
      </c>
      <c r="BC180" s="599"/>
      <c r="BD180" s="600">
        <v>0</v>
      </c>
      <c r="BE180" s="599"/>
      <c r="BF180" s="600">
        <v>0</v>
      </c>
      <c r="BG180" s="599"/>
      <c r="BH180" s="600">
        <v>0</v>
      </c>
      <c r="BI180" s="599"/>
      <c r="BJ180" s="600">
        <v>0</v>
      </c>
      <c r="BK180" s="615"/>
      <c r="BL180" s="600">
        <v>6253275</v>
      </c>
      <c r="BM180" s="604">
        <v>6142107</v>
      </c>
      <c r="BN180" s="605">
        <f t="shared" si="233"/>
        <v>0</v>
      </c>
      <c r="BO180" s="606">
        <f t="shared" si="234"/>
        <v>0</v>
      </c>
      <c r="BP180" s="607">
        <f t="shared" si="235"/>
        <v>0</v>
      </c>
      <c r="BQ180" s="606">
        <f t="shared" si="236"/>
        <v>0</v>
      </c>
      <c r="BR180" s="607">
        <f t="shared" si="237"/>
        <v>0</v>
      </c>
      <c r="BS180" s="606">
        <f t="shared" si="238"/>
        <v>0</v>
      </c>
      <c r="BT180" s="607">
        <f t="shared" si="239"/>
        <v>0</v>
      </c>
      <c r="BU180" s="606">
        <f t="shared" si="240"/>
        <v>0</v>
      </c>
      <c r="BV180" s="607">
        <f t="shared" si="241"/>
        <v>0</v>
      </c>
      <c r="BW180" s="608">
        <f t="shared" si="242"/>
        <v>0</v>
      </c>
      <c r="BX180" s="607">
        <f t="shared" si="243"/>
        <v>1419</v>
      </c>
      <c r="BY180" s="608">
        <f t="shared" si="244"/>
        <v>1518</v>
      </c>
      <c r="BZ180" s="607">
        <f t="shared" si="245"/>
        <v>0</v>
      </c>
      <c r="CA180" s="608">
        <f t="shared" si="246"/>
        <v>0</v>
      </c>
      <c r="CB180" s="607">
        <f t="shared" si="247"/>
        <v>0</v>
      </c>
      <c r="CC180" s="608">
        <f t="shared" si="248"/>
        <v>0</v>
      </c>
      <c r="CD180" s="607">
        <f t="shared" si="249"/>
        <v>0</v>
      </c>
      <c r="CE180" s="608">
        <f t="shared" si="250"/>
        <v>0</v>
      </c>
      <c r="CF180" s="607">
        <f t="shared" si="251"/>
        <v>0</v>
      </c>
      <c r="CG180" s="608">
        <f t="shared" si="252"/>
        <v>0</v>
      </c>
      <c r="CH180" s="607">
        <f t="shared" si="253"/>
        <v>0</v>
      </c>
      <c r="CI180" s="608">
        <f t="shared" si="254"/>
        <v>0</v>
      </c>
      <c r="CJ180" s="607">
        <f t="shared" si="255"/>
        <v>4406.818181818182</v>
      </c>
      <c r="CK180" s="608">
        <f t="shared" si="256"/>
        <v>4046.183794466403</v>
      </c>
      <c r="CL180" s="609">
        <f t="shared" si="257"/>
        <v>0</v>
      </c>
      <c r="CM180" s="608">
        <f t="shared" si="258"/>
        <v>0</v>
      </c>
      <c r="CN180" s="610">
        <f t="shared" si="259"/>
        <v>0</v>
      </c>
      <c r="CO180" s="606">
        <f t="shared" si="260"/>
        <v>0</v>
      </c>
      <c r="CP180" s="607">
        <f t="shared" si="261"/>
        <v>0</v>
      </c>
      <c r="CQ180" s="606">
        <f t="shared" si="262"/>
        <v>0</v>
      </c>
      <c r="CR180" s="607">
        <f t="shared" si="263"/>
        <v>0</v>
      </c>
      <c r="CS180" s="606">
        <f t="shared" si="264"/>
        <v>0</v>
      </c>
      <c r="CT180" s="607">
        <f t="shared" si="265"/>
        <v>0</v>
      </c>
      <c r="CU180" s="608">
        <f t="shared" si="266"/>
        <v>0</v>
      </c>
      <c r="CV180" s="610">
        <f t="shared" si="267"/>
        <v>39661.36363636364</v>
      </c>
      <c r="CW180" s="608">
        <f t="shared" si="268"/>
        <v>36415.654150197624</v>
      </c>
      <c r="CX180" s="610">
        <f t="shared" si="269"/>
        <v>39661.36363636364</v>
      </c>
      <c r="CY180" s="611">
        <f t="shared" si="270"/>
        <v>36415.654150197624</v>
      </c>
      <c r="CZ180" s="605">
        <f t="shared" si="271"/>
        <v>0</v>
      </c>
      <c r="DA180" s="612">
        <f t="shared" si="272"/>
        <v>0</v>
      </c>
      <c r="DB180" s="607">
        <f t="shared" si="273"/>
        <v>0</v>
      </c>
      <c r="DC180" s="606">
        <f t="shared" si="274"/>
        <v>0</v>
      </c>
      <c r="DD180" s="607">
        <f t="shared" si="275"/>
        <v>0</v>
      </c>
      <c r="DE180" s="606">
        <f t="shared" si="276"/>
        <v>0</v>
      </c>
      <c r="DF180" s="607">
        <f t="shared" si="277"/>
        <v>0</v>
      </c>
      <c r="DG180" s="606">
        <f t="shared" si="278"/>
        <v>0</v>
      </c>
      <c r="DH180" s="607">
        <f t="shared" si="279"/>
        <v>0</v>
      </c>
      <c r="DI180" s="608">
        <f t="shared" si="280"/>
        <v>0</v>
      </c>
      <c r="DJ180" s="607">
        <f t="shared" si="281"/>
        <v>129</v>
      </c>
      <c r="DK180" s="608">
        <f t="shared" si="282"/>
        <v>127</v>
      </c>
      <c r="DL180" s="607">
        <f t="shared" si="283"/>
        <v>129</v>
      </c>
      <c r="DM180" s="608">
        <f t="shared" si="284"/>
        <v>127</v>
      </c>
      <c r="DN180" s="607">
        <f t="shared" si="285"/>
        <v>0</v>
      </c>
      <c r="DO180" s="612">
        <f t="shared" si="286"/>
        <v>0</v>
      </c>
      <c r="DP180" s="607">
        <f t="shared" si="287"/>
        <v>0</v>
      </c>
      <c r="DQ180" s="606">
        <f t="shared" si="288"/>
        <v>0</v>
      </c>
      <c r="DR180" s="607">
        <f t="shared" si="289"/>
        <v>0</v>
      </c>
      <c r="DS180" s="606">
        <f t="shared" si="290"/>
        <v>0</v>
      </c>
      <c r="DT180" s="607">
        <f t="shared" si="291"/>
        <v>0</v>
      </c>
      <c r="DU180" s="606">
        <f t="shared" si="292"/>
        <v>0</v>
      </c>
      <c r="DV180" s="607">
        <f t="shared" si="293"/>
        <v>0</v>
      </c>
      <c r="DW180" s="608">
        <f t="shared" si="294"/>
        <v>0</v>
      </c>
      <c r="DX180" s="607">
        <f t="shared" si="295"/>
        <v>5116315.9090909092</v>
      </c>
      <c r="DY180" s="608">
        <f t="shared" si="296"/>
        <v>4624788.0770750986</v>
      </c>
      <c r="DZ180" s="607">
        <f t="shared" si="297"/>
        <v>5116315.9090909092</v>
      </c>
      <c r="EA180" s="608">
        <f t="shared" si="298"/>
        <v>4624788.0770750986</v>
      </c>
    </row>
    <row r="181" spans="1:131" x14ac:dyDescent="0.2">
      <c r="A181" s="341" t="s">
        <v>36</v>
      </c>
      <c r="B181" s="345" t="s">
        <v>718</v>
      </c>
      <c r="C181" s="554"/>
      <c r="D181" s="423">
        <v>157085</v>
      </c>
      <c r="E181" s="344">
        <v>1</v>
      </c>
      <c r="F181" s="598">
        <v>320</v>
      </c>
      <c r="G181" s="599">
        <f>261+65</f>
        <v>326</v>
      </c>
      <c r="H181" s="600"/>
      <c r="I181" s="601">
        <v>3</v>
      </c>
      <c r="J181" s="600">
        <v>145</v>
      </c>
      <c r="K181" s="599">
        <v>8</v>
      </c>
      <c r="L181" s="600"/>
      <c r="M181" s="601">
        <f>113+20</f>
        <v>133</v>
      </c>
      <c r="N181" s="600">
        <v>277</v>
      </c>
      <c r="O181" s="599">
        <f>178+105</f>
        <v>283</v>
      </c>
      <c r="P181" s="600"/>
      <c r="Q181" s="601">
        <v>2</v>
      </c>
      <c r="R181" s="600">
        <v>115</v>
      </c>
      <c r="S181" s="599">
        <v>22</v>
      </c>
      <c r="T181" s="600"/>
      <c r="U181" s="601">
        <v>89</v>
      </c>
      <c r="V181" s="600">
        <v>232</v>
      </c>
      <c r="W181" s="599">
        <f>120+88</f>
        <v>208</v>
      </c>
      <c r="X181" s="600"/>
      <c r="Y181" s="601">
        <v>3</v>
      </c>
      <c r="Z181" s="600">
        <v>97</v>
      </c>
      <c r="AA181" s="599">
        <v>11</v>
      </c>
      <c r="AB181" s="600"/>
      <c r="AC181" s="601">
        <f>39+43</f>
        <v>82</v>
      </c>
      <c r="AD181" s="600">
        <v>1</v>
      </c>
      <c r="AE181" s="599">
        <v>0</v>
      </c>
      <c r="AF181" s="600"/>
      <c r="AG181" s="601"/>
      <c r="AH181" s="600"/>
      <c r="AI181" s="599"/>
      <c r="AJ181" s="600"/>
      <c r="AK181" s="601"/>
      <c r="AL181" s="600">
        <v>146</v>
      </c>
      <c r="AM181" s="599">
        <f>61+87</f>
        <v>148</v>
      </c>
      <c r="AN181" s="600"/>
      <c r="AO181" s="601">
        <v>7</v>
      </c>
      <c r="AP181" s="600">
        <v>11</v>
      </c>
      <c r="AQ181" s="599">
        <v>2</v>
      </c>
      <c r="AR181" s="600"/>
      <c r="AS181" s="601">
        <v>7</v>
      </c>
      <c r="AT181" s="600"/>
      <c r="AU181" s="599"/>
      <c r="AV181" s="600"/>
      <c r="AW181" s="601"/>
      <c r="AX181" s="600"/>
      <c r="AY181" s="599"/>
      <c r="AZ181" s="600"/>
      <c r="BA181" s="601"/>
      <c r="BB181" s="602">
        <v>54692048</v>
      </c>
      <c r="BC181" s="599">
        <f>45926821+9698558</f>
        <v>55625379</v>
      </c>
      <c r="BD181" s="600">
        <v>33097514</v>
      </c>
      <c r="BE181" s="599">
        <f>20791490+12376112</f>
        <v>33167602</v>
      </c>
      <c r="BF181" s="600">
        <v>24782564</v>
      </c>
      <c r="BG181" s="599">
        <f>12778365+10213659</f>
        <v>22992024</v>
      </c>
      <c r="BH181" s="600">
        <v>57801</v>
      </c>
      <c r="BI181" s="599"/>
      <c r="BJ181" s="600">
        <v>7784418.0000000009</v>
      </c>
      <c r="BK181" s="615">
        <f>3034921+5008946</f>
        <v>8043867</v>
      </c>
      <c r="BL181" s="600">
        <v>0</v>
      </c>
      <c r="BM181" s="604"/>
      <c r="BN181" s="605">
        <f t="shared" si="233"/>
        <v>4475</v>
      </c>
      <c r="BO181" s="606">
        <f t="shared" si="234"/>
        <v>4648</v>
      </c>
      <c r="BP181" s="607">
        <f t="shared" si="235"/>
        <v>3758</v>
      </c>
      <c r="BQ181" s="606">
        <f t="shared" si="236"/>
        <v>3877</v>
      </c>
      <c r="BR181" s="607">
        <f t="shared" si="237"/>
        <v>3155</v>
      </c>
      <c r="BS181" s="606">
        <f t="shared" si="238"/>
        <v>3007</v>
      </c>
      <c r="BT181" s="607">
        <f t="shared" si="239"/>
        <v>9</v>
      </c>
      <c r="BU181" s="606">
        <f t="shared" si="240"/>
        <v>0</v>
      </c>
      <c r="BV181" s="607">
        <f t="shared" si="241"/>
        <v>1435</v>
      </c>
      <c r="BW181" s="608">
        <f t="shared" si="242"/>
        <v>1508</v>
      </c>
      <c r="BX181" s="607">
        <f t="shared" si="243"/>
        <v>0</v>
      </c>
      <c r="BY181" s="608">
        <f t="shared" si="244"/>
        <v>0</v>
      </c>
      <c r="BZ181" s="607">
        <f t="shared" si="245"/>
        <v>12221.686703910615</v>
      </c>
      <c r="CA181" s="608">
        <f t="shared" si="246"/>
        <v>11967.594449225473</v>
      </c>
      <c r="CB181" s="607">
        <f t="shared" si="247"/>
        <v>8807.2150079829698</v>
      </c>
      <c r="CC181" s="608">
        <f t="shared" si="248"/>
        <v>8554.9656951250963</v>
      </c>
      <c r="CD181" s="607">
        <f t="shared" si="249"/>
        <v>7855.0123613312198</v>
      </c>
      <c r="CE181" s="608">
        <f t="shared" si="250"/>
        <v>7646.1669437978053</v>
      </c>
      <c r="CF181" s="607">
        <f t="shared" si="251"/>
        <v>6422.333333333333</v>
      </c>
      <c r="CG181" s="608">
        <f t="shared" si="252"/>
        <v>0</v>
      </c>
      <c r="CH181" s="607">
        <f t="shared" si="253"/>
        <v>5424.6815331010457</v>
      </c>
      <c r="CI181" s="608">
        <f t="shared" si="254"/>
        <v>5334.1293103448279</v>
      </c>
      <c r="CJ181" s="607">
        <f t="shared" si="255"/>
        <v>0</v>
      </c>
      <c r="CK181" s="608">
        <f t="shared" si="256"/>
        <v>0</v>
      </c>
      <c r="CL181" s="609">
        <f t="shared" si="257"/>
        <v>109995.18033519553</v>
      </c>
      <c r="CM181" s="608">
        <f t="shared" si="258"/>
        <v>107708.35004302926</v>
      </c>
      <c r="CN181" s="610">
        <f t="shared" si="259"/>
        <v>79264.935071846732</v>
      </c>
      <c r="CO181" s="606">
        <f t="shared" si="260"/>
        <v>76994.691256125865</v>
      </c>
      <c r="CP181" s="607">
        <f t="shared" si="261"/>
        <v>70695.111251980983</v>
      </c>
      <c r="CQ181" s="606">
        <f t="shared" si="262"/>
        <v>68815.502494180255</v>
      </c>
      <c r="CR181" s="607">
        <f t="shared" si="263"/>
        <v>57801</v>
      </c>
      <c r="CS181" s="606">
        <f t="shared" si="264"/>
        <v>0</v>
      </c>
      <c r="CT181" s="607">
        <f t="shared" si="265"/>
        <v>48822.13379790941</v>
      </c>
      <c r="CU181" s="608">
        <f t="shared" si="266"/>
        <v>48007.163793103449</v>
      </c>
      <c r="CV181" s="610">
        <f t="shared" si="267"/>
        <v>0</v>
      </c>
      <c r="CW181" s="608">
        <f t="shared" si="268"/>
        <v>0</v>
      </c>
      <c r="CX181" s="610">
        <f t="shared" si="269"/>
        <v>84227.069205508451</v>
      </c>
      <c r="CY181" s="611">
        <f t="shared" si="270"/>
        <v>82388.238289317364</v>
      </c>
      <c r="CZ181" s="605">
        <f t="shared" si="271"/>
        <v>465</v>
      </c>
      <c r="DA181" s="612">
        <f t="shared" si="272"/>
        <v>470</v>
      </c>
      <c r="DB181" s="607">
        <f t="shared" si="273"/>
        <v>392</v>
      </c>
      <c r="DC181" s="606">
        <f t="shared" si="274"/>
        <v>396</v>
      </c>
      <c r="DD181" s="607">
        <f t="shared" si="275"/>
        <v>329</v>
      </c>
      <c r="DE181" s="606">
        <f t="shared" si="276"/>
        <v>304</v>
      </c>
      <c r="DF181" s="607">
        <f t="shared" si="277"/>
        <v>1</v>
      </c>
      <c r="DG181" s="606">
        <f t="shared" si="278"/>
        <v>0</v>
      </c>
      <c r="DH181" s="607">
        <f t="shared" si="279"/>
        <v>157</v>
      </c>
      <c r="DI181" s="608">
        <f t="shared" si="280"/>
        <v>164</v>
      </c>
      <c r="DJ181" s="607">
        <f t="shared" si="281"/>
        <v>0</v>
      </c>
      <c r="DK181" s="608">
        <f t="shared" si="282"/>
        <v>0</v>
      </c>
      <c r="DL181" s="607">
        <f t="shared" si="283"/>
        <v>1344</v>
      </c>
      <c r="DM181" s="608">
        <f t="shared" si="284"/>
        <v>1334</v>
      </c>
      <c r="DN181" s="607">
        <f t="shared" si="285"/>
        <v>51147758.855865926</v>
      </c>
      <c r="DO181" s="612">
        <f t="shared" si="286"/>
        <v>50622924.520223752</v>
      </c>
      <c r="DP181" s="607">
        <f t="shared" si="287"/>
        <v>31071854.548163921</v>
      </c>
      <c r="DQ181" s="606">
        <f t="shared" si="288"/>
        <v>30489897.737425841</v>
      </c>
      <c r="DR181" s="607">
        <f t="shared" si="289"/>
        <v>23258691.601901744</v>
      </c>
      <c r="DS181" s="606">
        <f t="shared" si="290"/>
        <v>20919912.758230798</v>
      </c>
      <c r="DT181" s="607">
        <f t="shared" si="291"/>
        <v>57801</v>
      </c>
      <c r="DU181" s="606">
        <f t="shared" si="292"/>
        <v>0</v>
      </c>
      <c r="DV181" s="607">
        <f t="shared" si="293"/>
        <v>7665075.0062717777</v>
      </c>
      <c r="DW181" s="608">
        <f t="shared" si="294"/>
        <v>7873174.862068966</v>
      </c>
      <c r="DX181" s="607">
        <f t="shared" si="295"/>
        <v>0</v>
      </c>
      <c r="DY181" s="608">
        <f t="shared" si="296"/>
        <v>0</v>
      </c>
      <c r="DZ181" s="607">
        <f t="shared" si="297"/>
        <v>113201181.01220337</v>
      </c>
      <c r="EA181" s="608">
        <f t="shared" si="298"/>
        <v>109905909.87794936</v>
      </c>
    </row>
    <row r="182" spans="1:131" x14ac:dyDescent="0.2">
      <c r="A182" s="341" t="s">
        <v>36</v>
      </c>
      <c r="B182" s="345" t="s">
        <v>719</v>
      </c>
      <c r="C182" s="554"/>
      <c r="D182" s="423">
        <v>157289</v>
      </c>
      <c r="E182" s="344">
        <v>1</v>
      </c>
      <c r="F182" s="598">
        <v>185</v>
      </c>
      <c r="G182" s="599">
        <f>182+41</f>
        <v>223</v>
      </c>
      <c r="H182" s="600"/>
      <c r="I182" s="601"/>
      <c r="J182" s="600">
        <v>124</v>
      </c>
      <c r="K182" s="599">
        <f>61+37</f>
        <v>98</v>
      </c>
      <c r="L182" s="600"/>
      <c r="M182" s="601"/>
      <c r="N182" s="600">
        <v>156</v>
      </c>
      <c r="O182" s="599">
        <f>89+69</f>
        <v>158</v>
      </c>
      <c r="P182" s="600"/>
      <c r="Q182" s="601"/>
      <c r="R182" s="600">
        <v>61</v>
      </c>
      <c r="S182" s="599">
        <f>37+35</f>
        <v>72</v>
      </c>
      <c r="T182" s="600"/>
      <c r="U182" s="601"/>
      <c r="V182" s="600">
        <v>173</v>
      </c>
      <c r="W182" s="599">
        <f>103+103</f>
        <v>206</v>
      </c>
      <c r="X182" s="600"/>
      <c r="Y182" s="601"/>
      <c r="Z182" s="600">
        <v>93</v>
      </c>
      <c r="AA182" s="599">
        <f>26+43</f>
        <v>69</v>
      </c>
      <c r="AB182" s="600"/>
      <c r="AC182" s="601"/>
      <c r="AD182" s="600">
        <v>63</v>
      </c>
      <c r="AE182" s="599">
        <f>17+34</f>
        <v>51</v>
      </c>
      <c r="AF182" s="600"/>
      <c r="AG182" s="601"/>
      <c r="AH182" s="600">
        <v>38</v>
      </c>
      <c r="AI182" s="599">
        <f>13+24</f>
        <v>37</v>
      </c>
      <c r="AJ182" s="600"/>
      <c r="AK182" s="601"/>
      <c r="AL182" s="600">
        <v>2</v>
      </c>
      <c r="AM182" s="599">
        <v>26</v>
      </c>
      <c r="AN182" s="600"/>
      <c r="AO182" s="601"/>
      <c r="AP182" s="600">
        <v>22</v>
      </c>
      <c r="AQ182" s="599"/>
      <c r="AR182" s="600"/>
      <c r="AS182" s="601"/>
      <c r="AT182" s="600"/>
      <c r="AU182" s="599"/>
      <c r="AV182" s="600"/>
      <c r="AW182" s="601"/>
      <c r="AX182" s="600"/>
      <c r="AY182" s="599"/>
      <c r="AZ182" s="600"/>
      <c r="BA182" s="601"/>
      <c r="BB182" s="602">
        <v>34299980</v>
      </c>
      <c r="BC182" s="599">
        <f>29554796+8704819</f>
        <v>38259615</v>
      </c>
      <c r="BD182" s="600">
        <v>17685313</v>
      </c>
      <c r="BE182" s="599">
        <f>10875508+8033695</f>
        <v>18909203</v>
      </c>
      <c r="BF182" s="600">
        <v>17569699</v>
      </c>
      <c r="BG182" s="599">
        <f>8681062+9823461</f>
        <v>18504523</v>
      </c>
      <c r="BH182" s="600">
        <v>5637330</v>
      </c>
      <c r="BI182" s="599">
        <f>1836490+3029732</f>
        <v>4866222</v>
      </c>
      <c r="BJ182" s="600">
        <v>497707</v>
      </c>
      <c r="BK182" s="615">
        <f>687177+393870</f>
        <v>1081047</v>
      </c>
      <c r="BL182" s="600">
        <v>0</v>
      </c>
      <c r="BM182" s="604"/>
      <c r="BN182" s="605">
        <f t="shared" si="233"/>
        <v>3029</v>
      </c>
      <c r="BO182" s="606">
        <f t="shared" si="234"/>
        <v>3085</v>
      </c>
      <c r="BP182" s="607">
        <f t="shared" si="235"/>
        <v>2075</v>
      </c>
      <c r="BQ182" s="606">
        <f t="shared" si="236"/>
        <v>2214</v>
      </c>
      <c r="BR182" s="607">
        <f t="shared" si="237"/>
        <v>2580</v>
      </c>
      <c r="BS182" s="606">
        <f t="shared" si="238"/>
        <v>2613</v>
      </c>
      <c r="BT182" s="607">
        <f t="shared" si="239"/>
        <v>985</v>
      </c>
      <c r="BU182" s="606">
        <f t="shared" si="240"/>
        <v>866</v>
      </c>
      <c r="BV182" s="607">
        <f t="shared" si="241"/>
        <v>260</v>
      </c>
      <c r="BW182" s="608">
        <f t="shared" si="242"/>
        <v>234</v>
      </c>
      <c r="BX182" s="607">
        <f t="shared" si="243"/>
        <v>0</v>
      </c>
      <c r="BY182" s="608">
        <f t="shared" si="244"/>
        <v>0</v>
      </c>
      <c r="BZ182" s="607">
        <f t="shared" si="245"/>
        <v>11323.862660944205</v>
      </c>
      <c r="CA182" s="608">
        <f t="shared" si="246"/>
        <v>12401.820097244732</v>
      </c>
      <c r="CB182" s="607">
        <f t="shared" si="247"/>
        <v>8523.0424096385541</v>
      </c>
      <c r="CC182" s="608">
        <f t="shared" si="248"/>
        <v>8540.7420957542909</v>
      </c>
      <c r="CD182" s="607">
        <f t="shared" si="249"/>
        <v>6809.9608527131786</v>
      </c>
      <c r="CE182" s="608">
        <f t="shared" si="250"/>
        <v>7081.7156525066976</v>
      </c>
      <c r="CF182" s="607">
        <f t="shared" si="251"/>
        <v>5723.1776649746189</v>
      </c>
      <c r="CG182" s="608">
        <f t="shared" si="252"/>
        <v>5619.1939953810625</v>
      </c>
      <c r="CH182" s="607">
        <f t="shared" si="253"/>
        <v>1914.2576923076922</v>
      </c>
      <c r="CI182" s="608">
        <f t="shared" si="254"/>
        <v>4619.8589743589746</v>
      </c>
      <c r="CJ182" s="607">
        <f t="shared" si="255"/>
        <v>0</v>
      </c>
      <c r="CK182" s="608">
        <f t="shared" si="256"/>
        <v>0</v>
      </c>
      <c r="CL182" s="609">
        <f t="shared" si="257"/>
        <v>101914.76394849784</v>
      </c>
      <c r="CM182" s="608">
        <f t="shared" si="258"/>
        <v>111616.38087520259</v>
      </c>
      <c r="CN182" s="610">
        <f t="shared" si="259"/>
        <v>76707.381686746987</v>
      </c>
      <c r="CO182" s="606">
        <f t="shared" si="260"/>
        <v>76866.67886178862</v>
      </c>
      <c r="CP182" s="607">
        <f t="shared" si="261"/>
        <v>61289.647674418607</v>
      </c>
      <c r="CQ182" s="606">
        <f t="shared" si="262"/>
        <v>63735.440872560277</v>
      </c>
      <c r="CR182" s="607">
        <f t="shared" si="263"/>
        <v>51508.598984771568</v>
      </c>
      <c r="CS182" s="606">
        <f t="shared" si="264"/>
        <v>50572.745958429565</v>
      </c>
      <c r="CT182" s="607">
        <f t="shared" si="265"/>
        <v>17228.31923076923</v>
      </c>
      <c r="CU182" s="608">
        <f t="shared" si="266"/>
        <v>41578.730769230773</v>
      </c>
      <c r="CV182" s="610">
        <f t="shared" si="267"/>
        <v>0</v>
      </c>
      <c r="CW182" s="608">
        <f t="shared" si="268"/>
        <v>0</v>
      </c>
      <c r="CX182" s="610">
        <f t="shared" si="269"/>
        <v>76397.010170671405</v>
      </c>
      <c r="CY182" s="611">
        <f t="shared" si="270"/>
        <v>81454.137535582224</v>
      </c>
      <c r="CZ182" s="605">
        <f t="shared" si="271"/>
        <v>309</v>
      </c>
      <c r="DA182" s="612">
        <f t="shared" si="272"/>
        <v>321</v>
      </c>
      <c r="DB182" s="607">
        <f t="shared" si="273"/>
        <v>217</v>
      </c>
      <c r="DC182" s="606">
        <f t="shared" si="274"/>
        <v>230</v>
      </c>
      <c r="DD182" s="607">
        <f t="shared" si="275"/>
        <v>266</v>
      </c>
      <c r="DE182" s="606">
        <f t="shared" si="276"/>
        <v>275</v>
      </c>
      <c r="DF182" s="607">
        <f t="shared" si="277"/>
        <v>101</v>
      </c>
      <c r="DG182" s="606">
        <f t="shared" si="278"/>
        <v>88</v>
      </c>
      <c r="DH182" s="607">
        <f t="shared" si="279"/>
        <v>24</v>
      </c>
      <c r="DI182" s="608">
        <f t="shared" si="280"/>
        <v>26</v>
      </c>
      <c r="DJ182" s="607">
        <f t="shared" si="281"/>
        <v>0</v>
      </c>
      <c r="DK182" s="608">
        <f t="shared" si="282"/>
        <v>0</v>
      </c>
      <c r="DL182" s="607">
        <f t="shared" si="283"/>
        <v>917</v>
      </c>
      <c r="DM182" s="608">
        <f t="shared" si="284"/>
        <v>940</v>
      </c>
      <c r="DN182" s="607">
        <f t="shared" si="285"/>
        <v>31491662.060085833</v>
      </c>
      <c r="DO182" s="612">
        <f t="shared" si="286"/>
        <v>35828858.26094003</v>
      </c>
      <c r="DP182" s="607">
        <f t="shared" si="287"/>
        <v>16645501.826024096</v>
      </c>
      <c r="DQ182" s="606">
        <f t="shared" si="288"/>
        <v>17679336.138211381</v>
      </c>
      <c r="DR182" s="607">
        <f t="shared" si="289"/>
        <v>16303046.28139535</v>
      </c>
      <c r="DS182" s="606">
        <f t="shared" si="290"/>
        <v>17527246.239954077</v>
      </c>
      <c r="DT182" s="607">
        <f t="shared" si="291"/>
        <v>5202368.4974619281</v>
      </c>
      <c r="DU182" s="606">
        <f t="shared" si="292"/>
        <v>4450401.6443418013</v>
      </c>
      <c r="DV182" s="607">
        <f t="shared" si="293"/>
        <v>413479.66153846151</v>
      </c>
      <c r="DW182" s="608">
        <f t="shared" si="294"/>
        <v>1081047</v>
      </c>
      <c r="DX182" s="607">
        <f t="shared" si="295"/>
        <v>0</v>
      </c>
      <c r="DY182" s="608">
        <f t="shared" si="296"/>
        <v>0</v>
      </c>
      <c r="DZ182" s="607">
        <f t="shared" si="297"/>
        <v>70056058.326505676</v>
      </c>
      <c r="EA182" s="608">
        <f t="shared" si="298"/>
        <v>76566889.283447295</v>
      </c>
    </row>
    <row r="183" spans="1:131" x14ac:dyDescent="0.2">
      <c r="A183" s="341" t="s">
        <v>36</v>
      </c>
      <c r="B183" s="345" t="s">
        <v>720</v>
      </c>
      <c r="C183" s="554"/>
      <c r="D183" s="423">
        <v>156620</v>
      </c>
      <c r="E183" s="344">
        <v>3</v>
      </c>
      <c r="F183" s="598">
        <v>98</v>
      </c>
      <c r="G183" s="599">
        <f>78+55</f>
        <v>133</v>
      </c>
      <c r="H183" s="600"/>
      <c r="I183" s="601"/>
      <c r="J183" s="600">
        <v>24</v>
      </c>
      <c r="K183" s="599"/>
      <c r="L183" s="600"/>
      <c r="M183" s="601">
        <f>23+13</f>
        <v>36</v>
      </c>
      <c r="N183" s="600">
        <v>145</v>
      </c>
      <c r="O183" s="599">
        <f>88+86</f>
        <v>174</v>
      </c>
      <c r="P183" s="600"/>
      <c r="Q183" s="601"/>
      <c r="R183" s="600">
        <v>10</v>
      </c>
      <c r="S183" s="599"/>
      <c r="T183" s="600"/>
      <c r="U183" s="601">
        <v>12</v>
      </c>
      <c r="V183" s="600">
        <v>249</v>
      </c>
      <c r="W183" s="599">
        <f>79+120</f>
        <v>199</v>
      </c>
      <c r="X183" s="600"/>
      <c r="Y183" s="601"/>
      <c r="Z183" s="600">
        <v>7</v>
      </c>
      <c r="AA183" s="599"/>
      <c r="AB183" s="600"/>
      <c r="AC183" s="601">
        <v>5</v>
      </c>
      <c r="AD183" s="600">
        <v>65</v>
      </c>
      <c r="AE183" s="599">
        <f>11+16</f>
        <v>27</v>
      </c>
      <c r="AF183" s="600"/>
      <c r="AG183" s="601"/>
      <c r="AH183" s="600">
        <v>1</v>
      </c>
      <c r="AI183" s="599"/>
      <c r="AJ183" s="600"/>
      <c r="AK183" s="601"/>
      <c r="AL183" s="600">
        <v>55</v>
      </c>
      <c r="AM183" s="599">
        <f>21+3+27+22</f>
        <v>73</v>
      </c>
      <c r="AN183" s="600"/>
      <c r="AO183" s="601"/>
      <c r="AP183" s="600">
        <v>3</v>
      </c>
      <c r="AQ183" s="599"/>
      <c r="AR183" s="600"/>
      <c r="AS183" s="601"/>
      <c r="AT183" s="600"/>
      <c r="AU183" s="599"/>
      <c r="AV183" s="600"/>
      <c r="AW183" s="601"/>
      <c r="AX183" s="600"/>
      <c r="AY183" s="599"/>
      <c r="AZ183" s="600"/>
      <c r="BA183" s="601"/>
      <c r="BB183" s="602">
        <v>10295557</v>
      </c>
      <c r="BC183" s="599">
        <f>8688820+5184508</f>
        <v>13873328</v>
      </c>
      <c r="BD183" s="600">
        <v>10377262</v>
      </c>
      <c r="BE183" s="599">
        <f>5985962+5930364</f>
        <v>11916326</v>
      </c>
      <c r="BF183" s="600">
        <v>14218464</v>
      </c>
      <c r="BG183" s="599">
        <f>4560813+6598410</f>
        <v>11159223</v>
      </c>
      <c r="BH183" s="600">
        <v>3342053</v>
      </c>
      <c r="BI183" s="599">
        <f>622616+792505</f>
        <v>1415121</v>
      </c>
      <c r="BJ183" s="600">
        <v>2696433</v>
      </c>
      <c r="BK183" s="615">
        <f>979675+118773+1150547+1178670</f>
        <v>3427665</v>
      </c>
      <c r="BL183" s="600">
        <v>0</v>
      </c>
      <c r="BM183" s="604"/>
      <c r="BN183" s="605">
        <f t="shared" si="233"/>
        <v>1146</v>
      </c>
      <c r="BO183" s="606">
        <f t="shared" si="234"/>
        <v>1629</v>
      </c>
      <c r="BP183" s="607">
        <f t="shared" si="235"/>
        <v>1415</v>
      </c>
      <c r="BQ183" s="606">
        <f t="shared" si="236"/>
        <v>1710</v>
      </c>
      <c r="BR183" s="607">
        <f t="shared" si="237"/>
        <v>2318</v>
      </c>
      <c r="BS183" s="606">
        <f t="shared" si="238"/>
        <v>1851</v>
      </c>
      <c r="BT183" s="607">
        <f t="shared" si="239"/>
        <v>596</v>
      </c>
      <c r="BU183" s="606">
        <f t="shared" si="240"/>
        <v>243</v>
      </c>
      <c r="BV183" s="607">
        <f t="shared" si="241"/>
        <v>528</v>
      </c>
      <c r="BW183" s="608">
        <f t="shared" si="242"/>
        <v>657</v>
      </c>
      <c r="BX183" s="607">
        <f t="shared" si="243"/>
        <v>0</v>
      </c>
      <c r="BY183" s="608">
        <f t="shared" si="244"/>
        <v>0</v>
      </c>
      <c r="BZ183" s="607">
        <f t="shared" si="245"/>
        <v>8983.906631762653</v>
      </c>
      <c r="CA183" s="608">
        <f t="shared" si="246"/>
        <v>8516.4689993861266</v>
      </c>
      <c r="CB183" s="607">
        <f t="shared" si="247"/>
        <v>7333.7540636042404</v>
      </c>
      <c r="CC183" s="608">
        <f t="shared" si="248"/>
        <v>6968.6116959064329</v>
      </c>
      <c r="CD183" s="607">
        <f t="shared" si="249"/>
        <v>6133.9361518550477</v>
      </c>
      <c r="CE183" s="608">
        <f t="shared" si="250"/>
        <v>6028.7536466774718</v>
      </c>
      <c r="CF183" s="607">
        <f t="shared" si="251"/>
        <v>5607.4714765100671</v>
      </c>
      <c r="CG183" s="608">
        <f t="shared" si="252"/>
        <v>5823.5432098765432</v>
      </c>
      <c r="CH183" s="607">
        <f t="shared" si="253"/>
        <v>5106.880681818182</v>
      </c>
      <c r="CI183" s="608">
        <f t="shared" si="254"/>
        <v>5217.1461187214609</v>
      </c>
      <c r="CJ183" s="607">
        <f t="shared" si="255"/>
        <v>0</v>
      </c>
      <c r="CK183" s="608">
        <f t="shared" si="256"/>
        <v>0</v>
      </c>
      <c r="CL183" s="609">
        <f t="shared" si="257"/>
        <v>80855.15968586388</v>
      </c>
      <c r="CM183" s="608">
        <f t="shared" si="258"/>
        <v>76648.220994475138</v>
      </c>
      <c r="CN183" s="610">
        <f t="shared" si="259"/>
        <v>66003.78657243817</v>
      </c>
      <c r="CO183" s="606">
        <f t="shared" si="260"/>
        <v>62717.505263157895</v>
      </c>
      <c r="CP183" s="607">
        <f t="shared" si="261"/>
        <v>55205.425366695432</v>
      </c>
      <c r="CQ183" s="606">
        <f t="shared" si="262"/>
        <v>54258.782820097244</v>
      </c>
      <c r="CR183" s="607">
        <f t="shared" si="263"/>
        <v>50467.243288590602</v>
      </c>
      <c r="CS183" s="606">
        <f t="shared" si="264"/>
        <v>52411.888888888891</v>
      </c>
      <c r="CT183" s="607">
        <f t="shared" si="265"/>
        <v>45961.92613636364</v>
      </c>
      <c r="CU183" s="608">
        <f t="shared" si="266"/>
        <v>46954.315068493146</v>
      </c>
      <c r="CV183" s="610">
        <f t="shared" si="267"/>
        <v>0</v>
      </c>
      <c r="CW183" s="608">
        <f t="shared" si="268"/>
        <v>0</v>
      </c>
      <c r="CX183" s="610">
        <f t="shared" si="269"/>
        <v>61223.949874023463</v>
      </c>
      <c r="CY183" s="611">
        <f t="shared" si="270"/>
        <v>61503.160883632023</v>
      </c>
      <c r="CZ183" s="605">
        <f t="shared" si="271"/>
        <v>122</v>
      </c>
      <c r="DA183" s="612">
        <f t="shared" si="272"/>
        <v>169</v>
      </c>
      <c r="DB183" s="607">
        <f t="shared" si="273"/>
        <v>155</v>
      </c>
      <c r="DC183" s="606">
        <f t="shared" si="274"/>
        <v>186</v>
      </c>
      <c r="DD183" s="607">
        <f t="shared" si="275"/>
        <v>256</v>
      </c>
      <c r="DE183" s="606">
        <f t="shared" si="276"/>
        <v>204</v>
      </c>
      <c r="DF183" s="607">
        <f t="shared" si="277"/>
        <v>66</v>
      </c>
      <c r="DG183" s="606">
        <f t="shared" si="278"/>
        <v>27</v>
      </c>
      <c r="DH183" s="607">
        <f t="shared" si="279"/>
        <v>58</v>
      </c>
      <c r="DI183" s="608">
        <f t="shared" si="280"/>
        <v>73</v>
      </c>
      <c r="DJ183" s="607">
        <f t="shared" si="281"/>
        <v>0</v>
      </c>
      <c r="DK183" s="608">
        <f t="shared" si="282"/>
        <v>0</v>
      </c>
      <c r="DL183" s="607">
        <f t="shared" si="283"/>
        <v>657</v>
      </c>
      <c r="DM183" s="608">
        <f t="shared" si="284"/>
        <v>659</v>
      </c>
      <c r="DN183" s="607">
        <f t="shared" si="285"/>
        <v>9864329.4816753939</v>
      </c>
      <c r="DO183" s="612">
        <f t="shared" si="286"/>
        <v>12953549.348066298</v>
      </c>
      <c r="DP183" s="607">
        <f t="shared" si="287"/>
        <v>10230586.918727916</v>
      </c>
      <c r="DQ183" s="606">
        <f t="shared" si="288"/>
        <v>11665455.978947368</v>
      </c>
      <c r="DR183" s="607">
        <f t="shared" si="289"/>
        <v>14132588.893874031</v>
      </c>
      <c r="DS183" s="606">
        <f t="shared" si="290"/>
        <v>11068791.695299838</v>
      </c>
      <c r="DT183" s="607">
        <f t="shared" si="291"/>
        <v>3330838.0570469797</v>
      </c>
      <c r="DU183" s="606">
        <f t="shared" si="292"/>
        <v>1415121</v>
      </c>
      <c r="DV183" s="607">
        <f t="shared" si="293"/>
        <v>2665791.7159090913</v>
      </c>
      <c r="DW183" s="608">
        <f t="shared" si="294"/>
        <v>3427664.9999999995</v>
      </c>
      <c r="DX183" s="607">
        <f t="shared" si="295"/>
        <v>0</v>
      </c>
      <c r="DY183" s="608">
        <f t="shared" si="296"/>
        <v>0</v>
      </c>
      <c r="DZ183" s="607">
        <f t="shared" si="297"/>
        <v>40224135.067233413</v>
      </c>
      <c r="EA183" s="608">
        <f t="shared" si="298"/>
        <v>40530583.022313505</v>
      </c>
    </row>
    <row r="184" spans="1:131" x14ac:dyDescent="0.2">
      <c r="A184" s="341" t="s">
        <v>36</v>
      </c>
      <c r="B184" s="421" t="s">
        <v>721</v>
      </c>
      <c r="C184" s="554"/>
      <c r="D184" s="423">
        <v>157386</v>
      </c>
      <c r="E184" s="344">
        <v>3</v>
      </c>
      <c r="F184" s="598">
        <v>47</v>
      </c>
      <c r="G184" s="599">
        <f>34+20</f>
        <v>54</v>
      </c>
      <c r="H184" s="600"/>
      <c r="I184" s="601">
        <v>3</v>
      </c>
      <c r="J184" s="600">
        <v>14</v>
      </c>
      <c r="K184" s="599"/>
      <c r="L184" s="600"/>
      <c r="M184" s="601">
        <v>14</v>
      </c>
      <c r="N184" s="600">
        <v>148</v>
      </c>
      <c r="O184" s="599">
        <f>74+64</f>
        <v>138</v>
      </c>
      <c r="P184" s="600"/>
      <c r="Q184" s="601">
        <v>5</v>
      </c>
      <c r="R184" s="600">
        <v>8</v>
      </c>
      <c r="S184" s="599"/>
      <c r="T184" s="600"/>
      <c r="U184" s="601">
        <v>8</v>
      </c>
      <c r="V184" s="600">
        <v>81</v>
      </c>
      <c r="W184" s="599">
        <f>32+40</f>
        <v>72</v>
      </c>
      <c r="X184" s="600"/>
      <c r="Y184" s="601">
        <v>3</v>
      </c>
      <c r="Z184" s="600">
        <v>4</v>
      </c>
      <c r="AA184" s="599">
        <v>1</v>
      </c>
      <c r="AB184" s="600"/>
      <c r="AC184" s="601">
        <v>2</v>
      </c>
      <c r="AD184" s="600">
        <v>76</v>
      </c>
      <c r="AE184" s="599">
        <f>28+38</f>
        <v>66</v>
      </c>
      <c r="AF184" s="600"/>
      <c r="AG184" s="601">
        <v>1</v>
      </c>
      <c r="AH184" s="600">
        <v>3</v>
      </c>
      <c r="AI184" s="599"/>
      <c r="AJ184" s="600"/>
      <c r="AK184" s="601">
        <v>3</v>
      </c>
      <c r="AL184" s="600"/>
      <c r="AM184" s="599"/>
      <c r="AN184" s="600"/>
      <c r="AO184" s="601"/>
      <c r="AP184" s="600"/>
      <c r="AQ184" s="599"/>
      <c r="AR184" s="600"/>
      <c r="AS184" s="601"/>
      <c r="AT184" s="600"/>
      <c r="AU184" s="599"/>
      <c r="AV184" s="600"/>
      <c r="AW184" s="601"/>
      <c r="AX184" s="600"/>
      <c r="AY184" s="599"/>
      <c r="AZ184" s="600"/>
      <c r="BA184" s="601"/>
      <c r="BB184" s="602">
        <v>4593065</v>
      </c>
      <c r="BC184" s="599">
        <f>3928715+1576144</f>
        <v>5504859</v>
      </c>
      <c r="BD184" s="600">
        <v>9540848</v>
      </c>
      <c r="BE184" s="599">
        <f>5031217+4216686</f>
        <v>9247903</v>
      </c>
      <c r="BF184" s="600">
        <v>4431103</v>
      </c>
      <c r="BG184" s="599">
        <f>1731681+2313603</f>
        <v>4045284</v>
      </c>
      <c r="BH184" s="600">
        <v>3058667</v>
      </c>
      <c r="BI184" s="599">
        <f>1048891+1629144</f>
        <v>2678035</v>
      </c>
      <c r="BJ184" s="600">
        <v>0</v>
      </c>
      <c r="BK184" s="615"/>
      <c r="BL184" s="600">
        <v>0</v>
      </c>
      <c r="BM184" s="604"/>
      <c r="BN184" s="605">
        <f t="shared" si="233"/>
        <v>577</v>
      </c>
      <c r="BO184" s="606">
        <f t="shared" si="234"/>
        <v>684</v>
      </c>
      <c r="BP184" s="607">
        <f t="shared" si="235"/>
        <v>1420</v>
      </c>
      <c r="BQ184" s="606">
        <f t="shared" si="236"/>
        <v>1388</v>
      </c>
      <c r="BR184" s="607">
        <f t="shared" si="237"/>
        <v>773</v>
      </c>
      <c r="BS184" s="606">
        <f t="shared" si="238"/>
        <v>713</v>
      </c>
      <c r="BT184" s="607">
        <f t="shared" si="239"/>
        <v>717</v>
      </c>
      <c r="BU184" s="606">
        <f t="shared" si="240"/>
        <v>640</v>
      </c>
      <c r="BV184" s="607">
        <f t="shared" si="241"/>
        <v>0</v>
      </c>
      <c r="BW184" s="608">
        <f t="shared" si="242"/>
        <v>0</v>
      </c>
      <c r="BX184" s="607">
        <f t="shared" si="243"/>
        <v>0</v>
      </c>
      <c r="BY184" s="608">
        <f t="shared" si="244"/>
        <v>0</v>
      </c>
      <c r="BZ184" s="607">
        <f t="shared" si="245"/>
        <v>7960.2512998266902</v>
      </c>
      <c r="CA184" s="608">
        <f t="shared" si="246"/>
        <v>8048.0394736842109</v>
      </c>
      <c r="CB184" s="607">
        <f t="shared" si="247"/>
        <v>6718.9070422535215</v>
      </c>
      <c r="CC184" s="608">
        <f t="shared" si="248"/>
        <v>6662.754322766571</v>
      </c>
      <c r="CD184" s="607">
        <f t="shared" si="249"/>
        <v>5732.3454075032341</v>
      </c>
      <c r="CE184" s="608">
        <f t="shared" si="250"/>
        <v>5673.6100981767177</v>
      </c>
      <c r="CF184" s="607">
        <f t="shared" si="251"/>
        <v>4265.9232914923296</v>
      </c>
      <c r="CG184" s="608">
        <f t="shared" si="252"/>
        <v>4184.4296875</v>
      </c>
      <c r="CH184" s="607">
        <f t="shared" si="253"/>
        <v>0</v>
      </c>
      <c r="CI184" s="608">
        <f t="shared" si="254"/>
        <v>0</v>
      </c>
      <c r="CJ184" s="607">
        <f t="shared" si="255"/>
        <v>0</v>
      </c>
      <c r="CK184" s="608">
        <f t="shared" si="256"/>
        <v>0</v>
      </c>
      <c r="CL184" s="609">
        <f t="shared" si="257"/>
        <v>71642.261698440212</v>
      </c>
      <c r="CM184" s="608">
        <f t="shared" si="258"/>
        <v>72432.355263157893</v>
      </c>
      <c r="CN184" s="610">
        <f t="shared" si="259"/>
        <v>60470.163380281694</v>
      </c>
      <c r="CO184" s="606">
        <f t="shared" si="260"/>
        <v>59964.788904899142</v>
      </c>
      <c r="CP184" s="607">
        <f t="shared" si="261"/>
        <v>51591.108667529108</v>
      </c>
      <c r="CQ184" s="606">
        <f t="shared" si="262"/>
        <v>51062.490883590457</v>
      </c>
      <c r="CR184" s="607">
        <f t="shared" si="263"/>
        <v>38393.309623430963</v>
      </c>
      <c r="CS184" s="606">
        <f t="shared" si="264"/>
        <v>37659.8671875</v>
      </c>
      <c r="CT184" s="607">
        <f t="shared" si="265"/>
        <v>0</v>
      </c>
      <c r="CU184" s="608">
        <f t="shared" si="266"/>
        <v>0</v>
      </c>
      <c r="CV184" s="610">
        <f t="shared" si="267"/>
        <v>0</v>
      </c>
      <c r="CW184" s="608">
        <f t="shared" si="268"/>
        <v>0</v>
      </c>
      <c r="CX184" s="610">
        <f t="shared" si="269"/>
        <v>55700.365217637307</v>
      </c>
      <c r="CY184" s="611">
        <f t="shared" si="270"/>
        <v>56260.66308207847</v>
      </c>
      <c r="CZ184" s="605">
        <f t="shared" si="271"/>
        <v>61</v>
      </c>
      <c r="DA184" s="612">
        <f t="shared" si="272"/>
        <v>71</v>
      </c>
      <c r="DB184" s="607">
        <f t="shared" si="273"/>
        <v>156</v>
      </c>
      <c r="DC184" s="606">
        <f t="shared" si="274"/>
        <v>151</v>
      </c>
      <c r="DD184" s="607">
        <f t="shared" si="275"/>
        <v>85</v>
      </c>
      <c r="DE184" s="606">
        <f t="shared" si="276"/>
        <v>78</v>
      </c>
      <c r="DF184" s="607">
        <f t="shared" si="277"/>
        <v>79</v>
      </c>
      <c r="DG184" s="606">
        <f t="shared" si="278"/>
        <v>70</v>
      </c>
      <c r="DH184" s="607">
        <f t="shared" si="279"/>
        <v>0</v>
      </c>
      <c r="DI184" s="608">
        <f t="shared" si="280"/>
        <v>0</v>
      </c>
      <c r="DJ184" s="607">
        <f t="shared" si="281"/>
        <v>0</v>
      </c>
      <c r="DK184" s="608">
        <f t="shared" si="282"/>
        <v>0</v>
      </c>
      <c r="DL184" s="607">
        <f t="shared" si="283"/>
        <v>381</v>
      </c>
      <c r="DM184" s="608">
        <f t="shared" si="284"/>
        <v>370</v>
      </c>
      <c r="DN184" s="607">
        <f t="shared" si="285"/>
        <v>4370177.9636048526</v>
      </c>
      <c r="DO184" s="612">
        <f t="shared" si="286"/>
        <v>5142697.2236842103</v>
      </c>
      <c r="DP184" s="607">
        <f t="shared" si="287"/>
        <v>9433345.4873239435</v>
      </c>
      <c r="DQ184" s="606">
        <f t="shared" si="288"/>
        <v>9054683.12463977</v>
      </c>
      <c r="DR184" s="607">
        <f t="shared" si="289"/>
        <v>4385244.2367399745</v>
      </c>
      <c r="DS184" s="606">
        <f t="shared" si="290"/>
        <v>3982874.2889200556</v>
      </c>
      <c r="DT184" s="607">
        <f t="shared" si="291"/>
        <v>3033071.4602510459</v>
      </c>
      <c r="DU184" s="606">
        <f t="shared" si="292"/>
        <v>2636190.703125</v>
      </c>
      <c r="DV184" s="607">
        <f t="shared" si="293"/>
        <v>0</v>
      </c>
      <c r="DW184" s="608">
        <f t="shared" si="294"/>
        <v>0</v>
      </c>
      <c r="DX184" s="607">
        <f t="shared" si="295"/>
        <v>0</v>
      </c>
      <c r="DY184" s="608">
        <f t="shared" si="296"/>
        <v>0</v>
      </c>
      <c r="DZ184" s="607">
        <f t="shared" si="297"/>
        <v>21221839.147919815</v>
      </c>
      <c r="EA184" s="608">
        <f t="shared" si="298"/>
        <v>20816445.340369035</v>
      </c>
    </row>
    <row r="185" spans="1:131" x14ac:dyDescent="0.2">
      <c r="A185" s="341" t="s">
        <v>36</v>
      </c>
      <c r="B185" s="345" t="s">
        <v>722</v>
      </c>
      <c r="C185" s="554"/>
      <c r="D185" s="423">
        <v>157401</v>
      </c>
      <c r="E185" s="344">
        <v>3</v>
      </c>
      <c r="F185" s="598">
        <v>87</v>
      </c>
      <c r="G185" s="599">
        <f>58+26</f>
        <v>84</v>
      </c>
      <c r="H185" s="600"/>
      <c r="I185" s="601"/>
      <c r="J185" s="600">
        <v>26</v>
      </c>
      <c r="K185" s="599"/>
      <c r="L185" s="600"/>
      <c r="M185" s="601">
        <v>26</v>
      </c>
      <c r="N185" s="600">
        <v>73</v>
      </c>
      <c r="O185" s="599">
        <f>48+33</f>
        <v>81</v>
      </c>
      <c r="P185" s="600"/>
      <c r="Q185" s="601"/>
      <c r="R185" s="600">
        <v>13</v>
      </c>
      <c r="S185" s="599"/>
      <c r="T185" s="600"/>
      <c r="U185" s="601">
        <v>14</v>
      </c>
      <c r="V185" s="600">
        <v>138</v>
      </c>
      <c r="W185" s="599">
        <f>74+59</f>
        <v>133</v>
      </c>
      <c r="X185" s="600"/>
      <c r="Y185" s="601"/>
      <c r="Z185" s="600">
        <v>1</v>
      </c>
      <c r="AA185" s="599"/>
      <c r="AB185" s="600"/>
      <c r="AC185" s="601">
        <v>1</v>
      </c>
      <c r="AD185" s="600">
        <v>1</v>
      </c>
      <c r="AE185" s="599"/>
      <c r="AF185" s="600"/>
      <c r="AG185" s="601"/>
      <c r="AH185" s="600"/>
      <c r="AI185" s="599"/>
      <c r="AJ185" s="600"/>
      <c r="AK185" s="601"/>
      <c r="AL185" s="600">
        <v>67</v>
      </c>
      <c r="AM185" s="599">
        <f>31+36</f>
        <v>67</v>
      </c>
      <c r="AN185" s="600"/>
      <c r="AO185" s="601"/>
      <c r="AP185" s="600">
        <v>15</v>
      </c>
      <c r="AQ185" s="599"/>
      <c r="AR185" s="600"/>
      <c r="AS185" s="601">
        <v>17</v>
      </c>
      <c r="AT185" s="600"/>
      <c r="AU185" s="599"/>
      <c r="AV185" s="600"/>
      <c r="AW185" s="601"/>
      <c r="AX185" s="600"/>
      <c r="AY185" s="599"/>
      <c r="AZ185" s="600"/>
      <c r="BA185" s="601"/>
      <c r="BB185" s="602">
        <v>9991623</v>
      </c>
      <c r="BC185" s="599">
        <f>7315102+2373424</f>
        <v>9688526</v>
      </c>
      <c r="BD185" s="600">
        <v>5853873</v>
      </c>
      <c r="BE185" s="599">
        <f>4063191+2342493</f>
        <v>6405684</v>
      </c>
      <c r="BF185" s="600">
        <v>7607968</v>
      </c>
      <c r="BG185" s="599">
        <f>4129570+3257005</f>
        <v>7386575</v>
      </c>
      <c r="BH185" s="600">
        <v>45000</v>
      </c>
      <c r="BI185" s="599"/>
      <c r="BJ185" s="600">
        <v>3844502</v>
      </c>
      <c r="BK185" s="615">
        <f>1872982+2177008</f>
        <v>4049990</v>
      </c>
      <c r="BL185" s="600">
        <v>0</v>
      </c>
      <c r="BM185" s="604"/>
      <c r="BN185" s="605">
        <f t="shared" si="233"/>
        <v>1069</v>
      </c>
      <c r="BO185" s="606">
        <f t="shared" si="234"/>
        <v>1068</v>
      </c>
      <c r="BP185" s="607">
        <f t="shared" si="235"/>
        <v>800</v>
      </c>
      <c r="BQ185" s="606">
        <f t="shared" si="236"/>
        <v>897</v>
      </c>
      <c r="BR185" s="607">
        <f t="shared" si="237"/>
        <v>1253</v>
      </c>
      <c r="BS185" s="606">
        <f t="shared" si="238"/>
        <v>1209</v>
      </c>
      <c r="BT185" s="607">
        <f t="shared" si="239"/>
        <v>9</v>
      </c>
      <c r="BU185" s="606">
        <f t="shared" si="240"/>
        <v>0</v>
      </c>
      <c r="BV185" s="607">
        <f t="shared" si="241"/>
        <v>768</v>
      </c>
      <c r="BW185" s="608">
        <f t="shared" si="242"/>
        <v>807</v>
      </c>
      <c r="BX185" s="607">
        <f t="shared" si="243"/>
        <v>0</v>
      </c>
      <c r="BY185" s="608">
        <f t="shared" si="244"/>
        <v>0</v>
      </c>
      <c r="BZ185" s="607">
        <f t="shared" si="245"/>
        <v>9346.7006548175868</v>
      </c>
      <c r="CA185" s="608">
        <f t="shared" si="246"/>
        <v>9071.6535580524342</v>
      </c>
      <c r="CB185" s="607">
        <f t="shared" si="247"/>
        <v>7317.3412500000004</v>
      </c>
      <c r="CC185" s="608">
        <f t="shared" si="248"/>
        <v>7141.2307692307695</v>
      </c>
      <c r="CD185" s="607">
        <f t="shared" si="249"/>
        <v>6071.8020750199521</v>
      </c>
      <c r="CE185" s="608">
        <f t="shared" si="250"/>
        <v>6109.6567411083543</v>
      </c>
      <c r="CF185" s="607">
        <f t="shared" si="251"/>
        <v>5000</v>
      </c>
      <c r="CG185" s="608">
        <f t="shared" si="252"/>
        <v>0</v>
      </c>
      <c r="CH185" s="607">
        <f t="shared" si="253"/>
        <v>5005.861979166667</v>
      </c>
      <c r="CI185" s="608">
        <f t="shared" si="254"/>
        <v>5018.574969021066</v>
      </c>
      <c r="CJ185" s="607">
        <f t="shared" si="255"/>
        <v>0</v>
      </c>
      <c r="CK185" s="608">
        <f t="shared" si="256"/>
        <v>0</v>
      </c>
      <c r="CL185" s="609">
        <f t="shared" si="257"/>
        <v>84120.30589335828</v>
      </c>
      <c r="CM185" s="608">
        <f t="shared" si="258"/>
        <v>81644.882022471909</v>
      </c>
      <c r="CN185" s="610">
        <f t="shared" si="259"/>
        <v>65856.071250000008</v>
      </c>
      <c r="CO185" s="606">
        <f t="shared" si="260"/>
        <v>64271.076923076922</v>
      </c>
      <c r="CP185" s="607">
        <f t="shared" si="261"/>
        <v>54646.218675179567</v>
      </c>
      <c r="CQ185" s="606">
        <f t="shared" si="262"/>
        <v>54986.910669975186</v>
      </c>
      <c r="CR185" s="607">
        <f t="shared" si="263"/>
        <v>45000</v>
      </c>
      <c r="CS185" s="606">
        <f t="shared" si="264"/>
        <v>0</v>
      </c>
      <c r="CT185" s="607">
        <f t="shared" si="265"/>
        <v>45052.7578125</v>
      </c>
      <c r="CU185" s="608">
        <f t="shared" si="266"/>
        <v>45167.174721189593</v>
      </c>
      <c r="CV185" s="610">
        <f t="shared" si="267"/>
        <v>0</v>
      </c>
      <c r="CW185" s="608">
        <f t="shared" si="268"/>
        <v>0</v>
      </c>
      <c r="CX185" s="610">
        <f t="shared" si="269"/>
        <v>62955.741638775413</v>
      </c>
      <c r="CY185" s="611">
        <f t="shared" si="270"/>
        <v>62054.321599340001</v>
      </c>
      <c r="CZ185" s="605">
        <f t="shared" si="271"/>
        <v>113</v>
      </c>
      <c r="DA185" s="612">
        <f t="shared" si="272"/>
        <v>110</v>
      </c>
      <c r="DB185" s="607">
        <f t="shared" si="273"/>
        <v>86</v>
      </c>
      <c r="DC185" s="606">
        <f t="shared" si="274"/>
        <v>95</v>
      </c>
      <c r="DD185" s="607">
        <f t="shared" si="275"/>
        <v>139</v>
      </c>
      <c r="DE185" s="606">
        <f t="shared" si="276"/>
        <v>134</v>
      </c>
      <c r="DF185" s="607">
        <f t="shared" si="277"/>
        <v>1</v>
      </c>
      <c r="DG185" s="606">
        <f t="shared" si="278"/>
        <v>0</v>
      </c>
      <c r="DH185" s="607">
        <f t="shared" si="279"/>
        <v>82</v>
      </c>
      <c r="DI185" s="608">
        <f t="shared" si="280"/>
        <v>84</v>
      </c>
      <c r="DJ185" s="607">
        <f t="shared" si="281"/>
        <v>0</v>
      </c>
      <c r="DK185" s="608">
        <f t="shared" si="282"/>
        <v>0</v>
      </c>
      <c r="DL185" s="607">
        <f t="shared" si="283"/>
        <v>421</v>
      </c>
      <c r="DM185" s="608">
        <f t="shared" si="284"/>
        <v>423</v>
      </c>
      <c r="DN185" s="607">
        <f t="shared" si="285"/>
        <v>9505594.5659494847</v>
      </c>
      <c r="DO185" s="612">
        <f t="shared" si="286"/>
        <v>8980937.0224719103</v>
      </c>
      <c r="DP185" s="607">
        <f t="shared" si="287"/>
        <v>5663622.1275000004</v>
      </c>
      <c r="DQ185" s="606">
        <f t="shared" si="288"/>
        <v>6105752.307692308</v>
      </c>
      <c r="DR185" s="607">
        <f t="shared" si="289"/>
        <v>7595824.3958499599</v>
      </c>
      <c r="DS185" s="606">
        <f t="shared" si="290"/>
        <v>7368246.0297766747</v>
      </c>
      <c r="DT185" s="607">
        <f t="shared" si="291"/>
        <v>45000</v>
      </c>
      <c r="DU185" s="606">
        <f t="shared" si="292"/>
        <v>0</v>
      </c>
      <c r="DV185" s="607">
        <f t="shared" si="293"/>
        <v>3694326.140625</v>
      </c>
      <c r="DW185" s="608">
        <f t="shared" si="294"/>
        <v>3794042.6765799257</v>
      </c>
      <c r="DX185" s="607">
        <f t="shared" si="295"/>
        <v>0</v>
      </c>
      <c r="DY185" s="608">
        <f t="shared" si="296"/>
        <v>0</v>
      </c>
      <c r="DZ185" s="607">
        <f t="shared" si="297"/>
        <v>26504367.229924448</v>
      </c>
      <c r="EA185" s="608">
        <f t="shared" si="298"/>
        <v>26248978.03652082</v>
      </c>
    </row>
    <row r="186" spans="1:131" x14ac:dyDescent="0.2">
      <c r="A186" s="341" t="s">
        <v>36</v>
      </c>
      <c r="B186" s="345" t="s">
        <v>723</v>
      </c>
      <c r="C186" s="554"/>
      <c r="D186" s="423">
        <v>157951</v>
      </c>
      <c r="E186" s="344">
        <v>3</v>
      </c>
      <c r="F186" s="598">
        <v>133</v>
      </c>
      <c r="G186" s="599">
        <f>85+37</f>
        <v>122</v>
      </c>
      <c r="H186" s="600"/>
      <c r="I186" s="601">
        <v>1</v>
      </c>
      <c r="J186" s="600">
        <v>26</v>
      </c>
      <c r="K186" s="599"/>
      <c r="L186" s="600"/>
      <c r="M186" s="601">
        <v>23</v>
      </c>
      <c r="N186" s="600">
        <v>194</v>
      </c>
      <c r="O186" s="599">
        <f>121+86</f>
        <v>207</v>
      </c>
      <c r="P186" s="600"/>
      <c r="Q186" s="601">
        <v>1</v>
      </c>
      <c r="R186" s="600">
        <v>17</v>
      </c>
      <c r="S186" s="599">
        <v>1</v>
      </c>
      <c r="T186" s="600"/>
      <c r="U186" s="601">
        <v>16</v>
      </c>
      <c r="V186" s="600">
        <v>218</v>
      </c>
      <c r="W186" s="599">
        <f>92+123</f>
        <v>215</v>
      </c>
      <c r="X186" s="600"/>
      <c r="Y186" s="601"/>
      <c r="Z186" s="600">
        <v>5</v>
      </c>
      <c r="AA186" s="599"/>
      <c r="AB186" s="600"/>
      <c r="AC186" s="601">
        <v>6</v>
      </c>
      <c r="AD186" s="600">
        <v>149</v>
      </c>
      <c r="AE186" s="599">
        <f>45+103</f>
        <v>148</v>
      </c>
      <c r="AF186" s="600"/>
      <c r="AG186" s="601">
        <v>9</v>
      </c>
      <c r="AH186" s="600">
        <v>3</v>
      </c>
      <c r="AI186" s="599"/>
      <c r="AJ186" s="600"/>
      <c r="AK186" s="601">
        <v>2</v>
      </c>
      <c r="AL186" s="600">
        <v>18</v>
      </c>
      <c r="AM186" s="599">
        <v>24</v>
      </c>
      <c r="AN186" s="600"/>
      <c r="AO186" s="601"/>
      <c r="AP186" s="600"/>
      <c r="AQ186" s="599"/>
      <c r="AR186" s="600"/>
      <c r="AS186" s="601">
        <v>1</v>
      </c>
      <c r="AT186" s="600"/>
      <c r="AU186" s="599"/>
      <c r="AV186" s="600"/>
      <c r="AW186" s="601"/>
      <c r="AX186" s="600"/>
      <c r="AY186" s="599"/>
      <c r="AZ186" s="600"/>
      <c r="BA186" s="601"/>
      <c r="BB186" s="602">
        <v>14059516</v>
      </c>
      <c r="BC186" s="599">
        <f>9166553+3902904</f>
        <v>13069457</v>
      </c>
      <c r="BD186" s="600">
        <v>14210274</v>
      </c>
      <c r="BE186" s="599">
        <f>9314664+6176429</f>
        <v>15491093</v>
      </c>
      <c r="BF186" s="600">
        <v>12176964</v>
      </c>
      <c r="BG186" s="599">
        <f>5560740+6612864</f>
        <v>12173604</v>
      </c>
      <c r="BH186" s="600">
        <v>6337103</v>
      </c>
      <c r="BI186" s="599">
        <f>2052293+4676308</f>
        <v>6728601</v>
      </c>
      <c r="BJ186" s="600">
        <v>1016052</v>
      </c>
      <c r="BK186" s="615">
        <f>731856+700170</f>
        <v>1432026</v>
      </c>
      <c r="BL186" s="600">
        <v>0</v>
      </c>
      <c r="BM186" s="604"/>
      <c r="BN186" s="605">
        <f t="shared" si="233"/>
        <v>1483</v>
      </c>
      <c r="BO186" s="606">
        <f t="shared" si="234"/>
        <v>1384</v>
      </c>
      <c r="BP186" s="607">
        <f t="shared" si="235"/>
        <v>1933</v>
      </c>
      <c r="BQ186" s="606">
        <f t="shared" si="236"/>
        <v>2076</v>
      </c>
      <c r="BR186" s="607">
        <f t="shared" si="237"/>
        <v>2017</v>
      </c>
      <c r="BS186" s="606">
        <f t="shared" si="238"/>
        <v>2007</v>
      </c>
      <c r="BT186" s="607">
        <f t="shared" si="239"/>
        <v>1374</v>
      </c>
      <c r="BU186" s="606">
        <f t="shared" si="240"/>
        <v>1446</v>
      </c>
      <c r="BV186" s="607">
        <f t="shared" si="241"/>
        <v>162</v>
      </c>
      <c r="BW186" s="608">
        <f t="shared" si="242"/>
        <v>228</v>
      </c>
      <c r="BX186" s="607">
        <f t="shared" si="243"/>
        <v>0</v>
      </c>
      <c r="BY186" s="608">
        <f t="shared" si="244"/>
        <v>0</v>
      </c>
      <c r="BZ186" s="607">
        <f t="shared" si="245"/>
        <v>9480.4558327714094</v>
      </c>
      <c r="CA186" s="608">
        <f t="shared" si="246"/>
        <v>9443.2492774566472</v>
      </c>
      <c r="CB186" s="607">
        <f t="shared" si="247"/>
        <v>7351.4092084842214</v>
      </c>
      <c r="CC186" s="608">
        <f t="shared" si="248"/>
        <v>7461.9908477842</v>
      </c>
      <c r="CD186" s="607">
        <f t="shared" si="249"/>
        <v>6037.1660882498763</v>
      </c>
      <c r="CE186" s="608">
        <f t="shared" si="250"/>
        <v>6065.5724962630793</v>
      </c>
      <c r="CF186" s="607">
        <f t="shared" si="251"/>
        <v>4612.1564774381368</v>
      </c>
      <c r="CG186" s="608">
        <f t="shared" si="252"/>
        <v>4653.2510373443984</v>
      </c>
      <c r="CH186" s="607">
        <f t="shared" si="253"/>
        <v>6271.9259259259261</v>
      </c>
      <c r="CI186" s="608">
        <f t="shared" si="254"/>
        <v>6280.8157894736842</v>
      </c>
      <c r="CJ186" s="607">
        <f t="shared" si="255"/>
        <v>0</v>
      </c>
      <c r="CK186" s="608">
        <f t="shared" si="256"/>
        <v>0</v>
      </c>
      <c r="CL186" s="609">
        <f t="shared" si="257"/>
        <v>85324.102494942679</v>
      </c>
      <c r="CM186" s="608">
        <f t="shared" si="258"/>
        <v>84989.243497109826</v>
      </c>
      <c r="CN186" s="610">
        <f t="shared" si="259"/>
        <v>66162.682876357998</v>
      </c>
      <c r="CO186" s="606">
        <f t="shared" si="260"/>
        <v>67157.917630057796</v>
      </c>
      <c r="CP186" s="607">
        <f t="shared" si="261"/>
        <v>54334.494794248887</v>
      </c>
      <c r="CQ186" s="606">
        <f t="shared" si="262"/>
        <v>54590.152466367712</v>
      </c>
      <c r="CR186" s="607">
        <f t="shared" si="263"/>
        <v>41509.408296943235</v>
      </c>
      <c r="CS186" s="606">
        <f t="shared" si="264"/>
        <v>41879.259336099582</v>
      </c>
      <c r="CT186" s="607">
        <f t="shared" si="265"/>
        <v>56447.333333333336</v>
      </c>
      <c r="CU186" s="608">
        <f t="shared" si="266"/>
        <v>56527.34210526316</v>
      </c>
      <c r="CV186" s="610">
        <f t="shared" si="267"/>
        <v>0</v>
      </c>
      <c r="CW186" s="608">
        <f t="shared" si="268"/>
        <v>0</v>
      </c>
      <c r="CX186" s="610">
        <f t="shared" si="269"/>
        <v>61558.234316985981</v>
      </c>
      <c r="CY186" s="611">
        <f t="shared" si="270"/>
        <v>61411.559922009947</v>
      </c>
      <c r="CZ186" s="605">
        <f t="shared" si="271"/>
        <v>159</v>
      </c>
      <c r="DA186" s="612">
        <f t="shared" si="272"/>
        <v>146</v>
      </c>
      <c r="DB186" s="607">
        <f t="shared" si="273"/>
        <v>211</v>
      </c>
      <c r="DC186" s="606">
        <f t="shared" si="274"/>
        <v>225</v>
      </c>
      <c r="DD186" s="607">
        <f t="shared" si="275"/>
        <v>223</v>
      </c>
      <c r="DE186" s="606">
        <f t="shared" si="276"/>
        <v>221</v>
      </c>
      <c r="DF186" s="607">
        <f t="shared" si="277"/>
        <v>152</v>
      </c>
      <c r="DG186" s="606">
        <f t="shared" si="278"/>
        <v>159</v>
      </c>
      <c r="DH186" s="607">
        <f t="shared" si="279"/>
        <v>18</v>
      </c>
      <c r="DI186" s="608">
        <f t="shared" si="280"/>
        <v>25</v>
      </c>
      <c r="DJ186" s="607">
        <f t="shared" si="281"/>
        <v>0</v>
      </c>
      <c r="DK186" s="608">
        <f t="shared" si="282"/>
        <v>0</v>
      </c>
      <c r="DL186" s="607">
        <f t="shared" si="283"/>
        <v>763</v>
      </c>
      <c r="DM186" s="608">
        <f t="shared" si="284"/>
        <v>776</v>
      </c>
      <c r="DN186" s="607">
        <f t="shared" si="285"/>
        <v>13566532.296695886</v>
      </c>
      <c r="DO186" s="612">
        <f t="shared" si="286"/>
        <v>12408429.550578035</v>
      </c>
      <c r="DP186" s="607">
        <f t="shared" si="287"/>
        <v>13960326.086911537</v>
      </c>
      <c r="DQ186" s="606">
        <f t="shared" si="288"/>
        <v>15110531.466763005</v>
      </c>
      <c r="DR186" s="607">
        <f t="shared" si="289"/>
        <v>12116592.339117501</v>
      </c>
      <c r="DS186" s="606">
        <f t="shared" si="290"/>
        <v>12064423.695067264</v>
      </c>
      <c r="DT186" s="607">
        <f t="shared" si="291"/>
        <v>6309430.0611353721</v>
      </c>
      <c r="DU186" s="606">
        <f t="shared" si="292"/>
        <v>6658802.2344398331</v>
      </c>
      <c r="DV186" s="607">
        <f t="shared" si="293"/>
        <v>1016052</v>
      </c>
      <c r="DW186" s="608">
        <f t="shared" si="294"/>
        <v>1413183.5526315791</v>
      </c>
      <c r="DX186" s="607">
        <f t="shared" si="295"/>
        <v>0</v>
      </c>
      <c r="DY186" s="608">
        <f t="shared" si="296"/>
        <v>0</v>
      </c>
      <c r="DZ186" s="607">
        <f t="shared" si="297"/>
        <v>46968932.783860303</v>
      </c>
      <c r="EA186" s="608">
        <f t="shared" si="298"/>
        <v>47655370.499479719</v>
      </c>
    </row>
    <row r="187" spans="1:131" x14ac:dyDescent="0.2">
      <c r="A187" s="341" t="s">
        <v>36</v>
      </c>
      <c r="B187" s="421" t="s">
        <v>724</v>
      </c>
      <c r="C187" s="554"/>
      <c r="D187" s="423">
        <v>157058</v>
      </c>
      <c r="E187" s="344">
        <v>4</v>
      </c>
      <c r="F187" s="598">
        <v>20</v>
      </c>
      <c r="G187" s="599">
        <v>22</v>
      </c>
      <c r="H187" s="600"/>
      <c r="I187" s="601"/>
      <c r="J187" s="600">
        <v>3</v>
      </c>
      <c r="K187" s="599"/>
      <c r="L187" s="600"/>
      <c r="M187" s="601">
        <v>2</v>
      </c>
      <c r="N187" s="600">
        <v>41</v>
      </c>
      <c r="O187" s="599">
        <f>24+15</f>
        <v>39</v>
      </c>
      <c r="P187" s="600"/>
      <c r="Q187" s="601"/>
      <c r="R187" s="600">
        <v>5</v>
      </c>
      <c r="S187" s="599"/>
      <c r="T187" s="600"/>
      <c r="U187" s="601">
        <v>4</v>
      </c>
      <c r="V187" s="600">
        <v>47</v>
      </c>
      <c r="W187" s="599">
        <f>24+21</f>
        <v>45</v>
      </c>
      <c r="X187" s="600"/>
      <c r="Y187" s="601"/>
      <c r="Z187" s="600">
        <v>2</v>
      </c>
      <c r="AA187" s="599"/>
      <c r="AB187" s="600"/>
      <c r="AC187" s="601">
        <v>2</v>
      </c>
      <c r="AD187" s="600">
        <v>14</v>
      </c>
      <c r="AE187" s="599">
        <v>18</v>
      </c>
      <c r="AF187" s="600"/>
      <c r="AG187" s="601"/>
      <c r="AH187" s="600"/>
      <c r="AI187" s="599"/>
      <c r="AJ187" s="600"/>
      <c r="AK187" s="601"/>
      <c r="AL187" s="600"/>
      <c r="AM187" s="599"/>
      <c r="AN187" s="600"/>
      <c r="AO187" s="601"/>
      <c r="AP187" s="600"/>
      <c r="AQ187" s="599"/>
      <c r="AR187" s="600"/>
      <c r="AS187" s="601"/>
      <c r="AT187" s="600"/>
      <c r="AU187" s="599"/>
      <c r="AV187" s="600"/>
      <c r="AW187" s="601"/>
      <c r="AX187" s="600"/>
      <c r="AY187" s="599"/>
      <c r="AZ187" s="600"/>
      <c r="BA187" s="601"/>
      <c r="BB187" s="602">
        <v>1705650</v>
      </c>
      <c r="BC187" s="599">
        <f>1623798+194978</f>
        <v>1818776</v>
      </c>
      <c r="BD187" s="600">
        <v>2816786</v>
      </c>
      <c r="BE187" s="599">
        <f>1532659+1108612</f>
        <v>2641271</v>
      </c>
      <c r="BF187" s="600">
        <v>2328622</v>
      </c>
      <c r="BG187" s="599">
        <f>1334088+968448</f>
        <v>2302536</v>
      </c>
      <c r="BH187" s="600">
        <v>548584</v>
      </c>
      <c r="BI187" s="599">
        <f>162205+584532</f>
        <v>746737</v>
      </c>
      <c r="BJ187" s="600">
        <v>0</v>
      </c>
      <c r="BK187" s="615"/>
      <c r="BL187" s="600">
        <v>0</v>
      </c>
      <c r="BM187" s="604"/>
      <c r="BN187" s="605">
        <f t="shared" si="233"/>
        <v>213</v>
      </c>
      <c r="BO187" s="606">
        <f t="shared" si="234"/>
        <v>222</v>
      </c>
      <c r="BP187" s="607">
        <f t="shared" si="235"/>
        <v>424</v>
      </c>
      <c r="BQ187" s="606">
        <f t="shared" si="236"/>
        <v>399</v>
      </c>
      <c r="BR187" s="607">
        <f t="shared" si="237"/>
        <v>445</v>
      </c>
      <c r="BS187" s="606">
        <f t="shared" si="238"/>
        <v>429</v>
      </c>
      <c r="BT187" s="607">
        <f t="shared" si="239"/>
        <v>126</v>
      </c>
      <c r="BU187" s="606">
        <f t="shared" si="240"/>
        <v>162</v>
      </c>
      <c r="BV187" s="607">
        <f t="shared" si="241"/>
        <v>0</v>
      </c>
      <c r="BW187" s="608">
        <f t="shared" si="242"/>
        <v>0</v>
      </c>
      <c r="BX187" s="607">
        <f t="shared" si="243"/>
        <v>0</v>
      </c>
      <c r="BY187" s="608">
        <f t="shared" si="244"/>
        <v>0</v>
      </c>
      <c r="BZ187" s="607">
        <f t="shared" si="245"/>
        <v>8007.7464788732395</v>
      </c>
      <c r="CA187" s="608">
        <f t="shared" si="246"/>
        <v>8192.6846846846838</v>
      </c>
      <c r="CB187" s="607">
        <f t="shared" si="247"/>
        <v>6643.3632075471696</v>
      </c>
      <c r="CC187" s="608">
        <f t="shared" si="248"/>
        <v>6619.7268170426069</v>
      </c>
      <c r="CD187" s="607">
        <f t="shared" si="249"/>
        <v>5232.8584269662924</v>
      </c>
      <c r="CE187" s="608">
        <f t="shared" si="250"/>
        <v>5367.2167832167834</v>
      </c>
      <c r="CF187" s="607">
        <f t="shared" si="251"/>
        <v>4353.8412698412694</v>
      </c>
      <c r="CG187" s="608">
        <f t="shared" si="252"/>
        <v>4609.4876543209875</v>
      </c>
      <c r="CH187" s="607">
        <f t="shared" si="253"/>
        <v>0</v>
      </c>
      <c r="CI187" s="608">
        <f t="shared" si="254"/>
        <v>0</v>
      </c>
      <c r="CJ187" s="607">
        <f t="shared" si="255"/>
        <v>0</v>
      </c>
      <c r="CK187" s="608">
        <f t="shared" si="256"/>
        <v>0</v>
      </c>
      <c r="CL187" s="609">
        <f t="shared" si="257"/>
        <v>72069.718309859163</v>
      </c>
      <c r="CM187" s="608">
        <f t="shared" si="258"/>
        <v>73734.16216216216</v>
      </c>
      <c r="CN187" s="610">
        <f t="shared" si="259"/>
        <v>59790.268867924526</v>
      </c>
      <c r="CO187" s="606">
        <f t="shared" si="260"/>
        <v>59577.541353383465</v>
      </c>
      <c r="CP187" s="607">
        <f t="shared" si="261"/>
        <v>47095.725842696629</v>
      </c>
      <c r="CQ187" s="606">
        <f t="shared" si="262"/>
        <v>48304.95104895105</v>
      </c>
      <c r="CR187" s="607">
        <f t="shared" si="263"/>
        <v>39184.571428571428</v>
      </c>
      <c r="CS187" s="606">
        <f t="shared" si="264"/>
        <v>41485.388888888891</v>
      </c>
      <c r="CT187" s="607">
        <f t="shared" si="265"/>
        <v>0</v>
      </c>
      <c r="CU187" s="608">
        <f t="shared" si="266"/>
        <v>0</v>
      </c>
      <c r="CV187" s="610">
        <f t="shared" si="267"/>
        <v>0</v>
      </c>
      <c r="CW187" s="608">
        <f t="shared" si="268"/>
        <v>0</v>
      </c>
      <c r="CX187" s="610">
        <f t="shared" si="269"/>
        <v>55032.048904116848</v>
      </c>
      <c r="CY187" s="611">
        <f t="shared" si="270"/>
        <v>55670.635374152131</v>
      </c>
      <c r="CZ187" s="605">
        <f t="shared" si="271"/>
        <v>23</v>
      </c>
      <c r="DA187" s="612">
        <f t="shared" si="272"/>
        <v>24</v>
      </c>
      <c r="DB187" s="607">
        <f t="shared" si="273"/>
        <v>46</v>
      </c>
      <c r="DC187" s="606">
        <f t="shared" si="274"/>
        <v>43</v>
      </c>
      <c r="DD187" s="607">
        <f t="shared" si="275"/>
        <v>49</v>
      </c>
      <c r="DE187" s="606">
        <f t="shared" si="276"/>
        <v>47</v>
      </c>
      <c r="DF187" s="607">
        <f t="shared" si="277"/>
        <v>14</v>
      </c>
      <c r="DG187" s="606">
        <f t="shared" si="278"/>
        <v>18</v>
      </c>
      <c r="DH187" s="607">
        <f t="shared" si="279"/>
        <v>0</v>
      </c>
      <c r="DI187" s="608">
        <f t="shared" si="280"/>
        <v>0</v>
      </c>
      <c r="DJ187" s="607">
        <f t="shared" si="281"/>
        <v>0</v>
      </c>
      <c r="DK187" s="608">
        <f t="shared" si="282"/>
        <v>0</v>
      </c>
      <c r="DL187" s="607">
        <f t="shared" si="283"/>
        <v>132</v>
      </c>
      <c r="DM187" s="608">
        <f t="shared" si="284"/>
        <v>132</v>
      </c>
      <c r="DN187" s="607">
        <f t="shared" si="285"/>
        <v>1657603.5211267606</v>
      </c>
      <c r="DO187" s="612">
        <f t="shared" si="286"/>
        <v>1769619.8918918918</v>
      </c>
      <c r="DP187" s="607">
        <f t="shared" si="287"/>
        <v>2750352.3679245282</v>
      </c>
      <c r="DQ187" s="606">
        <f t="shared" si="288"/>
        <v>2561834.2781954892</v>
      </c>
      <c r="DR187" s="607">
        <f t="shared" si="289"/>
        <v>2307690.566292135</v>
      </c>
      <c r="DS187" s="606">
        <f t="shared" si="290"/>
        <v>2270332.6993006994</v>
      </c>
      <c r="DT187" s="607">
        <f t="shared" si="291"/>
        <v>548584</v>
      </c>
      <c r="DU187" s="606">
        <f t="shared" si="292"/>
        <v>746737</v>
      </c>
      <c r="DV187" s="607">
        <f t="shared" si="293"/>
        <v>0</v>
      </c>
      <c r="DW187" s="608">
        <f t="shared" si="294"/>
        <v>0</v>
      </c>
      <c r="DX187" s="607">
        <f t="shared" si="295"/>
        <v>0</v>
      </c>
      <c r="DY187" s="608">
        <f t="shared" si="296"/>
        <v>0</v>
      </c>
      <c r="DZ187" s="607">
        <f t="shared" si="297"/>
        <v>7264230.4553434234</v>
      </c>
      <c r="EA187" s="608">
        <f t="shared" si="298"/>
        <v>7348523.8693880811</v>
      </c>
    </row>
    <row r="188" spans="1:131" x14ac:dyDescent="0.2">
      <c r="A188" s="341" t="s">
        <v>36</v>
      </c>
      <c r="B188" s="345" t="s">
        <v>725</v>
      </c>
      <c r="C188" s="554" t="s">
        <v>742</v>
      </c>
      <c r="D188" s="423">
        <v>157447</v>
      </c>
      <c r="E188" s="344">
        <v>4</v>
      </c>
      <c r="F188" s="598">
        <v>86</v>
      </c>
      <c r="G188" s="599"/>
      <c r="H188" s="600"/>
      <c r="I188" s="601">
        <f>57+30</f>
        <v>87</v>
      </c>
      <c r="J188" s="600">
        <v>2</v>
      </c>
      <c r="K188" s="599"/>
      <c r="L188" s="600"/>
      <c r="M188" s="601">
        <v>2</v>
      </c>
      <c r="N188" s="600">
        <v>153</v>
      </c>
      <c r="O188" s="599"/>
      <c r="P188" s="600"/>
      <c r="Q188" s="601">
        <f>82+76</f>
        <v>158</v>
      </c>
      <c r="R188" s="600">
        <v>6</v>
      </c>
      <c r="S188" s="599"/>
      <c r="T188" s="600"/>
      <c r="U188" s="601">
        <v>4</v>
      </c>
      <c r="V188" s="600">
        <v>123</v>
      </c>
      <c r="W188" s="599"/>
      <c r="X188" s="600"/>
      <c r="Y188" s="601">
        <f>56+67</f>
        <v>123</v>
      </c>
      <c r="Z188" s="600">
        <v>6</v>
      </c>
      <c r="AA188" s="599"/>
      <c r="AB188" s="600"/>
      <c r="AC188" s="601">
        <v>5</v>
      </c>
      <c r="AD188" s="600">
        <v>1</v>
      </c>
      <c r="AE188" s="599"/>
      <c r="AF188" s="600"/>
      <c r="AG188" s="601">
        <v>2</v>
      </c>
      <c r="AH188" s="600">
        <v>2</v>
      </c>
      <c r="AI188" s="599"/>
      <c r="AJ188" s="600"/>
      <c r="AK188" s="601">
        <v>1</v>
      </c>
      <c r="AL188" s="600">
        <v>145</v>
      </c>
      <c r="AM188" s="599"/>
      <c r="AN188" s="600"/>
      <c r="AO188" s="601">
        <f>60+81</f>
        <v>141</v>
      </c>
      <c r="AP188" s="600">
        <v>18</v>
      </c>
      <c r="AQ188" s="599"/>
      <c r="AR188" s="600"/>
      <c r="AS188" s="601">
        <v>19</v>
      </c>
      <c r="AT188" s="600"/>
      <c r="AU188" s="599"/>
      <c r="AV188" s="600"/>
      <c r="AW188" s="601"/>
      <c r="AX188" s="600"/>
      <c r="AY188" s="599"/>
      <c r="AZ188" s="600"/>
      <c r="BA188" s="601"/>
      <c r="BB188" s="602">
        <v>8471712</v>
      </c>
      <c r="BC188" s="599">
        <f>5716308+2814110</f>
        <v>8530418</v>
      </c>
      <c r="BD188" s="600">
        <v>11506261</v>
      </c>
      <c r="BE188" s="599">
        <f>6193108+5647998</f>
        <v>11841106</v>
      </c>
      <c r="BF188" s="600">
        <v>8555846</v>
      </c>
      <c r="BG188" s="599">
        <f>3988692+4591920</f>
        <v>8580612</v>
      </c>
      <c r="BH188" s="600">
        <v>204676</v>
      </c>
      <c r="BI188" s="599">
        <f>142500+60000</f>
        <v>202500</v>
      </c>
      <c r="BJ188" s="600">
        <v>7595692</v>
      </c>
      <c r="BK188" s="615">
        <f>3137879+4339926</f>
        <v>7477805</v>
      </c>
      <c r="BL188" s="600">
        <v>0</v>
      </c>
      <c r="BM188" s="604"/>
      <c r="BN188" s="605">
        <f t="shared" si="233"/>
        <v>796</v>
      </c>
      <c r="BO188" s="606">
        <f t="shared" si="234"/>
        <v>894</v>
      </c>
      <c r="BP188" s="607">
        <f t="shared" si="235"/>
        <v>1443</v>
      </c>
      <c r="BQ188" s="606">
        <f t="shared" si="236"/>
        <v>1628</v>
      </c>
      <c r="BR188" s="607">
        <f t="shared" si="237"/>
        <v>1173</v>
      </c>
      <c r="BS188" s="606">
        <f t="shared" si="238"/>
        <v>1290</v>
      </c>
      <c r="BT188" s="607">
        <f t="shared" si="239"/>
        <v>31</v>
      </c>
      <c r="BU188" s="606">
        <f t="shared" si="240"/>
        <v>32</v>
      </c>
      <c r="BV188" s="607">
        <f t="shared" si="241"/>
        <v>1503</v>
      </c>
      <c r="BW188" s="608">
        <f t="shared" si="242"/>
        <v>1638</v>
      </c>
      <c r="BX188" s="607">
        <f t="shared" si="243"/>
        <v>0</v>
      </c>
      <c r="BY188" s="608">
        <f t="shared" si="244"/>
        <v>0</v>
      </c>
      <c r="BZ188" s="607">
        <f t="shared" si="245"/>
        <v>10642.854271356784</v>
      </c>
      <c r="CA188" s="608">
        <f t="shared" si="246"/>
        <v>9541.8545861297534</v>
      </c>
      <c r="CB188" s="607">
        <f t="shared" si="247"/>
        <v>7973.8468468468473</v>
      </c>
      <c r="CC188" s="608">
        <f t="shared" si="248"/>
        <v>7273.4066339066339</v>
      </c>
      <c r="CD188" s="607">
        <f t="shared" si="249"/>
        <v>7293.9863597612957</v>
      </c>
      <c r="CE188" s="608">
        <f t="shared" si="250"/>
        <v>6651.6372093023256</v>
      </c>
      <c r="CF188" s="607">
        <f t="shared" si="251"/>
        <v>6602.4516129032254</v>
      </c>
      <c r="CG188" s="608">
        <f t="shared" si="252"/>
        <v>6328.125</v>
      </c>
      <c r="CH188" s="607">
        <f t="shared" si="253"/>
        <v>5053.6872920825017</v>
      </c>
      <c r="CI188" s="608">
        <f t="shared" si="254"/>
        <v>4565.2045177045175</v>
      </c>
      <c r="CJ188" s="607">
        <f t="shared" si="255"/>
        <v>0</v>
      </c>
      <c r="CK188" s="608">
        <f t="shared" si="256"/>
        <v>0</v>
      </c>
      <c r="CL188" s="609">
        <f t="shared" si="257"/>
        <v>95785.68844221106</v>
      </c>
      <c r="CM188" s="608">
        <f t="shared" si="258"/>
        <v>85876.691275167774</v>
      </c>
      <c r="CN188" s="610">
        <f t="shared" si="259"/>
        <v>71764.621621621627</v>
      </c>
      <c r="CO188" s="606">
        <f t="shared" si="260"/>
        <v>65460.659705159705</v>
      </c>
      <c r="CP188" s="607">
        <f t="shared" si="261"/>
        <v>65645.877237851659</v>
      </c>
      <c r="CQ188" s="606">
        <f t="shared" si="262"/>
        <v>59864.734883720928</v>
      </c>
      <c r="CR188" s="607">
        <f t="shared" si="263"/>
        <v>59422.06451612903</v>
      </c>
      <c r="CS188" s="606">
        <f t="shared" si="264"/>
        <v>56953.125</v>
      </c>
      <c r="CT188" s="607">
        <f t="shared" si="265"/>
        <v>45483.185628742518</v>
      </c>
      <c r="CU188" s="608">
        <f t="shared" si="266"/>
        <v>41086.840659340654</v>
      </c>
      <c r="CV188" s="610">
        <f t="shared" si="267"/>
        <v>0</v>
      </c>
      <c r="CW188" s="608">
        <f t="shared" si="268"/>
        <v>0</v>
      </c>
      <c r="CX188" s="610">
        <f t="shared" si="269"/>
        <v>66236.271283152571</v>
      </c>
      <c r="CY188" s="611">
        <f t="shared" si="270"/>
        <v>60249.247862244622</v>
      </c>
      <c r="CZ188" s="605">
        <f t="shared" si="271"/>
        <v>88</v>
      </c>
      <c r="DA188" s="612">
        <f t="shared" si="272"/>
        <v>89</v>
      </c>
      <c r="DB188" s="607">
        <f t="shared" si="273"/>
        <v>159</v>
      </c>
      <c r="DC188" s="606">
        <f t="shared" si="274"/>
        <v>162</v>
      </c>
      <c r="DD188" s="607">
        <f t="shared" si="275"/>
        <v>129</v>
      </c>
      <c r="DE188" s="606">
        <f t="shared" si="276"/>
        <v>128</v>
      </c>
      <c r="DF188" s="607">
        <f t="shared" si="277"/>
        <v>3</v>
      </c>
      <c r="DG188" s="606">
        <f t="shared" si="278"/>
        <v>3</v>
      </c>
      <c r="DH188" s="607">
        <f t="shared" si="279"/>
        <v>163</v>
      </c>
      <c r="DI188" s="608">
        <f t="shared" si="280"/>
        <v>160</v>
      </c>
      <c r="DJ188" s="607">
        <f t="shared" si="281"/>
        <v>0</v>
      </c>
      <c r="DK188" s="608">
        <f t="shared" si="282"/>
        <v>0</v>
      </c>
      <c r="DL188" s="607">
        <f t="shared" si="283"/>
        <v>542</v>
      </c>
      <c r="DM188" s="608">
        <f t="shared" si="284"/>
        <v>542</v>
      </c>
      <c r="DN188" s="607">
        <f t="shared" si="285"/>
        <v>8429140.5829145741</v>
      </c>
      <c r="DO188" s="612">
        <f t="shared" si="286"/>
        <v>7643025.5234899316</v>
      </c>
      <c r="DP188" s="607">
        <f t="shared" si="287"/>
        <v>11410574.837837839</v>
      </c>
      <c r="DQ188" s="606">
        <f t="shared" si="288"/>
        <v>10604626.872235872</v>
      </c>
      <c r="DR188" s="607">
        <f t="shared" si="289"/>
        <v>8468318.1636828631</v>
      </c>
      <c r="DS188" s="606">
        <f t="shared" si="290"/>
        <v>7662686.0651162788</v>
      </c>
      <c r="DT188" s="607">
        <f t="shared" si="291"/>
        <v>178266.19354838709</v>
      </c>
      <c r="DU188" s="606">
        <f t="shared" si="292"/>
        <v>170859.375</v>
      </c>
      <c r="DV188" s="607">
        <f t="shared" si="293"/>
        <v>7413759.2574850302</v>
      </c>
      <c r="DW188" s="608">
        <f t="shared" si="294"/>
        <v>6573894.5054945052</v>
      </c>
      <c r="DX188" s="607">
        <f t="shared" si="295"/>
        <v>0</v>
      </c>
      <c r="DY188" s="608">
        <f t="shared" si="296"/>
        <v>0</v>
      </c>
      <c r="DZ188" s="607">
        <f t="shared" si="297"/>
        <v>35900059.03546869</v>
      </c>
      <c r="EA188" s="608">
        <f t="shared" si="298"/>
        <v>32655092.341336586</v>
      </c>
    </row>
    <row r="189" spans="1:131" x14ac:dyDescent="0.2">
      <c r="A189" s="341" t="s">
        <v>36</v>
      </c>
      <c r="B189" s="345" t="s">
        <v>726</v>
      </c>
      <c r="C189" s="555"/>
      <c r="D189" s="424">
        <v>157173</v>
      </c>
      <c r="E189" s="425">
        <v>8</v>
      </c>
      <c r="F189" s="598">
        <v>54</v>
      </c>
      <c r="G189" s="599"/>
      <c r="H189" s="600"/>
      <c r="I189" s="601">
        <f>21+34</f>
        <v>55</v>
      </c>
      <c r="J189" s="600">
        <v>4</v>
      </c>
      <c r="K189" s="599"/>
      <c r="L189" s="600"/>
      <c r="M189" s="601">
        <v>4</v>
      </c>
      <c r="N189" s="600">
        <v>112</v>
      </c>
      <c r="O189" s="599"/>
      <c r="P189" s="600"/>
      <c r="Q189" s="601">
        <f>53+55</f>
        <v>108</v>
      </c>
      <c r="R189" s="600">
        <v>2</v>
      </c>
      <c r="S189" s="599"/>
      <c r="T189" s="600"/>
      <c r="U189" s="601">
        <v>4</v>
      </c>
      <c r="V189" s="600">
        <v>28</v>
      </c>
      <c r="W189" s="599"/>
      <c r="X189" s="600"/>
      <c r="Y189" s="601">
        <v>23</v>
      </c>
      <c r="Z189" s="600">
        <v>5</v>
      </c>
      <c r="AA189" s="599"/>
      <c r="AB189" s="600"/>
      <c r="AC189" s="601">
        <v>6</v>
      </c>
      <c r="AD189" s="600">
        <v>27</v>
      </c>
      <c r="AE189" s="599"/>
      <c r="AF189" s="600"/>
      <c r="AG189" s="601">
        <v>33</v>
      </c>
      <c r="AH189" s="600">
        <v>4</v>
      </c>
      <c r="AI189" s="599"/>
      <c r="AJ189" s="600"/>
      <c r="AK189" s="601">
        <v>34</v>
      </c>
      <c r="AL189" s="600"/>
      <c r="AM189" s="599"/>
      <c r="AN189" s="600"/>
      <c r="AO189" s="601"/>
      <c r="AP189" s="600"/>
      <c r="AQ189" s="599"/>
      <c r="AR189" s="600"/>
      <c r="AS189" s="601"/>
      <c r="AT189" s="600"/>
      <c r="AU189" s="599"/>
      <c r="AV189" s="600"/>
      <c r="AW189" s="601"/>
      <c r="AX189" s="600"/>
      <c r="AY189" s="599"/>
      <c r="AZ189" s="600"/>
      <c r="BA189" s="601"/>
      <c r="BB189" s="602">
        <v>3509945</v>
      </c>
      <c r="BC189" s="599">
        <f>1402815+2149371</f>
        <v>3552186</v>
      </c>
      <c r="BD189" s="600">
        <v>5774521</v>
      </c>
      <c r="BE189" s="599">
        <f>2826117+2837338</f>
        <v>5663455</v>
      </c>
      <c r="BF189" s="600">
        <v>1450269</v>
      </c>
      <c r="BG189" s="599">
        <f>568796+758566</f>
        <v>1327362</v>
      </c>
      <c r="BH189" s="600">
        <v>1180981</v>
      </c>
      <c r="BI189" s="599">
        <f>1564054+1063421</f>
        <v>2627475</v>
      </c>
      <c r="BJ189" s="600">
        <v>0</v>
      </c>
      <c r="BK189" s="615"/>
      <c r="BL189" s="600">
        <v>0</v>
      </c>
      <c r="BM189" s="604"/>
      <c r="BN189" s="605">
        <f t="shared" si="233"/>
        <v>530</v>
      </c>
      <c r="BO189" s="606">
        <f t="shared" si="234"/>
        <v>598</v>
      </c>
      <c r="BP189" s="607">
        <f t="shared" si="235"/>
        <v>1030</v>
      </c>
      <c r="BQ189" s="606">
        <f t="shared" si="236"/>
        <v>1128</v>
      </c>
      <c r="BR189" s="607">
        <f t="shared" si="237"/>
        <v>307</v>
      </c>
      <c r="BS189" s="606">
        <f t="shared" si="238"/>
        <v>302</v>
      </c>
      <c r="BT189" s="607">
        <f t="shared" si="239"/>
        <v>287</v>
      </c>
      <c r="BU189" s="606">
        <f t="shared" si="240"/>
        <v>738</v>
      </c>
      <c r="BV189" s="607">
        <f t="shared" si="241"/>
        <v>0</v>
      </c>
      <c r="BW189" s="608">
        <f t="shared" si="242"/>
        <v>0</v>
      </c>
      <c r="BX189" s="607">
        <f t="shared" si="243"/>
        <v>0</v>
      </c>
      <c r="BY189" s="608">
        <f t="shared" si="244"/>
        <v>0</v>
      </c>
      <c r="BZ189" s="607">
        <f t="shared" si="245"/>
        <v>6622.5377358490568</v>
      </c>
      <c r="CA189" s="608">
        <f t="shared" si="246"/>
        <v>5940.1103678929767</v>
      </c>
      <c r="CB189" s="607">
        <f t="shared" si="247"/>
        <v>5606.331067961165</v>
      </c>
      <c r="CC189" s="608">
        <f t="shared" si="248"/>
        <v>5020.7934397163117</v>
      </c>
      <c r="CD189" s="607">
        <f t="shared" si="249"/>
        <v>4724.00325732899</v>
      </c>
      <c r="CE189" s="608">
        <f t="shared" si="250"/>
        <v>4395.2384105960264</v>
      </c>
      <c r="CF189" s="607">
        <f t="shared" si="251"/>
        <v>4114.9163763066199</v>
      </c>
      <c r="CG189" s="608">
        <f t="shared" si="252"/>
        <v>3560.2642276422766</v>
      </c>
      <c r="CH189" s="607">
        <f t="shared" si="253"/>
        <v>0</v>
      </c>
      <c r="CI189" s="608">
        <f t="shared" si="254"/>
        <v>0</v>
      </c>
      <c r="CJ189" s="607">
        <f t="shared" si="255"/>
        <v>0</v>
      </c>
      <c r="CK189" s="608">
        <f t="shared" si="256"/>
        <v>0</v>
      </c>
      <c r="CL189" s="609">
        <f t="shared" si="257"/>
        <v>59602.839622641513</v>
      </c>
      <c r="CM189" s="608">
        <f t="shared" si="258"/>
        <v>53460.993311036793</v>
      </c>
      <c r="CN189" s="610">
        <f t="shared" si="259"/>
        <v>50456.979611650488</v>
      </c>
      <c r="CO189" s="606">
        <f t="shared" si="260"/>
        <v>45187.140957446805</v>
      </c>
      <c r="CP189" s="607">
        <f t="shared" si="261"/>
        <v>42516.029315960914</v>
      </c>
      <c r="CQ189" s="606">
        <f t="shared" si="262"/>
        <v>39557.145695364234</v>
      </c>
      <c r="CR189" s="607">
        <f t="shared" si="263"/>
        <v>37034.247386759576</v>
      </c>
      <c r="CS189" s="606">
        <f t="shared" si="264"/>
        <v>32042.378048780491</v>
      </c>
      <c r="CT189" s="607">
        <f t="shared" si="265"/>
        <v>0</v>
      </c>
      <c r="CU189" s="608">
        <f t="shared" si="266"/>
        <v>0</v>
      </c>
      <c r="CV189" s="610">
        <f t="shared" si="267"/>
        <v>0</v>
      </c>
      <c r="CW189" s="608">
        <f t="shared" si="268"/>
        <v>0</v>
      </c>
      <c r="CX189" s="610">
        <f t="shared" si="269"/>
        <v>49831.148348549235</v>
      </c>
      <c r="CY189" s="611">
        <f t="shared" si="270"/>
        <v>43105.449239771791</v>
      </c>
      <c r="CZ189" s="605">
        <f t="shared" si="271"/>
        <v>58</v>
      </c>
      <c r="DA189" s="612">
        <f t="shared" si="272"/>
        <v>59</v>
      </c>
      <c r="DB189" s="607">
        <f t="shared" si="273"/>
        <v>114</v>
      </c>
      <c r="DC189" s="606">
        <f t="shared" si="274"/>
        <v>112</v>
      </c>
      <c r="DD189" s="607">
        <f t="shared" si="275"/>
        <v>33</v>
      </c>
      <c r="DE189" s="606">
        <f t="shared" si="276"/>
        <v>29</v>
      </c>
      <c r="DF189" s="607">
        <f t="shared" si="277"/>
        <v>31</v>
      </c>
      <c r="DG189" s="606">
        <f t="shared" si="278"/>
        <v>67</v>
      </c>
      <c r="DH189" s="607">
        <f t="shared" si="279"/>
        <v>0</v>
      </c>
      <c r="DI189" s="608">
        <f t="shared" si="280"/>
        <v>0</v>
      </c>
      <c r="DJ189" s="607">
        <f t="shared" si="281"/>
        <v>0</v>
      </c>
      <c r="DK189" s="608">
        <f t="shared" si="282"/>
        <v>0</v>
      </c>
      <c r="DL189" s="607">
        <f t="shared" si="283"/>
        <v>236</v>
      </c>
      <c r="DM189" s="608">
        <f t="shared" si="284"/>
        <v>267</v>
      </c>
      <c r="DN189" s="607">
        <f t="shared" si="285"/>
        <v>3456964.6981132077</v>
      </c>
      <c r="DO189" s="612">
        <f t="shared" si="286"/>
        <v>3154198.605351171</v>
      </c>
      <c r="DP189" s="607">
        <f t="shared" si="287"/>
        <v>5752095.6757281553</v>
      </c>
      <c r="DQ189" s="606">
        <f t="shared" si="288"/>
        <v>5060959.7872340418</v>
      </c>
      <c r="DR189" s="607">
        <f t="shared" si="289"/>
        <v>1403028.9674267101</v>
      </c>
      <c r="DS189" s="606">
        <f t="shared" si="290"/>
        <v>1147157.2251655627</v>
      </c>
      <c r="DT189" s="607">
        <f t="shared" si="291"/>
        <v>1148061.6689895468</v>
      </c>
      <c r="DU189" s="606">
        <f t="shared" si="292"/>
        <v>2146839.329268293</v>
      </c>
      <c r="DV189" s="607">
        <f t="shared" si="293"/>
        <v>0</v>
      </c>
      <c r="DW189" s="608">
        <f t="shared" si="294"/>
        <v>0</v>
      </c>
      <c r="DX189" s="607">
        <f t="shared" si="295"/>
        <v>0</v>
      </c>
      <c r="DY189" s="608">
        <f t="shared" si="296"/>
        <v>0</v>
      </c>
      <c r="DZ189" s="607">
        <f t="shared" si="297"/>
        <v>11760151.01025762</v>
      </c>
      <c r="EA189" s="608">
        <f t="shared" si="298"/>
        <v>11509154.947019069</v>
      </c>
    </row>
    <row r="190" spans="1:131" x14ac:dyDescent="0.2">
      <c r="A190" s="341" t="s">
        <v>36</v>
      </c>
      <c r="B190" s="345" t="s">
        <v>727</v>
      </c>
      <c r="C190" s="555"/>
      <c r="D190" s="424">
        <v>156921</v>
      </c>
      <c r="E190" s="425">
        <v>8</v>
      </c>
      <c r="F190" s="598">
        <v>81</v>
      </c>
      <c r="G190" s="599"/>
      <c r="H190" s="600"/>
      <c r="I190" s="601">
        <v>85</v>
      </c>
      <c r="J190" s="600">
        <v>19</v>
      </c>
      <c r="K190" s="599"/>
      <c r="L190" s="600"/>
      <c r="M190" s="601">
        <v>18</v>
      </c>
      <c r="N190" s="600">
        <v>89</v>
      </c>
      <c r="O190" s="599"/>
      <c r="P190" s="600"/>
      <c r="Q190" s="601">
        <v>83</v>
      </c>
      <c r="R190" s="600">
        <v>17</v>
      </c>
      <c r="S190" s="599"/>
      <c r="T190" s="600"/>
      <c r="U190" s="601">
        <v>16</v>
      </c>
      <c r="V190" s="600">
        <v>13</v>
      </c>
      <c r="W190" s="599"/>
      <c r="X190" s="600"/>
      <c r="Y190" s="601">
        <v>19</v>
      </c>
      <c r="Z190" s="600">
        <v>10</v>
      </c>
      <c r="AA190" s="599"/>
      <c r="AB190" s="600"/>
      <c r="AC190" s="601">
        <v>9</v>
      </c>
      <c r="AD190" s="600">
        <v>44</v>
      </c>
      <c r="AE190" s="599"/>
      <c r="AF190" s="600"/>
      <c r="AG190" s="601">
        <v>39</v>
      </c>
      <c r="AH190" s="600">
        <v>15</v>
      </c>
      <c r="AI190" s="599"/>
      <c r="AJ190" s="600"/>
      <c r="AK190" s="601">
        <v>13</v>
      </c>
      <c r="AL190" s="600"/>
      <c r="AM190" s="599"/>
      <c r="AN190" s="600"/>
      <c r="AO190" s="601"/>
      <c r="AP190" s="600"/>
      <c r="AQ190" s="599"/>
      <c r="AR190" s="600"/>
      <c r="AS190" s="601">
        <v>21</v>
      </c>
      <c r="AT190" s="600"/>
      <c r="AU190" s="599"/>
      <c r="AV190" s="600"/>
      <c r="AW190" s="601"/>
      <c r="AX190" s="600"/>
      <c r="AY190" s="599"/>
      <c r="AZ190" s="600"/>
      <c r="BA190" s="601"/>
      <c r="BB190" s="602">
        <v>6361066</v>
      </c>
      <c r="BC190" s="599">
        <f>2625805+4010469</f>
        <v>6636274</v>
      </c>
      <c r="BD190" s="600">
        <v>5424755</v>
      </c>
      <c r="BE190" s="599">
        <f>2162935+3007785</f>
        <v>5170720</v>
      </c>
      <c r="BF190" s="600">
        <v>1165821</v>
      </c>
      <c r="BG190" s="599">
        <f>656263+724022</f>
        <v>1380285</v>
      </c>
      <c r="BH190" s="600">
        <v>2619022</v>
      </c>
      <c r="BI190" s="599">
        <f>1314380+990421</f>
        <v>2304801</v>
      </c>
      <c r="BJ190" s="600">
        <v>0</v>
      </c>
      <c r="BK190" s="615">
        <f>120663+219445</f>
        <v>340108</v>
      </c>
      <c r="BL190" s="600">
        <v>0</v>
      </c>
      <c r="BM190" s="604"/>
      <c r="BN190" s="605">
        <f t="shared" si="233"/>
        <v>938</v>
      </c>
      <c r="BO190" s="606">
        <f t="shared" si="234"/>
        <v>1066</v>
      </c>
      <c r="BP190" s="607">
        <f t="shared" si="235"/>
        <v>988</v>
      </c>
      <c r="BQ190" s="606">
        <f t="shared" si="236"/>
        <v>1022</v>
      </c>
      <c r="BR190" s="607">
        <f t="shared" si="237"/>
        <v>227</v>
      </c>
      <c r="BS190" s="606">
        <f t="shared" si="238"/>
        <v>298</v>
      </c>
      <c r="BT190" s="607">
        <f t="shared" si="239"/>
        <v>561</v>
      </c>
      <c r="BU190" s="606">
        <f t="shared" si="240"/>
        <v>546</v>
      </c>
      <c r="BV190" s="607">
        <f t="shared" si="241"/>
        <v>0</v>
      </c>
      <c r="BW190" s="608">
        <f t="shared" si="242"/>
        <v>252</v>
      </c>
      <c r="BX190" s="607">
        <f t="shared" si="243"/>
        <v>0</v>
      </c>
      <c r="BY190" s="608">
        <f t="shared" si="244"/>
        <v>0</v>
      </c>
      <c r="BZ190" s="607">
        <f t="shared" si="245"/>
        <v>6781.5202558635392</v>
      </c>
      <c r="CA190" s="608">
        <f t="shared" si="246"/>
        <v>6225.3977485928708</v>
      </c>
      <c r="CB190" s="607">
        <f t="shared" si="247"/>
        <v>5490.642712550607</v>
      </c>
      <c r="CC190" s="608">
        <f t="shared" si="248"/>
        <v>5059.4129158512724</v>
      </c>
      <c r="CD190" s="607">
        <f t="shared" si="249"/>
        <v>5135.7753303964755</v>
      </c>
      <c r="CE190" s="608">
        <f t="shared" si="250"/>
        <v>4631.8288590604025</v>
      </c>
      <c r="CF190" s="607">
        <f t="shared" si="251"/>
        <v>4668.4884135472366</v>
      </c>
      <c r="CG190" s="608">
        <f t="shared" si="252"/>
        <v>4221.2472527472528</v>
      </c>
      <c r="CH190" s="607">
        <f t="shared" si="253"/>
        <v>0</v>
      </c>
      <c r="CI190" s="608">
        <f t="shared" si="254"/>
        <v>1349.6349206349207</v>
      </c>
      <c r="CJ190" s="607">
        <f t="shared" si="255"/>
        <v>0</v>
      </c>
      <c r="CK190" s="608">
        <f t="shared" si="256"/>
        <v>0</v>
      </c>
      <c r="CL190" s="609">
        <f t="shared" si="257"/>
        <v>61033.682302771849</v>
      </c>
      <c r="CM190" s="608">
        <f t="shared" si="258"/>
        <v>56028.579737335836</v>
      </c>
      <c r="CN190" s="610">
        <f t="shared" si="259"/>
        <v>49415.784412955465</v>
      </c>
      <c r="CO190" s="606">
        <f t="shared" si="260"/>
        <v>45534.716242661452</v>
      </c>
      <c r="CP190" s="607">
        <f t="shared" si="261"/>
        <v>46221.977973568282</v>
      </c>
      <c r="CQ190" s="606">
        <f t="shared" si="262"/>
        <v>41686.459731543626</v>
      </c>
      <c r="CR190" s="607">
        <f t="shared" si="263"/>
        <v>42016.395721925132</v>
      </c>
      <c r="CS190" s="606">
        <f t="shared" si="264"/>
        <v>37991.225274725279</v>
      </c>
      <c r="CT190" s="607">
        <f t="shared" si="265"/>
        <v>0</v>
      </c>
      <c r="CU190" s="608">
        <f t="shared" si="266"/>
        <v>12146.714285714286</v>
      </c>
      <c r="CV190" s="610">
        <f t="shared" si="267"/>
        <v>0</v>
      </c>
      <c r="CW190" s="608">
        <f t="shared" si="268"/>
        <v>0</v>
      </c>
      <c r="CX190" s="610">
        <f t="shared" si="269"/>
        <v>51678.868816097638</v>
      </c>
      <c r="CY190" s="611">
        <f t="shared" si="270"/>
        <v>45137.710256561099</v>
      </c>
      <c r="CZ190" s="605">
        <f t="shared" si="271"/>
        <v>100</v>
      </c>
      <c r="DA190" s="612">
        <f t="shared" si="272"/>
        <v>103</v>
      </c>
      <c r="DB190" s="607">
        <f t="shared" si="273"/>
        <v>106</v>
      </c>
      <c r="DC190" s="606">
        <f t="shared" si="274"/>
        <v>99</v>
      </c>
      <c r="DD190" s="607">
        <f t="shared" si="275"/>
        <v>23</v>
      </c>
      <c r="DE190" s="606">
        <f t="shared" si="276"/>
        <v>28</v>
      </c>
      <c r="DF190" s="607">
        <f t="shared" si="277"/>
        <v>59</v>
      </c>
      <c r="DG190" s="606">
        <f t="shared" si="278"/>
        <v>52</v>
      </c>
      <c r="DH190" s="607">
        <f t="shared" si="279"/>
        <v>0</v>
      </c>
      <c r="DI190" s="608">
        <f t="shared" si="280"/>
        <v>21</v>
      </c>
      <c r="DJ190" s="607">
        <f t="shared" si="281"/>
        <v>0</v>
      </c>
      <c r="DK190" s="608">
        <f t="shared" si="282"/>
        <v>0</v>
      </c>
      <c r="DL190" s="607">
        <f t="shared" si="283"/>
        <v>288</v>
      </c>
      <c r="DM190" s="608">
        <f t="shared" si="284"/>
        <v>303</v>
      </c>
      <c r="DN190" s="607">
        <f t="shared" si="285"/>
        <v>6103368.2302771853</v>
      </c>
      <c r="DO190" s="612">
        <f t="shared" si="286"/>
        <v>5770943.7129455907</v>
      </c>
      <c r="DP190" s="607">
        <f t="shared" si="287"/>
        <v>5238073.1477732789</v>
      </c>
      <c r="DQ190" s="606">
        <f t="shared" si="288"/>
        <v>4507936.9080234841</v>
      </c>
      <c r="DR190" s="607">
        <f t="shared" si="289"/>
        <v>1063105.4933920705</v>
      </c>
      <c r="DS190" s="606">
        <f t="shared" si="290"/>
        <v>1167220.8724832216</v>
      </c>
      <c r="DT190" s="607">
        <f t="shared" si="291"/>
        <v>2478967.3475935827</v>
      </c>
      <c r="DU190" s="606">
        <f t="shared" si="292"/>
        <v>1975543.7142857146</v>
      </c>
      <c r="DV190" s="607">
        <f t="shared" si="293"/>
        <v>0</v>
      </c>
      <c r="DW190" s="608">
        <f t="shared" si="294"/>
        <v>255081</v>
      </c>
      <c r="DX190" s="607">
        <f t="shared" si="295"/>
        <v>0</v>
      </c>
      <c r="DY190" s="608">
        <f t="shared" si="296"/>
        <v>0</v>
      </c>
      <c r="DZ190" s="607">
        <f t="shared" si="297"/>
        <v>14883514.219036119</v>
      </c>
      <c r="EA190" s="608">
        <f t="shared" si="298"/>
        <v>13676726.207738012</v>
      </c>
    </row>
    <row r="191" spans="1:131" x14ac:dyDescent="0.2">
      <c r="A191" s="341" t="s">
        <v>36</v>
      </c>
      <c r="B191" s="345" t="s">
        <v>728</v>
      </c>
      <c r="C191" s="555"/>
      <c r="D191" s="424">
        <v>156231</v>
      </c>
      <c r="E191" s="425">
        <v>9</v>
      </c>
      <c r="F191" s="598">
        <v>27</v>
      </c>
      <c r="G191" s="599"/>
      <c r="H191" s="600"/>
      <c r="I191" s="601">
        <v>26</v>
      </c>
      <c r="J191" s="600">
        <v>5</v>
      </c>
      <c r="K191" s="599"/>
      <c r="L191" s="600"/>
      <c r="M191" s="601">
        <v>6</v>
      </c>
      <c r="N191" s="600">
        <v>26</v>
      </c>
      <c r="O191" s="599"/>
      <c r="P191" s="600"/>
      <c r="Q191" s="601">
        <v>32</v>
      </c>
      <c r="R191" s="600">
        <v>6</v>
      </c>
      <c r="S191" s="599"/>
      <c r="T191" s="600"/>
      <c r="U191" s="601">
        <v>5</v>
      </c>
      <c r="V191" s="600">
        <v>15</v>
      </c>
      <c r="W191" s="599"/>
      <c r="X191" s="600"/>
      <c r="Y191" s="601">
        <v>9</v>
      </c>
      <c r="Z191" s="600">
        <v>1</v>
      </c>
      <c r="AA191" s="599"/>
      <c r="AB191" s="600"/>
      <c r="AC191" s="601">
        <v>1</v>
      </c>
      <c r="AD191" s="600">
        <v>15</v>
      </c>
      <c r="AE191" s="599"/>
      <c r="AF191" s="600"/>
      <c r="AG191" s="601">
        <v>18</v>
      </c>
      <c r="AH191" s="600"/>
      <c r="AI191" s="599"/>
      <c r="AJ191" s="600"/>
      <c r="AK191" s="601"/>
      <c r="AL191" s="600"/>
      <c r="AM191" s="599"/>
      <c r="AN191" s="600"/>
      <c r="AO191" s="601"/>
      <c r="AP191" s="600"/>
      <c r="AQ191" s="599"/>
      <c r="AR191" s="600"/>
      <c r="AS191" s="601">
        <v>11</v>
      </c>
      <c r="AT191" s="600"/>
      <c r="AU191" s="599"/>
      <c r="AV191" s="600"/>
      <c r="AW191" s="601"/>
      <c r="AX191" s="600"/>
      <c r="AY191" s="599"/>
      <c r="AZ191" s="600"/>
      <c r="BA191" s="601"/>
      <c r="BB191" s="602">
        <v>2030380</v>
      </c>
      <c r="BC191" s="599">
        <f>1129772+946677</f>
        <v>2076449</v>
      </c>
      <c r="BD191" s="600">
        <v>1630245</v>
      </c>
      <c r="BE191" s="599">
        <f>1130482+755285</f>
        <v>1885767</v>
      </c>
      <c r="BF191" s="600">
        <v>680897</v>
      </c>
      <c r="BG191" s="599">
        <f>313284+125048</f>
        <v>438332</v>
      </c>
      <c r="BH191" s="600">
        <v>610290</v>
      </c>
      <c r="BI191" s="599">
        <f>253894+448522</f>
        <v>702416</v>
      </c>
      <c r="BJ191" s="600">
        <v>0</v>
      </c>
      <c r="BK191" s="615">
        <f>43740+48600</f>
        <v>92340</v>
      </c>
      <c r="BL191" s="600">
        <v>0</v>
      </c>
      <c r="BM191" s="604"/>
      <c r="BN191" s="605">
        <f t="shared" si="233"/>
        <v>298</v>
      </c>
      <c r="BO191" s="606">
        <f t="shared" si="234"/>
        <v>332</v>
      </c>
      <c r="BP191" s="607">
        <f t="shared" si="235"/>
        <v>300</v>
      </c>
      <c r="BQ191" s="606">
        <f t="shared" si="236"/>
        <v>380</v>
      </c>
      <c r="BR191" s="607">
        <f t="shared" si="237"/>
        <v>146</v>
      </c>
      <c r="BS191" s="606">
        <f t="shared" si="238"/>
        <v>102</v>
      </c>
      <c r="BT191" s="607">
        <f t="shared" si="239"/>
        <v>135</v>
      </c>
      <c r="BU191" s="606">
        <f t="shared" si="240"/>
        <v>180</v>
      </c>
      <c r="BV191" s="607">
        <f t="shared" si="241"/>
        <v>0</v>
      </c>
      <c r="BW191" s="608">
        <f t="shared" si="242"/>
        <v>132</v>
      </c>
      <c r="BX191" s="607">
        <f t="shared" si="243"/>
        <v>0</v>
      </c>
      <c r="BY191" s="608">
        <f t="shared" si="244"/>
        <v>0</v>
      </c>
      <c r="BZ191" s="607">
        <f t="shared" si="245"/>
        <v>6813.3557046979868</v>
      </c>
      <c r="CA191" s="608">
        <f t="shared" si="246"/>
        <v>6254.3644578313251</v>
      </c>
      <c r="CB191" s="607">
        <f t="shared" si="247"/>
        <v>5434.15</v>
      </c>
      <c r="CC191" s="608">
        <f t="shared" si="248"/>
        <v>4962.5447368421055</v>
      </c>
      <c r="CD191" s="607">
        <f t="shared" si="249"/>
        <v>4663.678082191781</v>
      </c>
      <c r="CE191" s="608">
        <f t="shared" si="250"/>
        <v>4297.3725490196075</v>
      </c>
      <c r="CF191" s="607">
        <f t="shared" si="251"/>
        <v>4520.666666666667</v>
      </c>
      <c r="CG191" s="608">
        <f t="shared" si="252"/>
        <v>3902.3111111111111</v>
      </c>
      <c r="CH191" s="607">
        <f t="shared" si="253"/>
        <v>0</v>
      </c>
      <c r="CI191" s="608">
        <f t="shared" si="254"/>
        <v>699.5454545454545</v>
      </c>
      <c r="CJ191" s="607">
        <f t="shared" si="255"/>
        <v>0</v>
      </c>
      <c r="CK191" s="608">
        <f t="shared" si="256"/>
        <v>0</v>
      </c>
      <c r="CL191" s="609">
        <f t="shared" si="257"/>
        <v>61320.201342281878</v>
      </c>
      <c r="CM191" s="608">
        <f t="shared" si="258"/>
        <v>56289.280120481926</v>
      </c>
      <c r="CN191" s="610">
        <f t="shared" si="259"/>
        <v>48907.35</v>
      </c>
      <c r="CO191" s="606">
        <f t="shared" si="260"/>
        <v>44662.902631578952</v>
      </c>
      <c r="CP191" s="607">
        <f t="shared" si="261"/>
        <v>41973.102739726026</v>
      </c>
      <c r="CQ191" s="606">
        <f t="shared" si="262"/>
        <v>38676.352941176468</v>
      </c>
      <c r="CR191" s="607">
        <f t="shared" si="263"/>
        <v>40686</v>
      </c>
      <c r="CS191" s="606">
        <f t="shared" si="264"/>
        <v>35120.800000000003</v>
      </c>
      <c r="CT191" s="607">
        <f t="shared" si="265"/>
        <v>0</v>
      </c>
      <c r="CU191" s="608">
        <f t="shared" si="266"/>
        <v>6295.9090909090901</v>
      </c>
      <c r="CV191" s="610">
        <f t="shared" si="267"/>
        <v>0</v>
      </c>
      <c r="CW191" s="608">
        <f t="shared" si="268"/>
        <v>0</v>
      </c>
      <c r="CX191" s="610">
        <f t="shared" si="269"/>
        <v>50622.539860933022</v>
      </c>
      <c r="CY191" s="611">
        <f t="shared" si="270"/>
        <v>42055.345283663039</v>
      </c>
      <c r="CZ191" s="605">
        <f t="shared" si="271"/>
        <v>32</v>
      </c>
      <c r="DA191" s="612">
        <f t="shared" si="272"/>
        <v>32</v>
      </c>
      <c r="DB191" s="607">
        <f t="shared" si="273"/>
        <v>32</v>
      </c>
      <c r="DC191" s="606">
        <f t="shared" si="274"/>
        <v>37</v>
      </c>
      <c r="DD191" s="607">
        <f t="shared" si="275"/>
        <v>16</v>
      </c>
      <c r="DE191" s="606">
        <f t="shared" si="276"/>
        <v>10</v>
      </c>
      <c r="DF191" s="607">
        <f t="shared" si="277"/>
        <v>15</v>
      </c>
      <c r="DG191" s="606">
        <f t="shared" si="278"/>
        <v>18</v>
      </c>
      <c r="DH191" s="607">
        <f t="shared" si="279"/>
        <v>0</v>
      </c>
      <c r="DI191" s="608">
        <f t="shared" si="280"/>
        <v>11</v>
      </c>
      <c r="DJ191" s="607">
        <f t="shared" si="281"/>
        <v>0</v>
      </c>
      <c r="DK191" s="608">
        <f t="shared" si="282"/>
        <v>0</v>
      </c>
      <c r="DL191" s="607">
        <f t="shared" si="283"/>
        <v>95</v>
      </c>
      <c r="DM191" s="608">
        <f t="shared" si="284"/>
        <v>108</v>
      </c>
      <c r="DN191" s="607">
        <f t="shared" si="285"/>
        <v>1962246.4429530201</v>
      </c>
      <c r="DO191" s="612">
        <f t="shared" si="286"/>
        <v>1801256.9638554216</v>
      </c>
      <c r="DP191" s="607">
        <f t="shared" si="287"/>
        <v>1565035.2</v>
      </c>
      <c r="DQ191" s="606">
        <f t="shared" si="288"/>
        <v>1652527.3973684213</v>
      </c>
      <c r="DR191" s="607">
        <f t="shared" si="289"/>
        <v>671569.64383561641</v>
      </c>
      <c r="DS191" s="606">
        <f t="shared" si="290"/>
        <v>386763.5294117647</v>
      </c>
      <c r="DT191" s="607">
        <f t="shared" si="291"/>
        <v>610290</v>
      </c>
      <c r="DU191" s="606">
        <f t="shared" si="292"/>
        <v>632174.4</v>
      </c>
      <c r="DV191" s="607">
        <f t="shared" si="293"/>
        <v>0</v>
      </c>
      <c r="DW191" s="608">
        <f t="shared" si="294"/>
        <v>69254.999999999985</v>
      </c>
      <c r="DX191" s="607">
        <f t="shared" si="295"/>
        <v>0</v>
      </c>
      <c r="DY191" s="608">
        <f t="shared" si="296"/>
        <v>0</v>
      </c>
      <c r="DZ191" s="607">
        <f t="shared" si="297"/>
        <v>4809141.2867886368</v>
      </c>
      <c r="EA191" s="608">
        <f t="shared" si="298"/>
        <v>4541977.2906356081</v>
      </c>
    </row>
    <row r="192" spans="1:131" x14ac:dyDescent="0.2">
      <c r="A192" s="341" t="s">
        <v>36</v>
      </c>
      <c r="B192" s="345" t="s">
        <v>729</v>
      </c>
      <c r="C192" s="555"/>
      <c r="D192" s="388">
        <v>157553</v>
      </c>
      <c r="E192" s="425">
        <v>9</v>
      </c>
      <c r="F192" s="598">
        <v>29</v>
      </c>
      <c r="G192" s="599"/>
      <c r="H192" s="600"/>
      <c r="I192" s="601">
        <f>16+15</f>
        <v>31</v>
      </c>
      <c r="J192" s="600">
        <v>14</v>
      </c>
      <c r="K192" s="599"/>
      <c r="L192" s="600"/>
      <c r="M192" s="601">
        <f>5+10</f>
        <v>15</v>
      </c>
      <c r="N192" s="600">
        <v>21</v>
      </c>
      <c r="O192" s="599"/>
      <c r="P192" s="600"/>
      <c r="Q192" s="601">
        <f>8+13</f>
        <v>21</v>
      </c>
      <c r="R192" s="600">
        <v>7</v>
      </c>
      <c r="S192" s="599"/>
      <c r="T192" s="600"/>
      <c r="U192" s="601">
        <v>6</v>
      </c>
      <c r="V192" s="600">
        <v>18</v>
      </c>
      <c r="W192" s="599"/>
      <c r="X192" s="600"/>
      <c r="Y192" s="601">
        <v>20</v>
      </c>
      <c r="Z192" s="600"/>
      <c r="AA192" s="599"/>
      <c r="AB192" s="600"/>
      <c r="AC192" s="601"/>
      <c r="AD192" s="600">
        <v>29</v>
      </c>
      <c r="AE192" s="599"/>
      <c r="AF192" s="600"/>
      <c r="AG192" s="601">
        <v>21</v>
      </c>
      <c r="AH192" s="600">
        <v>1</v>
      </c>
      <c r="AI192" s="599"/>
      <c r="AJ192" s="600"/>
      <c r="AK192" s="601">
        <v>7</v>
      </c>
      <c r="AL192" s="600"/>
      <c r="AM192" s="599"/>
      <c r="AN192" s="600"/>
      <c r="AO192" s="601"/>
      <c r="AP192" s="600"/>
      <c r="AQ192" s="599"/>
      <c r="AR192" s="600"/>
      <c r="AS192" s="601"/>
      <c r="AT192" s="600"/>
      <c r="AU192" s="599"/>
      <c r="AV192" s="600"/>
      <c r="AW192" s="601"/>
      <c r="AX192" s="600"/>
      <c r="AY192" s="599"/>
      <c r="AZ192" s="600"/>
      <c r="BA192" s="601"/>
      <c r="BB192" s="602">
        <v>2646331</v>
      </c>
      <c r="BC192" s="599">
        <f>1281697+1599980</f>
        <v>2881677</v>
      </c>
      <c r="BD192" s="600">
        <v>1412258</v>
      </c>
      <c r="BE192" s="599">
        <f>629843+745293</f>
        <v>1375136</v>
      </c>
      <c r="BF192" s="600">
        <v>713718</v>
      </c>
      <c r="BG192" s="599">
        <f>404939+398368</f>
        <v>803307</v>
      </c>
      <c r="BH192" s="600">
        <v>1069132</v>
      </c>
      <c r="BI192" s="599">
        <f>648914+405919</f>
        <v>1054833</v>
      </c>
      <c r="BJ192" s="600">
        <v>0</v>
      </c>
      <c r="BK192" s="615"/>
      <c r="BL192" s="600">
        <v>0</v>
      </c>
      <c r="BM192" s="604"/>
      <c r="BN192" s="605">
        <f t="shared" si="233"/>
        <v>415</v>
      </c>
      <c r="BO192" s="606">
        <f t="shared" si="234"/>
        <v>490</v>
      </c>
      <c r="BP192" s="607">
        <f t="shared" si="235"/>
        <v>266</v>
      </c>
      <c r="BQ192" s="606">
        <f t="shared" si="236"/>
        <v>282</v>
      </c>
      <c r="BR192" s="607">
        <f t="shared" si="237"/>
        <v>162</v>
      </c>
      <c r="BS192" s="606">
        <f t="shared" si="238"/>
        <v>200</v>
      </c>
      <c r="BT192" s="607">
        <f t="shared" si="239"/>
        <v>272</v>
      </c>
      <c r="BU192" s="606">
        <f t="shared" si="240"/>
        <v>294</v>
      </c>
      <c r="BV192" s="607">
        <f t="shared" si="241"/>
        <v>0</v>
      </c>
      <c r="BW192" s="608">
        <f t="shared" si="242"/>
        <v>0</v>
      </c>
      <c r="BX192" s="607">
        <f t="shared" si="243"/>
        <v>0</v>
      </c>
      <c r="BY192" s="608">
        <f t="shared" si="244"/>
        <v>0</v>
      </c>
      <c r="BZ192" s="607">
        <f t="shared" si="245"/>
        <v>6376.7012048192773</v>
      </c>
      <c r="CA192" s="608">
        <f t="shared" si="246"/>
        <v>5880.9734693877554</v>
      </c>
      <c r="CB192" s="607">
        <f t="shared" si="247"/>
        <v>5309.2406015037595</v>
      </c>
      <c r="CC192" s="608">
        <f t="shared" si="248"/>
        <v>4876.3687943262412</v>
      </c>
      <c r="CD192" s="607">
        <f t="shared" si="249"/>
        <v>4405.666666666667</v>
      </c>
      <c r="CE192" s="608">
        <f t="shared" si="250"/>
        <v>4016.5349999999999</v>
      </c>
      <c r="CF192" s="607">
        <f t="shared" si="251"/>
        <v>3930.6323529411766</v>
      </c>
      <c r="CG192" s="608">
        <f t="shared" si="252"/>
        <v>3587.8673469387754</v>
      </c>
      <c r="CH192" s="607">
        <f t="shared" si="253"/>
        <v>0</v>
      </c>
      <c r="CI192" s="608">
        <f t="shared" si="254"/>
        <v>0</v>
      </c>
      <c r="CJ192" s="607">
        <f t="shared" si="255"/>
        <v>0</v>
      </c>
      <c r="CK192" s="608">
        <f t="shared" si="256"/>
        <v>0</v>
      </c>
      <c r="CL192" s="609">
        <f t="shared" si="257"/>
        <v>57390.310843373496</v>
      </c>
      <c r="CM192" s="608">
        <f t="shared" si="258"/>
        <v>52928.761224489797</v>
      </c>
      <c r="CN192" s="610">
        <f t="shared" si="259"/>
        <v>47783.165413533832</v>
      </c>
      <c r="CO192" s="606">
        <f t="shared" si="260"/>
        <v>43887.319148936171</v>
      </c>
      <c r="CP192" s="607">
        <f t="shared" si="261"/>
        <v>39651</v>
      </c>
      <c r="CQ192" s="606">
        <f t="shared" si="262"/>
        <v>36148.815000000002</v>
      </c>
      <c r="CR192" s="607">
        <f t="shared" si="263"/>
        <v>35375.691176470587</v>
      </c>
      <c r="CS192" s="606">
        <f t="shared" si="264"/>
        <v>32290.806122448979</v>
      </c>
      <c r="CT192" s="607">
        <f t="shared" si="265"/>
        <v>0</v>
      </c>
      <c r="CU192" s="608">
        <f t="shared" si="266"/>
        <v>0</v>
      </c>
      <c r="CV192" s="610">
        <f t="shared" si="267"/>
        <v>0</v>
      </c>
      <c r="CW192" s="608">
        <f t="shared" si="268"/>
        <v>0</v>
      </c>
      <c r="CX192" s="610">
        <f t="shared" si="269"/>
        <v>46896.644816286767</v>
      </c>
      <c r="CY192" s="611">
        <f t="shared" si="270"/>
        <v>43361.979378317184</v>
      </c>
      <c r="CZ192" s="605">
        <f t="shared" si="271"/>
        <v>43</v>
      </c>
      <c r="DA192" s="612">
        <f t="shared" si="272"/>
        <v>46</v>
      </c>
      <c r="DB192" s="607">
        <f t="shared" si="273"/>
        <v>28</v>
      </c>
      <c r="DC192" s="606">
        <f t="shared" si="274"/>
        <v>27</v>
      </c>
      <c r="DD192" s="607">
        <f t="shared" si="275"/>
        <v>18</v>
      </c>
      <c r="DE192" s="606">
        <f t="shared" si="276"/>
        <v>20</v>
      </c>
      <c r="DF192" s="607">
        <f t="shared" si="277"/>
        <v>30</v>
      </c>
      <c r="DG192" s="606">
        <f t="shared" si="278"/>
        <v>28</v>
      </c>
      <c r="DH192" s="607">
        <f t="shared" si="279"/>
        <v>0</v>
      </c>
      <c r="DI192" s="608">
        <f t="shared" si="280"/>
        <v>0</v>
      </c>
      <c r="DJ192" s="607">
        <f t="shared" si="281"/>
        <v>0</v>
      </c>
      <c r="DK192" s="608">
        <f t="shared" si="282"/>
        <v>0</v>
      </c>
      <c r="DL192" s="607">
        <f t="shared" si="283"/>
        <v>119</v>
      </c>
      <c r="DM192" s="608">
        <f t="shared" si="284"/>
        <v>121</v>
      </c>
      <c r="DN192" s="607">
        <f t="shared" si="285"/>
        <v>2467783.3662650604</v>
      </c>
      <c r="DO192" s="612">
        <f t="shared" si="286"/>
        <v>2434723.0163265308</v>
      </c>
      <c r="DP192" s="607">
        <f t="shared" si="287"/>
        <v>1337928.6315789474</v>
      </c>
      <c r="DQ192" s="606">
        <f t="shared" si="288"/>
        <v>1184957.6170212766</v>
      </c>
      <c r="DR192" s="607">
        <f t="shared" si="289"/>
        <v>713718</v>
      </c>
      <c r="DS192" s="606">
        <f t="shared" si="290"/>
        <v>722976.3</v>
      </c>
      <c r="DT192" s="607">
        <f t="shared" si="291"/>
        <v>1061270.7352941176</v>
      </c>
      <c r="DU192" s="606">
        <f t="shared" si="292"/>
        <v>904142.57142857136</v>
      </c>
      <c r="DV192" s="607">
        <f t="shared" si="293"/>
        <v>0</v>
      </c>
      <c r="DW192" s="608">
        <f t="shared" si="294"/>
        <v>0</v>
      </c>
      <c r="DX192" s="607">
        <f t="shared" si="295"/>
        <v>0</v>
      </c>
      <c r="DY192" s="608">
        <f t="shared" si="296"/>
        <v>0</v>
      </c>
      <c r="DZ192" s="607">
        <f t="shared" si="297"/>
        <v>5580700.7331381254</v>
      </c>
      <c r="EA192" s="608">
        <f t="shared" si="298"/>
        <v>5246799.5047763791</v>
      </c>
    </row>
    <row r="193" spans="1:131" x14ac:dyDescent="0.2">
      <c r="A193" s="341" t="s">
        <v>36</v>
      </c>
      <c r="B193" s="345" t="s">
        <v>730</v>
      </c>
      <c r="C193" s="555"/>
      <c r="D193" s="388">
        <v>156648</v>
      </c>
      <c r="E193" s="425">
        <v>9</v>
      </c>
      <c r="F193" s="598">
        <v>37</v>
      </c>
      <c r="G193" s="599"/>
      <c r="H193" s="600"/>
      <c r="I193" s="601">
        <v>38</v>
      </c>
      <c r="J193" s="600">
        <v>3</v>
      </c>
      <c r="K193" s="599"/>
      <c r="L193" s="600"/>
      <c r="M193" s="601">
        <v>4</v>
      </c>
      <c r="N193" s="600">
        <v>40</v>
      </c>
      <c r="O193" s="599"/>
      <c r="P193" s="600"/>
      <c r="Q193" s="601">
        <v>38</v>
      </c>
      <c r="R193" s="600">
        <v>2</v>
      </c>
      <c r="S193" s="599"/>
      <c r="T193" s="600"/>
      <c r="U193" s="601">
        <v>1</v>
      </c>
      <c r="V193" s="600">
        <v>10</v>
      </c>
      <c r="W193" s="599"/>
      <c r="X193" s="600"/>
      <c r="Y193" s="601">
        <v>19</v>
      </c>
      <c r="Z193" s="600"/>
      <c r="AA193" s="599"/>
      <c r="AB193" s="600"/>
      <c r="AC193" s="601"/>
      <c r="AD193" s="600">
        <v>32</v>
      </c>
      <c r="AE193" s="599"/>
      <c r="AF193" s="600"/>
      <c r="AG193" s="601">
        <v>31</v>
      </c>
      <c r="AH193" s="600">
        <v>1</v>
      </c>
      <c r="AI193" s="599"/>
      <c r="AJ193" s="600"/>
      <c r="AK193" s="601">
        <v>1</v>
      </c>
      <c r="AL193" s="600"/>
      <c r="AM193" s="599"/>
      <c r="AN193" s="600"/>
      <c r="AO193" s="601"/>
      <c r="AP193" s="600"/>
      <c r="AQ193" s="599"/>
      <c r="AR193" s="600"/>
      <c r="AS193" s="601">
        <v>9</v>
      </c>
      <c r="AT193" s="600"/>
      <c r="AU193" s="599"/>
      <c r="AV193" s="600"/>
      <c r="AW193" s="601"/>
      <c r="AX193" s="600"/>
      <c r="AY193" s="599"/>
      <c r="AZ193" s="600"/>
      <c r="BA193" s="601"/>
      <c r="BB193" s="602">
        <v>2471056</v>
      </c>
      <c r="BC193" s="599">
        <f>1114739+1478015</f>
        <v>2592754</v>
      </c>
      <c r="BD193" s="600">
        <v>1984671</v>
      </c>
      <c r="BE193" s="599">
        <f>1215271+666014</f>
        <v>1881285</v>
      </c>
      <c r="BF193" s="600">
        <v>411364</v>
      </c>
      <c r="BG193" s="599">
        <f>458140+331446</f>
        <v>789586</v>
      </c>
      <c r="BH193" s="600">
        <v>1210242</v>
      </c>
      <c r="BI193" s="599">
        <f>655858+526044</f>
        <v>1181902</v>
      </c>
      <c r="BJ193" s="600">
        <v>0</v>
      </c>
      <c r="BK193" s="615">
        <f>90739+32196</f>
        <v>122935</v>
      </c>
      <c r="BL193" s="600">
        <v>0</v>
      </c>
      <c r="BM193" s="604"/>
      <c r="BN193" s="605">
        <f t="shared" si="233"/>
        <v>366</v>
      </c>
      <c r="BO193" s="606">
        <f t="shared" si="234"/>
        <v>428</v>
      </c>
      <c r="BP193" s="607">
        <f t="shared" si="235"/>
        <v>382</v>
      </c>
      <c r="BQ193" s="606">
        <f t="shared" si="236"/>
        <v>392</v>
      </c>
      <c r="BR193" s="607">
        <f t="shared" si="237"/>
        <v>90</v>
      </c>
      <c r="BS193" s="606">
        <f t="shared" si="238"/>
        <v>190</v>
      </c>
      <c r="BT193" s="607">
        <f t="shared" si="239"/>
        <v>299</v>
      </c>
      <c r="BU193" s="606">
        <f t="shared" si="240"/>
        <v>322</v>
      </c>
      <c r="BV193" s="607">
        <f t="shared" si="241"/>
        <v>0</v>
      </c>
      <c r="BW193" s="608">
        <f t="shared" si="242"/>
        <v>108</v>
      </c>
      <c r="BX193" s="607">
        <f t="shared" si="243"/>
        <v>0</v>
      </c>
      <c r="BY193" s="608">
        <f t="shared" si="244"/>
        <v>0</v>
      </c>
      <c r="BZ193" s="607">
        <f t="shared" si="245"/>
        <v>6751.5191256830603</v>
      </c>
      <c r="CA193" s="608">
        <f t="shared" si="246"/>
        <v>6057.836448598131</v>
      </c>
      <c r="CB193" s="607">
        <f t="shared" si="247"/>
        <v>5195.4738219895289</v>
      </c>
      <c r="CC193" s="608">
        <f t="shared" si="248"/>
        <v>4799.1964285714284</v>
      </c>
      <c r="CD193" s="607">
        <f t="shared" si="249"/>
        <v>4570.7111111111108</v>
      </c>
      <c r="CE193" s="608">
        <f t="shared" si="250"/>
        <v>4155.7157894736838</v>
      </c>
      <c r="CF193" s="607">
        <f t="shared" si="251"/>
        <v>4047.6321070234112</v>
      </c>
      <c r="CG193" s="608">
        <f t="shared" si="252"/>
        <v>3670.5031055900622</v>
      </c>
      <c r="CH193" s="607">
        <f t="shared" si="253"/>
        <v>0</v>
      </c>
      <c r="CI193" s="608">
        <f t="shared" si="254"/>
        <v>1138.287037037037</v>
      </c>
      <c r="CJ193" s="607">
        <f t="shared" si="255"/>
        <v>0</v>
      </c>
      <c r="CK193" s="608">
        <f t="shared" si="256"/>
        <v>0</v>
      </c>
      <c r="CL193" s="609">
        <f t="shared" si="257"/>
        <v>60763.672131147541</v>
      </c>
      <c r="CM193" s="608">
        <f t="shared" si="258"/>
        <v>54520.528037383177</v>
      </c>
      <c r="CN193" s="610">
        <f t="shared" si="259"/>
        <v>46759.264397905761</v>
      </c>
      <c r="CO193" s="606">
        <f t="shared" si="260"/>
        <v>43192.767857142855</v>
      </c>
      <c r="CP193" s="607">
        <f t="shared" si="261"/>
        <v>41136.399999999994</v>
      </c>
      <c r="CQ193" s="606">
        <f t="shared" si="262"/>
        <v>37401.442105263151</v>
      </c>
      <c r="CR193" s="607">
        <f t="shared" si="263"/>
        <v>36428.688963210698</v>
      </c>
      <c r="CS193" s="606">
        <f t="shared" si="264"/>
        <v>33034.527950310563</v>
      </c>
      <c r="CT193" s="607">
        <f t="shared" si="265"/>
        <v>0</v>
      </c>
      <c r="CU193" s="608">
        <f t="shared" si="266"/>
        <v>10244.583333333332</v>
      </c>
      <c r="CV193" s="610">
        <f t="shared" si="267"/>
        <v>0</v>
      </c>
      <c r="CW193" s="608">
        <f t="shared" si="268"/>
        <v>0</v>
      </c>
      <c r="CX193" s="610">
        <f t="shared" si="269"/>
        <v>48063.573805951171</v>
      </c>
      <c r="CY193" s="611">
        <f t="shared" si="270"/>
        <v>41378.111123465264</v>
      </c>
      <c r="CZ193" s="605">
        <f t="shared" si="271"/>
        <v>40</v>
      </c>
      <c r="DA193" s="612">
        <f t="shared" si="272"/>
        <v>42</v>
      </c>
      <c r="DB193" s="607">
        <f t="shared" si="273"/>
        <v>42</v>
      </c>
      <c r="DC193" s="606">
        <f t="shared" si="274"/>
        <v>39</v>
      </c>
      <c r="DD193" s="607">
        <f t="shared" si="275"/>
        <v>10</v>
      </c>
      <c r="DE193" s="606">
        <f t="shared" si="276"/>
        <v>19</v>
      </c>
      <c r="DF193" s="607">
        <f t="shared" si="277"/>
        <v>33</v>
      </c>
      <c r="DG193" s="606">
        <f t="shared" si="278"/>
        <v>32</v>
      </c>
      <c r="DH193" s="607">
        <f t="shared" si="279"/>
        <v>0</v>
      </c>
      <c r="DI193" s="608">
        <f t="shared" si="280"/>
        <v>9</v>
      </c>
      <c r="DJ193" s="607">
        <f t="shared" si="281"/>
        <v>0</v>
      </c>
      <c r="DK193" s="608">
        <f t="shared" si="282"/>
        <v>0</v>
      </c>
      <c r="DL193" s="607">
        <f t="shared" si="283"/>
        <v>125</v>
      </c>
      <c r="DM193" s="608">
        <f t="shared" si="284"/>
        <v>141</v>
      </c>
      <c r="DN193" s="607">
        <f t="shared" si="285"/>
        <v>2430546.8852459015</v>
      </c>
      <c r="DO193" s="612">
        <f t="shared" si="286"/>
        <v>2289862.1775700934</v>
      </c>
      <c r="DP193" s="607">
        <f t="shared" si="287"/>
        <v>1963889.104712042</v>
      </c>
      <c r="DQ193" s="606">
        <f t="shared" si="288"/>
        <v>1684517.9464285714</v>
      </c>
      <c r="DR193" s="607">
        <f t="shared" si="289"/>
        <v>411363.99999999994</v>
      </c>
      <c r="DS193" s="606">
        <f t="shared" si="290"/>
        <v>710627.39999999991</v>
      </c>
      <c r="DT193" s="607">
        <f t="shared" si="291"/>
        <v>1202146.735785953</v>
      </c>
      <c r="DU193" s="606">
        <f t="shared" si="292"/>
        <v>1057104.894409938</v>
      </c>
      <c r="DV193" s="607">
        <f t="shared" si="293"/>
        <v>0</v>
      </c>
      <c r="DW193" s="608">
        <f t="shared" si="294"/>
        <v>92201.249999999985</v>
      </c>
      <c r="DX193" s="607">
        <f t="shared" si="295"/>
        <v>0</v>
      </c>
      <c r="DY193" s="608">
        <f t="shared" si="296"/>
        <v>0</v>
      </c>
      <c r="DZ193" s="607">
        <f t="shared" si="297"/>
        <v>6007946.7257438963</v>
      </c>
      <c r="EA193" s="608">
        <f t="shared" si="298"/>
        <v>5834313.6684086025</v>
      </c>
    </row>
    <row r="194" spans="1:131" x14ac:dyDescent="0.2">
      <c r="A194" s="489" t="s">
        <v>36</v>
      </c>
      <c r="B194" s="421" t="s">
        <v>738</v>
      </c>
      <c r="C194" s="556" t="s">
        <v>743</v>
      </c>
      <c r="D194" s="388">
        <v>156790</v>
      </c>
      <c r="E194" s="384">
        <v>9</v>
      </c>
      <c r="F194" s="598">
        <v>43</v>
      </c>
      <c r="G194" s="599"/>
      <c r="H194" s="600"/>
      <c r="I194" s="601">
        <f>18+25</f>
        <v>43</v>
      </c>
      <c r="J194" s="600">
        <v>11</v>
      </c>
      <c r="K194" s="599"/>
      <c r="L194" s="600"/>
      <c r="M194" s="601">
        <v>10</v>
      </c>
      <c r="N194" s="600">
        <v>20</v>
      </c>
      <c r="O194" s="599"/>
      <c r="P194" s="600"/>
      <c r="Q194" s="601">
        <v>18</v>
      </c>
      <c r="R194" s="600">
        <v>5</v>
      </c>
      <c r="S194" s="599"/>
      <c r="T194" s="600"/>
      <c r="U194" s="601">
        <v>4</v>
      </c>
      <c r="V194" s="600">
        <v>9</v>
      </c>
      <c r="W194" s="599"/>
      <c r="X194" s="600"/>
      <c r="Y194" s="601">
        <v>8</v>
      </c>
      <c r="Z194" s="600">
        <v>3</v>
      </c>
      <c r="AA194" s="599"/>
      <c r="AB194" s="600"/>
      <c r="AC194" s="601">
        <v>7</v>
      </c>
      <c r="AD194" s="600">
        <v>11</v>
      </c>
      <c r="AE194" s="599"/>
      <c r="AF194" s="600"/>
      <c r="AG194" s="601">
        <v>11</v>
      </c>
      <c r="AH194" s="600">
        <v>9</v>
      </c>
      <c r="AI194" s="599"/>
      <c r="AJ194" s="600"/>
      <c r="AK194" s="601">
        <v>5</v>
      </c>
      <c r="AL194" s="600"/>
      <c r="AM194" s="599"/>
      <c r="AN194" s="600"/>
      <c r="AO194" s="601"/>
      <c r="AP194" s="600"/>
      <c r="AQ194" s="599"/>
      <c r="AR194" s="600"/>
      <c r="AS194" s="601"/>
      <c r="AT194" s="600"/>
      <c r="AU194" s="599"/>
      <c r="AV194" s="600"/>
      <c r="AW194" s="601"/>
      <c r="AX194" s="600"/>
      <c r="AY194" s="599"/>
      <c r="AZ194" s="600"/>
      <c r="BA194" s="601"/>
      <c r="BB194" s="602">
        <v>3338837</v>
      </c>
      <c r="BC194" s="599">
        <f>1235511+2073838</f>
        <v>3309349</v>
      </c>
      <c r="BD194" s="600">
        <v>1274578</v>
      </c>
      <c r="BE194" s="599">
        <f>495881+647524</f>
        <v>1143405</v>
      </c>
      <c r="BF194" s="600">
        <v>563557</v>
      </c>
      <c r="BG194" s="599">
        <f>434930+281989</f>
        <v>716919</v>
      </c>
      <c r="BH194" s="600">
        <v>834224</v>
      </c>
      <c r="BI194" s="599">
        <f>381244+275913</f>
        <v>657157</v>
      </c>
      <c r="BJ194" s="600">
        <v>0</v>
      </c>
      <c r="BK194" s="615"/>
      <c r="BL194" s="600">
        <v>0</v>
      </c>
      <c r="BM194" s="604"/>
      <c r="BN194" s="605">
        <f t="shared" si="233"/>
        <v>508</v>
      </c>
      <c r="BO194" s="606">
        <f t="shared" si="234"/>
        <v>550</v>
      </c>
      <c r="BP194" s="607">
        <f t="shared" si="235"/>
        <v>235</v>
      </c>
      <c r="BQ194" s="606">
        <f t="shared" si="236"/>
        <v>228</v>
      </c>
      <c r="BR194" s="607">
        <f t="shared" si="237"/>
        <v>114</v>
      </c>
      <c r="BS194" s="606">
        <f t="shared" si="238"/>
        <v>164</v>
      </c>
      <c r="BT194" s="607">
        <f t="shared" si="239"/>
        <v>198</v>
      </c>
      <c r="BU194" s="606">
        <f t="shared" si="240"/>
        <v>170</v>
      </c>
      <c r="BV194" s="607">
        <f t="shared" si="241"/>
        <v>0</v>
      </c>
      <c r="BW194" s="608">
        <f t="shared" si="242"/>
        <v>0</v>
      </c>
      <c r="BX194" s="607">
        <f t="shared" si="243"/>
        <v>0</v>
      </c>
      <c r="BY194" s="608">
        <f t="shared" si="244"/>
        <v>0</v>
      </c>
      <c r="BZ194" s="607">
        <f t="shared" si="245"/>
        <v>6572.5137795275587</v>
      </c>
      <c r="CA194" s="608">
        <f t="shared" si="246"/>
        <v>6016.9981818181814</v>
      </c>
      <c r="CB194" s="607">
        <f t="shared" si="247"/>
        <v>5423.7361702127664</v>
      </c>
      <c r="CC194" s="608">
        <f t="shared" si="248"/>
        <v>5014.9342105263158</v>
      </c>
      <c r="CD194" s="607">
        <f t="shared" si="249"/>
        <v>4943.4824561403511</v>
      </c>
      <c r="CE194" s="608">
        <f t="shared" si="250"/>
        <v>4371.457317073171</v>
      </c>
      <c r="CF194" s="607">
        <f t="shared" si="251"/>
        <v>4213.2525252525256</v>
      </c>
      <c r="CG194" s="608">
        <f t="shared" si="252"/>
        <v>3865.6294117647058</v>
      </c>
      <c r="CH194" s="607">
        <f t="shared" si="253"/>
        <v>0</v>
      </c>
      <c r="CI194" s="608">
        <f t="shared" si="254"/>
        <v>0</v>
      </c>
      <c r="CJ194" s="607">
        <f t="shared" si="255"/>
        <v>0</v>
      </c>
      <c r="CK194" s="608">
        <f t="shared" si="256"/>
        <v>0</v>
      </c>
      <c r="CL194" s="609">
        <f t="shared" si="257"/>
        <v>59152.624015748028</v>
      </c>
      <c r="CM194" s="608">
        <f t="shared" si="258"/>
        <v>54152.983636363635</v>
      </c>
      <c r="CN194" s="610">
        <f t="shared" si="259"/>
        <v>48813.625531914899</v>
      </c>
      <c r="CO194" s="606">
        <f t="shared" si="260"/>
        <v>45134.40789473684</v>
      </c>
      <c r="CP194" s="607">
        <f t="shared" si="261"/>
        <v>44491.34210526316</v>
      </c>
      <c r="CQ194" s="606">
        <f t="shared" si="262"/>
        <v>39343.115853658543</v>
      </c>
      <c r="CR194" s="607">
        <f t="shared" si="263"/>
        <v>37919.272727272728</v>
      </c>
      <c r="CS194" s="606">
        <f t="shared" si="264"/>
        <v>34790.664705882351</v>
      </c>
      <c r="CT194" s="607">
        <f t="shared" si="265"/>
        <v>0</v>
      </c>
      <c r="CU194" s="608">
        <f t="shared" si="266"/>
        <v>0</v>
      </c>
      <c r="CV194" s="610">
        <f t="shared" si="267"/>
        <v>0</v>
      </c>
      <c r="CW194" s="608">
        <f t="shared" si="268"/>
        <v>0</v>
      </c>
      <c r="CX194" s="610">
        <f t="shared" si="269"/>
        <v>51413.188242854754</v>
      </c>
      <c r="CY194" s="611">
        <f t="shared" si="270"/>
        <v>47262.853580287541</v>
      </c>
      <c r="CZ194" s="605">
        <f t="shared" si="271"/>
        <v>54</v>
      </c>
      <c r="DA194" s="612">
        <f t="shared" si="272"/>
        <v>53</v>
      </c>
      <c r="DB194" s="607">
        <f t="shared" si="273"/>
        <v>25</v>
      </c>
      <c r="DC194" s="606">
        <f t="shared" si="274"/>
        <v>22</v>
      </c>
      <c r="DD194" s="607">
        <f t="shared" si="275"/>
        <v>12</v>
      </c>
      <c r="DE194" s="606">
        <f t="shared" si="276"/>
        <v>15</v>
      </c>
      <c r="DF194" s="607">
        <f t="shared" si="277"/>
        <v>20</v>
      </c>
      <c r="DG194" s="606">
        <f t="shared" si="278"/>
        <v>16</v>
      </c>
      <c r="DH194" s="607">
        <f t="shared" si="279"/>
        <v>0</v>
      </c>
      <c r="DI194" s="608">
        <f t="shared" si="280"/>
        <v>0</v>
      </c>
      <c r="DJ194" s="607">
        <f t="shared" si="281"/>
        <v>0</v>
      </c>
      <c r="DK194" s="608">
        <f t="shared" si="282"/>
        <v>0</v>
      </c>
      <c r="DL194" s="607">
        <f t="shared" si="283"/>
        <v>111</v>
      </c>
      <c r="DM194" s="608">
        <f t="shared" si="284"/>
        <v>106</v>
      </c>
      <c r="DN194" s="607">
        <f t="shared" si="285"/>
        <v>3194241.6968503934</v>
      </c>
      <c r="DO194" s="612">
        <f t="shared" si="286"/>
        <v>2870108.1327272728</v>
      </c>
      <c r="DP194" s="607">
        <f t="shared" si="287"/>
        <v>1220340.6382978724</v>
      </c>
      <c r="DQ194" s="606">
        <f t="shared" si="288"/>
        <v>992956.97368421045</v>
      </c>
      <c r="DR194" s="607">
        <f t="shared" si="289"/>
        <v>533896.10526315798</v>
      </c>
      <c r="DS194" s="606">
        <f t="shared" si="290"/>
        <v>590146.73780487815</v>
      </c>
      <c r="DT194" s="607">
        <f t="shared" si="291"/>
        <v>758385.45454545459</v>
      </c>
      <c r="DU194" s="606">
        <f t="shared" si="292"/>
        <v>556650.63529411762</v>
      </c>
      <c r="DV194" s="607">
        <f t="shared" si="293"/>
        <v>0</v>
      </c>
      <c r="DW194" s="608">
        <f t="shared" si="294"/>
        <v>0</v>
      </c>
      <c r="DX194" s="607">
        <f t="shared" si="295"/>
        <v>0</v>
      </c>
      <c r="DY194" s="608">
        <f t="shared" si="296"/>
        <v>0</v>
      </c>
      <c r="DZ194" s="607">
        <f t="shared" si="297"/>
        <v>5706863.8949568775</v>
      </c>
      <c r="EA194" s="608">
        <f t="shared" si="298"/>
        <v>5009862.4795104796</v>
      </c>
    </row>
    <row r="195" spans="1:131" x14ac:dyDescent="0.2">
      <c r="A195" s="341" t="s">
        <v>36</v>
      </c>
      <c r="B195" s="421" t="s">
        <v>731</v>
      </c>
      <c r="C195" s="556"/>
      <c r="D195" s="388">
        <v>156860</v>
      </c>
      <c r="E195" s="351">
        <v>9</v>
      </c>
      <c r="F195" s="598">
        <v>20</v>
      </c>
      <c r="G195" s="599"/>
      <c r="H195" s="600"/>
      <c r="I195" s="601">
        <v>18</v>
      </c>
      <c r="J195" s="600">
        <v>3</v>
      </c>
      <c r="K195" s="599"/>
      <c r="L195" s="600"/>
      <c r="M195" s="601">
        <v>4</v>
      </c>
      <c r="N195" s="600">
        <v>14</v>
      </c>
      <c r="O195" s="599"/>
      <c r="P195" s="600"/>
      <c r="Q195" s="601">
        <v>15</v>
      </c>
      <c r="R195" s="600">
        <v>4</v>
      </c>
      <c r="S195" s="599"/>
      <c r="T195" s="600"/>
      <c r="U195" s="601">
        <v>5</v>
      </c>
      <c r="V195" s="600">
        <v>10</v>
      </c>
      <c r="W195" s="599"/>
      <c r="X195" s="600"/>
      <c r="Y195" s="601">
        <v>8</v>
      </c>
      <c r="Z195" s="600">
        <v>1</v>
      </c>
      <c r="AA195" s="599"/>
      <c r="AB195" s="600"/>
      <c r="AC195" s="601"/>
      <c r="AD195" s="600">
        <v>17</v>
      </c>
      <c r="AE195" s="599"/>
      <c r="AF195" s="600"/>
      <c r="AG195" s="601">
        <v>20</v>
      </c>
      <c r="AH195" s="600"/>
      <c r="AI195" s="599"/>
      <c r="AJ195" s="600"/>
      <c r="AK195" s="601"/>
      <c r="AL195" s="600"/>
      <c r="AM195" s="599"/>
      <c r="AN195" s="600"/>
      <c r="AO195" s="601"/>
      <c r="AP195" s="600"/>
      <c r="AQ195" s="599"/>
      <c r="AR195" s="600"/>
      <c r="AS195" s="601"/>
      <c r="AT195" s="600"/>
      <c r="AU195" s="599"/>
      <c r="AV195" s="600"/>
      <c r="AW195" s="601"/>
      <c r="AX195" s="600"/>
      <c r="AY195" s="599"/>
      <c r="AZ195" s="600"/>
      <c r="BA195" s="601"/>
      <c r="BB195" s="602">
        <v>1431984</v>
      </c>
      <c r="BC195" s="599">
        <f>919375+492625</f>
        <v>1412000</v>
      </c>
      <c r="BD195" s="600">
        <v>892948</v>
      </c>
      <c r="BE195" s="599">
        <f>674518+333746</f>
        <v>1008264</v>
      </c>
      <c r="BF195" s="600">
        <v>445449</v>
      </c>
      <c r="BG195" s="599">
        <f>121164+209672</f>
        <v>330836</v>
      </c>
      <c r="BH195" s="600">
        <v>659720</v>
      </c>
      <c r="BI195" s="599">
        <f>223821+551395</f>
        <v>775216</v>
      </c>
      <c r="BJ195" s="600">
        <v>0</v>
      </c>
      <c r="BK195" s="615"/>
      <c r="BL195" s="600">
        <v>0</v>
      </c>
      <c r="BM195" s="604"/>
      <c r="BN195" s="605">
        <f t="shared" si="233"/>
        <v>213</v>
      </c>
      <c r="BO195" s="606">
        <f t="shared" si="234"/>
        <v>228</v>
      </c>
      <c r="BP195" s="607">
        <f t="shared" si="235"/>
        <v>170</v>
      </c>
      <c r="BQ195" s="606">
        <f t="shared" si="236"/>
        <v>210</v>
      </c>
      <c r="BR195" s="607">
        <f t="shared" si="237"/>
        <v>101</v>
      </c>
      <c r="BS195" s="606">
        <f t="shared" si="238"/>
        <v>80</v>
      </c>
      <c r="BT195" s="607">
        <f t="shared" si="239"/>
        <v>153</v>
      </c>
      <c r="BU195" s="606">
        <f t="shared" si="240"/>
        <v>200</v>
      </c>
      <c r="BV195" s="607">
        <f t="shared" si="241"/>
        <v>0</v>
      </c>
      <c r="BW195" s="608">
        <f t="shared" si="242"/>
        <v>0</v>
      </c>
      <c r="BX195" s="607">
        <f t="shared" si="243"/>
        <v>0</v>
      </c>
      <c r="BY195" s="608">
        <f t="shared" si="244"/>
        <v>0</v>
      </c>
      <c r="BZ195" s="607">
        <f t="shared" si="245"/>
        <v>6722.929577464789</v>
      </c>
      <c r="CA195" s="608">
        <f t="shared" si="246"/>
        <v>6192.9824561403511</v>
      </c>
      <c r="CB195" s="607">
        <f t="shared" si="247"/>
        <v>5252.6352941176474</v>
      </c>
      <c r="CC195" s="608">
        <f t="shared" si="248"/>
        <v>4801.2571428571428</v>
      </c>
      <c r="CD195" s="607">
        <f t="shared" si="249"/>
        <v>4410.3861386138615</v>
      </c>
      <c r="CE195" s="608">
        <f t="shared" si="250"/>
        <v>4135.45</v>
      </c>
      <c r="CF195" s="607">
        <f t="shared" si="251"/>
        <v>4311.8954248366017</v>
      </c>
      <c r="CG195" s="608">
        <f t="shared" si="252"/>
        <v>3876.08</v>
      </c>
      <c r="CH195" s="607">
        <f t="shared" si="253"/>
        <v>0</v>
      </c>
      <c r="CI195" s="608">
        <f t="shared" si="254"/>
        <v>0</v>
      </c>
      <c r="CJ195" s="607">
        <f t="shared" si="255"/>
        <v>0</v>
      </c>
      <c r="CK195" s="608">
        <f t="shared" si="256"/>
        <v>0</v>
      </c>
      <c r="CL195" s="609">
        <f t="shared" si="257"/>
        <v>60506.366197183102</v>
      </c>
      <c r="CM195" s="608">
        <f t="shared" si="258"/>
        <v>55736.84210526316</v>
      </c>
      <c r="CN195" s="610">
        <f t="shared" si="259"/>
        <v>47273.717647058824</v>
      </c>
      <c r="CO195" s="606">
        <f t="shared" si="260"/>
        <v>43211.314285714281</v>
      </c>
      <c r="CP195" s="607">
        <f t="shared" si="261"/>
        <v>39693.475247524751</v>
      </c>
      <c r="CQ195" s="606">
        <f t="shared" si="262"/>
        <v>37219.049999999996</v>
      </c>
      <c r="CR195" s="607">
        <f t="shared" si="263"/>
        <v>38807.058823529413</v>
      </c>
      <c r="CS195" s="606">
        <f t="shared" si="264"/>
        <v>34884.720000000001</v>
      </c>
      <c r="CT195" s="607">
        <f t="shared" si="265"/>
        <v>0</v>
      </c>
      <c r="CU195" s="608">
        <f t="shared" si="266"/>
        <v>0</v>
      </c>
      <c r="CV195" s="610">
        <f t="shared" si="267"/>
        <v>0</v>
      </c>
      <c r="CW195" s="608">
        <f t="shared" si="268"/>
        <v>0</v>
      </c>
      <c r="CX195" s="610">
        <f t="shared" si="269"/>
        <v>48390.167650797717</v>
      </c>
      <c r="CY195" s="611">
        <f t="shared" si="270"/>
        <v>44084.051600429644</v>
      </c>
      <c r="CZ195" s="605">
        <f t="shared" si="271"/>
        <v>23</v>
      </c>
      <c r="DA195" s="612">
        <f t="shared" si="272"/>
        <v>22</v>
      </c>
      <c r="DB195" s="607">
        <f t="shared" si="273"/>
        <v>18</v>
      </c>
      <c r="DC195" s="606">
        <f t="shared" si="274"/>
        <v>20</v>
      </c>
      <c r="DD195" s="607">
        <f t="shared" si="275"/>
        <v>11</v>
      </c>
      <c r="DE195" s="606">
        <f t="shared" si="276"/>
        <v>8</v>
      </c>
      <c r="DF195" s="607">
        <f t="shared" si="277"/>
        <v>17</v>
      </c>
      <c r="DG195" s="606">
        <f t="shared" si="278"/>
        <v>20</v>
      </c>
      <c r="DH195" s="607">
        <f t="shared" si="279"/>
        <v>0</v>
      </c>
      <c r="DI195" s="608">
        <f t="shared" si="280"/>
        <v>0</v>
      </c>
      <c r="DJ195" s="607">
        <f t="shared" si="281"/>
        <v>0</v>
      </c>
      <c r="DK195" s="608">
        <f t="shared" si="282"/>
        <v>0</v>
      </c>
      <c r="DL195" s="607">
        <f t="shared" si="283"/>
        <v>69</v>
      </c>
      <c r="DM195" s="608">
        <f t="shared" si="284"/>
        <v>70</v>
      </c>
      <c r="DN195" s="607">
        <f t="shared" si="285"/>
        <v>1391646.4225352113</v>
      </c>
      <c r="DO195" s="612">
        <f t="shared" si="286"/>
        <v>1226210.5263157894</v>
      </c>
      <c r="DP195" s="607">
        <f t="shared" si="287"/>
        <v>850926.91764705884</v>
      </c>
      <c r="DQ195" s="606">
        <f t="shared" si="288"/>
        <v>864226.28571428568</v>
      </c>
      <c r="DR195" s="607">
        <f t="shared" si="289"/>
        <v>436628.22772277228</v>
      </c>
      <c r="DS195" s="606">
        <f t="shared" si="290"/>
        <v>297752.39999999997</v>
      </c>
      <c r="DT195" s="607">
        <f t="shared" si="291"/>
        <v>659720</v>
      </c>
      <c r="DU195" s="606">
        <f t="shared" si="292"/>
        <v>697694.4</v>
      </c>
      <c r="DV195" s="607">
        <f t="shared" si="293"/>
        <v>0</v>
      </c>
      <c r="DW195" s="608">
        <f t="shared" si="294"/>
        <v>0</v>
      </c>
      <c r="DX195" s="607">
        <f t="shared" si="295"/>
        <v>0</v>
      </c>
      <c r="DY195" s="608">
        <f t="shared" si="296"/>
        <v>0</v>
      </c>
      <c r="DZ195" s="607">
        <f t="shared" si="297"/>
        <v>3338921.5679050423</v>
      </c>
      <c r="EA195" s="608">
        <f t="shared" si="298"/>
        <v>3085883.6120300749</v>
      </c>
    </row>
    <row r="196" spans="1:131" x14ac:dyDescent="0.2">
      <c r="A196" s="489" t="s">
        <v>36</v>
      </c>
      <c r="B196" s="385" t="s">
        <v>732</v>
      </c>
      <c r="C196" s="536"/>
      <c r="D196" s="388">
        <v>157304</v>
      </c>
      <c r="E196" s="389">
        <v>9</v>
      </c>
      <c r="F196" s="598">
        <v>34</v>
      </c>
      <c r="G196" s="599"/>
      <c r="H196" s="600"/>
      <c r="I196" s="601">
        <v>33</v>
      </c>
      <c r="J196" s="600">
        <v>6</v>
      </c>
      <c r="K196" s="599"/>
      <c r="L196" s="600"/>
      <c r="M196" s="601">
        <v>7</v>
      </c>
      <c r="N196" s="600">
        <v>23</v>
      </c>
      <c r="O196" s="599"/>
      <c r="P196" s="600"/>
      <c r="Q196" s="601">
        <v>21</v>
      </c>
      <c r="R196" s="600">
        <v>4</v>
      </c>
      <c r="S196" s="599"/>
      <c r="T196" s="600"/>
      <c r="U196" s="601">
        <v>2</v>
      </c>
      <c r="V196" s="600">
        <v>11</v>
      </c>
      <c r="W196" s="599"/>
      <c r="X196" s="600"/>
      <c r="Y196" s="601">
        <v>15</v>
      </c>
      <c r="Z196" s="600">
        <v>2</v>
      </c>
      <c r="AA196" s="599"/>
      <c r="AB196" s="600"/>
      <c r="AC196" s="601">
        <v>3</v>
      </c>
      <c r="AD196" s="600">
        <v>20</v>
      </c>
      <c r="AE196" s="599"/>
      <c r="AF196" s="600"/>
      <c r="AG196" s="601">
        <v>18</v>
      </c>
      <c r="AH196" s="600">
        <v>8</v>
      </c>
      <c r="AI196" s="599"/>
      <c r="AJ196" s="600"/>
      <c r="AK196" s="601">
        <v>8</v>
      </c>
      <c r="AL196" s="600"/>
      <c r="AM196" s="599"/>
      <c r="AN196" s="600"/>
      <c r="AO196" s="601"/>
      <c r="AP196" s="600"/>
      <c r="AQ196" s="599"/>
      <c r="AR196" s="600"/>
      <c r="AS196" s="601"/>
      <c r="AT196" s="600"/>
      <c r="AU196" s="599"/>
      <c r="AV196" s="600"/>
      <c r="AW196" s="601"/>
      <c r="AX196" s="600"/>
      <c r="AY196" s="599"/>
      <c r="AZ196" s="600"/>
      <c r="BA196" s="601"/>
      <c r="BB196" s="602">
        <v>2432501</v>
      </c>
      <c r="BC196" s="599">
        <f>895323+1581478</f>
        <v>2476801</v>
      </c>
      <c r="BD196" s="600">
        <v>1305185</v>
      </c>
      <c r="BE196" s="599">
        <f>343176+775524</f>
        <v>1118700</v>
      </c>
      <c r="BF196" s="600">
        <v>548788</v>
      </c>
      <c r="BG196" s="599">
        <f>243080+522229</f>
        <v>765309</v>
      </c>
      <c r="BH196" s="600">
        <v>1170936</v>
      </c>
      <c r="BI196" s="599">
        <f>381630+739978</f>
        <v>1121608</v>
      </c>
      <c r="BJ196" s="600">
        <v>0</v>
      </c>
      <c r="BK196" s="615"/>
      <c r="BL196" s="600">
        <v>0</v>
      </c>
      <c r="BM196" s="604"/>
      <c r="BN196" s="605">
        <f t="shared" si="233"/>
        <v>372</v>
      </c>
      <c r="BO196" s="606">
        <f t="shared" si="234"/>
        <v>414</v>
      </c>
      <c r="BP196" s="607">
        <f t="shared" si="235"/>
        <v>251</v>
      </c>
      <c r="BQ196" s="606">
        <f t="shared" si="236"/>
        <v>234</v>
      </c>
      <c r="BR196" s="607">
        <f t="shared" si="237"/>
        <v>121</v>
      </c>
      <c r="BS196" s="606">
        <f t="shared" si="238"/>
        <v>186</v>
      </c>
      <c r="BT196" s="607">
        <f t="shared" si="239"/>
        <v>268</v>
      </c>
      <c r="BU196" s="606">
        <f t="shared" si="240"/>
        <v>276</v>
      </c>
      <c r="BV196" s="607">
        <f t="shared" si="241"/>
        <v>0</v>
      </c>
      <c r="BW196" s="608">
        <f t="shared" si="242"/>
        <v>0</v>
      </c>
      <c r="BX196" s="607">
        <f t="shared" si="243"/>
        <v>0</v>
      </c>
      <c r="BY196" s="608">
        <f t="shared" si="244"/>
        <v>0</v>
      </c>
      <c r="BZ196" s="607">
        <f t="shared" si="245"/>
        <v>6538.9811827956992</v>
      </c>
      <c r="CA196" s="608">
        <f t="shared" si="246"/>
        <v>5982.6111111111113</v>
      </c>
      <c r="CB196" s="607">
        <f t="shared" si="247"/>
        <v>5199.9402390438245</v>
      </c>
      <c r="CC196" s="608">
        <f t="shared" si="248"/>
        <v>4780.7692307692305</v>
      </c>
      <c r="CD196" s="607">
        <f t="shared" si="249"/>
        <v>4535.4380165289258</v>
      </c>
      <c r="CE196" s="608">
        <f t="shared" si="250"/>
        <v>4114.5645161290322</v>
      </c>
      <c r="CF196" s="607">
        <f t="shared" si="251"/>
        <v>4369.1641791044776</v>
      </c>
      <c r="CG196" s="608">
        <f t="shared" si="252"/>
        <v>4063.7971014492755</v>
      </c>
      <c r="CH196" s="607">
        <f t="shared" si="253"/>
        <v>0</v>
      </c>
      <c r="CI196" s="608">
        <f t="shared" si="254"/>
        <v>0</v>
      </c>
      <c r="CJ196" s="607">
        <f t="shared" si="255"/>
        <v>0</v>
      </c>
      <c r="CK196" s="608">
        <f t="shared" si="256"/>
        <v>0</v>
      </c>
      <c r="CL196" s="609">
        <f t="shared" si="257"/>
        <v>58850.830645161295</v>
      </c>
      <c r="CM196" s="608">
        <f t="shared" si="258"/>
        <v>53843.5</v>
      </c>
      <c r="CN196" s="610">
        <f t="shared" si="259"/>
        <v>46799.462151394422</v>
      </c>
      <c r="CO196" s="606">
        <f t="shared" si="260"/>
        <v>43026.923076923078</v>
      </c>
      <c r="CP196" s="607">
        <f t="shared" si="261"/>
        <v>40818.942148760332</v>
      </c>
      <c r="CQ196" s="606">
        <f t="shared" si="262"/>
        <v>37031.080645161288</v>
      </c>
      <c r="CR196" s="607">
        <f t="shared" si="263"/>
        <v>39322.477611940296</v>
      </c>
      <c r="CS196" s="606">
        <f t="shared" si="264"/>
        <v>36574.17391304348</v>
      </c>
      <c r="CT196" s="607">
        <f t="shared" si="265"/>
        <v>0</v>
      </c>
      <c r="CU196" s="608">
        <f t="shared" si="266"/>
        <v>0</v>
      </c>
      <c r="CV196" s="610">
        <f t="shared" si="267"/>
        <v>0</v>
      </c>
      <c r="CW196" s="608">
        <f t="shared" si="268"/>
        <v>0</v>
      </c>
      <c r="CX196" s="610">
        <f t="shared" si="269"/>
        <v>48604.577082984382</v>
      </c>
      <c r="CY196" s="611">
        <f t="shared" si="270"/>
        <v>44493.899103937052</v>
      </c>
      <c r="CZ196" s="605">
        <f t="shared" si="271"/>
        <v>40</v>
      </c>
      <c r="DA196" s="612">
        <f t="shared" si="272"/>
        <v>40</v>
      </c>
      <c r="DB196" s="607">
        <f t="shared" si="273"/>
        <v>27</v>
      </c>
      <c r="DC196" s="606">
        <f t="shared" si="274"/>
        <v>23</v>
      </c>
      <c r="DD196" s="607">
        <f t="shared" si="275"/>
        <v>13</v>
      </c>
      <c r="DE196" s="606">
        <f t="shared" si="276"/>
        <v>18</v>
      </c>
      <c r="DF196" s="607">
        <f t="shared" si="277"/>
        <v>28</v>
      </c>
      <c r="DG196" s="606">
        <f t="shared" si="278"/>
        <v>26</v>
      </c>
      <c r="DH196" s="607">
        <f t="shared" si="279"/>
        <v>0</v>
      </c>
      <c r="DI196" s="608">
        <f t="shared" si="280"/>
        <v>0</v>
      </c>
      <c r="DJ196" s="607">
        <f t="shared" si="281"/>
        <v>0</v>
      </c>
      <c r="DK196" s="608">
        <f t="shared" si="282"/>
        <v>0</v>
      </c>
      <c r="DL196" s="607">
        <f t="shared" si="283"/>
        <v>108</v>
      </c>
      <c r="DM196" s="608">
        <f t="shared" si="284"/>
        <v>107</v>
      </c>
      <c r="DN196" s="607">
        <f t="shared" si="285"/>
        <v>2354033.2258064519</v>
      </c>
      <c r="DO196" s="612">
        <f t="shared" si="286"/>
        <v>2153740</v>
      </c>
      <c r="DP196" s="607">
        <f t="shared" si="287"/>
        <v>1263585.4780876494</v>
      </c>
      <c r="DQ196" s="606">
        <f t="shared" si="288"/>
        <v>989619.23076923075</v>
      </c>
      <c r="DR196" s="607">
        <f t="shared" si="289"/>
        <v>530646.24793388427</v>
      </c>
      <c r="DS196" s="606">
        <f t="shared" si="290"/>
        <v>666559.45161290315</v>
      </c>
      <c r="DT196" s="607">
        <f t="shared" si="291"/>
        <v>1101029.3731343283</v>
      </c>
      <c r="DU196" s="606">
        <f t="shared" si="292"/>
        <v>950928.52173913049</v>
      </c>
      <c r="DV196" s="607">
        <f t="shared" si="293"/>
        <v>0</v>
      </c>
      <c r="DW196" s="608">
        <f t="shared" si="294"/>
        <v>0</v>
      </c>
      <c r="DX196" s="607">
        <f t="shared" si="295"/>
        <v>0</v>
      </c>
      <c r="DY196" s="608">
        <f t="shared" si="296"/>
        <v>0</v>
      </c>
      <c r="DZ196" s="607">
        <f t="shared" si="297"/>
        <v>5249294.3249623133</v>
      </c>
      <c r="EA196" s="608">
        <f t="shared" si="298"/>
        <v>4760847.2041212646</v>
      </c>
    </row>
    <row r="197" spans="1:131" x14ac:dyDescent="0.2">
      <c r="A197" s="489" t="s">
        <v>36</v>
      </c>
      <c r="B197" s="385" t="s">
        <v>733</v>
      </c>
      <c r="C197" s="536"/>
      <c r="D197" s="388">
        <v>157331</v>
      </c>
      <c r="E197" s="389">
        <v>9</v>
      </c>
      <c r="F197" s="598">
        <v>24</v>
      </c>
      <c r="G197" s="599"/>
      <c r="H197" s="600"/>
      <c r="I197" s="601">
        <v>25</v>
      </c>
      <c r="J197" s="600">
        <v>5</v>
      </c>
      <c r="K197" s="599"/>
      <c r="L197" s="600"/>
      <c r="M197" s="601">
        <v>5</v>
      </c>
      <c r="N197" s="600">
        <v>30</v>
      </c>
      <c r="O197" s="599"/>
      <c r="P197" s="600"/>
      <c r="Q197" s="601">
        <v>27</v>
      </c>
      <c r="R197" s="600">
        <v>4</v>
      </c>
      <c r="S197" s="599"/>
      <c r="T197" s="600"/>
      <c r="U197" s="601">
        <v>2</v>
      </c>
      <c r="V197" s="600">
        <v>9</v>
      </c>
      <c r="W197" s="599"/>
      <c r="X197" s="600"/>
      <c r="Y197" s="601">
        <v>13</v>
      </c>
      <c r="Z197" s="600"/>
      <c r="AA197" s="599"/>
      <c r="AB197" s="600"/>
      <c r="AC197" s="601"/>
      <c r="AD197" s="600">
        <v>19</v>
      </c>
      <c r="AE197" s="599"/>
      <c r="AF197" s="600"/>
      <c r="AG197" s="601">
        <v>18</v>
      </c>
      <c r="AH197" s="600"/>
      <c r="AI197" s="599"/>
      <c r="AJ197" s="600"/>
      <c r="AK197" s="601"/>
      <c r="AL197" s="600"/>
      <c r="AM197" s="599"/>
      <c r="AN197" s="600"/>
      <c r="AO197" s="601"/>
      <c r="AP197" s="600"/>
      <c r="AQ197" s="599"/>
      <c r="AR197" s="600"/>
      <c r="AS197" s="601">
        <v>3</v>
      </c>
      <c r="AT197" s="600"/>
      <c r="AU197" s="599"/>
      <c r="AV197" s="600"/>
      <c r="AW197" s="601"/>
      <c r="AX197" s="600"/>
      <c r="AY197" s="599"/>
      <c r="AZ197" s="600"/>
      <c r="BA197" s="601"/>
      <c r="BB197" s="602">
        <v>1825366</v>
      </c>
      <c r="BC197" s="599">
        <f>715646+1185838</f>
        <v>1901484</v>
      </c>
      <c r="BD197" s="600">
        <v>1653217</v>
      </c>
      <c r="BE197" s="599">
        <f>514848+918834</f>
        <v>1433682</v>
      </c>
      <c r="BF197" s="600">
        <v>383381</v>
      </c>
      <c r="BG197" s="599">
        <f>169913+390890</f>
        <v>560803</v>
      </c>
      <c r="BH197" s="600">
        <v>722523</v>
      </c>
      <c r="BI197" s="599">
        <f>226653+467995</f>
        <v>694648</v>
      </c>
      <c r="BJ197" s="600">
        <v>0</v>
      </c>
      <c r="BK197" s="615">
        <f>34667+49000</f>
        <v>83667</v>
      </c>
      <c r="BL197" s="600">
        <v>0</v>
      </c>
      <c r="BM197" s="604"/>
      <c r="BN197" s="605">
        <f t="shared" si="233"/>
        <v>271</v>
      </c>
      <c r="BO197" s="606">
        <f t="shared" si="234"/>
        <v>310</v>
      </c>
      <c r="BP197" s="607">
        <f t="shared" si="235"/>
        <v>314</v>
      </c>
      <c r="BQ197" s="606">
        <f t="shared" si="236"/>
        <v>294</v>
      </c>
      <c r="BR197" s="607">
        <f t="shared" si="237"/>
        <v>81</v>
      </c>
      <c r="BS197" s="606">
        <f t="shared" si="238"/>
        <v>130</v>
      </c>
      <c r="BT197" s="607">
        <f t="shared" si="239"/>
        <v>171</v>
      </c>
      <c r="BU197" s="606">
        <f t="shared" si="240"/>
        <v>180</v>
      </c>
      <c r="BV197" s="607">
        <f t="shared" si="241"/>
        <v>0</v>
      </c>
      <c r="BW197" s="608">
        <f t="shared" si="242"/>
        <v>36</v>
      </c>
      <c r="BX197" s="607">
        <f t="shared" si="243"/>
        <v>0</v>
      </c>
      <c r="BY197" s="608">
        <f t="shared" si="244"/>
        <v>0</v>
      </c>
      <c r="BZ197" s="607">
        <f t="shared" si="245"/>
        <v>6735.6678966789668</v>
      </c>
      <c r="CA197" s="608">
        <f t="shared" si="246"/>
        <v>6133.8193548387098</v>
      </c>
      <c r="CB197" s="607">
        <f t="shared" si="247"/>
        <v>5265.0222929936308</v>
      </c>
      <c r="CC197" s="608">
        <f t="shared" si="248"/>
        <v>4876.4693877551017</v>
      </c>
      <c r="CD197" s="607">
        <f t="shared" si="249"/>
        <v>4733.0987654320988</v>
      </c>
      <c r="CE197" s="608">
        <f t="shared" si="250"/>
        <v>4313.8692307692309</v>
      </c>
      <c r="CF197" s="607">
        <f t="shared" si="251"/>
        <v>4225.2807017543855</v>
      </c>
      <c r="CG197" s="608">
        <f t="shared" si="252"/>
        <v>3859.1555555555556</v>
      </c>
      <c r="CH197" s="607">
        <f t="shared" si="253"/>
        <v>0</v>
      </c>
      <c r="CI197" s="608">
        <f t="shared" si="254"/>
        <v>2324.0833333333335</v>
      </c>
      <c r="CJ197" s="607">
        <f t="shared" si="255"/>
        <v>0</v>
      </c>
      <c r="CK197" s="608">
        <f t="shared" si="256"/>
        <v>0</v>
      </c>
      <c r="CL197" s="609">
        <f t="shared" si="257"/>
        <v>60621.011070110704</v>
      </c>
      <c r="CM197" s="608">
        <f t="shared" si="258"/>
        <v>55204.374193548385</v>
      </c>
      <c r="CN197" s="610">
        <f t="shared" si="259"/>
        <v>47385.200636942674</v>
      </c>
      <c r="CO197" s="606">
        <f t="shared" si="260"/>
        <v>43888.224489795917</v>
      </c>
      <c r="CP197" s="607">
        <f t="shared" si="261"/>
        <v>42597.888888888891</v>
      </c>
      <c r="CQ197" s="606">
        <f t="shared" si="262"/>
        <v>38824.823076923079</v>
      </c>
      <c r="CR197" s="607">
        <f t="shared" si="263"/>
        <v>38027.526315789466</v>
      </c>
      <c r="CS197" s="606">
        <f t="shared" si="264"/>
        <v>34732.400000000001</v>
      </c>
      <c r="CT197" s="607">
        <f t="shared" si="265"/>
        <v>0</v>
      </c>
      <c r="CU197" s="608">
        <f t="shared" si="266"/>
        <v>20916.75</v>
      </c>
      <c r="CV197" s="610">
        <f t="shared" si="267"/>
        <v>0</v>
      </c>
      <c r="CW197" s="608">
        <f t="shared" si="268"/>
        <v>0</v>
      </c>
      <c r="CX197" s="610">
        <f t="shared" si="269"/>
        <v>49175.935633947927</v>
      </c>
      <c r="CY197" s="611">
        <f t="shared" si="270"/>
        <v>44317.697699037999</v>
      </c>
      <c r="CZ197" s="605">
        <f t="shared" si="271"/>
        <v>29</v>
      </c>
      <c r="DA197" s="612">
        <f t="shared" si="272"/>
        <v>30</v>
      </c>
      <c r="DB197" s="607">
        <f t="shared" si="273"/>
        <v>34</v>
      </c>
      <c r="DC197" s="606">
        <f t="shared" si="274"/>
        <v>29</v>
      </c>
      <c r="DD197" s="607">
        <f t="shared" si="275"/>
        <v>9</v>
      </c>
      <c r="DE197" s="606">
        <f t="shared" si="276"/>
        <v>13</v>
      </c>
      <c r="DF197" s="607">
        <f t="shared" si="277"/>
        <v>19</v>
      </c>
      <c r="DG197" s="606">
        <f t="shared" si="278"/>
        <v>18</v>
      </c>
      <c r="DH197" s="607">
        <f t="shared" si="279"/>
        <v>0</v>
      </c>
      <c r="DI197" s="608">
        <f t="shared" si="280"/>
        <v>3</v>
      </c>
      <c r="DJ197" s="607">
        <f t="shared" si="281"/>
        <v>0</v>
      </c>
      <c r="DK197" s="608">
        <f t="shared" si="282"/>
        <v>0</v>
      </c>
      <c r="DL197" s="607">
        <f t="shared" si="283"/>
        <v>91</v>
      </c>
      <c r="DM197" s="608">
        <f t="shared" si="284"/>
        <v>93</v>
      </c>
      <c r="DN197" s="607">
        <f t="shared" si="285"/>
        <v>1758009.3210332105</v>
      </c>
      <c r="DO197" s="612">
        <f t="shared" si="286"/>
        <v>1656131.2258064516</v>
      </c>
      <c r="DP197" s="607">
        <f t="shared" si="287"/>
        <v>1611096.8216560509</v>
      </c>
      <c r="DQ197" s="606">
        <f t="shared" si="288"/>
        <v>1272758.5102040817</v>
      </c>
      <c r="DR197" s="607">
        <f t="shared" si="289"/>
        <v>383381</v>
      </c>
      <c r="DS197" s="606">
        <f t="shared" si="290"/>
        <v>504722.7</v>
      </c>
      <c r="DT197" s="607">
        <f t="shared" si="291"/>
        <v>722522.99999999988</v>
      </c>
      <c r="DU197" s="606">
        <f t="shared" si="292"/>
        <v>625183.20000000007</v>
      </c>
      <c r="DV197" s="607">
        <f t="shared" si="293"/>
        <v>0</v>
      </c>
      <c r="DW197" s="608">
        <f t="shared" si="294"/>
        <v>62750.25</v>
      </c>
      <c r="DX197" s="607">
        <f t="shared" si="295"/>
        <v>0</v>
      </c>
      <c r="DY197" s="608">
        <f t="shared" si="296"/>
        <v>0</v>
      </c>
      <c r="DZ197" s="607">
        <f t="shared" si="297"/>
        <v>4475010.1426892616</v>
      </c>
      <c r="EA197" s="608">
        <f t="shared" si="298"/>
        <v>4121545.8860105341</v>
      </c>
    </row>
    <row r="198" spans="1:131" x14ac:dyDescent="0.2">
      <c r="A198" s="341" t="s">
        <v>36</v>
      </c>
      <c r="B198" s="345" t="s">
        <v>734</v>
      </c>
      <c r="C198" s="555"/>
      <c r="D198" s="388">
        <v>247940</v>
      </c>
      <c r="E198" s="425">
        <v>9</v>
      </c>
      <c r="F198" s="598">
        <v>17</v>
      </c>
      <c r="G198" s="599"/>
      <c r="H198" s="600"/>
      <c r="I198" s="601">
        <v>18</v>
      </c>
      <c r="J198" s="600">
        <v>1</v>
      </c>
      <c r="K198" s="599"/>
      <c r="L198" s="600"/>
      <c r="M198" s="601">
        <v>1</v>
      </c>
      <c r="N198" s="600">
        <v>35</v>
      </c>
      <c r="O198" s="599"/>
      <c r="P198" s="600"/>
      <c r="Q198" s="601">
        <v>35</v>
      </c>
      <c r="R198" s="600">
        <v>4</v>
      </c>
      <c r="S198" s="599"/>
      <c r="T198" s="600"/>
      <c r="U198" s="601">
        <v>3</v>
      </c>
      <c r="V198" s="600">
        <v>15</v>
      </c>
      <c r="W198" s="599"/>
      <c r="X198" s="600"/>
      <c r="Y198" s="601">
        <v>11</v>
      </c>
      <c r="Z198" s="600">
        <v>4</v>
      </c>
      <c r="AA198" s="599"/>
      <c r="AB198" s="600"/>
      <c r="AC198" s="601">
        <v>4</v>
      </c>
      <c r="AD198" s="600">
        <v>21</v>
      </c>
      <c r="AE198" s="599"/>
      <c r="AF198" s="600"/>
      <c r="AG198" s="601">
        <v>24</v>
      </c>
      <c r="AH198" s="600">
        <v>2</v>
      </c>
      <c r="AI198" s="599"/>
      <c r="AJ198" s="600"/>
      <c r="AK198" s="601">
        <v>1</v>
      </c>
      <c r="AL198" s="600"/>
      <c r="AM198" s="599"/>
      <c r="AN198" s="600"/>
      <c r="AO198" s="601"/>
      <c r="AP198" s="600"/>
      <c r="AQ198" s="599"/>
      <c r="AR198" s="600"/>
      <c r="AS198" s="601"/>
      <c r="AT198" s="600"/>
      <c r="AU198" s="599"/>
      <c r="AV198" s="600"/>
      <c r="AW198" s="601"/>
      <c r="AX198" s="600"/>
      <c r="AY198" s="599"/>
      <c r="AZ198" s="600"/>
      <c r="BA198" s="601"/>
      <c r="BB198" s="602">
        <v>1094547</v>
      </c>
      <c r="BC198" s="599">
        <f>672711+497252</f>
        <v>1169963</v>
      </c>
      <c r="BD198" s="600">
        <v>1970338</v>
      </c>
      <c r="BE198" s="599">
        <f>1016496+895114</f>
        <v>1911610</v>
      </c>
      <c r="BF198" s="600">
        <v>784926</v>
      </c>
      <c r="BG198" s="599">
        <f>196143+451437</f>
        <v>647580</v>
      </c>
      <c r="BH198" s="600">
        <v>906863.99999999988</v>
      </c>
      <c r="BI198" s="599">
        <f>409843+578417</f>
        <v>988260</v>
      </c>
      <c r="BJ198" s="600">
        <v>0</v>
      </c>
      <c r="BK198" s="615"/>
      <c r="BL198" s="600">
        <v>0</v>
      </c>
      <c r="BM198" s="604"/>
      <c r="BN198" s="605">
        <f t="shared" si="233"/>
        <v>164</v>
      </c>
      <c r="BO198" s="606">
        <f t="shared" si="234"/>
        <v>192</v>
      </c>
      <c r="BP198" s="607">
        <f t="shared" si="235"/>
        <v>359</v>
      </c>
      <c r="BQ198" s="606">
        <f t="shared" si="236"/>
        <v>386</v>
      </c>
      <c r="BR198" s="607">
        <f t="shared" si="237"/>
        <v>179</v>
      </c>
      <c r="BS198" s="606">
        <f t="shared" si="238"/>
        <v>158</v>
      </c>
      <c r="BT198" s="607">
        <f t="shared" si="239"/>
        <v>211</v>
      </c>
      <c r="BU198" s="606">
        <f t="shared" si="240"/>
        <v>252</v>
      </c>
      <c r="BV198" s="607">
        <f t="shared" si="241"/>
        <v>0</v>
      </c>
      <c r="BW198" s="608">
        <f t="shared" si="242"/>
        <v>0</v>
      </c>
      <c r="BX198" s="607">
        <f t="shared" si="243"/>
        <v>0</v>
      </c>
      <c r="BY198" s="608">
        <f t="shared" si="244"/>
        <v>0</v>
      </c>
      <c r="BZ198" s="607">
        <f t="shared" si="245"/>
        <v>6674.0670731707314</v>
      </c>
      <c r="CA198" s="608">
        <f t="shared" si="246"/>
        <v>6093.557291666667</v>
      </c>
      <c r="CB198" s="607">
        <f t="shared" si="247"/>
        <v>5488.4066852367687</v>
      </c>
      <c r="CC198" s="608">
        <f t="shared" si="248"/>
        <v>4952.3575129533683</v>
      </c>
      <c r="CD198" s="607">
        <f t="shared" si="249"/>
        <v>4385.0614525139663</v>
      </c>
      <c r="CE198" s="608">
        <f t="shared" si="250"/>
        <v>4098.6075949367087</v>
      </c>
      <c r="CF198" s="607">
        <f t="shared" si="251"/>
        <v>4297.9336492890989</v>
      </c>
      <c r="CG198" s="608">
        <f t="shared" si="252"/>
        <v>3921.6666666666665</v>
      </c>
      <c r="CH198" s="607">
        <f t="shared" si="253"/>
        <v>0</v>
      </c>
      <c r="CI198" s="608">
        <f t="shared" si="254"/>
        <v>0</v>
      </c>
      <c r="CJ198" s="607">
        <f t="shared" si="255"/>
        <v>0</v>
      </c>
      <c r="CK198" s="608">
        <f t="shared" si="256"/>
        <v>0</v>
      </c>
      <c r="CL198" s="609">
        <f t="shared" si="257"/>
        <v>60066.60365853658</v>
      </c>
      <c r="CM198" s="608">
        <f t="shared" si="258"/>
        <v>54842.015625</v>
      </c>
      <c r="CN198" s="610">
        <f t="shared" si="259"/>
        <v>49395.660167130918</v>
      </c>
      <c r="CO198" s="606">
        <f t="shared" si="260"/>
        <v>44571.217616580318</v>
      </c>
      <c r="CP198" s="607">
        <f t="shared" si="261"/>
        <v>39465.553072625698</v>
      </c>
      <c r="CQ198" s="606">
        <f t="shared" si="262"/>
        <v>36887.468354430377</v>
      </c>
      <c r="CR198" s="607">
        <f t="shared" si="263"/>
        <v>38681.402843601893</v>
      </c>
      <c r="CS198" s="606">
        <f t="shared" si="264"/>
        <v>35295</v>
      </c>
      <c r="CT198" s="607">
        <f t="shared" si="265"/>
        <v>0</v>
      </c>
      <c r="CU198" s="608">
        <f t="shared" si="266"/>
        <v>0</v>
      </c>
      <c r="CV198" s="610">
        <f t="shared" si="267"/>
        <v>0</v>
      </c>
      <c r="CW198" s="608">
        <f t="shared" si="268"/>
        <v>0</v>
      </c>
      <c r="CX198" s="610">
        <f t="shared" si="269"/>
        <v>46940.88268842925</v>
      </c>
      <c r="CY198" s="611">
        <f t="shared" si="270"/>
        <v>43004.037027025857</v>
      </c>
      <c r="CZ198" s="605">
        <f t="shared" si="271"/>
        <v>18</v>
      </c>
      <c r="DA198" s="612">
        <f t="shared" si="272"/>
        <v>19</v>
      </c>
      <c r="DB198" s="607">
        <f t="shared" si="273"/>
        <v>39</v>
      </c>
      <c r="DC198" s="606">
        <f t="shared" si="274"/>
        <v>38</v>
      </c>
      <c r="DD198" s="607">
        <f t="shared" si="275"/>
        <v>19</v>
      </c>
      <c r="DE198" s="606">
        <f t="shared" si="276"/>
        <v>15</v>
      </c>
      <c r="DF198" s="607">
        <f t="shared" si="277"/>
        <v>23</v>
      </c>
      <c r="DG198" s="606">
        <f t="shared" si="278"/>
        <v>25</v>
      </c>
      <c r="DH198" s="607">
        <f t="shared" si="279"/>
        <v>0</v>
      </c>
      <c r="DI198" s="608">
        <f t="shared" si="280"/>
        <v>0</v>
      </c>
      <c r="DJ198" s="607">
        <f t="shared" si="281"/>
        <v>0</v>
      </c>
      <c r="DK198" s="608">
        <f t="shared" si="282"/>
        <v>0</v>
      </c>
      <c r="DL198" s="607">
        <f t="shared" si="283"/>
        <v>99</v>
      </c>
      <c r="DM198" s="608">
        <f t="shared" si="284"/>
        <v>97</v>
      </c>
      <c r="DN198" s="607">
        <f t="shared" si="285"/>
        <v>1081198.8658536584</v>
      </c>
      <c r="DO198" s="612">
        <f t="shared" si="286"/>
        <v>1041998.296875</v>
      </c>
      <c r="DP198" s="607">
        <f t="shared" si="287"/>
        <v>1926430.7465181057</v>
      </c>
      <c r="DQ198" s="606">
        <f t="shared" si="288"/>
        <v>1693706.269430052</v>
      </c>
      <c r="DR198" s="607">
        <f t="shared" si="289"/>
        <v>749845.50837988826</v>
      </c>
      <c r="DS198" s="606">
        <f t="shared" si="290"/>
        <v>553312.02531645563</v>
      </c>
      <c r="DT198" s="607">
        <f t="shared" si="291"/>
        <v>889672.26540284348</v>
      </c>
      <c r="DU198" s="606">
        <f t="shared" si="292"/>
        <v>882375</v>
      </c>
      <c r="DV198" s="607">
        <f t="shared" si="293"/>
        <v>0</v>
      </c>
      <c r="DW198" s="608">
        <f t="shared" si="294"/>
        <v>0</v>
      </c>
      <c r="DX198" s="607">
        <f t="shared" si="295"/>
        <v>0</v>
      </c>
      <c r="DY198" s="608">
        <f t="shared" si="296"/>
        <v>0</v>
      </c>
      <c r="DZ198" s="607">
        <f t="shared" si="297"/>
        <v>4647147.3861544961</v>
      </c>
      <c r="EA198" s="608">
        <f t="shared" si="298"/>
        <v>4171391.5916215084</v>
      </c>
    </row>
    <row r="199" spans="1:131" x14ac:dyDescent="0.2">
      <c r="A199" s="341" t="s">
        <v>36</v>
      </c>
      <c r="B199" s="345" t="s">
        <v>735</v>
      </c>
      <c r="C199" s="554"/>
      <c r="D199" s="388">
        <v>157711</v>
      </c>
      <c r="E199" s="425">
        <v>9</v>
      </c>
      <c r="F199" s="598">
        <v>44</v>
      </c>
      <c r="G199" s="599"/>
      <c r="H199" s="600"/>
      <c r="I199" s="601">
        <v>46</v>
      </c>
      <c r="J199" s="600">
        <v>8</v>
      </c>
      <c r="K199" s="599"/>
      <c r="L199" s="600"/>
      <c r="M199" s="601">
        <v>8</v>
      </c>
      <c r="N199" s="600">
        <v>40</v>
      </c>
      <c r="O199" s="599"/>
      <c r="P199" s="600"/>
      <c r="Q199" s="601">
        <v>37</v>
      </c>
      <c r="R199" s="600">
        <v>6</v>
      </c>
      <c r="S199" s="599"/>
      <c r="T199" s="600"/>
      <c r="U199" s="601">
        <v>6</v>
      </c>
      <c r="V199" s="600">
        <v>22</v>
      </c>
      <c r="W199" s="599"/>
      <c r="X199" s="600"/>
      <c r="Y199" s="601">
        <v>33</v>
      </c>
      <c r="Z199" s="600">
        <v>4</v>
      </c>
      <c r="AA199" s="599"/>
      <c r="AB199" s="600"/>
      <c r="AC199" s="601">
        <v>5</v>
      </c>
      <c r="AD199" s="600">
        <v>49</v>
      </c>
      <c r="AE199" s="599"/>
      <c r="AF199" s="600"/>
      <c r="AG199" s="601">
        <v>38</v>
      </c>
      <c r="AH199" s="600">
        <v>7</v>
      </c>
      <c r="AI199" s="599"/>
      <c r="AJ199" s="600"/>
      <c r="AK199" s="601">
        <v>10</v>
      </c>
      <c r="AL199" s="600"/>
      <c r="AM199" s="599"/>
      <c r="AN199" s="600"/>
      <c r="AO199" s="601"/>
      <c r="AP199" s="600"/>
      <c r="AQ199" s="599"/>
      <c r="AR199" s="600"/>
      <c r="AS199" s="601"/>
      <c r="AT199" s="600"/>
      <c r="AU199" s="599"/>
      <c r="AV199" s="600"/>
      <c r="AW199" s="601"/>
      <c r="AX199" s="600"/>
      <c r="AY199" s="599"/>
      <c r="AZ199" s="600"/>
      <c r="BA199" s="601"/>
      <c r="BB199" s="602">
        <v>3169617</v>
      </c>
      <c r="BC199" s="599">
        <f>1253076+2106704</f>
        <v>3359780</v>
      </c>
      <c r="BD199" s="600">
        <v>2351740</v>
      </c>
      <c r="BE199" s="599">
        <f>1457495+727040</f>
        <v>2184535</v>
      </c>
      <c r="BF199" s="600">
        <v>1110484</v>
      </c>
      <c r="BG199" s="599">
        <f>792813+842219</f>
        <v>1635032</v>
      </c>
      <c r="BH199" s="600">
        <v>2072120</v>
      </c>
      <c r="BI199" s="599">
        <f>755605+1069013</f>
        <v>1824618</v>
      </c>
      <c r="BJ199" s="600">
        <v>0</v>
      </c>
      <c r="BK199" s="615"/>
      <c r="BL199" s="600">
        <v>0</v>
      </c>
      <c r="BM199" s="604"/>
      <c r="BN199" s="605">
        <f t="shared" si="233"/>
        <v>484</v>
      </c>
      <c r="BO199" s="606">
        <f t="shared" si="234"/>
        <v>556</v>
      </c>
      <c r="BP199" s="607">
        <f t="shared" si="235"/>
        <v>426</v>
      </c>
      <c r="BQ199" s="606">
        <f t="shared" si="236"/>
        <v>442</v>
      </c>
      <c r="BR199" s="607">
        <f t="shared" si="237"/>
        <v>242</v>
      </c>
      <c r="BS199" s="606">
        <f t="shared" si="238"/>
        <v>390</v>
      </c>
      <c r="BT199" s="607">
        <f t="shared" si="239"/>
        <v>518</v>
      </c>
      <c r="BU199" s="606">
        <f t="shared" si="240"/>
        <v>500</v>
      </c>
      <c r="BV199" s="607">
        <f t="shared" si="241"/>
        <v>0</v>
      </c>
      <c r="BW199" s="608">
        <f t="shared" si="242"/>
        <v>0</v>
      </c>
      <c r="BX199" s="607">
        <f t="shared" si="243"/>
        <v>0</v>
      </c>
      <c r="BY199" s="608">
        <f t="shared" si="244"/>
        <v>0</v>
      </c>
      <c r="BZ199" s="607">
        <f t="shared" si="245"/>
        <v>6548.795454545455</v>
      </c>
      <c r="CA199" s="608">
        <f t="shared" si="246"/>
        <v>6042.7697841726622</v>
      </c>
      <c r="CB199" s="607">
        <f t="shared" si="247"/>
        <v>5520.5164319248825</v>
      </c>
      <c r="CC199" s="608">
        <f t="shared" si="248"/>
        <v>4942.3868778280539</v>
      </c>
      <c r="CD199" s="607">
        <f t="shared" si="249"/>
        <v>4588.7768595041325</v>
      </c>
      <c r="CE199" s="608">
        <f t="shared" si="250"/>
        <v>4192.3897435897434</v>
      </c>
      <c r="CF199" s="607">
        <f t="shared" si="251"/>
        <v>4000.23166023166</v>
      </c>
      <c r="CG199" s="608">
        <f t="shared" si="252"/>
        <v>3649.2359999999999</v>
      </c>
      <c r="CH199" s="607">
        <f t="shared" si="253"/>
        <v>0</v>
      </c>
      <c r="CI199" s="608">
        <f t="shared" si="254"/>
        <v>0</v>
      </c>
      <c r="CJ199" s="607">
        <f t="shared" si="255"/>
        <v>0</v>
      </c>
      <c r="CK199" s="608">
        <f t="shared" si="256"/>
        <v>0</v>
      </c>
      <c r="CL199" s="609">
        <f t="shared" si="257"/>
        <v>58939.159090909096</v>
      </c>
      <c r="CM199" s="608">
        <f t="shared" si="258"/>
        <v>54384.92805755396</v>
      </c>
      <c r="CN199" s="610">
        <f t="shared" si="259"/>
        <v>49684.647887323939</v>
      </c>
      <c r="CO199" s="606">
        <f t="shared" si="260"/>
        <v>44481.481900452483</v>
      </c>
      <c r="CP199" s="607">
        <f t="shared" si="261"/>
        <v>41298.991735537194</v>
      </c>
      <c r="CQ199" s="606">
        <f t="shared" si="262"/>
        <v>37731.507692307692</v>
      </c>
      <c r="CR199" s="607">
        <f t="shared" si="263"/>
        <v>36002.084942084941</v>
      </c>
      <c r="CS199" s="606">
        <f t="shared" si="264"/>
        <v>32843.123999999996</v>
      </c>
      <c r="CT199" s="607">
        <f t="shared" si="265"/>
        <v>0</v>
      </c>
      <c r="CU199" s="608">
        <f t="shared" si="266"/>
        <v>0</v>
      </c>
      <c r="CV199" s="610">
        <f t="shared" si="267"/>
        <v>0</v>
      </c>
      <c r="CW199" s="608">
        <f t="shared" si="268"/>
        <v>0</v>
      </c>
      <c r="CX199" s="610">
        <f t="shared" si="269"/>
        <v>46890.11454124943</v>
      </c>
      <c r="CY199" s="611">
        <f t="shared" si="270"/>
        <v>42949.492246639689</v>
      </c>
      <c r="CZ199" s="605">
        <f t="shared" si="271"/>
        <v>52</v>
      </c>
      <c r="DA199" s="612">
        <f t="shared" si="272"/>
        <v>54</v>
      </c>
      <c r="DB199" s="607">
        <f t="shared" si="273"/>
        <v>46</v>
      </c>
      <c r="DC199" s="606">
        <f t="shared" si="274"/>
        <v>43</v>
      </c>
      <c r="DD199" s="607">
        <f t="shared" si="275"/>
        <v>26</v>
      </c>
      <c r="DE199" s="606">
        <f t="shared" si="276"/>
        <v>38</v>
      </c>
      <c r="DF199" s="607">
        <f t="shared" si="277"/>
        <v>56</v>
      </c>
      <c r="DG199" s="606">
        <f t="shared" si="278"/>
        <v>48</v>
      </c>
      <c r="DH199" s="607">
        <f t="shared" si="279"/>
        <v>0</v>
      </c>
      <c r="DI199" s="608">
        <f t="shared" si="280"/>
        <v>0</v>
      </c>
      <c r="DJ199" s="607">
        <f t="shared" si="281"/>
        <v>0</v>
      </c>
      <c r="DK199" s="608">
        <f t="shared" si="282"/>
        <v>0</v>
      </c>
      <c r="DL199" s="607">
        <f t="shared" si="283"/>
        <v>180</v>
      </c>
      <c r="DM199" s="608">
        <f t="shared" si="284"/>
        <v>183</v>
      </c>
      <c r="DN199" s="607">
        <f t="shared" si="285"/>
        <v>3064836.2727272729</v>
      </c>
      <c r="DO199" s="612">
        <f t="shared" si="286"/>
        <v>2936786.115107914</v>
      </c>
      <c r="DP199" s="607">
        <f t="shared" si="287"/>
        <v>2285493.8028169014</v>
      </c>
      <c r="DQ199" s="606">
        <f t="shared" si="288"/>
        <v>1912703.7217194568</v>
      </c>
      <c r="DR199" s="607">
        <f t="shared" si="289"/>
        <v>1073773.7851239671</v>
      </c>
      <c r="DS199" s="606">
        <f t="shared" si="290"/>
        <v>1433797.2923076923</v>
      </c>
      <c r="DT199" s="607">
        <f t="shared" si="291"/>
        <v>2016116.7567567567</v>
      </c>
      <c r="DU199" s="606">
        <f t="shared" si="292"/>
        <v>1576469.9519999998</v>
      </c>
      <c r="DV199" s="607">
        <f t="shared" si="293"/>
        <v>0</v>
      </c>
      <c r="DW199" s="608">
        <f t="shared" si="294"/>
        <v>0</v>
      </c>
      <c r="DX199" s="607">
        <f t="shared" si="295"/>
        <v>0</v>
      </c>
      <c r="DY199" s="608">
        <f t="shared" si="296"/>
        <v>0</v>
      </c>
      <c r="DZ199" s="607">
        <f t="shared" si="297"/>
        <v>8440220.6174248978</v>
      </c>
      <c r="EA199" s="608">
        <f t="shared" si="298"/>
        <v>7859757.0811350634</v>
      </c>
    </row>
    <row r="200" spans="1:131" x14ac:dyDescent="0.2">
      <c r="A200" s="341" t="s">
        <v>36</v>
      </c>
      <c r="B200" s="421" t="s">
        <v>736</v>
      </c>
      <c r="C200" s="554"/>
      <c r="D200" s="388">
        <v>157739</v>
      </c>
      <c r="E200" s="425">
        <v>9</v>
      </c>
      <c r="F200" s="598">
        <v>31</v>
      </c>
      <c r="G200" s="599"/>
      <c r="H200" s="600"/>
      <c r="I200" s="601">
        <v>30</v>
      </c>
      <c r="J200" s="600">
        <v>8</v>
      </c>
      <c r="K200" s="599"/>
      <c r="L200" s="600"/>
      <c r="M200" s="601">
        <v>8</v>
      </c>
      <c r="N200" s="600">
        <v>19</v>
      </c>
      <c r="O200" s="599"/>
      <c r="P200" s="600"/>
      <c r="Q200" s="601">
        <v>19</v>
      </c>
      <c r="R200" s="600">
        <v>8</v>
      </c>
      <c r="S200" s="599"/>
      <c r="T200" s="600"/>
      <c r="U200" s="601">
        <v>8</v>
      </c>
      <c r="V200" s="600">
        <v>9</v>
      </c>
      <c r="W200" s="599"/>
      <c r="X200" s="600"/>
      <c r="Y200" s="601">
        <v>12</v>
      </c>
      <c r="Z200" s="600">
        <v>1</v>
      </c>
      <c r="AA200" s="599"/>
      <c r="AB200" s="600"/>
      <c r="AC200" s="601"/>
      <c r="AD200" s="600">
        <v>19</v>
      </c>
      <c r="AE200" s="599"/>
      <c r="AF200" s="600"/>
      <c r="AG200" s="601">
        <v>19</v>
      </c>
      <c r="AH200" s="600">
        <v>1</v>
      </c>
      <c r="AI200" s="599"/>
      <c r="AJ200" s="600"/>
      <c r="AK200" s="601">
        <v>4</v>
      </c>
      <c r="AL200" s="600"/>
      <c r="AM200" s="599"/>
      <c r="AN200" s="600"/>
      <c r="AO200" s="601"/>
      <c r="AP200" s="600"/>
      <c r="AQ200" s="599"/>
      <c r="AR200" s="600"/>
      <c r="AS200" s="601">
        <v>2</v>
      </c>
      <c r="AT200" s="600"/>
      <c r="AU200" s="599"/>
      <c r="AV200" s="600"/>
      <c r="AW200" s="601"/>
      <c r="AX200" s="600"/>
      <c r="AY200" s="599"/>
      <c r="AZ200" s="600"/>
      <c r="BA200" s="601"/>
      <c r="BB200" s="602">
        <v>2442199</v>
      </c>
      <c r="BC200" s="599">
        <f>1618536+798164</f>
        <v>2416700</v>
      </c>
      <c r="BD200" s="600">
        <v>1379047</v>
      </c>
      <c r="BE200" s="599">
        <f>685765+723342</f>
        <v>1409107</v>
      </c>
      <c r="BF200" s="600">
        <v>415111</v>
      </c>
      <c r="BG200" s="599">
        <f>137112+361921</f>
        <v>499033</v>
      </c>
      <c r="BH200" s="600">
        <v>749534</v>
      </c>
      <c r="BI200" s="599">
        <f>302810+655492</f>
        <v>958302</v>
      </c>
      <c r="BJ200" s="600">
        <v>0</v>
      </c>
      <c r="BK200" s="615">
        <v>50676</v>
      </c>
      <c r="BL200" s="600">
        <v>0</v>
      </c>
      <c r="BM200" s="604"/>
      <c r="BN200" s="605">
        <f t="shared" si="233"/>
        <v>367</v>
      </c>
      <c r="BO200" s="606">
        <f t="shared" si="234"/>
        <v>396</v>
      </c>
      <c r="BP200" s="607">
        <f t="shared" si="235"/>
        <v>259</v>
      </c>
      <c r="BQ200" s="606">
        <f t="shared" si="236"/>
        <v>286</v>
      </c>
      <c r="BR200" s="607">
        <f t="shared" si="237"/>
        <v>92</v>
      </c>
      <c r="BS200" s="606">
        <f t="shared" si="238"/>
        <v>120</v>
      </c>
      <c r="BT200" s="607">
        <f t="shared" si="239"/>
        <v>182</v>
      </c>
      <c r="BU200" s="606">
        <f t="shared" si="240"/>
        <v>238</v>
      </c>
      <c r="BV200" s="607">
        <f t="shared" si="241"/>
        <v>0</v>
      </c>
      <c r="BW200" s="608">
        <f t="shared" si="242"/>
        <v>24</v>
      </c>
      <c r="BX200" s="607">
        <f t="shared" si="243"/>
        <v>0</v>
      </c>
      <c r="BY200" s="608">
        <f t="shared" si="244"/>
        <v>0</v>
      </c>
      <c r="BZ200" s="607">
        <f t="shared" si="245"/>
        <v>6654.4931880108988</v>
      </c>
      <c r="CA200" s="608">
        <f t="shared" si="246"/>
        <v>6102.7777777777774</v>
      </c>
      <c r="CB200" s="607">
        <f t="shared" si="247"/>
        <v>5324.5057915057914</v>
      </c>
      <c r="CC200" s="608">
        <f t="shared" si="248"/>
        <v>4926.9475524475529</v>
      </c>
      <c r="CD200" s="607">
        <f t="shared" si="249"/>
        <v>4512.076086956522</v>
      </c>
      <c r="CE200" s="608">
        <f t="shared" si="250"/>
        <v>4158.6083333333336</v>
      </c>
      <c r="CF200" s="607">
        <f t="shared" si="251"/>
        <v>4118.3186813186812</v>
      </c>
      <c r="CG200" s="608">
        <f t="shared" si="252"/>
        <v>4026.4789915966385</v>
      </c>
      <c r="CH200" s="607">
        <f t="shared" si="253"/>
        <v>0</v>
      </c>
      <c r="CI200" s="608">
        <f t="shared" si="254"/>
        <v>2111.5</v>
      </c>
      <c r="CJ200" s="607">
        <f t="shared" si="255"/>
        <v>0</v>
      </c>
      <c r="CK200" s="608">
        <f t="shared" si="256"/>
        <v>0</v>
      </c>
      <c r="CL200" s="609">
        <f t="shared" si="257"/>
        <v>59890.438692098091</v>
      </c>
      <c r="CM200" s="608">
        <f t="shared" si="258"/>
        <v>54925</v>
      </c>
      <c r="CN200" s="610">
        <f t="shared" si="259"/>
        <v>47920.552123552123</v>
      </c>
      <c r="CO200" s="606">
        <f t="shared" si="260"/>
        <v>44342.52797202798</v>
      </c>
      <c r="CP200" s="607">
        <f t="shared" si="261"/>
        <v>40608.684782608696</v>
      </c>
      <c r="CQ200" s="606">
        <f t="shared" si="262"/>
        <v>37427.475000000006</v>
      </c>
      <c r="CR200" s="607">
        <f t="shared" si="263"/>
        <v>37064.868131868134</v>
      </c>
      <c r="CS200" s="606">
        <f t="shared" si="264"/>
        <v>36238.310924369747</v>
      </c>
      <c r="CT200" s="607">
        <f t="shared" si="265"/>
        <v>0</v>
      </c>
      <c r="CU200" s="608">
        <f t="shared" si="266"/>
        <v>19003.5</v>
      </c>
      <c r="CV200" s="610">
        <f t="shared" si="267"/>
        <v>0</v>
      </c>
      <c r="CW200" s="608">
        <f t="shared" si="268"/>
        <v>0</v>
      </c>
      <c r="CX200" s="610">
        <f t="shared" si="269"/>
        <v>49760.064862408151</v>
      </c>
      <c r="CY200" s="611">
        <f t="shared" si="270"/>
        <v>45147.216730443724</v>
      </c>
      <c r="CZ200" s="605">
        <f t="shared" si="271"/>
        <v>39</v>
      </c>
      <c r="DA200" s="612">
        <f t="shared" si="272"/>
        <v>38</v>
      </c>
      <c r="DB200" s="607">
        <f t="shared" si="273"/>
        <v>27</v>
      </c>
      <c r="DC200" s="606">
        <f t="shared" si="274"/>
        <v>27</v>
      </c>
      <c r="DD200" s="607">
        <f t="shared" si="275"/>
        <v>10</v>
      </c>
      <c r="DE200" s="606">
        <f t="shared" si="276"/>
        <v>12</v>
      </c>
      <c r="DF200" s="607">
        <f t="shared" si="277"/>
        <v>20</v>
      </c>
      <c r="DG200" s="606">
        <f t="shared" si="278"/>
        <v>23</v>
      </c>
      <c r="DH200" s="607">
        <f t="shared" si="279"/>
        <v>0</v>
      </c>
      <c r="DI200" s="608">
        <f t="shared" si="280"/>
        <v>2</v>
      </c>
      <c r="DJ200" s="607">
        <f t="shared" si="281"/>
        <v>0</v>
      </c>
      <c r="DK200" s="608">
        <f t="shared" si="282"/>
        <v>0</v>
      </c>
      <c r="DL200" s="607">
        <f t="shared" si="283"/>
        <v>96</v>
      </c>
      <c r="DM200" s="608">
        <f t="shared" si="284"/>
        <v>102</v>
      </c>
      <c r="DN200" s="607">
        <f t="shared" si="285"/>
        <v>2335727.1089918255</v>
      </c>
      <c r="DO200" s="612">
        <f t="shared" si="286"/>
        <v>2087150</v>
      </c>
      <c r="DP200" s="607">
        <f t="shared" si="287"/>
        <v>1293854.9073359072</v>
      </c>
      <c r="DQ200" s="606">
        <f t="shared" si="288"/>
        <v>1197248.2552447554</v>
      </c>
      <c r="DR200" s="607">
        <f t="shared" si="289"/>
        <v>406086.84782608697</v>
      </c>
      <c r="DS200" s="606">
        <f t="shared" si="290"/>
        <v>449129.70000000007</v>
      </c>
      <c r="DT200" s="607">
        <f t="shared" si="291"/>
        <v>741297.36263736268</v>
      </c>
      <c r="DU200" s="606">
        <f t="shared" si="292"/>
        <v>833481.15126050415</v>
      </c>
      <c r="DV200" s="607">
        <f t="shared" si="293"/>
        <v>0</v>
      </c>
      <c r="DW200" s="608">
        <f t="shared" si="294"/>
        <v>38007</v>
      </c>
      <c r="DX200" s="607">
        <f t="shared" si="295"/>
        <v>0</v>
      </c>
      <c r="DY200" s="608">
        <f t="shared" si="296"/>
        <v>0</v>
      </c>
      <c r="DZ200" s="607">
        <f t="shared" si="297"/>
        <v>4776966.2267911825</v>
      </c>
      <c r="EA200" s="608">
        <f t="shared" si="298"/>
        <v>4605016.1065052599</v>
      </c>
    </row>
    <row r="201" spans="1:131" x14ac:dyDescent="0.2">
      <c r="A201" s="341" t="s">
        <v>36</v>
      </c>
      <c r="B201" s="345" t="s">
        <v>737</v>
      </c>
      <c r="C201" s="555"/>
      <c r="D201" s="388">
        <v>157483</v>
      </c>
      <c r="E201" s="425">
        <v>9</v>
      </c>
      <c r="F201" s="598">
        <v>35</v>
      </c>
      <c r="G201" s="599"/>
      <c r="H201" s="600"/>
      <c r="I201" s="601">
        <v>36</v>
      </c>
      <c r="J201" s="600">
        <v>15</v>
      </c>
      <c r="K201" s="599"/>
      <c r="L201" s="600"/>
      <c r="M201" s="601">
        <v>14</v>
      </c>
      <c r="N201" s="600">
        <v>29</v>
      </c>
      <c r="O201" s="599"/>
      <c r="P201" s="600"/>
      <c r="Q201" s="601">
        <v>26</v>
      </c>
      <c r="R201" s="600">
        <v>7</v>
      </c>
      <c r="S201" s="599"/>
      <c r="T201" s="600"/>
      <c r="U201" s="601">
        <v>8</v>
      </c>
      <c r="V201" s="600">
        <v>17</v>
      </c>
      <c r="W201" s="599"/>
      <c r="X201" s="600"/>
      <c r="Y201" s="601">
        <v>15</v>
      </c>
      <c r="Z201" s="600">
        <v>4</v>
      </c>
      <c r="AA201" s="599"/>
      <c r="AB201" s="600"/>
      <c r="AC201" s="601">
        <v>9</v>
      </c>
      <c r="AD201" s="600">
        <v>11</v>
      </c>
      <c r="AE201" s="599"/>
      <c r="AF201" s="600"/>
      <c r="AG201" s="601">
        <v>12</v>
      </c>
      <c r="AH201" s="600">
        <v>22</v>
      </c>
      <c r="AI201" s="599"/>
      <c r="AJ201" s="600"/>
      <c r="AK201" s="601">
        <v>23</v>
      </c>
      <c r="AL201" s="600"/>
      <c r="AM201" s="599"/>
      <c r="AN201" s="600"/>
      <c r="AO201" s="601"/>
      <c r="AP201" s="600"/>
      <c r="AQ201" s="599"/>
      <c r="AR201" s="600"/>
      <c r="AS201" s="601"/>
      <c r="AT201" s="600"/>
      <c r="AU201" s="599"/>
      <c r="AV201" s="600"/>
      <c r="AW201" s="601"/>
      <c r="AX201" s="600"/>
      <c r="AY201" s="599"/>
      <c r="AZ201" s="600"/>
      <c r="BA201" s="601"/>
      <c r="BB201" s="602">
        <v>3126486</v>
      </c>
      <c r="BC201" s="599">
        <f>902889+2233023</f>
        <v>3135912</v>
      </c>
      <c r="BD201" s="600">
        <v>1786032</v>
      </c>
      <c r="BE201" s="599">
        <f>833716+892918</f>
        <v>1726634</v>
      </c>
      <c r="BF201" s="600">
        <v>924264</v>
      </c>
      <c r="BG201" s="599">
        <f>516988+614557</f>
        <v>1131545</v>
      </c>
      <c r="BH201" s="600">
        <v>1499855</v>
      </c>
      <c r="BI201" s="599">
        <f>859203+718842</f>
        <v>1578045</v>
      </c>
      <c r="BJ201" s="600">
        <v>0</v>
      </c>
      <c r="BK201" s="615"/>
      <c r="BL201" s="600">
        <v>0</v>
      </c>
      <c r="BM201" s="604"/>
      <c r="BN201" s="605">
        <f t="shared" ref="BN201:BN264" si="299">((F201*9)+(H201*10)+(J201*11)+(L201*12))</f>
        <v>480</v>
      </c>
      <c r="BO201" s="606">
        <f t="shared" ref="BO201:BO264" si="300">((G201*9)+(I201*10)+(K201*11)+(M201*12))</f>
        <v>528</v>
      </c>
      <c r="BP201" s="607">
        <f t="shared" ref="BP201:BP264" si="301">((N201*9)+(P201*10)+(R201*11)+(T201*12))</f>
        <v>338</v>
      </c>
      <c r="BQ201" s="606">
        <f t="shared" ref="BQ201:BQ264" si="302">((O201*9)+(Q201*10)+(S201*11)+(U201*12))</f>
        <v>356</v>
      </c>
      <c r="BR201" s="607">
        <f t="shared" ref="BR201:BR264" si="303">((V201*9)+(X201*10)+(Z201*11)+(AB201*12))</f>
        <v>197</v>
      </c>
      <c r="BS201" s="606">
        <f t="shared" ref="BS201:BS264" si="304">((W201*9)+(Y201*10)+(AA201*11)+(AC201*12))</f>
        <v>258</v>
      </c>
      <c r="BT201" s="607">
        <f t="shared" ref="BT201:BT264" si="305">((AD201*9)+(AF201*10)+(AH201*11)+(AJ201*12))</f>
        <v>341</v>
      </c>
      <c r="BU201" s="606">
        <f t="shared" ref="BU201:BU264" si="306">((AE201*9)+(AG201*10)+(AI201*11)+(AK201*12))</f>
        <v>396</v>
      </c>
      <c r="BV201" s="607">
        <f t="shared" ref="BV201:BV264" si="307">((AL201*9)+(AN201*10)+(AP201*11)+(AR201*12))</f>
        <v>0</v>
      </c>
      <c r="BW201" s="608">
        <f t="shared" ref="BW201:BW264" si="308">((AM201*9)+(AO201*10)+(AQ201*11)+(AS201*12))</f>
        <v>0</v>
      </c>
      <c r="BX201" s="607">
        <f t="shared" ref="BX201:BX264" si="309">((AT201*9)+(AV201*10)+(AX201*11)+(AZ201*12))</f>
        <v>0</v>
      </c>
      <c r="BY201" s="608">
        <f t="shared" ref="BY201:BY264" si="310">((AU201*9)+(AW201*10)+(AY201*11)+(BA201*12))</f>
        <v>0</v>
      </c>
      <c r="BZ201" s="607">
        <f t="shared" ref="BZ201:BZ264" si="311">IF(BN201&gt;0,BB201/BN201,)</f>
        <v>6513.5124999999998</v>
      </c>
      <c r="CA201" s="608">
        <f t="shared" ref="CA201:CA264" si="312">IF(BO201&gt;0,BC201/BO201,)</f>
        <v>5939.227272727273</v>
      </c>
      <c r="CB201" s="607">
        <f t="shared" ref="CB201:CB264" si="313">IF(BP201&gt;0,BD201/BP201,)</f>
        <v>5284.1183431952659</v>
      </c>
      <c r="CC201" s="608">
        <f t="shared" ref="CC201:CC264" si="314">IF(BQ201&gt;0,BE201/BQ201,)</f>
        <v>4850.0955056179773</v>
      </c>
      <c r="CD201" s="607">
        <f t="shared" ref="CD201:CD264" si="315">IF(BR201&gt;0,BF201/BR201,)</f>
        <v>4691.6954314720815</v>
      </c>
      <c r="CE201" s="608">
        <f t="shared" ref="CE201:CE264" si="316">IF(BS201&gt;0,BG201/BS201,)</f>
        <v>4385.833333333333</v>
      </c>
      <c r="CF201" s="607">
        <f t="shared" ref="CF201:CF264" si="317">IF(BT201&gt;0,BH201/BT201,)</f>
        <v>4398.4017595307914</v>
      </c>
      <c r="CG201" s="608">
        <f t="shared" ref="CG201:CG264" si="318">IF(BU201&gt;0,BI201/BU201,)</f>
        <v>3984.962121212121</v>
      </c>
      <c r="CH201" s="607">
        <f t="shared" ref="CH201:CH264" si="319">IF(BV201&gt;0,BJ201/BV201,)</f>
        <v>0</v>
      </c>
      <c r="CI201" s="608">
        <f t="shared" ref="CI201:CI264" si="320">IF(BW201&gt;0,BK201/BW201,)</f>
        <v>0</v>
      </c>
      <c r="CJ201" s="607">
        <f t="shared" ref="CJ201:CJ264" si="321">IF(BX201&gt;0,BL201/BX201,)</f>
        <v>0</v>
      </c>
      <c r="CK201" s="608">
        <f t="shared" ref="CK201:CK264" si="322">IF(BY201&gt;0,BM201/BY201,)</f>
        <v>0</v>
      </c>
      <c r="CL201" s="609">
        <f t="shared" ref="CL201:CL264" si="323">+BZ201*9</f>
        <v>58621.612499999996</v>
      </c>
      <c r="CM201" s="608">
        <f t="shared" ref="CM201:CM264" si="324">+CA201*9</f>
        <v>53453.045454545456</v>
      </c>
      <c r="CN201" s="610">
        <f t="shared" ref="CN201:CN264" si="325">+CB201*9</f>
        <v>47557.065088757394</v>
      </c>
      <c r="CO201" s="606">
        <f t="shared" ref="CO201:CO264" si="326">+CC201*9</f>
        <v>43650.8595505618</v>
      </c>
      <c r="CP201" s="607">
        <f t="shared" ref="CP201:CP264" si="327">+CD201*9</f>
        <v>42225.258883248731</v>
      </c>
      <c r="CQ201" s="606">
        <f t="shared" ref="CQ201:CQ264" si="328">+CE201*9</f>
        <v>39472.5</v>
      </c>
      <c r="CR201" s="607">
        <f t="shared" ref="CR201:CR264" si="329">+CF201*9</f>
        <v>39585.61583577712</v>
      </c>
      <c r="CS201" s="606">
        <f t="shared" ref="CS201:CS264" si="330">+CG201*9</f>
        <v>35864.659090909088</v>
      </c>
      <c r="CT201" s="607">
        <f t="shared" ref="CT201:CT264" si="331">+CH201*9</f>
        <v>0</v>
      </c>
      <c r="CU201" s="608">
        <f t="shared" ref="CU201:CU264" si="332">+CI201*9</f>
        <v>0</v>
      </c>
      <c r="CV201" s="610">
        <f t="shared" ref="CV201:CV264" si="333">+CJ201*9</f>
        <v>0</v>
      </c>
      <c r="CW201" s="608">
        <f t="shared" ref="CW201:CW264" si="334">+CK201*9</f>
        <v>0</v>
      </c>
      <c r="CX201" s="610">
        <f t="shared" ref="CX201:CX264" si="335">IF(DL201&gt;0,((CL201*CZ201)+(CN201*DB201)+(CP201*DD201)+(CR201*DF201)+(CT201*DH201)+(CV201*DJ201))/DL201,)</f>
        <v>48829.93376660096</v>
      </c>
      <c r="CY201" s="611">
        <f t="shared" ref="CY201:CY264" si="336">IF(DM201&gt;0,((CM201*DA201)+(CO201*DC201)+(CQ201*DE201)+(CS201*DG201)+(CU201*DI201)+(CW201*DK201))/DM201,)</f>
        <v>44471.220738658689</v>
      </c>
      <c r="CZ201" s="605">
        <f t="shared" ref="CZ201:CZ264" si="337">+F201+H201+J201+L201</f>
        <v>50</v>
      </c>
      <c r="DA201" s="612">
        <f t="shared" ref="DA201:DA264" si="338">+G201+I201+K201+M201</f>
        <v>50</v>
      </c>
      <c r="DB201" s="607">
        <f t="shared" ref="DB201:DB264" si="339">+N201+P201+R201+T201</f>
        <v>36</v>
      </c>
      <c r="DC201" s="606">
        <f t="shared" ref="DC201:DC264" si="340">+O201+Q201+S201+U201</f>
        <v>34</v>
      </c>
      <c r="DD201" s="607">
        <f t="shared" ref="DD201:DD264" si="341">+V201+X201+Z201+AB201</f>
        <v>21</v>
      </c>
      <c r="DE201" s="606">
        <f t="shared" ref="DE201:DE264" si="342">+W201+Y201+AA201+AC201</f>
        <v>24</v>
      </c>
      <c r="DF201" s="607">
        <f t="shared" ref="DF201:DF264" si="343">+AD201+AF201+AH201+AJ201</f>
        <v>33</v>
      </c>
      <c r="DG201" s="606">
        <f t="shared" ref="DG201:DG264" si="344">+AE201+AG201+AI201+AK201</f>
        <v>35</v>
      </c>
      <c r="DH201" s="607">
        <f t="shared" ref="DH201:DH264" si="345">+AL201+AN201+AP201+AR201</f>
        <v>0</v>
      </c>
      <c r="DI201" s="608">
        <f t="shared" ref="DI201:DI264" si="346">+AM201+AO201+AQ201+AS201</f>
        <v>0</v>
      </c>
      <c r="DJ201" s="607">
        <f t="shared" ref="DJ201:DJ264" si="347">+AT201+AV201+AX201+AZ201</f>
        <v>0</v>
      </c>
      <c r="DK201" s="608">
        <f t="shared" ref="DK201:DK264" si="348">+AU201+AW201+AY201+BA201</f>
        <v>0</v>
      </c>
      <c r="DL201" s="607">
        <f t="shared" ref="DL201:DL264" si="349">+CZ201+DB201+DD201+DF201+DH201+DJ201</f>
        <v>140</v>
      </c>
      <c r="DM201" s="608">
        <f t="shared" ref="DM201:DM264" si="350">+DA201+DC201+DE201+DG201+DI201+DK201</f>
        <v>143</v>
      </c>
      <c r="DN201" s="607">
        <f t="shared" ref="DN201:DN264" si="351">+CZ201*CL201</f>
        <v>2931080.625</v>
      </c>
      <c r="DO201" s="612">
        <f t="shared" ref="DO201:DO264" si="352">+DA201*CM201</f>
        <v>2672652.2727272729</v>
      </c>
      <c r="DP201" s="607">
        <f t="shared" ref="DP201:DP264" si="353">+DB201*CN201</f>
        <v>1712054.3431952661</v>
      </c>
      <c r="DQ201" s="606">
        <f t="shared" ref="DQ201:DQ264" si="354">+DC201*CO201</f>
        <v>1484129.2247191011</v>
      </c>
      <c r="DR201" s="607">
        <f t="shared" ref="DR201:DR264" si="355">+DD201*CP201</f>
        <v>886730.43654822337</v>
      </c>
      <c r="DS201" s="606">
        <f t="shared" ref="DS201:DS264" si="356">+DE201*CQ201</f>
        <v>947340</v>
      </c>
      <c r="DT201" s="607">
        <f t="shared" ref="DT201:DT264" si="357">+DF201*CR201</f>
        <v>1306325.3225806449</v>
      </c>
      <c r="DU201" s="606">
        <f t="shared" ref="DU201:DU264" si="358">+DG201*CS201</f>
        <v>1255263.0681818181</v>
      </c>
      <c r="DV201" s="607">
        <f t="shared" ref="DV201:DV264" si="359">+DH201*CT201</f>
        <v>0</v>
      </c>
      <c r="DW201" s="608">
        <f t="shared" ref="DW201:DW264" si="360">+DI201*CU201</f>
        <v>0</v>
      </c>
      <c r="DX201" s="607">
        <f t="shared" ref="DX201:DX264" si="361">+DJ201*CV201</f>
        <v>0</v>
      </c>
      <c r="DY201" s="608">
        <f t="shared" ref="DY201:DY264" si="362">+DK201*CW201</f>
        <v>0</v>
      </c>
      <c r="DZ201" s="607">
        <f t="shared" ref="DZ201:DZ264" si="363">+DL201*CX201</f>
        <v>6836190.7273241347</v>
      </c>
      <c r="EA201" s="608">
        <f t="shared" ref="EA201:EA264" si="364">+DM201*CY201</f>
        <v>6359384.5656281924</v>
      </c>
    </row>
    <row r="202" spans="1:131" x14ac:dyDescent="0.2">
      <c r="A202" s="341" t="s">
        <v>36</v>
      </c>
      <c r="B202" s="345" t="s">
        <v>739</v>
      </c>
      <c r="C202" s="555"/>
      <c r="D202" s="388">
        <v>156851</v>
      </c>
      <c r="E202" s="425">
        <v>10</v>
      </c>
      <c r="F202" s="598">
        <v>22</v>
      </c>
      <c r="G202" s="599"/>
      <c r="H202" s="600"/>
      <c r="I202" s="601">
        <v>22</v>
      </c>
      <c r="J202" s="600">
        <v>3</v>
      </c>
      <c r="K202" s="599"/>
      <c r="L202" s="600"/>
      <c r="M202" s="601">
        <v>3</v>
      </c>
      <c r="N202" s="600">
        <v>10</v>
      </c>
      <c r="O202" s="599"/>
      <c r="P202" s="600"/>
      <c r="Q202" s="601">
        <v>11</v>
      </c>
      <c r="R202" s="600"/>
      <c r="S202" s="599"/>
      <c r="T202" s="600"/>
      <c r="U202" s="601"/>
      <c r="V202" s="600">
        <v>6</v>
      </c>
      <c r="W202" s="599"/>
      <c r="X202" s="600"/>
      <c r="Y202" s="601">
        <v>4</v>
      </c>
      <c r="Z202" s="600">
        <v>1</v>
      </c>
      <c r="AA202" s="599"/>
      <c r="AB202" s="600"/>
      <c r="AC202" s="601">
        <v>1</v>
      </c>
      <c r="AD202" s="600">
        <v>6</v>
      </c>
      <c r="AE202" s="599"/>
      <c r="AF202" s="600"/>
      <c r="AG202" s="601">
        <v>9</v>
      </c>
      <c r="AH202" s="600"/>
      <c r="AI202" s="599"/>
      <c r="AJ202" s="600"/>
      <c r="AK202" s="601"/>
      <c r="AL202" s="600"/>
      <c r="AM202" s="599"/>
      <c r="AN202" s="600"/>
      <c r="AO202" s="601"/>
      <c r="AP202" s="600"/>
      <c r="AQ202" s="599"/>
      <c r="AR202" s="600"/>
      <c r="AS202" s="601">
        <v>1</v>
      </c>
      <c r="AT202" s="600"/>
      <c r="AU202" s="599"/>
      <c r="AV202" s="600"/>
      <c r="AW202" s="601"/>
      <c r="AX202" s="600"/>
      <c r="AY202" s="599"/>
      <c r="AZ202" s="600"/>
      <c r="BA202" s="601"/>
      <c r="BB202" s="602">
        <v>1555847</v>
      </c>
      <c r="BC202" s="599">
        <f>587880+1005142</f>
        <v>1593022</v>
      </c>
      <c r="BD202" s="600">
        <v>496713</v>
      </c>
      <c r="BE202" s="599">
        <f>160553+384311</f>
        <v>544864</v>
      </c>
      <c r="BF202" s="600">
        <v>309918</v>
      </c>
      <c r="BG202" s="599">
        <f>42566+185312</f>
        <v>227878</v>
      </c>
      <c r="BH202" s="600">
        <v>252990</v>
      </c>
      <c r="BI202" s="599">
        <f>123395+257454</f>
        <v>380849</v>
      </c>
      <c r="BJ202" s="600">
        <v>0</v>
      </c>
      <c r="BK202" s="615">
        <v>17280</v>
      </c>
      <c r="BL202" s="600">
        <v>0</v>
      </c>
      <c r="BM202" s="604"/>
      <c r="BN202" s="605">
        <f t="shared" si="299"/>
        <v>231</v>
      </c>
      <c r="BO202" s="606">
        <f t="shared" si="300"/>
        <v>256</v>
      </c>
      <c r="BP202" s="607">
        <f t="shared" si="301"/>
        <v>90</v>
      </c>
      <c r="BQ202" s="606">
        <f t="shared" si="302"/>
        <v>110</v>
      </c>
      <c r="BR202" s="607">
        <f t="shared" si="303"/>
        <v>65</v>
      </c>
      <c r="BS202" s="606">
        <f t="shared" si="304"/>
        <v>52</v>
      </c>
      <c r="BT202" s="607">
        <f t="shared" si="305"/>
        <v>54</v>
      </c>
      <c r="BU202" s="606">
        <f t="shared" si="306"/>
        <v>90</v>
      </c>
      <c r="BV202" s="607">
        <f t="shared" si="307"/>
        <v>0</v>
      </c>
      <c r="BW202" s="608">
        <f t="shared" si="308"/>
        <v>12</v>
      </c>
      <c r="BX202" s="607">
        <f t="shared" si="309"/>
        <v>0</v>
      </c>
      <c r="BY202" s="608">
        <f t="shared" si="310"/>
        <v>0</v>
      </c>
      <c r="BZ202" s="607">
        <f t="shared" si="311"/>
        <v>6735.2683982683984</v>
      </c>
      <c r="CA202" s="608">
        <f t="shared" si="312"/>
        <v>6222.7421875</v>
      </c>
      <c r="CB202" s="607">
        <f t="shared" si="313"/>
        <v>5519.0333333333338</v>
      </c>
      <c r="CC202" s="608">
        <f t="shared" si="314"/>
        <v>4953.3090909090906</v>
      </c>
      <c r="CD202" s="607">
        <f t="shared" si="315"/>
        <v>4767.9692307692312</v>
      </c>
      <c r="CE202" s="608">
        <f t="shared" si="316"/>
        <v>4382.2692307692305</v>
      </c>
      <c r="CF202" s="607">
        <f t="shared" si="317"/>
        <v>4685</v>
      </c>
      <c r="CG202" s="608">
        <f t="shared" si="318"/>
        <v>4231.6555555555551</v>
      </c>
      <c r="CH202" s="607">
        <f t="shared" si="319"/>
        <v>0</v>
      </c>
      <c r="CI202" s="608">
        <f t="shared" si="320"/>
        <v>1440</v>
      </c>
      <c r="CJ202" s="607">
        <f t="shared" si="321"/>
        <v>0</v>
      </c>
      <c r="CK202" s="608">
        <f t="shared" si="322"/>
        <v>0</v>
      </c>
      <c r="CL202" s="609">
        <f t="shared" si="323"/>
        <v>60617.415584415583</v>
      </c>
      <c r="CM202" s="608">
        <f t="shared" si="324"/>
        <v>56004.6796875</v>
      </c>
      <c r="CN202" s="610">
        <f t="shared" si="325"/>
        <v>49671.3</v>
      </c>
      <c r="CO202" s="606">
        <f t="shared" si="326"/>
        <v>44579.781818181815</v>
      </c>
      <c r="CP202" s="607">
        <f t="shared" si="327"/>
        <v>42911.723076923081</v>
      </c>
      <c r="CQ202" s="606">
        <f t="shared" si="328"/>
        <v>39440.423076923078</v>
      </c>
      <c r="CR202" s="607">
        <f t="shared" si="329"/>
        <v>42165</v>
      </c>
      <c r="CS202" s="606">
        <f t="shared" si="330"/>
        <v>38084.899999999994</v>
      </c>
      <c r="CT202" s="607">
        <f t="shared" si="331"/>
        <v>0</v>
      </c>
      <c r="CU202" s="608">
        <f t="shared" si="332"/>
        <v>12960</v>
      </c>
      <c r="CV202" s="610">
        <f t="shared" si="333"/>
        <v>0</v>
      </c>
      <c r="CW202" s="608">
        <f t="shared" si="334"/>
        <v>0</v>
      </c>
      <c r="CX202" s="610">
        <f t="shared" si="335"/>
        <v>53448.342732267723</v>
      </c>
      <c r="CY202" s="611">
        <f t="shared" si="336"/>
        <v>47910.21191317874</v>
      </c>
      <c r="CZ202" s="605">
        <f t="shared" si="337"/>
        <v>25</v>
      </c>
      <c r="DA202" s="612">
        <f t="shared" si="338"/>
        <v>25</v>
      </c>
      <c r="DB202" s="607">
        <f t="shared" si="339"/>
        <v>10</v>
      </c>
      <c r="DC202" s="606">
        <f t="shared" si="340"/>
        <v>11</v>
      </c>
      <c r="DD202" s="607">
        <f t="shared" si="341"/>
        <v>7</v>
      </c>
      <c r="DE202" s="606">
        <f t="shared" si="342"/>
        <v>5</v>
      </c>
      <c r="DF202" s="607">
        <f t="shared" si="343"/>
        <v>6</v>
      </c>
      <c r="DG202" s="606">
        <f t="shared" si="344"/>
        <v>9</v>
      </c>
      <c r="DH202" s="607">
        <f t="shared" si="345"/>
        <v>0</v>
      </c>
      <c r="DI202" s="608">
        <f t="shared" si="346"/>
        <v>1</v>
      </c>
      <c r="DJ202" s="607">
        <f t="shared" si="347"/>
        <v>0</v>
      </c>
      <c r="DK202" s="608">
        <f t="shared" si="348"/>
        <v>0</v>
      </c>
      <c r="DL202" s="607">
        <f t="shared" si="349"/>
        <v>48</v>
      </c>
      <c r="DM202" s="608">
        <f t="shared" si="350"/>
        <v>51</v>
      </c>
      <c r="DN202" s="607">
        <f t="shared" si="351"/>
        <v>1515435.3896103895</v>
      </c>
      <c r="DO202" s="612">
        <f t="shared" si="352"/>
        <v>1400116.9921875</v>
      </c>
      <c r="DP202" s="607">
        <f t="shared" si="353"/>
        <v>496713</v>
      </c>
      <c r="DQ202" s="606">
        <f t="shared" si="354"/>
        <v>490377.6</v>
      </c>
      <c r="DR202" s="607">
        <f t="shared" si="355"/>
        <v>300382.0615384616</v>
      </c>
      <c r="DS202" s="606">
        <f t="shared" si="356"/>
        <v>197202.11538461538</v>
      </c>
      <c r="DT202" s="607">
        <f t="shared" si="357"/>
        <v>252990</v>
      </c>
      <c r="DU202" s="606">
        <f t="shared" si="358"/>
        <v>342764.1</v>
      </c>
      <c r="DV202" s="607">
        <f t="shared" si="359"/>
        <v>0</v>
      </c>
      <c r="DW202" s="608">
        <f t="shared" si="360"/>
        <v>12960</v>
      </c>
      <c r="DX202" s="607">
        <f t="shared" si="361"/>
        <v>0</v>
      </c>
      <c r="DY202" s="608">
        <f t="shared" si="362"/>
        <v>0</v>
      </c>
      <c r="DZ202" s="607">
        <f t="shared" si="363"/>
        <v>2565520.4511488508</v>
      </c>
      <c r="EA202" s="608">
        <f t="shared" si="364"/>
        <v>2443420.8075721157</v>
      </c>
    </row>
    <row r="203" spans="1:131" x14ac:dyDescent="0.2">
      <c r="A203" s="489" t="s">
        <v>36</v>
      </c>
      <c r="B203" s="385" t="s">
        <v>741</v>
      </c>
      <c r="C203" s="536"/>
      <c r="D203" s="388">
        <v>157438</v>
      </c>
      <c r="E203" s="389">
        <v>12</v>
      </c>
      <c r="F203" s="598">
        <v>5</v>
      </c>
      <c r="G203" s="599"/>
      <c r="H203" s="600"/>
      <c r="I203" s="601">
        <v>5</v>
      </c>
      <c r="J203" s="600"/>
      <c r="K203" s="599"/>
      <c r="L203" s="600"/>
      <c r="M203" s="601"/>
      <c r="N203" s="600">
        <v>16</v>
      </c>
      <c r="O203" s="599"/>
      <c r="P203" s="600"/>
      <c r="Q203" s="601">
        <v>15</v>
      </c>
      <c r="R203" s="600">
        <v>4</v>
      </c>
      <c r="S203" s="599"/>
      <c r="T203" s="600"/>
      <c r="U203" s="601">
        <v>4</v>
      </c>
      <c r="V203" s="600">
        <v>17</v>
      </c>
      <c r="W203" s="599"/>
      <c r="X203" s="600"/>
      <c r="Y203" s="601">
        <v>25</v>
      </c>
      <c r="Z203" s="600">
        <v>7</v>
      </c>
      <c r="AA203" s="599"/>
      <c r="AB203" s="600"/>
      <c r="AC203" s="601">
        <v>9</v>
      </c>
      <c r="AD203" s="600">
        <v>23</v>
      </c>
      <c r="AE203" s="599"/>
      <c r="AF203" s="600"/>
      <c r="AG203" s="601">
        <v>17</v>
      </c>
      <c r="AH203" s="600">
        <v>16</v>
      </c>
      <c r="AI203" s="599"/>
      <c r="AJ203" s="600"/>
      <c r="AK203" s="601">
        <v>18</v>
      </c>
      <c r="AL203" s="600"/>
      <c r="AM203" s="599"/>
      <c r="AN203" s="600"/>
      <c r="AO203" s="601"/>
      <c r="AP203" s="600"/>
      <c r="AQ203" s="599"/>
      <c r="AR203" s="600"/>
      <c r="AS203" s="601"/>
      <c r="AT203" s="600"/>
      <c r="AU203" s="599"/>
      <c r="AV203" s="600"/>
      <c r="AW203" s="601"/>
      <c r="AX203" s="600"/>
      <c r="AY203" s="599"/>
      <c r="AZ203" s="600"/>
      <c r="BA203" s="601"/>
      <c r="BB203" s="602">
        <v>333173</v>
      </c>
      <c r="BC203" s="599">
        <f>126752+214749</f>
        <v>341501</v>
      </c>
      <c r="BD203" s="600">
        <v>1062173</v>
      </c>
      <c r="BE203" s="599">
        <f>589441+453649</f>
        <v>1043090</v>
      </c>
      <c r="BF203" s="600">
        <v>1196421</v>
      </c>
      <c r="BG203" s="599">
        <f>859423+834449</f>
        <v>1693872</v>
      </c>
      <c r="BH203" s="600">
        <v>1758839</v>
      </c>
      <c r="BI203" s="599">
        <f>463097+1145153</f>
        <v>1608250</v>
      </c>
      <c r="BJ203" s="600">
        <v>0</v>
      </c>
      <c r="BK203" s="615"/>
      <c r="BL203" s="600">
        <v>0</v>
      </c>
      <c r="BM203" s="604"/>
      <c r="BN203" s="605">
        <f t="shared" si="299"/>
        <v>45</v>
      </c>
      <c r="BO203" s="606">
        <f t="shared" si="300"/>
        <v>50</v>
      </c>
      <c r="BP203" s="607">
        <f t="shared" si="301"/>
        <v>188</v>
      </c>
      <c r="BQ203" s="606">
        <f t="shared" si="302"/>
        <v>198</v>
      </c>
      <c r="BR203" s="607">
        <f t="shared" si="303"/>
        <v>230</v>
      </c>
      <c r="BS203" s="606">
        <f t="shared" si="304"/>
        <v>358</v>
      </c>
      <c r="BT203" s="607">
        <f t="shared" si="305"/>
        <v>383</v>
      </c>
      <c r="BU203" s="606">
        <f t="shared" si="306"/>
        <v>386</v>
      </c>
      <c r="BV203" s="607">
        <f t="shared" si="307"/>
        <v>0</v>
      </c>
      <c r="BW203" s="608">
        <f t="shared" si="308"/>
        <v>0</v>
      </c>
      <c r="BX203" s="607">
        <f t="shared" si="309"/>
        <v>0</v>
      </c>
      <c r="BY203" s="608">
        <f t="shared" si="310"/>
        <v>0</v>
      </c>
      <c r="BZ203" s="607">
        <f t="shared" si="311"/>
        <v>7403.8444444444449</v>
      </c>
      <c r="CA203" s="608">
        <f t="shared" si="312"/>
        <v>6830.02</v>
      </c>
      <c r="CB203" s="607">
        <f t="shared" si="313"/>
        <v>5649.8563829787236</v>
      </c>
      <c r="CC203" s="608">
        <f t="shared" si="314"/>
        <v>5268.1313131313127</v>
      </c>
      <c r="CD203" s="607">
        <f t="shared" si="315"/>
        <v>5201.8304347826088</v>
      </c>
      <c r="CE203" s="608">
        <f t="shared" si="316"/>
        <v>4731.4860335195526</v>
      </c>
      <c r="CF203" s="607">
        <f t="shared" si="317"/>
        <v>4592.2689295039163</v>
      </c>
      <c r="CG203" s="608">
        <f t="shared" si="318"/>
        <v>4166.4507772020725</v>
      </c>
      <c r="CH203" s="607">
        <f t="shared" si="319"/>
        <v>0</v>
      </c>
      <c r="CI203" s="608">
        <f t="shared" si="320"/>
        <v>0</v>
      </c>
      <c r="CJ203" s="607">
        <f t="shared" si="321"/>
        <v>0</v>
      </c>
      <c r="CK203" s="608">
        <f t="shared" si="322"/>
        <v>0</v>
      </c>
      <c r="CL203" s="609">
        <f t="shared" si="323"/>
        <v>66634.600000000006</v>
      </c>
      <c r="CM203" s="608">
        <f t="shared" si="324"/>
        <v>61470.180000000008</v>
      </c>
      <c r="CN203" s="610">
        <f t="shared" si="325"/>
        <v>50848.707446808512</v>
      </c>
      <c r="CO203" s="606">
        <f t="shared" si="326"/>
        <v>47413.181818181816</v>
      </c>
      <c r="CP203" s="607">
        <f t="shared" si="327"/>
        <v>46816.473913043475</v>
      </c>
      <c r="CQ203" s="606">
        <f t="shared" si="328"/>
        <v>42583.374301675976</v>
      </c>
      <c r="CR203" s="607">
        <f t="shared" si="329"/>
        <v>41330.420365535247</v>
      </c>
      <c r="CS203" s="606">
        <f t="shared" si="330"/>
        <v>37498.056994818653</v>
      </c>
      <c r="CT203" s="607">
        <f t="shared" si="331"/>
        <v>0</v>
      </c>
      <c r="CU203" s="608">
        <f t="shared" si="332"/>
        <v>0</v>
      </c>
      <c r="CV203" s="610">
        <f t="shared" si="333"/>
        <v>0</v>
      </c>
      <c r="CW203" s="608">
        <f t="shared" si="334"/>
        <v>0</v>
      </c>
      <c r="CX203" s="610">
        <f t="shared" si="335"/>
        <v>46427.601330739635</v>
      </c>
      <c r="CY203" s="611">
        <f t="shared" si="336"/>
        <v>42671.699737861192</v>
      </c>
      <c r="CZ203" s="605">
        <f t="shared" si="337"/>
        <v>5</v>
      </c>
      <c r="DA203" s="612">
        <f t="shared" si="338"/>
        <v>5</v>
      </c>
      <c r="DB203" s="607">
        <f t="shared" si="339"/>
        <v>20</v>
      </c>
      <c r="DC203" s="606">
        <f t="shared" si="340"/>
        <v>19</v>
      </c>
      <c r="DD203" s="607">
        <f t="shared" si="341"/>
        <v>24</v>
      </c>
      <c r="DE203" s="606">
        <f t="shared" si="342"/>
        <v>34</v>
      </c>
      <c r="DF203" s="607">
        <f t="shared" si="343"/>
        <v>39</v>
      </c>
      <c r="DG203" s="606">
        <f t="shared" si="344"/>
        <v>35</v>
      </c>
      <c r="DH203" s="607">
        <f t="shared" si="345"/>
        <v>0</v>
      </c>
      <c r="DI203" s="608">
        <f t="shared" si="346"/>
        <v>0</v>
      </c>
      <c r="DJ203" s="607">
        <f t="shared" si="347"/>
        <v>0</v>
      </c>
      <c r="DK203" s="608">
        <f t="shared" si="348"/>
        <v>0</v>
      </c>
      <c r="DL203" s="607">
        <f t="shared" si="349"/>
        <v>88</v>
      </c>
      <c r="DM203" s="608">
        <f t="shared" si="350"/>
        <v>93</v>
      </c>
      <c r="DN203" s="607">
        <f t="shared" si="351"/>
        <v>333173</v>
      </c>
      <c r="DO203" s="612">
        <f t="shared" si="352"/>
        <v>307350.90000000002</v>
      </c>
      <c r="DP203" s="607">
        <f t="shared" si="353"/>
        <v>1016974.1489361703</v>
      </c>
      <c r="DQ203" s="606">
        <f t="shared" si="354"/>
        <v>900850.45454545447</v>
      </c>
      <c r="DR203" s="607">
        <f t="shared" si="355"/>
        <v>1123595.3739130434</v>
      </c>
      <c r="DS203" s="606">
        <f t="shared" si="356"/>
        <v>1447834.7262569831</v>
      </c>
      <c r="DT203" s="607">
        <f t="shared" si="357"/>
        <v>1611886.3942558747</v>
      </c>
      <c r="DU203" s="606">
        <f t="shared" si="358"/>
        <v>1312431.9948186527</v>
      </c>
      <c r="DV203" s="607">
        <f t="shared" si="359"/>
        <v>0</v>
      </c>
      <c r="DW203" s="608">
        <f t="shared" si="360"/>
        <v>0</v>
      </c>
      <c r="DX203" s="607">
        <f t="shared" si="361"/>
        <v>0</v>
      </c>
      <c r="DY203" s="608">
        <f t="shared" si="362"/>
        <v>0</v>
      </c>
      <c r="DZ203" s="607">
        <f t="shared" si="363"/>
        <v>4085628.917105088</v>
      </c>
      <c r="EA203" s="608">
        <f t="shared" si="364"/>
        <v>3968468.0756210908</v>
      </c>
    </row>
    <row r="204" spans="1:131" x14ac:dyDescent="0.2">
      <c r="A204" s="489" t="s">
        <v>36</v>
      </c>
      <c r="B204" s="422" t="s">
        <v>740</v>
      </c>
      <c r="C204" s="555"/>
      <c r="D204" s="388">
        <v>156338</v>
      </c>
      <c r="E204" s="425">
        <v>12</v>
      </c>
      <c r="F204" s="598">
        <v>4</v>
      </c>
      <c r="G204" s="599"/>
      <c r="H204" s="600"/>
      <c r="I204" s="601">
        <v>7</v>
      </c>
      <c r="J204" s="600">
        <v>3</v>
      </c>
      <c r="K204" s="599"/>
      <c r="L204" s="600"/>
      <c r="M204" s="601">
        <v>3</v>
      </c>
      <c r="N204" s="600">
        <v>15</v>
      </c>
      <c r="O204" s="599"/>
      <c r="P204" s="600"/>
      <c r="Q204" s="601">
        <v>14</v>
      </c>
      <c r="R204" s="600">
        <v>7</v>
      </c>
      <c r="S204" s="599"/>
      <c r="T204" s="600"/>
      <c r="U204" s="601">
        <v>7</v>
      </c>
      <c r="V204" s="600">
        <v>11</v>
      </c>
      <c r="W204" s="599"/>
      <c r="X204" s="600"/>
      <c r="Y204" s="601">
        <v>14</v>
      </c>
      <c r="Z204" s="600">
        <v>5</v>
      </c>
      <c r="AA204" s="599"/>
      <c r="AB204" s="600"/>
      <c r="AC204" s="601">
        <v>9</v>
      </c>
      <c r="AD204" s="600">
        <v>22</v>
      </c>
      <c r="AE204" s="599"/>
      <c r="AF204" s="600"/>
      <c r="AG204" s="601">
        <v>15</v>
      </c>
      <c r="AH204" s="600">
        <v>11</v>
      </c>
      <c r="AI204" s="599"/>
      <c r="AJ204" s="600"/>
      <c r="AK204" s="601">
        <v>14</v>
      </c>
      <c r="AL204" s="600"/>
      <c r="AM204" s="599"/>
      <c r="AN204" s="600"/>
      <c r="AO204" s="601"/>
      <c r="AP204" s="600"/>
      <c r="AQ204" s="599"/>
      <c r="AR204" s="600"/>
      <c r="AS204" s="601"/>
      <c r="AT204" s="600"/>
      <c r="AU204" s="599"/>
      <c r="AV204" s="600"/>
      <c r="AW204" s="601"/>
      <c r="AX204" s="600"/>
      <c r="AY204" s="599"/>
      <c r="AZ204" s="600"/>
      <c r="BA204" s="601"/>
      <c r="BB204" s="602">
        <v>433345</v>
      </c>
      <c r="BC204" s="599">
        <f>164106+442553</f>
        <v>606659</v>
      </c>
      <c r="BD204" s="600">
        <v>1124145</v>
      </c>
      <c r="BE204" s="599">
        <f>721266+367152</f>
        <v>1088418</v>
      </c>
      <c r="BF204" s="600">
        <v>700486</v>
      </c>
      <c r="BG204" s="599">
        <f>663916+366644</f>
        <v>1030560</v>
      </c>
      <c r="BH204" s="600">
        <v>1280455</v>
      </c>
      <c r="BI204" s="599">
        <f>328155+782971</f>
        <v>1111126</v>
      </c>
      <c r="BJ204" s="600">
        <v>0</v>
      </c>
      <c r="BK204" s="615"/>
      <c r="BL204" s="600">
        <v>0</v>
      </c>
      <c r="BM204" s="604"/>
      <c r="BN204" s="605">
        <f t="shared" si="299"/>
        <v>69</v>
      </c>
      <c r="BO204" s="606">
        <f t="shared" si="300"/>
        <v>106</v>
      </c>
      <c r="BP204" s="607">
        <f t="shared" si="301"/>
        <v>212</v>
      </c>
      <c r="BQ204" s="606">
        <f t="shared" si="302"/>
        <v>224</v>
      </c>
      <c r="BR204" s="607">
        <f t="shared" si="303"/>
        <v>154</v>
      </c>
      <c r="BS204" s="606">
        <f t="shared" si="304"/>
        <v>248</v>
      </c>
      <c r="BT204" s="607">
        <f t="shared" si="305"/>
        <v>319</v>
      </c>
      <c r="BU204" s="606">
        <f t="shared" si="306"/>
        <v>318</v>
      </c>
      <c r="BV204" s="607">
        <f t="shared" si="307"/>
        <v>0</v>
      </c>
      <c r="BW204" s="608">
        <f t="shared" si="308"/>
        <v>0</v>
      </c>
      <c r="BX204" s="607">
        <f t="shared" si="309"/>
        <v>0</v>
      </c>
      <c r="BY204" s="608">
        <f t="shared" si="310"/>
        <v>0</v>
      </c>
      <c r="BZ204" s="607">
        <f t="shared" si="311"/>
        <v>6280.36231884058</v>
      </c>
      <c r="CA204" s="608">
        <f t="shared" si="312"/>
        <v>5723.1981132075471</v>
      </c>
      <c r="CB204" s="607">
        <f t="shared" si="313"/>
        <v>5302.5707547169814</v>
      </c>
      <c r="CC204" s="608">
        <f t="shared" si="314"/>
        <v>4859.0089285714284</v>
      </c>
      <c r="CD204" s="607">
        <f t="shared" si="315"/>
        <v>4548.6103896103896</v>
      </c>
      <c r="CE204" s="608">
        <f t="shared" si="316"/>
        <v>4155.4838709677415</v>
      </c>
      <c r="CF204" s="607">
        <f t="shared" si="317"/>
        <v>4013.9655172413795</v>
      </c>
      <c r="CG204" s="608">
        <f t="shared" si="318"/>
        <v>3494.1069182389938</v>
      </c>
      <c r="CH204" s="607">
        <f t="shared" si="319"/>
        <v>0</v>
      </c>
      <c r="CI204" s="608">
        <f t="shared" si="320"/>
        <v>0</v>
      </c>
      <c r="CJ204" s="607">
        <f t="shared" si="321"/>
        <v>0</v>
      </c>
      <c r="CK204" s="608">
        <f t="shared" si="322"/>
        <v>0</v>
      </c>
      <c r="CL204" s="609">
        <f t="shared" si="323"/>
        <v>56523.260869565216</v>
      </c>
      <c r="CM204" s="608">
        <f t="shared" si="324"/>
        <v>51508.783018867922</v>
      </c>
      <c r="CN204" s="610">
        <f t="shared" si="325"/>
        <v>47723.136792452831</v>
      </c>
      <c r="CO204" s="606">
        <f t="shared" si="326"/>
        <v>43731.080357142855</v>
      </c>
      <c r="CP204" s="607">
        <f t="shared" si="327"/>
        <v>40937.493506493505</v>
      </c>
      <c r="CQ204" s="606">
        <f t="shared" si="328"/>
        <v>37399.354838709674</v>
      </c>
      <c r="CR204" s="607">
        <f t="shared" si="329"/>
        <v>36125.689655172413</v>
      </c>
      <c r="CS204" s="606">
        <f t="shared" si="330"/>
        <v>31446.962264150945</v>
      </c>
      <c r="CT204" s="607">
        <f t="shared" si="331"/>
        <v>0</v>
      </c>
      <c r="CU204" s="608">
        <f t="shared" si="332"/>
        <v>0</v>
      </c>
      <c r="CV204" s="610">
        <f t="shared" si="333"/>
        <v>0</v>
      </c>
      <c r="CW204" s="608">
        <f t="shared" si="334"/>
        <v>0</v>
      </c>
      <c r="CX204" s="610">
        <f t="shared" si="335"/>
        <v>42214.352439044931</v>
      </c>
      <c r="CY204" s="611">
        <f t="shared" si="336"/>
        <v>38621.537164329871</v>
      </c>
      <c r="CZ204" s="605">
        <f t="shared" si="337"/>
        <v>7</v>
      </c>
      <c r="DA204" s="612">
        <f t="shared" si="338"/>
        <v>10</v>
      </c>
      <c r="DB204" s="607">
        <f t="shared" si="339"/>
        <v>22</v>
      </c>
      <c r="DC204" s="606">
        <f t="shared" si="340"/>
        <v>21</v>
      </c>
      <c r="DD204" s="607">
        <f t="shared" si="341"/>
        <v>16</v>
      </c>
      <c r="DE204" s="606">
        <f t="shared" si="342"/>
        <v>23</v>
      </c>
      <c r="DF204" s="607">
        <f t="shared" si="343"/>
        <v>33</v>
      </c>
      <c r="DG204" s="606">
        <f t="shared" si="344"/>
        <v>29</v>
      </c>
      <c r="DH204" s="607">
        <f t="shared" si="345"/>
        <v>0</v>
      </c>
      <c r="DI204" s="608">
        <f t="shared" si="346"/>
        <v>0</v>
      </c>
      <c r="DJ204" s="607">
        <f t="shared" si="347"/>
        <v>0</v>
      </c>
      <c r="DK204" s="608">
        <f t="shared" si="348"/>
        <v>0</v>
      </c>
      <c r="DL204" s="607">
        <f t="shared" si="349"/>
        <v>78</v>
      </c>
      <c r="DM204" s="608">
        <f t="shared" si="350"/>
        <v>83</v>
      </c>
      <c r="DN204" s="607">
        <f t="shared" si="351"/>
        <v>395662.82608695654</v>
      </c>
      <c r="DO204" s="612">
        <f t="shared" si="352"/>
        <v>515087.83018867922</v>
      </c>
      <c r="DP204" s="607">
        <f t="shared" si="353"/>
        <v>1049909.0094339624</v>
      </c>
      <c r="DQ204" s="606">
        <f t="shared" si="354"/>
        <v>918352.6875</v>
      </c>
      <c r="DR204" s="607">
        <f t="shared" si="355"/>
        <v>654999.89610389608</v>
      </c>
      <c r="DS204" s="606">
        <f t="shared" si="356"/>
        <v>860185.16129032255</v>
      </c>
      <c r="DT204" s="607">
        <f t="shared" si="357"/>
        <v>1192147.7586206896</v>
      </c>
      <c r="DU204" s="606">
        <f t="shared" si="358"/>
        <v>911961.90566037735</v>
      </c>
      <c r="DV204" s="607">
        <f t="shared" si="359"/>
        <v>0</v>
      </c>
      <c r="DW204" s="608">
        <f t="shared" si="360"/>
        <v>0</v>
      </c>
      <c r="DX204" s="607">
        <f t="shared" si="361"/>
        <v>0</v>
      </c>
      <c r="DY204" s="608">
        <f t="shared" si="362"/>
        <v>0</v>
      </c>
      <c r="DZ204" s="607">
        <f t="shared" si="363"/>
        <v>3292719.4902455048</v>
      </c>
      <c r="EA204" s="608">
        <f t="shared" si="364"/>
        <v>3205587.5846393793</v>
      </c>
    </row>
    <row r="205" spans="1:131" x14ac:dyDescent="0.2">
      <c r="A205" s="450" t="s">
        <v>37</v>
      </c>
      <c r="B205" s="448" t="s">
        <v>823</v>
      </c>
      <c r="C205" s="557"/>
      <c r="D205" s="461">
        <v>159391</v>
      </c>
      <c r="E205" s="449">
        <v>1</v>
      </c>
      <c r="F205" s="598">
        <v>352</v>
      </c>
      <c r="G205" s="599">
        <v>360</v>
      </c>
      <c r="H205" s="600"/>
      <c r="I205" s="601"/>
      <c r="J205" s="600">
        <v>56</v>
      </c>
      <c r="K205" s="599"/>
      <c r="L205" s="600"/>
      <c r="M205" s="601">
        <v>58</v>
      </c>
      <c r="N205" s="600">
        <v>277</v>
      </c>
      <c r="O205" s="599">
        <v>289</v>
      </c>
      <c r="P205" s="600"/>
      <c r="Q205" s="601"/>
      <c r="R205" s="600">
        <v>21</v>
      </c>
      <c r="S205" s="599"/>
      <c r="T205" s="600"/>
      <c r="U205" s="601">
        <v>23</v>
      </c>
      <c r="V205" s="600">
        <v>220</v>
      </c>
      <c r="W205" s="599">
        <v>228</v>
      </c>
      <c r="X205" s="600"/>
      <c r="Y205" s="601"/>
      <c r="Z205" s="600">
        <v>32</v>
      </c>
      <c r="AA205" s="599"/>
      <c r="AB205" s="600"/>
      <c r="AC205" s="601">
        <v>36</v>
      </c>
      <c r="AD205" s="600">
        <v>175</v>
      </c>
      <c r="AE205" s="599">
        <v>201</v>
      </c>
      <c r="AF205" s="600"/>
      <c r="AG205" s="601"/>
      <c r="AH205" s="600">
        <v>14</v>
      </c>
      <c r="AI205" s="599"/>
      <c r="AJ205" s="600"/>
      <c r="AK205" s="601">
        <v>14</v>
      </c>
      <c r="AL205" s="600">
        <v>15</v>
      </c>
      <c r="AM205" s="599">
        <v>16</v>
      </c>
      <c r="AN205" s="600"/>
      <c r="AO205" s="601"/>
      <c r="AP205" s="600">
        <v>4</v>
      </c>
      <c r="AQ205" s="599"/>
      <c r="AR205" s="600"/>
      <c r="AS205" s="601">
        <v>5</v>
      </c>
      <c r="AT205" s="600">
        <v>0</v>
      </c>
      <c r="AU205" s="599"/>
      <c r="AV205" s="600"/>
      <c r="AW205" s="601"/>
      <c r="AX205" s="600">
        <v>0</v>
      </c>
      <c r="AY205" s="599"/>
      <c r="AZ205" s="600"/>
      <c r="BA205" s="601"/>
      <c r="BB205" s="602">
        <v>45980352</v>
      </c>
      <c r="BC205" s="599">
        <v>46873584</v>
      </c>
      <c r="BD205" s="600">
        <v>23834709</v>
      </c>
      <c r="BE205" s="599">
        <v>24521013</v>
      </c>
      <c r="BF205" s="600">
        <v>18026796</v>
      </c>
      <c r="BG205" s="599">
        <v>19161214</v>
      </c>
      <c r="BH205" s="600">
        <v>8490811</v>
      </c>
      <c r="BI205" s="599">
        <v>9383323</v>
      </c>
      <c r="BJ205" s="600">
        <v>1215043</v>
      </c>
      <c r="BK205" s="615">
        <v>1413269</v>
      </c>
      <c r="BL205" s="600">
        <v>0</v>
      </c>
      <c r="BM205" s="604"/>
      <c r="BN205" s="605">
        <f t="shared" si="299"/>
        <v>3784</v>
      </c>
      <c r="BO205" s="606">
        <f t="shared" si="300"/>
        <v>3936</v>
      </c>
      <c r="BP205" s="607">
        <f t="shared" si="301"/>
        <v>2724</v>
      </c>
      <c r="BQ205" s="606">
        <f t="shared" si="302"/>
        <v>2877</v>
      </c>
      <c r="BR205" s="607">
        <f t="shared" si="303"/>
        <v>2332</v>
      </c>
      <c r="BS205" s="606">
        <f t="shared" si="304"/>
        <v>2484</v>
      </c>
      <c r="BT205" s="607">
        <f t="shared" si="305"/>
        <v>1729</v>
      </c>
      <c r="BU205" s="606">
        <f t="shared" si="306"/>
        <v>1977</v>
      </c>
      <c r="BV205" s="607">
        <f t="shared" si="307"/>
        <v>179</v>
      </c>
      <c r="BW205" s="608">
        <f t="shared" si="308"/>
        <v>204</v>
      </c>
      <c r="BX205" s="607">
        <f t="shared" si="309"/>
        <v>0</v>
      </c>
      <c r="BY205" s="608">
        <f t="shared" si="310"/>
        <v>0</v>
      </c>
      <c r="BZ205" s="607">
        <f t="shared" si="311"/>
        <v>12151.255813953489</v>
      </c>
      <c r="CA205" s="608">
        <f t="shared" si="312"/>
        <v>11908.939024390244</v>
      </c>
      <c r="CB205" s="607">
        <f t="shared" si="313"/>
        <v>8749.8931718061667</v>
      </c>
      <c r="CC205" s="608">
        <f t="shared" si="314"/>
        <v>8523.1188738269029</v>
      </c>
      <c r="CD205" s="607">
        <f t="shared" si="315"/>
        <v>7730.1869639794168</v>
      </c>
      <c r="CE205" s="608">
        <f t="shared" si="316"/>
        <v>7713.8542673107886</v>
      </c>
      <c r="CF205" s="607">
        <f t="shared" si="317"/>
        <v>4910.821862348178</v>
      </c>
      <c r="CG205" s="608">
        <f t="shared" si="318"/>
        <v>4746.2432979261512</v>
      </c>
      <c r="CH205" s="607">
        <f t="shared" si="319"/>
        <v>6787.9497206703909</v>
      </c>
      <c r="CI205" s="608">
        <f t="shared" si="320"/>
        <v>6927.7892156862745</v>
      </c>
      <c r="CJ205" s="607">
        <f t="shared" si="321"/>
        <v>0</v>
      </c>
      <c r="CK205" s="608">
        <f t="shared" si="322"/>
        <v>0</v>
      </c>
      <c r="CL205" s="609">
        <f t="shared" si="323"/>
        <v>109361.3023255814</v>
      </c>
      <c r="CM205" s="608">
        <f t="shared" si="324"/>
        <v>107180.45121951219</v>
      </c>
      <c r="CN205" s="610">
        <f t="shared" si="325"/>
        <v>78749.038546255499</v>
      </c>
      <c r="CO205" s="606">
        <f t="shared" si="326"/>
        <v>76708.069864442121</v>
      </c>
      <c r="CP205" s="607">
        <f t="shared" si="327"/>
        <v>69571.682675814751</v>
      </c>
      <c r="CQ205" s="606">
        <f t="shared" si="328"/>
        <v>69424.688405797104</v>
      </c>
      <c r="CR205" s="607">
        <f t="shared" si="329"/>
        <v>44197.396761133605</v>
      </c>
      <c r="CS205" s="606">
        <f t="shared" si="330"/>
        <v>42716.18968133536</v>
      </c>
      <c r="CT205" s="607">
        <f t="shared" si="331"/>
        <v>61091.547486033516</v>
      </c>
      <c r="CU205" s="608">
        <f t="shared" si="332"/>
        <v>62350.102941176468</v>
      </c>
      <c r="CV205" s="610">
        <f t="shared" si="333"/>
        <v>0</v>
      </c>
      <c r="CW205" s="608">
        <f t="shared" si="334"/>
        <v>0</v>
      </c>
      <c r="CX205" s="610">
        <f t="shared" si="335"/>
        <v>81588.967632946471</v>
      </c>
      <c r="CY205" s="611">
        <f t="shared" si="336"/>
        <v>79313.656170605114</v>
      </c>
      <c r="CZ205" s="605">
        <f t="shared" si="337"/>
        <v>408</v>
      </c>
      <c r="DA205" s="612">
        <f t="shared" si="338"/>
        <v>418</v>
      </c>
      <c r="DB205" s="607">
        <f t="shared" si="339"/>
        <v>298</v>
      </c>
      <c r="DC205" s="606">
        <f t="shared" si="340"/>
        <v>312</v>
      </c>
      <c r="DD205" s="607">
        <f t="shared" si="341"/>
        <v>252</v>
      </c>
      <c r="DE205" s="606">
        <f t="shared" si="342"/>
        <v>264</v>
      </c>
      <c r="DF205" s="607">
        <f t="shared" si="343"/>
        <v>189</v>
      </c>
      <c r="DG205" s="606">
        <f t="shared" si="344"/>
        <v>215</v>
      </c>
      <c r="DH205" s="607">
        <f t="shared" si="345"/>
        <v>19</v>
      </c>
      <c r="DI205" s="608">
        <f t="shared" si="346"/>
        <v>21</v>
      </c>
      <c r="DJ205" s="607">
        <f t="shared" si="347"/>
        <v>0</v>
      </c>
      <c r="DK205" s="608">
        <f t="shared" si="348"/>
        <v>0</v>
      </c>
      <c r="DL205" s="607">
        <f t="shared" si="349"/>
        <v>1166</v>
      </c>
      <c r="DM205" s="608">
        <f t="shared" si="350"/>
        <v>1230</v>
      </c>
      <c r="DN205" s="607">
        <f t="shared" si="351"/>
        <v>44619411.348837212</v>
      </c>
      <c r="DO205" s="612">
        <f t="shared" si="352"/>
        <v>44801428.609756097</v>
      </c>
      <c r="DP205" s="607">
        <f t="shared" si="353"/>
        <v>23467213.486784138</v>
      </c>
      <c r="DQ205" s="606">
        <f t="shared" si="354"/>
        <v>23932917.797705941</v>
      </c>
      <c r="DR205" s="607">
        <f t="shared" si="355"/>
        <v>17532064.034305315</v>
      </c>
      <c r="DS205" s="606">
        <f t="shared" si="356"/>
        <v>18328117.739130434</v>
      </c>
      <c r="DT205" s="607">
        <f t="shared" si="357"/>
        <v>8353307.9878542516</v>
      </c>
      <c r="DU205" s="606">
        <f t="shared" si="358"/>
        <v>9183980.7814871017</v>
      </c>
      <c r="DV205" s="607">
        <f t="shared" si="359"/>
        <v>1160739.4022346367</v>
      </c>
      <c r="DW205" s="608">
        <f t="shared" si="360"/>
        <v>1309352.1617647058</v>
      </c>
      <c r="DX205" s="607">
        <f t="shared" si="361"/>
        <v>0</v>
      </c>
      <c r="DY205" s="608">
        <f t="shared" si="362"/>
        <v>0</v>
      </c>
      <c r="DZ205" s="607">
        <f t="shared" si="363"/>
        <v>95132736.260015592</v>
      </c>
      <c r="EA205" s="608">
        <f t="shared" si="364"/>
        <v>97555797.089844286</v>
      </c>
    </row>
    <row r="206" spans="1:131" x14ac:dyDescent="0.2">
      <c r="A206" s="450" t="s">
        <v>37</v>
      </c>
      <c r="B206" s="448" t="s">
        <v>824</v>
      </c>
      <c r="C206" s="557"/>
      <c r="D206" s="461">
        <v>159647</v>
      </c>
      <c r="E206" s="449">
        <v>2</v>
      </c>
      <c r="F206" s="598">
        <v>45</v>
      </c>
      <c r="G206" s="599">
        <v>41</v>
      </c>
      <c r="H206" s="600"/>
      <c r="I206" s="601">
        <v>1</v>
      </c>
      <c r="J206" s="600">
        <v>30</v>
      </c>
      <c r="K206" s="599"/>
      <c r="L206" s="600"/>
      <c r="M206" s="601">
        <v>32</v>
      </c>
      <c r="N206" s="600">
        <v>85</v>
      </c>
      <c r="O206" s="599">
        <v>102</v>
      </c>
      <c r="P206" s="600"/>
      <c r="Q206" s="601"/>
      <c r="R206" s="600">
        <v>11</v>
      </c>
      <c r="S206" s="599"/>
      <c r="T206" s="600"/>
      <c r="U206" s="601">
        <v>12</v>
      </c>
      <c r="V206" s="600">
        <v>118</v>
      </c>
      <c r="W206" s="599">
        <v>118</v>
      </c>
      <c r="X206" s="600"/>
      <c r="Y206" s="601">
        <v>1</v>
      </c>
      <c r="Z206" s="600">
        <v>8</v>
      </c>
      <c r="AA206" s="599"/>
      <c r="AB206" s="600"/>
      <c r="AC206" s="601">
        <v>6</v>
      </c>
      <c r="AD206" s="600">
        <v>45</v>
      </c>
      <c r="AE206" s="599">
        <v>44</v>
      </c>
      <c r="AF206" s="600"/>
      <c r="AG206" s="601"/>
      <c r="AH206" s="600">
        <v>8</v>
      </c>
      <c r="AI206" s="599"/>
      <c r="AJ206" s="600"/>
      <c r="AK206" s="601">
        <v>10</v>
      </c>
      <c r="AL206" s="600">
        <v>16</v>
      </c>
      <c r="AM206" s="599">
        <v>16</v>
      </c>
      <c r="AN206" s="600"/>
      <c r="AO206" s="601"/>
      <c r="AP206" s="600">
        <v>0</v>
      </c>
      <c r="AQ206" s="599"/>
      <c r="AR206" s="600"/>
      <c r="AS206" s="601">
        <v>1</v>
      </c>
      <c r="AT206" s="600">
        <v>0</v>
      </c>
      <c r="AU206" s="599"/>
      <c r="AV206" s="600"/>
      <c r="AW206" s="601"/>
      <c r="AX206" s="600">
        <v>0</v>
      </c>
      <c r="AY206" s="599"/>
      <c r="AZ206" s="600"/>
      <c r="BA206" s="601"/>
      <c r="BB206" s="602">
        <v>6854385</v>
      </c>
      <c r="BC206" s="599">
        <v>6984610</v>
      </c>
      <c r="BD206" s="600">
        <v>6834766</v>
      </c>
      <c r="BE206" s="599">
        <v>7953762</v>
      </c>
      <c r="BF206" s="600">
        <v>7653804</v>
      </c>
      <c r="BG206" s="599">
        <v>7559180</v>
      </c>
      <c r="BH206" s="600">
        <v>2120170</v>
      </c>
      <c r="BI206" s="599">
        <v>2187267</v>
      </c>
      <c r="BJ206" s="600">
        <v>996432</v>
      </c>
      <c r="BK206" s="615">
        <v>1034115</v>
      </c>
      <c r="BL206" s="600">
        <v>0</v>
      </c>
      <c r="BM206" s="604"/>
      <c r="BN206" s="605">
        <f t="shared" si="299"/>
        <v>735</v>
      </c>
      <c r="BO206" s="606">
        <f t="shared" si="300"/>
        <v>763</v>
      </c>
      <c r="BP206" s="607">
        <f t="shared" si="301"/>
        <v>886</v>
      </c>
      <c r="BQ206" s="606">
        <f t="shared" si="302"/>
        <v>1062</v>
      </c>
      <c r="BR206" s="607">
        <f t="shared" si="303"/>
        <v>1150</v>
      </c>
      <c r="BS206" s="606">
        <f t="shared" si="304"/>
        <v>1144</v>
      </c>
      <c r="BT206" s="607">
        <f t="shared" si="305"/>
        <v>493</v>
      </c>
      <c r="BU206" s="606">
        <f t="shared" si="306"/>
        <v>516</v>
      </c>
      <c r="BV206" s="607">
        <f t="shared" si="307"/>
        <v>144</v>
      </c>
      <c r="BW206" s="608">
        <f t="shared" si="308"/>
        <v>156</v>
      </c>
      <c r="BX206" s="607">
        <f t="shared" si="309"/>
        <v>0</v>
      </c>
      <c r="BY206" s="608">
        <f t="shared" si="310"/>
        <v>0</v>
      </c>
      <c r="BZ206" s="607">
        <f t="shared" si="311"/>
        <v>9325.6938775510207</v>
      </c>
      <c r="CA206" s="608">
        <f t="shared" si="312"/>
        <v>9154.1415465268674</v>
      </c>
      <c r="CB206" s="607">
        <f t="shared" si="313"/>
        <v>7714.1828442437927</v>
      </c>
      <c r="CC206" s="608">
        <f t="shared" si="314"/>
        <v>7489.4180790960454</v>
      </c>
      <c r="CD206" s="607">
        <f t="shared" si="315"/>
        <v>6655.481739130435</v>
      </c>
      <c r="CE206" s="608">
        <f t="shared" si="316"/>
        <v>6607.6748251748249</v>
      </c>
      <c r="CF206" s="607">
        <f t="shared" si="317"/>
        <v>4300.5476673427993</v>
      </c>
      <c r="CG206" s="608">
        <f t="shared" si="318"/>
        <v>4238.8895348837214</v>
      </c>
      <c r="CH206" s="607">
        <f t="shared" si="319"/>
        <v>6919.666666666667</v>
      </c>
      <c r="CI206" s="608">
        <f t="shared" si="320"/>
        <v>6628.9423076923076</v>
      </c>
      <c r="CJ206" s="607">
        <f t="shared" si="321"/>
        <v>0</v>
      </c>
      <c r="CK206" s="608">
        <f t="shared" si="322"/>
        <v>0</v>
      </c>
      <c r="CL206" s="609">
        <f t="shared" si="323"/>
        <v>83931.244897959186</v>
      </c>
      <c r="CM206" s="608">
        <f t="shared" si="324"/>
        <v>82387.273918741805</v>
      </c>
      <c r="CN206" s="610">
        <f t="shared" si="325"/>
        <v>69427.64559819414</v>
      </c>
      <c r="CO206" s="606">
        <f t="shared" si="326"/>
        <v>67404.762711864401</v>
      </c>
      <c r="CP206" s="607">
        <f t="shared" si="327"/>
        <v>59899.335652173919</v>
      </c>
      <c r="CQ206" s="606">
        <f t="shared" si="328"/>
        <v>59469.073426573421</v>
      </c>
      <c r="CR206" s="607">
        <f t="shared" si="329"/>
        <v>38704.929006085193</v>
      </c>
      <c r="CS206" s="606">
        <f t="shared" si="330"/>
        <v>38150.005813953496</v>
      </c>
      <c r="CT206" s="607">
        <f t="shared" si="331"/>
        <v>62277</v>
      </c>
      <c r="CU206" s="608">
        <f t="shared" si="332"/>
        <v>59660.480769230766</v>
      </c>
      <c r="CV206" s="610">
        <f t="shared" si="333"/>
        <v>0</v>
      </c>
      <c r="CW206" s="608">
        <f t="shared" si="334"/>
        <v>0</v>
      </c>
      <c r="CX206" s="610">
        <f t="shared" si="335"/>
        <v>64357.94227942625</v>
      </c>
      <c r="CY206" s="611">
        <f t="shared" si="336"/>
        <v>63251.989282530012</v>
      </c>
      <c r="CZ206" s="605">
        <f t="shared" si="337"/>
        <v>75</v>
      </c>
      <c r="DA206" s="612">
        <f t="shared" si="338"/>
        <v>74</v>
      </c>
      <c r="DB206" s="607">
        <f t="shared" si="339"/>
        <v>96</v>
      </c>
      <c r="DC206" s="606">
        <f t="shared" si="340"/>
        <v>114</v>
      </c>
      <c r="DD206" s="607">
        <f t="shared" si="341"/>
        <v>126</v>
      </c>
      <c r="DE206" s="606">
        <f t="shared" si="342"/>
        <v>125</v>
      </c>
      <c r="DF206" s="607">
        <f t="shared" si="343"/>
        <v>53</v>
      </c>
      <c r="DG206" s="606">
        <f t="shared" si="344"/>
        <v>54</v>
      </c>
      <c r="DH206" s="607">
        <f t="shared" si="345"/>
        <v>16</v>
      </c>
      <c r="DI206" s="608">
        <f t="shared" si="346"/>
        <v>17</v>
      </c>
      <c r="DJ206" s="607">
        <f t="shared" si="347"/>
        <v>0</v>
      </c>
      <c r="DK206" s="608">
        <f t="shared" si="348"/>
        <v>0</v>
      </c>
      <c r="DL206" s="607">
        <f t="shared" si="349"/>
        <v>366</v>
      </c>
      <c r="DM206" s="608">
        <f t="shared" si="350"/>
        <v>384</v>
      </c>
      <c r="DN206" s="607">
        <f t="shared" si="351"/>
        <v>6294843.3673469387</v>
      </c>
      <c r="DO206" s="612">
        <f t="shared" si="352"/>
        <v>6096658.269986894</v>
      </c>
      <c r="DP206" s="607">
        <f t="shared" si="353"/>
        <v>6665053.977426637</v>
      </c>
      <c r="DQ206" s="606">
        <f t="shared" si="354"/>
        <v>7684142.9491525413</v>
      </c>
      <c r="DR206" s="607">
        <f t="shared" si="355"/>
        <v>7547316.2921739137</v>
      </c>
      <c r="DS206" s="606">
        <f t="shared" si="356"/>
        <v>7433634.1783216773</v>
      </c>
      <c r="DT206" s="607">
        <f t="shared" si="357"/>
        <v>2051361.2373225151</v>
      </c>
      <c r="DU206" s="606">
        <f t="shared" si="358"/>
        <v>2060100.3139534888</v>
      </c>
      <c r="DV206" s="607">
        <f t="shared" si="359"/>
        <v>996432</v>
      </c>
      <c r="DW206" s="608">
        <f t="shared" si="360"/>
        <v>1014228.173076923</v>
      </c>
      <c r="DX206" s="607">
        <f t="shared" si="361"/>
        <v>0</v>
      </c>
      <c r="DY206" s="608">
        <f t="shared" si="362"/>
        <v>0</v>
      </c>
      <c r="DZ206" s="607">
        <f t="shared" si="363"/>
        <v>23555006.874270007</v>
      </c>
      <c r="EA206" s="608">
        <f t="shared" si="364"/>
        <v>24288763.884491526</v>
      </c>
    </row>
    <row r="207" spans="1:131" x14ac:dyDescent="0.2">
      <c r="A207" s="450" t="s">
        <v>37</v>
      </c>
      <c r="B207" s="448" t="s">
        <v>825</v>
      </c>
      <c r="C207" s="557"/>
      <c r="D207" s="461">
        <v>160658</v>
      </c>
      <c r="E207" s="449">
        <v>2</v>
      </c>
      <c r="F207" s="598">
        <v>141</v>
      </c>
      <c r="G207" s="599">
        <v>149</v>
      </c>
      <c r="H207" s="600"/>
      <c r="I207" s="601"/>
      <c r="J207" s="600">
        <v>1</v>
      </c>
      <c r="K207" s="599"/>
      <c r="L207" s="600"/>
      <c r="M207" s="601">
        <v>2</v>
      </c>
      <c r="N207" s="600">
        <v>131</v>
      </c>
      <c r="O207" s="599">
        <v>120</v>
      </c>
      <c r="P207" s="600"/>
      <c r="Q207" s="601"/>
      <c r="R207" s="600">
        <v>1</v>
      </c>
      <c r="S207" s="599"/>
      <c r="T207" s="600"/>
      <c r="U207" s="601">
        <v>3</v>
      </c>
      <c r="V207" s="600">
        <v>147</v>
      </c>
      <c r="W207" s="599">
        <v>143</v>
      </c>
      <c r="X207" s="600"/>
      <c r="Y207" s="601"/>
      <c r="Z207" s="600">
        <v>1</v>
      </c>
      <c r="AA207" s="599"/>
      <c r="AB207" s="600"/>
      <c r="AC207" s="601">
        <v>2</v>
      </c>
      <c r="AD207" s="600">
        <v>158</v>
      </c>
      <c r="AE207" s="599">
        <v>172</v>
      </c>
      <c r="AF207" s="600"/>
      <c r="AG207" s="601"/>
      <c r="AH207" s="600">
        <v>4</v>
      </c>
      <c r="AI207" s="599"/>
      <c r="AJ207" s="600"/>
      <c r="AK207" s="601">
        <v>11</v>
      </c>
      <c r="AL207" s="600">
        <v>0</v>
      </c>
      <c r="AM207" s="599"/>
      <c r="AN207" s="600"/>
      <c r="AO207" s="601"/>
      <c r="AP207" s="600">
        <v>0</v>
      </c>
      <c r="AQ207" s="599"/>
      <c r="AR207" s="600"/>
      <c r="AS207" s="601"/>
      <c r="AT207" s="600">
        <v>0</v>
      </c>
      <c r="AU207" s="599"/>
      <c r="AV207" s="600"/>
      <c r="AW207" s="601"/>
      <c r="AX207" s="600">
        <v>0</v>
      </c>
      <c r="AY207" s="599"/>
      <c r="AZ207" s="600"/>
      <c r="BA207" s="601"/>
      <c r="BB207" s="602">
        <v>14418062</v>
      </c>
      <c r="BC207" s="599">
        <v>14959090</v>
      </c>
      <c r="BD207" s="600">
        <v>9854591</v>
      </c>
      <c r="BE207" s="599">
        <v>9072317</v>
      </c>
      <c r="BF207" s="600">
        <v>8828546</v>
      </c>
      <c r="BG207" s="599">
        <v>8797639</v>
      </c>
      <c r="BH207" s="600">
        <v>7287298</v>
      </c>
      <c r="BI207" s="599">
        <v>7649720</v>
      </c>
      <c r="BJ207" s="600">
        <v>0</v>
      </c>
      <c r="BK207" s="615"/>
      <c r="BL207" s="600">
        <v>0</v>
      </c>
      <c r="BM207" s="604"/>
      <c r="BN207" s="605">
        <f t="shared" si="299"/>
        <v>1280</v>
      </c>
      <c r="BO207" s="606">
        <f t="shared" si="300"/>
        <v>1365</v>
      </c>
      <c r="BP207" s="607">
        <f t="shared" si="301"/>
        <v>1190</v>
      </c>
      <c r="BQ207" s="606">
        <f t="shared" si="302"/>
        <v>1116</v>
      </c>
      <c r="BR207" s="607">
        <f t="shared" si="303"/>
        <v>1334</v>
      </c>
      <c r="BS207" s="606">
        <f t="shared" si="304"/>
        <v>1311</v>
      </c>
      <c r="BT207" s="607">
        <f t="shared" si="305"/>
        <v>1466</v>
      </c>
      <c r="BU207" s="606">
        <f t="shared" si="306"/>
        <v>1680</v>
      </c>
      <c r="BV207" s="607">
        <f t="shared" si="307"/>
        <v>0</v>
      </c>
      <c r="BW207" s="608">
        <f t="shared" si="308"/>
        <v>0</v>
      </c>
      <c r="BX207" s="607">
        <f t="shared" si="309"/>
        <v>0</v>
      </c>
      <c r="BY207" s="608">
        <f t="shared" si="310"/>
        <v>0</v>
      </c>
      <c r="BZ207" s="607">
        <f t="shared" si="311"/>
        <v>11264.1109375</v>
      </c>
      <c r="CA207" s="608">
        <f t="shared" si="312"/>
        <v>10959.040293040292</v>
      </c>
      <c r="CB207" s="607">
        <f t="shared" si="313"/>
        <v>8281.1689075630256</v>
      </c>
      <c r="CC207" s="608">
        <f t="shared" si="314"/>
        <v>8129.3163082437277</v>
      </c>
      <c r="CD207" s="607">
        <f t="shared" si="315"/>
        <v>6618.1004497751128</v>
      </c>
      <c r="CE207" s="608">
        <f t="shared" si="316"/>
        <v>6710.6323417238746</v>
      </c>
      <c r="CF207" s="607">
        <f t="shared" si="317"/>
        <v>4970.8717598908597</v>
      </c>
      <c r="CG207" s="608">
        <f t="shared" si="318"/>
        <v>4553.4047619047615</v>
      </c>
      <c r="CH207" s="607">
        <f t="shared" si="319"/>
        <v>0</v>
      </c>
      <c r="CI207" s="608">
        <f t="shared" si="320"/>
        <v>0</v>
      </c>
      <c r="CJ207" s="607">
        <f t="shared" si="321"/>
        <v>0</v>
      </c>
      <c r="CK207" s="608">
        <f t="shared" si="322"/>
        <v>0</v>
      </c>
      <c r="CL207" s="609">
        <f t="shared" si="323"/>
        <v>101376.99843749999</v>
      </c>
      <c r="CM207" s="608">
        <f t="shared" si="324"/>
        <v>98631.362637362632</v>
      </c>
      <c r="CN207" s="610">
        <f t="shared" si="325"/>
        <v>74530.520168067233</v>
      </c>
      <c r="CO207" s="606">
        <f t="shared" si="326"/>
        <v>73163.846774193546</v>
      </c>
      <c r="CP207" s="607">
        <f t="shared" si="327"/>
        <v>59562.904047976015</v>
      </c>
      <c r="CQ207" s="606">
        <f t="shared" si="328"/>
        <v>60395.691075514871</v>
      </c>
      <c r="CR207" s="607">
        <f t="shared" si="329"/>
        <v>44737.84583901774</v>
      </c>
      <c r="CS207" s="606">
        <f t="shared" si="330"/>
        <v>40980.642857142855</v>
      </c>
      <c r="CT207" s="607">
        <f t="shared" si="331"/>
        <v>0</v>
      </c>
      <c r="CU207" s="608">
        <f t="shared" si="332"/>
        <v>0</v>
      </c>
      <c r="CV207" s="610">
        <f t="shared" si="333"/>
        <v>0</v>
      </c>
      <c r="CW207" s="608">
        <f t="shared" si="334"/>
        <v>0</v>
      </c>
      <c r="CX207" s="610">
        <f t="shared" si="335"/>
        <v>69000.690522827397</v>
      </c>
      <c r="CY207" s="611">
        <f t="shared" si="336"/>
        <v>66693.225515405924</v>
      </c>
      <c r="CZ207" s="605">
        <f t="shared" si="337"/>
        <v>142</v>
      </c>
      <c r="DA207" s="612">
        <f t="shared" si="338"/>
        <v>151</v>
      </c>
      <c r="DB207" s="607">
        <f t="shared" si="339"/>
        <v>132</v>
      </c>
      <c r="DC207" s="606">
        <f t="shared" si="340"/>
        <v>123</v>
      </c>
      <c r="DD207" s="607">
        <f t="shared" si="341"/>
        <v>148</v>
      </c>
      <c r="DE207" s="606">
        <f t="shared" si="342"/>
        <v>145</v>
      </c>
      <c r="DF207" s="607">
        <f t="shared" si="343"/>
        <v>162</v>
      </c>
      <c r="DG207" s="606">
        <f t="shared" si="344"/>
        <v>183</v>
      </c>
      <c r="DH207" s="607">
        <f t="shared" si="345"/>
        <v>0</v>
      </c>
      <c r="DI207" s="608">
        <f t="shared" si="346"/>
        <v>0</v>
      </c>
      <c r="DJ207" s="607">
        <f t="shared" si="347"/>
        <v>0</v>
      </c>
      <c r="DK207" s="608">
        <f t="shared" si="348"/>
        <v>0</v>
      </c>
      <c r="DL207" s="607">
        <f t="shared" si="349"/>
        <v>584</v>
      </c>
      <c r="DM207" s="608">
        <f t="shared" si="350"/>
        <v>602</v>
      </c>
      <c r="DN207" s="607">
        <f t="shared" si="351"/>
        <v>14395533.778124999</v>
      </c>
      <c r="DO207" s="612">
        <f t="shared" si="352"/>
        <v>14893335.758241758</v>
      </c>
      <c r="DP207" s="607">
        <f t="shared" si="353"/>
        <v>9838028.6621848755</v>
      </c>
      <c r="DQ207" s="606">
        <f t="shared" si="354"/>
        <v>8999153.1532258056</v>
      </c>
      <c r="DR207" s="607">
        <f t="shared" si="355"/>
        <v>8815309.7991004512</v>
      </c>
      <c r="DS207" s="606">
        <f t="shared" si="356"/>
        <v>8757375.2059496567</v>
      </c>
      <c r="DT207" s="607">
        <f t="shared" si="357"/>
        <v>7247531.0259208735</v>
      </c>
      <c r="DU207" s="606">
        <f t="shared" si="358"/>
        <v>7499457.6428571427</v>
      </c>
      <c r="DV207" s="607">
        <f t="shared" si="359"/>
        <v>0</v>
      </c>
      <c r="DW207" s="608">
        <f t="shared" si="360"/>
        <v>0</v>
      </c>
      <c r="DX207" s="607">
        <f t="shared" si="361"/>
        <v>0</v>
      </c>
      <c r="DY207" s="608">
        <f t="shared" si="362"/>
        <v>0</v>
      </c>
      <c r="DZ207" s="607">
        <f t="shared" si="363"/>
        <v>40296403.265331201</v>
      </c>
      <c r="EA207" s="608">
        <f t="shared" si="364"/>
        <v>40149321.760274366</v>
      </c>
    </row>
    <row r="208" spans="1:131" x14ac:dyDescent="0.2">
      <c r="A208" s="450" t="s">
        <v>37</v>
      </c>
      <c r="B208" s="448" t="s">
        <v>826</v>
      </c>
      <c r="C208" s="557"/>
      <c r="D208" s="461">
        <v>159939</v>
      </c>
      <c r="E208" s="449">
        <v>2</v>
      </c>
      <c r="F208" s="598">
        <v>121</v>
      </c>
      <c r="G208" s="599">
        <v>102</v>
      </c>
      <c r="H208" s="600"/>
      <c r="I208" s="601"/>
      <c r="J208" s="600">
        <v>6</v>
      </c>
      <c r="K208" s="599"/>
      <c r="L208" s="600"/>
      <c r="M208" s="601">
        <v>2</v>
      </c>
      <c r="N208" s="600">
        <v>90</v>
      </c>
      <c r="O208" s="599">
        <v>76</v>
      </c>
      <c r="P208" s="600"/>
      <c r="Q208" s="601"/>
      <c r="R208" s="600">
        <v>8</v>
      </c>
      <c r="S208" s="599"/>
      <c r="T208" s="600"/>
      <c r="U208" s="601">
        <v>3</v>
      </c>
      <c r="V208" s="600">
        <v>70</v>
      </c>
      <c r="W208" s="599">
        <v>74</v>
      </c>
      <c r="X208" s="600"/>
      <c r="Y208" s="601"/>
      <c r="Z208" s="600">
        <v>1</v>
      </c>
      <c r="AA208" s="599"/>
      <c r="AB208" s="600"/>
      <c r="AC208" s="601">
        <v>2</v>
      </c>
      <c r="AD208" s="600">
        <v>66</v>
      </c>
      <c r="AE208" s="599">
        <v>52</v>
      </c>
      <c r="AF208" s="600"/>
      <c r="AG208" s="601"/>
      <c r="AH208" s="600">
        <v>1</v>
      </c>
      <c r="AI208" s="599"/>
      <c r="AJ208" s="600"/>
      <c r="AK208" s="601">
        <v>1</v>
      </c>
      <c r="AL208" s="600">
        <v>0</v>
      </c>
      <c r="AM208" s="599"/>
      <c r="AN208" s="600"/>
      <c r="AO208" s="601"/>
      <c r="AP208" s="600">
        <v>0</v>
      </c>
      <c r="AQ208" s="599"/>
      <c r="AR208" s="600"/>
      <c r="AS208" s="601"/>
      <c r="AT208" s="600">
        <v>0</v>
      </c>
      <c r="AU208" s="599"/>
      <c r="AV208" s="600"/>
      <c r="AW208" s="601"/>
      <c r="AX208" s="600">
        <v>0</v>
      </c>
      <c r="AY208" s="599"/>
      <c r="AZ208" s="600"/>
      <c r="BA208" s="601"/>
      <c r="BB208" s="602">
        <v>11144306</v>
      </c>
      <c r="BC208" s="599">
        <v>9194613</v>
      </c>
      <c r="BD208" s="600">
        <v>6306480</v>
      </c>
      <c r="BE208" s="599">
        <v>5227410</v>
      </c>
      <c r="BF208" s="600">
        <v>4335060</v>
      </c>
      <c r="BG208" s="599">
        <v>4728164</v>
      </c>
      <c r="BH208" s="600">
        <v>2639056</v>
      </c>
      <c r="BI208" s="599">
        <v>2050708</v>
      </c>
      <c r="BJ208" s="600">
        <v>0</v>
      </c>
      <c r="BK208" s="615"/>
      <c r="BL208" s="600">
        <v>0</v>
      </c>
      <c r="BM208" s="604"/>
      <c r="BN208" s="605">
        <f t="shared" si="299"/>
        <v>1155</v>
      </c>
      <c r="BO208" s="606">
        <f t="shared" si="300"/>
        <v>942</v>
      </c>
      <c r="BP208" s="607">
        <f t="shared" si="301"/>
        <v>898</v>
      </c>
      <c r="BQ208" s="606">
        <f t="shared" si="302"/>
        <v>720</v>
      </c>
      <c r="BR208" s="607">
        <f t="shared" si="303"/>
        <v>641</v>
      </c>
      <c r="BS208" s="606">
        <f t="shared" si="304"/>
        <v>690</v>
      </c>
      <c r="BT208" s="607">
        <f t="shared" si="305"/>
        <v>605</v>
      </c>
      <c r="BU208" s="606">
        <f t="shared" si="306"/>
        <v>480</v>
      </c>
      <c r="BV208" s="607">
        <f t="shared" si="307"/>
        <v>0</v>
      </c>
      <c r="BW208" s="608">
        <f t="shared" si="308"/>
        <v>0</v>
      </c>
      <c r="BX208" s="607">
        <f t="shared" si="309"/>
        <v>0</v>
      </c>
      <c r="BY208" s="608">
        <f t="shared" si="310"/>
        <v>0</v>
      </c>
      <c r="BZ208" s="607">
        <f t="shared" si="311"/>
        <v>9648.7497835497834</v>
      </c>
      <c r="CA208" s="608">
        <f t="shared" si="312"/>
        <v>9760.7356687898082</v>
      </c>
      <c r="CB208" s="607">
        <f t="shared" si="313"/>
        <v>7022.8062360801778</v>
      </c>
      <c r="CC208" s="608">
        <f t="shared" si="314"/>
        <v>7260.291666666667</v>
      </c>
      <c r="CD208" s="607">
        <f t="shared" si="315"/>
        <v>6762.9641185647424</v>
      </c>
      <c r="CE208" s="608">
        <f t="shared" si="316"/>
        <v>6852.4115942028984</v>
      </c>
      <c r="CF208" s="607">
        <f t="shared" si="317"/>
        <v>4362.0760330578514</v>
      </c>
      <c r="CG208" s="608">
        <f t="shared" si="318"/>
        <v>4272.3083333333334</v>
      </c>
      <c r="CH208" s="607">
        <f t="shared" si="319"/>
        <v>0</v>
      </c>
      <c r="CI208" s="608">
        <f t="shared" si="320"/>
        <v>0</v>
      </c>
      <c r="CJ208" s="607">
        <f t="shared" si="321"/>
        <v>0</v>
      </c>
      <c r="CK208" s="608">
        <f t="shared" si="322"/>
        <v>0</v>
      </c>
      <c r="CL208" s="609">
        <f t="shared" si="323"/>
        <v>86838.748051948045</v>
      </c>
      <c r="CM208" s="608">
        <f t="shared" si="324"/>
        <v>87846.621019108279</v>
      </c>
      <c r="CN208" s="610">
        <f t="shared" si="325"/>
        <v>63205.2561247216</v>
      </c>
      <c r="CO208" s="606">
        <f t="shared" si="326"/>
        <v>65342.625</v>
      </c>
      <c r="CP208" s="607">
        <f t="shared" si="327"/>
        <v>60866.677067082681</v>
      </c>
      <c r="CQ208" s="606">
        <f t="shared" si="328"/>
        <v>61671.704347826089</v>
      </c>
      <c r="CR208" s="607">
        <f t="shared" si="329"/>
        <v>39258.68429752066</v>
      </c>
      <c r="CS208" s="606">
        <f t="shared" si="330"/>
        <v>38450.775000000001</v>
      </c>
      <c r="CT208" s="607">
        <f t="shared" si="331"/>
        <v>0</v>
      </c>
      <c r="CU208" s="608">
        <f t="shared" si="332"/>
        <v>0</v>
      </c>
      <c r="CV208" s="610">
        <f t="shared" si="333"/>
        <v>0</v>
      </c>
      <c r="CW208" s="608">
        <f t="shared" si="334"/>
        <v>0</v>
      </c>
      <c r="CX208" s="610">
        <f t="shared" si="335"/>
        <v>66596.424304454194</v>
      </c>
      <c r="CY208" s="611">
        <f t="shared" si="336"/>
        <v>67381.591559045002</v>
      </c>
      <c r="CZ208" s="605">
        <f t="shared" si="337"/>
        <v>127</v>
      </c>
      <c r="DA208" s="612">
        <f t="shared" si="338"/>
        <v>104</v>
      </c>
      <c r="DB208" s="607">
        <f t="shared" si="339"/>
        <v>98</v>
      </c>
      <c r="DC208" s="606">
        <f t="shared" si="340"/>
        <v>79</v>
      </c>
      <c r="DD208" s="607">
        <f t="shared" si="341"/>
        <v>71</v>
      </c>
      <c r="DE208" s="606">
        <f t="shared" si="342"/>
        <v>76</v>
      </c>
      <c r="DF208" s="607">
        <f t="shared" si="343"/>
        <v>67</v>
      </c>
      <c r="DG208" s="606">
        <f t="shared" si="344"/>
        <v>53</v>
      </c>
      <c r="DH208" s="607">
        <f t="shared" si="345"/>
        <v>0</v>
      </c>
      <c r="DI208" s="608">
        <f t="shared" si="346"/>
        <v>0</v>
      </c>
      <c r="DJ208" s="607">
        <f t="shared" si="347"/>
        <v>0</v>
      </c>
      <c r="DK208" s="608">
        <f t="shared" si="348"/>
        <v>0</v>
      </c>
      <c r="DL208" s="607">
        <f t="shared" si="349"/>
        <v>363</v>
      </c>
      <c r="DM208" s="608">
        <f t="shared" si="350"/>
        <v>312</v>
      </c>
      <c r="DN208" s="607">
        <f t="shared" si="351"/>
        <v>11028521.002597401</v>
      </c>
      <c r="DO208" s="612">
        <f t="shared" si="352"/>
        <v>9136048.5859872606</v>
      </c>
      <c r="DP208" s="607">
        <f t="shared" si="353"/>
        <v>6194115.100222717</v>
      </c>
      <c r="DQ208" s="606">
        <f t="shared" si="354"/>
        <v>5162067.375</v>
      </c>
      <c r="DR208" s="607">
        <f t="shared" si="355"/>
        <v>4321534.0717628701</v>
      </c>
      <c r="DS208" s="606">
        <f t="shared" si="356"/>
        <v>4687049.5304347826</v>
      </c>
      <c r="DT208" s="607">
        <f t="shared" si="357"/>
        <v>2630331.8479338842</v>
      </c>
      <c r="DU208" s="606">
        <f t="shared" si="358"/>
        <v>2037891.0750000002</v>
      </c>
      <c r="DV208" s="607">
        <f t="shared" si="359"/>
        <v>0</v>
      </c>
      <c r="DW208" s="608">
        <f t="shared" si="360"/>
        <v>0</v>
      </c>
      <c r="DX208" s="607">
        <f t="shared" si="361"/>
        <v>0</v>
      </c>
      <c r="DY208" s="608">
        <f t="shared" si="362"/>
        <v>0</v>
      </c>
      <c r="DZ208" s="607">
        <f t="shared" si="363"/>
        <v>24174502.022516873</v>
      </c>
      <c r="EA208" s="608">
        <f t="shared" si="364"/>
        <v>21023056.566422042</v>
      </c>
    </row>
    <row r="209" spans="1:131" x14ac:dyDescent="0.2">
      <c r="A209" s="450" t="s">
        <v>37</v>
      </c>
      <c r="B209" s="448" t="s">
        <v>827</v>
      </c>
      <c r="C209" s="557"/>
      <c r="D209" s="461">
        <v>160612</v>
      </c>
      <c r="E209" s="449">
        <v>3</v>
      </c>
      <c r="F209" s="598">
        <v>91</v>
      </c>
      <c r="G209" s="599">
        <v>90</v>
      </c>
      <c r="H209" s="600"/>
      <c r="I209" s="601"/>
      <c r="J209" s="600">
        <v>12</v>
      </c>
      <c r="K209" s="599"/>
      <c r="L209" s="600"/>
      <c r="M209" s="601"/>
      <c r="N209" s="600">
        <v>101</v>
      </c>
      <c r="O209" s="599">
        <v>98</v>
      </c>
      <c r="P209" s="600"/>
      <c r="Q209" s="601"/>
      <c r="R209" s="600">
        <v>5</v>
      </c>
      <c r="S209" s="599"/>
      <c r="T209" s="600"/>
      <c r="U209" s="601"/>
      <c r="V209" s="600">
        <v>74</v>
      </c>
      <c r="W209" s="599">
        <v>66</v>
      </c>
      <c r="X209" s="600"/>
      <c r="Y209" s="601"/>
      <c r="Z209" s="600">
        <v>1</v>
      </c>
      <c r="AA209" s="599"/>
      <c r="AB209" s="600"/>
      <c r="AC209" s="601"/>
      <c r="AD209" s="600">
        <v>215</v>
      </c>
      <c r="AE209" s="599">
        <v>213</v>
      </c>
      <c r="AF209" s="600"/>
      <c r="AG209" s="601"/>
      <c r="AH209" s="600">
        <v>1</v>
      </c>
      <c r="AI209" s="599"/>
      <c r="AJ209" s="600"/>
      <c r="AK209" s="601"/>
      <c r="AL209" s="600">
        <v>0</v>
      </c>
      <c r="AM209" s="599"/>
      <c r="AN209" s="600"/>
      <c r="AO209" s="601"/>
      <c r="AP209" s="600">
        <v>0</v>
      </c>
      <c r="AQ209" s="599"/>
      <c r="AR209" s="600"/>
      <c r="AS209" s="601"/>
      <c r="AT209" s="600">
        <v>0</v>
      </c>
      <c r="AU209" s="599"/>
      <c r="AV209" s="600"/>
      <c r="AW209" s="601"/>
      <c r="AX209" s="600">
        <v>0</v>
      </c>
      <c r="AY209" s="599"/>
      <c r="AZ209" s="600"/>
      <c r="BA209" s="601"/>
      <c r="BB209" s="602">
        <v>8308702</v>
      </c>
      <c r="BC209" s="599">
        <v>6931881</v>
      </c>
      <c r="BD209" s="600">
        <v>7139712</v>
      </c>
      <c r="BE209" s="599">
        <v>6416986</v>
      </c>
      <c r="BF209" s="600">
        <v>4368507</v>
      </c>
      <c r="BG209" s="599">
        <v>3778691</v>
      </c>
      <c r="BH209" s="600">
        <v>9680244</v>
      </c>
      <c r="BI209" s="599">
        <v>9310924</v>
      </c>
      <c r="BJ209" s="600">
        <v>0</v>
      </c>
      <c r="BK209" s="615"/>
      <c r="BL209" s="600">
        <v>0</v>
      </c>
      <c r="BM209" s="604"/>
      <c r="BN209" s="605">
        <f t="shared" si="299"/>
        <v>951</v>
      </c>
      <c r="BO209" s="606">
        <f t="shared" si="300"/>
        <v>810</v>
      </c>
      <c r="BP209" s="607">
        <f t="shared" si="301"/>
        <v>964</v>
      </c>
      <c r="BQ209" s="606">
        <f t="shared" si="302"/>
        <v>882</v>
      </c>
      <c r="BR209" s="607">
        <f t="shared" si="303"/>
        <v>677</v>
      </c>
      <c r="BS209" s="606">
        <f t="shared" si="304"/>
        <v>594</v>
      </c>
      <c r="BT209" s="607">
        <f t="shared" si="305"/>
        <v>1946</v>
      </c>
      <c r="BU209" s="606">
        <f t="shared" si="306"/>
        <v>1917</v>
      </c>
      <c r="BV209" s="607">
        <f t="shared" si="307"/>
        <v>0</v>
      </c>
      <c r="BW209" s="608">
        <f t="shared" si="308"/>
        <v>0</v>
      </c>
      <c r="BX209" s="607">
        <f t="shared" si="309"/>
        <v>0</v>
      </c>
      <c r="BY209" s="608">
        <f t="shared" si="310"/>
        <v>0</v>
      </c>
      <c r="BZ209" s="607">
        <f t="shared" si="311"/>
        <v>8736.805467928496</v>
      </c>
      <c r="CA209" s="608">
        <f t="shared" si="312"/>
        <v>8557.8777777777777</v>
      </c>
      <c r="CB209" s="607">
        <f t="shared" si="313"/>
        <v>7406.340248962656</v>
      </c>
      <c r="CC209" s="608">
        <f t="shared" si="314"/>
        <v>7275.49433106576</v>
      </c>
      <c r="CD209" s="607">
        <f t="shared" si="315"/>
        <v>6452.7429837518466</v>
      </c>
      <c r="CE209" s="608">
        <f t="shared" si="316"/>
        <v>6361.4326599326596</v>
      </c>
      <c r="CF209" s="607">
        <f t="shared" si="317"/>
        <v>4974.4316546762593</v>
      </c>
      <c r="CG209" s="608">
        <f t="shared" si="318"/>
        <v>4857.0286906624933</v>
      </c>
      <c r="CH209" s="607">
        <f t="shared" si="319"/>
        <v>0</v>
      </c>
      <c r="CI209" s="608">
        <f t="shared" si="320"/>
        <v>0</v>
      </c>
      <c r="CJ209" s="607">
        <f t="shared" si="321"/>
        <v>0</v>
      </c>
      <c r="CK209" s="608">
        <f t="shared" si="322"/>
        <v>0</v>
      </c>
      <c r="CL209" s="609">
        <f t="shared" si="323"/>
        <v>78631.249211356466</v>
      </c>
      <c r="CM209" s="608">
        <f t="shared" si="324"/>
        <v>77020.899999999994</v>
      </c>
      <c r="CN209" s="610">
        <f t="shared" si="325"/>
        <v>66657.062240663901</v>
      </c>
      <c r="CO209" s="606">
        <f t="shared" si="326"/>
        <v>65479.448979591842</v>
      </c>
      <c r="CP209" s="607">
        <f t="shared" si="327"/>
        <v>58074.686853766616</v>
      </c>
      <c r="CQ209" s="606">
        <f t="shared" si="328"/>
        <v>57252.893939393936</v>
      </c>
      <c r="CR209" s="607">
        <f t="shared" si="329"/>
        <v>44769.884892086331</v>
      </c>
      <c r="CS209" s="606">
        <f t="shared" si="330"/>
        <v>43713.258215962444</v>
      </c>
      <c r="CT209" s="607">
        <f t="shared" si="331"/>
        <v>0</v>
      </c>
      <c r="CU209" s="608">
        <f t="shared" si="332"/>
        <v>0</v>
      </c>
      <c r="CV209" s="610">
        <f t="shared" si="333"/>
        <v>0</v>
      </c>
      <c r="CW209" s="608">
        <f t="shared" si="334"/>
        <v>0</v>
      </c>
      <c r="CX209" s="610">
        <f t="shared" si="335"/>
        <v>58381.12783400646</v>
      </c>
      <c r="CY209" s="611">
        <f t="shared" si="336"/>
        <v>56613.451820128481</v>
      </c>
      <c r="CZ209" s="605">
        <f t="shared" si="337"/>
        <v>103</v>
      </c>
      <c r="DA209" s="612">
        <f t="shared" si="338"/>
        <v>90</v>
      </c>
      <c r="DB209" s="607">
        <f t="shared" si="339"/>
        <v>106</v>
      </c>
      <c r="DC209" s="606">
        <f t="shared" si="340"/>
        <v>98</v>
      </c>
      <c r="DD209" s="607">
        <f t="shared" si="341"/>
        <v>75</v>
      </c>
      <c r="DE209" s="606">
        <f t="shared" si="342"/>
        <v>66</v>
      </c>
      <c r="DF209" s="607">
        <f t="shared" si="343"/>
        <v>216</v>
      </c>
      <c r="DG209" s="606">
        <f t="shared" si="344"/>
        <v>213</v>
      </c>
      <c r="DH209" s="607">
        <f t="shared" si="345"/>
        <v>0</v>
      </c>
      <c r="DI209" s="608">
        <f t="shared" si="346"/>
        <v>0</v>
      </c>
      <c r="DJ209" s="607">
        <f t="shared" si="347"/>
        <v>0</v>
      </c>
      <c r="DK209" s="608">
        <f t="shared" si="348"/>
        <v>0</v>
      </c>
      <c r="DL209" s="607">
        <f t="shared" si="349"/>
        <v>500</v>
      </c>
      <c r="DM209" s="608">
        <f t="shared" si="350"/>
        <v>467</v>
      </c>
      <c r="DN209" s="607">
        <f t="shared" si="351"/>
        <v>8099018.6687697163</v>
      </c>
      <c r="DO209" s="612">
        <f t="shared" si="352"/>
        <v>6931880.9999999991</v>
      </c>
      <c r="DP209" s="607">
        <f t="shared" si="353"/>
        <v>7065648.5975103732</v>
      </c>
      <c r="DQ209" s="606">
        <f t="shared" si="354"/>
        <v>6416986.0000000009</v>
      </c>
      <c r="DR209" s="607">
        <f t="shared" si="355"/>
        <v>4355601.5140324961</v>
      </c>
      <c r="DS209" s="606">
        <f t="shared" si="356"/>
        <v>3778691</v>
      </c>
      <c r="DT209" s="607">
        <f t="shared" si="357"/>
        <v>9670295.1366906483</v>
      </c>
      <c r="DU209" s="606">
        <f t="shared" si="358"/>
        <v>9310924</v>
      </c>
      <c r="DV209" s="607">
        <f t="shared" si="359"/>
        <v>0</v>
      </c>
      <c r="DW209" s="608">
        <f t="shared" si="360"/>
        <v>0</v>
      </c>
      <c r="DX209" s="607">
        <f t="shared" si="361"/>
        <v>0</v>
      </c>
      <c r="DY209" s="608">
        <f t="shared" si="362"/>
        <v>0</v>
      </c>
      <c r="DZ209" s="607">
        <f t="shared" si="363"/>
        <v>29190563.917003229</v>
      </c>
      <c r="EA209" s="608">
        <f t="shared" si="364"/>
        <v>26438482</v>
      </c>
    </row>
    <row r="210" spans="1:131" x14ac:dyDescent="0.2">
      <c r="A210" s="450" t="s">
        <v>37</v>
      </c>
      <c r="B210" s="448" t="s">
        <v>828</v>
      </c>
      <c r="C210" s="557" t="s">
        <v>560</v>
      </c>
      <c r="D210" s="461">
        <v>160621</v>
      </c>
      <c r="E210" s="449">
        <v>3</v>
      </c>
      <c r="F210" s="598">
        <v>127</v>
      </c>
      <c r="G210" s="599"/>
      <c r="H210" s="600"/>
      <c r="I210" s="601">
        <v>96</v>
      </c>
      <c r="J210" s="600">
        <v>6</v>
      </c>
      <c r="K210" s="599"/>
      <c r="L210" s="600"/>
      <c r="M210" s="601">
        <v>8</v>
      </c>
      <c r="N210" s="600">
        <v>79</v>
      </c>
      <c r="O210" s="599"/>
      <c r="P210" s="600"/>
      <c r="Q210" s="601">
        <v>57</v>
      </c>
      <c r="R210" s="600">
        <v>3</v>
      </c>
      <c r="S210" s="599"/>
      <c r="T210" s="600"/>
      <c r="U210" s="601">
        <v>2</v>
      </c>
      <c r="V210" s="600">
        <v>98</v>
      </c>
      <c r="W210" s="599"/>
      <c r="X210" s="600"/>
      <c r="Y210" s="601">
        <v>80</v>
      </c>
      <c r="Z210" s="600">
        <v>3</v>
      </c>
      <c r="AA210" s="599"/>
      <c r="AB210" s="600"/>
      <c r="AC210" s="601">
        <v>4</v>
      </c>
      <c r="AD210" s="600">
        <v>48</v>
      </c>
      <c r="AE210" s="599"/>
      <c r="AF210" s="600"/>
      <c r="AG210" s="601">
        <v>1</v>
      </c>
      <c r="AH210" s="600">
        <v>4</v>
      </c>
      <c r="AI210" s="599"/>
      <c r="AJ210" s="600"/>
      <c r="AK210" s="601">
        <v>2</v>
      </c>
      <c r="AL210" s="600">
        <v>3</v>
      </c>
      <c r="AM210" s="599"/>
      <c r="AN210" s="600"/>
      <c r="AO210" s="601">
        <v>49</v>
      </c>
      <c r="AP210" s="600">
        <v>1</v>
      </c>
      <c r="AQ210" s="599"/>
      <c r="AR210" s="600"/>
      <c r="AS210" s="601">
        <v>46</v>
      </c>
      <c r="AT210" s="600">
        <v>0</v>
      </c>
      <c r="AU210" s="599"/>
      <c r="AV210" s="600"/>
      <c r="AW210" s="601"/>
      <c r="AX210" s="600">
        <v>0</v>
      </c>
      <c r="AY210" s="599"/>
      <c r="AZ210" s="600"/>
      <c r="BA210" s="601"/>
      <c r="BB210" s="602">
        <v>10537017</v>
      </c>
      <c r="BC210" s="599">
        <v>7996774</v>
      </c>
      <c r="BD210" s="600">
        <v>5243159</v>
      </c>
      <c r="BE210" s="599">
        <v>3555700</v>
      </c>
      <c r="BF210" s="600">
        <v>5415941</v>
      </c>
      <c r="BG210" s="599">
        <v>4668217</v>
      </c>
      <c r="BH210" s="600">
        <v>2704268</v>
      </c>
      <c r="BI210" s="599">
        <v>155623</v>
      </c>
      <c r="BJ210" s="600">
        <v>193988</v>
      </c>
      <c r="BK210" s="615">
        <v>4613207</v>
      </c>
      <c r="BL210" s="600">
        <v>0</v>
      </c>
      <c r="BM210" s="604"/>
      <c r="BN210" s="605">
        <f t="shared" si="299"/>
        <v>1209</v>
      </c>
      <c r="BO210" s="606">
        <f t="shared" si="300"/>
        <v>1056</v>
      </c>
      <c r="BP210" s="607">
        <f t="shared" si="301"/>
        <v>744</v>
      </c>
      <c r="BQ210" s="606">
        <f t="shared" si="302"/>
        <v>594</v>
      </c>
      <c r="BR210" s="607">
        <f t="shared" si="303"/>
        <v>915</v>
      </c>
      <c r="BS210" s="606">
        <f t="shared" si="304"/>
        <v>848</v>
      </c>
      <c r="BT210" s="607">
        <f t="shared" si="305"/>
        <v>476</v>
      </c>
      <c r="BU210" s="606">
        <f t="shared" si="306"/>
        <v>34</v>
      </c>
      <c r="BV210" s="607">
        <f t="shared" si="307"/>
        <v>38</v>
      </c>
      <c r="BW210" s="608">
        <f t="shared" si="308"/>
        <v>1042</v>
      </c>
      <c r="BX210" s="607">
        <f t="shared" si="309"/>
        <v>0</v>
      </c>
      <c r="BY210" s="608">
        <f t="shared" si="310"/>
        <v>0</v>
      </c>
      <c r="BZ210" s="607">
        <f t="shared" si="311"/>
        <v>8715.4813895781645</v>
      </c>
      <c r="CA210" s="608">
        <f t="shared" si="312"/>
        <v>7572.702651515152</v>
      </c>
      <c r="CB210" s="607">
        <f t="shared" si="313"/>
        <v>7047.2567204301076</v>
      </c>
      <c r="CC210" s="608">
        <f t="shared" si="314"/>
        <v>5986.0269360269358</v>
      </c>
      <c r="CD210" s="607">
        <f t="shared" si="315"/>
        <v>5919.0612021857924</v>
      </c>
      <c r="CE210" s="608">
        <f t="shared" si="316"/>
        <v>5504.9728773584902</v>
      </c>
      <c r="CF210" s="607">
        <f t="shared" si="317"/>
        <v>5681.2352941176468</v>
      </c>
      <c r="CG210" s="608">
        <f t="shared" si="318"/>
        <v>4577.1470588235297</v>
      </c>
      <c r="CH210" s="607">
        <f t="shared" si="319"/>
        <v>5104.9473684210525</v>
      </c>
      <c r="CI210" s="608">
        <f t="shared" si="320"/>
        <v>4427.2619961612281</v>
      </c>
      <c r="CJ210" s="607">
        <f t="shared" si="321"/>
        <v>0</v>
      </c>
      <c r="CK210" s="608">
        <f t="shared" si="322"/>
        <v>0</v>
      </c>
      <c r="CL210" s="609">
        <f t="shared" si="323"/>
        <v>78439.332506203486</v>
      </c>
      <c r="CM210" s="608">
        <f t="shared" si="324"/>
        <v>68154.323863636368</v>
      </c>
      <c r="CN210" s="610">
        <f t="shared" si="325"/>
        <v>63425.31048387097</v>
      </c>
      <c r="CO210" s="606">
        <f t="shared" si="326"/>
        <v>53874.242424242424</v>
      </c>
      <c r="CP210" s="607">
        <f t="shared" si="327"/>
        <v>53271.550819672135</v>
      </c>
      <c r="CQ210" s="606">
        <f t="shared" si="328"/>
        <v>49544.755896226416</v>
      </c>
      <c r="CR210" s="607">
        <f t="shared" si="329"/>
        <v>51131.117647058825</v>
      </c>
      <c r="CS210" s="606">
        <f t="shared" si="330"/>
        <v>41194.323529411769</v>
      </c>
      <c r="CT210" s="607">
        <f t="shared" si="331"/>
        <v>45944.526315789473</v>
      </c>
      <c r="CU210" s="608">
        <f t="shared" si="332"/>
        <v>39845.357965451054</v>
      </c>
      <c r="CV210" s="610">
        <f t="shared" si="333"/>
        <v>0</v>
      </c>
      <c r="CW210" s="608">
        <f t="shared" si="334"/>
        <v>0</v>
      </c>
      <c r="CX210" s="610">
        <f t="shared" si="335"/>
        <v>64129.918114783832</v>
      </c>
      <c r="CY210" s="611">
        <f t="shared" si="336"/>
        <v>53151.540456340837</v>
      </c>
      <c r="CZ210" s="605">
        <f t="shared" si="337"/>
        <v>133</v>
      </c>
      <c r="DA210" s="612">
        <f t="shared" si="338"/>
        <v>104</v>
      </c>
      <c r="DB210" s="607">
        <f t="shared" si="339"/>
        <v>82</v>
      </c>
      <c r="DC210" s="606">
        <f t="shared" si="340"/>
        <v>59</v>
      </c>
      <c r="DD210" s="607">
        <f t="shared" si="341"/>
        <v>101</v>
      </c>
      <c r="DE210" s="606">
        <f t="shared" si="342"/>
        <v>84</v>
      </c>
      <c r="DF210" s="607">
        <f t="shared" si="343"/>
        <v>52</v>
      </c>
      <c r="DG210" s="606">
        <f t="shared" si="344"/>
        <v>3</v>
      </c>
      <c r="DH210" s="607">
        <f t="shared" si="345"/>
        <v>4</v>
      </c>
      <c r="DI210" s="608">
        <f t="shared" si="346"/>
        <v>95</v>
      </c>
      <c r="DJ210" s="607">
        <f t="shared" si="347"/>
        <v>0</v>
      </c>
      <c r="DK210" s="608">
        <f t="shared" si="348"/>
        <v>0</v>
      </c>
      <c r="DL210" s="607">
        <f t="shared" si="349"/>
        <v>372</v>
      </c>
      <c r="DM210" s="608">
        <f t="shared" si="350"/>
        <v>345</v>
      </c>
      <c r="DN210" s="607">
        <f t="shared" si="351"/>
        <v>10432431.223325064</v>
      </c>
      <c r="DO210" s="612">
        <f t="shared" si="352"/>
        <v>7088049.6818181826</v>
      </c>
      <c r="DP210" s="607">
        <f t="shared" si="353"/>
        <v>5200875.4596774196</v>
      </c>
      <c r="DQ210" s="606">
        <f t="shared" si="354"/>
        <v>3178580.3030303032</v>
      </c>
      <c r="DR210" s="607">
        <f t="shared" si="355"/>
        <v>5380426.6327868858</v>
      </c>
      <c r="DS210" s="606">
        <f t="shared" si="356"/>
        <v>4161759.4952830188</v>
      </c>
      <c r="DT210" s="607">
        <f t="shared" si="357"/>
        <v>2658818.1176470588</v>
      </c>
      <c r="DU210" s="606">
        <f t="shared" si="358"/>
        <v>123582.9705882353</v>
      </c>
      <c r="DV210" s="607">
        <f t="shared" si="359"/>
        <v>183778.10526315789</v>
      </c>
      <c r="DW210" s="608">
        <f t="shared" si="360"/>
        <v>3785309.00671785</v>
      </c>
      <c r="DX210" s="607">
        <f t="shared" si="361"/>
        <v>0</v>
      </c>
      <c r="DY210" s="608">
        <f t="shared" si="362"/>
        <v>0</v>
      </c>
      <c r="DZ210" s="607">
        <f t="shared" si="363"/>
        <v>23856329.538699586</v>
      </c>
      <c r="EA210" s="608">
        <f t="shared" si="364"/>
        <v>18337281.45743759</v>
      </c>
    </row>
    <row r="211" spans="1:131" x14ac:dyDescent="0.2">
      <c r="A211" s="450" t="s">
        <v>37</v>
      </c>
      <c r="B211" s="448" t="s">
        <v>829</v>
      </c>
      <c r="C211" s="557"/>
      <c r="D211" s="461">
        <v>159993</v>
      </c>
      <c r="E211" s="449">
        <v>3</v>
      </c>
      <c r="F211" s="598">
        <v>50</v>
      </c>
      <c r="G211" s="599">
        <v>40</v>
      </c>
      <c r="H211" s="600"/>
      <c r="I211" s="601"/>
      <c r="J211" s="600">
        <v>6</v>
      </c>
      <c r="K211" s="599">
        <v>10</v>
      </c>
      <c r="L211" s="600"/>
      <c r="M211" s="601"/>
      <c r="N211" s="600">
        <v>91</v>
      </c>
      <c r="O211" s="599">
        <v>78</v>
      </c>
      <c r="P211" s="600"/>
      <c r="Q211" s="601"/>
      <c r="R211" s="600">
        <v>5</v>
      </c>
      <c r="S211" s="599">
        <v>22</v>
      </c>
      <c r="T211" s="600"/>
      <c r="U211" s="601"/>
      <c r="V211" s="600">
        <v>125</v>
      </c>
      <c r="W211" s="599">
        <v>79</v>
      </c>
      <c r="X211" s="600"/>
      <c r="Y211" s="601"/>
      <c r="Z211" s="600">
        <v>3</v>
      </c>
      <c r="AA211" s="599">
        <v>29</v>
      </c>
      <c r="AB211" s="600"/>
      <c r="AC211" s="601"/>
      <c r="AD211" s="600">
        <v>56</v>
      </c>
      <c r="AE211" s="599">
        <v>47</v>
      </c>
      <c r="AF211" s="600"/>
      <c r="AG211" s="601"/>
      <c r="AH211" s="600">
        <v>2</v>
      </c>
      <c r="AI211" s="599">
        <v>3</v>
      </c>
      <c r="AJ211" s="600"/>
      <c r="AK211" s="601"/>
      <c r="AL211" s="600">
        <v>0</v>
      </c>
      <c r="AM211" s="599"/>
      <c r="AN211" s="600"/>
      <c r="AO211" s="601"/>
      <c r="AP211" s="600">
        <v>0</v>
      </c>
      <c r="AQ211" s="599"/>
      <c r="AR211" s="600"/>
      <c r="AS211" s="601"/>
      <c r="AT211" s="600">
        <v>0</v>
      </c>
      <c r="AU211" s="599"/>
      <c r="AV211" s="600"/>
      <c r="AW211" s="601"/>
      <c r="AX211" s="600">
        <v>0</v>
      </c>
      <c r="AY211" s="599"/>
      <c r="AZ211" s="600"/>
      <c r="BA211" s="601"/>
      <c r="BB211" s="602">
        <v>4601178</v>
      </c>
      <c r="BC211" s="599">
        <v>4073815</v>
      </c>
      <c r="BD211" s="600">
        <v>6750096</v>
      </c>
      <c r="BE211" s="599">
        <v>6857808</v>
      </c>
      <c r="BF211" s="600">
        <v>7848472</v>
      </c>
      <c r="BG211" s="599">
        <v>6754454</v>
      </c>
      <c r="BH211" s="600">
        <v>2366608</v>
      </c>
      <c r="BI211" s="599">
        <v>2082031</v>
      </c>
      <c r="BJ211" s="600">
        <v>0</v>
      </c>
      <c r="BK211" s="615"/>
      <c r="BL211" s="600">
        <v>0</v>
      </c>
      <c r="BM211" s="604"/>
      <c r="BN211" s="605">
        <f t="shared" si="299"/>
        <v>516</v>
      </c>
      <c r="BO211" s="606">
        <f t="shared" si="300"/>
        <v>470</v>
      </c>
      <c r="BP211" s="607">
        <f t="shared" si="301"/>
        <v>874</v>
      </c>
      <c r="BQ211" s="606">
        <f t="shared" si="302"/>
        <v>944</v>
      </c>
      <c r="BR211" s="607">
        <f t="shared" si="303"/>
        <v>1158</v>
      </c>
      <c r="BS211" s="606">
        <f t="shared" si="304"/>
        <v>1030</v>
      </c>
      <c r="BT211" s="607">
        <f t="shared" si="305"/>
        <v>526</v>
      </c>
      <c r="BU211" s="606">
        <f t="shared" si="306"/>
        <v>456</v>
      </c>
      <c r="BV211" s="607">
        <f t="shared" si="307"/>
        <v>0</v>
      </c>
      <c r="BW211" s="608">
        <f t="shared" si="308"/>
        <v>0</v>
      </c>
      <c r="BX211" s="607">
        <f t="shared" si="309"/>
        <v>0</v>
      </c>
      <c r="BY211" s="608">
        <f t="shared" si="310"/>
        <v>0</v>
      </c>
      <c r="BZ211" s="607">
        <f t="shared" si="311"/>
        <v>8917.0116279069771</v>
      </c>
      <c r="CA211" s="608">
        <f t="shared" si="312"/>
        <v>8667.6914893617013</v>
      </c>
      <c r="CB211" s="607">
        <f t="shared" si="313"/>
        <v>7723.2219679633863</v>
      </c>
      <c r="CC211" s="608">
        <f t="shared" si="314"/>
        <v>7264.6271186440681</v>
      </c>
      <c r="CD211" s="607">
        <f t="shared" si="315"/>
        <v>6777.6096718480139</v>
      </c>
      <c r="CE211" s="608">
        <f t="shared" si="316"/>
        <v>6557.7223300970873</v>
      </c>
      <c r="CF211" s="607">
        <f t="shared" si="317"/>
        <v>4499.2547528517107</v>
      </c>
      <c r="CG211" s="608">
        <f t="shared" si="318"/>
        <v>4565.8574561403511</v>
      </c>
      <c r="CH211" s="607">
        <f t="shared" si="319"/>
        <v>0</v>
      </c>
      <c r="CI211" s="608">
        <f t="shared" si="320"/>
        <v>0</v>
      </c>
      <c r="CJ211" s="607">
        <f t="shared" si="321"/>
        <v>0</v>
      </c>
      <c r="CK211" s="608">
        <f t="shared" si="322"/>
        <v>0</v>
      </c>
      <c r="CL211" s="609">
        <f t="shared" si="323"/>
        <v>80253.104651162794</v>
      </c>
      <c r="CM211" s="608">
        <f t="shared" si="324"/>
        <v>78009.223404255317</v>
      </c>
      <c r="CN211" s="610">
        <f t="shared" si="325"/>
        <v>69508.997711670483</v>
      </c>
      <c r="CO211" s="606">
        <f t="shared" si="326"/>
        <v>65381.644067796617</v>
      </c>
      <c r="CP211" s="607">
        <f t="shared" si="327"/>
        <v>60998.487046632123</v>
      </c>
      <c r="CQ211" s="606">
        <f t="shared" si="328"/>
        <v>59019.500970873785</v>
      </c>
      <c r="CR211" s="607">
        <f t="shared" si="329"/>
        <v>40493.292775665395</v>
      </c>
      <c r="CS211" s="606">
        <f t="shared" si="330"/>
        <v>41092.71710526316</v>
      </c>
      <c r="CT211" s="607">
        <f t="shared" si="331"/>
        <v>0</v>
      </c>
      <c r="CU211" s="608">
        <f t="shared" si="332"/>
        <v>0</v>
      </c>
      <c r="CV211" s="610">
        <f t="shared" si="333"/>
        <v>0</v>
      </c>
      <c r="CW211" s="608">
        <f t="shared" si="334"/>
        <v>0</v>
      </c>
      <c r="CX211" s="610">
        <f t="shared" si="335"/>
        <v>63087.144863144931</v>
      </c>
      <c r="CY211" s="611">
        <f t="shared" si="336"/>
        <v>61257.686808798557</v>
      </c>
      <c r="CZ211" s="605">
        <f t="shared" si="337"/>
        <v>56</v>
      </c>
      <c r="DA211" s="612">
        <f t="shared" si="338"/>
        <v>50</v>
      </c>
      <c r="DB211" s="607">
        <f t="shared" si="339"/>
        <v>96</v>
      </c>
      <c r="DC211" s="606">
        <f t="shared" si="340"/>
        <v>100</v>
      </c>
      <c r="DD211" s="607">
        <f t="shared" si="341"/>
        <v>128</v>
      </c>
      <c r="DE211" s="606">
        <f t="shared" si="342"/>
        <v>108</v>
      </c>
      <c r="DF211" s="607">
        <f t="shared" si="343"/>
        <v>58</v>
      </c>
      <c r="DG211" s="606">
        <f t="shared" si="344"/>
        <v>50</v>
      </c>
      <c r="DH211" s="607">
        <f t="shared" si="345"/>
        <v>0</v>
      </c>
      <c r="DI211" s="608">
        <f t="shared" si="346"/>
        <v>0</v>
      </c>
      <c r="DJ211" s="607">
        <f t="shared" si="347"/>
        <v>0</v>
      </c>
      <c r="DK211" s="608">
        <f t="shared" si="348"/>
        <v>0</v>
      </c>
      <c r="DL211" s="607">
        <f t="shared" si="349"/>
        <v>338</v>
      </c>
      <c r="DM211" s="608">
        <f t="shared" si="350"/>
        <v>308</v>
      </c>
      <c r="DN211" s="607">
        <f t="shared" si="351"/>
        <v>4494173.8604651168</v>
      </c>
      <c r="DO211" s="612">
        <f t="shared" si="352"/>
        <v>3900461.1702127657</v>
      </c>
      <c r="DP211" s="607">
        <f t="shared" si="353"/>
        <v>6672863.7803203668</v>
      </c>
      <c r="DQ211" s="606">
        <f t="shared" si="354"/>
        <v>6538164.4067796618</v>
      </c>
      <c r="DR211" s="607">
        <f t="shared" si="355"/>
        <v>7807806.3419689117</v>
      </c>
      <c r="DS211" s="606">
        <f t="shared" si="356"/>
        <v>6374106.1048543686</v>
      </c>
      <c r="DT211" s="607">
        <f t="shared" si="357"/>
        <v>2348610.9809885928</v>
      </c>
      <c r="DU211" s="606">
        <f t="shared" si="358"/>
        <v>2054635.855263158</v>
      </c>
      <c r="DV211" s="607">
        <f t="shared" si="359"/>
        <v>0</v>
      </c>
      <c r="DW211" s="608">
        <f t="shared" si="360"/>
        <v>0</v>
      </c>
      <c r="DX211" s="607">
        <f t="shared" si="361"/>
        <v>0</v>
      </c>
      <c r="DY211" s="608">
        <f t="shared" si="362"/>
        <v>0</v>
      </c>
      <c r="DZ211" s="607">
        <f t="shared" si="363"/>
        <v>21323454.963742986</v>
      </c>
      <c r="EA211" s="608">
        <f t="shared" si="364"/>
        <v>18867367.537109956</v>
      </c>
    </row>
    <row r="212" spans="1:131" x14ac:dyDescent="0.2">
      <c r="A212" s="450" t="s">
        <v>37</v>
      </c>
      <c r="B212" s="448" t="s">
        <v>830</v>
      </c>
      <c r="C212" s="557"/>
      <c r="D212" s="461">
        <v>159009</v>
      </c>
      <c r="E212" s="449">
        <v>4</v>
      </c>
      <c r="F212" s="598">
        <v>43</v>
      </c>
      <c r="G212" s="599">
        <v>43</v>
      </c>
      <c r="H212" s="600"/>
      <c r="I212" s="601"/>
      <c r="J212" s="600">
        <v>7</v>
      </c>
      <c r="K212" s="599"/>
      <c r="L212" s="600"/>
      <c r="M212" s="601"/>
      <c r="N212" s="600">
        <v>37</v>
      </c>
      <c r="O212" s="599">
        <v>41</v>
      </c>
      <c r="P212" s="600"/>
      <c r="Q212" s="601"/>
      <c r="R212" s="600">
        <v>6</v>
      </c>
      <c r="S212" s="599"/>
      <c r="T212" s="600"/>
      <c r="U212" s="601"/>
      <c r="V212" s="600">
        <v>72</v>
      </c>
      <c r="W212" s="599">
        <v>81</v>
      </c>
      <c r="X212" s="600"/>
      <c r="Y212" s="601"/>
      <c r="Z212" s="600">
        <v>17</v>
      </c>
      <c r="AA212" s="599"/>
      <c r="AB212" s="600"/>
      <c r="AC212" s="601"/>
      <c r="AD212" s="600">
        <v>17</v>
      </c>
      <c r="AE212" s="599">
        <v>21</v>
      </c>
      <c r="AF212" s="600"/>
      <c r="AG212" s="601"/>
      <c r="AH212" s="600">
        <v>7</v>
      </c>
      <c r="AI212" s="599"/>
      <c r="AJ212" s="600"/>
      <c r="AK212" s="601"/>
      <c r="AL212" s="600">
        <v>22</v>
      </c>
      <c r="AM212" s="599">
        <v>33</v>
      </c>
      <c r="AN212" s="600"/>
      <c r="AO212" s="601"/>
      <c r="AP212" s="600">
        <v>1</v>
      </c>
      <c r="AQ212" s="599"/>
      <c r="AR212" s="600"/>
      <c r="AS212" s="601"/>
      <c r="AT212" s="600">
        <v>0</v>
      </c>
      <c r="AU212" s="599"/>
      <c r="AV212" s="600"/>
      <c r="AW212" s="601"/>
      <c r="AX212" s="600">
        <v>0</v>
      </c>
      <c r="AY212" s="599"/>
      <c r="AZ212" s="600"/>
      <c r="BA212" s="601"/>
      <c r="BB212" s="602">
        <v>3543018</v>
      </c>
      <c r="BC212" s="599">
        <v>2957760</v>
      </c>
      <c r="BD212" s="600">
        <v>2608617</v>
      </c>
      <c r="BE212" s="599">
        <v>2416264</v>
      </c>
      <c r="BF212" s="600">
        <v>5025941</v>
      </c>
      <c r="BG212" s="599">
        <v>4366710</v>
      </c>
      <c r="BH212" s="600">
        <v>980702</v>
      </c>
      <c r="BI212" s="599">
        <v>806004</v>
      </c>
      <c r="BJ212" s="600">
        <v>990410</v>
      </c>
      <c r="BK212" s="615">
        <v>1368841</v>
      </c>
      <c r="BL212" s="600">
        <v>0</v>
      </c>
      <c r="BM212" s="604"/>
      <c r="BN212" s="605">
        <f t="shared" si="299"/>
        <v>464</v>
      </c>
      <c r="BO212" s="606">
        <f t="shared" si="300"/>
        <v>387</v>
      </c>
      <c r="BP212" s="607">
        <f t="shared" si="301"/>
        <v>399</v>
      </c>
      <c r="BQ212" s="606">
        <f t="shared" si="302"/>
        <v>369</v>
      </c>
      <c r="BR212" s="607">
        <f t="shared" si="303"/>
        <v>835</v>
      </c>
      <c r="BS212" s="606">
        <f t="shared" si="304"/>
        <v>729</v>
      </c>
      <c r="BT212" s="607">
        <f t="shared" si="305"/>
        <v>230</v>
      </c>
      <c r="BU212" s="606">
        <f t="shared" si="306"/>
        <v>189</v>
      </c>
      <c r="BV212" s="607">
        <f t="shared" si="307"/>
        <v>209</v>
      </c>
      <c r="BW212" s="608">
        <f t="shared" si="308"/>
        <v>297</v>
      </c>
      <c r="BX212" s="607">
        <f t="shared" si="309"/>
        <v>0</v>
      </c>
      <c r="BY212" s="608">
        <f t="shared" si="310"/>
        <v>0</v>
      </c>
      <c r="BZ212" s="607">
        <f t="shared" si="311"/>
        <v>7635.8146551724139</v>
      </c>
      <c r="CA212" s="608">
        <f t="shared" si="312"/>
        <v>7642.7906976744189</v>
      </c>
      <c r="CB212" s="607">
        <f t="shared" si="313"/>
        <v>6537.8872180451126</v>
      </c>
      <c r="CC212" s="608">
        <f t="shared" si="314"/>
        <v>6548.1409214092137</v>
      </c>
      <c r="CD212" s="607">
        <f t="shared" si="315"/>
        <v>6019.0910179640723</v>
      </c>
      <c r="CE212" s="608">
        <f t="shared" si="316"/>
        <v>5990</v>
      </c>
      <c r="CF212" s="607">
        <f t="shared" si="317"/>
        <v>4263.9217391304346</v>
      </c>
      <c r="CG212" s="608">
        <f t="shared" si="318"/>
        <v>4264.5714285714284</v>
      </c>
      <c r="CH212" s="607">
        <f t="shared" si="319"/>
        <v>4738.803827751196</v>
      </c>
      <c r="CI212" s="608">
        <f t="shared" si="320"/>
        <v>4608.8922558922559</v>
      </c>
      <c r="CJ212" s="607">
        <f t="shared" si="321"/>
        <v>0</v>
      </c>
      <c r="CK212" s="608">
        <f t="shared" si="322"/>
        <v>0</v>
      </c>
      <c r="CL212" s="609">
        <f t="shared" si="323"/>
        <v>68722.331896551725</v>
      </c>
      <c r="CM212" s="608">
        <f t="shared" si="324"/>
        <v>68785.116279069771</v>
      </c>
      <c r="CN212" s="610">
        <f t="shared" si="325"/>
        <v>58840.984962406015</v>
      </c>
      <c r="CO212" s="606">
        <f t="shared" si="326"/>
        <v>58933.268292682922</v>
      </c>
      <c r="CP212" s="607">
        <f t="shared" si="327"/>
        <v>54171.819161676649</v>
      </c>
      <c r="CQ212" s="606">
        <f t="shared" si="328"/>
        <v>53910</v>
      </c>
      <c r="CR212" s="607">
        <f t="shared" si="329"/>
        <v>38375.295652173911</v>
      </c>
      <c r="CS212" s="606">
        <f t="shared" si="330"/>
        <v>38381.142857142855</v>
      </c>
      <c r="CT212" s="607">
        <f t="shared" si="331"/>
        <v>42649.234449760763</v>
      </c>
      <c r="CU212" s="608">
        <f t="shared" si="332"/>
        <v>41480.030303030304</v>
      </c>
      <c r="CV212" s="610">
        <f t="shared" si="333"/>
        <v>0</v>
      </c>
      <c r="CW212" s="608">
        <f t="shared" si="334"/>
        <v>0</v>
      </c>
      <c r="CX212" s="610">
        <f t="shared" si="335"/>
        <v>55412.708915270472</v>
      </c>
      <c r="CY212" s="611">
        <f t="shared" si="336"/>
        <v>54409.036529680365</v>
      </c>
      <c r="CZ212" s="605">
        <f t="shared" si="337"/>
        <v>50</v>
      </c>
      <c r="DA212" s="612">
        <f t="shared" si="338"/>
        <v>43</v>
      </c>
      <c r="DB212" s="607">
        <f t="shared" si="339"/>
        <v>43</v>
      </c>
      <c r="DC212" s="606">
        <f t="shared" si="340"/>
        <v>41</v>
      </c>
      <c r="DD212" s="607">
        <f t="shared" si="341"/>
        <v>89</v>
      </c>
      <c r="DE212" s="606">
        <f t="shared" si="342"/>
        <v>81</v>
      </c>
      <c r="DF212" s="607">
        <f t="shared" si="343"/>
        <v>24</v>
      </c>
      <c r="DG212" s="606">
        <f t="shared" si="344"/>
        <v>21</v>
      </c>
      <c r="DH212" s="607">
        <f t="shared" si="345"/>
        <v>23</v>
      </c>
      <c r="DI212" s="608">
        <f t="shared" si="346"/>
        <v>33</v>
      </c>
      <c r="DJ212" s="607">
        <f t="shared" si="347"/>
        <v>0</v>
      </c>
      <c r="DK212" s="608">
        <f t="shared" si="348"/>
        <v>0</v>
      </c>
      <c r="DL212" s="607">
        <f t="shared" si="349"/>
        <v>229</v>
      </c>
      <c r="DM212" s="608">
        <f t="shared" si="350"/>
        <v>219</v>
      </c>
      <c r="DN212" s="607">
        <f t="shared" si="351"/>
        <v>3436116.5948275863</v>
      </c>
      <c r="DO212" s="612">
        <f t="shared" si="352"/>
        <v>2957760</v>
      </c>
      <c r="DP212" s="607">
        <f t="shared" si="353"/>
        <v>2530162.3533834587</v>
      </c>
      <c r="DQ212" s="606">
        <f t="shared" si="354"/>
        <v>2416264</v>
      </c>
      <c r="DR212" s="607">
        <f t="shared" si="355"/>
        <v>4821291.9053892214</v>
      </c>
      <c r="DS212" s="606">
        <f t="shared" si="356"/>
        <v>4366710</v>
      </c>
      <c r="DT212" s="607">
        <f t="shared" si="357"/>
        <v>921007.09565217386</v>
      </c>
      <c r="DU212" s="606">
        <f t="shared" si="358"/>
        <v>806004</v>
      </c>
      <c r="DV212" s="607">
        <f t="shared" si="359"/>
        <v>980932.39234449749</v>
      </c>
      <c r="DW212" s="608">
        <f t="shared" si="360"/>
        <v>1368841</v>
      </c>
      <c r="DX212" s="607">
        <f t="shared" si="361"/>
        <v>0</v>
      </c>
      <c r="DY212" s="608">
        <f t="shared" si="362"/>
        <v>0</v>
      </c>
      <c r="DZ212" s="607">
        <f t="shared" si="363"/>
        <v>12689510.341596939</v>
      </c>
      <c r="EA212" s="608">
        <f t="shared" si="364"/>
        <v>11915579</v>
      </c>
    </row>
    <row r="213" spans="1:131" x14ac:dyDescent="0.2">
      <c r="A213" s="450" t="s">
        <v>37</v>
      </c>
      <c r="B213" s="448" t="s">
        <v>831</v>
      </c>
      <c r="C213" s="557"/>
      <c r="D213" s="461">
        <v>159416</v>
      </c>
      <c r="E213" s="449">
        <v>4</v>
      </c>
      <c r="F213" s="598">
        <v>26</v>
      </c>
      <c r="G213" s="599">
        <v>34</v>
      </c>
      <c r="H213" s="600"/>
      <c r="I213" s="601"/>
      <c r="J213" s="600">
        <v>2</v>
      </c>
      <c r="K213" s="599"/>
      <c r="L213" s="600"/>
      <c r="M213" s="601">
        <v>3</v>
      </c>
      <c r="N213" s="600">
        <v>35</v>
      </c>
      <c r="O213" s="599">
        <v>40</v>
      </c>
      <c r="P213" s="600"/>
      <c r="Q213" s="601"/>
      <c r="R213" s="600">
        <v>0</v>
      </c>
      <c r="S213" s="599"/>
      <c r="T213" s="600"/>
      <c r="U213" s="601">
        <v>1</v>
      </c>
      <c r="V213" s="600">
        <v>21</v>
      </c>
      <c r="W213" s="599">
        <v>25</v>
      </c>
      <c r="X213" s="600"/>
      <c r="Y213" s="601"/>
      <c r="Z213" s="600">
        <v>0</v>
      </c>
      <c r="AA213" s="599"/>
      <c r="AB213" s="600"/>
      <c r="AC213" s="601">
        <v>1</v>
      </c>
      <c r="AD213" s="600">
        <v>17</v>
      </c>
      <c r="AE213" s="599">
        <v>16</v>
      </c>
      <c r="AF213" s="600"/>
      <c r="AG213" s="601"/>
      <c r="AH213" s="600">
        <v>5</v>
      </c>
      <c r="AI213" s="599"/>
      <c r="AJ213" s="600"/>
      <c r="AK213" s="601">
        <v>3</v>
      </c>
      <c r="AL213" s="600">
        <v>1</v>
      </c>
      <c r="AM213" s="599"/>
      <c r="AN213" s="600"/>
      <c r="AO213" s="601"/>
      <c r="AP213" s="600">
        <v>0</v>
      </c>
      <c r="AQ213" s="599"/>
      <c r="AR213" s="600"/>
      <c r="AS213" s="601">
        <v>5</v>
      </c>
      <c r="AT213" s="600"/>
      <c r="AU213" s="599"/>
      <c r="AV213" s="600"/>
      <c r="AW213" s="601"/>
      <c r="AX213" s="600">
        <v>0</v>
      </c>
      <c r="AY213" s="599"/>
      <c r="AZ213" s="600"/>
      <c r="BA213" s="601"/>
      <c r="BB213" s="602">
        <v>1761638</v>
      </c>
      <c r="BC213" s="599">
        <v>2440138</v>
      </c>
      <c r="BD213" s="600">
        <v>2037525</v>
      </c>
      <c r="BE213" s="599">
        <v>2489569</v>
      </c>
      <c r="BF213" s="600">
        <v>1085112</v>
      </c>
      <c r="BG213" s="599">
        <v>1402923</v>
      </c>
      <c r="BH213" s="600">
        <v>975921</v>
      </c>
      <c r="BI213" s="599">
        <v>800183</v>
      </c>
      <c r="BJ213" s="600">
        <v>19846</v>
      </c>
      <c r="BK213" s="615">
        <v>263840</v>
      </c>
      <c r="BL213" s="600">
        <v>0</v>
      </c>
      <c r="BM213" s="604"/>
      <c r="BN213" s="605">
        <f t="shared" si="299"/>
        <v>256</v>
      </c>
      <c r="BO213" s="606">
        <f t="shared" si="300"/>
        <v>342</v>
      </c>
      <c r="BP213" s="607">
        <f t="shared" si="301"/>
        <v>315</v>
      </c>
      <c r="BQ213" s="606">
        <f t="shared" si="302"/>
        <v>372</v>
      </c>
      <c r="BR213" s="607">
        <f t="shared" si="303"/>
        <v>189</v>
      </c>
      <c r="BS213" s="606">
        <f t="shared" si="304"/>
        <v>237</v>
      </c>
      <c r="BT213" s="607">
        <f t="shared" si="305"/>
        <v>208</v>
      </c>
      <c r="BU213" s="606">
        <f t="shared" si="306"/>
        <v>180</v>
      </c>
      <c r="BV213" s="607">
        <f t="shared" si="307"/>
        <v>9</v>
      </c>
      <c r="BW213" s="608">
        <f t="shared" si="308"/>
        <v>60</v>
      </c>
      <c r="BX213" s="607">
        <f t="shared" si="309"/>
        <v>0</v>
      </c>
      <c r="BY213" s="608">
        <f t="shared" si="310"/>
        <v>0</v>
      </c>
      <c r="BZ213" s="607">
        <f t="shared" si="311"/>
        <v>6881.3984375</v>
      </c>
      <c r="CA213" s="608">
        <f t="shared" si="312"/>
        <v>7134.9064327485385</v>
      </c>
      <c r="CB213" s="607">
        <f t="shared" si="313"/>
        <v>6468.333333333333</v>
      </c>
      <c r="CC213" s="608">
        <f t="shared" si="314"/>
        <v>6692.3897849462364</v>
      </c>
      <c r="CD213" s="607">
        <f t="shared" si="315"/>
        <v>5741.333333333333</v>
      </c>
      <c r="CE213" s="608">
        <f t="shared" si="316"/>
        <v>5919.506329113924</v>
      </c>
      <c r="CF213" s="607">
        <f t="shared" si="317"/>
        <v>4691.9278846153848</v>
      </c>
      <c r="CG213" s="608">
        <f t="shared" si="318"/>
        <v>4445.4611111111108</v>
      </c>
      <c r="CH213" s="607">
        <f t="shared" si="319"/>
        <v>2205.1111111111113</v>
      </c>
      <c r="CI213" s="608">
        <f t="shared" si="320"/>
        <v>4397.333333333333</v>
      </c>
      <c r="CJ213" s="607">
        <f t="shared" si="321"/>
        <v>0</v>
      </c>
      <c r="CK213" s="608">
        <f t="shared" si="322"/>
        <v>0</v>
      </c>
      <c r="CL213" s="609">
        <f t="shared" si="323"/>
        <v>61932.5859375</v>
      </c>
      <c r="CM213" s="608">
        <f t="shared" si="324"/>
        <v>64214.157894736847</v>
      </c>
      <c r="CN213" s="610">
        <f t="shared" si="325"/>
        <v>58215</v>
      </c>
      <c r="CO213" s="606">
        <f t="shared" si="326"/>
        <v>60231.508064516129</v>
      </c>
      <c r="CP213" s="607">
        <f t="shared" si="327"/>
        <v>51672</v>
      </c>
      <c r="CQ213" s="606">
        <f t="shared" si="328"/>
        <v>53275.556962025315</v>
      </c>
      <c r="CR213" s="607">
        <f t="shared" si="329"/>
        <v>42227.350961538461</v>
      </c>
      <c r="CS213" s="606">
        <f t="shared" si="330"/>
        <v>40009.149999999994</v>
      </c>
      <c r="CT213" s="607">
        <f t="shared" si="331"/>
        <v>19846</v>
      </c>
      <c r="CU213" s="608">
        <f t="shared" si="332"/>
        <v>39576</v>
      </c>
      <c r="CV213" s="610">
        <f t="shared" si="333"/>
        <v>0</v>
      </c>
      <c r="CW213" s="608">
        <f t="shared" si="334"/>
        <v>0</v>
      </c>
      <c r="CX213" s="610">
        <f t="shared" si="335"/>
        <v>54257.917078540617</v>
      </c>
      <c r="CY213" s="611">
        <f t="shared" si="336"/>
        <v>56161.203154399082</v>
      </c>
      <c r="CZ213" s="605">
        <f t="shared" si="337"/>
        <v>28</v>
      </c>
      <c r="DA213" s="612">
        <f t="shared" si="338"/>
        <v>37</v>
      </c>
      <c r="DB213" s="607">
        <f t="shared" si="339"/>
        <v>35</v>
      </c>
      <c r="DC213" s="606">
        <f t="shared" si="340"/>
        <v>41</v>
      </c>
      <c r="DD213" s="607">
        <f t="shared" si="341"/>
        <v>21</v>
      </c>
      <c r="DE213" s="606">
        <f t="shared" si="342"/>
        <v>26</v>
      </c>
      <c r="DF213" s="607">
        <f t="shared" si="343"/>
        <v>22</v>
      </c>
      <c r="DG213" s="606">
        <f t="shared" si="344"/>
        <v>19</v>
      </c>
      <c r="DH213" s="607">
        <f t="shared" si="345"/>
        <v>1</v>
      </c>
      <c r="DI213" s="608">
        <f t="shared" si="346"/>
        <v>5</v>
      </c>
      <c r="DJ213" s="607">
        <f t="shared" si="347"/>
        <v>0</v>
      </c>
      <c r="DK213" s="608">
        <f t="shared" si="348"/>
        <v>0</v>
      </c>
      <c r="DL213" s="607">
        <f t="shared" si="349"/>
        <v>107</v>
      </c>
      <c r="DM213" s="608">
        <f t="shared" si="350"/>
        <v>128</v>
      </c>
      <c r="DN213" s="607">
        <f t="shared" si="351"/>
        <v>1734112.40625</v>
      </c>
      <c r="DO213" s="612">
        <f t="shared" si="352"/>
        <v>2375923.8421052634</v>
      </c>
      <c r="DP213" s="607">
        <f t="shared" si="353"/>
        <v>2037525</v>
      </c>
      <c r="DQ213" s="606">
        <f t="shared" si="354"/>
        <v>2469491.8306451612</v>
      </c>
      <c r="DR213" s="607">
        <f t="shared" si="355"/>
        <v>1085112</v>
      </c>
      <c r="DS213" s="606">
        <f t="shared" si="356"/>
        <v>1385164.4810126582</v>
      </c>
      <c r="DT213" s="607">
        <f t="shared" si="357"/>
        <v>929001.72115384613</v>
      </c>
      <c r="DU213" s="606">
        <f t="shared" si="358"/>
        <v>760173.84999999986</v>
      </c>
      <c r="DV213" s="607">
        <f t="shared" si="359"/>
        <v>19846</v>
      </c>
      <c r="DW213" s="608">
        <f t="shared" si="360"/>
        <v>197880</v>
      </c>
      <c r="DX213" s="607">
        <f t="shared" si="361"/>
        <v>0</v>
      </c>
      <c r="DY213" s="608">
        <f t="shared" si="362"/>
        <v>0</v>
      </c>
      <c r="DZ213" s="607">
        <f t="shared" si="363"/>
        <v>5805597.127403846</v>
      </c>
      <c r="EA213" s="608">
        <f t="shared" si="364"/>
        <v>7188634.0037630824</v>
      </c>
    </row>
    <row r="214" spans="1:131" x14ac:dyDescent="0.2">
      <c r="A214" s="450" t="s">
        <v>37</v>
      </c>
      <c r="B214" s="448" t="s">
        <v>832</v>
      </c>
      <c r="C214" s="557"/>
      <c r="D214" s="461">
        <v>159717</v>
      </c>
      <c r="E214" s="449">
        <v>4</v>
      </c>
      <c r="F214" s="598">
        <v>53</v>
      </c>
      <c r="G214" s="599">
        <v>55</v>
      </c>
      <c r="H214" s="600"/>
      <c r="I214" s="601">
        <v>1</v>
      </c>
      <c r="J214" s="600">
        <v>0</v>
      </c>
      <c r="K214" s="599"/>
      <c r="L214" s="600"/>
      <c r="M214" s="601"/>
      <c r="N214" s="600">
        <v>53</v>
      </c>
      <c r="O214" s="599">
        <v>52</v>
      </c>
      <c r="P214" s="600"/>
      <c r="Q214" s="601">
        <v>1</v>
      </c>
      <c r="R214" s="600">
        <v>0</v>
      </c>
      <c r="S214" s="599"/>
      <c r="T214" s="600"/>
      <c r="U214" s="601"/>
      <c r="V214" s="600">
        <v>122</v>
      </c>
      <c r="W214" s="599">
        <v>111</v>
      </c>
      <c r="X214" s="600"/>
      <c r="Y214" s="601"/>
      <c r="Z214" s="600">
        <v>14</v>
      </c>
      <c r="AA214" s="599"/>
      <c r="AB214" s="600"/>
      <c r="AC214" s="601">
        <v>13</v>
      </c>
      <c r="AD214" s="600">
        <v>56</v>
      </c>
      <c r="AE214" s="599">
        <v>53</v>
      </c>
      <c r="AF214" s="600"/>
      <c r="AG214" s="601">
        <v>1</v>
      </c>
      <c r="AH214" s="600">
        <v>0</v>
      </c>
      <c r="AI214" s="599"/>
      <c r="AJ214" s="600"/>
      <c r="AK214" s="601">
        <v>1</v>
      </c>
      <c r="AL214" s="600">
        <v>0</v>
      </c>
      <c r="AM214" s="599"/>
      <c r="AN214" s="600"/>
      <c r="AO214" s="601"/>
      <c r="AP214" s="600">
        <v>0</v>
      </c>
      <c r="AQ214" s="599"/>
      <c r="AR214" s="600"/>
      <c r="AS214" s="601"/>
      <c r="AT214" s="600">
        <v>0</v>
      </c>
      <c r="AU214" s="599"/>
      <c r="AV214" s="600"/>
      <c r="AW214" s="601"/>
      <c r="AX214" s="600">
        <v>0</v>
      </c>
      <c r="AY214" s="599"/>
      <c r="AZ214" s="600"/>
      <c r="BA214" s="601"/>
      <c r="BB214" s="602">
        <v>4362165</v>
      </c>
      <c r="BC214" s="599">
        <v>4542544</v>
      </c>
      <c r="BD214" s="600">
        <v>3393484</v>
      </c>
      <c r="BE214" s="599">
        <v>3343004</v>
      </c>
      <c r="BF214" s="600">
        <v>7569368</v>
      </c>
      <c r="BG214" s="599">
        <v>6876109</v>
      </c>
      <c r="BH214" s="600">
        <v>2379160</v>
      </c>
      <c r="BI214" s="599">
        <v>2319835</v>
      </c>
      <c r="BJ214" s="600">
        <v>0</v>
      </c>
      <c r="BK214" s="615"/>
      <c r="BL214" s="600">
        <v>0</v>
      </c>
      <c r="BM214" s="604"/>
      <c r="BN214" s="605">
        <f t="shared" si="299"/>
        <v>477</v>
      </c>
      <c r="BO214" s="606">
        <f t="shared" si="300"/>
        <v>505</v>
      </c>
      <c r="BP214" s="607">
        <f t="shared" si="301"/>
        <v>477</v>
      </c>
      <c r="BQ214" s="606">
        <f t="shared" si="302"/>
        <v>478</v>
      </c>
      <c r="BR214" s="607">
        <f t="shared" si="303"/>
        <v>1252</v>
      </c>
      <c r="BS214" s="606">
        <f t="shared" si="304"/>
        <v>1155</v>
      </c>
      <c r="BT214" s="607">
        <f t="shared" si="305"/>
        <v>504</v>
      </c>
      <c r="BU214" s="606">
        <f t="shared" si="306"/>
        <v>499</v>
      </c>
      <c r="BV214" s="607">
        <f t="shared" si="307"/>
        <v>0</v>
      </c>
      <c r="BW214" s="608">
        <f t="shared" si="308"/>
        <v>0</v>
      </c>
      <c r="BX214" s="607">
        <f t="shared" si="309"/>
        <v>0</v>
      </c>
      <c r="BY214" s="608">
        <f t="shared" si="310"/>
        <v>0</v>
      </c>
      <c r="BZ214" s="607">
        <f t="shared" si="311"/>
        <v>9145</v>
      </c>
      <c r="CA214" s="608">
        <f t="shared" si="312"/>
        <v>8995.1366336633655</v>
      </c>
      <c r="CB214" s="607">
        <f t="shared" si="313"/>
        <v>7114.2222222222226</v>
      </c>
      <c r="CC214" s="608">
        <f t="shared" si="314"/>
        <v>6993.7322175732215</v>
      </c>
      <c r="CD214" s="607">
        <f t="shared" si="315"/>
        <v>6045.8210862619808</v>
      </c>
      <c r="CE214" s="608">
        <f t="shared" si="316"/>
        <v>5953.3411255411256</v>
      </c>
      <c r="CF214" s="607">
        <f t="shared" si="317"/>
        <v>4720.5555555555557</v>
      </c>
      <c r="CG214" s="608">
        <f t="shared" si="318"/>
        <v>4648.9679358717431</v>
      </c>
      <c r="CH214" s="607">
        <f t="shared" si="319"/>
        <v>0</v>
      </c>
      <c r="CI214" s="608">
        <f t="shared" si="320"/>
        <v>0</v>
      </c>
      <c r="CJ214" s="607">
        <f t="shared" si="321"/>
        <v>0</v>
      </c>
      <c r="CK214" s="608">
        <f t="shared" si="322"/>
        <v>0</v>
      </c>
      <c r="CL214" s="609">
        <f t="shared" si="323"/>
        <v>82305</v>
      </c>
      <c r="CM214" s="608">
        <f t="shared" si="324"/>
        <v>80956.22970297029</v>
      </c>
      <c r="CN214" s="610">
        <f t="shared" si="325"/>
        <v>64028</v>
      </c>
      <c r="CO214" s="606">
        <f t="shared" si="326"/>
        <v>62943.589958158991</v>
      </c>
      <c r="CP214" s="607">
        <f t="shared" si="327"/>
        <v>54412.389776357828</v>
      </c>
      <c r="CQ214" s="606">
        <f t="shared" si="328"/>
        <v>53580.070129870131</v>
      </c>
      <c r="CR214" s="607">
        <f t="shared" si="329"/>
        <v>42485</v>
      </c>
      <c r="CS214" s="606">
        <f t="shared" si="330"/>
        <v>41840.711422845685</v>
      </c>
      <c r="CT214" s="607">
        <f t="shared" si="331"/>
        <v>0</v>
      </c>
      <c r="CU214" s="608">
        <f t="shared" si="332"/>
        <v>0</v>
      </c>
      <c r="CV214" s="610">
        <f t="shared" si="333"/>
        <v>0</v>
      </c>
      <c r="CW214" s="608">
        <f t="shared" si="334"/>
        <v>0</v>
      </c>
      <c r="CX214" s="610">
        <f t="shared" si="335"/>
        <v>58841.926206659948</v>
      </c>
      <c r="CY214" s="611">
        <f t="shared" si="336"/>
        <v>58384.468595517952</v>
      </c>
      <c r="CZ214" s="605">
        <f t="shared" si="337"/>
        <v>53</v>
      </c>
      <c r="DA214" s="612">
        <f t="shared" si="338"/>
        <v>56</v>
      </c>
      <c r="DB214" s="607">
        <f t="shared" si="339"/>
        <v>53</v>
      </c>
      <c r="DC214" s="606">
        <f t="shared" si="340"/>
        <v>53</v>
      </c>
      <c r="DD214" s="607">
        <f t="shared" si="341"/>
        <v>136</v>
      </c>
      <c r="DE214" s="606">
        <f t="shared" si="342"/>
        <v>124</v>
      </c>
      <c r="DF214" s="607">
        <f t="shared" si="343"/>
        <v>56</v>
      </c>
      <c r="DG214" s="606">
        <f t="shared" si="344"/>
        <v>55</v>
      </c>
      <c r="DH214" s="607">
        <f t="shared" si="345"/>
        <v>0</v>
      </c>
      <c r="DI214" s="608">
        <f t="shared" si="346"/>
        <v>0</v>
      </c>
      <c r="DJ214" s="607">
        <f t="shared" si="347"/>
        <v>0</v>
      </c>
      <c r="DK214" s="608">
        <f t="shared" si="348"/>
        <v>0</v>
      </c>
      <c r="DL214" s="607">
        <f t="shared" si="349"/>
        <v>298</v>
      </c>
      <c r="DM214" s="608">
        <f t="shared" si="350"/>
        <v>288</v>
      </c>
      <c r="DN214" s="607">
        <f t="shared" si="351"/>
        <v>4362165</v>
      </c>
      <c r="DO214" s="612">
        <f t="shared" si="352"/>
        <v>4533548.8633663366</v>
      </c>
      <c r="DP214" s="607">
        <f t="shared" si="353"/>
        <v>3393484</v>
      </c>
      <c r="DQ214" s="606">
        <f t="shared" si="354"/>
        <v>3336010.2677824264</v>
      </c>
      <c r="DR214" s="607">
        <f t="shared" si="355"/>
        <v>7400085.0095846644</v>
      </c>
      <c r="DS214" s="606">
        <f t="shared" si="356"/>
        <v>6643928.696103896</v>
      </c>
      <c r="DT214" s="607">
        <f t="shared" si="357"/>
        <v>2379160</v>
      </c>
      <c r="DU214" s="606">
        <f t="shared" si="358"/>
        <v>2301239.1282565128</v>
      </c>
      <c r="DV214" s="607">
        <f t="shared" si="359"/>
        <v>0</v>
      </c>
      <c r="DW214" s="608">
        <f t="shared" si="360"/>
        <v>0</v>
      </c>
      <c r="DX214" s="607">
        <f t="shared" si="361"/>
        <v>0</v>
      </c>
      <c r="DY214" s="608">
        <f t="shared" si="362"/>
        <v>0</v>
      </c>
      <c r="DZ214" s="607">
        <f t="shared" si="363"/>
        <v>17534894.009584665</v>
      </c>
      <c r="EA214" s="608">
        <f t="shared" si="364"/>
        <v>16814726.955509171</v>
      </c>
    </row>
    <row r="215" spans="1:131" x14ac:dyDescent="0.2">
      <c r="A215" s="450" t="s">
        <v>37</v>
      </c>
      <c r="B215" s="448" t="s">
        <v>833</v>
      </c>
      <c r="C215" s="557"/>
      <c r="D215" s="461">
        <v>159966</v>
      </c>
      <c r="E215" s="449">
        <v>4</v>
      </c>
      <c r="F215" s="598">
        <v>29</v>
      </c>
      <c r="G215" s="599">
        <v>24</v>
      </c>
      <c r="H215" s="600"/>
      <c r="I215" s="601">
        <v>10</v>
      </c>
      <c r="J215" s="600">
        <v>3</v>
      </c>
      <c r="K215" s="599"/>
      <c r="L215" s="600"/>
      <c r="M215" s="601">
        <v>1</v>
      </c>
      <c r="N215" s="600">
        <v>60</v>
      </c>
      <c r="O215" s="599">
        <v>54</v>
      </c>
      <c r="P215" s="600"/>
      <c r="Q215" s="601">
        <v>7</v>
      </c>
      <c r="R215" s="600">
        <v>8</v>
      </c>
      <c r="S215" s="599"/>
      <c r="T215" s="600"/>
      <c r="U215" s="601">
        <v>1</v>
      </c>
      <c r="V215" s="600">
        <v>71</v>
      </c>
      <c r="W215" s="599">
        <v>59</v>
      </c>
      <c r="X215" s="600"/>
      <c r="Y215" s="601">
        <v>8</v>
      </c>
      <c r="Z215" s="600">
        <v>8</v>
      </c>
      <c r="AA215" s="599"/>
      <c r="AB215" s="600"/>
      <c r="AC215" s="601"/>
      <c r="AD215" s="600">
        <v>80</v>
      </c>
      <c r="AE215" s="599">
        <v>71</v>
      </c>
      <c r="AF215" s="600"/>
      <c r="AG215" s="601">
        <v>1</v>
      </c>
      <c r="AH215" s="600">
        <v>1</v>
      </c>
      <c r="AI215" s="599"/>
      <c r="AJ215" s="600"/>
      <c r="AK215" s="601">
        <v>1</v>
      </c>
      <c r="AL215" s="600">
        <v>0</v>
      </c>
      <c r="AM215" s="599">
        <v>2</v>
      </c>
      <c r="AN215" s="600"/>
      <c r="AO215" s="601"/>
      <c r="AP215" s="600">
        <v>0</v>
      </c>
      <c r="AQ215" s="599"/>
      <c r="AR215" s="600"/>
      <c r="AS215" s="601"/>
      <c r="AT215" s="600">
        <v>0</v>
      </c>
      <c r="AU215" s="599"/>
      <c r="AV215" s="600"/>
      <c r="AW215" s="601"/>
      <c r="AX215" s="600">
        <v>0</v>
      </c>
      <c r="AY215" s="599"/>
      <c r="AZ215" s="600"/>
      <c r="BA215" s="601"/>
      <c r="BB215" s="602">
        <v>2337076</v>
      </c>
      <c r="BC215" s="599">
        <v>2482231</v>
      </c>
      <c r="BD215" s="600">
        <v>4027672</v>
      </c>
      <c r="BE215" s="599">
        <v>3666504</v>
      </c>
      <c r="BF215" s="600">
        <v>4068920</v>
      </c>
      <c r="BG215" s="599">
        <v>3491080</v>
      </c>
      <c r="BH215" s="600">
        <v>3232360</v>
      </c>
      <c r="BI215" s="599">
        <v>2974888</v>
      </c>
      <c r="BJ215" s="600">
        <v>0</v>
      </c>
      <c r="BK215" s="615">
        <v>79000</v>
      </c>
      <c r="BL215" s="600">
        <v>0</v>
      </c>
      <c r="BM215" s="604"/>
      <c r="BN215" s="605">
        <f t="shared" si="299"/>
        <v>294</v>
      </c>
      <c r="BO215" s="606">
        <f t="shared" si="300"/>
        <v>328</v>
      </c>
      <c r="BP215" s="607">
        <f t="shared" si="301"/>
        <v>628</v>
      </c>
      <c r="BQ215" s="606">
        <f t="shared" si="302"/>
        <v>568</v>
      </c>
      <c r="BR215" s="607">
        <f t="shared" si="303"/>
        <v>727</v>
      </c>
      <c r="BS215" s="606">
        <f t="shared" si="304"/>
        <v>611</v>
      </c>
      <c r="BT215" s="607">
        <f t="shared" si="305"/>
        <v>731</v>
      </c>
      <c r="BU215" s="606">
        <f t="shared" si="306"/>
        <v>661</v>
      </c>
      <c r="BV215" s="607">
        <f t="shared" si="307"/>
        <v>0</v>
      </c>
      <c r="BW215" s="608">
        <f t="shared" si="308"/>
        <v>18</v>
      </c>
      <c r="BX215" s="607">
        <f t="shared" si="309"/>
        <v>0</v>
      </c>
      <c r="BY215" s="608">
        <f t="shared" si="310"/>
        <v>0</v>
      </c>
      <c r="BZ215" s="607">
        <f t="shared" si="311"/>
        <v>7949.2380952380954</v>
      </c>
      <c r="CA215" s="608">
        <f t="shared" si="312"/>
        <v>7567.7774390243903</v>
      </c>
      <c r="CB215" s="607">
        <f t="shared" si="313"/>
        <v>6413.490445859873</v>
      </c>
      <c r="CC215" s="608">
        <f t="shared" si="314"/>
        <v>6455.1126760563384</v>
      </c>
      <c r="CD215" s="607">
        <f t="shared" si="315"/>
        <v>5596.8638239339753</v>
      </c>
      <c r="CE215" s="608">
        <f t="shared" si="316"/>
        <v>5713.7152209492633</v>
      </c>
      <c r="CF215" s="607">
        <f t="shared" si="317"/>
        <v>4421.8331053351576</v>
      </c>
      <c r="CG215" s="608">
        <f t="shared" si="318"/>
        <v>4500.5869894099851</v>
      </c>
      <c r="CH215" s="607">
        <f t="shared" si="319"/>
        <v>0</v>
      </c>
      <c r="CI215" s="608">
        <f t="shared" si="320"/>
        <v>4388.8888888888887</v>
      </c>
      <c r="CJ215" s="607">
        <f t="shared" si="321"/>
        <v>0</v>
      </c>
      <c r="CK215" s="608">
        <f t="shared" si="322"/>
        <v>0</v>
      </c>
      <c r="CL215" s="609">
        <f t="shared" si="323"/>
        <v>71543.142857142855</v>
      </c>
      <c r="CM215" s="608">
        <f t="shared" si="324"/>
        <v>68109.996951219509</v>
      </c>
      <c r="CN215" s="610">
        <f t="shared" si="325"/>
        <v>57721.41401273886</v>
      </c>
      <c r="CO215" s="606">
        <f t="shared" si="326"/>
        <v>58096.014084507042</v>
      </c>
      <c r="CP215" s="607">
        <f t="shared" si="327"/>
        <v>50371.77441540578</v>
      </c>
      <c r="CQ215" s="606">
        <f t="shared" si="328"/>
        <v>51423.43698854337</v>
      </c>
      <c r="CR215" s="607">
        <f t="shared" si="329"/>
        <v>39796.497948016418</v>
      </c>
      <c r="CS215" s="606">
        <f t="shared" si="330"/>
        <v>40505.28290468987</v>
      </c>
      <c r="CT215" s="607">
        <f t="shared" si="331"/>
        <v>0</v>
      </c>
      <c r="CU215" s="608">
        <f t="shared" si="332"/>
        <v>39500</v>
      </c>
      <c r="CV215" s="610">
        <f t="shared" si="333"/>
        <v>0</v>
      </c>
      <c r="CW215" s="608">
        <f t="shared" si="334"/>
        <v>0</v>
      </c>
      <c r="CX215" s="610">
        <f t="shared" si="335"/>
        <v>51605.089372696923</v>
      </c>
      <c r="CY215" s="611">
        <f t="shared" si="336"/>
        <v>52163.425509652247</v>
      </c>
      <c r="CZ215" s="605">
        <f t="shared" si="337"/>
        <v>32</v>
      </c>
      <c r="DA215" s="612">
        <f t="shared" si="338"/>
        <v>35</v>
      </c>
      <c r="DB215" s="607">
        <f t="shared" si="339"/>
        <v>68</v>
      </c>
      <c r="DC215" s="606">
        <f t="shared" si="340"/>
        <v>62</v>
      </c>
      <c r="DD215" s="607">
        <f t="shared" si="341"/>
        <v>79</v>
      </c>
      <c r="DE215" s="606">
        <f t="shared" si="342"/>
        <v>67</v>
      </c>
      <c r="DF215" s="607">
        <f t="shared" si="343"/>
        <v>81</v>
      </c>
      <c r="DG215" s="606">
        <f t="shared" si="344"/>
        <v>73</v>
      </c>
      <c r="DH215" s="607">
        <f t="shared" si="345"/>
        <v>0</v>
      </c>
      <c r="DI215" s="608">
        <f t="shared" si="346"/>
        <v>2</v>
      </c>
      <c r="DJ215" s="607">
        <f t="shared" si="347"/>
        <v>0</v>
      </c>
      <c r="DK215" s="608">
        <f t="shared" si="348"/>
        <v>0</v>
      </c>
      <c r="DL215" s="607">
        <f t="shared" si="349"/>
        <v>260</v>
      </c>
      <c r="DM215" s="608">
        <f t="shared" si="350"/>
        <v>239</v>
      </c>
      <c r="DN215" s="607">
        <f t="shared" si="351"/>
        <v>2289380.5714285714</v>
      </c>
      <c r="DO215" s="612">
        <f t="shared" si="352"/>
        <v>2383849.8932926827</v>
      </c>
      <c r="DP215" s="607">
        <f t="shared" si="353"/>
        <v>3925056.1528662425</v>
      </c>
      <c r="DQ215" s="606">
        <f t="shared" si="354"/>
        <v>3601952.8732394367</v>
      </c>
      <c r="DR215" s="607">
        <f t="shared" si="355"/>
        <v>3979370.1788170566</v>
      </c>
      <c r="DS215" s="606">
        <f t="shared" si="356"/>
        <v>3445370.2782324059</v>
      </c>
      <c r="DT215" s="607">
        <f t="shared" si="357"/>
        <v>3223516.33378933</v>
      </c>
      <c r="DU215" s="606">
        <f t="shared" si="358"/>
        <v>2956885.6520423605</v>
      </c>
      <c r="DV215" s="607">
        <f t="shared" si="359"/>
        <v>0</v>
      </c>
      <c r="DW215" s="608">
        <f t="shared" si="360"/>
        <v>79000</v>
      </c>
      <c r="DX215" s="607">
        <f t="shared" si="361"/>
        <v>0</v>
      </c>
      <c r="DY215" s="608">
        <f t="shared" si="362"/>
        <v>0</v>
      </c>
      <c r="DZ215" s="607">
        <f t="shared" si="363"/>
        <v>13417323.236901199</v>
      </c>
      <c r="EA215" s="608">
        <f t="shared" si="364"/>
        <v>12467058.696806887</v>
      </c>
    </row>
    <row r="216" spans="1:131" x14ac:dyDescent="0.2">
      <c r="A216" s="450" t="s">
        <v>37</v>
      </c>
      <c r="B216" s="448" t="s">
        <v>834</v>
      </c>
      <c r="C216" s="557"/>
      <c r="D216" s="461">
        <v>160038</v>
      </c>
      <c r="E216" s="449">
        <v>4</v>
      </c>
      <c r="F216" s="598">
        <v>47</v>
      </c>
      <c r="G216" s="599">
        <v>44</v>
      </c>
      <c r="H216" s="600"/>
      <c r="I216" s="601"/>
      <c r="J216" s="600">
        <v>3</v>
      </c>
      <c r="K216" s="599"/>
      <c r="L216" s="600"/>
      <c r="M216" s="601">
        <v>5</v>
      </c>
      <c r="N216" s="600">
        <v>55</v>
      </c>
      <c r="O216" s="599">
        <v>59</v>
      </c>
      <c r="P216" s="600"/>
      <c r="Q216" s="601">
        <v>0</v>
      </c>
      <c r="R216" s="600">
        <v>9</v>
      </c>
      <c r="S216" s="599"/>
      <c r="T216" s="600"/>
      <c r="U216" s="601">
        <v>11</v>
      </c>
      <c r="V216" s="600">
        <v>85</v>
      </c>
      <c r="W216" s="599">
        <v>71</v>
      </c>
      <c r="X216" s="600"/>
      <c r="Y216" s="601"/>
      <c r="Z216" s="600">
        <v>11</v>
      </c>
      <c r="AA216" s="599"/>
      <c r="AB216" s="600"/>
      <c r="AC216" s="601">
        <v>12</v>
      </c>
      <c r="AD216" s="600">
        <v>48</v>
      </c>
      <c r="AE216" s="599">
        <v>45</v>
      </c>
      <c r="AF216" s="600"/>
      <c r="AG216" s="601"/>
      <c r="AH216" s="600">
        <v>4</v>
      </c>
      <c r="AI216" s="599"/>
      <c r="AJ216" s="600"/>
      <c r="AK216" s="601">
        <v>5</v>
      </c>
      <c r="AL216" s="600">
        <v>0</v>
      </c>
      <c r="AM216" s="599"/>
      <c r="AN216" s="600"/>
      <c r="AO216" s="601"/>
      <c r="AP216" s="600">
        <v>0</v>
      </c>
      <c r="AQ216" s="599"/>
      <c r="AR216" s="600"/>
      <c r="AS216" s="601"/>
      <c r="AT216" s="600">
        <v>0</v>
      </c>
      <c r="AU216" s="599"/>
      <c r="AV216" s="600"/>
      <c r="AW216" s="601"/>
      <c r="AX216" s="600">
        <v>0</v>
      </c>
      <c r="AY216" s="599"/>
      <c r="AZ216" s="600"/>
      <c r="BA216" s="601"/>
      <c r="BB216" s="602">
        <v>3621070</v>
      </c>
      <c r="BC216" s="599">
        <v>3598422</v>
      </c>
      <c r="BD216" s="600">
        <v>3714541</v>
      </c>
      <c r="BE216" s="599">
        <v>4008300</v>
      </c>
      <c r="BF216" s="600">
        <v>4755463</v>
      </c>
      <c r="BG216" s="599">
        <v>4153389</v>
      </c>
      <c r="BH216" s="600">
        <v>2182220</v>
      </c>
      <c r="BI216" s="599">
        <v>2125312</v>
      </c>
      <c r="BJ216" s="600">
        <v>0</v>
      </c>
      <c r="BK216" s="615"/>
      <c r="BL216" s="600">
        <v>0</v>
      </c>
      <c r="BM216" s="604"/>
      <c r="BN216" s="605">
        <f t="shared" si="299"/>
        <v>456</v>
      </c>
      <c r="BO216" s="606">
        <f t="shared" si="300"/>
        <v>456</v>
      </c>
      <c r="BP216" s="607">
        <f t="shared" si="301"/>
        <v>594</v>
      </c>
      <c r="BQ216" s="606">
        <f t="shared" si="302"/>
        <v>663</v>
      </c>
      <c r="BR216" s="607">
        <f t="shared" si="303"/>
        <v>886</v>
      </c>
      <c r="BS216" s="606">
        <f t="shared" si="304"/>
        <v>783</v>
      </c>
      <c r="BT216" s="607">
        <f t="shared" si="305"/>
        <v>476</v>
      </c>
      <c r="BU216" s="606">
        <f t="shared" si="306"/>
        <v>465</v>
      </c>
      <c r="BV216" s="607">
        <f t="shared" si="307"/>
        <v>0</v>
      </c>
      <c r="BW216" s="608">
        <f t="shared" si="308"/>
        <v>0</v>
      </c>
      <c r="BX216" s="607">
        <f t="shared" si="309"/>
        <v>0</v>
      </c>
      <c r="BY216" s="608">
        <f t="shared" si="310"/>
        <v>0</v>
      </c>
      <c r="BZ216" s="607">
        <f t="shared" si="311"/>
        <v>7940.9429824561403</v>
      </c>
      <c r="CA216" s="608">
        <f t="shared" si="312"/>
        <v>7891.2763157894733</v>
      </c>
      <c r="CB216" s="607">
        <f t="shared" si="313"/>
        <v>6253.4360269360268</v>
      </c>
      <c r="CC216" s="608">
        <f t="shared" si="314"/>
        <v>6045.7013574660632</v>
      </c>
      <c r="CD216" s="607">
        <f t="shared" si="315"/>
        <v>5367.3397291196388</v>
      </c>
      <c r="CE216" s="608">
        <f t="shared" si="316"/>
        <v>5304.4559386973178</v>
      </c>
      <c r="CF216" s="607">
        <f t="shared" si="317"/>
        <v>4584.4957983193281</v>
      </c>
      <c r="CG216" s="608">
        <f t="shared" si="318"/>
        <v>4570.5634408602155</v>
      </c>
      <c r="CH216" s="607">
        <f t="shared" si="319"/>
        <v>0</v>
      </c>
      <c r="CI216" s="608">
        <f t="shared" si="320"/>
        <v>0</v>
      </c>
      <c r="CJ216" s="607">
        <f t="shared" si="321"/>
        <v>0</v>
      </c>
      <c r="CK216" s="608">
        <f t="shared" si="322"/>
        <v>0</v>
      </c>
      <c r="CL216" s="609">
        <f t="shared" si="323"/>
        <v>71468.486842105267</v>
      </c>
      <c r="CM216" s="608">
        <f t="shared" si="324"/>
        <v>71021.486842105252</v>
      </c>
      <c r="CN216" s="610">
        <f t="shared" si="325"/>
        <v>56280.92424242424</v>
      </c>
      <c r="CO216" s="606">
        <f t="shared" si="326"/>
        <v>54411.312217194572</v>
      </c>
      <c r="CP216" s="607">
        <f t="shared" si="327"/>
        <v>48306.057562076749</v>
      </c>
      <c r="CQ216" s="606">
        <f t="shared" si="328"/>
        <v>47740.103448275862</v>
      </c>
      <c r="CR216" s="607">
        <f t="shared" si="329"/>
        <v>41260.462184873955</v>
      </c>
      <c r="CS216" s="606">
        <f t="shared" si="330"/>
        <v>41135.070967741936</v>
      </c>
      <c r="CT216" s="607">
        <f t="shared" si="331"/>
        <v>0</v>
      </c>
      <c r="CU216" s="608">
        <f t="shared" si="332"/>
        <v>0</v>
      </c>
      <c r="CV216" s="610">
        <f t="shared" si="333"/>
        <v>0</v>
      </c>
      <c r="CW216" s="608">
        <f t="shared" si="334"/>
        <v>0</v>
      </c>
      <c r="CX216" s="610">
        <f t="shared" si="335"/>
        <v>53276.06508852377</v>
      </c>
      <c r="CY216" s="611">
        <f t="shared" si="336"/>
        <v>52809.630337542745</v>
      </c>
      <c r="CZ216" s="605">
        <f t="shared" si="337"/>
        <v>50</v>
      </c>
      <c r="DA216" s="612">
        <f t="shared" si="338"/>
        <v>49</v>
      </c>
      <c r="DB216" s="607">
        <f t="shared" si="339"/>
        <v>64</v>
      </c>
      <c r="DC216" s="606">
        <f t="shared" si="340"/>
        <v>70</v>
      </c>
      <c r="DD216" s="607">
        <f t="shared" si="341"/>
        <v>96</v>
      </c>
      <c r="DE216" s="606">
        <f t="shared" si="342"/>
        <v>83</v>
      </c>
      <c r="DF216" s="607">
        <f t="shared" si="343"/>
        <v>52</v>
      </c>
      <c r="DG216" s="606">
        <f t="shared" si="344"/>
        <v>50</v>
      </c>
      <c r="DH216" s="607">
        <f t="shared" si="345"/>
        <v>0</v>
      </c>
      <c r="DI216" s="608">
        <f t="shared" si="346"/>
        <v>0</v>
      </c>
      <c r="DJ216" s="607">
        <f t="shared" si="347"/>
        <v>0</v>
      </c>
      <c r="DK216" s="608">
        <f t="shared" si="348"/>
        <v>0</v>
      </c>
      <c r="DL216" s="607">
        <f t="shared" si="349"/>
        <v>262</v>
      </c>
      <c r="DM216" s="608">
        <f t="shared" si="350"/>
        <v>252</v>
      </c>
      <c r="DN216" s="607">
        <f t="shared" si="351"/>
        <v>3573424.3421052634</v>
      </c>
      <c r="DO216" s="612">
        <f t="shared" si="352"/>
        <v>3480052.8552631573</v>
      </c>
      <c r="DP216" s="607">
        <f t="shared" si="353"/>
        <v>3601979.1515151514</v>
      </c>
      <c r="DQ216" s="606">
        <f t="shared" si="354"/>
        <v>3808791.8552036202</v>
      </c>
      <c r="DR216" s="607">
        <f t="shared" si="355"/>
        <v>4637381.5259593679</v>
      </c>
      <c r="DS216" s="606">
        <f t="shared" si="356"/>
        <v>3962428.5862068967</v>
      </c>
      <c r="DT216" s="607">
        <f t="shared" si="357"/>
        <v>2145544.0336134457</v>
      </c>
      <c r="DU216" s="606">
        <f t="shared" si="358"/>
        <v>2056753.5483870967</v>
      </c>
      <c r="DV216" s="607">
        <f t="shared" si="359"/>
        <v>0</v>
      </c>
      <c r="DW216" s="608">
        <f t="shared" si="360"/>
        <v>0</v>
      </c>
      <c r="DX216" s="607">
        <f t="shared" si="361"/>
        <v>0</v>
      </c>
      <c r="DY216" s="608">
        <f t="shared" si="362"/>
        <v>0</v>
      </c>
      <c r="DZ216" s="607">
        <f t="shared" si="363"/>
        <v>13958329.053193228</v>
      </c>
      <c r="EA216" s="608">
        <f t="shared" si="364"/>
        <v>13308026.845060771</v>
      </c>
    </row>
    <row r="217" spans="1:131" x14ac:dyDescent="0.2">
      <c r="A217" s="450" t="s">
        <v>37</v>
      </c>
      <c r="B217" s="451" t="s">
        <v>835</v>
      </c>
      <c r="C217" s="557" t="s">
        <v>619</v>
      </c>
      <c r="D217" s="461">
        <v>160630</v>
      </c>
      <c r="E217" s="449">
        <v>4</v>
      </c>
      <c r="F217" s="598">
        <v>15</v>
      </c>
      <c r="G217" s="599">
        <v>9</v>
      </c>
      <c r="H217" s="600"/>
      <c r="I217" s="601"/>
      <c r="J217" s="600">
        <v>1</v>
      </c>
      <c r="K217" s="599">
        <v>11</v>
      </c>
      <c r="L217" s="600"/>
      <c r="M217" s="601">
        <v>5</v>
      </c>
      <c r="N217" s="600">
        <v>22</v>
      </c>
      <c r="O217" s="599">
        <v>6</v>
      </c>
      <c r="P217" s="600"/>
      <c r="Q217" s="601"/>
      <c r="R217" s="600">
        <v>0</v>
      </c>
      <c r="S217" s="599">
        <v>20</v>
      </c>
      <c r="T217" s="600"/>
      <c r="U217" s="601">
        <v>3</v>
      </c>
      <c r="V217" s="600">
        <v>60</v>
      </c>
      <c r="W217" s="599">
        <v>7</v>
      </c>
      <c r="X217" s="600"/>
      <c r="Y217" s="601"/>
      <c r="Z217" s="600">
        <v>4</v>
      </c>
      <c r="AA217" s="599">
        <v>44</v>
      </c>
      <c r="AB217" s="600"/>
      <c r="AC217" s="601">
        <v>10</v>
      </c>
      <c r="AD217" s="600">
        <v>7</v>
      </c>
      <c r="AE217" s="599">
        <v>3</v>
      </c>
      <c r="AF217" s="600"/>
      <c r="AG217" s="601"/>
      <c r="AH217" s="600">
        <v>1</v>
      </c>
      <c r="AI217" s="599"/>
      <c r="AJ217" s="600"/>
      <c r="AK217" s="601">
        <v>1</v>
      </c>
      <c r="AL217" s="600">
        <v>0</v>
      </c>
      <c r="AM217" s="599">
        <v>6</v>
      </c>
      <c r="AN217" s="600"/>
      <c r="AO217" s="601"/>
      <c r="AP217" s="600">
        <v>0</v>
      </c>
      <c r="AQ217" s="599"/>
      <c r="AR217" s="600"/>
      <c r="AS217" s="601"/>
      <c r="AT217" s="600">
        <v>0</v>
      </c>
      <c r="AU217" s="599"/>
      <c r="AV217" s="600"/>
      <c r="AW217" s="601"/>
      <c r="AX217" s="600">
        <v>0</v>
      </c>
      <c r="AY217" s="599"/>
      <c r="AZ217" s="600"/>
      <c r="BA217" s="601"/>
      <c r="BB217" s="602">
        <v>1002002</v>
      </c>
      <c r="BC217" s="599">
        <v>1600712</v>
      </c>
      <c r="BD217" s="600">
        <v>1186372</v>
      </c>
      <c r="BE217" s="599">
        <v>1614534</v>
      </c>
      <c r="BF217" s="600">
        <v>3246304</v>
      </c>
      <c r="BG217" s="599">
        <v>1788551</v>
      </c>
      <c r="BH217" s="600">
        <v>327497</v>
      </c>
      <c r="BI217" s="599">
        <v>159363</v>
      </c>
      <c r="BJ217" s="600">
        <v>0</v>
      </c>
      <c r="BK217" s="615">
        <v>133000</v>
      </c>
      <c r="BL217" s="600">
        <v>0</v>
      </c>
      <c r="BM217" s="604"/>
      <c r="BN217" s="605">
        <f t="shared" si="299"/>
        <v>146</v>
      </c>
      <c r="BO217" s="606">
        <f t="shared" si="300"/>
        <v>262</v>
      </c>
      <c r="BP217" s="607">
        <f t="shared" si="301"/>
        <v>198</v>
      </c>
      <c r="BQ217" s="606">
        <f t="shared" si="302"/>
        <v>310</v>
      </c>
      <c r="BR217" s="607">
        <f t="shared" si="303"/>
        <v>584</v>
      </c>
      <c r="BS217" s="606">
        <f t="shared" si="304"/>
        <v>667</v>
      </c>
      <c r="BT217" s="607">
        <f t="shared" si="305"/>
        <v>74</v>
      </c>
      <c r="BU217" s="606">
        <f t="shared" si="306"/>
        <v>39</v>
      </c>
      <c r="BV217" s="607">
        <f t="shared" si="307"/>
        <v>0</v>
      </c>
      <c r="BW217" s="608">
        <f t="shared" si="308"/>
        <v>54</v>
      </c>
      <c r="BX217" s="607">
        <f t="shared" si="309"/>
        <v>0</v>
      </c>
      <c r="BY217" s="608">
        <f t="shared" si="310"/>
        <v>0</v>
      </c>
      <c r="BZ217" s="607">
        <f t="shared" si="311"/>
        <v>6863.0273972602736</v>
      </c>
      <c r="CA217" s="608">
        <f t="shared" si="312"/>
        <v>6109.5877862595416</v>
      </c>
      <c r="CB217" s="607">
        <f t="shared" si="313"/>
        <v>5991.7777777777774</v>
      </c>
      <c r="CC217" s="608">
        <f t="shared" si="314"/>
        <v>5208.1741935483869</v>
      </c>
      <c r="CD217" s="607">
        <f t="shared" si="315"/>
        <v>5558.7397260273974</v>
      </c>
      <c r="CE217" s="608">
        <f t="shared" si="316"/>
        <v>2681.4857571214393</v>
      </c>
      <c r="CF217" s="607">
        <f t="shared" si="317"/>
        <v>4425.635135135135</v>
      </c>
      <c r="CG217" s="608">
        <f t="shared" si="318"/>
        <v>4086.2307692307691</v>
      </c>
      <c r="CH217" s="607">
        <f t="shared" si="319"/>
        <v>0</v>
      </c>
      <c r="CI217" s="608">
        <f t="shared" si="320"/>
        <v>2462.962962962963</v>
      </c>
      <c r="CJ217" s="607">
        <f t="shared" si="321"/>
        <v>0</v>
      </c>
      <c r="CK217" s="608">
        <f t="shared" si="322"/>
        <v>0</v>
      </c>
      <c r="CL217" s="609">
        <f t="shared" si="323"/>
        <v>61767.246575342462</v>
      </c>
      <c r="CM217" s="608">
        <f t="shared" si="324"/>
        <v>54986.290076335878</v>
      </c>
      <c r="CN217" s="610">
        <f t="shared" si="325"/>
        <v>53926</v>
      </c>
      <c r="CO217" s="606">
        <f t="shared" si="326"/>
        <v>46873.567741935483</v>
      </c>
      <c r="CP217" s="607">
        <f t="shared" si="327"/>
        <v>50028.65753424658</v>
      </c>
      <c r="CQ217" s="606">
        <f t="shared" si="328"/>
        <v>24133.371814092952</v>
      </c>
      <c r="CR217" s="607">
        <f t="shared" si="329"/>
        <v>39830.716216216213</v>
      </c>
      <c r="CS217" s="606">
        <f t="shared" si="330"/>
        <v>36776.076923076922</v>
      </c>
      <c r="CT217" s="607">
        <f t="shared" si="331"/>
        <v>0</v>
      </c>
      <c r="CU217" s="608">
        <f t="shared" si="332"/>
        <v>22166.666666666668</v>
      </c>
      <c r="CV217" s="610">
        <f t="shared" si="333"/>
        <v>0</v>
      </c>
      <c r="CW217" s="608">
        <f t="shared" si="334"/>
        <v>0</v>
      </c>
      <c r="CX217" s="610">
        <f t="shared" si="335"/>
        <v>51773.88870115445</v>
      </c>
      <c r="CY217" s="611">
        <f t="shared" si="336"/>
        <v>35889.845638212035</v>
      </c>
      <c r="CZ217" s="605">
        <f t="shared" si="337"/>
        <v>16</v>
      </c>
      <c r="DA217" s="612">
        <f t="shared" si="338"/>
        <v>25</v>
      </c>
      <c r="DB217" s="607">
        <f t="shared" si="339"/>
        <v>22</v>
      </c>
      <c r="DC217" s="606">
        <f t="shared" si="340"/>
        <v>29</v>
      </c>
      <c r="DD217" s="607">
        <f t="shared" si="341"/>
        <v>64</v>
      </c>
      <c r="DE217" s="606">
        <f t="shared" si="342"/>
        <v>61</v>
      </c>
      <c r="DF217" s="607">
        <f t="shared" si="343"/>
        <v>8</v>
      </c>
      <c r="DG217" s="606">
        <f t="shared" si="344"/>
        <v>4</v>
      </c>
      <c r="DH217" s="607">
        <f t="shared" si="345"/>
        <v>0</v>
      </c>
      <c r="DI217" s="608">
        <f t="shared" si="346"/>
        <v>6</v>
      </c>
      <c r="DJ217" s="607">
        <f t="shared" si="347"/>
        <v>0</v>
      </c>
      <c r="DK217" s="608">
        <f t="shared" si="348"/>
        <v>0</v>
      </c>
      <c r="DL217" s="607">
        <f t="shared" si="349"/>
        <v>110</v>
      </c>
      <c r="DM217" s="608">
        <f t="shared" si="350"/>
        <v>125</v>
      </c>
      <c r="DN217" s="607">
        <f t="shared" si="351"/>
        <v>988275.94520547939</v>
      </c>
      <c r="DO217" s="612">
        <f t="shared" si="352"/>
        <v>1374657.2519083968</v>
      </c>
      <c r="DP217" s="607">
        <f t="shared" si="353"/>
        <v>1186372</v>
      </c>
      <c r="DQ217" s="606">
        <f t="shared" si="354"/>
        <v>1359333.4645161291</v>
      </c>
      <c r="DR217" s="607">
        <f t="shared" si="355"/>
        <v>3201834.0821917811</v>
      </c>
      <c r="DS217" s="606">
        <f t="shared" si="356"/>
        <v>1472135.6806596701</v>
      </c>
      <c r="DT217" s="607">
        <f t="shared" si="357"/>
        <v>318645.7297297297</v>
      </c>
      <c r="DU217" s="606">
        <f t="shared" si="358"/>
        <v>147104.30769230769</v>
      </c>
      <c r="DV217" s="607">
        <f t="shared" si="359"/>
        <v>0</v>
      </c>
      <c r="DW217" s="608">
        <f t="shared" si="360"/>
        <v>133000</v>
      </c>
      <c r="DX217" s="607">
        <f t="shared" si="361"/>
        <v>0</v>
      </c>
      <c r="DY217" s="608">
        <f t="shared" si="362"/>
        <v>0</v>
      </c>
      <c r="DZ217" s="607">
        <f t="shared" si="363"/>
        <v>5695127.7571269898</v>
      </c>
      <c r="EA217" s="608">
        <f t="shared" si="364"/>
        <v>4486230.7047765041</v>
      </c>
    </row>
    <row r="218" spans="1:131" x14ac:dyDescent="0.2">
      <c r="A218" s="450" t="s">
        <v>37</v>
      </c>
      <c r="B218" s="451" t="s">
        <v>836</v>
      </c>
      <c r="C218" s="558"/>
      <c r="D218" s="461">
        <v>159382</v>
      </c>
      <c r="E218" s="462">
        <v>6</v>
      </c>
      <c r="F218" s="598">
        <v>12</v>
      </c>
      <c r="G218" s="599">
        <v>11</v>
      </c>
      <c r="H218" s="600"/>
      <c r="I218" s="601"/>
      <c r="J218" s="600">
        <v>5</v>
      </c>
      <c r="K218" s="599"/>
      <c r="L218" s="600"/>
      <c r="M218" s="601">
        <v>5</v>
      </c>
      <c r="N218" s="600">
        <v>28</v>
      </c>
      <c r="O218" s="599">
        <v>27</v>
      </c>
      <c r="P218" s="600"/>
      <c r="Q218" s="601"/>
      <c r="R218" s="600">
        <v>5</v>
      </c>
      <c r="S218" s="599"/>
      <c r="T218" s="600"/>
      <c r="U218" s="601">
        <v>5</v>
      </c>
      <c r="V218" s="600">
        <v>34</v>
      </c>
      <c r="W218" s="599">
        <v>26</v>
      </c>
      <c r="X218" s="600"/>
      <c r="Y218" s="601"/>
      <c r="Z218" s="600">
        <v>1</v>
      </c>
      <c r="AA218" s="599"/>
      <c r="AB218" s="600"/>
      <c r="AC218" s="601">
        <v>1</v>
      </c>
      <c r="AD218" s="600">
        <v>10</v>
      </c>
      <c r="AE218" s="599">
        <v>11</v>
      </c>
      <c r="AF218" s="600"/>
      <c r="AG218" s="601"/>
      <c r="AH218" s="600">
        <v>0</v>
      </c>
      <c r="AI218" s="599"/>
      <c r="AJ218" s="600"/>
      <c r="AK218" s="601"/>
      <c r="AL218" s="600">
        <v>0</v>
      </c>
      <c r="AM218" s="599"/>
      <c r="AN218" s="600"/>
      <c r="AO218" s="601"/>
      <c r="AP218" s="600">
        <v>0</v>
      </c>
      <c r="AQ218" s="599"/>
      <c r="AR218" s="600"/>
      <c r="AS218" s="601"/>
      <c r="AT218" s="600">
        <v>0</v>
      </c>
      <c r="AU218" s="599"/>
      <c r="AV218" s="600"/>
      <c r="AW218" s="601"/>
      <c r="AX218" s="600">
        <v>0</v>
      </c>
      <c r="AY218" s="599"/>
      <c r="AZ218" s="600"/>
      <c r="BA218" s="601"/>
      <c r="BB218" s="602">
        <v>1132072</v>
      </c>
      <c r="BC218" s="599">
        <v>1073793</v>
      </c>
      <c r="BD218" s="600">
        <v>1649611</v>
      </c>
      <c r="BE218" s="599">
        <v>1588270</v>
      </c>
      <c r="BF218" s="600">
        <v>1620280</v>
      </c>
      <c r="BG218" s="599">
        <v>1211876</v>
      </c>
      <c r="BH218" s="600">
        <v>392240</v>
      </c>
      <c r="BI218" s="599">
        <v>472241</v>
      </c>
      <c r="BJ218" s="600">
        <v>0</v>
      </c>
      <c r="BK218" s="615"/>
      <c r="BL218" s="600">
        <v>0</v>
      </c>
      <c r="BM218" s="604"/>
      <c r="BN218" s="605">
        <f t="shared" si="299"/>
        <v>163</v>
      </c>
      <c r="BO218" s="606">
        <f t="shared" si="300"/>
        <v>159</v>
      </c>
      <c r="BP218" s="607">
        <f t="shared" si="301"/>
        <v>307</v>
      </c>
      <c r="BQ218" s="606">
        <f t="shared" si="302"/>
        <v>303</v>
      </c>
      <c r="BR218" s="607">
        <f t="shared" si="303"/>
        <v>317</v>
      </c>
      <c r="BS218" s="606">
        <f t="shared" si="304"/>
        <v>246</v>
      </c>
      <c r="BT218" s="607">
        <f t="shared" si="305"/>
        <v>90</v>
      </c>
      <c r="BU218" s="606">
        <f t="shared" si="306"/>
        <v>99</v>
      </c>
      <c r="BV218" s="607">
        <f t="shared" si="307"/>
        <v>0</v>
      </c>
      <c r="BW218" s="608">
        <f t="shared" si="308"/>
        <v>0</v>
      </c>
      <c r="BX218" s="607">
        <f t="shared" si="309"/>
        <v>0</v>
      </c>
      <c r="BY218" s="608">
        <f t="shared" si="310"/>
        <v>0</v>
      </c>
      <c r="BZ218" s="607">
        <f t="shared" si="311"/>
        <v>6945.2269938650306</v>
      </c>
      <c r="CA218" s="608">
        <f t="shared" si="312"/>
        <v>6753.4150943396226</v>
      </c>
      <c r="CB218" s="607">
        <f t="shared" si="313"/>
        <v>5373.325732899023</v>
      </c>
      <c r="CC218" s="608">
        <f t="shared" si="314"/>
        <v>5241.8151815181518</v>
      </c>
      <c r="CD218" s="607">
        <f t="shared" si="315"/>
        <v>5111.2933753943216</v>
      </c>
      <c r="CE218" s="608">
        <f t="shared" si="316"/>
        <v>4926.3252032520322</v>
      </c>
      <c r="CF218" s="607">
        <f t="shared" si="317"/>
        <v>4358.2222222222226</v>
      </c>
      <c r="CG218" s="608">
        <f t="shared" si="318"/>
        <v>4770.1111111111113</v>
      </c>
      <c r="CH218" s="607">
        <f t="shared" si="319"/>
        <v>0</v>
      </c>
      <c r="CI218" s="608">
        <f t="shared" si="320"/>
        <v>0</v>
      </c>
      <c r="CJ218" s="607">
        <f t="shared" si="321"/>
        <v>0</v>
      </c>
      <c r="CK218" s="608">
        <f t="shared" si="322"/>
        <v>0</v>
      </c>
      <c r="CL218" s="609">
        <f t="shared" si="323"/>
        <v>62507.042944785273</v>
      </c>
      <c r="CM218" s="608">
        <f t="shared" si="324"/>
        <v>60780.735849056604</v>
      </c>
      <c r="CN218" s="610">
        <f t="shared" si="325"/>
        <v>48359.931596091206</v>
      </c>
      <c r="CO218" s="606">
        <f t="shared" si="326"/>
        <v>47176.336633663363</v>
      </c>
      <c r="CP218" s="607">
        <f t="shared" si="327"/>
        <v>46001.640378548895</v>
      </c>
      <c r="CQ218" s="606">
        <f t="shared" si="328"/>
        <v>44336.92682926829</v>
      </c>
      <c r="CR218" s="607">
        <f t="shared" si="329"/>
        <v>39224</v>
      </c>
      <c r="CS218" s="606">
        <f t="shared" si="330"/>
        <v>42931</v>
      </c>
      <c r="CT218" s="607">
        <f t="shared" si="331"/>
        <v>0</v>
      </c>
      <c r="CU218" s="608">
        <f t="shared" si="332"/>
        <v>0</v>
      </c>
      <c r="CV218" s="610">
        <f t="shared" si="333"/>
        <v>0</v>
      </c>
      <c r="CW218" s="608">
        <f t="shared" si="334"/>
        <v>0</v>
      </c>
      <c r="CX218" s="610">
        <f t="shared" si="335"/>
        <v>49060.99879980601</v>
      </c>
      <c r="CY218" s="611">
        <f t="shared" si="336"/>
        <v>48272.936863399736</v>
      </c>
      <c r="CZ218" s="605">
        <f t="shared" si="337"/>
        <v>17</v>
      </c>
      <c r="DA218" s="612">
        <f t="shared" si="338"/>
        <v>16</v>
      </c>
      <c r="DB218" s="607">
        <f t="shared" si="339"/>
        <v>33</v>
      </c>
      <c r="DC218" s="606">
        <f t="shared" si="340"/>
        <v>32</v>
      </c>
      <c r="DD218" s="607">
        <f t="shared" si="341"/>
        <v>35</v>
      </c>
      <c r="DE218" s="606">
        <f t="shared" si="342"/>
        <v>27</v>
      </c>
      <c r="DF218" s="607">
        <f t="shared" si="343"/>
        <v>10</v>
      </c>
      <c r="DG218" s="606">
        <f t="shared" si="344"/>
        <v>11</v>
      </c>
      <c r="DH218" s="607">
        <f t="shared" si="345"/>
        <v>0</v>
      </c>
      <c r="DI218" s="608">
        <f t="shared" si="346"/>
        <v>0</v>
      </c>
      <c r="DJ218" s="607">
        <f t="shared" si="347"/>
        <v>0</v>
      </c>
      <c r="DK218" s="608">
        <f t="shared" si="348"/>
        <v>0</v>
      </c>
      <c r="DL218" s="607">
        <f t="shared" si="349"/>
        <v>95</v>
      </c>
      <c r="DM218" s="608">
        <f t="shared" si="350"/>
        <v>86</v>
      </c>
      <c r="DN218" s="607">
        <f t="shared" si="351"/>
        <v>1062619.7300613497</v>
      </c>
      <c r="DO218" s="612">
        <f t="shared" si="352"/>
        <v>972491.77358490566</v>
      </c>
      <c r="DP218" s="607">
        <f t="shared" si="353"/>
        <v>1595877.7426710099</v>
      </c>
      <c r="DQ218" s="606">
        <f t="shared" si="354"/>
        <v>1509642.7722772276</v>
      </c>
      <c r="DR218" s="607">
        <f t="shared" si="355"/>
        <v>1610057.4132492114</v>
      </c>
      <c r="DS218" s="606">
        <f t="shared" si="356"/>
        <v>1197097.0243902439</v>
      </c>
      <c r="DT218" s="607">
        <f t="shared" si="357"/>
        <v>392240</v>
      </c>
      <c r="DU218" s="606">
        <f t="shared" si="358"/>
        <v>472241</v>
      </c>
      <c r="DV218" s="607">
        <f t="shared" si="359"/>
        <v>0</v>
      </c>
      <c r="DW218" s="608">
        <f t="shared" si="360"/>
        <v>0</v>
      </c>
      <c r="DX218" s="607">
        <f t="shared" si="361"/>
        <v>0</v>
      </c>
      <c r="DY218" s="608">
        <f t="shared" si="362"/>
        <v>0</v>
      </c>
      <c r="DZ218" s="607">
        <f t="shared" si="363"/>
        <v>4660794.8859815709</v>
      </c>
      <c r="EA218" s="608">
        <f t="shared" si="364"/>
        <v>4151472.5702523775</v>
      </c>
    </row>
    <row r="219" spans="1:131" x14ac:dyDescent="0.2">
      <c r="A219" s="450" t="s">
        <v>37</v>
      </c>
      <c r="B219" s="453" t="s">
        <v>837</v>
      </c>
      <c r="C219" s="559"/>
      <c r="D219" s="461">
        <v>437103</v>
      </c>
      <c r="E219" s="463">
        <v>8</v>
      </c>
      <c r="F219" s="598">
        <v>3</v>
      </c>
      <c r="G219" s="599">
        <v>7</v>
      </c>
      <c r="H219" s="600"/>
      <c r="I219" s="601"/>
      <c r="J219" s="600">
        <v>0</v>
      </c>
      <c r="K219" s="599"/>
      <c r="L219" s="600"/>
      <c r="M219" s="601">
        <v>7</v>
      </c>
      <c r="N219" s="600">
        <v>40</v>
      </c>
      <c r="O219" s="599">
        <v>36</v>
      </c>
      <c r="P219" s="600"/>
      <c r="Q219" s="601"/>
      <c r="R219" s="600">
        <v>6</v>
      </c>
      <c r="S219" s="599"/>
      <c r="T219" s="600"/>
      <c r="U219" s="601"/>
      <c r="V219" s="600">
        <v>40</v>
      </c>
      <c r="W219" s="599">
        <v>40</v>
      </c>
      <c r="X219" s="600"/>
      <c r="Y219" s="601"/>
      <c r="Z219" s="600">
        <v>0</v>
      </c>
      <c r="AA219" s="599"/>
      <c r="AB219" s="600"/>
      <c r="AC219" s="601">
        <v>3</v>
      </c>
      <c r="AD219" s="600">
        <v>58</v>
      </c>
      <c r="AE219" s="599">
        <v>49</v>
      </c>
      <c r="AF219" s="600"/>
      <c r="AG219" s="601"/>
      <c r="AH219" s="600">
        <v>0</v>
      </c>
      <c r="AI219" s="599"/>
      <c r="AJ219" s="600"/>
      <c r="AK219" s="601">
        <v>6</v>
      </c>
      <c r="AL219" s="600">
        <v>0</v>
      </c>
      <c r="AM219" s="599">
        <v>1</v>
      </c>
      <c r="AN219" s="600"/>
      <c r="AO219" s="601"/>
      <c r="AP219" s="600">
        <v>0</v>
      </c>
      <c r="AQ219" s="599"/>
      <c r="AR219" s="600"/>
      <c r="AS219" s="601"/>
      <c r="AT219" s="600">
        <v>0</v>
      </c>
      <c r="AU219" s="599"/>
      <c r="AV219" s="600"/>
      <c r="AW219" s="601"/>
      <c r="AX219" s="600">
        <v>0</v>
      </c>
      <c r="AY219" s="599"/>
      <c r="AZ219" s="600"/>
      <c r="BA219" s="601"/>
      <c r="BB219" s="602">
        <v>172005</v>
      </c>
      <c r="BC219" s="599">
        <v>910285</v>
      </c>
      <c r="BD219" s="600">
        <v>2373014</v>
      </c>
      <c r="BE219" s="599">
        <v>1760500</v>
      </c>
      <c r="BF219" s="600">
        <v>1777480</v>
      </c>
      <c r="BG219" s="599">
        <v>2045458</v>
      </c>
      <c r="BH219" s="600">
        <v>2458156</v>
      </c>
      <c r="BI219" s="599">
        <v>2438018</v>
      </c>
      <c r="BJ219" s="600">
        <v>0</v>
      </c>
      <c r="BK219" s="615">
        <v>67651</v>
      </c>
      <c r="BL219" s="600">
        <v>0</v>
      </c>
      <c r="BM219" s="604"/>
      <c r="BN219" s="605">
        <f t="shared" si="299"/>
        <v>27</v>
      </c>
      <c r="BO219" s="606">
        <f t="shared" si="300"/>
        <v>147</v>
      </c>
      <c r="BP219" s="607">
        <f t="shared" si="301"/>
        <v>426</v>
      </c>
      <c r="BQ219" s="606">
        <f t="shared" si="302"/>
        <v>324</v>
      </c>
      <c r="BR219" s="607">
        <f t="shared" si="303"/>
        <v>360</v>
      </c>
      <c r="BS219" s="606">
        <f t="shared" si="304"/>
        <v>396</v>
      </c>
      <c r="BT219" s="607">
        <f t="shared" si="305"/>
        <v>522</v>
      </c>
      <c r="BU219" s="606">
        <f t="shared" si="306"/>
        <v>513</v>
      </c>
      <c r="BV219" s="607">
        <f t="shared" si="307"/>
        <v>0</v>
      </c>
      <c r="BW219" s="608">
        <f t="shared" si="308"/>
        <v>9</v>
      </c>
      <c r="BX219" s="607">
        <f t="shared" si="309"/>
        <v>0</v>
      </c>
      <c r="BY219" s="608">
        <f t="shared" si="310"/>
        <v>0</v>
      </c>
      <c r="BZ219" s="607">
        <f t="shared" si="311"/>
        <v>6370.5555555555557</v>
      </c>
      <c r="CA219" s="608">
        <f t="shared" si="312"/>
        <v>6192.4149659863942</v>
      </c>
      <c r="CB219" s="607">
        <f t="shared" si="313"/>
        <v>5570.4553990610329</v>
      </c>
      <c r="CC219" s="608">
        <f t="shared" si="314"/>
        <v>5433.641975308642</v>
      </c>
      <c r="CD219" s="607">
        <f t="shared" si="315"/>
        <v>4937.4444444444443</v>
      </c>
      <c r="CE219" s="608">
        <f t="shared" si="316"/>
        <v>5165.2979797979797</v>
      </c>
      <c r="CF219" s="607">
        <f t="shared" si="317"/>
        <v>4709.1111111111113</v>
      </c>
      <c r="CG219" s="608">
        <f t="shared" si="318"/>
        <v>4752.4717348927879</v>
      </c>
      <c r="CH219" s="607">
        <f t="shared" si="319"/>
        <v>0</v>
      </c>
      <c r="CI219" s="608">
        <f t="shared" si="320"/>
        <v>7516.7777777777774</v>
      </c>
      <c r="CJ219" s="607">
        <f t="shared" si="321"/>
        <v>0</v>
      </c>
      <c r="CK219" s="608">
        <f t="shared" si="322"/>
        <v>0</v>
      </c>
      <c r="CL219" s="609">
        <f t="shared" si="323"/>
        <v>57335</v>
      </c>
      <c r="CM219" s="608">
        <f t="shared" si="324"/>
        <v>55731.734693877544</v>
      </c>
      <c r="CN219" s="610">
        <f t="shared" si="325"/>
        <v>50134.098591549293</v>
      </c>
      <c r="CO219" s="606">
        <f t="shared" si="326"/>
        <v>48902.777777777781</v>
      </c>
      <c r="CP219" s="607">
        <f t="shared" si="327"/>
        <v>44437</v>
      </c>
      <c r="CQ219" s="606">
        <f t="shared" si="328"/>
        <v>46487.681818181816</v>
      </c>
      <c r="CR219" s="607">
        <f t="shared" si="329"/>
        <v>42382</v>
      </c>
      <c r="CS219" s="606">
        <f t="shared" si="330"/>
        <v>42772.245614035091</v>
      </c>
      <c r="CT219" s="607">
        <f t="shared" si="331"/>
        <v>0</v>
      </c>
      <c r="CU219" s="608">
        <f t="shared" si="332"/>
        <v>67651</v>
      </c>
      <c r="CV219" s="610">
        <f t="shared" si="333"/>
        <v>0</v>
      </c>
      <c r="CW219" s="608">
        <f t="shared" si="334"/>
        <v>0</v>
      </c>
      <c r="CX219" s="610">
        <f t="shared" si="335"/>
        <v>45672.173708920185</v>
      </c>
      <c r="CY219" s="611">
        <f t="shared" si="336"/>
        <v>46710.329615221701</v>
      </c>
      <c r="CZ219" s="605">
        <f t="shared" si="337"/>
        <v>3</v>
      </c>
      <c r="DA219" s="612">
        <f t="shared" si="338"/>
        <v>14</v>
      </c>
      <c r="DB219" s="607">
        <f t="shared" si="339"/>
        <v>46</v>
      </c>
      <c r="DC219" s="606">
        <f t="shared" si="340"/>
        <v>36</v>
      </c>
      <c r="DD219" s="607">
        <f t="shared" si="341"/>
        <v>40</v>
      </c>
      <c r="DE219" s="606">
        <f t="shared" si="342"/>
        <v>43</v>
      </c>
      <c r="DF219" s="607">
        <f t="shared" si="343"/>
        <v>58</v>
      </c>
      <c r="DG219" s="606">
        <f t="shared" si="344"/>
        <v>55</v>
      </c>
      <c r="DH219" s="607">
        <f t="shared" si="345"/>
        <v>0</v>
      </c>
      <c r="DI219" s="608">
        <f t="shared" si="346"/>
        <v>1</v>
      </c>
      <c r="DJ219" s="607">
        <f t="shared" si="347"/>
        <v>0</v>
      </c>
      <c r="DK219" s="608">
        <f t="shared" si="348"/>
        <v>0</v>
      </c>
      <c r="DL219" s="607">
        <f t="shared" si="349"/>
        <v>147</v>
      </c>
      <c r="DM219" s="608">
        <f t="shared" si="350"/>
        <v>149</v>
      </c>
      <c r="DN219" s="607">
        <f t="shared" si="351"/>
        <v>172005</v>
      </c>
      <c r="DO219" s="612">
        <f t="shared" si="352"/>
        <v>780244.28571428568</v>
      </c>
      <c r="DP219" s="607">
        <f t="shared" si="353"/>
        <v>2306168.5352112674</v>
      </c>
      <c r="DQ219" s="606">
        <f t="shared" si="354"/>
        <v>1760500</v>
      </c>
      <c r="DR219" s="607">
        <f t="shared" si="355"/>
        <v>1777480</v>
      </c>
      <c r="DS219" s="606">
        <f t="shared" si="356"/>
        <v>1998970.3181818181</v>
      </c>
      <c r="DT219" s="607">
        <f t="shared" si="357"/>
        <v>2458156</v>
      </c>
      <c r="DU219" s="606">
        <f t="shared" si="358"/>
        <v>2352473.5087719299</v>
      </c>
      <c r="DV219" s="607">
        <f t="shared" si="359"/>
        <v>0</v>
      </c>
      <c r="DW219" s="608">
        <f t="shared" si="360"/>
        <v>67651</v>
      </c>
      <c r="DX219" s="607">
        <f t="shared" si="361"/>
        <v>0</v>
      </c>
      <c r="DY219" s="608">
        <f t="shared" si="362"/>
        <v>0</v>
      </c>
      <c r="DZ219" s="607">
        <f t="shared" si="363"/>
        <v>6713809.5352112669</v>
      </c>
      <c r="EA219" s="608">
        <f t="shared" si="364"/>
        <v>6959839.1126680337</v>
      </c>
    </row>
    <row r="220" spans="1:131" x14ac:dyDescent="0.2">
      <c r="A220" s="450" t="s">
        <v>37</v>
      </c>
      <c r="B220" s="451" t="s">
        <v>839</v>
      </c>
      <c r="C220" s="558" t="s">
        <v>855</v>
      </c>
      <c r="D220" s="461">
        <v>158431</v>
      </c>
      <c r="E220" s="452">
        <v>8</v>
      </c>
      <c r="F220" s="598">
        <v>23</v>
      </c>
      <c r="G220" s="599">
        <v>25</v>
      </c>
      <c r="H220" s="600"/>
      <c r="I220" s="601"/>
      <c r="J220" s="600">
        <v>0</v>
      </c>
      <c r="K220" s="599"/>
      <c r="L220" s="600"/>
      <c r="M220" s="601"/>
      <c r="N220" s="600">
        <v>19</v>
      </c>
      <c r="O220" s="599">
        <v>17</v>
      </c>
      <c r="P220" s="600"/>
      <c r="Q220" s="601"/>
      <c r="R220" s="600">
        <v>0</v>
      </c>
      <c r="S220" s="599"/>
      <c r="T220" s="600"/>
      <c r="U220" s="601"/>
      <c r="V220" s="600">
        <v>26</v>
      </c>
      <c r="W220" s="599">
        <v>28</v>
      </c>
      <c r="X220" s="600"/>
      <c r="Y220" s="601"/>
      <c r="Z220" s="600">
        <v>0</v>
      </c>
      <c r="AA220" s="599"/>
      <c r="AB220" s="600"/>
      <c r="AC220" s="601"/>
      <c r="AD220" s="600">
        <v>63</v>
      </c>
      <c r="AE220" s="599">
        <v>61</v>
      </c>
      <c r="AF220" s="600"/>
      <c r="AG220" s="601"/>
      <c r="AH220" s="600">
        <v>1</v>
      </c>
      <c r="AI220" s="599"/>
      <c r="AJ220" s="600"/>
      <c r="AK220" s="601"/>
      <c r="AL220" s="600">
        <v>0</v>
      </c>
      <c r="AM220" s="599"/>
      <c r="AN220" s="600"/>
      <c r="AO220" s="601"/>
      <c r="AP220" s="600">
        <v>0</v>
      </c>
      <c r="AQ220" s="599"/>
      <c r="AR220" s="600"/>
      <c r="AS220" s="601"/>
      <c r="AT220" s="600">
        <v>0</v>
      </c>
      <c r="AU220" s="599"/>
      <c r="AV220" s="600"/>
      <c r="AW220" s="601"/>
      <c r="AX220" s="600">
        <v>0</v>
      </c>
      <c r="AY220" s="599"/>
      <c r="AZ220" s="600"/>
      <c r="BA220" s="601"/>
      <c r="BB220" s="602">
        <v>1595050</v>
      </c>
      <c r="BC220" s="599">
        <v>1418983</v>
      </c>
      <c r="BD220" s="600">
        <v>1201199</v>
      </c>
      <c r="BE220" s="599">
        <v>818740</v>
      </c>
      <c r="BF220" s="600">
        <v>1356342</v>
      </c>
      <c r="BG220" s="599">
        <v>1121912</v>
      </c>
      <c r="BH220" s="600">
        <v>3319417</v>
      </c>
      <c r="BI220" s="599">
        <v>2597362</v>
      </c>
      <c r="BJ220" s="600">
        <v>0</v>
      </c>
      <c r="BK220" s="615"/>
      <c r="BL220" s="600">
        <v>0</v>
      </c>
      <c r="BM220" s="604"/>
      <c r="BN220" s="605">
        <f t="shared" si="299"/>
        <v>207</v>
      </c>
      <c r="BO220" s="606">
        <f t="shared" si="300"/>
        <v>225</v>
      </c>
      <c r="BP220" s="607">
        <f t="shared" si="301"/>
        <v>171</v>
      </c>
      <c r="BQ220" s="606">
        <f t="shared" si="302"/>
        <v>153</v>
      </c>
      <c r="BR220" s="607">
        <f t="shared" si="303"/>
        <v>234</v>
      </c>
      <c r="BS220" s="606">
        <f t="shared" si="304"/>
        <v>252</v>
      </c>
      <c r="BT220" s="607">
        <f t="shared" si="305"/>
        <v>578</v>
      </c>
      <c r="BU220" s="606">
        <f t="shared" si="306"/>
        <v>549</v>
      </c>
      <c r="BV220" s="607">
        <f t="shared" si="307"/>
        <v>0</v>
      </c>
      <c r="BW220" s="608">
        <f t="shared" si="308"/>
        <v>0</v>
      </c>
      <c r="BX220" s="607">
        <f t="shared" si="309"/>
        <v>0</v>
      </c>
      <c r="BY220" s="608">
        <f t="shared" si="310"/>
        <v>0</v>
      </c>
      <c r="BZ220" s="607">
        <f t="shared" si="311"/>
        <v>7705.5555555555557</v>
      </c>
      <c r="CA220" s="608">
        <f t="shared" si="312"/>
        <v>6306.5911111111109</v>
      </c>
      <c r="CB220" s="607">
        <f t="shared" si="313"/>
        <v>7024.5555555555557</v>
      </c>
      <c r="CC220" s="608">
        <f t="shared" si="314"/>
        <v>5351.2418300653599</v>
      </c>
      <c r="CD220" s="607">
        <f t="shared" si="315"/>
        <v>5796.333333333333</v>
      </c>
      <c r="CE220" s="608">
        <f t="shared" si="316"/>
        <v>4452.0317460317465</v>
      </c>
      <c r="CF220" s="607">
        <f t="shared" si="317"/>
        <v>5742.9359861591693</v>
      </c>
      <c r="CG220" s="608">
        <f t="shared" si="318"/>
        <v>4731.0783242258649</v>
      </c>
      <c r="CH220" s="607">
        <f t="shared" si="319"/>
        <v>0</v>
      </c>
      <c r="CI220" s="608">
        <f t="shared" si="320"/>
        <v>0</v>
      </c>
      <c r="CJ220" s="607">
        <f t="shared" si="321"/>
        <v>0</v>
      </c>
      <c r="CK220" s="608">
        <f t="shared" si="322"/>
        <v>0</v>
      </c>
      <c r="CL220" s="609">
        <f t="shared" si="323"/>
        <v>69350</v>
      </c>
      <c r="CM220" s="608">
        <f t="shared" si="324"/>
        <v>56759.32</v>
      </c>
      <c r="CN220" s="610">
        <f t="shared" si="325"/>
        <v>63221</v>
      </c>
      <c r="CO220" s="606">
        <f t="shared" si="326"/>
        <v>48161.176470588238</v>
      </c>
      <c r="CP220" s="607">
        <f t="shared" si="327"/>
        <v>52167</v>
      </c>
      <c r="CQ220" s="606">
        <f t="shared" si="328"/>
        <v>40068.285714285717</v>
      </c>
      <c r="CR220" s="607">
        <f t="shared" si="329"/>
        <v>51686.42387543252</v>
      </c>
      <c r="CS220" s="606">
        <f t="shared" si="330"/>
        <v>42579.704918032781</v>
      </c>
      <c r="CT220" s="607">
        <f t="shared" si="331"/>
        <v>0</v>
      </c>
      <c r="CU220" s="608">
        <f t="shared" si="332"/>
        <v>0</v>
      </c>
      <c r="CV220" s="610">
        <f t="shared" si="333"/>
        <v>0</v>
      </c>
      <c r="CW220" s="608">
        <f t="shared" si="334"/>
        <v>0</v>
      </c>
      <c r="CX220" s="610">
        <f t="shared" si="335"/>
        <v>56519.107030512736</v>
      </c>
      <c r="CY220" s="611">
        <f t="shared" si="336"/>
        <v>45473.259541984735</v>
      </c>
      <c r="CZ220" s="605">
        <f t="shared" si="337"/>
        <v>23</v>
      </c>
      <c r="DA220" s="612">
        <f t="shared" si="338"/>
        <v>25</v>
      </c>
      <c r="DB220" s="607">
        <f t="shared" si="339"/>
        <v>19</v>
      </c>
      <c r="DC220" s="606">
        <f t="shared" si="340"/>
        <v>17</v>
      </c>
      <c r="DD220" s="607">
        <f t="shared" si="341"/>
        <v>26</v>
      </c>
      <c r="DE220" s="606">
        <f t="shared" si="342"/>
        <v>28</v>
      </c>
      <c r="DF220" s="607">
        <f t="shared" si="343"/>
        <v>64</v>
      </c>
      <c r="DG220" s="606">
        <f t="shared" si="344"/>
        <v>61</v>
      </c>
      <c r="DH220" s="607">
        <f t="shared" si="345"/>
        <v>0</v>
      </c>
      <c r="DI220" s="608">
        <f t="shared" si="346"/>
        <v>0</v>
      </c>
      <c r="DJ220" s="607">
        <f t="shared" si="347"/>
        <v>0</v>
      </c>
      <c r="DK220" s="608">
        <f t="shared" si="348"/>
        <v>0</v>
      </c>
      <c r="DL220" s="607">
        <f t="shared" si="349"/>
        <v>132</v>
      </c>
      <c r="DM220" s="608">
        <f t="shared" si="350"/>
        <v>131</v>
      </c>
      <c r="DN220" s="607">
        <f t="shared" si="351"/>
        <v>1595050</v>
      </c>
      <c r="DO220" s="612">
        <f t="shared" si="352"/>
        <v>1418983</v>
      </c>
      <c r="DP220" s="607">
        <f t="shared" si="353"/>
        <v>1201199</v>
      </c>
      <c r="DQ220" s="606">
        <f t="shared" si="354"/>
        <v>818740</v>
      </c>
      <c r="DR220" s="607">
        <f t="shared" si="355"/>
        <v>1356342</v>
      </c>
      <c r="DS220" s="606">
        <f t="shared" si="356"/>
        <v>1121912</v>
      </c>
      <c r="DT220" s="607">
        <f t="shared" si="357"/>
        <v>3307931.1280276813</v>
      </c>
      <c r="DU220" s="606">
        <f t="shared" si="358"/>
        <v>2597361.9999999995</v>
      </c>
      <c r="DV220" s="607">
        <f t="shared" si="359"/>
        <v>0</v>
      </c>
      <c r="DW220" s="608">
        <f t="shared" si="360"/>
        <v>0</v>
      </c>
      <c r="DX220" s="607">
        <f t="shared" si="361"/>
        <v>0</v>
      </c>
      <c r="DY220" s="608">
        <f t="shared" si="362"/>
        <v>0</v>
      </c>
      <c r="DZ220" s="607">
        <f t="shared" si="363"/>
        <v>7460522.1280276813</v>
      </c>
      <c r="EA220" s="608">
        <f t="shared" si="364"/>
        <v>5956997</v>
      </c>
    </row>
    <row r="221" spans="1:131" x14ac:dyDescent="0.2">
      <c r="A221" s="455" t="s">
        <v>37</v>
      </c>
      <c r="B221" s="453" t="s">
        <v>838</v>
      </c>
      <c r="C221" s="559"/>
      <c r="D221" s="461">
        <v>158662</v>
      </c>
      <c r="E221" s="454">
        <v>8</v>
      </c>
      <c r="F221" s="598">
        <v>63</v>
      </c>
      <c r="G221" s="599">
        <v>66</v>
      </c>
      <c r="H221" s="600"/>
      <c r="I221" s="601"/>
      <c r="J221" s="600">
        <v>5</v>
      </c>
      <c r="K221" s="599"/>
      <c r="L221" s="600"/>
      <c r="M221" s="601"/>
      <c r="N221" s="600">
        <v>55</v>
      </c>
      <c r="O221" s="599">
        <v>63</v>
      </c>
      <c r="P221" s="600"/>
      <c r="Q221" s="601"/>
      <c r="R221" s="600">
        <v>1</v>
      </c>
      <c r="S221" s="599"/>
      <c r="T221" s="600"/>
      <c r="U221" s="601"/>
      <c r="V221" s="600">
        <v>94</v>
      </c>
      <c r="W221" s="599">
        <v>89</v>
      </c>
      <c r="X221" s="600"/>
      <c r="Y221" s="601"/>
      <c r="Z221" s="600">
        <v>6</v>
      </c>
      <c r="AA221" s="599"/>
      <c r="AB221" s="600"/>
      <c r="AC221" s="601"/>
      <c r="AD221" s="600">
        <v>165</v>
      </c>
      <c r="AE221" s="599">
        <v>283</v>
      </c>
      <c r="AF221" s="600"/>
      <c r="AG221" s="601"/>
      <c r="AH221" s="600">
        <v>8</v>
      </c>
      <c r="AI221" s="599"/>
      <c r="AJ221" s="600"/>
      <c r="AK221" s="601">
        <v>1</v>
      </c>
      <c r="AL221" s="600">
        <v>115</v>
      </c>
      <c r="AM221" s="599">
        <v>2</v>
      </c>
      <c r="AN221" s="600"/>
      <c r="AO221" s="601"/>
      <c r="AP221" s="600">
        <v>6</v>
      </c>
      <c r="AQ221" s="599"/>
      <c r="AR221" s="600"/>
      <c r="AS221" s="601"/>
      <c r="AT221" s="600"/>
      <c r="AU221" s="599"/>
      <c r="AV221" s="600"/>
      <c r="AW221" s="601"/>
      <c r="AX221" s="600"/>
      <c r="AY221" s="599"/>
      <c r="AZ221" s="600"/>
      <c r="BA221" s="601"/>
      <c r="BB221" s="602">
        <v>5493095</v>
      </c>
      <c r="BC221" s="599">
        <v>4596355</v>
      </c>
      <c r="BD221" s="600">
        <v>4003976</v>
      </c>
      <c r="BE221" s="599">
        <v>3614547</v>
      </c>
      <c r="BF221" s="600">
        <v>6268562</v>
      </c>
      <c r="BG221" s="599">
        <v>4154058</v>
      </c>
      <c r="BH221" s="600">
        <v>8544996</v>
      </c>
      <c r="BI221" s="599">
        <v>9969959</v>
      </c>
      <c r="BJ221" s="600">
        <v>0</v>
      </c>
      <c r="BK221" s="615">
        <v>87565</v>
      </c>
      <c r="BL221" s="600">
        <v>4788915</v>
      </c>
      <c r="BM221" s="604"/>
      <c r="BN221" s="605">
        <f t="shared" si="299"/>
        <v>622</v>
      </c>
      <c r="BO221" s="606">
        <f t="shared" si="300"/>
        <v>594</v>
      </c>
      <c r="BP221" s="607">
        <f t="shared" si="301"/>
        <v>506</v>
      </c>
      <c r="BQ221" s="606">
        <f t="shared" si="302"/>
        <v>567</v>
      </c>
      <c r="BR221" s="607">
        <f t="shared" si="303"/>
        <v>912</v>
      </c>
      <c r="BS221" s="606">
        <f t="shared" si="304"/>
        <v>801</v>
      </c>
      <c r="BT221" s="607">
        <f t="shared" si="305"/>
        <v>1573</v>
      </c>
      <c r="BU221" s="606">
        <f t="shared" si="306"/>
        <v>2559</v>
      </c>
      <c r="BV221" s="607">
        <f t="shared" si="307"/>
        <v>1101</v>
      </c>
      <c r="BW221" s="608">
        <f t="shared" si="308"/>
        <v>18</v>
      </c>
      <c r="BX221" s="607">
        <f t="shared" si="309"/>
        <v>0</v>
      </c>
      <c r="BY221" s="608">
        <f t="shared" si="310"/>
        <v>0</v>
      </c>
      <c r="BZ221" s="607">
        <f t="shared" si="311"/>
        <v>8831.3424437299036</v>
      </c>
      <c r="CA221" s="608">
        <f t="shared" si="312"/>
        <v>7737.9713804713801</v>
      </c>
      <c r="CB221" s="607">
        <f t="shared" si="313"/>
        <v>7912.99604743083</v>
      </c>
      <c r="CC221" s="608">
        <f t="shared" si="314"/>
        <v>6374.862433862434</v>
      </c>
      <c r="CD221" s="607">
        <f t="shared" si="315"/>
        <v>6873.4232456140353</v>
      </c>
      <c r="CE221" s="608">
        <f t="shared" si="316"/>
        <v>5186.0898876404499</v>
      </c>
      <c r="CF221" s="607">
        <f t="shared" si="317"/>
        <v>5432.2924348378892</v>
      </c>
      <c r="CG221" s="608">
        <f t="shared" si="318"/>
        <v>3896.0371238765142</v>
      </c>
      <c r="CH221" s="607">
        <f t="shared" si="319"/>
        <v>0</v>
      </c>
      <c r="CI221" s="608">
        <f t="shared" si="320"/>
        <v>4864.7222222222226</v>
      </c>
      <c r="CJ221" s="607">
        <f t="shared" si="321"/>
        <v>0</v>
      </c>
      <c r="CK221" s="608">
        <f t="shared" si="322"/>
        <v>0</v>
      </c>
      <c r="CL221" s="609">
        <f t="shared" si="323"/>
        <v>79482.081993569125</v>
      </c>
      <c r="CM221" s="608">
        <f t="shared" si="324"/>
        <v>69641.742424242417</v>
      </c>
      <c r="CN221" s="610">
        <f t="shared" si="325"/>
        <v>71216.964426877472</v>
      </c>
      <c r="CO221" s="606">
        <f t="shared" si="326"/>
        <v>57373.761904761908</v>
      </c>
      <c r="CP221" s="607">
        <f t="shared" si="327"/>
        <v>61860.80921052632</v>
      </c>
      <c r="CQ221" s="606">
        <f t="shared" si="328"/>
        <v>46674.808988764053</v>
      </c>
      <c r="CR221" s="607">
        <f t="shared" si="329"/>
        <v>48890.631913541001</v>
      </c>
      <c r="CS221" s="606">
        <f t="shared" si="330"/>
        <v>35064.334114888625</v>
      </c>
      <c r="CT221" s="607">
        <f t="shared" si="331"/>
        <v>0</v>
      </c>
      <c r="CU221" s="608">
        <f t="shared" si="332"/>
        <v>43782.5</v>
      </c>
      <c r="CV221" s="610">
        <f t="shared" si="333"/>
        <v>0</v>
      </c>
      <c r="CW221" s="608">
        <f t="shared" si="334"/>
        <v>0</v>
      </c>
      <c r="CX221" s="610">
        <f t="shared" si="335"/>
        <v>46403.652172901668</v>
      </c>
      <c r="CY221" s="611">
        <f t="shared" si="336"/>
        <v>44465.864858389628</v>
      </c>
      <c r="CZ221" s="605">
        <f t="shared" si="337"/>
        <v>68</v>
      </c>
      <c r="DA221" s="612">
        <f t="shared" si="338"/>
        <v>66</v>
      </c>
      <c r="DB221" s="607">
        <f t="shared" si="339"/>
        <v>56</v>
      </c>
      <c r="DC221" s="606">
        <f t="shared" si="340"/>
        <v>63</v>
      </c>
      <c r="DD221" s="607">
        <f t="shared" si="341"/>
        <v>100</v>
      </c>
      <c r="DE221" s="606">
        <f t="shared" si="342"/>
        <v>89</v>
      </c>
      <c r="DF221" s="607">
        <f t="shared" si="343"/>
        <v>173</v>
      </c>
      <c r="DG221" s="606">
        <f t="shared" si="344"/>
        <v>284</v>
      </c>
      <c r="DH221" s="607">
        <f t="shared" si="345"/>
        <v>121</v>
      </c>
      <c r="DI221" s="608">
        <f t="shared" si="346"/>
        <v>2</v>
      </c>
      <c r="DJ221" s="607">
        <f t="shared" si="347"/>
        <v>0</v>
      </c>
      <c r="DK221" s="608">
        <f t="shared" si="348"/>
        <v>0</v>
      </c>
      <c r="DL221" s="607">
        <f t="shared" si="349"/>
        <v>518</v>
      </c>
      <c r="DM221" s="608">
        <f t="shared" si="350"/>
        <v>504</v>
      </c>
      <c r="DN221" s="607">
        <f t="shared" si="351"/>
        <v>5404781.5755627006</v>
      </c>
      <c r="DO221" s="612">
        <f t="shared" si="352"/>
        <v>4596354.9999999991</v>
      </c>
      <c r="DP221" s="607">
        <f t="shared" si="353"/>
        <v>3988150.0079051387</v>
      </c>
      <c r="DQ221" s="606">
        <f t="shared" si="354"/>
        <v>3614547</v>
      </c>
      <c r="DR221" s="607">
        <f t="shared" si="355"/>
        <v>6186080.9210526319</v>
      </c>
      <c r="DS221" s="606">
        <f t="shared" si="356"/>
        <v>4154058.0000000005</v>
      </c>
      <c r="DT221" s="607">
        <f t="shared" si="357"/>
        <v>8458079.3210425936</v>
      </c>
      <c r="DU221" s="606">
        <f t="shared" si="358"/>
        <v>9958270.8886283692</v>
      </c>
      <c r="DV221" s="607">
        <f t="shared" si="359"/>
        <v>0</v>
      </c>
      <c r="DW221" s="608">
        <f t="shared" si="360"/>
        <v>87565</v>
      </c>
      <c r="DX221" s="607">
        <f t="shared" si="361"/>
        <v>0</v>
      </c>
      <c r="DY221" s="608">
        <f t="shared" si="362"/>
        <v>0</v>
      </c>
      <c r="DZ221" s="607">
        <f t="shared" si="363"/>
        <v>24037091.825563066</v>
      </c>
      <c r="EA221" s="608">
        <f t="shared" si="364"/>
        <v>22410795.888628371</v>
      </c>
    </row>
    <row r="222" spans="1:131" ht="13.5" thickBot="1" x14ac:dyDescent="0.25">
      <c r="A222" s="450" t="s">
        <v>37</v>
      </c>
      <c r="B222" s="456" t="s">
        <v>840</v>
      </c>
      <c r="C222" s="560"/>
      <c r="D222" s="461">
        <v>159407</v>
      </c>
      <c r="E222" s="449">
        <v>9</v>
      </c>
      <c r="F222" s="598">
        <v>14</v>
      </c>
      <c r="G222" s="599">
        <v>12</v>
      </c>
      <c r="H222" s="600"/>
      <c r="I222" s="601"/>
      <c r="J222" s="600">
        <v>2</v>
      </c>
      <c r="K222" s="599"/>
      <c r="L222" s="600"/>
      <c r="M222" s="601">
        <v>1</v>
      </c>
      <c r="N222" s="600">
        <v>13</v>
      </c>
      <c r="O222" s="599">
        <v>13</v>
      </c>
      <c r="P222" s="600"/>
      <c r="Q222" s="601"/>
      <c r="R222" s="600">
        <v>4</v>
      </c>
      <c r="S222" s="599"/>
      <c r="T222" s="600"/>
      <c r="U222" s="601">
        <v>3</v>
      </c>
      <c r="V222" s="600">
        <v>6</v>
      </c>
      <c r="W222" s="599">
        <v>6</v>
      </c>
      <c r="X222" s="600"/>
      <c r="Y222" s="601"/>
      <c r="Z222" s="600">
        <v>0</v>
      </c>
      <c r="AA222" s="599"/>
      <c r="AB222" s="600"/>
      <c r="AC222" s="643">
        <v>1</v>
      </c>
      <c r="AD222" s="600">
        <v>24</v>
      </c>
      <c r="AE222" s="599">
        <v>22</v>
      </c>
      <c r="AF222" s="600"/>
      <c r="AG222" s="601"/>
      <c r="AH222" s="600">
        <v>3</v>
      </c>
      <c r="AI222" s="599"/>
      <c r="AJ222" s="600"/>
      <c r="AK222" s="601">
        <v>3</v>
      </c>
      <c r="AL222" s="600">
        <v>0</v>
      </c>
      <c r="AM222" s="599"/>
      <c r="AN222" s="600"/>
      <c r="AO222" s="601"/>
      <c r="AP222" s="600">
        <v>0</v>
      </c>
      <c r="AQ222" s="599"/>
      <c r="AR222" s="600"/>
      <c r="AS222" s="601"/>
      <c r="AT222" s="600">
        <v>0</v>
      </c>
      <c r="AU222" s="599"/>
      <c r="AV222" s="600"/>
      <c r="AW222" s="601"/>
      <c r="AX222" s="600">
        <v>0</v>
      </c>
      <c r="AY222" s="599"/>
      <c r="AZ222" s="600"/>
      <c r="BA222" s="601"/>
      <c r="BB222" s="602">
        <v>963496</v>
      </c>
      <c r="BC222" s="599">
        <v>745245</v>
      </c>
      <c r="BD222" s="600">
        <v>892960</v>
      </c>
      <c r="BE222" s="599">
        <v>791237</v>
      </c>
      <c r="BF222" s="600">
        <v>248796</v>
      </c>
      <c r="BG222" s="599">
        <v>301635</v>
      </c>
      <c r="BH222" s="600">
        <v>1107321</v>
      </c>
      <c r="BI222" s="599">
        <v>1011825</v>
      </c>
      <c r="BJ222" s="600">
        <v>0</v>
      </c>
      <c r="BK222" s="615"/>
      <c r="BL222" s="600">
        <v>0</v>
      </c>
      <c r="BM222" s="604"/>
      <c r="BN222" s="605">
        <f t="shared" si="299"/>
        <v>148</v>
      </c>
      <c r="BO222" s="606">
        <f t="shared" si="300"/>
        <v>120</v>
      </c>
      <c r="BP222" s="607">
        <f t="shared" si="301"/>
        <v>161</v>
      </c>
      <c r="BQ222" s="606">
        <f t="shared" si="302"/>
        <v>153</v>
      </c>
      <c r="BR222" s="607">
        <f t="shared" si="303"/>
        <v>54</v>
      </c>
      <c r="BS222" s="606">
        <f t="shared" si="304"/>
        <v>66</v>
      </c>
      <c r="BT222" s="607">
        <f t="shared" si="305"/>
        <v>249</v>
      </c>
      <c r="BU222" s="606">
        <f t="shared" si="306"/>
        <v>234</v>
      </c>
      <c r="BV222" s="607">
        <f t="shared" si="307"/>
        <v>0</v>
      </c>
      <c r="BW222" s="608">
        <f t="shared" si="308"/>
        <v>0</v>
      </c>
      <c r="BX222" s="607">
        <f t="shared" si="309"/>
        <v>0</v>
      </c>
      <c r="BY222" s="608">
        <f t="shared" si="310"/>
        <v>0</v>
      </c>
      <c r="BZ222" s="607">
        <f t="shared" si="311"/>
        <v>6510.1081081081084</v>
      </c>
      <c r="CA222" s="608">
        <f t="shared" si="312"/>
        <v>6210.375</v>
      </c>
      <c r="CB222" s="607">
        <f t="shared" si="313"/>
        <v>5546.3354037267081</v>
      </c>
      <c r="CC222" s="608">
        <f t="shared" si="314"/>
        <v>5171.4836601307188</v>
      </c>
      <c r="CD222" s="607">
        <f t="shared" si="315"/>
        <v>4607.333333333333</v>
      </c>
      <c r="CE222" s="608">
        <f t="shared" si="316"/>
        <v>4570.227272727273</v>
      </c>
      <c r="CF222" s="607">
        <f t="shared" si="317"/>
        <v>4447.0722891566265</v>
      </c>
      <c r="CG222" s="608">
        <f t="shared" si="318"/>
        <v>4324.0384615384619</v>
      </c>
      <c r="CH222" s="607">
        <f t="shared" si="319"/>
        <v>0</v>
      </c>
      <c r="CI222" s="608">
        <f t="shared" si="320"/>
        <v>0</v>
      </c>
      <c r="CJ222" s="607">
        <f t="shared" si="321"/>
        <v>0</v>
      </c>
      <c r="CK222" s="608">
        <f t="shared" si="322"/>
        <v>0</v>
      </c>
      <c r="CL222" s="609">
        <f t="shared" si="323"/>
        <v>58590.972972972973</v>
      </c>
      <c r="CM222" s="608">
        <f t="shared" si="324"/>
        <v>55893.375</v>
      </c>
      <c r="CN222" s="610">
        <f t="shared" si="325"/>
        <v>49917.018633540371</v>
      </c>
      <c r="CO222" s="606">
        <f t="shared" si="326"/>
        <v>46543.352941176468</v>
      </c>
      <c r="CP222" s="607">
        <f t="shared" si="327"/>
        <v>41466</v>
      </c>
      <c r="CQ222" s="606">
        <f t="shared" si="328"/>
        <v>41132.045454545456</v>
      </c>
      <c r="CR222" s="607">
        <f t="shared" si="329"/>
        <v>40023.650602409638</v>
      </c>
      <c r="CS222" s="606">
        <f t="shared" si="330"/>
        <v>38916.346153846156</v>
      </c>
      <c r="CT222" s="607">
        <f t="shared" si="331"/>
        <v>0</v>
      </c>
      <c r="CU222" s="608">
        <f t="shared" si="332"/>
        <v>0</v>
      </c>
      <c r="CV222" s="610">
        <f t="shared" si="333"/>
        <v>0</v>
      </c>
      <c r="CW222" s="608">
        <f t="shared" si="334"/>
        <v>0</v>
      </c>
      <c r="CX222" s="610">
        <f t="shared" si="335"/>
        <v>47204.234100042646</v>
      </c>
      <c r="CY222" s="611">
        <f t="shared" si="336"/>
        <v>44789.188427652385</v>
      </c>
      <c r="CZ222" s="605">
        <f t="shared" si="337"/>
        <v>16</v>
      </c>
      <c r="DA222" s="612">
        <f t="shared" si="338"/>
        <v>13</v>
      </c>
      <c r="DB222" s="607">
        <f t="shared" si="339"/>
        <v>17</v>
      </c>
      <c r="DC222" s="606">
        <f t="shared" si="340"/>
        <v>16</v>
      </c>
      <c r="DD222" s="607">
        <f t="shared" si="341"/>
        <v>6</v>
      </c>
      <c r="DE222" s="606">
        <f t="shared" si="342"/>
        <v>7</v>
      </c>
      <c r="DF222" s="607">
        <f t="shared" si="343"/>
        <v>27</v>
      </c>
      <c r="DG222" s="606">
        <f t="shared" si="344"/>
        <v>25</v>
      </c>
      <c r="DH222" s="607">
        <f t="shared" si="345"/>
        <v>0</v>
      </c>
      <c r="DI222" s="608">
        <f t="shared" si="346"/>
        <v>0</v>
      </c>
      <c r="DJ222" s="607">
        <f t="shared" si="347"/>
        <v>0</v>
      </c>
      <c r="DK222" s="608">
        <f t="shared" si="348"/>
        <v>0</v>
      </c>
      <c r="DL222" s="607">
        <f t="shared" si="349"/>
        <v>66</v>
      </c>
      <c r="DM222" s="608">
        <f t="shared" si="350"/>
        <v>61</v>
      </c>
      <c r="DN222" s="607">
        <f t="shared" si="351"/>
        <v>937455.56756756757</v>
      </c>
      <c r="DO222" s="612">
        <f t="shared" si="352"/>
        <v>726613.875</v>
      </c>
      <c r="DP222" s="607">
        <f t="shared" si="353"/>
        <v>848589.3167701863</v>
      </c>
      <c r="DQ222" s="606">
        <f t="shared" si="354"/>
        <v>744693.6470588235</v>
      </c>
      <c r="DR222" s="607">
        <f t="shared" si="355"/>
        <v>248796</v>
      </c>
      <c r="DS222" s="606">
        <f t="shared" si="356"/>
        <v>287924.31818181818</v>
      </c>
      <c r="DT222" s="607">
        <f t="shared" si="357"/>
        <v>1080638.5662650603</v>
      </c>
      <c r="DU222" s="606">
        <f t="shared" si="358"/>
        <v>972908.65384615387</v>
      </c>
      <c r="DV222" s="607">
        <f t="shared" si="359"/>
        <v>0</v>
      </c>
      <c r="DW222" s="608">
        <f t="shared" si="360"/>
        <v>0</v>
      </c>
      <c r="DX222" s="607">
        <f t="shared" si="361"/>
        <v>0</v>
      </c>
      <c r="DY222" s="608">
        <f t="shared" si="362"/>
        <v>0</v>
      </c>
      <c r="DZ222" s="607">
        <f t="shared" si="363"/>
        <v>3115479.4506028146</v>
      </c>
      <c r="EA222" s="608">
        <f t="shared" si="364"/>
        <v>2732140.4940867955</v>
      </c>
    </row>
    <row r="223" spans="1:131" ht="13.5" thickBot="1" x14ac:dyDescent="0.25">
      <c r="A223" s="450" t="s">
        <v>37</v>
      </c>
      <c r="B223" s="453" t="s">
        <v>841</v>
      </c>
      <c r="C223" s="559" t="s">
        <v>856</v>
      </c>
      <c r="D223" s="461">
        <v>434061</v>
      </c>
      <c r="E223" s="463">
        <v>9</v>
      </c>
      <c r="F223" s="598">
        <v>0</v>
      </c>
      <c r="G223" s="599"/>
      <c r="H223" s="600"/>
      <c r="I223" s="601"/>
      <c r="J223" s="600">
        <v>0</v>
      </c>
      <c r="K223" s="599"/>
      <c r="L223" s="600"/>
      <c r="M223" s="641">
        <v>16</v>
      </c>
      <c r="N223" s="600">
        <v>0</v>
      </c>
      <c r="O223" s="599"/>
      <c r="P223" s="600"/>
      <c r="Q223" s="601"/>
      <c r="R223" s="600">
        <v>0</v>
      </c>
      <c r="S223" s="599"/>
      <c r="T223" s="600"/>
      <c r="U223" s="641">
        <v>4</v>
      </c>
      <c r="V223" s="600">
        <v>4</v>
      </c>
      <c r="W223" s="642">
        <v>6</v>
      </c>
      <c r="X223" s="600"/>
      <c r="Y223" s="601"/>
      <c r="Z223" s="600">
        <v>0</v>
      </c>
      <c r="AA223" s="599"/>
      <c r="AB223" s="600"/>
      <c r="AC223" s="644">
        <v>3</v>
      </c>
      <c r="AD223" s="600">
        <v>54</v>
      </c>
      <c r="AE223" s="642">
        <v>59</v>
      </c>
      <c r="AF223" s="600"/>
      <c r="AG223" s="601"/>
      <c r="AH223" s="600">
        <v>0</v>
      </c>
      <c r="AI223" s="599"/>
      <c r="AJ223" s="600"/>
      <c r="AK223" s="644">
        <v>57</v>
      </c>
      <c r="AL223" s="600">
        <v>0</v>
      </c>
      <c r="AM223" s="599"/>
      <c r="AN223" s="600"/>
      <c r="AO223" s="601"/>
      <c r="AP223" s="600">
        <v>0</v>
      </c>
      <c r="AQ223" s="599"/>
      <c r="AR223" s="600"/>
      <c r="AS223" s="641">
        <v>2</v>
      </c>
      <c r="AT223" s="600">
        <v>0</v>
      </c>
      <c r="AU223" s="599"/>
      <c r="AV223" s="600"/>
      <c r="AW223" s="601"/>
      <c r="AX223" s="600">
        <v>0</v>
      </c>
      <c r="AY223" s="599"/>
      <c r="AZ223" s="600"/>
      <c r="BA223" s="601"/>
      <c r="BB223" s="602">
        <v>0</v>
      </c>
      <c r="BC223" s="642">
        <v>1449116</v>
      </c>
      <c r="BD223" s="600">
        <v>0</v>
      </c>
      <c r="BE223" s="642">
        <v>251377</v>
      </c>
      <c r="BF223" s="600">
        <v>198788</v>
      </c>
      <c r="BG223" s="642">
        <v>592150</v>
      </c>
      <c r="BH223" s="600">
        <v>1986336</v>
      </c>
      <c r="BI223" s="642">
        <v>4788356</v>
      </c>
      <c r="BJ223" s="600">
        <v>0</v>
      </c>
      <c r="BK223" s="648">
        <v>84435</v>
      </c>
      <c r="BL223" s="600">
        <v>0</v>
      </c>
      <c r="BM223" s="604"/>
      <c r="BN223" s="605">
        <f t="shared" si="299"/>
        <v>0</v>
      </c>
      <c r="BO223" s="606">
        <f t="shared" si="300"/>
        <v>192</v>
      </c>
      <c r="BP223" s="607">
        <f t="shared" si="301"/>
        <v>0</v>
      </c>
      <c r="BQ223" s="606">
        <f t="shared" si="302"/>
        <v>48</v>
      </c>
      <c r="BR223" s="607">
        <f t="shared" si="303"/>
        <v>36</v>
      </c>
      <c r="BS223" s="606">
        <f t="shared" si="304"/>
        <v>90</v>
      </c>
      <c r="BT223" s="607">
        <f t="shared" si="305"/>
        <v>486</v>
      </c>
      <c r="BU223" s="606">
        <f t="shared" si="306"/>
        <v>1215</v>
      </c>
      <c r="BV223" s="607">
        <f t="shared" si="307"/>
        <v>0</v>
      </c>
      <c r="BW223" s="608">
        <f t="shared" si="308"/>
        <v>24</v>
      </c>
      <c r="BX223" s="607">
        <f t="shared" si="309"/>
        <v>0</v>
      </c>
      <c r="BY223" s="608">
        <f t="shared" si="310"/>
        <v>0</v>
      </c>
      <c r="BZ223" s="607">
        <f t="shared" si="311"/>
        <v>0</v>
      </c>
      <c r="CA223" s="608">
        <f t="shared" si="312"/>
        <v>7547.479166666667</v>
      </c>
      <c r="CB223" s="607">
        <f t="shared" si="313"/>
        <v>0</v>
      </c>
      <c r="CC223" s="608">
        <f t="shared" si="314"/>
        <v>5237.020833333333</v>
      </c>
      <c r="CD223" s="607">
        <f t="shared" si="315"/>
        <v>5521.8888888888887</v>
      </c>
      <c r="CE223" s="608">
        <f t="shared" si="316"/>
        <v>6579.4444444444443</v>
      </c>
      <c r="CF223" s="607">
        <f t="shared" si="317"/>
        <v>4087.1111111111113</v>
      </c>
      <c r="CG223" s="608">
        <f t="shared" si="318"/>
        <v>3941.0337448559671</v>
      </c>
      <c r="CH223" s="607">
        <f t="shared" si="319"/>
        <v>0</v>
      </c>
      <c r="CI223" s="608">
        <f t="shared" si="320"/>
        <v>3518.125</v>
      </c>
      <c r="CJ223" s="607">
        <f t="shared" si="321"/>
        <v>0</v>
      </c>
      <c r="CK223" s="608">
        <f t="shared" si="322"/>
        <v>0</v>
      </c>
      <c r="CL223" s="609">
        <f t="shared" si="323"/>
        <v>0</v>
      </c>
      <c r="CM223" s="608">
        <f t="shared" si="324"/>
        <v>67927.3125</v>
      </c>
      <c r="CN223" s="610">
        <f t="shared" si="325"/>
        <v>0</v>
      </c>
      <c r="CO223" s="606">
        <f t="shared" si="326"/>
        <v>47133.1875</v>
      </c>
      <c r="CP223" s="607">
        <f t="shared" si="327"/>
        <v>49697</v>
      </c>
      <c r="CQ223" s="606">
        <f t="shared" si="328"/>
        <v>59215</v>
      </c>
      <c r="CR223" s="607">
        <f t="shared" si="329"/>
        <v>36784</v>
      </c>
      <c r="CS223" s="606">
        <f t="shared" si="330"/>
        <v>35469.303703703707</v>
      </c>
      <c r="CT223" s="607">
        <f t="shared" si="331"/>
        <v>0</v>
      </c>
      <c r="CU223" s="608">
        <f t="shared" si="332"/>
        <v>31663.125</v>
      </c>
      <c r="CV223" s="610">
        <f t="shared" si="333"/>
        <v>0</v>
      </c>
      <c r="CW223" s="608">
        <f t="shared" si="334"/>
        <v>0</v>
      </c>
      <c r="CX223" s="610">
        <f t="shared" si="335"/>
        <v>37674.551724137928</v>
      </c>
      <c r="CY223" s="611">
        <f t="shared" si="336"/>
        <v>40721.566187956669</v>
      </c>
      <c r="CZ223" s="605">
        <f t="shared" si="337"/>
        <v>0</v>
      </c>
      <c r="DA223" s="612">
        <f t="shared" si="338"/>
        <v>16</v>
      </c>
      <c r="DB223" s="607">
        <f t="shared" si="339"/>
        <v>0</v>
      </c>
      <c r="DC223" s="606">
        <f t="shared" si="340"/>
        <v>4</v>
      </c>
      <c r="DD223" s="607">
        <f t="shared" si="341"/>
        <v>4</v>
      </c>
      <c r="DE223" s="606">
        <f t="shared" si="342"/>
        <v>9</v>
      </c>
      <c r="DF223" s="607">
        <f t="shared" si="343"/>
        <v>54</v>
      </c>
      <c r="DG223" s="606">
        <f t="shared" si="344"/>
        <v>116</v>
      </c>
      <c r="DH223" s="607">
        <f t="shared" si="345"/>
        <v>0</v>
      </c>
      <c r="DI223" s="608">
        <f t="shared" si="346"/>
        <v>2</v>
      </c>
      <c r="DJ223" s="607">
        <f t="shared" si="347"/>
        <v>0</v>
      </c>
      <c r="DK223" s="608">
        <f t="shared" si="348"/>
        <v>0</v>
      </c>
      <c r="DL223" s="607">
        <f t="shared" si="349"/>
        <v>58</v>
      </c>
      <c r="DM223" s="608">
        <f t="shared" si="350"/>
        <v>147</v>
      </c>
      <c r="DN223" s="607">
        <f t="shared" si="351"/>
        <v>0</v>
      </c>
      <c r="DO223" s="612">
        <f t="shared" si="352"/>
        <v>1086837</v>
      </c>
      <c r="DP223" s="607">
        <f t="shared" si="353"/>
        <v>0</v>
      </c>
      <c r="DQ223" s="606">
        <f t="shared" si="354"/>
        <v>188532.75</v>
      </c>
      <c r="DR223" s="607">
        <f t="shared" si="355"/>
        <v>198788</v>
      </c>
      <c r="DS223" s="606">
        <f t="shared" si="356"/>
        <v>532935</v>
      </c>
      <c r="DT223" s="607">
        <f t="shared" si="357"/>
        <v>1986336</v>
      </c>
      <c r="DU223" s="606">
        <f t="shared" si="358"/>
        <v>4114439.2296296298</v>
      </c>
      <c r="DV223" s="607">
        <f t="shared" si="359"/>
        <v>0</v>
      </c>
      <c r="DW223" s="608">
        <f t="shared" si="360"/>
        <v>63326.25</v>
      </c>
      <c r="DX223" s="607">
        <f t="shared" si="361"/>
        <v>0</v>
      </c>
      <c r="DY223" s="608">
        <f t="shared" si="362"/>
        <v>0</v>
      </c>
      <c r="DZ223" s="607">
        <f t="shared" si="363"/>
        <v>2185124</v>
      </c>
      <c r="EA223" s="608">
        <f t="shared" si="364"/>
        <v>5986070.2296296302</v>
      </c>
    </row>
    <row r="224" spans="1:131" ht="13.5" thickBot="1" x14ac:dyDescent="0.25">
      <c r="A224" s="457" t="s">
        <v>37</v>
      </c>
      <c r="B224" s="453" t="s">
        <v>842</v>
      </c>
      <c r="C224" s="557" t="s">
        <v>678</v>
      </c>
      <c r="D224" s="461">
        <v>440624</v>
      </c>
      <c r="E224" s="449">
        <v>10</v>
      </c>
      <c r="F224" s="598">
        <v>1</v>
      </c>
      <c r="G224" s="599">
        <v>5</v>
      </c>
      <c r="H224" s="600"/>
      <c r="I224" s="601"/>
      <c r="J224" s="600">
        <v>3</v>
      </c>
      <c r="K224" s="599"/>
      <c r="L224" s="600"/>
      <c r="M224" s="601"/>
      <c r="N224" s="600">
        <v>10</v>
      </c>
      <c r="O224" s="599">
        <v>9</v>
      </c>
      <c r="P224" s="600"/>
      <c r="Q224" s="601"/>
      <c r="R224" s="600">
        <v>0</v>
      </c>
      <c r="S224" s="599"/>
      <c r="T224" s="600"/>
      <c r="U224" s="601"/>
      <c r="V224" s="600">
        <v>12</v>
      </c>
      <c r="W224" s="599">
        <v>17</v>
      </c>
      <c r="X224" s="600"/>
      <c r="Y224" s="601"/>
      <c r="Z224" s="600">
        <v>1</v>
      </c>
      <c r="AA224" s="599"/>
      <c r="AB224" s="600"/>
      <c r="AC224" s="645"/>
      <c r="AD224" s="600">
        <v>20</v>
      </c>
      <c r="AE224" s="599">
        <v>70</v>
      </c>
      <c r="AF224" s="600"/>
      <c r="AG224" s="601"/>
      <c r="AH224" s="600">
        <v>12</v>
      </c>
      <c r="AI224" s="599"/>
      <c r="AJ224" s="600"/>
      <c r="AK224" s="645">
        <v>8</v>
      </c>
      <c r="AL224" s="600">
        <v>0</v>
      </c>
      <c r="AM224" s="599">
        <v>2</v>
      </c>
      <c r="AN224" s="600"/>
      <c r="AO224" s="601"/>
      <c r="AP224" s="600">
        <v>0</v>
      </c>
      <c r="AQ224" s="599"/>
      <c r="AR224" s="600"/>
      <c r="AS224" s="601"/>
      <c r="AT224" s="600">
        <v>0</v>
      </c>
      <c r="AU224" s="599"/>
      <c r="AV224" s="600"/>
      <c r="AW224" s="601"/>
      <c r="AX224" s="600">
        <v>0</v>
      </c>
      <c r="AY224" s="599"/>
      <c r="AZ224" s="600"/>
      <c r="BA224" s="601"/>
      <c r="BB224" s="602">
        <v>218638</v>
      </c>
      <c r="BC224" s="599">
        <v>202283</v>
      </c>
      <c r="BD224" s="600">
        <v>437040</v>
      </c>
      <c r="BE224" s="599">
        <v>409261</v>
      </c>
      <c r="BF224" s="600">
        <v>589777</v>
      </c>
      <c r="BG224" s="599">
        <v>2533806</v>
      </c>
      <c r="BH224" s="600">
        <v>1275776</v>
      </c>
      <c r="BI224" s="599">
        <v>3157855</v>
      </c>
      <c r="BJ224" s="600">
        <v>0</v>
      </c>
      <c r="BK224" s="647">
        <v>95685</v>
      </c>
      <c r="BL224" s="600">
        <v>0</v>
      </c>
      <c r="BM224" s="604"/>
      <c r="BN224" s="605">
        <f t="shared" si="299"/>
        <v>42</v>
      </c>
      <c r="BO224" s="606">
        <f t="shared" si="300"/>
        <v>45</v>
      </c>
      <c r="BP224" s="607">
        <f t="shared" si="301"/>
        <v>90</v>
      </c>
      <c r="BQ224" s="606">
        <f t="shared" si="302"/>
        <v>81</v>
      </c>
      <c r="BR224" s="607">
        <f t="shared" si="303"/>
        <v>119</v>
      </c>
      <c r="BS224" s="606">
        <f t="shared" si="304"/>
        <v>153</v>
      </c>
      <c r="BT224" s="607">
        <f t="shared" si="305"/>
        <v>312</v>
      </c>
      <c r="BU224" s="606">
        <f t="shared" si="306"/>
        <v>726</v>
      </c>
      <c r="BV224" s="607">
        <f t="shared" si="307"/>
        <v>0</v>
      </c>
      <c r="BW224" s="608">
        <f t="shared" si="308"/>
        <v>18</v>
      </c>
      <c r="BX224" s="607">
        <f t="shared" si="309"/>
        <v>0</v>
      </c>
      <c r="BY224" s="608">
        <f t="shared" si="310"/>
        <v>0</v>
      </c>
      <c r="BZ224" s="607">
        <f t="shared" si="311"/>
        <v>5205.666666666667</v>
      </c>
      <c r="CA224" s="608">
        <f t="shared" si="312"/>
        <v>4495.1777777777779</v>
      </c>
      <c r="CB224" s="607">
        <f t="shared" si="313"/>
        <v>4856</v>
      </c>
      <c r="CC224" s="608">
        <f t="shared" si="314"/>
        <v>5052.6049382716046</v>
      </c>
      <c r="CD224" s="607">
        <f t="shared" si="315"/>
        <v>4956.1092436974786</v>
      </c>
      <c r="CE224" s="608">
        <f t="shared" si="316"/>
        <v>16560.823529411766</v>
      </c>
      <c r="CF224" s="607">
        <f t="shared" si="317"/>
        <v>4089.0256410256411</v>
      </c>
      <c r="CG224" s="608">
        <f t="shared" si="318"/>
        <v>4349.6625344352615</v>
      </c>
      <c r="CH224" s="607">
        <f t="shared" si="319"/>
        <v>0</v>
      </c>
      <c r="CI224" s="608">
        <f t="shared" si="320"/>
        <v>5315.833333333333</v>
      </c>
      <c r="CJ224" s="607">
        <f t="shared" si="321"/>
        <v>0</v>
      </c>
      <c r="CK224" s="608">
        <f t="shared" si="322"/>
        <v>0</v>
      </c>
      <c r="CL224" s="609">
        <f t="shared" si="323"/>
        <v>46851</v>
      </c>
      <c r="CM224" s="608">
        <f t="shared" si="324"/>
        <v>40456.6</v>
      </c>
      <c r="CN224" s="610">
        <f t="shared" si="325"/>
        <v>43704</v>
      </c>
      <c r="CO224" s="606">
        <f t="shared" si="326"/>
        <v>45473.444444444438</v>
      </c>
      <c r="CP224" s="607">
        <f t="shared" si="327"/>
        <v>44604.983193277309</v>
      </c>
      <c r="CQ224" s="606">
        <f t="shared" si="328"/>
        <v>149047.4117647059</v>
      </c>
      <c r="CR224" s="607">
        <f t="shared" si="329"/>
        <v>36801.230769230773</v>
      </c>
      <c r="CS224" s="606">
        <f t="shared" si="330"/>
        <v>39146.962809917357</v>
      </c>
      <c r="CT224" s="607">
        <f t="shared" si="331"/>
        <v>0</v>
      </c>
      <c r="CU224" s="608">
        <f t="shared" si="332"/>
        <v>47842.5</v>
      </c>
      <c r="CV224" s="610">
        <f t="shared" si="333"/>
        <v>0</v>
      </c>
      <c r="CW224" s="608">
        <f t="shared" si="334"/>
        <v>0</v>
      </c>
      <c r="CX224" s="610">
        <f t="shared" si="335"/>
        <v>40372.002815728643</v>
      </c>
      <c r="CY224" s="611">
        <f t="shared" si="336"/>
        <v>56707.190082644629</v>
      </c>
      <c r="CZ224" s="605">
        <f t="shared" si="337"/>
        <v>4</v>
      </c>
      <c r="DA224" s="612">
        <f t="shared" si="338"/>
        <v>5</v>
      </c>
      <c r="DB224" s="607">
        <f t="shared" si="339"/>
        <v>10</v>
      </c>
      <c r="DC224" s="606">
        <f t="shared" si="340"/>
        <v>9</v>
      </c>
      <c r="DD224" s="607">
        <f t="shared" si="341"/>
        <v>13</v>
      </c>
      <c r="DE224" s="606">
        <f t="shared" si="342"/>
        <v>17</v>
      </c>
      <c r="DF224" s="607">
        <f t="shared" si="343"/>
        <v>32</v>
      </c>
      <c r="DG224" s="606">
        <f t="shared" si="344"/>
        <v>78</v>
      </c>
      <c r="DH224" s="607">
        <f t="shared" si="345"/>
        <v>0</v>
      </c>
      <c r="DI224" s="608">
        <f t="shared" si="346"/>
        <v>2</v>
      </c>
      <c r="DJ224" s="607">
        <f t="shared" si="347"/>
        <v>0</v>
      </c>
      <c r="DK224" s="608">
        <f t="shared" si="348"/>
        <v>0</v>
      </c>
      <c r="DL224" s="607">
        <f t="shared" si="349"/>
        <v>59</v>
      </c>
      <c r="DM224" s="608">
        <f t="shared" si="350"/>
        <v>111</v>
      </c>
      <c r="DN224" s="607">
        <f t="shared" si="351"/>
        <v>187404</v>
      </c>
      <c r="DO224" s="612">
        <f t="shared" si="352"/>
        <v>202283</v>
      </c>
      <c r="DP224" s="607">
        <f t="shared" si="353"/>
        <v>437040</v>
      </c>
      <c r="DQ224" s="606">
        <f t="shared" si="354"/>
        <v>409260.99999999994</v>
      </c>
      <c r="DR224" s="607">
        <f t="shared" si="355"/>
        <v>579864.78151260503</v>
      </c>
      <c r="DS224" s="606">
        <f t="shared" si="356"/>
        <v>2533806.0000000005</v>
      </c>
      <c r="DT224" s="607">
        <f t="shared" si="357"/>
        <v>1177639.3846153847</v>
      </c>
      <c r="DU224" s="606">
        <f t="shared" si="358"/>
        <v>3053463.0991735538</v>
      </c>
      <c r="DV224" s="607">
        <f t="shared" si="359"/>
        <v>0</v>
      </c>
      <c r="DW224" s="608">
        <f t="shared" si="360"/>
        <v>95685</v>
      </c>
      <c r="DX224" s="607">
        <f t="shared" si="361"/>
        <v>0</v>
      </c>
      <c r="DY224" s="608">
        <f t="shared" si="362"/>
        <v>0</v>
      </c>
      <c r="DZ224" s="607">
        <f t="shared" si="363"/>
        <v>2381948.16612799</v>
      </c>
      <c r="EA224" s="608">
        <f t="shared" si="364"/>
        <v>6294498.0991735542</v>
      </c>
    </row>
    <row r="225" spans="1:131" x14ac:dyDescent="0.2">
      <c r="A225" s="450" t="s">
        <v>37</v>
      </c>
      <c r="B225" s="448" t="s">
        <v>843</v>
      </c>
      <c r="C225" s="557"/>
      <c r="D225" s="460">
        <v>158884</v>
      </c>
      <c r="E225" s="449">
        <v>10</v>
      </c>
      <c r="F225" s="598">
        <v>5</v>
      </c>
      <c r="G225" s="599">
        <v>9</v>
      </c>
      <c r="H225" s="600"/>
      <c r="I225" s="601"/>
      <c r="J225" s="600">
        <v>0</v>
      </c>
      <c r="K225" s="599"/>
      <c r="L225" s="600"/>
      <c r="M225" s="601"/>
      <c r="N225" s="600">
        <v>15</v>
      </c>
      <c r="O225" s="599">
        <v>12</v>
      </c>
      <c r="P225" s="600"/>
      <c r="Q225" s="601"/>
      <c r="R225" s="600">
        <v>0</v>
      </c>
      <c r="S225" s="599"/>
      <c r="T225" s="600"/>
      <c r="U225" s="601"/>
      <c r="V225" s="600">
        <v>6</v>
      </c>
      <c r="W225" s="599">
        <v>4</v>
      </c>
      <c r="X225" s="600"/>
      <c r="Y225" s="601"/>
      <c r="Z225" s="600">
        <v>1</v>
      </c>
      <c r="AA225" s="599"/>
      <c r="AB225" s="600"/>
      <c r="AC225" s="643">
        <v>1</v>
      </c>
      <c r="AD225" s="600">
        <v>10</v>
      </c>
      <c r="AE225" s="599">
        <v>15</v>
      </c>
      <c r="AF225" s="600"/>
      <c r="AG225" s="601"/>
      <c r="AH225" s="600">
        <v>1</v>
      </c>
      <c r="AI225" s="599"/>
      <c r="AJ225" s="600"/>
      <c r="AK225" s="643"/>
      <c r="AL225" s="600">
        <v>0</v>
      </c>
      <c r="AM225" s="599">
        <v>1</v>
      </c>
      <c r="AN225" s="600"/>
      <c r="AO225" s="601"/>
      <c r="AP225" s="600">
        <v>0</v>
      </c>
      <c r="AQ225" s="599"/>
      <c r="AR225" s="600"/>
      <c r="AS225" s="601"/>
      <c r="AT225" s="600">
        <v>0</v>
      </c>
      <c r="AU225" s="599"/>
      <c r="AV225" s="600"/>
      <c r="AW225" s="601"/>
      <c r="AX225" s="600">
        <v>0</v>
      </c>
      <c r="AY225" s="599"/>
      <c r="AZ225" s="600"/>
      <c r="BA225" s="601"/>
      <c r="BB225" s="602">
        <v>264600</v>
      </c>
      <c r="BC225" s="599">
        <v>458100</v>
      </c>
      <c r="BD225" s="600">
        <v>727620</v>
      </c>
      <c r="BE225" s="599">
        <v>556118</v>
      </c>
      <c r="BF225" s="600">
        <v>320300</v>
      </c>
      <c r="BG225" s="599">
        <v>265800</v>
      </c>
      <c r="BH225" s="600">
        <v>552000</v>
      </c>
      <c r="BI225" s="599">
        <v>618333</v>
      </c>
      <c r="BJ225" s="600">
        <v>0</v>
      </c>
      <c r="BK225" s="647">
        <v>38000</v>
      </c>
      <c r="BL225" s="600">
        <v>0</v>
      </c>
      <c r="BM225" s="604"/>
      <c r="BN225" s="605">
        <f t="shared" si="299"/>
        <v>45</v>
      </c>
      <c r="BO225" s="606">
        <f t="shared" si="300"/>
        <v>81</v>
      </c>
      <c r="BP225" s="607">
        <f t="shared" si="301"/>
        <v>135</v>
      </c>
      <c r="BQ225" s="606">
        <f t="shared" si="302"/>
        <v>108</v>
      </c>
      <c r="BR225" s="607">
        <f t="shared" si="303"/>
        <v>65</v>
      </c>
      <c r="BS225" s="606">
        <f t="shared" si="304"/>
        <v>48</v>
      </c>
      <c r="BT225" s="607">
        <f t="shared" si="305"/>
        <v>101</v>
      </c>
      <c r="BU225" s="606">
        <f t="shared" si="306"/>
        <v>135</v>
      </c>
      <c r="BV225" s="607">
        <f t="shared" si="307"/>
        <v>0</v>
      </c>
      <c r="BW225" s="608">
        <f t="shared" si="308"/>
        <v>9</v>
      </c>
      <c r="BX225" s="607">
        <f t="shared" si="309"/>
        <v>0</v>
      </c>
      <c r="BY225" s="608">
        <f t="shared" si="310"/>
        <v>0</v>
      </c>
      <c r="BZ225" s="607">
        <f t="shared" si="311"/>
        <v>5880</v>
      </c>
      <c r="CA225" s="608">
        <f t="shared" si="312"/>
        <v>5655.5555555555557</v>
      </c>
      <c r="CB225" s="607">
        <f t="shared" si="313"/>
        <v>5389.7777777777774</v>
      </c>
      <c r="CC225" s="608">
        <f t="shared" si="314"/>
        <v>5149.2407407407409</v>
      </c>
      <c r="CD225" s="607">
        <f t="shared" si="315"/>
        <v>4927.6923076923076</v>
      </c>
      <c r="CE225" s="608">
        <f t="shared" si="316"/>
        <v>5537.5</v>
      </c>
      <c r="CF225" s="607">
        <f t="shared" si="317"/>
        <v>5465.3465346534649</v>
      </c>
      <c r="CG225" s="608">
        <f t="shared" si="318"/>
        <v>4580.2444444444445</v>
      </c>
      <c r="CH225" s="607">
        <f t="shared" si="319"/>
        <v>0</v>
      </c>
      <c r="CI225" s="608">
        <f t="shared" si="320"/>
        <v>4222.2222222222226</v>
      </c>
      <c r="CJ225" s="607">
        <f t="shared" si="321"/>
        <v>0</v>
      </c>
      <c r="CK225" s="608">
        <f t="shared" si="322"/>
        <v>0</v>
      </c>
      <c r="CL225" s="609">
        <f t="shared" si="323"/>
        <v>52920</v>
      </c>
      <c r="CM225" s="608">
        <f t="shared" si="324"/>
        <v>50900</v>
      </c>
      <c r="CN225" s="610">
        <f t="shared" si="325"/>
        <v>48508</v>
      </c>
      <c r="CO225" s="606">
        <f t="shared" si="326"/>
        <v>46343.166666666672</v>
      </c>
      <c r="CP225" s="607">
        <f t="shared" si="327"/>
        <v>44349.230769230766</v>
      </c>
      <c r="CQ225" s="606">
        <f t="shared" si="328"/>
        <v>49837.5</v>
      </c>
      <c r="CR225" s="607">
        <f t="shared" si="329"/>
        <v>49188.118811881184</v>
      </c>
      <c r="CS225" s="606">
        <f t="shared" si="330"/>
        <v>41222.199999999997</v>
      </c>
      <c r="CT225" s="607">
        <f t="shared" si="331"/>
        <v>0</v>
      </c>
      <c r="CU225" s="608">
        <f t="shared" si="332"/>
        <v>38000</v>
      </c>
      <c r="CV225" s="610">
        <f t="shared" si="333"/>
        <v>0</v>
      </c>
      <c r="CW225" s="608">
        <f t="shared" si="334"/>
        <v>0</v>
      </c>
      <c r="CX225" s="610">
        <f t="shared" si="335"/>
        <v>48519.313745139691</v>
      </c>
      <c r="CY225" s="611">
        <f t="shared" si="336"/>
        <v>45708.059523809527</v>
      </c>
      <c r="CZ225" s="605">
        <f t="shared" si="337"/>
        <v>5</v>
      </c>
      <c r="DA225" s="612">
        <f t="shared" si="338"/>
        <v>9</v>
      </c>
      <c r="DB225" s="607">
        <f t="shared" si="339"/>
        <v>15</v>
      </c>
      <c r="DC225" s="606">
        <f t="shared" si="340"/>
        <v>12</v>
      </c>
      <c r="DD225" s="607">
        <f t="shared" si="341"/>
        <v>7</v>
      </c>
      <c r="DE225" s="606">
        <f t="shared" si="342"/>
        <v>5</v>
      </c>
      <c r="DF225" s="607">
        <f t="shared" si="343"/>
        <v>11</v>
      </c>
      <c r="DG225" s="606">
        <f t="shared" si="344"/>
        <v>15</v>
      </c>
      <c r="DH225" s="607">
        <f t="shared" si="345"/>
        <v>0</v>
      </c>
      <c r="DI225" s="608">
        <f t="shared" si="346"/>
        <v>1</v>
      </c>
      <c r="DJ225" s="607">
        <f t="shared" si="347"/>
        <v>0</v>
      </c>
      <c r="DK225" s="608">
        <f t="shared" si="348"/>
        <v>0</v>
      </c>
      <c r="DL225" s="607">
        <f t="shared" si="349"/>
        <v>38</v>
      </c>
      <c r="DM225" s="608">
        <f t="shared" si="350"/>
        <v>42</v>
      </c>
      <c r="DN225" s="607">
        <f t="shared" si="351"/>
        <v>264600</v>
      </c>
      <c r="DO225" s="612">
        <f t="shared" si="352"/>
        <v>458100</v>
      </c>
      <c r="DP225" s="607">
        <f t="shared" si="353"/>
        <v>727620</v>
      </c>
      <c r="DQ225" s="606">
        <f t="shared" si="354"/>
        <v>556118</v>
      </c>
      <c r="DR225" s="607">
        <f t="shared" si="355"/>
        <v>310444.61538461538</v>
      </c>
      <c r="DS225" s="606">
        <f t="shared" si="356"/>
        <v>249187.5</v>
      </c>
      <c r="DT225" s="607">
        <f t="shared" si="357"/>
        <v>541069.30693069298</v>
      </c>
      <c r="DU225" s="606">
        <f t="shared" si="358"/>
        <v>618333</v>
      </c>
      <c r="DV225" s="607">
        <f t="shared" si="359"/>
        <v>0</v>
      </c>
      <c r="DW225" s="608">
        <f t="shared" si="360"/>
        <v>38000</v>
      </c>
      <c r="DX225" s="607">
        <f t="shared" si="361"/>
        <v>0</v>
      </c>
      <c r="DY225" s="608">
        <f t="shared" si="362"/>
        <v>0</v>
      </c>
      <c r="DZ225" s="607">
        <f t="shared" si="363"/>
        <v>1843733.9223153084</v>
      </c>
      <c r="EA225" s="608">
        <f t="shared" si="364"/>
        <v>1919738.5</v>
      </c>
    </row>
    <row r="226" spans="1:131" x14ac:dyDescent="0.2">
      <c r="A226" s="457" t="s">
        <v>37</v>
      </c>
      <c r="B226" s="453" t="s">
        <v>844</v>
      </c>
      <c r="C226" s="559"/>
      <c r="D226" s="460">
        <v>436304</v>
      </c>
      <c r="E226" s="449">
        <v>10</v>
      </c>
      <c r="F226" s="598">
        <v>0</v>
      </c>
      <c r="G226" s="599">
        <v>1</v>
      </c>
      <c r="H226" s="600"/>
      <c r="I226" s="601"/>
      <c r="J226" s="600">
        <v>0</v>
      </c>
      <c r="K226" s="599"/>
      <c r="L226" s="600"/>
      <c r="M226" s="601">
        <v>1</v>
      </c>
      <c r="N226" s="600">
        <v>4</v>
      </c>
      <c r="O226" s="599">
        <v>6</v>
      </c>
      <c r="P226" s="600"/>
      <c r="Q226" s="601"/>
      <c r="R226" s="600">
        <v>1</v>
      </c>
      <c r="S226" s="599"/>
      <c r="T226" s="600"/>
      <c r="U226" s="601"/>
      <c r="V226" s="600">
        <v>14</v>
      </c>
      <c r="W226" s="599">
        <v>13</v>
      </c>
      <c r="X226" s="600"/>
      <c r="Y226" s="601"/>
      <c r="Z226" s="600">
        <v>1</v>
      </c>
      <c r="AA226" s="599"/>
      <c r="AB226" s="600"/>
      <c r="AC226" s="643"/>
      <c r="AD226" s="600">
        <v>25</v>
      </c>
      <c r="AE226" s="599">
        <v>23</v>
      </c>
      <c r="AF226" s="600"/>
      <c r="AG226" s="601"/>
      <c r="AH226" s="600">
        <v>3</v>
      </c>
      <c r="AI226" s="599"/>
      <c r="AJ226" s="600"/>
      <c r="AK226" s="643">
        <v>2</v>
      </c>
      <c r="AL226" s="600">
        <v>0</v>
      </c>
      <c r="AM226" s="599">
        <v>1</v>
      </c>
      <c r="AN226" s="600"/>
      <c r="AO226" s="601"/>
      <c r="AP226" s="600">
        <v>0</v>
      </c>
      <c r="AQ226" s="599"/>
      <c r="AR226" s="600"/>
      <c r="AS226" s="601"/>
      <c r="AT226" s="600">
        <v>0</v>
      </c>
      <c r="AU226" s="599"/>
      <c r="AV226" s="600"/>
      <c r="AW226" s="601"/>
      <c r="AX226" s="600">
        <v>0</v>
      </c>
      <c r="AY226" s="599"/>
      <c r="AZ226" s="600"/>
      <c r="BA226" s="601"/>
      <c r="BB226" s="602">
        <v>0</v>
      </c>
      <c r="BC226" s="599">
        <v>104280</v>
      </c>
      <c r="BD226" s="600">
        <v>243481</v>
      </c>
      <c r="BE226" s="599">
        <v>269777</v>
      </c>
      <c r="BF226" s="600">
        <v>605578</v>
      </c>
      <c r="BG226" s="599">
        <v>566503</v>
      </c>
      <c r="BH226" s="600">
        <v>1038069</v>
      </c>
      <c r="BI226" s="599">
        <v>926015</v>
      </c>
      <c r="BJ226" s="600">
        <v>0</v>
      </c>
      <c r="BK226" s="647">
        <v>40000</v>
      </c>
      <c r="BL226" s="600">
        <v>0</v>
      </c>
      <c r="BM226" s="604"/>
      <c r="BN226" s="605">
        <f t="shared" si="299"/>
        <v>0</v>
      </c>
      <c r="BO226" s="606">
        <f t="shared" si="300"/>
        <v>21</v>
      </c>
      <c r="BP226" s="607">
        <f t="shared" si="301"/>
        <v>47</v>
      </c>
      <c r="BQ226" s="606">
        <f t="shared" si="302"/>
        <v>54</v>
      </c>
      <c r="BR226" s="607">
        <f t="shared" si="303"/>
        <v>137</v>
      </c>
      <c r="BS226" s="606">
        <f t="shared" si="304"/>
        <v>117</v>
      </c>
      <c r="BT226" s="607">
        <f t="shared" si="305"/>
        <v>258</v>
      </c>
      <c r="BU226" s="606">
        <f t="shared" si="306"/>
        <v>231</v>
      </c>
      <c r="BV226" s="607">
        <f t="shared" si="307"/>
        <v>0</v>
      </c>
      <c r="BW226" s="608">
        <f t="shared" si="308"/>
        <v>9</v>
      </c>
      <c r="BX226" s="607">
        <f t="shared" si="309"/>
        <v>0</v>
      </c>
      <c r="BY226" s="608">
        <f t="shared" si="310"/>
        <v>0</v>
      </c>
      <c r="BZ226" s="607">
        <f t="shared" si="311"/>
        <v>0</v>
      </c>
      <c r="CA226" s="608">
        <f t="shared" si="312"/>
        <v>4965.7142857142853</v>
      </c>
      <c r="CB226" s="607">
        <f t="shared" si="313"/>
        <v>5180.4468085106382</v>
      </c>
      <c r="CC226" s="608">
        <f t="shared" si="314"/>
        <v>4995.8703703703704</v>
      </c>
      <c r="CD226" s="607">
        <f t="shared" si="315"/>
        <v>4420.2773722627735</v>
      </c>
      <c r="CE226" s="608">
        <f t="shared" si="316"/>
        <v>4841.9059829059825</v>
      </c>
      <c r="CF226" s="607">
        <f t="shared" si="317"/>
        <v>4023.5232558139537</v>
      </c>
      <c r="CG226" s="608">
        <f t="shared" si="318"/>
        <v>4008.7229437229439</v>
      </c>
      <c r="CH226" s="607">
        <f t="shared" si="319"/>
        <v>0</v>
      </c>
      <c r="CI226" s="608">
        <f t="shared" si="320"/>
        <v>4444.4444444444443</v>
      </c>
      <c r="CJ226" s="607">
        <f t="shared" si="321"/>
        <v>0</v>
      </c>
      <c r="CK226" s="608">
        <f t="shared" si="322"/>
        <v>0</v>
      </c>
      <c r="CL226" s="609">
        <f t="shared" si="323"/>
        <v>0</v>
      </c>
      <c r="CM226" s="608">
        <f t="shared" si="324"/>
        <v>44691.428571428565</v>
      </c>
      <c r="CN226" s="610">
        <f t="shared" si="325"/>
        <v>46624.02127659574</v>
      </c>
      <c r="CO226" s="606">
        <f t="shared" si="326"/>
        <v>44962.833333333336</v>
      </c>
      <c r="CP226" s="607">
        <f t="shared" si="327"/>
        <v>39782.496350364963</v>
      </c>
      <c r="CQ226" s="606">
        <f t="shared" si="328"/>
        <v>43577.153846153844</v>
      </c>
      <c r="CR226" s="607">
        <f t="shared" si="329"/>
        <v>36211.70930232558</v>
      </c>
      <c r="CS226" s="606">
        <f t="shared" si="330"/>
        <v>36078.506493506495</v>
      </c>
      <c r="CT226" s="607">
        <f t="shared" si="331"/>
        <v>0</v>
      </c>
      <c r="CU226" s="608">
        <f t="shared" si="332"/>
        <v>40000</v>
      </c>
      <c r="CV226" s="610">
        <f t="shared" si="333"/>
        <v>0</v>
      </c>
      <c r="CW226" s="608">
        <f t="shared" si="334"/>
        <v>0</v>
      </c>
      <c r="CX226" s="610">
        <f t="shared" si="335"/>
        <v>38412.196085491028</v>
      </c>
      <c r="CY226" s="611">
        <f t="shared" si="336"/>
        <v>39736.713180436585</v>
      </c>
      <c r="CZ226" s="605">
        <f t="shared" si="337"/>
        <v>0</v>
      </c>
      <c r="DA226" s="612">
        <f t="shared" si="338"/>
        <v>2</v>
      </c>
      <c r="DB226" s="607">
        <f t="shared" si="339"/>
        <v>5</v>
      </c>
      <c r="DC226" s="606">
        <f t="shared" si="340"/>
        <v>6</v>
      </c>
      <c r="DD226" s="607">
        <f t="shared" si="341"/>
        <v>15</v>
      </c>
      <c r="DE226" s="606">
        <f t="shared" si="342"/>
        <v>13</v>
      </c>
      <c r="DF226" s="607">
        <f t="shared" si="343"/>
        <v>28</v>
      </c>
      <c r="DG226" s="606">
        <f t="shared" si="344"/>
        <v>25</v>
      </c>
      <c r="DH226" s="607">
        <f t="shared" si="345"/>
        <v>0</v>
      </c>
      <c r="DI226" s="608">
        <f t="shared" si="346"/>
        <v>1</v>
      </c>
      <c r="DJ226" s="607">
        <f t="shared" si="347"/>
        <v>0</v>
      </c>
      <c r="DK226" s="608">
        <f t="shared" si="348"/>
        <v>0</v>
      </c>
      <c r="DL226" s="607">
        <f t="shared" si="349"/>
        <v>48</v>
      </c>
      <c r="DM226" s="608">
        <f t="shared" si="350"/>
        <v>47</v>
      </c>
      <c r="DN226" s="607">
        <f t="shared" si="351"/>
        <v>0</v>
      </c>
      <c r="DO226" s="612">
        <f t="shared" si="352"/>
        <v>89382.85714285713</v>
      </c>
      <c r="DP226" s="607">
        <f t="shared" si="353"/>
        <v>233120.1063829787</v>
      </c>
      <c r="DQ226" s="606">
        <f t="shared" si="354"/>
        <v>269777</v>
      </c>
      <c r="DR226" s="607">
        <f t="shared" si="355"/>
        <v>596737.44525547442</v>
      </c>
      <c r="DS226" s="606">
        <f t="shared" si="356"/>
        <v>566503</v>
      </c>
      <c r="DT226" s="607">
        <f t="shared" si="357"/>
        <v>1013927.8604651162</v>
      </c>
      <c r="DU226" s="606">
        <f t="shared" si="358"/>
        <v>901962.66233766242</v>
      </c>
      <c r="DV226" s="607">
        <f t="shared" si="359"/>
        <v>0</v>
      </c>
      <c r="DW226" s="608">
        <f t="shared" si="360"/>
        <v>40000</v>
      </c>
      <c r="DX226" s="607">
        <f t="shared" si="361"/>
        <v>0</v>
      </c>
      <c r="DY226" s="608">
        <f t="shared" si="362"/>
        <v>0</v>
      </c>
      <c r="DZ226" s="607">
        <f t="shared" si="363"/>
        <v>1843785.4121035694</v>
      </c>
      <c r="EA226" s="608">
        <f t="shared" si="364"/>
        <v>1867625.5194805195</v>
      </c>
    </row>
    <row r="227" spans="1:131" x14ac:dyDescent="0.2">
      <c r="A227" s="458" t="s">
        <v>37</v>
      </c>
      <c r="B227" s="456" t="s">
        <v>845</v>
      </c>
      <c r="C227" s="557" t="s">
        <v>678</v>
      </c>
      <c r="D227" s="460">
        <v>160649</v>
      </c>
      <c r="E227" s="464">
        <v>10</v>
      </c>
      <c r="F227" s="598">
        <v>5</v>
      </c>
      <c r="G227" s="599">
        <v>4</v>
      </c>
      <c r="H227" s="600"/>
      <c r="I227" s="601"/>
      <c r="J227" s="600">
        <v>0</v>
      </c>
      <c r="K227" s="599"/>
      <c r="L227" s="600"/>
      <c r="M227" s="601"/>
      <c r="N227" s="600">
        <v>15</v>
      </c>
      <c r="O227" s="599">
        <v>11</v>
      </c>
      <c r="P227" s="600"/>
      <c r="Q227" s="601"/>
      <c r="R227" s="600">
        <v>1</v>
      </c>
      <c r="S227" s="599"/>
      <c r="T227" s="600"/>
      <c r="U227" s="601"/>
      <c r="V227" s="600">
        <v>26</v>
      </c>
      <c r="W227" s="599">
        <v>25</v>
      </c>
      <c r="X227" s="600"/>
      <c r="Y227" s="601"/>
      <c r="Z227" s="600">
        <v>9</v>
      </c>
      <c r="AA227" s="599"/>
      <c r="AB227" s="600"/>
      <c r="AC227" s="643"/>
      <c r="AD227" s="600">
        <v>12</v>
      </c>
      <c r="AE227" s="599">
        <v>16</v>
      </c>
      <c r="AF227" s="600"/>
      <c r="AG227" s="601"/>
      <c r="AH227" s="600">
        <v>24</v>
      </c>
      <c r="AI227" s="599">
        <v>19</v>
      </c>
      <c r="AJ227" s="600"/>
      <c r="AK227" s="643"/>
      <c r="AL227" s="600">
        <v>0</v>
      </c>
      <c r="AM227" s="599"/>
      <c r="AN227" s="600"/>
      <c r="AO227" s="601"/>
      <c r="AP227" s="600">
        <v>0</v>
      </c>
      <c r="AQ227" s="599"/>
      <c r="AR227" s="600"/>
      <c r="AS227" s="601"/>
      <c r="AT227" s="600">
        <v>0</v>
      </c>
      <c r="AU227" s="599"/>
      <c r="AV227" s="600"/>
      <c r="AW227" s="601"/>
      <c r="AX227" s="600">
        <v>0</v>
      </c>
      <c r="AY227" s="599"/>
      <c r="AZ227" s="600"/>
      <c r="BA227" s="601"/>
      <c r="BB227" s="602">
        <v>238975</v>
      </c>
      <c r="BC227" s="599">
        <v>232936</v>
      </c>
      <c r="BD227" s="600">
        <v>774084</v>
      </c>
      <c r="BE227" s="599">
        <v>513717</v>
      </c>
      <c r="BF227" s="600">
        <v>1634219</v>
      </c>
      <c r="BG227" s="599">
        <v>1078267</v>
      </c>
      <c r="BH227" s="600">
        <v>1435536</v>
      </c>
      <c r="BI227" s="599">
        <v>1492818</v>
      </c>
      <c r="BJ227" s="600">
        <v>0</v>
      </c>
      <c r="BK227" s="647"/>
      <c r="BL227" s="600">
        <v>0</v>
      </c>
      <c r="BM227" s="604"/>
      <c r="BN227" s="605">
        <f t="shared" si="299"/>
        <v>45</v>
      </c>
      <c r="BO227" s="606">
        <f t="shared" si="300"/>
        <v>36</v>
      </c>
      <c r="BP227" s="607">
        <f t="shared" si="301"/>
        <v>146</v>
      </c>
      <c r="BQ227" s="606">
        <f t="shared" si="302"/>
        <v>99</v>
      </c>
      <c r="BR227" s="607">
        <f t="shared" si="303"/>
        <v>333</v>
      </c>
      <c r="BS227" s="606">
        <f t="shared" si="304"/>
        <v>225</v>
      </c>
      <c r="BT227" s="607">
        <f t="shared" si="305"/>
        <v>372</v>
      </c>
      <c r="BU227" s="606">
        <f t="shared" si="306"/>
        <v>353</v>
      </c>
      <c r="BV227" s="607">
        <f t="shared" si="307"/>
        <v>0</v>
      </c>
      <c r="BW227" s="608">
        <f t="shared" si="308"/>
        <v>0</v>
      </c>
      <c r="BX227" s="607">
        <f t="shared" si="309"/>
        <v>0</v>
      </c>
      <c r="BY227" s="608">
        <f t="shared" si="310"/>
        <v>0</v>
      </c>
      <c r="BZ227" s="607">
        <f t="shared" si="311"/>
        <v>5310.5555555555557</v>
      </c>
      <c r="CA227" s="608">
        <f t="shared" si="312"/>
        <v>6470.4444444444443</v>
      </c>
      <c r="CB227" s="607">
        <f t="shared" si="313"/>
        <v>5301.9452054794519</v>
      </c>
      <c r="CC227" s="608">
        <f t="shared" si="314"/>
        <v>5189.060606060606</v>
      </c>
      <c r="CD227" s="607">
        <f t="shared" si="315"/>
        <v>4907.5645645645645</v>
      </c>
      <c r="CE227" s="608">
        <f t="shared" si="316"/>
        <v>4792.2977777777778</v>
      </c>
      <c r="CF227" s="607">
        <f t="shared" si="317"/>
        <v>3858.9677419354839</v>
      </c>
      <c r="CG227" s="608">
        <f t="shared" si="318"/>
        <v>4228.9461756373939</v>
      </c>
      <c r="CH227" s="607">
        <f t="shared" si="319"/>
        <v>0</v>
      </c>
      <c r="CI227" s="608">
        <f t="shared" si="320"/>
        <v>0</v>
      </c>
      <c r="CJ227" s="607">
        <f t="shared" si="321"/>
        <v>0</v>
      </c>
      <c r="CK227" s="608">
        <f t="shared" si="322"/>
        <v>0</v>
      </c>
      <c r="CL227" s="609">
        <f t="shared" si="323"/>
        <v>47795</v>
      </c>
      <c r="CM227" s="608">
        <f t="shared" si="324"/>
        <v>58234</v>
      </c>
      <c r="CN227" s="610">
        <f t="shared" si="325"/>
        <v>47717.506849315068</v>
      </c>
      <c r="CO227" s="606">
        <f t="shared" si="326"/>
        <v>46701.545454545456</v>
      </c>
      <c r="CP227" s="607">
        <f t="shared" si="327"/>
        <v>44168.08108108108</v>
      </c>
      <c r="CQ227" s="606">
        <f t="shared" si="328"/>
        <v>43130.68</v>
      </c>
      <c r="CR227" s="607">
        <f t="shared" si="329"/>
        <v>34730.709677419356</v>
      </c>
      <c r="CS227" s="606">
        <f t="shared" si="330"/>
        <v>38060.515580736545</v>
      </c>
      <c r="CT227" s="607">
        <f t="shared" si="331"/>
        <v>0</v>
      </c>
      <c r="CU227" s="608">
        <f t="shared" si="332"/>
        <v>0</v>
      </c>
      <c r="CV227" s="610">
        <f t="shared" si="333"/>
        <v>0</v>
      </c>
      <c r="CW227" s="608">
        <f t="shared" si="334"/>
        <v>0</v>
      </c>
      <c r="CX227" s="610">
        <f t="shared" si="335"/>
        <v>41289.603215369301</v>
      </c>
      <c r="CY227" s="611">
        <f t="shared" si="336"/>
        <v>42093.840604343728</v>
      </c>
      <c r="CZ227" s="605">
        <f t="shared" si="337"/>
        <v>5</v>
      </c>
      <c r="DA227" s="612">
        <f t="shared" si="338"/>
        <v>4</v>
      </c>
      <c r="DB227" s="607">
        <f t="shared" si="339"/>
        <v>16</v>
      </c>
      <c r="DC227" s="606">
        <f t="shared" si="340"/>
        <v>11</v>
      </c>
      <c r="DD227" s="607">
        <f t="shared" si="341"/>
        <v>35</v>
      </c>
      <c r="DE227" s="606">
        <f t="shared" si="342"/>
        <v>25</v>
      </c>
      <c r="DF227" s="607">
        <f t="shared" si="343"/>
        <v>36</v>
      </c>
      <c r="DG227" s="606">
        <f t="shared" si="344"/>
        <v>35</v>
      </c>
      <c r="DH227" s="607">
        <f t="shared" si="345"/>
        <v>0</v>
      </c>
      <c r="DI227" s="608">
        <f t="shared" si="346"/>
        <v>0</v>
      </c>
      <c r="DJ227" s="607">
        <f t="shared" si="347"/>
        <v>0</v>
      </c>
      <c r="DK227" s="608">
        <f t="shared" si="348"/>
        <v>0</v>
      </c>
      <c r="DL227" s="607">
        <f t="shared" si="349"/>
        <v>92</v>
      </c>
      <c r="DM227" s="608">
        <f t="shared" si="350"/>
        <v>75</v>
      </c>
      <c r="DN227" s="607">
        <f t="shared" si="351"/>
        <v>238975</v>
      </c>
      <c r="DO227" s="612">
        <f t="shared" si="352"/>
        <v>232936</v>
      </c>
      <c r="DP227" s="607">
        <f t="shared" si="353"/>
        <v>763480.10958904109</v>
      </c>
      <c r="DQ227" s="606">
        <f t="shared" si="354"/>
        <v>513717</v>
      </c>
      <c r="DR227" s="607">
        <f t="shared" si="355"/>
        <v>1545882.8378378379</v>
      </c>
      <c r="DS227" s="606">
        <f t="shared" si="356"/>
        <v>1078267</v>
      </c>
      <c r="DT227" s="607">
        <f t="shared" si="357"/>
        <v>1250305.5483870967</v>
      </c>
      <c r="DU227" s="606">
        <f t="shared" si="358"/>
        <v>1332118.0453257791</v>
      </c>
      <c r="DV227" s="607">
        <f t="shared" si="359"/>
        <v>0</v>
      </c>
      <c r="DW227" s="608">
        <f t="shared" si="360"/>
        <v>0</v>
      </c>
      <c r="DX227" s="607">
        <f t="shared" si="361"/>
        <v>0</v>
      </c>
      <c r="DY227" s="608">
        <f t="shared" si="362"/>
        <v>0</v>
      </c>
      <c r="DZ227" s="607">
        <f t="shared" si="363"/>
        <v>3798643.4958139756</v>
      </c>
      <c r="EA227" s="608">
        <f t="shared" si="364"/>
        <v>3157038.0453257798</v>
      </c>
    </row>
    <row r="228" spans="1:131" x14ac:dyDescent="0.2">
      <c r="A228" s="455" t="s">
        <v>37</v>
      </c>
      <c r="B228" s="459" t="s">
        <v>846</v>
      </c>
      <c r="C228" s="561"/>
      <c r="D228" s="460">
        <v>159443</v>
      </c>
      <c r="E228" s="449">
        <v>12</v>
      </c>
      <c r="F228" s="598">
        <v>1</v>
      </c>
      <c r="G228" s="599"/>
      <c r="H228" s="600"/>
      <c r="I228" s="601"/>
      <c r="J228" s="600">
        <v>30</v>
      </c>
      <c r="K228" s="599"/>
      <c r="L228" s="600"/>
      <c r="M228" s="601"/>
      <c r="N228" s="600">
        <v>0</v>
      </c>
      <c r="O228" s="599"/>
      <c r="P228" s="600"/>
      <c r="Q228" s="601"/>
      <c r="R228" s="600">
        <v>6</v>
      </c>
      <c r="S228" s="599"/>
      <c r="T228" s="600"/>
      <c r="U228" s="601"/>
      <c r="V228" s="600">
        <v>1</v>
      </c>
      <c r="W228" s="599"/>
      <c r="X228" s="600"/>
      <c r="Y228" s="601"/>
      <c r="Z228" s="600">
        <v>10</v>
      </c>
      <c r="AA228" s="599"/>
      <c r="AB228" s="600"/>
      <c r="AC228" s="643"/>
      <c r="AD228" s="600">
        <v>19</v>
      </c>
      <c r="AE228" s="599"/>
      <c r="AF228" s="600"/>
      <c r="AG228" s="601"/>
      <c r="AH228" s="600">
        <v>62</v>
      </c>
      <c r="AI228" s="599"/>
      <c r="AJ228" s="600"/>
      <c r="AK228" s="643"/>
      <c r="AL228" s="600">
        <v>0</v>
      </c>
      <c r="AM228" s="599"/>
      <c r="AN228" s="600"/>
      <c r="AO228" s="601"/>
      <c r="AP228" s="600">
        <v>0</v>
      </c>
      <c r="AQ228" s="599"/>
      <c r="AR228" s="600"/>
      <c r="AS228" s="601"/>
      <c r="AT228" s="600">
        <v>0</v>
      </c>
      <c r="AU228" s="599"/>
      <c r="AV228" s="600"/>
      <c r="AW228" s="601"/>
      <c r="AX228" s="600">
        <v>0</v>
      </c>
      <c r="AY228" s="599"/>
      <c r="AZ228" s="600"/>
      <c r="BA228" s="601"/>
      <c r="BB228" s="602">
        <v>1431010</v>
      </c>
      <c r="BC228" s="599"/>
      <c r="BD228" s="600">
        <v>293646</v>
      </c>
      <c r="BE228" s="599"/>
      <c r="BF228" s="600">
        <v>531305</v>
      </c>
      <c r="BG228" s="599"/>
      <c r="BH228" s="600">
        <v>3392751</v>
      </c>
      <c r="BI228" s="599"/>
      <c r="BJ228" s="600">
        <v>0</v>
      </c>
      <c r="BK228" s="647"/>
      <c r="BL228" s="600">
        <v>0</v>
      </c>
      <c r="BM228" s="604"/>
      <c r="BN228" s="605">
        <f t="shared" si="299"/>
        <v>339</v>
      </c>
      <c r="BO228" s="606">
        <f t="shared" si="300"/>
        <v>0</v>
      </c>
      <c r="BP228" s="607">
        <f t="shared" si="301"/>
        <v>66</v>
      </c>
      <c r="BQ228" s="606">
        <f t="shared" si="302"/>
        <v>0</v>
      </c>
      <c r="BR228" s="607">
        <f t="shared" si="303"/>
        <v>119</v>
      </c>
      <c r="BS228" s="606">
        <f t="shared" si="304"/>
        <v>0</v>
      </c>
      <c r="BT228" s="607">
        <f t="shared" si="305"/>
        <v>853</v>
      </c>
      <c r="BU228" s="606">
        <f t="shared" si="306"/>
        <v>0</v>
      </c>
      <c r="BV228" s="607">
        <f t="shared" si="307"/>
        <v>0</v>
      </c>
      <c r="BW228" s="608">
        <f t="shared" si="308"/>
        <v>0</v>
      </c>
      <c r="BX228" s="607">
        <f t="shared" si="309"/>
        <v>0</v>
      </c>
      <c r="BY228" s="608">
        <f t="shared" si="310"/>
        <v>0</v>
      </c>
      <c r="BZ228" s="607">
        <f t="shared" si="311"/>
        <v>4221.2684365781715</v>
      </c>
      <c r="CA228" s="608">
        <f t="shared" si="312"/>
        <v>0</v>
      </c>
      <c r="CB228" s="607">
        <f t="shared" si="313"/>
        <v>4449.181818181818</v>
      </c>
      <c r="CC228" s="608">
        <f t="shared" si="314"/>
        <v>0</v>
      </c>
      <c r="CD228" s="607">
        <f t="shared" si="315"/>
        <v>4464.7478991596636</v>
      </c>
      <c r="CE228" s="608">
        <f t="shared" si="316"/>
        <v>0</v>
      </c>
      <c r="CF228" s="607">
        <f t="shared" si="317"/>
        <v>3977.4337631887456</v>
      </c>
      <c r="CG228" s="608">
        <f t="shared" si="318"/>
        <v>0</v>
      </c>
      <c r="CH228" s="607">
        <f t="shared" si="319"/>
        <v>0</v>
      </c>
      <c r="CI228" s="608">
        <f t="shared" si="320"/>
        <v>0</v>
      </c>
      <c r="CJ228" s="607">
        <f t="shared" si="321"/>
        <v>0</v>
      </c>
      <c r="CK228" s="608">
        <f t="shared" si="322"/>
        <v>0</v>
      </c>
      <c r="CL228" s="609">
        <f t="shared" si="323"/>
        <v>37991.415929203547</v>
      </c>
      <c r="CM228" s="608">
        <f t="shared" si="324"/>
        <v>0</v>
      </c>
      <c r="CN228" s="610">
        <f t="shared" si="325"/>
        <v>40042.63636363636</v>
      </c>
      <c r="CO228" s="606">
        <f t="shared" si="326"/>
        <v>0</v>
      </c>
      <c r="CP228" s="607">
        <f t="shared" si="327"/>
        <v>40182.731092436974</v>
      </c>
      <c r="CQ228" s="606">
        <f t="shared" si="328"/>
        <v>0</v>
      </c>
      <c r="CR228" s="607">
        <f t="shared" si="329"/>
        <v>35796.903868698711</v>
      </c>
      <c r="CS228" s="606">
        <f t="shared" si="330"/>
        <v>0</v>
      </c>
      <c r="CT228" s="607">
        <f t="shared" si="331"/>
        <v>0</v>
      </c>
      <c r="CU228" s="608">
        <f t="shared" si="332"/>
        <v>0</v>
      </c>
      <c r="CV228" s="610">
        <f t="shared" si="333"/>
        <v>0</v>
      </c>
      <c r="CW228" s="608">
        <f t="shared" si="334"/>
        <v>0</v>
      </c>
      <c r="CX228" s="610">
        <f t="shared" si="335"/>
        <v>36895.728429213414</v>
      </c>
      <c r="CY228" s="611">
        <f t="shared" si="336"/>
        <v>0</v>
      </c>
      <c r="CZ228" s="605">
        <f t="shared" si="337"/>
        <v>31</v>
      </c>
      <c r="DA228" s="612">
        <f t="shared" si="338"/>
        <v>0</v>
      </c>
      <c r="DB228" s="607">
        <f t="shared" si="339"/>
        <v>6</v>
      </c>
      <c r="DC228" s="606">
        <f t="shared" si="340"/>
        <v>0</v>
      </c>
      <c r="DD228" s="607">
        <f t="shared" si="341"/>
        <v>11</v>
      </c>
      <c r="DE228" s="606">
        <f t="shared" si="342"/>
        <v>0</v>
      </c>
      <c r="DF228" s="607">
        <f t="shared" si="343"/>
        <v>81</v>
      </c>
      <c r="DG228" s="606">
        <f t="shared" si="344"/>
        <v>0</v>
      </c>
      <c r="DH228" s="607">
        <f t="shared" si="345"/>
        <v>0</v>
      </c>
      <c r="DI228" s="608">
        <f t="shared" si="346"/>
        <v>0</v>
      </c>
      <c r="DJ228" s="607">
        <f t="shared" si="347"/>
        <v>0</v>
      </c>
      <c r="DK228" s="608">
        <f t="shared" si="348"/>
        <v>0</v>
      </c>
      <c r="DL228" s="607">
        <f t="shared" si="349"/>
        <v>129</v>
      </c>
      <c r="DM228" s="608">
        <f t="shared" si="350"/>
        <v>0</v>
      </c>
      <c r="DN228" s="607">
        <f t="shared" si="351"/>
        <v>1177733.8938053099</v>
      </c>
      <c r="DO228" s="612">
        <f t="shared" si="352"/>
        <v>0</v>
      </c>
      <c r="DP228" s="607">
        <f t="shared" si="353"/>
        <v>240255.81818181818</v>
      </c>
      <c r="DQ228" s="606">
        <f t="shared" si="354"/>
        <v>0</v>
      </c>
      <c r="DR228" s="607">
        <f t="shared" si="355"/>
        <v>442010.04201680672</v>
      </c>
      <c r="DS228" s="606">
        <f t="shared" si="356"/>
        <v>0</v>
      </c>
      <c r="DT228" s="607">
        <f t="shared" si="357"/>
        <v>2899549.2133645955</v>
      </c>
      <c r="DU228" s="606">
        <f t="shared" si="358"/>
        <v>0</v>
      </c>
      <c r="DV228" s="607">
        <f t="shared" si="359"/>
        <v>0</v>
      </c>
      <c r="DW228" s="608">
        <f t="shared" si="360"/>
        <v>0</v>
      </c>
      <c r="DX228" s="607">
        <f t="shared" si="361"/>
        <v>0</v>
      </c>
      <c r="DY228" s="608">
        <f t="shared" si="362"/>
        <v>0</v>
      </c>
      <c r="DZ228" s="607">
        <f t="shared" si="363"/>
        <v>4759548.9673685301</v>
      </c>
      <c r="EA228" s="608">
        <f t="shared" si="364"/>
        <v>0</v>
      </c>
    </row>
    <row r="229" spans="1:131" x14ac:dyDescent="0.2">
      <c r="A229" s="455" t="s">
        <v>37</v>
      </c>
      <c r="B229" s="459" t="s">
        <v>847</v>
      </c>
      <c r="C229" s="561"/>
      <c r="D229" s="460">
        <v>158352</v>
      </c>
      <c r="E229" s="449">
        <v>12</v>
      </c>
      <c r="F229" s="598"/>
      <c r="G229" s="599">
        <v>1</v>
      </c>
      <c r="H229" s="600"/>
      <c r="I229" s="601"/>
      <c r="J229" s="600">
        <v>1</v>
      </c>
      <c r="K229" s="599"/>
      <c r="L229" s="600"/>
      <c r="M229" s="601">
        <v>7</v>
      </c>
      <c r="N229" s="600">
        <v>0</v>
      </c>
      <c r="O229" s="599"/>
      <c r="P229" s="600"/>
      <c r="Q229" s="601"/>
      <c r="R229" s="600">
        <v>0</v>
      </c>
      <c r="S229" s="599"/>
      <c r="T229" s="600"/>
      <c r="U229" s="601"/>
      <c r="V229" s="600">
        <v>0</v>
      </c>
      <c r="W229" s="599">
        <v>1</v>
      </c>
      <c r="X229" s="600"/>
      <c r="Y229" s="601"/>
      <c r="Z229" s="600">
        <v>6</v>
      </c>
      <c r="AA229" s="599"/>
      <c r="AB229" s="600"/>
      <c r="AC229" s="643"/>
      <c r="AD229" s="600">
        <v>2</v>
      </c>
      <c r="AE229" s="599">
        <v>5</v>
      </c>
      <c r="AF229" s="600"/>
      <c r="AG229" s="601"/>
      <c r="AH229" s="600">
        <v>60</v>
      </c>
      <c r="AI229" s="599"/>
      <c r="AJ229" s="600"/>
      <c r="AK229" s="643">
        <v>11</v>
      </c>
      <c r="AL229" s="600">
        <v>0</v>
      </c>
      <c r="AM229" s="599"/>
      <c r="AN229" s="600"/>
      <c r="AO229" s="601"/>
      <c r="AP229" s="600">
        <v>0</v>
      </c>
      <c r="AQ229" s="599"/>
      <c r="AR229" s="600"/>
      <c r="AS229" s="601"/>
      <c r="AT229" s="600">
        <v>0</v>
      </c>
      <c r="AU229" s="599"/>
      <c r="AV229" s="600"/>
      <c r="AW229" s="601"/>
      <c r="AX229" s="600">
        <v>0</v>
      </c>
      <c r="AY229" s="599"/>
      <c r="AZ229" s="600"/>
      <c r="BA229" s="601"/>
      <c r="BB229" s="602">
        <v>56886</v>
      </c>
      <c r="BC229" s="599">
        <v>56886</v>
      </c>
      <c r="BD229" s="600">
        <v>0</v>
      </c>
      <c r="BE229" s="599"/>
      <c r="BF229" s="600">
        <v>325242</v>
      </c>
      <c r="BG229" s="599">
        <v>54111</v>
      </c>
      <c r="BH229" s="600">
        <v>3064450</v>
      </c>
      <c r="BI229" s="599">
        <v>725885</v>
      </c>
      <c r="BJ229" s="600">
        <v>0</v>
      </c>
      <c r="BK229" s="647"/>
      <c r="BL229" s="600">
        <v>0</v>
      </c>
      <c r="BM229" s="604"/>
      <c r="BN229" s="605">
        <f t="shared" si="299"/>
        <v>11</v>
      </c>
      <c r="BO229" s="606">
        <f t="shared" si="300"/>
        <v>93</v>
      </c>
      <c r="BP229" s="607">
        <f t="shared" si="301"/>
        <v>0</v>
      </c>
      <c r="BQ229" s="606">
        <f t="shared" si="302"/>
        <v>0</v>
      </c>
      <c r="BR229" s="607">
        <f t="shared" si="303"/>
        <v>66</v>
      </c>
      <c r="BS229" s="606">
        <f t="shared" si="304"/>
        <v>9</v>
      </c>
      <c r="BT229" s="607">
        <f t="shared" si="305"/>
        <v>678</v>
      </c>
      <c r="BU229" s="606">
        <f t="shared" si="306"/>
        <v>177</v>
      </c>
      <c r="BV229" s="607">
        <f t="shared" si="307"/>
        <v>0</v>
      </c>
      <c r="BW229" s="608">
        <f t="shared" si="308"/>
        <v>0</v>
      </c>
      <c r="BX229" s="607">
        <f t="shared" si="309"/>
        <v>0</v>
      </c>
      <c r="BY229" s="608">
        <f t="shared" si="310"/>
        <v>0</v>
      </c>
      <c r="BZ229" s="607">
        <f t="shared" si="311"/>
        <v>5171.454545454545</v>
      </c>
      <c r="CA229" s="608">
        <f t="shared" si="312"/>
        <v>611.67741935483866</v>
      </c>
      <c r="CB229" s="607">
        <f t="shared" si="313"/>
        <v>0</v>
      </c>
      <c r="CC229" s="608">
        <f t="shared" si="314"/>
        <v>0</v>
      </c>
      <c r="CD229" s="607">
        <f t="shared" si="315"/>
        <v>4927.909090909091</v>
      </c>
      <c r="CE229" s="608">
        <f t="shared" si="316"/>
        <v>6012.333333333333</v>
      </c>
      <c r="CF229" s="607">
        <f t="shared" si="317"/>
        <v>4519.837758112094</v>
      </c>
      <c r="CG229" s="608">
        <f t="shared" si="318"/>
        <v>4101.0451977401126</v>
      </c>
      <c r="CH229" s="607">
        <f t="shared" si="319"/>
        <v>0</v>
      </c>
      <c r="CI229" s="608">
        <f t="shared" si="320"/>
        <v>0</v>
      </c>
      <c r="CJ229" s="607">
        <f t="shared" si="321"/>
        <v>0</v>
      </c>
      <c r="CK229" s="608">
        <f t="shared" si="322"/>
        <v>0</v>
      </c>
      <c r="CL229" s="609">
        <f t="shared" si="323"/>
        <v>46543.090909090904</v>
      </c>
      <c r="CM229" s="608">
        <f t="shared" si="324"/>
        <v>5505.0967741935483</v>
      </c>
      <c r="CN229" s="610">
        <f t="shared" si="325"/>
        <v>0</v>
      </c>
      <c r="CO229" s="606">
        <f t="shared" si="326"/>
        <v>0</v>
      </c>
      <c r="CP229" s="607">
        <f t="shared" si="327"/>
        <v>44351.181818181816</v>
      </c>
      <c r="CQ229" s="606">
        <f t="shared" si="328"/>
        <v>54111</v>
      </c>
      <c r="CR229" s="607">
        <f t="shared" si="329"/>
        <v>40678.539823008847</v>
      </c>
      <c r="CS229" s="606">
        <f t="shared" si="330"/>
        <v>36909.406779661011</v>
      </c>
      <c r="CT229" s="607">
        <f t="shared" si="331"/>
        <v>0</v>
      </c>
      <c r="CU229" s="608">
        <f t="shared" si="332"/>
        <v>0</v>
      </c>
      <c r="CV229" s="610">
        <f t="shared" si="333"/>
        <v>0</v>
      </c>
      <c r="CW229" s="608">
        <f t="shared" si="334"/>
        <v>0</v>
      </c>
      <c r="CX229" s="610">
        <f t="shared" si="335"/>
        <v>41082.893490503331</v>
      </c>
      <c r="CY229" s="611">
        <f t="shared" si="336"/>
        <v>27548.091306724982</v>
      </c>
      <c r="CZ229" s="605">
        <f t="shared" si="337"/>
        <v>1</v>
      </c>
      <c r="DA229" s="612">
        <f t="shared" si="338"/>
        <v>8</v>
      </c>
      <c r="DB229" s="607">
        <f t="shared" si="339"/>
        <v>0</v>
      </c>
      <c r="DC229" s="606">
        <f t="shared" si="340"/>
        <v>0</v>
      </c>
      <c r="DD229" s="607">
        <f t="shared" si="341"/>
        <v>6</v>
      </c>
      <c r="DE229" s="606">
        <f t="shared" si="342"/>
        <v>1</v>
      </c>
      <c r="DF229" s="607">
        <f t="shared" si="343"/>
        <v>62</v>
      </c>
      <c r="DG229" s="606">
        <f t="shared" si="344"/>
        <v>16</v>
      </c>
      <c r="DH229" s="607">
        <f t="shared" si="345"/>
        <v>0</v>
      </c>
      <c r="DI229" s="608">
        <f t="shared" si="346"/>
        <v>0</v>
      </c>
      <c r="DJ229" s="607">
        <f t="shared" si="347"/>
        <v>0</v>
      </c>
      <c r="DK229" s="608">
        <f t="shared" si="348"/>
        <v>0</v>
      </c>
      <c r="DL229" s="607">
        <f t="shared" si="349"/>
        <v>69</v>
      </c>
      <c r="DM229" s="608">
        <f t="shared" si="350"/>
        <v>25</v>
      </c>
      <c r="DN229" s="607">
        <f t="shared" si="351"/>
        <v>46543.090909090904</v>
      </c>
      <c r="DO229" s="612">
        <f t="shared" si="352"/>
        <v>44040.774193548386</v>
      </c>
      <c r="DP229" s="607">
        <f t="shared" si="353"/>
        <v>0</v>
      </c>
      <c r="DQ229" s="606">
        <f t="shared" si="354"/>
        <v>0</v>
      </c>
      <c r="DR229" s="607">
        <f t="shared" si="355"/>
        <v>266107.09090909088</v>
      </c>
      <c r="DS229" s="606">
        <f t="shared" si="356"/>
        <v>54111</v>
      </c>
      <c r="DT229" s="607">
        <f t="shared" si="357"/>
        <v>2522069.4690265483</v>
      </c>
      <c r="DU229" s="606">
        <f t="shared" si="358"/>
        <v>590550.50847457617</v>
      </c>
      <c r="DV229" s="607">
        <f t="shared" si="359"/>
        <v>0</v>
      </c>
      <c r="DW229" s="608">
        <f t="shared" si="360"/>
        <v>0</v>
      </c>
      <c r="DX229" s="607">
        <f t="shared" si="361"/>
        <v>0</v>
      </c>
      <c r="DY229" s="608">
        <f t="shared" si="362"/>
        <v>0</v>
      </c>
      <c r="DZ229" s="607">
        <f t="shared" si="363"/>
        <v>2834719.65084473</v>
      </c>
      <c r="EA229" s="608">
        <f t="shared" si="364"/>
        <v>688702.28266812454</v>
      </c>
    </row>
    <row r="230" spans="1:131" x14ac:dyDescent="0.2">
      <c r="A230" s="455" t="s">
        <v>37</v>
      </c>
      <c r="B230" s="459" t="s">
        <v>848</v>
      </c>
      <c r="C230" s="561"/>
      <c r="D230" s="460">
        <v>158088</v>
      </c>
      <c r="E230" s="449">
        <v>12</v>
      </c>
      <c r="F230" s="598">
        <v>1</v>
      </c>
      <c r="G230" s="599">
        <v>4</v>
      </c>
      <c r="H230" s="600"/>
      <c r="I230" s="601"/>
      <c r="J230" s="600">
        <v>13</v>
      </c>
      <c r="K230" s="599"/>
      <c r="L230" s="600"/>
      <c r="M230" s="601"/>
      <c r="N230" s="600">
        <v>2</v>
      </c>
      <c r="O230" s="599">
        <v>1</v>
      </c>
      <c r="P230" s="600"/>
      <c r="Q230" s="601"/>
      <c r="R230" s="600">
        <v>0</v>
      </c>
      <c r="S230" s="599"/>
      <c r="T230" s="600"/>
      <c r="U230" s="601"/>
      <c r="V230" s="600">
        <v>0</v>
      </c>
      <c r="W230" s="599"/>
      <c r="X230" s="600"/>
      <c r="Y230" s="601"/>
      <c r="Z230" s="600">
        <v>0</v>
      </c>
      <c r="AA230" s="599"/>
      <c r="AB230" s="600"/>
      <c r="AC230" s="643"/>
      <c r="AD230" s="600">
        <v>32</v>
      </c>
      <c r="AE230" s="599">
        <v>1</v>
      </c>
      <c r="AF230" s="600"/>
      <c r="AG230" s="601"/>
      <c r="AH230" s="600">
        <v>36</v>
      </c>
      <c r="AI230" s="599"/>
      <c r="AJ230" s="600"/>
      <c r="AK230" s="643"/>
      <c r="AL230" s="600">
        <v>0</v>
      </c>
      <c r="AM230" s="635">
        <v>34</v>
      </c>
      <c r="AN230" s="600"/>
      <c r="AO230" s="601"/>
      <c r="AP230" s="600">
        <v>0</v>
      </c>
      <c r="AQ230" s="599"/>
      <c r="AR230" s="600"/>
      <c r="AS230" s="601">
        <v>38</v>
      </c>
      <c r="AT230" s="600">
        <v>0</v>
      </c>
      <c r="AU230" s="599"/>
      <c r="AV230" s="600"/>
      <c r="AW230" s="601"/>
      <c r="AX230" s="600">
        <v>0</v>
      </c>
      <c r="AY230" s="599"/>
      <c r="AZ230" s="600"/>
      <c r="BA230" s="601"/>
      <c r="BB230" s="602">
        <v>741013</v>
      </c>
      <c r="BC230" s="599">
        <v>554396</v>
      </c>
      <c r="BD230" s="600">
        <v>69704</v>
      </c>
      <c r="BE230" s="599">
        <v>35205</v>
      </c>
      <c r="BF230" s="600">
        <v>0</v>
      </c>
      <c r="BG230" s="599"/>
      <c r="BH230" s="600">
        <v>2800544</v>
      </c>
      <c r="BI230" s="599">
        <v>39282</v>
      </c>
      <c r="BJ230" s="600">
        <v>0</v>
      </c>
      <c r="BK230" s="646">
        <v>2910381</v>
      </c>
      <c r="BL230" s="600">
        <v>0</v>
      </c>
      <c r="BM230" s="604"/>
      <c r="BN230" s="605">
        <f t="shared" si="299"/>
        <v>152</v>
      </c>
      <c r="BO230" s="606">
        <f t="shared" si="300"/>
        <v>36</v>
      </c>
      <c r="BP230" s="607">
        <f t="shared" si="301"/>
        <v>18</v>
      </c>
      <c r="BQ230" s="606">
        <f t="shared" si="302"/>
        <v>9</v>
      </c>
      <c r="BR230" s="607">
        <f t="shared" si="303"/>
        <v>0</v>
      </c>
      <c r="BS230" s="606">
        <f t="shared" si="304"/>
        <v>0</v>
      </c>
      <c r="BT230" s="607">
        <f t="shared" si="305"/>
        <v>684</v>
      </c>
      <c r="BU230" s="606">
        <f t="shared" si="306"/>
        <v>9</v>
      </c>
      <c r="BV230" s="607">
        <f t="shared" si="307"/>
        <v>0</v>
      </c>
      <c r="BW230" s="608">
        <f t="shared" si="308"/>
        <v>762</v>
      </c>
      <c r="BX230" s="607">
        <f t="shared" si="309"/>
        <v>0</v>
      </c>
      <c r="BY230" s="608">
        <f t="shared" si="310"/>
        <v>0</v>
      </c>
      <c r="BZ230" s="607">
        <f t="shared" si="311"/>
        <v>4875.0855263157891</v>
      </c>
      <c r="CA230" s="608">
        <f t="shared" si="312"/>
        <v>15399.888888888889</v>
      </c>
      <c r="CB230" s="607">
        <f t="shared" si="313"/>
        <v>3872.4444444444443</v>
      </c>
      <c r="CC230" s="608">
        <f t="shared" si="314"/>
        <v>3911.6666666666665</v>
      </c>
      <c r="CD230" s="607">
        <f t="shared" si="315"/>
        <v>0</v>
      </c>
      <c r="CE230" s="608">
        <f t="shared" si="316"/>
        <v>0</v>
      </c>
      <c r="CF230" s="607">
        <f t="shared" si="317"/>
        <v>4094.3625730994154</v>
      </c>
      <c r="CG230" s="608">
        <f t="shared" si="318"/>
        <v>4364.666666666667</v>
      </c>
      <c r="CH230" s="607">
        <f t="shared" si="319"/>
        <v>0</v>
      </c>
      <c r="CI230" s="608">
        <f t="shared" si="320"/>
        <v>3819.3976377952754</v>
      </c>
      <c r="CJ230" s="607">
        <f t="shared" si="321"/>
        <v>0</v>
      </c>
      <c r="CK230" s="608">
        <f t="shared" si="322"/>
        <v>0</v>
      </c>
      <c r="CL230" s="609">
        <f t="shared" si="323"/>
        <v>43875.7697368421</v>
      </c>
      <c r="CM230" s="608">
        <f t="shared" si="324"/>
        <v>138599</v>
      </c>
      <c r="CN230" s="610">
        <f t="shared" si="325"/>
        <v>34852</v>
      </c>
      <c r="CO230" s="606">
        <f t="shared" si="326"/>
        <v>35205</v>
      </c>
      <c r="CP230" s="607">
        <f t="shared" si="327"/>
        <v>0</v>
      </c>
      <c r="CQ230" s="606">
        <f t="shared" si="328"/>
        <v>0</v>
      </c>
      <c r="CR230" s="607">
        <f t="shared" si="329"/>
        <v>36849.26315789474</v>
      </c>
      <c r="CS230" s="606">
        <f t="shared" si="330"/>
        <v>39282</v>
      </c>
      <c r="CT230" s="607">
        <f t="shared" si="331"/>
        <v>0</v>
      </c>
      <c r="CU230" s="608">
        <f t="shared" si="332"/>
        <v>34374.578740157478</v>
      </c>
      <c r="CV230" s="610">
        <f t="shared" si="333"/>
        <v>0</v>
      </c>
      <c r="CW230" s="608">
        <f t="shared" si="334"/>
        <v>0</v>
      </c>
      <c r="CX230" s="610">
        <f t="shared" si="335"/>
        <v>37972.793703007526</v>
      </c>
      <c r="CY230" s="611">
        <f t="shared" si="336"/>
        <v>39792.982939632544</v>
      </c>
      <c r="CZ230" s="605">
        <f t="shared" si="337"/>
        <v>14</v>
      </c>
      <c r="DA230" s="612">
        <f t="shared" si="338"/>
        <v>4</v>
      </c>
      <c r="DB230" s="607">
        <f t="shared" si="339"/>
        <v>2</v>
      </c>
      <c r="DC230" s="606">
        <f t="shared" si="340"/>
        <v>1</v>
      </c>
      <c r="DD230" s="607">
        <f t="shared" si="341"/>
        <v>0</v>
      </c>
      <c r="DE230" s="606">
        <f t="shared" si="342"/>
        <v>0</v>
      </c>
      <c r="DF230" s="607">
        <f t="shared" si="343"/>
        <v>68</v>
      </c>
      <c r="DG230" s="606">
        <f t="shared" si="344"/>
        <v>1</v>
      </c>
      <c r="DH230" s="607">
        <f t="shared" si="345"/>
        <v>0</v>
      </c>
      <c r="DI230" s="608">
        <f t="shared" si="346"/>
        <v>72</v>
      </c>
      <c r="DJ230" s="607">
        <f t="shared" si="347"/>
        <v>0</v>
      </c>
      <c r="DK230" s="608">
        <f t="shared" si="348"/>
        <v>0</v>
      </c>
      <c r="DL230" s="607">
        <f t="shared" si="349"/>
        <v>84</v>
      </c>
      <c r="DM230" s="608">
        <f t="shared" si="350"/>
        <v>78</v>
      </c>
      <c r="DN230" s="607">
        <f t="shared" si="351"/>
        <v>614260.77631578944</v>
      </c>
      <c r="DO230" s="612">
        <f t="shared" si="352"/>
        <v>554396</v>
      </c>
      <c r="DP230" s="607">
        <f t="shared" si="353"/>
        <v>69704</v>
      </c>
      <c r="DQ230" s="606">
        <f t="shared" si="354"/>
        <v>35205</v>
      </c>
      <c r="DR230" s="607">
        <f t="shared" si="355"/>
        <v>0</v>
      </c>
      <c r="DS230" s="606">
        <f t="shared" si="356"/>
        <v>0</v>
      </c>
      <c r="DT230" s="607">
        <f t="shared" si="357"/>
        <v>2505749.8947368423</v>
      </c>
      <c r="DU230" s="606">
        <f t="shared" si="358"/>
        <v>39282</v>
      </c>
      <c r="DV230" s="607">
        <f t="shared" si="359"/>
        <v>0</v>
      </c>
      <c r="DW230" s="608">
        <f t="shared" si="360"/>
        <v>2474969.6692913384</v>
      </c>
      <c r="DX230" s="607">
        <f t="shared" si="361"/>
        <v>0</v>
      </c>
      <c r="DY230" s="608">
        <f t="shared" si="362"/>
        <v>0</v>
      </c>
      <c r="DZ230" s="607">
        <f t="shared" si="363"/>
        <v>3189714.6710526324</v>
      </c>
      <c r="EA230" s="608">
        <f t="shared" si="364"/>
        <v>3103852.6692913384</v>
      </c>
    </row>
    <row r="231" spans="1:131" ht="13.5" thickBot="1" x14ac:dyDescent="0.25">
      <c r="A231" s="450" t="s">
        <v>37</v>
      </c>
      <c r="B231" s="448" t="s">
        <v>849</v>
      </c>
      <c r="C231" s="558"/>
      <c r="D231" s="460">
        <v>160481</v>
      </c>
      <c r="E231" s="462">
        <v>12</v>
      </c>
      <c r="F231" s="598"/>
      <c r="G231" s="599"/>
      <c r="H231" s="600"/>
      <c r="I231" s="601"/>
      <c r="J231" s="600">
        <v>0</v>
      </c>
      <c r="K231" s="599"/>
      <c r="L231" s="600"/>
      <c r="M231" s="601"/>
      <c r="N231" s="600">
        <v>0</v>
      </c>
      <c r="O231" s="599"/>
      <c r="P231" s="600"/>
      <c r="Q231" s="601"/>
      <c r="R231" s="600">
        <v>0</v>
      </c>
      <c r="S231" s="599"/>
      <c r="T231" s="600"/>
      <c r="U231" s="601"/>
      <c r="V231" s="600">
        <v>1</v>
      </c>
      <c r="W231" s="599">
        <v>1</v>
      </c>
      <c r="X231" s="600"/>
      <c r="Y231" s="601"/>
      <c r="Z231" s="600">
        <v>1</v>
      </c>
      <c r="AA231" s="599"/>
      <c r="AB231" s="600"/>
      <c r="AC231" s="643">
        <v>1</v>
      </c>
      <c r="AD231" s="600">
        <v>30</v>
      </c>
      <c r="AE231" s="599">
        <v>29</v>
      </c>
      <c r="AF231" s="600"/>
      <c r="AG231" s="601"/>
      <c r="AH231" s="600">
        <v>19</v>
      </c>
      <c r="AI231" s="599"/>
      <c r="AJ231" s="600"/>
      <c r="AK231" s="643">
        <v>20</v>
      </c>
      <c r="AL231" s="600">
        <v>6</v>
      </c>
      <c r="AM231" s="599">
        <v>6</v>
      </c>
      <c r="AN231" s="600"/>
      <c r="AO231" s="601"/>
      <c r="AP231" s="600">
        <v>0</v>
      </c>
      <c r="AQ231" s="599"/>
      <c r="AR231" s="600"/>
      <c r="AS231" s="601"/>
      <c r="AT231" s="600"/>
      <c r="AU231" s="599"/>
      <c r="AV231" s="600"/>
      <c r="AW231" s="601"/>
      <c r="AX231" s="600">
        <v>0</v>
      </c>
      <c r="AY231" s="599"/>
      <c r="AZ231" s="600"/>
      <c r="BA231" s="601"/>
      <c r="BB231" s="602">
        <v>0</v>
      </c>
      <c r="BC231" s="599"/>
      <c r="BD231" s="600">
        <v>0</v>
      </c>
      <c r="BE231" s="599"/>
      <c r="BF231" s="600">
        <v>103424</v>
      </c>
      <c r="BG231" s="599">
        <v>107561</v>
      </c>
      <c r="BH231" s="600">
        <v>1852345</v>
      </c>
      <c r="BI231" s="599">
        <v>2153175</v>
      </c>
      <c r="BJ231" s="600">
        <v>157998</v>
      </c>
      <c r="BK231" s="647">
        <v>169093</v>
      </c>
      <c r="BL231" s="600">
        <v>0</v>
      </c>
      <c r="BM231" s="604"/>
      <c r="BN231" s="605">
        <f t="shared" si="299"/>
        <v>0</v>
      </c>
      <c r="BO231" s="606">
        <f t="shared" si="300"/>
        <v>0</v>
      </c>
      <c r="BP231" s="607">
        <f t="shared" si="301"/>
        <v>0</v>
      </c>
      <c r="BQ231" s="606">
        <f t="shared" si="302"/>
        <v>0</v>
      </c>
      <c r="BR231" s="607">
        <f t="shared" si="303"/>
        <v>20</v>
      </c>
      <c r="BS231" s="606">
        <f t="shared" si="304"/>
        <v>21</v>
      </c>
      <c r="BT231" s="607">
        <f t="shared" si="305"/>
        <v>479</v>
      </c>
      <c r="BU231" s="606">
        <f t="shared" si="306"/>
        <v>501</v>
      </c>
      <c r="BV231" s="607">
        <f t="shared" si="307"/>
        <v>54</v>
      </c>
      <c r="BW231" s="608">
        <f t="shared" si="308"/>
        <v>54</v>
      </c>
      <c r="BX231" s="607">
        <f t="shared" si="309"/>
        <v>0</v>
      </c>
      <c r="BY231" s="608">
        <f t="shared" si="310"/>
        <v>0</v>
      </c>
      <c r="BZ231" s="607">
        <f t="shared" si="311"/>
        <v>0</v>
      </c>
      <c r="CA231" s="608">
        <f t="shared" si="312"/>
        <v>0</v>
      </c>
      <c r="CB231" s="607">
        <f t="shared" si="313"/>
        <v>0</v>
      </c>
      <c r="CC231" s="608">
        <f t="shared" si="314"/>
        <v>0</v>
      </c>
      <c r="CD231" s="607">
        <f t="shared" si="315"/>
        <v>5171.2</v>
      </c>
      <c r="CE231" s="608">
        <f t="shared" si="316"/>
        <v>5121.9523809523807</v>
      </c>
      <c r="CF231" s="607">
        <f t="shared" si="317"/>
        <v>3867.1085594989563</v>
      </c>
      <c r="CG231" s="608">
        <f t="shared" si="318"/>
        <v>4297.754491017964</v>
      </c>
      <c r="CH231" s="607">
        <f t="shared" si="319"/>
        <v>2925.8888888888887</v>
      </c>
      <c r="CI231" s="608">
        <f t="shared" si="320"/>
        <v>3131.3518518518517</v>
      </c>
      <c r="CJ231" s="607">
        <f t="shared" si="321"/>
        <v>0</v>
      </c>
      <c r="CK231" s="608">
        <f t="shared" si="322"/>
        <v>0</v>
      </c>
      <c r="CL231" s="609">
        <f t="shared" si="323"/>
        <v>0</v>
      </c>
      <c r="CM231" s="608">
        <f t="shared" si="324"/>
        <v>0</v>
      </c>
      <c r="CN231" s="610">
        <f t="shared" si="325"/>
        <v>0</v>
      </c>
      <c r="CO231" s="606">
        <f t="shared" si="326"/>
        <v>0</v>
      </c>
      <c r="CP231" s="607">
        <f t="shared" si="327"/>
        <v>46540.799999999996</v>
      </c>
      <c r="CQ231" s="606">
        <f t="shared" si="328"/>
        <v>46097.571428571428</v>
      </c>
      <c r="CR231" s="607">
        <f t="shared" si="329"/>
        <v>34803.977035490607</v>
      </c>
      <c r="CS231" s="606">
        <f t="shared" si="330"/>
        <v>38679.790419161676</v>
      </c>
      <c r="CT231" s="607">
        <f t="shared" si="331"/>
        <v>26333</v>
      </c>
      <c r="CU231" s="608">
        <f t="shared" si="332"/>
        <v>28182.166666666664</v>
      </c>
      <c r="CV231" s="610">
        <f t="shared" si="333"/>
        <v>0</v>
      </c>
      <c r="CW231" s="608">
        <f t="shared" si="334"/>
        <v>0</v>
      </c>
      <c r="CX231" s="610">
        <f t="shared" si="335"/>
        <v>34324.113591912981</v>
      </c>
      <c r="CY231" s="611">
        <f t="shared" si="336"/>
        <v>37835.050410457283</v>
      </c>
      <c r="CZ231" s="605">
        <f t="shared" si="337"/>
        <v>0</v>
      </c>
      <c r="DA231" s="612">
        <f t="shared" si="338"/>
        <v>0</v>
      </c>
      <c r="DB231" s="607">
        <f t="shared" si="339"/>
        <v>0</v>
      </c>
      <c r="DC231" s="606">
        <f t="shared" si="340"/>
        <v>0</v>
      </c>
      <c r="DD231" s="607">
        <f t="shared" si="341"/>
        <v>2</v>
      </c>
      <c r="DE231" s="606">
        <f t="shared" si="342"/>
        <v>2</v>
      </c>
      <c r="DF231" s="607">
        <f t="shared" si="343"/>
        <v>49</v>
      </c>
      <c r="DG231" s="606">
        <f t="shared" si="344"/>
        <v>49</v>
      </c>
      <c r="DH231" s="607">
        <f t="shared" si="345"/>
        <v>6</v>
      </c>
      <c r="DI231" s="608">
        <f t="shared" si="346"/>
        <v>6</v>
      </c>
      <c r="DJ231" s="607">
        <f t="shared" si="347"/>
        <v>0</v>
      </c>
      <c r="DK231" s="608">
        <f t="shared" si="348"/>
        <v>0</v>
      </c>
      <c r="DL231" s="607">
        <f t="shared" si="349"/>
        <v>57</v>
      </c>
      <c r="DM231" s="608">
        <f t="shared" si="350"/>
        <v>57</v>
      </c>
      <c r="DN231" s="607">
        <f t="shared" si="351"/>
        <v>0</v>
      </c>
      <c r="DO231" s="612">
        <f t="shared" si="352"/>
        <v>0</v>
      </c>
      <c r="DP231" s="607">
        <f t="shared" si="353"/>
        <v>0</v>
      </c>
      <c r="DQ231" s="606">
        <f t="shared" si="354"/>
        <v>0</v>
      </c>
      <c r="DR231" s="607">
        <f t="shared" si="355"/>
        <v>93081.599999999991</v>
      </c>
      <c r="DS231" s="606">
        <f t="shared" si="356"/>
        <v>92195.142857142855</v>
      </c>
      <c r="DT231" s="607">
        <f t="shared" si="357"/>
        <v>1705394.8747390397</v>
      </c>
      <c r="DU231" s="606">
        <f t="shared" si="358"/>
        <v>1895309.7305389221</v>
      </c>
      <c r="DV231" s="607">
        <f t="shared" si="359"/>
        <v>157998</v>
      </c>
      <c r="DW231" s="608">
        <f t="shared" si="360"/>
        <v>169093</v>
      </c>
      <c r="DX231" s="607">
        <f t="shared" si="361"/>
        <v>0</v>
      </c>
      <c r="DY231" s="608">
        <f t="shared" si="362"/>
        <v>0</v>
      </c>
      <c r="DZ231" s="607">
        <f t="shared" si="363"/>
        <v>1956474.47473904</v>
      </c>
      <c r="EA231" s="608">
        <f t="shared" si="364"/>
        <v>2156597.8733960651</v>
      </c>
    </row>
    <row r="232" spans="1:131" ht="13.5" thickBot="1" x14ac:dyDescent="0.25">
      <c r="A232" s="455" t="s">
        <v>37</v>
      </c>
      <c r="B232" s="459" t="s">
        <v>850</v>
      </c>
      <c r="C232" s="561"/>
      <c r="D232" s="460">
        <v>158769</v>
      </c>
      <c r="E232" s="449">
        <v>12</v>
      </c>
      <c r="F232" s="598"/>
      <c r="G232" s="599"/>
      <c r="H232" s="600"/>
      <c r="I232" s="601"/>
      <c r="J232" s="600">
        <v>8</v>
      </c>
      <c r="K232" s="599"/>
      <c r="L232" s="600"/>
      <c r="M232" s="601">
        <v>16</v>
      </c>
      <c r="N232" s="600">
        <v>0</v>
      </c>
      <c r="O232" s="599"/>
      <c r="P232" s="600"/>
      <c r="Q232" s="601"/>
      <c r="R232" s="600">
        <v>0</v>
      </c>
      <c r="S232" s="599"/>
      <c r="T232" s="600"/>
      <c r="U232" s="601"/>
      <c r="V232" s="600">
        <v>0</v>
      </c>
      <c r="W232" s="599"/>
      <c r="X232" s="600"/>
      <c r="Y232" s="601"/>
      <c r="Z232" s="600">
        <v>1</v>
      </c>
      <c r="AA232" s="599"/>
      <c r="AB232" s="600"/>
      <c r="AC232" s="641">
        <v>38</v>
      </c>
      <c r="AD232" s="600">
        <v>6</v>
      </c>
      <c r="AE232" s="599"/>
      <c r="AF232" s="600"/>
      <c r="AG232" s="601"/>
      <c r="AH232" s="600">
        <v>34</v>
      </c>
      <c r="AI232" s="599"/>
      <c r="AJ232" s="600"/>
      <c r="AK232" s="641">
        <v>11</v>
      </c>
      <c r="AL232" s="600">
        <v>0</v>
      </c>
      <c r="AM232" s="599"/>
      <c r="AN232" s="600"/>
      <c r="AO232" s="601"/>
      <c r="AP232" s="600">
        <v>0</v>
      </c>
      <c r="AQ232" s="599"/>
      <c r="AR232" s="600"/>
      <c r="AS232" s="601"/>
      <c r="AT232" s="600">
        <v>0</v>
      </c>
      <c r="AU232" s="599"/>
      <c r="AV232" s="600"/>
      <c r="AW232" s="601"/>
      <c r="AX232" s="600">
        <v>0</v>
      </c>
      <c r="AY232" s="599"/>
      <c r="AZ232" s="600"/>
      <c r="BA232" s="601"/>
      <c r="BB232" s="602">
        <v>462104</v>
      </c>
      <c r="BC232" s="599"/>
      <c r="BD232" s="600">
        <v>0</v>
      </c>
      <c r="BE232" s="599"/>
      <c r="BF232" s="600">
        <v>46629</v>
      </c>
      <c r="BG232" s="599"/>
      <c r="BH232" s="600">
        <v>1795882</v>
      </c>
      <c r="BI232" s="599"/>
      <c r="BJ232" s="600">
        <v>0</v>
      </c>
      <c r="BK232" s="647"/>
      <c r="BL232" s="600">
        <v>0</v>
      </c>
      <c r="BM232" s="604"/>
      <c r="BN232" s="605">
        <f t="shared" si="299"/>
        <v>88</v>
      </c>
      <c r="BO232" s="606">
        <f t="shared" si="300"/>
        <v>192</v>
      </c>
      <c r="BP232" s="607">
        <f t="shared" si="301"/>
        <v>0</v>
      </c>
      <c r="BQ232" s="606">
        <f t="shared" si="302"/>
        <v>0</v>
      </c>
      <c r="BR232" s="607">
        <f t="shared" si="303"/>
        <v>11</v>
      </c>
      <c r="BS232" s="606">
        <f t="shared" si="304"/>
        <v>456</v>
      </c>
      <c r="BT232" s="607">
        <f t="shared" si="305"/>
        <v>428</v>
      </c>
      <c r="BU232" s="606">
        <f t="shared" si="306"/>
        <v>132</v>
      </c>
      <c r="BV232" s="607">
        <f t="shared" si="307"/>
        <v>0</v>
      </c>
      <c r="BW232" s="608">
        <f t="shared" si="308"/>
        <v>0</v>
      </c>
      <c r="BX232" s="607">
        <f t="shared" si="309"/>
        <v>0</v>
      </c>
      <c r="BY232" s="608">
        <f t="shared" si="310"/>
        <v>0</v>
      </c>
      <c r="BZ232" s="607">
        <f t="shared" si="311"/>
        <v>5251.181818181818</v>
      </c>
      <c r="CA232" s="608">
        <f t="shared" si="312"/>
        <v>0</v>
      </c>
      <c r="CB232" s="607">
        <f t="shared" si="313"/>
        <v>0</v>
      </c>
      <c r="CC232" s="608">
        <f t="shared" si="314"/>
        <v>0</v>
      </c>
      <c r="CD232" s="607">
        <f t="shared" si="315"/>
        <v>4239</v>
      </c>
      <c r="CE232" s="608">
        <f t="shared" si="316"/>
        <v>0</v>
      </c>
      <c r="CF232" s="607">
        <f t="shared" si="317"/>
        <v>4195.9859813084113</v>
      </c>
      <c r="CG232" s="608">
        <f t="shared" si="318"/>
        <v>0</v>
      </c>
      <c r="CH232" s="607">
        <f t="shared" si="319"/>
        <v>0</v>
      </c>
      <c r="CI232" s="608">
        <f t="shared" si="320"/>
        <v>0</v>
      </c>
      <c r="CJ232" s="607">
        <f t="shared" si="321"/>
        <v>0</v>
      </c>
      <c r="CK232" s="608">
        <f t="shared" si="322"/>
        <v>0</v>
      </c>
      <c r="CL232" s="609">
        <f t="shared" si="323"/>
        <v>47260.63636363636</v>
      </c>
      <c r="CM232" s="608">
        <f t="shared" si="324"/>
        <v>0</v>
      </c>
      <c r="CN232" s="610">
        <f t="shared" si="325"/>
        <v>0</v>
      </c>
      <c r="CO232" s="606">
        <f t="shared" si="326"/>
        <v>0</v>
      </c>
      <c r="CP232" s="607">
        <f t="shared" si="327"/>
        <v>38151</v>
      </c>
      <c r="CQ232" s="606">
        <f t="shared" si="328"/>
        <v>0</v>
      </c>
      <c r="CR232" s="607">
        <f t="shared" si="329"/>
        <v>37763.873831775702</v>
      </c>
      <c r="CS232" s="606">
        <f t="shared" si="330"/>
        <v>0</v>
      </c>
      <c r="CT232" s="607">
        <f t="shared" si="331"/>
        <v>0</v>
      </c>
      <c r="CU232" s="608">
        <f t="shared" si="332"/>
        <v>0</v>
      </c>
      <c r="CV232" s="610">
        <f t="shared" si="333"/>
        <v>0</v>
      </c>
      <c r="CW232" s="608">
        <f t="shared" si="334"/>
        <v>0</v>
      </c>
      <c r="CX232" s="610">
        <f t="shared" si="335"/>
        <v>39322.26620775753</v>
      </c>
      <c r="CY232" s="611">
        <f t="shared" si="336"/>
        <v>0</v>
      </c>
      <c r="CZ232" s="605">
        <f t="shared" si="337"/>
        <v>8</v>
      </c>
      <c r="DA232" s="612">
        <f t="shared" si="338"/>
        <v>16</v>
      </c>
      <c r="DB232" s="607">
        <f t="shared" si="339"/>
        <v>0</v>
      </c>
      <c r="DC232" s="606">
        <f t="shared" si="340"/>
        <v>0</v>
      </c>
      <c r="DD232" s="607">
        <f t="shared" si="341"/>
        <v>1</v>
      </c>
      <c r="DE232" s="606">
        <f t="shared" si="342"/>
        <v>38</v>
      </c>
      <c r="DF232" s="607">
        <f t="shared" si="343"/>
        <v>40</v>
      </c>
      <c r="DG232" s="606">
        <f t="shared" si="344"/>
        <v>11</v>
      </c>
      <c r="DH232" s="607">
        <f t="shared" si="345"/>
        <v>0</v>
      </c>
      <c r="DI232" s="608">
        <f t="shared" si="346"/>
        <v>0</v>
      </c>
      <c r="DJ232" s="607">
        <f t="shared" si="347"/>
        <v>0</v>
      </c>
      <c r="DK232" s="608">
        <f t="shared" si="348"/>
        <v>0</v>
      </c>
      <c r="DL232" s="607">
        <f t="shared" si="349"/>
        <v>49</v>
      </c>
      <c r="DM232" s="608">
        <f t="shared" si="350"/>
        <v>65</v>
      </c>
      <c r="DN232" s="607">
        <f t="shared" si="351"/>
        <v>378085.09090909088</v>
      </c>
      <c r="DO232" s="612">
        <f t="shared" si="352"/>
        <v>0</v>
      </c>
      <c r="DP232" s="607">
        <f t="shared" si="353"/>
        <v>0</v>
      </c>
      <c r="DQ232" s="606">
        <f t="shared" si="354"/>
        <v>0</v>
      </c>
      <c r="DR232" s="607">
        <f t="shared" si="355"/>
        <v>38151</v>
      </c>
      <c r="DS232" s="606">
        <f t="shared" si="356"/>
        <v>0</v>
      </c>
      <c r="DT232" s="607">
        <f t="shared" si="357"/>
        <v>1510554.9532710281</v>
      </c>
      <c r="DU232" s="606">
        <f t="shared" si="358"/>
        <v>0</v>
      </c>
      <c r="DV232" s="607">
        <f t="shared" si="359"/>
        <v>0</v>
      </c>
      <c r="DW232" s="608">
        <f t="shared" si="360"/>
        <v>0</v>
      </c>
      <c r="DX232" s="607">
        <f t="shared" si="361"/>
        <v>0</v>
      </c>
      <c r="DY232" s="608">
        <f t="shared" si="362"/>
        <v>0</v>
      </c>
      <c r="DZ232" s="607">
        <f t="shared" si="363"/>
        <v>1926791.0441801189</v>
      </c>
      <c r="EA232" s="608">
        <f t="shared" si="364"/>
        <v>0</v>
      </c>
    </row>
    <row r="233" spans="1:131" x14ac:dyDescent="0.2">
      <c r="A233" s="491" t="s">
        <v>37</v>
      </c>
      <c r="B233" s="459" t="s">
        <v>851</v>
      </c>
      <c r="C233" s="561"/>
      <c r="D233" s="460">
        <v>160667</v>
      </c>
      <c r="E233" s="449">
        <v>12</v>
      </c>
      <c r="F233" s="598">
        <v>1</v>
      </c>
      <c r="G233" s="599"/>
      <c r="H233" s="600"/>
      <c r="I233" s="601"/>
      <c r="J233" s="600">
        <v>2</v>
      </c>
      <c r="K233" s="599"/>
      <c r="L233" s="600"/>
      <c r="M233" s="601">
        <v>5</v>
      </c>
      <c r="N233" s="600">
        <v>3</v>
      </c>
      <c r="O233" s="599">
        <v>2</v>
      </c>
      <c r="P233" s="600"/>
      <c r="Q233" s="601"/>
      <c r="R233" s="600">
        <v>2</v>
      </c>
      <c r="S233" s="599"/>
      <c r="T233" s="600"/>
      <c r="U233" s="601">
        <v>2</v>
      </c>
      <c r="V233" s="600">
        <v>7</v>
      </c>
      <c r="W233" s="599">
        <v>5</v>
      </c>
      <c r="X233" s="600"/>
      <c r="Y233" s="601"/>
      <c r="Z233" s="600">
        <v>2</v>
      </c>
      <c r="AA233" s="599"/>
      <c r="AB233" s="600"/>
      <c r="AC233" s="643">
        <v>2</v>
      </c>
      <c r="AD233" s="600">
        <v>33</v>
      </c>
      <c r="AE233" s="599">
        <v>43</v>
      </c>
      <c r="AF233" s="600"/>
      <c r="AG233" s="601"/>
      <c r="AH233" s="600">
        <v>16</v>
      </c>
      <c r="AI233" s="599"/>
      <c r="AJ233" s="600"/>
      <c r="AK233" s="601">
        <v>16</v>
      </c>
      <c r="AL233" s="600">
        <v>0</v>
      </c>
      <c r="AM233" s="599"/>
      <c r="AN233" s="600"/>
      <c r="AO233" s="601"/>
      <c r="AP233" s="600">
        <v>0</v>
      </c>
      <c r="AQ233" s="599"/>
      <c r="AR233" s="600"/>
      <c r="AS233" s="601"/>
      <c r="AT233" s="600">
        <v>0</v>
      </c>
      <c r="AU233" s="599"/>
      <c r="AV233" s="600"/>
      <c r="AW233" s="601"/>
      <c r="AX233" s="600">
        <v>0</v>
      </c>
      <c r="AY233" s="599"/>
      <c r="AZ233" s="600"/>
      <c r="BA233" s="601"/>
      <c r="BB233" s="602">
        <v>187928</v>
      </c>
      <c r="BC233" s="599"/>
      <c r="BD233" s="600">
        <v>236967</v>
      </c>
      <c r="BE233" s="599">
        <v>191429</v>
      </c>
      <c r="BF233" s="600">
        <v>373906</v>
      </c>
      <c r="BG233" s="599">
        <v>291927</v>
      </c>
      <c r="BH233" s="600">
        <v>1931735</v>
      </c>
      <c r="BI233" s="599">
        <v>2339605</v>
      </c>
      <c r="BJ233" s="600">
        <v>0</v>
      </c>
      <c r="BK233" s="647"/>
      <c r="BL233" s="600">
        <v>0</v>
      </c>
      <c r="BM233" s="604"/>
      <c r="BN233" s="605">
        <f t="shared" si="299"/>
        <v>31</v>
      </c>
      <c r="BO233" s="606">
        <f t="shared" si="300"/>
        <v>60</v>
      </c>
      <c r="BP233" s="607">
        <f t="shared" si="301"/>
        <v>49</v>
      </c>
      <c r="BQ233" s="606">
        <f t="shared" si="302"/>
        <v>42</v>
      </c>
      <c r="BR233" s="607">
        <f t="shared" si="303"/>
        <v>85</v>
      </c>
      <c r="BS233" s="606">
        <f t="shared" si="304"/>
        <v>69</v>
      </c>
      <c r="BT233" s="607">
        <f t="shared" si="305"/>
        <v>473</v>
      </c>
      <c r="BU233" s="606">
        <f t="shared" si="306"/>
        <v>579</v>
      </c>
      <c r="BV233" s="607">
        <f t="shared" si="307"/>
        <v>0</v>
      </c>
      <c r="BW233" s="608">
        <f t="shared" si="308"/>
        <v>0</v>
      </c>
      <c r="BX233" s="607">
        <f t="shared" si="309"/>
        <v>0</v>
      </c>
      <c r="BY233" s="608">
        <f t="shared" si="310"/>
        <v>0</v>
      </c>
      <c r="BZ233" s="607">
        <f t="shared" si="311"/>
        <v>6062.1935483870966</v>
      </c>
      <c r="CA233" s="608">
        <f t="shared" si="312"/>
        <v>0</v>
      </c>
      <c r="CB233" s="607">
        <f t="shared" si="313"/>
        <v>4836.0612244897957</v>
      </c>
      <c r="CC233" s="608">
        <f t="shared" si="314"/>
        <v>4557.833333333333</v>
      </c>
      <c r="CD233" s="607">
        <f t="shared" si="315"/>
        <v>4398.8941176470589</v>
      </c>
      <c r="CE233" s="608">
        <f t="shared" si="316"/>
        <v>4230.826086956522</v>
      </c>
      <c r="CF233" s="607">
        <f t="shared" si="317"/>
        <v>4084.0063424947148</v>
      </c>
      <c r="CG233" s="608">
        <f t="shared" si="318"/>
        <v>4040.7685664939549</v>
      </c>
      <c r="CH233" s="607">
        <f t="shared" si="319"/>
        <v>0</v>
      </c>
      <c r="CI233" s="608">
        <f t="shared" si="320"/>
        <v>0</v>
      </c>
      <c r="CJ233" s="607">
        <f t="shared" si="321"/>
        <v>0</v>
      </c>
      <c r="CK233" s="608">
        <f t="shared" si="322"/>
        <v>0</v>
      </c>
      <c r="CL233" s="609">
        <f t="shared" si="323"/>
        <v>54559.741935483871</v>
      </c>
      <c r="CM233" s="608">
        <f t="shared" si="324"/>
        <v>0</v>
      </c>
      <c r="CN233" s="610">
        <f t="shared" si="325"/>
        <v>43524.551020408158</v>
      </c>
      <c r="CO233" s="606">
        <f t="shared" si="326"/>
        <v>41020.5</v>
      </c>
      <c r="CP233" s="607">
        <f t="shared" si="327"/>
        <v>39590.047058823533</v>
      </c>
      <c r="CQ233" s="606">
        <f t="shared" si="328"/>
        <v>38077.434782608696</v>
      </c>
      <c r="CR233" s="607">
        <f t="shared" si="329"/>
        <v>36756.057082452433</v>
      </c>
      <c r="CS233" s="606">
        <f t="shared" si="330"/>
        <v>36366.917098445592</v>
      </c>
      <c r="CT233" s="607">
        <f t="shared" si="331"/>
        <v>0</v>
      </c>
      <c r="CU233" s="608">
        <f t="shared" si="332"/>
        <v>0</v>
      </c>
      <c r="CV233" s="610">
        <f t="shared" si="333"/>
        <v>0</v>
      </c>
      <c r="CW233" s="608">
        <f t="shared" si="334"/>
        <v>0</v>
      </c>
      <c r="CX233" s="610">
        <f t="shared" si="335"/>
        <v>38464.533355728381</v>
      </c>
      <c r="CY233" s="611">
        <f t="shared" si="336"/>
        <v>34350.295363820675</v>
      </c>
      <c r="CZ233" s="605">
        <f t="shared" si="337"/>
        <v>3</v>
      </c>
      <c r="DA233" s="612">
        <f t="shared" si="338"/>
        <v>5</v>
      </c>
      <c r="DB233" s="607">
        <f t="shared" si="339"/>
        <v>5</v>
      </c>
      <c r="DC233" s="606">
        <f t="shared" si="340"/>
        <v>4</v>
      </c>
      <c r="DD233" s="607">
        <f t="shared" si="341"/>
        <v>9</v>
      </c>
      <c r="DE233" s="606">
        <f t="shared" si="342"/>
        <v>7</v>
      </c>
      <c r="DF233" s="607">
        <f t="shared" si="343"/>
        <v>49</v>
      </c>
      <c r="DG233" s="606">
        <f t="shared" si="344"/>
        <v>59</v>
      </c>
      <c r="DH233" s="607">
        <f t="shared" si="345"/>
        <v>0</v>
      </c>
      <c r="DI233" s="608">
        <f t="shared" si="346"/>
        <v>0</v>
      </c>
      <c r="DJ233" s="607">
        <f t="shared" si="347"/>
        <v>0</v>
      </c>
      <c r="DK233" s="608">
        <f t="shared" si="348"/>
        <v>0</v>
      </c>
      <c r="DL233" s="607">
        <f t="shared" si="349"/>
        <v>66</v>
      </c>
      <c r="DM233" s="608">
        <f t="shared" si="350"/>
        <v>75</v>
      </c>
      <c r="DN233" s="607">
        <f t="shared" si="351"/>
        <v>163679.22580645161</v>
      </c>
      <c r="DO233" s="612">
        <f t="shared" si="352"/>
        <v>0</v>
      </c>
      <c r="DP233" s="607">
        <f t="shared" si="353"/>
        <v>217622.7551020408</v>
      </c>
      <c r="DQ233" s="606">
        <f t="shared" si="354"/>
        <v>164082</v>
      </c>
      <c r="DR233" s="607">
        <f t="shared" si="355"/>
        <v>356310.42352941178</v>
      </c>
      <c r="DS233" s="606">
        <f t="shared" si="356"/>
        <v>266542.04347826086</v>
      </c>
      <c r="DT233" s="607">
        <f t="shared" si="357"/>
        <v>1801046.7970401691</v>
      </c>
      <c r="DU233" s="606">
        <f t="shared" si="358"/>
        <v>2145648.1088082897</v>
      </c>
      <c r="DV233" s="607">
        <f t="shared" si="359"/>
        <v>0</v>
      </c>
      <c r="DW233" s="608">
        <f t="shared" si="360"/>
        <v>0</v>
      </c>
      <c r="DX233" s="607">
        <f t="shared" si="361"/>
        <v>0</v>
      </c>
      <c r="DY233" s="608">
        <f t="shared" si="362"/>
        <v>0</v>
      </c>
      <c r="DZ233" s="607">
        <f t="shared" si="363"/>
        <v>2538659.2014780734</v>
      </c>
      <c r="EA233" s="608">
        <f t="shared" si="364"/>
        <v>2576272.1522865505</v>
      </c>
    </row>
    <row r="234" spans="1:131" x14ac:dyDescent="0.2">
      <c r="A234" s="455" t="s">
        <v>37</v>
      </c>
      <c r="B234" s="459" t="s">
        <v>852</v>
      </c>
      <c r="C234" s="561"/>
      <c r="D234" s="460">
        <v>160010</v>
      </c>
      <c r="E234" s="449">
        <v>12</v>
      </c>
      <c r="F234" s="598">
        <v>3</v>
      </c>
      <c r="G234" s="599">
        <v>2</v>
      </c>
      <c r="H234" s="600"/>
      <c r="I234" s="601"/>
      <c r="J234" s="600">
        <v>19</v>
      </c>
      <c r="K234" s="599"/>
      <c r="L234" s="600"/>
      <c r="M234" s="601"/>
      <c r="N234" s="600">
        <v>1</v>
      </c>
      <c r="O234" s="599">
        <v>3</v>
      </c>
      <c r="P234" s="600"/>
      <c r="Q234" s="601"/>
      <c r="R234" s="600">
        <v>3</v>
      </c>
      <c r="S234" s="599"/>
      <c r="T234" s="600"/>
      <c r="U234" s="601">
        <v>2</v>
      </c>
      <c r="V234" s="600">
        <v>0</v>
      </c>
      <c r="W234" s="599"/>
      <c r="X234" s="600"/>
      <c r="Y234" s="601"/>
      <c r="Z234" s="600">
        <v>4</v>
      </c>
      <c r="AA234" s="599"/>
      <c r="AB234" s="600"/>
      <c r="AC234" s="643">
        <v>2</v>
      </c>
      <c r="AD234" s="600">
        <v>11</v>
      </c>
      <c r="AE234" s="599">
        <v>2</v>
      </c>
      <c r="AF234" s="600"/>
      <c r="AG234" s="601"/>
      <c r="AH234" s="600">
        <v>58</v>
      </c>
      <c r="AI234" s="599"/>
      <c r="AJ234" s="600"/>
      <c r="AK234" s="601"/>
      <c r="AL234" s="600">
        <v>0</v>
      </c>
      <c r="AM234" s="635">
        <v>11</v>
      </c>
      <c r="AN234" s="600"/>
      <c r="AO234" s="601"/>
      <c r="AP234" s="600">
        <v>0</v>
      </c>
      <c r="AQ234" s="599"/>
      <c r="AR234" s="600"/>
      <c r="AS234" s="601">
        <v>43</v>
      </c>
      <c r="AT234" s="600">
        <v>0</v>
      </c>
      <c r="AU234" s="599"/>
      <c r="AV234" s="600"/>
      <c r="AW234" s="601"/>
      <c r="AX234" s="600">
        <v>0</v>
      </c>
      <c r="AY234" s="599"/>
      <c r="AZ234" s="600"/>
      <c r="BA234" s="601"/>
      <c r="BB234" s="602">
        <v>1180523</v>
      </c>
      <c r="BC234" s="599">
        <v>932490</v>
      </c>
      <c r="BD234" s="600">
        <v>166767</v>
      </c>
      <c r="BE234" s="599">
        <v>199354</v>
      </c>
      <c r="BF234" s="600">
        <v>205488</v>
      </c>
      <c r="BG234" s="599">
        <v>114727</v>
      </c>
      <c r="BH234" s="600">
        <v>2716289</v>
      </c>
      <c r="BI234" s="599">
        <v>73526</v>
      </c>
      <c r="BJ234" s="600">
        <v>0</v>
      </c>
      <c r="BK234" s="646">
        <v>2350462</v>
      </c>
      <c r="BL234" s="600">
        <v>0</v>
      </c>
      <c r="BM234" s="604"/>
      <c r="BN234" s="605">
        <f t="shared" si="299"/>
        <v>236</v>
      </c>
      <c r="BO234" s="606">
        <f t="shared" si="300"/>
        <v>18</v>
      </c>
      <c r="BP234" s="607">
        <f t="shared" si="301"/>
        <v>42</v>
      </c>
      <c r="BQ234" s="606">
        <f t="shared" si="302"/>
        <v>51</v>
      </c>
      <c r="BR234" s="607">
        <f t="shared" si="303"/>
        <v>44</v>
      </c>
      <c r="BS234" s="606">
        <f t="shared" si="304"/>
        <v>24</v>
      </c>
      <c r="BT234" s="607">
        <f t="shared" si="305"/>
        <v>737</v>
      </c>
      <c r="BU234" s="606">
        <f t="shared" si="306"/>
        <v>18</v>
      </c>
      <c r="BV234" s="607">
        <f t="shared" si="307"/>
        <v>0</v>
      </c>
      <c r="BW234" s="608">
        <f t="shared" si="308"/>
        <v>615</v>
      </c>
      <c r="BX234" s="607">
        <f t="shared" si="309"/>
        <v>0</v>
      </c>
      <c r="BY234" s="608">
        <f t="shared" si="310"/>
        <v>0</v>
      </c>
      <c r="BZ234" s="607">
        <f t="shared" si="311"/>
        <v>5002.2161016949149</v>
      </c>
      <c r="CA234" s="608">
        <f t="shared" si="312"/>
        <v>51805</v>
      </c>
      <c r="CB234" s="607">
        <f t="shared" si="313"/>
        <v>3970.6428571428573</v>
      </c>
      <c r="CC234" s="608">
        <f t="shared" si="314"/>
        <v>3908.9019607843138</v>
      </c>
      <c r="CD234" s="607">
        <f t="shared" si="315"/>
        <v>4670.181818181818</v>
      </c>
      <c r="CE234" s="608">
        <f t="shared" si="316"/>
        <v>4780.291666666667</v>
      </c>
      <c r="CF234" s="607">
        <f t="shared" si="317"/>
        <v>3685.6024423337858</v>
      </c>
      <c r="CG234" s="608">
        <f t="shared" si="318"/>
        <v>4084.7777777777778</v>
      </c>
      <c r="CH234" s="607">
        <f t="shared" si="319"/>
        <v>0</v>
      </c>
      <c r="CI234" s="608">
        <f t="shared" si="320"/>
        <v>3821.889430894309</v>
      </c>
      <c r="CJ234" s="607">
        <f t="shared" si="321"/>
        <v>0</v>
      </c>
      <c r="CK234" s="608">
        <f t="shared" si="322"/>
        <v>0</v>
      </c>
      <c r="CL234" s="609">
        <f t="shared" si="323"/>
        <v>45019.944915254237</v>
      </c>
      <c r="CM234" s="608">
        <f t="shared" si="324"/>
        <v>466245</v>
      </c>
      <c r="CN234" s="610">
        <f t="shared" si="325"/>
        <v>35735.785714285717</v>
      </c>
      <c r="CO234" s="606">
        <f t="shared" si="326"/>
        <v>35180.117647058825</v>
      </c>
      <c r="CP234" s="607">
        <f t="shared" si="327"/>
        <v>42031.63636363636</v>
      </c>
      <c r="CQ234" s="606">
        <f t="shared" si="328"/>
        <v>43022.625</v>
      </c>
      <c r="CR234" s="607">
        <f t="shared" si="329"/>
        <v>33170.421981004074</v>
      </c>
      <c r="CS234" s="606">
        <f t="shared" si="330"/>
        <v>36763</v>
      </c>
      <c r="CT234" s="607">
        <f t="shared" si="331"/>
        <v>0</v>
      </c>
      <c r="CU234" s="608">
        <f t="shared" si="332"/>
        <v>34397.004878048785</v>
      </c>
      <c r="CV234" s="610">
        <f t="shared" si="333"/>
        <v>0</v>
      </c>
      <c r="CW234" s="608">
        <f t="shared" si="334"/>
        <v>0</v>
      </c>
      <c r="CX234" s="610">
        <f t="shared" si="335"/>
        <v>36265.329223601642</v>
      </c>
      <c r="CY234" s="611">
        <f t="shared" si="336"/>
        <v>48083.078486921979</v>
      </c>
      <c r="CZ234" s="605">
        <f t="shared" si="337"/>
        <v>22</v>
      </c>
      <c r="DA234" s="612">
        <f t="shared" si="338"/>
        <v>2</v>
      </c>
      <c r="DB234" s="607">
        <f t="shared" si="339"/>
        <v>4</v>
      </c>
      <c r="DC234" s="606">
        <f t="shared" si="340"/>
        <v>5</v>
      </c>
      <c r="DD234" s="607">
        <f t="shared" si="341"/>
        <v>4</v>
      </c>
      <c r="DE234" s="606">
        <f t="shared" si="342"/>
        <v>2</v>
      </c>
      <c r="DF234" s="607">
        <f t="shared" si="343"/>
        <v>69</v>
      </c>
      <c r="DG234" s="606">
        <f t="shared" si="344"/>
        <v>2</v>
      </c>
      <c r="DH234" s="607">
        <f t="shared" si="345"/>
        <v>0</v>
      </c>
      <c r="DI234" s="608">
        <f t="shared" si="346"/>
        <v>54</v>
      </c>
      <c r="DJ234" s="607">
        <f t="shared" si="347"/>
        <v>0</v>
      </c>
      <c r="DK234" s="608">
        <f t="shared" si="348"/>
        <v>0</v>
      </c>
      <c r="DL234" s="607">
        <f t="shared" si="349"/>
        <v>99</v>
      </c>
      <c r="DM234" s="608">
        <f t="shared" si="350"/>
        <v>65</v>
      </c>
      <c r="DN234" s="607">
        <f t="shared" si="351"/>
        <v>990438.78813559317</v>
      </c>
      <c r="DO234" s="612">
        <f t="shared" si="352"/>
        <v>932490</v>
      </c>
      <c r="DP234" s="607">
        <f t="shared" si="353"/>
        <v>142943.14285714287</v>
      </c>
      <c r="DQ234" s="606">
        <f t="shared" si="354"/>
        <v>175900.58823529413</v>
      </c>
      <c r="DR234" s="607">
        <f t="shared" si="355"/>
        <v>168126.54545454544</v>
      </c>
      <c r="DS234" s="606">
        <f t="shared" si="356"/>
        <v>86045.25</v>
      </c>
      <c r="DT234" s="607">
        <f t="shared" si="357"/>
        <v>2288759.1166892811</v>
      </c>
      <c r="DU234" s="606">
        <f t="shared" si="358"/>
        <v>73526</v>
      </c>
      <c r="DV234" s="607">
        <f t="shared" si="359"/>
        <v>0</v>
      </c>
      <c r="DW234" s="608">
        <f t="shared" si="360"/>
        <v>1857438.2634146344</v>
      </c>
      <c r="DX234" s="607">
        <f t="shared" si="361"/>
        <v>0</v>
      </c>
      <c r="DY234" s="608">
        <f t="shared" si="362"/>
        <v>0</v>
      </c>
      <c r="DZ234" s="607">
        <f t="shared" si="363"/>
        <v>3590267.5931365625</v>
      </c>
      <c r="EA234" s="608">
        <f t="shared" si="364"/>
        <v>3125400.1016499288</v>
      </c>
    </row>
    <row r="235" spans="1:131" x14ac:dyDescent="0.2">
      <c r="A235" s="455" t="s">
        <v>37</v>
      </c>
      <c r="B235" s="459" t="s">
        <v>853</v>
      </c>
      <c r="C235" s="561"/>
      <c r="D235" s="460">
        <v>160913</v>
      </c>
      <c r="E235" s="449">
        <v>12</v>
      </c>
      <c r="F235" s="598"/>
      <c r="G235" s="599"/>
      <c r="H235" s="600"/>
      <c r="I235" s="601"/>
      <c r="J235" s="600">
        <v>6</v>
      </c>
      <c r="K235" s="599"/>
      <c r="L235" s="600"/>
      <c r="M235" s="601"/>
      <c r="N235" s="600">
        <v>0</v>
      </c>
      <c r="O235" s="599"/>
      <c r="P235" s="600"/>
      <c r="Q235" s="601"/>
      <c r="R235" s="600">
        <v>1</v>
      </c>
      <c r="S235" s="599"/>
      <c r="T235" s="600"/>
      <c r="U235" s="601">
        <v>1</v>
      </c>
      <c r="V235" s="600">
        <v>0</v>
      </c>
      <c r="W235" s="599"/>
      <c r="X235" s="600"/>
      <c r="Y235" s="601"/>
      <c r="Z235" s="600">
        <v>3</v>
      </c>
      <c r="AA235" s="599"/>
      <c r="AB235" s="600"/>
      <c r="AC235" s="643">
        <v>2</v>
      </c>
      <c r="AD235" s="600">
        <v>5</v>
      </c>
      <c r="AE235" s="599">
        <v>7</v>
      </c>
      <c r="AF235" s="600"/>
      <c r="AG235" s="601"/>
      <c r="AH235" s="600">
        <v>41</v>
      </c>
      <c r="AI235" s="599"/>
      <c r="AJ235" s="600"/>
      <c r="AK235" s="601">
        <v>38</v>
      </c>
      <c r="AL235" s="600">
        <v>0</v>
      </c>
      <c r="AM235" s="599"/>
      <c r="AN235" s="600"/>
      <c r="AO235" s="601"/>
      <c r="AP235" s="600">
        <v>0</v>
      </c>
      <c r="AQ235" s="599"/>
      <c r="AR235" s="600"/>
      <c r="AS235" s="601"/>
      <c r="AT235" s="600">
        <v>0</v>
      </c>
      <c r="AU235" s="599"/>
      <c r="AV235" s="600"/>
      <c r="AW235" s="601"/>
      <c r="AX235" s="600">
        <v>0</v>
      </c>
      <c r="AY235" s="599"/>
      <c r="AZ235" s="600"/>
      <c r="BA235" s="601"/>
      <c r="BB235" s="602">
        <v>353736</v>
      </c>
      <c r="BC235" s="599">
        <v>290566</v>
      </c>
      <c r="BD235" s="600">
        <v>56784</v>
      </c>
      <c r="BE235" s="599">
        <v>56784</v>
      </c>
      <c r="BF235" s="600">
        <v>151626</v>
      </c>
      <c r="BG235" s="599">
        <v>110289</v>
      </c>
      <c r="BH235" s="600">
        <v>2156567</v>
      </c>
      <c r="BI235" s="599">
        <v>2089893</v>
      </c>
      <c r="BJ235" s="600">
        <v>0</v>
      </c>
      <c r="BK235" s="615"/>
      <c r="BL235" s="600">
        <v>0</v>
      </c>
      <c r="BM235" s="604"/>
      <c r="BN235" s="605">
        <f t="shared" si="299"/>
        <v>66</v>
      </c>
      <c r="BO235" s="606">
        <f t="shared" si="300"/>
        <v>0</v>
      </c>
      <c r="BP235" s="607">
        <f t="shared" si="301"/>
        <v>11</v>
      </c>
      <c r="BQ235" s="606">
        <f t="shared" si="302"/>
        <v>12</v>
      </c>
      <c r="BR235" s="607">
        <f t="shared" si="303"/>
        <v>33</v>
      </c>
      <c r="BS235" s="606">
        <f t="shared" si="304"/>
        <v>24</v>
      </c>
      <c r="BT235" s="607">
        <f t="shared" si="305"/>
        <v>496</v>
      </c>
      <c r="BU235" s="606">
        <f t="shared" si="306"/>
        <v>519</v>
      </c>
      <c r="BV235" s="607">
        <f t="shared" si="307"/>
        <v>0</v>
      </c>
      <c r="BW235" s="608">
        <f t="shared" si="308"/>
        <v>0</v>
      </c>
      <c r="BX235" s="607">
        <f t="shared" si="309"/>
        <v>0</v>
      </c>
      <c r="BY235" s="608">
        <f t="shared" si="310"/>
        <v>0</v>
      </c>
      <c r="BZ235" s="607">
        <f t="shared" si="311"/>
        <v>5359.636363636364</v>
      </c>
      <c r="CA235" s="608">
        <f t="shared" si="312"/>
        <v>0</v>
      </c>
      <c r="CB235" s="607">
        <f t="shared" si="313"/>
        <v>5162.181818181818</v>
      </c>
      <c r="CC235" s="608">
        <f t="shared" si="314"/>
        <v>4732</v>
      </c>
      <c r="CD235" s="607">
        <f t="shared" si="315"/>
        <v>4594.727272727273</v>
      </c>
      <c r="CE235" s="608">
        <f t="shared" si="316"/>
        <v>4595.375</v>
      </c>
      <c r="CF235" s="607">
        <f t="shared" si="317"/>
        <v>4347.9173387096771</v>
      </c>
      <c r="CG235" s="608">
        <f t="shared" si="318"/>
        <v>4026.7687861271675</v>
      </c>
      <c r="CH235" s="607">
        <f t="shared" si="319"/>
        <v>0</v>
      </c>
      <c r="CI235" s="608">
        <f t="shared" si="320"/>
        <v>0</v>
      </c>
      <c r="CJ235" s="607">
        <f t="shared" si="321"/>
        <v>0</v>
      </c>
      <c r="CK235" s="608">
        <f t="shared" si="322"/>
        <v>0</v>
      </c>
      <c r="CL235" s="609">
        <f t="shared" si="323"/>
        <v>48236.727272727279</v>
      </c>
      <c r="CM235" s="608">
        <f t="shared" si="324"/>
        <v>0</v>
      </c>
      <c r="CN235" s="610">
        <f t="shared" si="325"/>
        <v>46459.63636363636</v>
      </c>
      <c r="CO235" s="606">
        <f t="shared" si="326"/>
        <v>42588</v>
      </c>
      <c r="CP235" s="607">
        <f t="shared" si="327"/>
        <v>41352.545454545456</v>
      </c>
      <c r="CQ235" s="606">
        <f t="shared" si="328"/>
        <v>41358.375</v>
      </c>
      <c r="CR235" s="607">
        <f t="shared" si="329"/>
        <v>39131.256048387091</v>
      </c>
      <c r="CS235" s="606">
        <f t="shared" si="330"/>
        <v>36240.919075144506</v>
      </c>
      <c r="CT235" s="607">
        <f t="shared" si="331"/>
        <v>0</v>
      </c>
      <c r="CU235" s="608">
        <f t="shared" si="332"/>
        <v>0</v>
      </c>
      <c r="CV235" s="610">
        <f t="shared" si="333"/>
        <v>0</v>
      </c>
      <c r="CW235" s="608">
        <f t="shared" si="334"/>
        <v>0</v>
      </c>
      <c r="CX235" s="610">
        <f t="shared" si="335"/>
        <v>40356.703831954328</v>
      </c>
      <c r="CY235" s="611">
        <f t="shared" si="336"/>
        <v>36586.377257947977</v>
      </c>
      <c r="CZ235" s="605">
        <f t="shared" si="337"/>
        <v>6</v>
      </c>
      <c r="DA235" s="612">
        <f t="shared" si="338"/>
        <v>0</v>
      </c>
      <c r="DB235" s="607">
        <f t="shared" si="339"/>
        <v>1</v>
      </c>
      <c r="DC235" s="606">
        <f t="shared" si="340"/>
        <v>1</v>
      </c>
      <c r="DD235" s="607">
        <f t="shared" si="341"/>
        <v>3</v>
      </c>
      <c r="DE235" s="606">
        <f t="shared" si="342"/>
        <v>2</v>
      </c>
      <c r="DF235" s="607">
        <f t="shared" si="343"/>
        <v>46</v>
      </c>
      <c r="DG235" s="606">
        <f t="shared" si="344"/>
        <v>45</v>
      </c>
      <c r="DH235" s="607">
        <f t="shared" si="345"/>
        <v>0</v>
      </c>
      <c r="DI235" s="608">
        <f t="shared" si="346"/>
        <v>0</v>
      </c>
      <c r="DJ235" s="607">
        <f t="shared" si="347"/>
        <v>0</v>
      </c>
      <c r="DK235" s="608">
        <f t="shared" si="348"/>
        <v>0</v>
      </c>
      <c r="DL235" s="607">
        <f t="shared" si="349"/>
        <v>56</v>
      </c>
      <c r="DM235" s="608">
        <f t="shared" si="350"/>
        <v>48</v>
      </c>
      <c r="DN235" s="607">
        <f t="shared" si="351"/>
        <v>289420.36363636365</v>
      </c>
      <c r="DO235" s="612">
        <f t="shared" si="352"/>
        <v>0</v>
      </c>
      <c r="DP235" s="607">
        <f t="shared" si="353"/>
        <v>46459.63636363636</v>
      </c>
      <c r="DQ235" s="606">
        <f t="shared" si="354"/>
        <v>42588</v>
      </c>
      <c r="DR235" s="607">
        <f t="shared" si="355"/>
        <v>124057.63636363637</v>
      </c>
      <c r="DS235" s="606">
        <f t="shared" si="356"/>
        <v>82716.75</v>
      </c>
      <c r="DT235" s="607">
        <f t="shared" si="357"/>
        <v>1800037.7782258061</v>
      </c>
      <c r="DU235" s="606">
        <f t="shared" si="358"/>
        <v>1630841.3583815028</v>
      </c>
      <c r="DV235" s="607">
        <f t="shared" si="359"/>
        <v>0</v>
      </c>
      <c r="DW235" s="608">
        <f t="shared" si="360"/>
        <v>0</v>
      </c>
      <c r="DX235" s="607">
        <f t="shared" si="361"/>
        <v>0</v>
      </c>
      <c r="DY235" s="608">
        <f t="shared" si="362"/>
        <v>0</v>
      </c>
      <c r="DZ235" s="607">
        <f t="shared" si="363"/>
        <v>2259975.4145894423</v>
      </c>
      <c r="EA235" s="608">
        <f t="shared" si="364"/>
        <v>1756146.1083815028</v>
      </c>
    </row>
    <row r="236" spans="1:131" x14ac:dyDescent="0.2">
      <c r="A236" s="450" t="s">
        <v>37</v>
      </c>
      <c r="B236" s="448" t="s">
        <v>854</v>
      </c>
      <c r="C236" s="557"/>
      <c r="D236" s="460">
        <v>160579</v>
      </c>
      <c r="E236" s="449">
        <v>12</v>
      </c>
      <c r="F236" s="598"/>
      <c r="G236" s="599"/>
      <c r="H236" s="600"/>
      <c r="I236" s="601"/>
      <c r="J236" s="600">
        <v>0</v>
      </c>
      <c r="K236" s="599"/>
      <c r="L236" s="600"/>
      <c r="M236" s="601"/>
      <c r="N236" s="600">
        <v>0</v>
      </c>
      <c r="O236" s="599"/>
      <c r="P236" s="600"/>
      <c r="Q236" s="601"/>
      <c r="R236" s="600">
        <v>0</v>
      </c>
      <c r="S236" s="599"/>
      <c r="T236" s="600"/>
      <c r="U236" s="601"/>
      <c r="V236" s="600">
        <v>0</v>
      </c>
      <c r="W236" s="599"/>
      <c r="X236" s="600"/>
      <c r="Y236" s="601"/>
      <c r="Z236" s="600">
        <v>0</v>
      </c>
      <c r="AA236" s="599"/>
      <c r="AB236" s="600"/>
      <c r="AC236" s="601"/>
      <c r="AD236" s="600"/>
      <c r="AE236" s="599">
        <v>42</v>
      </c>
      <c r="AF236" s="600"/>
      <c r="AG236" s="601"/>
      <c r="AH236" s="600"/>
      <c r="AI236" s="599"/>
      <c r="AJ236" s="600"/>
      <c r="AK236" s="601">
        <v>30</v>
      </c>
      <c r="AL236" s="600">
        <v>38</v>
      </c>
      <c r="AM236" s="599"/>
      <c r="AN236" s="600"/>
      <c r="AO236" s="601"/>
      <c r="AP236" s="600">
        <v>36</v>
      </c>
      <c r="AQ236" s="599"/>
      <c r="AR236" s="600"/>
      <c r="AS236" s="601"/>
      <c r="AT236" s="600"/>
      <c r="AU236" s="599"/>
      <c r="AV236" s="600"/>
      <c r="AW236" s="601"/>
      <c r="AX236" s="600"/>
      <c r="AY236" s="599"/>
      <c r="AZ236" s="600"/>
      <c r="BA236" s="601"/>
      <c r="BB236" s="602">
        <v>0</v>
      </c>
      <c r="BC236" s="599"/>
      <c r="BD236" s="600">
        <v>0</v>
      </c>
      <c r="BE236" s="599"/>
      <c r="BF236" s="600">
        <v>0</v>
      </c>
      <c r="BG236" s="599"/>
      <c r="BH236" s="600">
        <v>0</v>
      </c>
      <c r="BI236" s="599">
        <v>3236507</v>
      </c>
      <c r="BJ236" s="600">
        <v>0</v>
      </c>
      <c r="BK236" s="615"/>
      <c r="BL236" s="600">
        <v>3325714</v>
      </c>
      <c r="BM236" s="604"/>
      <c r="BN236" s="605">
        <f t="shared" si="299"/>
        <v>0</v>
      </c>
      <c r="BO236" s="606">
        <f t="shared" si="300"/>
        <v>0</v>
      </c>
      <c r="BP236" s="607">
        <f t="shared" si="301"/>
        <v>0</v>
      </c>
      <c r="BQ236" s="606">
        <f t="shared" si="302"/>
        <v>0</v>
      </c>
      <c r="BR236" s="607">
        <f t="shared" si="303"/>
        <v>0</v>
      </c>
      <c r="BS236" s="606">
        <f t="shared" si="304"/>
        <v>0</v>
      </c>
      <c r="BT236" s="607">
        <f t="shared" si="305"/>
        <v>0</v>
      </c>
      <c r="BU236" s="606">
        <f t="shared" si="306"/>
        <v>738</v>
      </c>
      <c r="BV236" s="607">
        <f t="shared" si="307"/>
        <v>738</v>
      </c>
      <c r="BW236" s="608">
        <f t="shared" si="308"/>
        <v>0</v>
      </c>
      <c r="BX236" s="607">
        <f t="shared" si="309"/>
        <v>0</v>
      </c>
      <c r="BY236" s="608">
        <f t="shared" si="310"/>
        <v>0</v>
      </c>
      <c r="BZ236" s="607">
        <f t="shared" si="311"/>
        <v>0</v>
      </c>
      <c r="CA236" s="608">
        <f t="shared" si="312"/>
        <v>0</v>
      </c>
      <c r="CB236" s="607">
        <f t="shared" si="313"/>
        <v>0</v>
      </c>
      <c r="CC236" s="608">
        <f t="shared" si="314"/>
        <v>0</v>
      </c>
      <c r="CD236" s="607">
        <f t="shared" si="315"/>
        <v>0</v>
      </c>
      <c r="CE236" s="608">
        <f t="shared" si="316"/>
        <v>0</v>
      </c>
      <c r="CF236" s="607">
        <f t="shared" si="317"/>
        <v>0</v>
      </c>
      <c r="CG236" s="608">
        <f t="shared" si="318"/>
        <v>4385.5108401084008</v>
      </c>
      <c r="CH236" s="607">
        <f t="shared" si="319"/>
        <v>0</v>
      </c>
      <c r="CI236" s="608">
        <f t="shared" si="320"/>
        <v>0</v>
      </c>
      <c r="CJ236" s="607">
        <f t="shared" si="321"/>
        <v>0</v>
      </c>
      <c r="CK236" s="608">
        <f t="shared" si="322"/>
        <v>0</v>
      </c>
      <c r="CL236" s="609">
        <f t="shared" si="323"/>
        <v>0</v>
      </c>
      <c r="CM236" s="608">
        <f t="shared" si="324"/>
        <v>0</v>
      </c>
      <c r="CN236" s="610">
        <f t="shared" si="325"/>
        <v>0</v>
      </c>
      <c r="CO236" s="606">
        <f t="shared" si="326"/>
        <v>0</v>
      </c>
      <c r="CP236" s="607">
        <f t="shared" si="327"/>
        <v>0</v>
      </c>
      <c r="CQ236" s="606">
        <f t="shared" si="328"/>
        <v>0</v>
      </c>
      <c r="CR236" s="607">
        <f t="shared" si="329"/>
        <v>0</v>
      </c>
      <c r="CS236" s="606">
        <f t="shared" si="330"/>
        <v>39469.597560975606</v>
      </c>
      <c r="CT236" s="607">
        <f t="shared" si="331"/>
        <v>0</v>
      </c>
      <c r="CU236" s="608">
        <f t="shared" si="332"/>
        <v>0</v>
      </c>
      <c r="CV236" s="610">
        <f t="shared" si="333"/>
        <v>0</v>
      </c>
      <c r="CW236" s="608">
        <f t="shared" si="334"/>
        <v>0</v>
      </c>
      <c r="CX236" s="610">
        <f t="shared" si="335"/>
        <v>0</v>
      </c>
      <c r="CY236" s="611">
        <f t="shared" si="336"/>
        <v>39469.597560975606</v>
      </c>
      <c r="CZ236" s="605">
        <f t="shared" si="337"/>
        <v>0</v>
      </c>
      <c r="DA236" s="612">
        <f t="shared" si="338"/>
        <v>0</v>
      </c>
      <c r="DB236" s="607">
        <f t="shared" si="339"/>
        <v>0</v>
      </c>
      <c r="DC236" s="606">
        <f t="shared" si="340"/>
        <v>0</v>
      </c>
      <c r="DD236" s="607">
        <f t="shared" si="341"/>
        <v>0</v>
      </c>
      <c r="DE236" s="606">
        <f t="shared" si="342"/>
        <v>0</v>
      </c>
      <c r="DF236" s="607">
        <f t="shared" si="343"/>
        <v>0</v>
      </c>
      <c r="DG236" s="606">
        <f t="shared" si="344"/>
        <v>72</v>
      </c>
      <c r="DH236" s="607">
        <f t="shared" si="345"/>
        <v>74</v>
      </c>
      <c r="DI236" s="608">
        <f t="shared" si="346"/>
        <v>0</v>
      </c>
      <c r="DJ236" s="607">
        <f t="shared" si="347"/>
        <v>0</v>
      </c>
      <c r="DK236" s="608">
        <f t="shared" si="348"/>
        <v>0</v>
      </c>
      <c r="DL236" s="607">
        <f t="shared" si="349"/>
        <v>74</v>
      </c>
      <c r="DM236" s="608">
        <f t="shared" si="350"/>
        <v>72</v>
      </c>
      <c r="DN236" s="607">
        <f t="shared" si="351"/>
        <v>0</v>
      </c>
      <c r="DO236" s="612">
        <f t="shared" si="352"/>
        <v>0</v>
      </c>
      <c r="DP236" s="607">
        <f t="shared" si="353"/>
        <v>0</v>
      </c>
      <c r="DQ236" s="606">
        <f t="shared" si="354"/>
        <v>0</v>
      </c>
      <c r="DR236" s="607">
        <f t="shared" si="355"/>
        <v>0</v>
      </c>
      <c r="DS236" s="606">
        <f t="shared" si="356"/>
        <v>0</v>
      </c>
      <c r="DT236" s="607">
        <f t="shared" si="357"/>
        <v>0</v>
      </c>
      <c r="DU236" s="606">
        <f t="shared" si="358"/>
        <v>2841811.0243902435</v>
      </c>
      <c r="DV236" s="607">
        <f t="shared" si="359"/>
        <v>0</v>
      </c>
      <c r="DW236" s="608">
        <f t="shared" si="360"/>
        <v>0</v>
      </c>
      <c r="DX236" s="607">
        <f t="shared" si="361"/>
        <v>0</v>
      </c>
      <c r="DY236" s="608">
        <f t="shared" si="362"/>
        <v>0</v>
      </c>
      <c r="DZ236" s="607">
        <f t="shared" si="363"/>
        <v>0</v>
      </c>
      <c r="EA236" s="608">
        <f t="shared" si="364"/>
        <v>2841811.0243902435</v>
      </c>
    </row>
    <row r="237" spans="1:131" x14ac:dyDescent="0.2">
      <c r="A237" s="430" t="s">
        <v>38</v>
      </c>
      <c r="B237" s="431" t="s">
        <v>756</v>
      </c>
      <c r="C237" s="562"/>
      <c r="D237" s="432">
        <v>163286</v>
      </c>
      <c r="E237" s="419">
        <v>1</v>
      </c>
      <c r="F237" s="598">
        <v>375</v>
      </c>
      <c r="G237" s="599">
        <v>364</v>
      </c>
      <c r="H237" s="600"/>
      <c r="I237" s="601">
        <v>11</v>
      </c>
      <c r="J237" s="600">
        <v>282</v>
      </c>
      <c r="K237" s="599"/>
      <c r="L237" s="600"/>
      <c r="M237" s="601">
        <v>278</v>
      </c>
      <c r="N237" s="600">
        <v>326</v>
      </c>
      <c r="O237" s="599">
        <v>321</v>
      </c>
      <c r="P237" s="600"/>
      <c r="Q237" s="601">
        <v>6</v>
      </c>
      <c r="R237" s="600">
        <v>97</v>
      </c>
      <c r="S237" s="599">
        <v>0</v>
      </c>
      <c r="T237" s="600"/>
      <c r="U237" s="601">
        <v>104</v>
      </c>
      <c r="V237" s="600">
        <v>276</v>
      </c>
      <c r="W237" s="599">
        <v>282</v>
      </c>
      <c r="X237" s="600"/>
      <c r="Y237" s="601"/>
      <c r="Z237" s="600">
        <v>40</v>
      </c>
      <c r="AA237" s="599"/>
      <c r="AB237" s="600"/>
      <c r="AC237" s="601">
        <v>35</v>
      </c>
      <c r="AD237" s="600">
        <v>6</v>
      </c>
      <c r="AE237" s="599">
        <v>6</v>
      </c>
      <c r="AF237" s="600"/>
      <c r="AG237" s="601"/>
      <c r="AH237" s="600">
        <v>6</v>
      </c>
      <c r="AI237" s="599"/>
      <c r="AJ237" s="600"/>
      <c r="AK237" s="601">
        <v>6</v>
      </c>
      <c r="AL237" s="600">
        <v>209</v>
      </c>
      <c r="AM237" s="599">
        <v>214</v>
      </c>
      <c r="AN237" s="600"/>
      <c r="AO237" s="601"/>
      <c r="AP237" s="600">
        <v>51</v>
      </c>
      <c r="AQ237" s="599"/>
      <c r="AR237" s="600"/>
      <c r="AS237" s="601">
        <v>49</v>
      </c>
      <c r="AT237" s="600"/>
      <c r="AU237" s="599"/>
      <c r="AV237" s="600"/>
      <c r="AW237" s="601"/>
      <c r="AX237" s="600"/>
      <c r="AY237" s="599"/>
      <c r="AZ237" s="600"/>
      <c r="BA237" s="601"/>
      <c r="BB237" s="602">
        <v>98521864.967999995</v>
      </c>
      <c r="BC237" s="599">
        <v>99272860</v>
      </c>
      <c r="BD237" s="600">
        <v>42653496.912999995</v>
      </c>
      <c r="BE237" s="599">
        <v>44122082</v>
      </c>
      <c r="BF237" s="600">
        <v>27270689.068</v>
      </c>
      <c r="BG237" s="599">
        <v>27688736</v>
      </c>
      <c r="BH237" s="600">
        <v>806473.99800000002</v>
      </c>
      <c r="BI237" s="599">
        <v>815467</v>
      </c>
      <c r="BJ237" s="600">
        <v>16643647.999</v>
      </c>
      <c r="BK237" s="615">
        <v>16876872</v>
      </c>
      <c r="BL237" s="600">
        <v>0</v>
      </c>
      <c r="BM237" s="604"/>
      <c r="BN237" s="605">
        <f t="shared" si="299"/>
        <v>6477</v>
      </c>
      <c r="BO237" s="606">
        <f t="shared" si="300"/>
        <v>6722</v>
      </c>
      <c r="BP237" s="607">
        <f t="shared" si="301"/>
        <v>4001</v>
      </c>
      <c r="BQ237" s="606">
        <f t="shared" si="302"/>
        <v>4197</v>
      </c>
      <c r="BR237" s="607">
        <f t="shared" si="303"/>
        <v>2924</v>
      </c>
      <c r="BS237" s="606">
        <f t="shared" si="304"/>
        <v>2958</v>
      </c>
      <c r="BT237" s="607">
        <f t="shared" si="305"/>
        <v>120</v>
      </c>
      <c r="BU237" s="606">
        <f t="shared" si="306"/>
        <v>126</v>
      </c>
      <c r="BV237" s="607">
        <f t="shared" si="307"/>
        <v>2442</v>
      </c>
      <c r="BW237" s="608">
        <f t="shared" si="308"/>
        <v>2514</v>
      </c>
      <c r="BX237" s="607">
        <f t="shared" si="309"/>
        <v>0</v>
      </c>
      <c r="BY237" s="608">
        <f t="shared" si="310"/>
        <v>0</v>
      </c>
      <c r="BZ237" s="607">
        <f t="shared" si="311"/>
        <v>15211.033652616952</v>
      </c>
      <c r="CA237" s="608">
        <f t="shared" si="312"/>
        <v>14768.351681047307</v>
      </c>
      <c r="CB237" s="607">
        <f t="shared" si="313"/>
        <v>10660.709050987252</v>
      </c>
      <c r="CC237" s="608">
        <f t="shared" si="314"/>
        <v>10512.766738146294</v>
      </c>
      <c r="CD237" s="607">
        <f t="shared" si="315"/>
        <v>9326.5010492476067</v>
      </c>
      <c r="CE237" s="608">
        <f t="shared" si="316"/>
        <v>9360.6274509803916</v>
      </c>
      <c r="CF237" s="607">
        <f t="shared" si="317"/>
        <v>6720.6166499999999</v>
      </c>
      <c r="CG237" s="608">
        <f t="shared" si="318"/>
        <v>6471.9603174603171</v>
      </c>
      <c r="CH237" s="607">
        <f t="shared" si="319"/>
        <v>6815.5806711711712</v>
      </c>
      <c r="CI237" s="608">
        <f t="shared" si="320"/>
        <v>6713.1551312649162</v>
      </c>
      <c r="CJ237" s="607">
        <f t="shared" si="321"/>
        <v>0</v>
      </c>
      <c r="CK237" s="608">
        <f t="shared" si="322"/>
        <v>0</v>
      </c>
      <c r="CL237" s="609">
        <f t="shared" si="323"/>
        <v>136899.30287355257</v>
      </c>
      <c r="CM237" s="608">
        <f t="shared" si="324"/>
        <v>132915.16512942576</v>
      </c>
      <c r="CN237" s="610">
        <f t="shared" si="325"/>
        <v>95946.381458885269</v>
      </c>
      <c r="CO237" s="606">
        <f t="shared" si="326"/>
        <v>94614.900643316651</v>
      </c>
      <c r="CP237" s="607">
        <f t="shared" si="327"/>
        <v>83938.509443228453</v>
      </c>
      <c r="CQ237" s="606">
        <f t="shared" si="328"/>
        <v>84245.647058823524</v>
      </c>
      <c r="CR237" s="607">
        <f t="shared" si="329"/>
        <v>60485.549849999996</v>
      </c>
      <c r="CS237" s="606">
        <f t="shared" si="330"/>
        <v>58247.642857142855</v>
      </c>
      <c r="CT237" s="607">
        <f t="shared" si="331"/>
        <v>61340.22604054054</v>
      </c>
      <c r="CU237" s="608">
        <f t="shared" si="332"/>
        <v>60418.396181384247</v>
      </c>
      <c r="CV237" s="610">
        <f t="shared" si="333"/>
        <v>0</v>
      </c>
      <c r="CW237" s="608">
        <f t="shared" si="334"/>
        <v>0</v>
      </c>
      <c r="CX237" s="610">
        <f t="shared" si="335"/>
        <v>104152.88710901274</v>
      </c>
      <c r="CY237" s="611">
        <f t="shared" si="336"/>
        <v>101949.58534273348</v>
      </c>
      <c r="CZ237" s="605">
        <f t="shared" si="337"/>
        <v>657</v>
      </c>
      <c r="DA237" s="612">
        <f t="shared" si="338"/>
        <v>653</v>
      </c>
      <c r="DB237" s="607">
        <f t="shared" si="339"/>
        <v>423</v>
      </c>
      <c r="DC237" s="606">
        <f t="shared" si="340"/>
        <v>431</v>
      </c>
      <c r="DD237" s="607">
        <f t="shared" si="341"/>
        <v>316</v>
      </c>
      <c r="DE237" s="606">
        <f t="shared" si="342"/>
        <v>317</v>
      </c>
      <c r="DF237" s="607">
        <f t="shared" si="343"/>
        <v>12</v>
      </c>
      <c r="DG237" s="606">
        <f t="shared" si="344"/>
        <v>12</v>
      </c>
      <c r="DH237" s="607">
        <f t="shared" si="345"/>
        <v>260</v>
      </c>
      <c r="DI237" s="608">
        <f t="shared" si="346"/>
        <v>263</v>
      </c>
      <c r="DJ237" s="607">
        <f t="shared" si="347"/>
        <v>0</v>
      </c>
      <c r="DK237" s="608">
        <f t="shared" si="348"/>
        <v>0</v>
      </c>
      <c r="DL237" s="607">
        <f t="shared" si="349"/>
        <v>1668</v>
      </c>
      <c r="DM237" s="608">
        <f t="shared" si="350"/>
        <v>1676</v>
      </c>
      <c r="DN237" s="607">
        <f t="shared" si="351"/>
        <v>89942841.987924039</v>
      </c>
      <c r="DO237" s="612">
        <f t="shared" si="352"/>
        <v>86793602.829515025</v>
      </c>
      <c r="DP237" s="607">
        <f t="shared" si="353"/>
        <v>40585319.357108466</v>
      </c>
      <c r="DQ237" s="606">
        <f t="shared" si="354"/>
        <v>40779022.177269474</v>
      </c>
      <c r="DR237" s="607">
        <f t="shared" si="355"/>
        <v>26524568.984060191</v>
      </c>
      <c r="DS237" s="606">
        <f t="shared" si="356"/>
        <v>26705870.117647056</v>
      </c>
      <c r="DT237" s="607">
        <f t="shared" si="357"/>
        <v>725826.59819999989</v>
      </c>
      <c r="DU237" s="606">
        <f t="shared" si="358"/>
        <v>698971.71428571432</v>
      </c>
      <c r="DV237" s="607">
        <f t="shared" si="359"/>
        <v>15948458.770540541</v>
      </c>
      <c r="DW237" s="608">
        <f t="shared" si="360"/>
        <v>15890038.195704058</v>
      </c>
      <c r="DX237" s="607">
        <f t="shared" si="361"/>
        <v>0</v>
      </c>
      <c r="DY237" s="608">
        <f t="shared" si="362"/>
        <v>0</v>
      </c>
      <c r="DZ237" s="607">
        <f t="shared" si="363"/>
        <v>173727015.69783324</v>
      </c>
      <c r="EA237" s="608">
        <f t="shared" si="364"/>
        <v>170867505.03442132</v>
      </c>
    </row>
    <row r="238" spans="1:131" x14ac:dyDescent="0.2">
      <c r="A238" s="430" t="s">
        <v>38</v>
      </c>
      <c r="B238" s="433" t="s">
        <v>757</v>
      </c>
      <c r="C238" s="563"/>
      <c r="D238" s="432">
        <v>163453</v>
      </c>
      <c r="E238" s="420">
        <v>2</v>
      </c>
      <c r="F238" s="598">
        <v>24</v>
      </c>
      <c r="G238" s="599">
        <v>28</v>
      </c>
      <c r="H238" s="600"/>
      <c r="I238" s="601"/>
      <c r="J238" s="600">
        <v>26</v>
      </c>
      <c r="K238" s="599"/>
      <c r="L238" s="600"/>
      <c r="M238" s="601">
        <v>22</v>
      </c>
      <c r="N238" s="600">
        <v>114</v>
      </c>
      <c r="O238" s="599">
        <v>120</v>
      </c>
      <c r="P238" s="600"/>
      <c r="Q238" s="601"/>
      <c r="R238" s="600">
        <v>23</v>
      </c>
      <c r="S238" s="599"/>
      <c r="T238" s="600"/>
      <c r="U238" s="601">
        <v>21</v>
      </c>
      <c r="V238" s="600">
        <v>83</v>
      </c>
      <c r="W238" s="599">
        <v>85</v>
      </c>
      <c r="X238" s="600"/>
      <c r="Y238" s="601"/>
      <c r="Z238" s="600">
        <v>5</v>
      </c>
      <c r="AA238" s="599"/>
      <c r="AB238" s="600"/>
      <c r="AC238" s="601">
        <v>3</v>
      </c>
      <c r="AD238" s="600">
        <v>4</v>
      </c>
      <c r="AE238" s="599">
        <v>4</v>
      </c>
      <c r="AF238" s="600"/>
      <c r="AG238" s="601"/>
      <c r="AH238" s="600"/>
      <c r="AI238" s="599"/>
      <c r="AJ238" s="600"/>
      <c r="AK238" s="601"/>
      <c r="AL238" s="600">
        <v>173</v>
      </c>
      <c r="AM238" s="599">
        <v>158</v>
      </c>
      <c r="AN238" s="600"/>
      <c r="AO238" s="601"/>
      <c r="AP238" s="600">
        <v>3</v>
      </c>
      <c r="AQ238" s="599"/>
      <c r="AR238" s="600"/>
      <c r="AS238" s="601"/>
      <c r="AT238" s="600"/>
      <c r="AU238" s="599"/>
      <c r="AV238" s="600"/>
      <c r="AW238" s="601"/>
      <c r="AX238" s="600"/>
      <c r="AY238" s="599"/>
      <c r="AZ238" s="600"/>
      <c r="BA238" s="601"/>
      <c r="BB238" s="602">
        <v>5828601.9900000002</v>
      </c>
      <c r="BC238" s="599">
        <v>5611724</v>
      </c>
      <c r="BD238" s="600">
        <v>11246719.976</v>
      </c>
      <c r="BE238" s="599">
        <v>11531766</v>
      </c>
      <c r="BF238" s="600">
        <v>6035162.9970000004</v>
      </c>
      <c r="BG238" s="599">
        <v>6113138</v>
      </c>
      <c r="BH238" s="600">
        <v>178890</v>
      </c>
      <c r="BI238" s="599">
        <v>178890</v>
      </c>
      <c r="BJ238" s="600">
        <v>7983882.9939999999</v>
      </c>
      <c r="BK238" s="615">
        <v>7127363</v>
      </c>
      <c r="BL238" s="600">
        <v>0</v>
      </c>
      <c r="BM238" s="604"/>
      <c r="BN238" s="605">
        <f t="shared" si="299"/>
        <v>502</v>
      </c>
      <c r="BO238" s="606">
        <f t="shared" si="300"/>
        <v>516</v>
      </c>
      <c r="BP238" s="607">
        <f t="shared" si="301"/>
        <v>1279</v>
      </c>
      <c r="BQ238" s="606">
        <f t="shared" si="302"/>
        <v>1332</v>
      </c>
      <c r="BR238" s="607">
        <f t="shared" si="303"/>
        <v>802</v>
      </c>
      <c r="BS238" s="606">
        <f t="shared" si="304"/>
        <v>801</v>
      </c>
      <c r="BT238" s="607">
        <f t="shared" si="305"/>
        <v>36</v>
      </c>
      <c r="BU238" s="606">
        <f t="shared" si="306"/>
        <v>36</v>
      </c>
      <c r="BV238" s="607">
        <f t="shared" si="307"/>
        <v>1590</v>
      </c>
      <c r="BW238" s="608">
        <f t="shared" si="308"/>
        <v>1422</v>
      </c>
      <c r="BX238" s="607">
        <f t="shared" si="309"/>
        <v>0</v>
      </c>
      <c r="BY238" s="608">
        <f t="shared" si="310"/>
        <v>0</v>
      </c>
      <c r="BZ238" s="607">
        <f t="shared" si="311"/>
        <v>11610.760936254981</v>
      </c>
      <c r="CA238" s="608">
        <f t="shared" si="312"/>
        <v>10875.434108527132</v>
      </c>
      <c r="CB238" s="607">
        <f t="shared" si="313"/>
        <v>8793.3698014073489</v>
      </c>
      <c r="CC238" s="608">
        <f t="shared" si="314"/>
        <v>8657.4819819819822</v>
      </c>
      <c r="CD238" s="607">
        <f t="shared" si="315"/>
        <v>7525.1408940149631</v>
      </c>
      <c r="CE238" s="608">
        <f t="shared" si="316"/>
        <v>7631.8826466916353</v>
      </c>
      <c r="CF238" s="607">
        <f t="shared" si="317"/>
        <v>4969.166666666667</v>
      </c>
      <c r="CG238" s="608">
        <f t="shared" si="318"/>
        <v>4969.166666666667</v>
      </c>
      <c r="CH238" s="607">
        <f t="shared" si="319"/>
        <v>5021.3100591194971</v>
      </c>
      <c r="CI238" s="608">
        <f t="shared" si="320"/>
        <v>5012.2102672292549</v>
      </c>
      <c r="CJ238" s="607">
        <f t="shared" si="321"/>
        <v>0</v>
      </c>
      <c r="CK238" s="608">
        <f t="shared" si="322"/>
        <v>0</v>
      </c>
      <c r="CL238" s="609">
        <f t="shared" si="323"/>
        <v>104496.84842629483</v>
      </c>
      <c r="CM238" s="608">
        <f t="shared" si="324"/>
        <v>97878.906976744183</v>
      </c>
      <c r="CN238" s="610">
        <f t="shared" si="325"/>
        <v>79140.328212666136</v>
      </c>
      <c r="CO238" s="606">
        <f t="shared" si="326"/>
        <v>77917.33783783784</v>
      </c>
      <c r="CP238" s="607">
        <f t="shared" si="327"/>
        <v>67726.268046134675</v>
      </c>
      <c r="CQ238" s="606">
        <f t="shared" si="328"/>
        <v>68686.943820224711</v>
      </c>
      <c r="CR238" s="607">
        <f t="shared" si="329"/>
        <v>44722.5</v>
      </c>
      <c r="CS238" s="606">
        <f t="shared" si="330"/>
        <v>44722.5</v>
      </c>
      <c r="CT238" s="607">
        <f t="shared" si="331"/>
        <v>45191.790532075473</v>
      </c>
      <c r="CU238" s="608">
        <f t="shared" si="332"/>
        <v>45109.892405063292</v>
      </c>
      <c r="CV238" s="610">
        <f t="shared" si="333"/>
        <v>0</v>
      </c>
      <c r="CW238" s="608">
        <f t="shared" si="334"/>
        <v>0</v>
      </c>
      <c r="CX238" s="610">
        <f t="shared" si="335"/>
        <v>66284.888149791514</v>
      </c>
      <c r="CY238" s="611">
        <f t="shared" si="336"/>
        <v>66283.433197623846</v>
      </c>
      <c r="CZ238" s="605">
        <f t="shared" si="337"/>
        <v>50</v>
      </c>
      <c r="DA238" s="612">
        <f t="shared" si="338"/>
        <v>50</v>
      </c>
      <c r="DB238" s="607">
        <f t="shared" si="339"/>
        <v>137</v>
      </c>
      <c r="DC238" s="606">
        <f t="shared" si="340"/>
        <v>141</v>
      </c>
      <c r="DD238" s="607">
        <f t="shared" si="341"/>
        <v>88</v>
      </c>
      <c r="DE238" s="606">
        <f t="shared" si="342"/>
        <v>88</v>
      </c>
      <c r="DF238" s="607">
        <f t="shared" si="343"/>
        <v>4</v>
      </c>
      <c r="DG238" s="606">
        <f t="shared" si="344"/>
        <v>4</v>
      </c>
      <c r="DH238" s="607">
        <f t="shared" si="345"/>
        <v>176</v>
      </c>
      <c r="DI238" s="608">
        <f t="shared" si="346"/>
        <v>158</v>
      </c>
      <c r="DJ238" s="607">
        <f t="shared" si="347"/>
        <v>0</v>
      </c>
      <c r="DK238" s="608">
        <f t="shared" si="348"/>
        <v>0</v>
      </c>
      <c r="DL238" s="607">
        <f t="shared" si="349"/>
        <v>455</v>
      </c>
      <c r="DM238" s="608">
        <f t="shared" si="350"/>
        <v>441</v>
      </c>
      <c r="DN238" s="607">
        <f t="shared" si="351"/>
        <v>5224842.4213147415</v>
      </c>
      <c r="DO238" s="612">
        <f t="shared" si="352"/>
        <v>4893945.3488372089</v>
      </c>
      <c r="DP238" s="607">
        <f t="shared" si="353"/>
        <v>10842224.965135261</v>
      </c>
      <c r="DQ238" s="606">
        <f t="shared" si="354"/>
        <v>10986344.635135135</v>
      </c>
      <c r="DR238" s="607">
        <f t="shared" si="355"/>
        <v>5959911.5880598519</v>
      </c>
      <c r="DS238" s="606">
        <f t="shared" si="356"/>
        <v>6044451.0561797749</v>
      </c>
      <c r="DT238" s="607">
        <f t="shared" si="357"/>
        <v>178890</v>
      </c>
      <c r="DU238" s="606">
        <f t="shared" si="358"/>
        <v>178890</v>
      </c>
      <c r="DV238" s="607">
        <f t="shared" si="359"/>
        <v>7953755.1336452831</v>
      </c>
      <c r="DW238" s="608">
        <f t="shared" si="360"/>
        <v>7127363</v>
      </c>
      <c r="DX238" s="607">
        <f t="shared" si="361"/>
        <v>0</v>
      </c>
      <c r="DY238" s="608">
        <f t="shared" si="362"/>
        <v>0</v>
      </c>
      <c r="DZ238" s="607">
        <f t="shared" si="363"/>
        <v>30159624.108155139</v>
      </c>
      <c r="EA238" s="608">
        <f t="shared" si="364"/>
        <v>29230994.040152118</v>
      </c>
    </row>
    <row r="239" spans="1:131" x14ac:dyDescent="0.2">
      <c r="A239" s="430" t="s">
        <v>38</v>
      </c>
      <c r="B239" s="431" t="s">
        <v>758</v>
      </c>
      <c r="C239" s="562"/>
      <c r="D239" s="432">
        <v>163268</v>
      </c>
      <c r="E239" s="419">
        <v>2</v>
      </c>
      <c r="F239" s="598">
        <v>100</v>
      </c>
      <c r="G239" s="599">
        <v>105</v>
      </c>
      <c r="H239" s="600"/>
      <c r="I239" s="601"/>
      <c r="J239" s="600">
        <v>45</v>
      </c>
      <c r="K239" s="599"/>
      <c r="L239" s="600"/>
      <c r="M239" s="601">
        <v>50</v>
      </c>
      <c r="N239" s="600">
        <v>135</v>
      </c>
      <c r="O239" s="599">
        <v>124</v>
      </c>
      <c r="P239" s="600"/>
      <c r="Q239" s="601"/>
      <c r="R239" s="600">
        <v>20</v>
      </c>
      <c r="S239" s="599"/>
      <c r="T239" s="600"/>
      <c r="U239" s="601">
        <v>24</v>
      </c>
      <c r="V239" s="600">
        <v>84</v>
      </c>
      <c r="W239" s="599">
        <v>96</v>
      </c>
      <c r="X239" s="600"/>
      <c r="Y239" s="601"/>
      <c r="Z239" s="600">
        <v>6</v>
      </c>
      <c r="AA239" s="599"/>
      <c r="AB239" s="600"/>
      <c r="AC239" s="601">
        <v>4</v>
      </c>
      <c r="AD239" s="600">
        <v>7</v>
      </c>
      <c r="AE239" s="599">
        <v>7</v>
      </c>
      <c r="AF239" s="600"/>
      <c r="AG239" s="601"/>
      <c r="AH239" s="600">
        <v>5</v>
      </c>
      <c r="AI239" s="599"/>
      <c r="AJ239" s="600"/>
      <c r="AK239" s="601">
        <v>5</v>
      </c>
      <c r="AL239" s="600">
        <v>70</v>
      </c>
      <c r="AM239" s="599">
        <v>76</v>
      </c>
      <c r="AN239" s="600"/>
      <c r="AO239" s="601"/>
      <c r="AP239" s="600">
        <v>10</v>
      </c>
      <c r="AQ239" s="599"/>
      <c r="AR239" s="600"/>
      <c r="AS239" s="601">
        <v>10</v>
      </c>
      <c r="AT239" s="600"/>
      <c r="AU239" s="599"/>
      <c r="AV239" s="600"/>
      <c r="AW239" s="601"/>
      <c r="AX239" s="600"/>
      <c r="AY239" s="599"/>
      <c r="AZ239" s="600"/>
      <c r="BA239" s="601"/>
      <c r="BB239" s="602">
        <v>17514787.004999999</v>
      </c>
      <c r="BC239" s="599">
        <v>18649389</v>
      </c>
      <c r="BD239" s="600">
        <v>12282156.98</v>
      </c>
      <c r="BE239" s="599">
        <v>11652891</v>
      </c>
      <c r="BF239" s="600">
        <v>6174518.0099999998</v>
      </c>
      <c r="BG239" s="599">
        <v>6806053</v>
      </c>
      <c r="BH239" s="600">
        <v>694236</v>
      </c>
      <c r="BI239" s="599">
        <v>689977</v>
      </c>
      <c r="BJ239" s="600">
        <v>4235743.99</v>
      </c>
      <c r="BK239" s="615">
        <v>4464482</v>
      </c>
      <c r="BL239" s="600">
        <v>0</v>
      </c>
      <c r="BM239" s="604"/>
      <c r="BN239" s="605">
        <f t="shared" si="299"/>
        <v>1395</v>
      </c>
      <c r="BO239" s="606">
        <f t="shared" si="300"/>
        <v>1545</v>
      </c>
      <c r="BP239" s="607">
        <f t="shared" si="301"/>
        <v>1435</v>
      </c>
      <c r="BQ239" s="606">
        <f t="shared" si="302"/>
        <v>1404</v>
      </c>
      <c r="BR239" s="607">
        <f t="shared" si="303"/>
        <v>822</v>
      </c>
      <c r="BS239" s="606">
        <f t="shared" si="304"/>
        <v>912</v>
      </c>
      <c r="BT239" s="607">
        <f t="shared" si="305"/>
        <v>118</v>
      </c>
      <c r="BU239" s="606">
        <f t="shared" si="306"/>
        <v>123</v>
      </c>
      <c r="BV239" s="607">
        <f t="shared" si="307"/>
        <v>740</v>
      </c>
      <c r="BW239" s="608">
        <f t="shared" si="308"/>
        <v>804</v>
      </c>
      <c r="BX239" s="607">
        <f t="shared" si="309"/>
        <v>0</v>
      </c>
      <c r="BY239" s="608">
        <f t="shared" si="310"/>
        <v>0</v>
      </c>
      <c r="BZ239" s="607">
        <f t="shared" si="311"/>
        <v>12555.40287096774</v>
      </c>
      <c r="CA239" s="608">
        <f t="shared" si="312"/>
        <v>12070.801941747573</v>
      </c>
      <c r="CB239" s="607">
        <f t="shared" si="313"/>
        <v>8558.9944111498262</v>
      </c>
      <c r="CC239" s="608">
        <f t="shared" si="314"/>
        <v>8299.7799145299141</v>
      </c>
      <c r="CD239" s="607">
        <f t="shared" si="315"/>
        <v>7511.5790875912408</v>
      </c>
      <c r="CE239" s="608">
        <f t="shared" si="316"/>
        <v>7462.7774122807014</v>
      </c>
      <c r="CF239" s="607">
        <f t="shared" si="317"/>
        <v>5883.3559322033898</v>
      </c>
      <c r="CG239" s="608">
        <f t="shared" si="318"/>
        <v>5609.5691056910573</v>
      </c>
      <c r="CH239" s="607">
        <f t="shared" si="319"/>
        <v>5723.9783648648654</v>
      </c>
      <c r="CI239" s="608">
        <f t="shared" si="320"/>
        <v>5552.8383084577117</v>
      </c>
      <c r="CJ239" s="607">
        <f t="shared" si="321"/>
        <v>0</v>
      </c>
      <c r="CK239" s="608">
        <f t="shared" si="322"/>
        <v>0</v>
      </c>
      <c r="CL239" s="609">
        <f t="shared" si="323"/>
        <v>112998.62583870966</v>
      </c>
      <c r="CM239" s="608">
        <f t="shared" si="324"/>
        <v>108637.21747572816</v>
      </c>
      <c r="CN239" s="610">
        <f t="shared" si="325"/>
        <v>77030.949700348428</v>
      </c>
      <c r="CO239" s="606">
        <f t="shared" si="326"/>
        <v>74698.01923076922</v>
      </c>
      <c r="CP239" s="607">
        <f t="shared" si="327"/>
        <v>67604.211788321161</v>
      </c>
      <c r="CQ239" s="606">
        <f t="shared" si="328"/>
        <v>67164.996710526306</v>
      </c>
      <c r="CR239" s="607">
        <f t="shared" si="329"/>
        <v>52950.203389830509</v>
      </c>
      <c r="CS239" s="606">
        <f t="shared" si="330"/>
        <v>50486.121951219517</v>
      </c>
      <c r="CT239" s="607">
        <f t="shared" si="331"/>
        <v>51515.805283783789</v>
      </c>
      <c r="CU239" s="608">
        <f t="shared" si="332"/>
        <v>49975.544776119408</v>
      </c>
      <c r="CV239" s="610">
        <f t="shared" si="333"/>
        <v>0</v>
      </c>
      <c r="CW239" s="608">
        <f t="shared" si="334"/>
        <v>0</v>
      </c>
      <c r="CX239" s="610">
        <f t="shared" si="335"/>
        <v>81256.522561196005</v>
      </c>
      <c r="CY239" s="611">
        <f t="shared" si="336"/>
        <v>78870.869341527417</v>
      </c>
      <c r="CZ239" s="605">
        <f t="shared" si="337"/>
        <v>145</v>
      </c>
      <c r="DA239" s="612">
        <f t="shared" si="338"/>
        <v>155</v>
      </c>
      <c r="DB239" s="607">
        <f t="shared" si="339"/>
        <v>155</v>
      </c>
      <c r="DC239" s="606">
        <f t="shared" si="340"/>
        <v>148</v>
      </c>
      <c r="DD239" s="607">
        <f t="shared" si="341"/>
        <v>90</v>
      </c>
      <c r="DE239" s="606">
        <f t="shared" si="342"/>
        <v>100</v>
      </c>
      <c r="DF239" s="607">
        <f t="shared" si="343"/>
        <v>12</v>
      </c>
      <c r="DG239" s="606">
        <f t="shared" si="344"/>
        <v>12</v>
      </c>
      <c r="DH239" s="607">
        <f t="shared" si="345"/>
        <v>80</v>
      </c>
      <c r="DI239" s="608">
        <f t="shared" si="346"/>
        <v>86</v>
      </c>
      <c r="DJ239" s="607">
        <f t="shared" si="347"/>
        <v>0</v>
      </c>
      <c r="DK239" s="608">
        <f t="shared" si="348"/>
        <v>0</v>
      </c>
      <c r="DL239" s="607">
        <f t="shared" si="349"/>
        <v>482</v>
      </c>
      <c r="DM239" s="608">
        <f t="shared" si="350"/>
        <v>501</v>
      </c>
      <c r="DN239" s="607">
        <f t="shared" si="351"/>
        <v>16384800.746612901</v>
      </c>
      <c r="DO239" s="612">
        <f t="shared" si="352"/>
        <v>16838768.708737865</v>
      </c>
      <c r="DP239" s="607">
        <f t="shared" si="353"/>
        <v>11939797.203554006</v>
      </c>
      <c r="DQ239" s="606">
        <f t="shared" si="354"/>
        <v>11055306.846153844</v>
      </c>
      <c r="DR239" s="607">
        <f t="shared" si="355"/>
        <v>6084379.0609489046</v>
      </c>
      <c r="DS239" s="606">
        <f t="shared" si="356"/>
        <v>6716499.671052631</v>
      </c>
      <c r="DT239" s="607">
        <f t="shared" si="357"/>
        <v>635402.44067796611</v>
      </c>
      <c r="DU239" s="606">
        <f t="shared" si="358"/>
        <v>605833.46341463423</v>
      </c>
      <c r="DV239" s="607">
        <f t="shared" si="359"/>
        <v>4121264.4227027032</v>
      </c>
      <c r="DW239" s="608">
        <f t="shared" si="360"/>
        <v>4297896.8507462693</v>
      </c>
      <c r="DX239" s="607">
        <f t="shared" si="361"/>
        <v>0</v>
      </c>
      <c r="DY239" s="608">
        <f t="shared" si="362"/>
        <v>0</v>
      </c>
      <c r="DZ239" s="607">
        <f t="shared" si="363"/>
        <v>39165643.874496475</v>
      </c>
      <c r="EA239" s="608">
        <f t="shared" si="364"/>
        <v>39514305.540105239</v>
      </c>
    </row>
    <row r="240" spans="1:131" x14ac:dyDescent="0.2">
      <c r="A240" s="480" t="s">
        <v>38</v>
      </c>
      <c r="B240" s="431" t="s">
        <v>759</v>
      </c>
      <c r="C240" s="562"/>
      <c r="D240" s="432">
        <v>164076</v>
      </c>
      <c r="E240" s="419">
        <v>3</v>
      </c>
      <c r="F240" s="598">
        <v>159</v>
      </c>
      <c r="G240" s="599"/>
      <c r="H240" s="600"/>
      <c r="I240" s="601">
        <v>172</v>
      </c>
      <c r="J240" s="600">
        <v>28</v>
      </c>
      <c r="K240" s="599"/>
      <c r="L240" s="600"/>
      <c r="M240" s="601">
        <v>25</v>
      </c>
      <c r="N240" s="600">
        <v>163</v>
      </c>
      <c r="O240" s="599"/>
      <c r="P240" s="600"/>
      <c r="Q240" s="601">
        <v>162</v>
      </c>
      <c r="R240" s="600">
        <v>11</v>
      </c>
      <c r="S240" s="599"/>
      <c r="T240" s="600"/>
      <c r="U240" s="601">
        <v>16</v>
      </c>
      <c r="V240" s="600">
        <v>285</v>
      </c>
      <c r="W240" s="599"/>
      <c r="X240" s="600"/>
      <c r="Y240" s="601">
        <v>271</v>
      </c>
      <c r="Z240" s="600">
        <v>3</v>
      </c>
      <c r="AA240" s="599"/>
      <c r="AB240" s="600"/>
      <c r="AC240" s="601">
        <v>3</v>
      </c>
      <c r="AD240" s="600">
        <v>22</v>
      </c>
      <c r="AE240" s="599"/>
      <c r="AF240" s="600"/>
      <c r="AG240" s="601">
        <v>25</v>
      </c>
      <c r="AH240" s="600"/>
      <c r="AI240" s="599"/>
      <c r="AJ240" s="600"/>
      <c r="AK240" s="601"/>
      <c r="AL240" s="600">
        <v>170</v>
      </c>
      <c r="AM240" s="599"/>
      <c r="AN240" s="600"/>
      <c r="AO240" s="601">
        <v>174</v>
      </c>
      <c r="AP240" s="600"/>
      <c r="AQ240" s="599"/>
      <c r="AR240" s="600"/>
      <c r="AS240" s="601"/>
      <c r="AT240" s="600"/>
      <c r="AU240" s="599"/>
      <c r="AV240" s="600"/>
      <c r="AW240" s="601"/>
      <c r="AX240" s="600"/>
      <c r="AY240" s="599"/>
      <c r="AZ240" s="600"/>
      <c r="BA240" s="601"/>
      <c r="BB240" s="602">
        <v>17305917.052000001</v>
      </c>
      <c r="BC240" s="599">
        <v>17808053</v>
      </c>
      <c r="BD240" s="600">
        <v>12619875.060999999</v>
      </c>
      <c r="BE240" s="599">
        <v>12886247</v>
      </c>
      <c r="BF240" s="600">
        <v>17860528.025999997</v>
      </c>
      <c r="BG240" s="599">
        <v>17140742</v>
      </c>
      <c r="BH240" s="600">
        <v>1112694.99</v>
      </c>
      <c r="BI240" s="599">
        <v>1329932</v>
      </c>
      <c r="BJ240" s="600">
        <v>6745765.9200000009</v>
      </c>
      <c r="BK240" s="615">
        <v>6918982</v>
      </c>
      <c r="BL240" s="600">
        <v>0</v>
      </c>
      <c r="BM240" s="604"/>
      <c r="BN240" s="605">
        <f t="shared" si="299"/>
        <v>1739</v>
      </c>
      <c r="BO240" s="606">
        <f t="shared" si="300"/>
        <v>2020</v>
      </c>
      <c r="BP240" s="607">
        <f t="shared" si="301"/>
        <v>1588</v>
      </c>
      <c r="BQ240" s="606">
        <f t="shared" si="302"/>
        <v>1812</v>
      </c>
      <c r="BR240" s="607">
        <f t="shared" si="303"/>
        <v>2598</v>
      </c>
      <c r="BS240" s="606">
        <f t="shared" si="304"/>
        <v>2746</v>
      </c>
      <c r="BT240" s="607">
        <f t="shared" si="305"/>
        <v>198</v>
      </c>
      <c r="BU240" s="606">
        <f t="shared" si="306"/>
        <v>250</v>
      </c>
      <c r="BV240" s="607">
        <f t="shared" si="307"/>
        <v>1530</v>
      </c>
      <c r="BW240" s="608">
        <f t="shared" si="308"/>
        <v>1740</v>
      </c>
      <c r="BX240" s="607">
        <f t="shared" si="309"/>
        <v>0</v>
      </c>
      <c r="BY240" s="608">
        <f t="shared" si="310"/>
        <v>0</v>
      </c>
      <c r="BZ240" s="607">
        <f t="shared" si="311"/>
        <v>9951.6486785508914</v>
      </c>
      <c r="CA240" s="608">
        <f t="shared" si="312"/>
        <v>8815.867821782178</v>
      </c>
      <c r="CB240" s="607">
        <f t="shared" si="313"/>
        <v>7947.0245976070519</v>
      </c>
      <c r="CC240" s="608">
        <f t="shared" si="314"/>
        <v>7111.6153421633553</v>
      </c>
      <c r="CD240" s="607">
        <f t="shared" si="315"/>
        <v>6874.7221039260958</v>
      </c>
      <c r="CE240" s="608">
        <f t="shared" si="316"/>
        <v>6242.0764748725414</v>
      </c>
      <c r="CF240" s="607">
        <f t="shared" si="317"/>
        <v>5619.6716666666662</v>
      </c>
      <c r="CG240" s="608">
        <f t="shared" si="318"/>
        <v>5319.7280000000001</v>
      </c>
      <c r="CH240" s="607">
        <f t="shared" si="319"/>
        <v>4408.9973333333337</v>
      </c>
      <c r="CI240" s="608">
        <f t="shared" si="320"/>
        <v>3976.426436781609</v>
      </c>
      <c r="CJ240" s="607">
        <f t="shared" si="321"/>
        <v>0</v>
      </c>
      <c r="CK240" s="608">
        <f t="shared" si="322"/>
        <v>0</v>
      </c>
      <c r="CL240" s="609">
        <f t="shared" si="323"/>
        <v>89564.838106958021</v>
      </c>
      <c r="CM240" s="608">
        <f t="shared" si="324"/>
        <v>79342.810396039597</v>
      </c>
      <c r="CN240" s="610">
        <f t="shared" si="325"/>
        <v>71523.221378463466</v>
      </c>
      <c r="CO240" s="606">
        <f t="shared" si="326"/>
        <v>64004.5380794702</v>
      </c>
      <c r="CP240" s="607">
        <f t="shared" si="327"/>
        <v>61872.498935334865</v>
      </c>
      <c r="CQ240" s="606">
        <f t="shared" si="328"/>
        <v>56178.688273852873</v>
      </c>
      <c r="CR240" s="607">
        <f t="shared" si="329"/>
        <v>50577.044999999998</v>
      </c>
      <c r="CS240" s="606">
        <f t="shared" si="330"/>
        <v>47877.552000000003</v>
      </c>
      <c r="CT240" s="607">
        <f t="shared" si="331"/>
        <v>39680.976000000002</v>
      </c>
      <c r="CU240" s="608">
        <f t="shared" si="332"/>
        <v>35787.837931034483</v>
      </c>
      <c r="CV240" s="610">
        <f t="shared" si="333"/>
        <v>0</v>
      </c>
      <c r="CW240" s="608">
        <f t="shared" si="334"/>
        <v>0</v>
      </c>
      <c r="CX240" s="610">
        <f t="shared" si="335"/>
        <v>65245.429071617407</v>
      </c>
      <c r="CY240" s="611">
        <f t="shared" si="336"/>
        <v>58773.967704246672</v>
      </c>
      <c r="CZ240" s="605">
        <f t="shared" si="337"/>
        <v>187</v>
      </c>
      <c r="DA240" s="612">
        <f t="shared" si="338"/>
        <v>197</v>
      </c>
      <c r="DB240" s="607">
        <f t="shared" si="339"/>
        <v>174</v>
      </c>
      <c r="DC240" s="606">
        <f t="shared" si="340"/>
        <v>178</v>
      </c>
      <c r="DD240" s="607">
        <f t="shared" si="341"/>
        <v>288</v>
      </c>
      <c r="DE240" s="606">
        <f t="shared" si="342"/>
        <v>274</v>
      </c>
      <c r="DF240" s="607">
        <f t="shared" si="343"/>
        <v>22</v>
      </c>
      <c r="DG240" s="606">
        <f t="shared" si="344"/>
        <v>25</v>
      </c>
      <c r="DH240" s="607">
        <f t="shared" si="345"/>
        <v>170</v>
      </c>
      <c r="DI240" s="608">
        <f t="shared" si="346"/>
        <v>174</v>
      </c>
      <c r="DJ240" s="607">
        <f t="shared" si="347"/>
        <v>0</v>
      </c>
      <c r="DK240" s="608">
        <f t="shared" si="348"/>
        <v>0</v>
      </c>
      <c r="DL240" s="607">
        <f t="shared" si="349"/>
        <v>841</v>
      </c>
      <c r="DM240" s="608">
        <f t="shared" si="350"/>
        <v>848</v>
      </c>
      <c r="DN240" s="607">
        <f t="shared" si="351"/>
        <v>16748624.726001149</v>
      </c>
      <c r="DO240" s="612">
        <f t="shared" si="352"/>
        <v>15630533.6480198</v>
      </c>
      <c r="DP240" s="607">
        <f t="shared" si="353"/>
        <v>12445040.519852644</v>
      </c>
      <c r="DQ240" s="606">
        <f t="shared" si="354"/>
        <v>11392807.778145695</v>
      </c>
      <c r="DR240" s="607">
        <f t="shared" si="355"/>
        <v>17819279.693376441</v>
      </c>
      <c r="DS240" s="606">
        <f t="shared" si="356"/>
        <v>15392960.587035688</v>
      </c>
      <c r="DT240" s="607">
        <f t="shared" si="357"/>
        <v>1112694.99</v>
      </c>
      <c r="DU240" s="606">
        <f t="shared" si="358"/>
        <v>1196938.8</v>
      </c>
      <c r="DV240" s="607">
        <f t="shared" si="359"/>
        <v>6745765.9200000009</v>
      </c>
      <c r="DW240" s="608">
        <f t="shared" si="360"/>
        <v>6227083.7999999998</v>
      </c>
      <c r="DX240" s="607">
        <f t="shared" si="361"/>
        <v>0</v>
      </c>
      <c r="DY240" s="608">
        <f t="shared" si="362"/>
        <v>0</v>
      </c>
      <c r="DZ240" s="607">
        <f t="shared" si="363"/>
        <v>54871405.849230237</v>
      </c>
      <c r="EA240" s="608">
        <f t="shared" si="364"/>
        <v>49840324.613201179</v>
      </c>
    </row>
    <row r="241" spans="1:131" x14ac:dyDescent="0.2">
      <c r="A241" s="480" t="s">
        <v>38</v>
      </c>
      <c r="B241" s="431" t="s">
        <v>760</v>
      </c>
      <c r="C241" s="562"/>
      <c r="D241" s="432">
        <v>162007</v>
      </c>
      <c r="E241" s="419">
        <v>4</v>
      </c>
      <c r="F241" s="598">
        <v>27</v>
      </c>
      <c r="G241" s="599">
        <v>30</v>
      </c>
      <c r="H241" s="600"/>
      <c r="I241" s="601"/>
      <c r="J241" s="600">
        <v>9</v>
      </c>
      <c r="K241" s="599"/>
      <c r="L241" s="600"/>
      <c r="M241" s="601">
        <v>7</v>
      </c>
      <c r="N241" s="600">
        <v>35</v>
      </c>
      <c r="O241" s="599">
        <v>37</v>
      </c>
      <c r="P241" s="600"/>
      <c r="Q241" s="601"/>
      <c r="R241" s="600">
        <v>6</v>
      </c>
      <c r="S241" s="599"/>
      <c r="T241" s="600"/>
      <c r="U241" s="601">
        <v>7</v>
      </c>
      <c r="V241" s="600">
        <v>88</v>
      </c>
      <c r="W241" s="599">
        <v>78</v>
      </c>
      <c r="X241" s="600"/>
      <c r="Y241" s="601"/>
      <c r="Z241" s="600">
        <v>2</v>
      </c>
      <c r="AA241" s="599"/>
      <c r="AB241" s="600"/>
      <c r="AC241" s="601">
        <v>3</v>
      </c>
      <c r="AD241" s="600">
        <v>5</v>
      </c>
      <c r="AE241" s="599">
        <v>7</v>
      </c>
      <c r="AF241" s="600"/>
      <c r="AG241" s="601"/>
      <c r="AH241" s="600"/>
      <c r="AI241" s="599"/>
      <c r="AJ241" s="600"/>
      <c r="AK241" s="601"/>
      <c r="AL241" s="600">
        <v>53</v>
      </c>
      <c r="AM241" s="599">
        <v>46</v>
      </c>
      <c r="AN241" s="600"/>
      <c r="AO241" s="601"/>
      <c r="AP241" s="600">
        <v>1</v>
      </c>
      <c r="AQ241" s="599"/>
      <c r="AR241" s="600"/>
      <c r="AS241" s="601">
        <v>1</v>
      </c>
      <c r="AT241" s="600"/>
      <c r="AU241" s="599"/>
      <c r="AV241" s="600"/>
      <c r="AW241" s="601"/>
      <c r="AX241" s="600"/>
      <c r="AY241" s="599"/>
      <c r="AZ241" s="600"/>
      <c r="BA241" s="601"/>
      <c r="BB241" s="602">
        <v>3279078.9989999998</v>
      </c>
      <c r="BC241" s="599">
        <v>3304659</v>
      </c>
      <c r="BD241" s="600">
        <v>2958958.9849999999</v>
      </c>
      <c r="BE241" s="599">
        <v>3132935</v>
      </c>
      <c r="BF241" s="600">
        <v>5635079.0159999998</v>
      </c>
      <c r="BG241" s="599">
        <v>5060822</v>
      </c>
      <c r="BH241" s="600">
        <v>294795</v>
      </c>
      <c r="BI241" s="599">
        <v>425523</v>
      </c>
      <c r="BJ241" s="600">
        <v>2897391.9939999999</v>
      </c>
      <c r="BK241" s="615">
        <v>2560981</v>
      </c>
      <c r="BL241" s="600">
        <v>0</v>
      </c>
      <c r="BM241" s="604"/>
      <c r="BN241" s="605">
        <f t="shared" si="299"/>
        <v>342</v>
      </c>
      <c r="BO241" s="606">
        <f t="shared" si="300"/>
        <v>354</v>
      </c>
      <c r="BP241" s="607">
        <f t="shared" si="301"/>
        <v>381</v>
      </c>
      <c r="BQ241" s="606">
        <f t="shared" si="302"/>
        <v>417</v>
      </c>
      <c r="BR241" s="607">
        <f t="shared" si="303"/>
        <v>814</v>
      </c>
      <c r="BS241" s="606">
        <f t="shared" si="304"/>
        <v>738</v>
      </c>
      <c r="BT241" s="607">
        <f t="shared" si="305"/>
        <v>45</v>
      </c>
      <c r="BU241" s="606">
        <f t="shared" si="306"/>
        <v>63</v>
      </c>
      <c r="BV241" s="607">
        <f t="shared" si="307"/>
        <v>488</v>
      </c>
      <c r="BW241" s="608">
        <f t="shared" si="308"/>
        <v>426</v>
      </c>
      <c r="BX241" s="607">
        <f t="shared" si="309"/>
        <v>0</v>
      </c>
      <c r="BY241" s="608">
        <f t="shared" si="310"/>
        <v>0</v>
      </c>
      <c r="BZ241" s="607">
        <f t="shared" si="311"/>
        <v>9587.9502894736834</v>
      </c>
      <c r="CA241" s="608">
        <f t="shared" si="312"/>
        <v>9335.1949152542365</v>
      </c>
      <c r="CB241" s="607">
        <f t="shared" si="313"/>
        <v>7766.29654855643</v>
      </c>
      <c r="CC241" s="608">
        <f t="shared" si="314"/>
        <v>7513.0335731414871</v>
      </c>
      <c r="CD241" s="607">
        <f t="shared" si="315"/>
        <v>6922.7014938574939</v>
      </c>
      <c r="CE241" s="608">
        <f t="shared" si="316"/>
        <v>6857.4823848238484</v>
      </c>
      <c r="CF241" s="607">
        <f t="shared" si="317"/>
        <v>6551</v>
      </c>
      <c r="CG241" s="608">
        <f t="shared" si="318"/>
        <v>6754.333333333333</v>
      </c>
      <c r="CH241" s="607">
        <f t="shared" si="319"/>
        <v>5937.2786762295082</v>
      </c>
      <c r="CI241" s="608">
        <f t="shared" si="320"/>
        <v>6011.692488262911</v>
      </c>
      <c r="CJ241" s="607">
        <f t="shared" si="321"/>
        <v>0</v>
      </c>
      <c r="CK241" s="608">
        <f t="shared" si="322"/>
        <v>0</v>
      </c>
      <c r="CL241" s="609">
        <f t="shared" si="323"/>
        <v>86291.552605263147</v>
      </c>
      <c r="CM241" s="608">
        <f t="shared" si="324"/>
        <v>84016.754237288129</v>
      </c>
      <c r="CN241" s="610">
        <f t="shared" si="325"/>
        <v>69896.668937007867</v>
      </c>
      <c r="CO241" s="606">
        <f t="shared" si="326"/>
        <v>67617.302158273378</v>
      </c>
      <c r="CP241" s="607">
        <f t="shared" si="327"/>
        <v>62304.313444717445</v>
      </c>
      <c r="CQ241" s="606">
        <f t="shared" si="328"/>
        <v>61717.341463414632</v>
      </c>
      <c r="CR241" s="607">
        <f t="shared" si="329"/>
        <v>58959</v>
      </c>
      <c r="CS241" s="606">
        <f t="shared" si="330"/>
        <v>60789</v>
      </c>
      <c r="CT241" s="607">
        <f t="shared" si="331"/>
        <v>53435.508086065573</v>
      </c>
      <c r="CU241" s="608">
        <f t="shared" si="332"/>
        <v>54105.232394366198</v>
      </c>
      <c r="CV241" s="610">
        <f t="shared" si="333"/>
        <v>0</v>
      </c>
      <c r="CW241" s="608">
        <f t="shared" si="334"/>
        <v>0</v>
      </c>
      <c r="CX241" s="610">
        <f t="shared" si="335"/>
        <v>65309.557375570381</v>
      </c>
      <c r="CY241" s="611">
        <f t="shared" si="336"/>
        <v>65052.568438960581</v>
      </c>
      <c r="CZ241" s="605">
        <f t="shared" si="337"/>
        <v>36</v>
      </c>
      <c r="DA241" s="612">
        <f t="shared" si="338"/>
        <v>37</v>
      </c>
      <c r="DB241" s="607">
        <f t="shared" si="339"/>
        <v>41</v>
      </c>
      <c r="DC241" s="606">
        <f t="shared" si="340"/>
        <v>44</v>
      </c>
      <c r="DD241" s="607">
        <f t="shared" si="341"/>
        <v>90</v>
      </c>
      <c r="DE241" s="606">
        <f t="shared" si="342"/>
        <v>81</v>
      </c>
      <c r="DF241" s="607">
        <f t="shared" si="343"/>
        <v>5</v>
      </c>
      <c r="DG241" s="606">
        <f t="shared" si="344"/>
        <v>7</v>
      </c>
      <c r="DH241" s="607">
        <f t="shared" si="345"/>
        <v>54</v>
      </c>
      <c r="DI241" s="608">
        <f t="shared" si="346"/>
        <v>47</v>
      </c>
      <c r="DJ241" s="607">
        <f t="shared" si="347"/>
        <v>0</v>
      </c>
      <c r="DK241" s="608">
        <f t="shared" si="348"/>
        <v>0</v>
      </c>
      <c r="DL241" s="607">
        <f t="shared" si="349"/>
        <v>226</v>
      </c>
      <c r="DM241" s="608">
        <f t="shared" si="350"/>
        <v>216</v>
      </c>
      <c r="DN241" s="607">
        <f t="shared" si="351"/>
        <v>3106495.8937894735</v>
      </c>
      <c r="DO241" s="612">
        <f t="shared" si="352"/>
        <v>3108619.9067796608</v>
      </c>
      <c r="DP241" s="607">
        <f t="shared" si="353"/>
        <v>2865763.4264173224</v>
      </c>
      <c r="DQ241" s="606">
        <f t="shared" si="354"/>
        <v>2975161.2949640285</v>
      </c>
      <c r="DR241" s="607">
        <f t="shared" si="355"/>
        <v>5607388.2100245701</v>
      </c>
      <c r="DS241" s="606">
        <f t="shared" si="356"/>
        <v>4999104.658536585</v>
      </c>
      <c r="DT241" s="607">
        <f t="shared" si="357"/>
        <v>294795</v>
      </c>
      <c r="DU241" s="606">
        <f t="shared" si="358"/>
        <v>425523</v>
      </c>
      <c r="DV241" s="607">
        <f t="shared" si="359"/>
        <v>2885517.4366475409</v>
      </c>
      <c r="DW241" s="608">
        <f t="shared" si="360"/>
        <v>2542945.9225352113</v>
      </c>
      <c r="DX241" s="607">
        <f t="shared" si="361"/>
        <v>0</v>
      </c>
      <c r="DY241" s="608">
        <f t="shared" si="362"/>
        <v>0</v>
      </c>
      <c r="DZ241" s="607">
        <f t="shared" si="363"/>
        <v>14759959.966878906</v>
      </c>
      <c r="EA241" s="608">
        <f t="shared" si="364"/>
        <v>14051354.782815486</v>
      </c>
    </row>
    <row r="242" spans="1:131" x14ac:dyDescent="0.2">
      <c r="A242" s="480" t="s">
        <v>38</v>
      </c>
      <c r="B242" s="431" t="s">
        <v>762</v>
      </c>
      <c r="C242" s="562"/>
      <c r="D242" s="432">
        <v>162584</v>
      </c>
      <c r="E242" s="419">
        <v>4</v>
      </c>
      <c r="F242" s="598">
        <v>77</v>
      </c>
      <c r="G242" s="599"/>
      <c r="H242" s="600"/>
      <c r="I242" s="601">
        <v>78</v>
      </c>
      <c r="J242" s="600"/>
      <c r="K242" s="599"/>
      <c r="L242" s="600"/>
      <c r="M242" s="601"/>
      <c r="N242" s="600">
        <v>60</v>
      </c>
      <c r="O242" s="599"/>
      <c r="P242" s="600"/>
      <c r="Q242" s="601">
        <v>58</v>
      </c>
      <c r="R242" s="600"/>
      <c r="S242" s="599"/>
      <c r="T242" s="600"/>
      <c r="U242" s="601"/>
      <c r="V242" s="600">
        <v>70</v>
      </c>
      <c r="W242" s="599"/>
      <c r="X242" s="600"/>
      <c r="Y242" s="601">
        <v>73</v>
      </c>
      <c r="Z242" s="600"/>
      <c r="AA242" s="599"/>
      <c r="AB242" s="600"/>
      <c r="AC242" s="601"/>
      <c r="AD242" s="600">
        <v>5</v>
      </c>
      <c r="AE242" s="599"/>
      <c r="AF242" s="600"/>
      <c r="AG242" s="601">
        <v>3</v>
      </c>
      <c r="AH242" s="600"/>
      <c r="AI242" s="599"/>
      <c r="AJ242" s="600"/>
      <c r="AK242" s="601"/>
      <c r="AL242" s="600">
        <v>17</v>
      </c>
      <c r="AM242" s="599"/>
      <c r="AN242" s="600"/>
      <c r="AO242" s="601">
        <v>15</v>
      </c>
      <c r="AP242" s="600">
        <v>16</v>
      </c>
      <c r="AQ242" s="599"/>
      <c r="AR242" s="600"/>
      <c r="AS242" s="601">
        <v>17</v>
      </c>
      <c r="AT242" s="600"/>
      <c r="AU242" s="599"/>
      <c r="AV242" s="600"/>
      <c r="AW242" s="601"/>
      <c r="AX242" s="600"/>
      <c r="AY242" s="599"/>
      <c r="AZ242" s="600"/>
      <c r="BA242" s="601"/>
      <c r="BB242" s="602">
        <v>6304768.0080000004</v>
      </c>
      <c r="BC242" s="599">
        <v>6369441</v>
      </c>
      <c r="BD242" s="600">
        <v>4048936.0200000005</v>
      </c>
      <c r="BE242" s="599">
        <v>3793166</v>
      </c>
      <c r="BF242" s="600">
        <v>4116535.01</v>
      </c>
      <c r="BG242" s="599">
        <v>4297431</v>
      </c>
      <c r="BH242" s="600">
        <v>293503</v>
      </c>
      <c r="BI242" s="599">
        <v>188000</v>
      </c>
      <c r="BJ242" s="600">
        <v>1270520.9920000001</v>
      </c>
      <c r="BK242" s="615">
        <v>1241235</v>
      </c>
      <c r="BL242" s="600">
        <v>0</v>
      </c>
      <c r="BM242" s="604"/>
      <c r="BN242" s="605">
        <f t="shared" si="299"/>
        <v>693</v>
      </c>
      <c r="BO242" s="606">
        <f t="shared" si="300"/>
        <v>780</v>
      </c>
      <c r="BP242" s="607">
        <f t="shared" si="301"/>
        <v>540</v>
      </c>
      <c r="BQ242" s="606">
        <f t="shared" si="302"/>
        <v>580</v>
      </c>
      <c r="BR242" s="607">
        <f t="shared" si="303"/>
        <v>630</v>
      </c>
      <c r="BS242" s="606">
        <f t="shared" si="304"/>
        <v>730</v>
      </c>
      <c r="BT242" s="607">
        <f t="shared" si="305"/>
        <v>45</v>
      </c>
      <c r="BU242" s="606">
        <f t="shared" si="306"/>
        <v>30</v>
      </c>
      <c r="BV242" s="607">
        <f t="shared" si="307"/>
        <v>329</v>
      </c>
      <c r="BW242" s="608">
        <f t="shared" si="308"/>
        <v>354</v>
      </c>
      <c r="BX242" s="607">
        <f t="shared" si="309"/>
        <v>0</v>
      </c>
      <c r="BY242" s="608">
        <f t="shared" si="310"/>
        <v>0</v>
      </c>
      <c r="BZ242" s="607">
        <f t="shared" si="311"/>
        <v>9097.7893333333341</v>
      </c>
      <c r="CA242" s="608">
        <f t="shared" si="312"/>
        <v>8165.95</v>
      </c>
      <c r="CB242" s="607">
        <f t="shared" si="313"/>
        <v>7498.0296666666673</v>
      </c>
      <c r="CC242" s="608">
        <f t="shared" si="314"/>
        <v>6539.9413793103449</v>
      </c>
      <c r="CD242" s="607">
        <f t="shared" si="315"/>
        <v>6534.1825555555552</v>
      </c>
      <c r="CE242" s="608">
        <f t="shared" si="316"/>
        <v>5886.8917808219176</v>
      </c>
      <c r="CF242" s="607">
        <f t="shared" si="317"/>
        <v>6522.2888888888892</v>
      </c>
      <c r="CG242" s="608">
        <f t="shared" si="318"/>
        <v>6266.666666666667</v>
      </c>
      <c r="CH242" s="607">
        <f t="shared" si="319"/>
        <v>3861.7659331306995</v>
      </c>
      <c r="CI242" s="608">
        <f t="shared" si="320"/>
        <v>3506.3135593220341</v>
      </c>
      <c r="CJ242" s="607">
        <f t="shared" si="321"/>
        <v>0</v>
      </c>
      <c r="CK242" s="608">
        <f t="shared" si="322"/>
        <v>0</v>
      </c>
      <c r="CL242" s="609">
        <f t="shared" si="323"/>
        <v>81880.104000000007</v>
      </c>
      <c r="CM242" s="608">
        <f t="shared" si="324"/>
        <v>73493.55</v>
      </c>
      <c r="CN242" s="610">
        <f t="shared" si="325"/>
        <v>67482.267000000007</v>
      </c>
      <c r="CO242" s="606">
        <f t="shared" si="326"/>
        <v>58859.472413793104</v>
      </c>
      <c r="CP242" s="607">
        <f t="shared" si="327"/>
        <v>58807.642999999996</v>
      </c>
      <c r="CQ242" s="606">
        <f t="shared" si="328"/>
        <v>52982.02602739726</v>
      </c>
      <c r="CR242" s="607">
        <f t="shared" si="329"/>
        <v>58700.600000000006</v>
      </c>
      <c r="CS242" s="606">
        <f t="shared" si="330"/>
        <v>56400</v>
      </c>
      <c r="CT242" s="607">
        <f t="shared" si="331"/>
        <v>34755.893398176297</v>
      </c>
      <c r="CU242" s="608">
        <f t="shared" si="332"/>
        <v>31556.822033898308</v>
      </c>
      <c r="CV242" s="610">
        <f t="shared" si="333"/>
        <v>0</v>
      </c>
      <c r="CW242" s="608">
        <f t="shared" si="334"/>
        <v>0</v>
      </c>
      <c r="CX242" s="610">
        <f t="shared" si="335"/>
        <v>64941.577633223751</v>
      </c>
      <c r="CY242" s="611">
        <f t="shared" si="336"/>
        <v>58168.247971658799</v>
      </c>
      <c r="CZ242" s="605">
        <f t="shared" si="337"/>
        <v>77</v>
      </c>
      <c r="DA242" s="612">
        <f t="shared" si="338"/>
        <v>78</v>
      </c>
      <c r="DB242" s="607">
        <f t="shared" si="339"/>
        <v>60</v>
      </c>
      <c r="DC242" s="606">
        <f t="shared" si="340"/>
        <v>58</v>
      </c>
      <c r="DD242" s="607">
        <f t="shared" si="341"/>
        <v>70</v>
      </c>
      <c r="DE242" s="606">
        <f t="shared" si="342"/>
        <v>73</v>
      </c>
      <c r="DF242" s="607">
        <f t="shared" si="343"/>
        <v>5</v>
      </c>
      <c r="DG242" s="606">
        <f t="shared" si="344"/>
        <v>3</v>
      </c>
      <c r="DH242" s="607">
        <f t="shared" si="345"/>
        <v>33</v>
      </c>
      <c r="DI242" s="608">
        <f t="shared" si="346"/>
        <v>32</v>
      </c>
      <c r="DJ242" s="607">
        <f t="shared" si="347"/>
        <v>0</v>
      </c>
      <c r="DK242" s="608">
        <f t="shared" si="348"/>
        <v>0</v>
      </c>
      <c r="DL242" s="607">
        <f t="shared" si="349"/>
        <v>245</v>
      </c>
      <c r="DM242" s="608">
        <f t="shared" si="350"/>
        <v>244</v>
      </c>
      <c r="DN242" s="607">
        <f t="shared" si="351"/>
        <v>6304768.0080000004</v>
      </c>
      <c r="DO242" s="612">
        <f t="shared" si="352"/>
        <v>5732496.9000000004</v>
      </c>
      <c r="DP242" s="607">
        <f t="shared" si="353"/>
        <v>4048936.0200000005</v>
      </c>
      <c r="DQ242" s="606">
        <f t="shared" si="354"/>
        <v>3413849.4</v>
      </c>
      <c r="DR242" s="607">
        <f t="shared" si="355"/>
        <v>4116535.01</v>
      </c>
      <c r="DS242" s="606">
        <f t="shared" si="356"/>
        <v>3867687.9</v>
      </c>
      <c r="DT242" s="607">
        <f t="shared" si="357"/>
        <v>293503</v>
      </c>
      <c r="DU242" s="606">
        <f t="shared" si="358"/>
        <v>169200</v>
      </c>
      <c r="DV242" s="607">
        <f t="shared" si="359"/>
        <v>1146944.4821398179</v>
      </c>
      <c r="DW242" s="608">
        <f t="shared" si="360"/>
        <v>1009818.3050847459</v>
      </c>
      <c r="DX242" s="607">
        <f t="shared" si="361"/>
        <v>0</v>
      </c>
      <c r="DY242" s="608">
        <f t="shared" si="362"/>
        <v>0</v>
      </c>
      <c r="DZ242" s="607">
        <f t="shared" si="363"/>
        <v>15910686.520139819</v>
      </c>
      <c r="EA242" s="608">
        <f t="shared" si="364"/>
        <v>14193052.505084747</v>
      </c>
    </row>
    <row r="243" spans="1:131" x14ac:dyDescent="0.2">
      <c r="A243" s="430" t="s">
        <v>38</v>
      </c>
      <c r="B243" s="431" t="s">
        <v>763</v>
      </c>
      <c r="C243" s="562"/>
      <c r="D243" s="432">
        <v>163851</v>
      </c>
      <c r="E243" s="419">
        <v>4</v>
      </c>
      <c r="F243" s="598">
        <v>95</v>
      </c>
      <c r="G243" s="599"/>
      <c r="H243" s="600"/>
      <c r="I243" s="601">
        <v>94</v>
      </c>
      <c r="J243" s="600">
        <v>2</v>
      </c>
      <c r="K243" s="599"/>
      <c r="L243" s="600"/>
      <c r="M243" s="601">
        <v>5</v>
      </c>
      <c r="N243" s="600">
        <v>102</v>
      </c>
      <c r="O243" s="599"/>
      <c r="P243" s="600"/>
      <c r="Q243" s="601">
        <v>111</v>
      </c>
      <c r="R243" s="600">
        <v>2</v>
      </c>
      <c r="S243" s="599"/>
      <c r="T243" s="600"/>
      <c r="U243" s="601">
        <v>2</v>
      </c>
      <c r="V243" s="600">
        <v>97</v>
      </c>
      <c r="W243" s="599"/>
      <c r="X243" s="600"/>
      <c r="Y243" s="601">
        <v>91</v>
      </c>
      <c r="Z243" s="600">
        <v>2</v>
      </c>
      <c r="AA243" s="599"/>
      <c r="AB243" s="600"/>
      <c r="AC243" s="601">
        <v>1</v>
      </c>
      <c r="AD243" s="600">
        <v>5</v>
      </c>
      <c r="AE243" s="599"/>
      <c r="AF243" s="600"/>
      <c r="AG243" s="601">
        <v>8</v>
      </c>
      <c r="AH243" s="600"/>
      <c r="AI243" s="599"/>
      <c r="AJ243" s="600"/>
      <c r="AK243" s="601"/>
      <c r="AL243" s="600">
        <v>82</v>
      </c>
      <c r="AM243" s="599"/>
      <c r="AN243" s="600"/>
      <c r="AO243" s="601">
        <v>87</v>
      </c>
      <c r="AP243" s="600">
        <v>3</v>
      </c>
      <c r="AQ243" s="599"/>
      <c r="AR243" s="600"/>
      <c r="AS243" s="601">
        <v>4</v>
      </c>
      <c r="AT243" s="600"/>
      <c r="AU243" s="599"/>
      <c r="AV243" s="600"/>
      <c r="AW243" s="601"/>
      <c r="AX243" s="600"/>
      <c r="AY243" s="599"/>
      <c r="AZ243" s="600"/>
      <c r="BA243" s="601"/>
      <c r="BB243" s="602">
        <v>8191803.0099999998</v>
      </c>
      <c r="BC243" s="599">
        <v>8506977</v>
      </c>
      <c r="BD243" s="600">
        <v>6949510.9720000001</v>
      </c>
      <c r="BE243" s="599">
        <v>7740751</v>
      </c>
      <c r="BF243" s="600">
        <v>6358389</v>
      </c>
      <c r="BG243" s="599">
        <v>5770111</v>
      </c>
      <c r="BH243" s="600">
        <v>321281</v>
      </c>
      <c r="BI243" s="599">
        <v>503281</v>
      </c>
      <c r="BJ243" s="600">
        <v>3715684.9859999996</v>
      </c>
      <c r="BK243" s="615">
        <v>4068337</v>
      </c>
      <c r="BL243" s="600">
        <v>0</v>
      </c>
      <c r="BM243" s="604"/>
      <c r="BN243" s="605">
        <f t="shared" si="299"/>
        <v>877</v>
      </c>
      <c r="BO243" s="606">
        <f t="shared" si="300"/>
        <v>1000</v>
      </c>
      <c r="BP243" s="607">
        <f t="shared" si="301"/>
        <v>940</v>
      </c>
      <c r="BQ243" s="606">
        <f t="shared" si="302"/>
        <v>1134</v>
      </c>
      <c r="BR243" s="607">
        <f t="shared" si="303"/>
        <v>895</v>
      </c>
      <c r="BS243" s="606">
        <f t="shared" si="304"/>
        <v>922</v>
      </c>
      <c r="BT243" s="607">
        <f t="shared" si="305"/>
        <v>45</v>
      </c>
      <c r="BU243" s="606">
        <f t="shared" si="306"/>
        <v>80</v>
      </c>
      <c r="BV243" s="607">
        <f t="shared" si="307"/>
        <v>771</v>
      </c>
      <c r="BW243" s="608">
        <f t="shared" si="308"/>
        <v>918</v>
      </c>
      <c r="BX243" s="607">
        <f t="shared" si="309"/>
        <v>0</v>
      </c>
      <c r="BY243" s="608">
        <f t="shared" si="310"/>
        <v>0</v>
      </c>
      <c r="BZ243" s="607">
        <f t="shared" si="311"/>
        <v>9340.7103876852907</v>
      </c>
      <c r="CA243" s="608">
        <f t="shared" si="312"/>
        <v>8506.9770000000008</v>
      </c>
      <c r="CB243" s="607">
        <f t="shared" si="313"/>
        <v>7393.096778723404</v>
      </c>
      <c r="CC243" s="608">
        <f t="shared" si="314"/>
        <v>6826.059082892416</v>
      </c>
      <c r="CD243" s="607">
        <f t="shared" si="315"/>
        <v>7104.3452513966477</v>
      </c>
      <c r="CE243" s="608">
        <f t="shared" si="316"/>
        <v>6258.2548806941431</v>
      </c>
      <c r="CF243" s="607">
        <f t="shared" si="317"/>
        <v>7139.5777777777776</v>
      </c>
      <c r="CG243" s="608">
        <f t="shared" si="318"/>
        <v>6291.0124999999998</v>
      </c>
      <c r="CH243" s="607">
        <f t="shared" si="319"/>
        <v>4819.3060778210111</v>
      </c>
      <c r="CI243" s="608">
        <f t="shared" si="320"/>
        <v>4431.7396514161219</v>
      </c>
      <c r="CJ243" s="607">
        <f t="shared" si="321"/>
        <v>0</v>
      </c>
      <c r="CK243" s="608">
        <f t="shared" si="322"/>
        <v>0</v>
      </c>
      <c r="CL243" s="609">
        <f t="shared" si="323"/>
        <v>84066.393489167618</v>
      </c>
      <c r="CM243" s="608">
        <f t="shared" si="324"/>
        <v>76562.793000000005</v>
      </c>
      <c r="CN243" s="610">
        <f t="shared" si="325"/>
        <v>66537.871008510643</v>
      </c>
      <c r="CO243" s="606">
        <f t="shared" si="326"/>
        <v>61434.531746031746</v>
      </c>
      <c r="CP243" s="607">
        <f t="shared" si="327"/>
        <v>63939.107262569829</v>
      </c>
      <c r="CQ243" s="606">
        <f t="shared" si="328"/>
        <v>56324.293926247286</v>
      </c>
      <c r="CR243" s="607">
        <f t="shared" si="329"/>
        <v>64256.2</v>
      </c>
      <c r="CS243" s="606">
        <f t="shared" si="330"/>
        <v>56619.112499999996</v>
      </c>
      <c r="CT243" s="607">
        <f t="shared" si="331"/>
        <v>43373.754700389101</v>
      </c>
      <c r="CU243" s="608">
        <f t="shared" si="332"/>
        <v>39885.656862745098</v>
      </c>
      <c r="CV243" s="610">
        <f t="shared" si="333"/>
        <v>0</v>
      </c>
      <c r="CW243" s="608">
        <f t="shared" si="334"/>
        <v>0</v>
      </c>
      <c r="CX243" s="610">
        <f t="shared" si="335"/>
        <v>65160.001338107322</v>
      </c>
      <c r="CY243" s="611">
        <f t="shared" si="336"/>
        <v>59022.832034804313</v>
      </c>
      <c r="CZ243" s="605">
        <f t="shared" si="337"/>
        <v>97</v>
      </c>
      <c r="DA243" s="612">
        <f t="shared" si="338"/>
        <v>99</v>
      </c>
      <c r="DB243" s="607">
        <f t="shared" si="339"/>
        <v>104</v>
      </c>
      <c r="DC243" s="606">
        <f t="shared" si="340"/>
        <v>113</v>
      </c>
      <c r="DD243" s="607">
        <f t="shared" si="341"/>
        <v>99</v>
      </c>
      <c r="DE243" s="606">
        <f t="shared" si="342"/>
        <v>92</v>
      </c>
      <c r="DF243" s="607">
        <f t="shared" si="343"/>
        <v>5</v>
      </c>
      <c r="DG243" s="606">
        <f t="shared" si="344"/>
        <v>8</v>
      </c>
      <c r="DH243" s="607">
        <f t="shared" si="345"/>
        <v>85</v>
      </c>
      <c r="DI243" s="608">
        <f t="shared" si="346"/>
        <v>91</v>
      </c>
      <c r="DJ243" s="607">
        <f t="shared" si="347"/>
        <v>0</v>
      </c>
      <c r="DK243" s="608">
        <f t="shared" si="348"/>
        <v>0</v>
      </c>
      <c r="DL243" s="607">
        <f t="shared" si="349"/>
        <v>390</v>
      </c>
      <c r="DM243" s="608">
        <f t="shared" si="350"/>
        <v>403</v>
      </c>
      <c r="DN243" s="607">
        <f t="shared" si="351"/>
        <v>8154440.1684492594</v>
      </c>
      <c r="DO243" s="612">
        <f t="shared" si="352"/>
        <v>7579716.5070000002</v>
      </c>
      <c r="DP243" s="607">
        <f t="shared" si="353"/>
        <v>6919938.5848851074</v>
      </c>
      <c r="DQ243" s="606">
        <f t="shared" si="354"/>
        <v>6942102.0873015877</v>
      </c>
      <c r="DR243" s="607">
        <f t="shared" si="355"/>
        <v>6329971.6189944129</v>
      </c>
      <c r="DS243" s="606">
        <f t="shared" si="356"/>
        <v>5181835.0412147501</v>
      </c>
      <c r="DT243" s="607">
        <f t="shared" si="357"/>
        <v>321281</v>
      </c>
      <c r="DU243" s="606">
        <f t="shared" si="358"/>
        <v>452952.89999999997</v>
      </c>
      <c r="DV243" s="607">
        <f t="shared" si="359"/>
        <v>3686769.1495330734</v>
      </c>
      <c r="DW243" s="608">
        <f t="shared" si="360"/>
        <v>3629594.7745098039</v>
      </c>
      <c r="DX243" s="607">
        <f t="shared" si="361"/>
        <v>0</v>
      </c>
      <c r="DY243" s="608">
        <f t="shared" si="362"/>
        <v>0</v>
      </c>
      <c r="DZ243" s="607">
        <f t="shared" si="363"/>
        <v>25412400.521861855</v>
      </c>
      <c r="EA243" s="608">
        <f t="shared" si="364"/>
        <v>23786201.310026139</v>
      </c>
    </row>
    <row r="244" spans="1:131" x14ac:dyDescent="0.2">
      <c r="A244" s="430" t="s">
        <v>38</v>
      </c>
      <c r="B244" s="431" t="s">
        <v>764</v>
      </c>
      <c r="C244" s="562" t="s">
        <v>742</v>
      </c>
      <c r="D244" s="432">
        <v>161873</v>
      </c>
      <c r="E244" s="419">
        <v>4</v>
      </c>
      <c r="F244" s="598">
        <v>47</v>
      </c>
      <c r="G244" s="599"/>
      <c r="H244" s="600"/>
      <c r="I244" s="601">
        <v>65</v>
      </c>
      <c r="J244" s="600">
        <v>6</v>
      </c>
      <c r="K244" s="599"/>
      <c r="L244" s="600"/>
      <c r="M244" s="601">
        <v>2</v>
      </c>
      <c r="N244" s="600">
        <v>52</v>
      </c>
      <c r="O244" s="599"/>
      <c r="P244" s="600"/>
      <c r="Q244" s="601">
        <v>45</v>
      </c>
      <c r="R244" s="600">
        <v>2</v>
      </c>
      <c r="S244" s="599"/>
      <c r="T244" s="600"/>
      <c r="U244" s="601">
        <v>2</v>
      </c>
      <c r="V244" s="600">
        <v>51</v>
      </c>
      <c r="W244" s="599"/>
      <c r="X244" s="600"/>
      <c r="Y244" s="601">
        <v>54</v>
      </c>
      <c r="Z244" s="600">
        <v>1</v>
      </c>
      <c r="AA244" s="599"/>
      <c r="AB244" s="600"/>
      <c r="AC244" s="601"/>
      <c r="AD244" s="600">
        <v>8</v>
      </c>
      <c r="AE244" s="599"/>
      <c r="AF244" s="600"/>
      <c r="AG244" s="601"/>
      <c r="AH244" s="600">
        <v>6</v>
      </c>
      <c r="AI244" s="599"/>
      <c r="AJ244" s="600"/>
      <c r="AK244" s="601">
        <v>1</v>
      </c>
      <c r="AL244" s="600">
        <v>9</v>
      </c>
      <c r="AM244" s="599"/>
      <c r="AN244" s="600"/>
      <c r="AO244" s="601">
        <v>19</v>
      </c>
      <c r="AP244" s="600"/>
      <c r="AQ244" s="599"/>
      <c r="AR244" s="600"/>
      <c r="AS244" s="601">
        <v>8</v>
      </c>
      <c r="AT244" s="600"/>
      <c r="AU244" s="599"/>
      <c r="AV244" s="600"/>
      <c r="AW244" s="601"/>
      <c r="AX244" s="600"/>
      <c r="AY244" s="599"/>
      <c r="AZ244" s="600"/>
      <c r="BA244" s="601"/>
      <c r="BB244" s="602">
        <v>7222958.9969999995</v>
      </c>
      <c r="BC244" s="599">
        <v>8683874</v>
      </c>
      <c r="BD244" s="600">
        <v>5364301.0040000007</v>
      </c>
      <c r="BE244" s="599">
        <v>4648899</v>
      </c>
      <c r="BF244" s="600">
        <v>4316241.01</v>
      </c>
      <c r="BG244" s="599">
        <v>4162583</v>
      </c>
      <c r="BH244" s="600">
        <v>965730.99800000002</v>
      </c>
      <c r="BI244" s="599">
        <v>55000</v>
      </c>
      <c r="BJ244" s="600">
        <v>496504.99800000002</v>
      </c>
      <c r="BK244" s="615">
        <v>1907513</v>
      </c>
      <c r="BL244" s="600">
        <v>0</v>
      </c>
      <c r="BM244" s="604"/>
      <c r="BN244" s="605">
        <f t="shared" si="299"/>
        <v>489</v>
      </c>
      <c r="BO244" s="606">
        <f t="shared" si="300"/>
        <v>674</v>
      </c>
      <c r="BP244" s="607">
        <f t="shared" si="301"/>
        <v>490</v>
      </c>
      <c r="BQ244" s="606">
        <f t="shared" si="302"/>
        <v>474</v>
      </c>
      <c r="BR244" s="607">
        <f t="shared" si="303"/>
        <v>470</v>
      </c>
      <c r="BS244" s="606">
        <f t="shared" si="304"/>
        <v>540</v>
      </c>
      <c r="BT244" s="607">
        <f t="shared" si="305"/>
        <v>138</v>
      </c>
      <c r="BU244" s="606">
        <f t="shared" si="306"/>
        <v>12</v>
      </c>
      <c r="BV244" s="607">
        <f t="shared" si="307"/>
        <v>81</v>
      </c>
      <c r="BW244" s="608">
        <f t="shared" si="308"/>
        <v>286</v>
      </c>
      <c r="BX244" s="607">
        <f t="shared" si="309"/>
        <v>0</v>
      </c>
      <c r="BY244" s="608">
        <f t="shared" si="310"/>
        <v>0</v>
      </c>
      <c r="BZ244" s="607">
        <f t="shared" si="311"/>
        <v>14770.877294478527</v>
      </c>
      <c r="CA244" s="608">
        <f t="shared" si="312"/>
        <v>12884.086053412462</v>
      </c>
      <c r="CB244" s="607">
        <f t="shared" si="313"/>
        <v>10947.553069387757</v>
      </c>
      <c r="CC244" s="608">
        <f t="shared" si="314"/>
        <v>9807.8037974683539</v>
      </c>
      <c r="CD244" s="607">
        <f t="shared" si="315"/>
        <v>9183.4915106382978</v>
      </c>
      <c r="CE244" s="608">
        <f t="shared" si="316"/>
        <v>7708.4870370370372</v>
      </c>
      <c r="CF244" s="607">
        <f t="shared" si="317"/>
        <v>6998.0507101449275</v>
      </c>
      <c r="CG244" s="608">
        <f t="shared" si="318"/>
        <v>4583.333333333333</v>
      </c>
      <c r="CH244" s="607">
        <f t="shared" si="319"/>
        <v>6129.6913333333332</v>
      </c>
      <c r="CI244" s="608">
        <f t="shared" si="320"/>
        <v>6669.6258741258744</v>
      </c>
      <c r="CJ244" s="607">
        <f t="shared" si="321"/>
        <v>0</v>
      </c>
      <c r="CK244" s="608">
        <f t="shared" si="322"/>
        <v>0</v>
      </c>
      <c r="CL244" s="609">
        <f t="shared" si="323"/>
        <v>132937.89565030675</v>
      </c>
      <c r="CM244" s="608">
        <f t="shared" si="324"/>
        <v>115956.77448071216</v>
      </c>
      <c r="CN244" s="610">
        <f t="shared" si="325"/>
        <v>98527.977624489809</v>
      </c>
      <c r="CO244" s="606">
        <f t="shared" si="326"/>
        <v>88270.234177215185</v>
      </c>
      <c r="CP244" s="607">
        <f t="shared" si="327"/>
        <v>82651.42359574468</v>
      </c>
      <c r="CQ244" s="606">
        <f t="shared" si="328"/>
        <v>69376.383333333331</v>
      </c>
      <c r="CR244" s="607">
        <f t="shared" si="329"/>
        <v>62982.456391304346</v>
      </c>
      <c r="CS244" s="606">
        <f t="shared" si="330"/>
        <v>41250</v>
      </c>
      <c r="CT244" s="607">
        <f t="shared" si="331"/>
        <v>55167.222000000002</v>
      </c>
      <c r="CU244" s="608">
        <f t="shared" si="332"/>
        <v>60026.632867132867</v>
      </c>
      <c r="CV244" s="610">
        <f t="shared" si="333"/>
        <v>0</v>
      </c>
      <c r="CW244" s="608">
        <f t="shared" si="334"/>
        <v>0</v>
      </c>
      <c r="CX244" s="610">
        <f t="shared" si="335"/>
        <v>99133.805910141178</v>
      </c>
      <c r="CY244" s="611">
        <f t="shared" si="336"/>
        <v>88398.462673211296</v>
      </c>
      <c r="CZ244" s="605">
        <f t="shared" si="337"/>
        <v>53</v>
      </c>
      <c r="DA244" s="612">
        <f t="shared" si="338"/>
        <v>67</v>
      </c>
      <c r="DB244" s="607">
        <f t="shared" si="339"/>
        <v>54</v>
      </c>
      <c r="DC244" s="606">
        <f t="shared" si="340"/>
        <v>47</v>
      </c>
      <c r="DD244" s="607">
        <f t="shared" si="341"/>
        <v>52</v>
      </c>
      <c r="DE244" s="606">
        <f t="shared" si="342"/>
        <v>54</v>
      </c>
      <c r="DF244" s="607">
        <f t="shared" si="343"/>
        <v>14</v>
      </c>
      <c r="DG244" s="606">
        <f t="shared" si="344"/>
        <v>1</v>
      </c>
      <c r="DH244" s="607">
        <f t="shared" si="345"/>
        <v>9</v>
      </c>
      <c r="DI244" s="608">
        <f t="shared" si="346"/>
        <v>27</v>
      </c>
      <c r="DJ244" s="607">
        <f t="shared" si="347"/>
        <v>0</v>
      </c>
      <c r="DK244" s="608">
        <f t="shared" si="348"/>
        <v>0</v>
      </c>
      <c r="DL244" s="607">
        <f t="shared" si="349"/>
        <v>182</v>
      </c>
      <c r="DM244" s="608">
        <f t="shared" si="350"/>
        <v>196</v>
      </c>
      <c r="DN244" s="607">
        <f t="shared" si="351"/>
        <v>7045708.4694662578</v>
      </c>
      <c r="DO244" s="612">
        <f t="shared" si="352"/>
        <v>7769103.8902077153</v>
      </c>
      <c r="DP244" s="607">
        <f t="shared" si="353"/>
        <v>5320510.7917224495</v>
      </c>
      <c r="DQ244" s="606">
        <f t="shared" si="354"/>
        <v>4148701.0063291136</v>
      </c>
      <c r="DR244" s="607">
        <f t="shared" si="355"/>
        <v>4297874.0269787237</v>
      </c>
      <c r="DS244" s="606">
        <f t="shared" si="356"/>
        <v>3746324.6999999997</v>
      </c>
      <c r="DT244" s="607">
        <f t="shared" si="357"/>
        <v>881754.38947826088</v>
      </c>
      <c r="DU244" s="606">
        <f t="shared" si="358"/>
        <v>41250</v>
      </c>
      <c r="DV244" s="607">
        <f t="shared" si="359"/>
        <v>496504.99800000002</v>
      </c>
      <c r="DW244" s="608">
        <f t="shared" si="360"/>
        <v>1620719.0874125874</v>
      </c>
      <c r="DX244" s="607">
        <f t="shared" si="361"/>
        <v>0</v>
      </c>
      <c r="DY244" s="608">
        <f t="shared" si="362"/>
        <v>0</v>
      </c>
      <c r="DZ244" s="607">
        <f t="shared" si="363"/>
        <v>18042352.675645694</v>
      </c>
      <c r="EA244" s="608">
        <f t="shared" si="364"/>
        <v>17326098.683949415</v>
      </c>
    </row>
    <row r="245" spans="1:131" x14ac:dyDescent="0.2">
      <c r="A245" s="430" t="s">
        <v>38</v>
      </c>
      <c r="B245" s="431" t="s">
        <v>765</v>
      </c>
      <c r="C245" s="562"/>
      <c r="D245" s="432">
        <v>163338</v>
      </c>
      <c r="E245" s="419">
        <v>4</v>
      </c>
      <c r="F245" s="598">
        <v>18</v>
      </c>
      <c r="G245" s="599">
        <v>17</v>
      </c>
      <c r="H245" s="600"/>
      <c r="I245" s="601"/>
      <c r="J245" s="600">
        <v>12</v>
      </c>
      <c r="K245" s="599"/>
      <c r="L245" s="600"/>
      <c r="M245" s="601">
        <v>14</v>
      </c>
      <c r="N245" s="600">
        <v>43</v>
      </c>
      <c r="O245" s="599">
        <v>50</v>
      </c>
      <c r="P245" s="600"/>
      <c r="Q245" s="601"/>
      <c r="R245" s="600">
        <v>13</v>
      </c>
      <c r="S245" s="599"/>
      <c r="T245" s="600"/>
      <c r="U245" s="601">
        <v>14</v>
      </c>
      <c r="V245" s="600">
        <v>34</v>
      </c>
      <c r="W245" s="599">
        <v>39</v>
      </c>
      <c r="X245" s="600"/>
      <c r="Y245" s="601"/>
      <c r="Z245" s="600">
        <v>23</v>
      </c>
      <c r="AA245" s="599"/>
      <c r="AB245" s="600"/>
      <c r="AC245" s="601">
        <v>25</v>
      </c>
      <c r="AD245" s="600">
        <v>3</v>
      </c>
      <c r="AE245" s="599">
        <v>2</v>
      </c>
      <c r="AF245" s="600"/>
      <c r="AG245" s="601"/>
      <c r="AH245" s="600">
        <v>1</v>
      </c>
      <c r="AI245" s="599"/>
      <c r="AJ245" s="600"/>
      <c r="AK245" s="601">
        <v>1</v>
      </c>
      <c r="AL245" s="600">
        <v>28</v>
      </c>
      <c r="AM245" s="599">
        <v>45</v>
      </c>
      <c r="AN245" s="600"/>
      <c r="AO245" s="601"/>
      <c r="AP245" s="600">
        <v>10</v>
      </c>
      <c r="AQ245" s="599"/>
      <c r="AR245" s="600"/>
      <c r="AS245" s="601">
        <v>10</v>
      </c>
      <c r="AT245" s="600"/>
      <c r="AU245" s="599"/>
      <c r="AV245" s="600"/>
      <c r="AW245" s="601"/>
      <c r="AX245" s="600"/>
      <c r="AY245" s="599"/>
      <c r="AZ245" s="600"/>
      <c r="BA245" s="601"/>
      <c r="BB245" s="602">
        <v>2812785</v>
      </c>
      <c r="BC245" s="599">
        <v>2852586</v>
      </c>
      <c r="BD245" s="600">
        <v>4128110.0130000003</v>
      </c>
      <c r="BE245" s="599">
        <v>4784604</v>
      </c>
      <c r="BF245" s="600">
        <v>4191117.9939999999</v>
      </c>
      <c r="BG245" s="599">
        <v>4558231</v>
      </c>
      <c r="BH245" s="600">
        <v>267214.99900000001</v>
      </c>
      <c r="BI245" s="599">
        <v>177215</v>
      </c>
      <c r="BJ245" s="600">
        <v>1991088.996</v>
      </c>
      <c r="BK245" s="615">
        <v>2788974</v>
      </c>
      <c r="BL245" s="600">
        <v>0</v>
      </c>
      <c r="BM245" s="604"/>
      <c r="BN245" s="605">
        <f t="shared" si="299"/>
        <v>294</v>
      </c>
      <c r="BO245" s="606">
        <f t="shared" si="300"/>
        <v>321</v>
      </c>
      <c r="BP245" s="607">
        <f t="shared" si="301"/>
        <v>530</v>
      </c>
      <c r="BQ245" s="606">
        <f t="shared" si="302"/>
        <v>618</v>
      </c>
      <c r="BR245" s="607">
        <f t="shared" si="303"/>
        <v>559</v>
      </c>
      <c r="BS245" s="606">
        <f t="shared" si="304"/>
        <v>651</v>
      </c>
      <c r="BT245" s="607">
        <f t="shared" si="305"/>
        <v>38</v>
      </c>
      <c r="BU245" s="606">
        <f t="shared" si="306"/>
        <v>30</v>
      </c>
      <c r="BV245" s="607">
        <f t="shared" si="307"/>
        <v>362</v>
      </c>
      <c r="BW245" s="608">
        <f t="shared" si="308"/>
        <v>525</v>
      </c>
      <c r="BX245" s="607">
        <f t="shared" si="309"/>
        <v>0</v>
      </c>
      <c r="BY245" s="608">
        <f t="shared" si="310"/>
        <v>0</v>
      </c>
      <c r="BZ245" s="607">
        <f t="shared" si="311"/>
        <v>9567.2959183673465</v>
      </c>
      <c r="CA245" s="608">
        <f t="shared" si="312"/>
        <v>8886.5607476635505</v>
      </c>
      <c r="CB245" s="607">
        <f t="shared" si="313"/>
        <v>7788.8868169811321</v>
      </c>
      <c r="CC245" s="608">
        <f t="shared" si="314"/>
        <v>7742.0776699029129</v>
      </c>
      <c r="CD245" s="607">
        <f t="shared" si="315"/>
        <v>7497.5277173524146</v>
      </c>
      <c r="CE245" s="608">
        <f t="shared" si="316"/>
        <v>7001.890937019969</v>
      </c>
      <c r="CF245" s="607">
        <f t="shared" si="317"/>
        <v>7031.9736578947368</v>
      </c>
      <c r="CG245" s="608">
        <f t="shared" si="318"/>
        <v>5907.166666666667</v>
      </c>
      <c r="CH245" s="607">
        <f t="shared" si="319"/>
        <v>5500.2458453038671</v>
      </c>
      <c r="CI245" s="608">
        <f t="shared" si="320"/>
        <v>5312.3314285714287</v>
      </c>
      <c r="CJ245" s="607">
        <f t="shared" si="321"/>
        <v>0</v>
      </c>
      <c r="CK245" s="608">
        <f t="shared" si="322"/>
        <v>0</v>
      </c>
      <c r="CL245" s="609">
        <f t="shared" si="323"/>
        <v>86105.663265306124</v>
      </c>
      <c r="CM245" s="608">
        <f t="shared" si="324"/>
        <v>79979.046728971953</v>
      </c>
      <c r="CN245" s="610">
        <f t="shared" si="325"/>
        <v>70099.981352830189</v>
      </c>
      <c r="CO245" s="606">
        <f t="shared" si="326"/>
        <v>69678.699029126219</v>
      </c>
      <c r="CP245" s="607">
        <f t="shared" si="327"/>
        <v>67477.749456171732</v>
      </c>
      <c r="CQ245" s="606">
        <f t="shared" si="328"/>
        <v>63017.018433179721</v>
      </c>
      <c r="CR245" s="607">
        <f t="shared" si="329"/>
        <v>63287.762921052628</v>
      </c>
      <c r="CS245" s="606">
        <f t="shared" si="330"/>
        <v>53164.5</v>
      </c>
      <c r="CT245" s="607">
        <f t="shared" si="331"/>
        <v>49502.212607734808</v>
      </c>
      <c r="CU245" s="608">
        <f t="shared" si="332"/>
        <v>47810.982857142859</v>
      </c>
      <c r="CV245" s="610">
        <f t="shared" si="333"/>
        <v>0</v>
      </c>
      <c r="CW245" s="608">
        <f t="shared" si="334"/>
        <v>0</v>
      </c>
      <c r="CX245" s="610">
        <f t="shared" si="335"/>
        <v>67509.382181068082</v>
      </c>
      <c r="CY245" s="611">
        <f t="shared" si="336"/>
        <v>63414.626374786021</v>
      </c>
      <c r="CZ245" s="605">
        <f t="shared" si="337"/>
        <v>30</v>
      </c>
      <c r="DA245" s="612">
        <f t="shared" si="338"/>
        <v>31</v>
      </c>
      <c r="DB245" s="607">
        <f t="shared" si="339"/>
        <v>56</v>
      </c>
      <c r="DC245" s="606">
        <f t="shared" si="340"/>
        <v>64</v>
      </c>
      <c r="DD245" s="607">
        <f t="shared" si="341"/>
        <v>57</v>
      </c>
      <c r="DE245" s="606">
        <f t="shared" si="342"/>
        <v>64</v>
      </c>
      <c r="DF245" s="607">
        <f t="shared" si="343"/>
        <v>4</v>
      </c>
      <c r="DG245" s="606">
        <f t="shared" si="344"/>
        <v>3</v>
      </c>
      <c r="DH245" s="607">
        <f t="shared" si="345"/>
        <v>38</v>
      </c>
      <c r="DI245" s="608">
        <f t="shared" si="346"/>
        <v>55</v>
      </c>
      <c r="DJ245" s="607">
        <f t="shared" si="347"/>
        <v>0</v>
      </c>
      <c r="DK245" s="608">
        <f t="shared" si="348"/>
        <v>0</v>
      </c>
      <c r="DL245" s="607">
        <f t="shared" si="349"/>
        <v>185</v>
      </c>
      <c r="DM245" s="608">
        <f t="shared" si="350"/>
        <v>217</v>
      </c>
      <c r="DN245" s="607">
        <f t="shared" si="351"/>
        <v>2583169.8979591839</v>
      </c>
      <c r="DO245" s="612">
        <f t="shared" si="352"/>
        <v>2479350.4485981306</v>
      </c>
      <c r="DP245" s="607">
        <f t="shared" si="353"/>
        <v>3925598.9557584906</v>
      </c>
      <c r="DQ245" s="606">
        <f t="shared" si="354"/>
        <v>4459436.737864078</v>
      </c>
      <c r="DR245" s="607">
        <f t="shared" si="355"/>
        <v>3846231.7190017886</v>
      </c>
      <c r="DS245" s="606">
        <f t="shared" si="356"/>
        <v>4033089.1797235021</v>
      </c>
      <c r="DT245" s="607">
        <f t="shared" si="357"/>
        <v>253151.05168421051</v>
      </c>
      <c r="DU245" s="606">
        <f t="shared" si="358"/>
        <v>159493.5</v>
      </c>
      <c r="DV245" s="607">
        <f t="shared" si="359"/>
        <v>1881084.0790939226</v>
      </c>
      <c r="DW245" s="608">
        <f t="shared" si="360"/>
        <v>2629604.0571428575</v>
      </c>
      <c r="DX245" s="607">
        <f t="shared" si="361"/>
        <v>0</v>
      </c>
      <c r="DY245" s="608">
        <f t="shared" si="362"/>
        <v>0</v>
      </c>
      <c r="DZ245" s="607">
        <f t="shared" si="363"/>
        <v>12489235.703497596</v>
      </c>
      <c r="EA245" s="608">
        <f t="shared" si="364"/>
        <v>13760973.923328567</v>
      </c>
    </row>
    <row r="246" spans="1:131" x14ac:dyDescent="0.2">
      <c r="A246" s="430" t="s">
        <v>38</v>
      </c>
      <c r="B246" s="433" t="s">
        <v>761</v>
      </c>
      <c r="C246" s="564" t="s">
        <v>783</v>
      </c>
      <c r="D246" s="432">
        <v>162283</v>
      </c>
      <c r="E246" s="439">
        <v>5</v>
      </c>
      <c r="F246" s="598">
        <v>22</v>
      </c>
      <c r="G246" s="599"/>
      <c r="H246" s="600"/>
      <c r="I246" s="601">
        <v>22</v>
      </c>
      <c r="J246" s="600">
        <v>3</v>
      </c>
      <c r="K246" s="599"/>
      <c r="L246" s="600"/>
      <c r="M246" s="601">
        <v>2</v>
      </c>
      <c r="N246" s="600">
        <v>24</v>
      </c>
      <c r="O246" s="599"/>
      <c r="P246" s="600"/>
      <c r="Q246" s="601">
        <v>30</v>
      </c>
      <c r="R246" s="600">
        <v>1</v>
      </c>
      <c r="S246" s="599"/>
      <c r="T246" s="600"/>
      <c r="U246" s="601">
        <v>3</v>
      </c>
      <c r="V246" s="600">
        <v>73</v>
      </c>
      <c r="W246" s="599"/>
      <c r="X246" s="600"/>
      <c r="Y246" s="601">
        <v>70</v>
      </c>
      <c r="Z246" s="600">
        <v>8</v>
      </c>
      <c r="AA246" s="599"/>
      <c r="AB246" s="600"/>
      <c r="AC246" s="601">
        <v>6</v>
      </c>
      <c r="AD246" s="600">
        <v>2</v>
      </c>
      <c r="AE246" s="599"/>
      <c r="AF246" s="600"/>
      <c r="AG246" s="601">
        <v>2</v>
      </c>
      <c r="AH246" s="600">
        <v>1</v>
      </c>
      <c r="AI246" s="599"/>
      <c r="AJ246" s="600"/>
      <c r="AK246" s="601">
        <v>1</v>
      </c>
      <c r="AL246" s="600">
        <v>18</v>
      </c>
      <c r="AM246" s="599"/>
      <c r="AN246" s="600"/>
      <c r="AO246" s="601">
        <v>16</v>
      </c>
      <c r="AP246" s="600"/>
      <c r="AQ246" s="599"/>
      <c r="AR246" s="600"/>
      <c r="AS246" s="601">
        <v>2</v>
      </c>
      <c r="AT246" s="600"/>
      <c r="AU246" s="599"/>
      <c r="AV246" s="600"/>
      <c r="AW246" s="601"/>
      <c r="AX246" s="600"/>
      <c r="AY246" s="599"/>
      <c r="AZ246" s="600"/>
      <c r="BA246" s="601"/>
      <c r="BB246" s="602">
        <v>2247920.0070000002</v>
      </c>
      <c r="BC246" s="599">
        <v>2115303</v>
      </c>
      <c r="BD246" s="600">
        <v>1702329.0079999999</v>
      </c>
      <c r="BE246" s="599">
        <v>2218335</v>
      </c>
      <c r="BF246" s="600">
        <v>5024254.9879999999</v>
      </c>
      <c r="BG246" s="599">
        <v>4838545</v>
      </c>
      <c r="BH246" s="600">
        <v>161191</v>
      </c>
      <c r="BI246" s="599">
        <v>182602</v>
      </c>
      <c r="BJ246" s="600">
        <v>765019.00799999991</v>
      </c>
      <c r="BK246" s="615">
        <v>731016</v>
      </c>
      <c r="BL246" s="600">
        <v>0</v>
      </c>
      <c r="BM246" s="604"/>
      <c r="BN246" s="605">
        <f t="shared" si="299"/>
        <v>231</v>
      </c>
      <c r="BO246" s="606">
        <f t="shared" si="300"/>
        <v>244</v>
      </c>
      <c r="BP246" s="607">
        <f t="shared" si="301"/>
        <v>227</v>
      </c>
      <c r="BQ246" s="606">
        <f t="shared" si="302"/>
        <v>336</v>
      </c>
      <c r="BR246" s="607">
        <f t="shared" si="303"/>
        <v>745</v>
      </c>
      <c r="BS246" s="606">
        <f t="shared" si="304"/>
        <v>772</v>
      </c>
      <c r="BT246" s="607">
        <f t="shared" si="305"/>
        <v>29</v>
      </c>
      <c r="BU246" s="606">
        <f t="shared" si="306"/>
        <v>32</v>
      </c>
      <c r="BV246" s="607">
        <f t="shared" si="307"/>
        <v>162</v>
      </c>
      <c r="BW246" s="608">
        <f t="shared" si="308"/>
        <v>184</v>
      </c>
      <c r="BX246" s="607">
        <f t="shared" si="309"/>
        <v>0</v>
      </c>
      <c r="BY246" s="608">
        <f t="shared" si="310"/>
        <v>0</v>
      </c>
      <c r="BZ246" s="607">
        <f t="shared" si="311"/>
        <v>9731.2554415584418</v>
      </c>
      <c r="CA246" s="608">
        <f t="shared" si="312"/>
        <v>8669.2745901639337</v>
      </c>
      <c r="CB246" s="607">
        <f t="shared" si="313"/>
        <v>7499.2467312775325</v>
      </c>
      <c r="CC246" s="608">
        <f t="shared" si="314"/>
        <v>6602.1875</v>
      </c>
      <c r="CD246" s="607">
        <f t="shared" si="315"/>
        <v>6743.9664268456372</v>
      </c>
      <c r="CE246" s="608">
        <f t="shared" si="316"/>
        <v>6267.5453367875643</v>
      </c>
      <c r="CF246" s="607">
        <f t="shared" si="317"/>
        <v>5558.3103448275861</v>
      </c>
      <c r="CG246" s="608">
        <f t="shared" si="318"/>
        <v>5706.3125</v>
      </c>
      <c r="CH246" s="607">
        <f t="shared" si="319"/>
        <v>4722.3395555555553</v>
      </c>
      <c r="CI246" s="608">
        <f t="shared" si="320"/>
        <v>3972.913043478261</v>
      </c>
      <c r="CJ246" s="607">
        <f t="shared" si="321"/>
        <v>0</v>
      </c>
      <c r="CK246" s="608">
        <f t="shared" si="322"/>
        <v>0</v>
      </c>
      <c r="CL246" s="609">
        <f t="shared" si="323"/>
        <v>87581.29897402598</v>
      </c>
      <c r="CM246" s="608">
        <f t="shared" si="324"/>
        <v>78023.471311475398</v>
      </c>
      <c r="CN246" s="610">
        <f t="shared" si="325"/>
        <v>67493.220581497793</v>
      </c>
      <c r="CO246" s="606">
        <f t="shared" si="326"/>
        <v>59419.6875</v>
      </c>
      <c r="CP246" s="607">
        <f t="shared" si="327"/>
        <v>60695.697841610738</v>
      </c>
      <c r="CQ246" s="606">
        <f t="shared" si="328"/>
        <v>56407.908031088082</v>
      </c>
      <c r="CR246" s="607">
        <f t="shared" si="329"/>
        <v>50024.793103448275</v>
      </c>
      <c r="CS246" s="606">
        <f t="shared" si="330"/>
        <v>51356.8125</v>
      </c>
      <c r="CT246" s="607">
        <f t="shared" si="331"/>
        <v>42501.055999999997</v>
      </c>
      <c r="CU246" s="608">
        <f t="shared" si="332"/>
        <v>35756.217391304352</v>
      </c>
      <c r="CV246" s="610">
        <f t="shared" si="333"/>
        <v>0</v>
      </c>
      <c r="CW246" s="608">
        <f t="shared" si="334"/>
        <v>0</v>
      </c>
      <c r="CX246" s="610">
        <f t="shared" si="335"/>
        <v>63870.446719532294</v>
      </c>
      <c r="CY246" s="611">
        <f t="shared" si="336"/>
        <v>57909.716622607673</v>
      </c>
      <c r="CZ246" s="605">
        <f t="shared" si="337"/>
        <v>25</v>
      </c>
      <c r="DA246" s="612">
        <f t="shared" si="338"/>
        <v>24</v>
      </c>
      <c r="DB246" s="607">
        <f t="shared" si="339"/>
        <v>25</v>
      </c>
      <c r="DC246" s="606">
        <f t="shared" si="340"/>
        <v>33</v>
      </c>
      <c r="DD246" s="607">
        <f t="shared" si="341"/>
        <v>81</v>
      </c>
      <c r="DE246" s="606">
        <f t="shared" si="342"/>
        <v>76</v>
      </c>
      <c r="DF246" s="607">
        <f t="shared" si="343"/>
        <v>3</v>
      </c>
      <c r="DG246" s="606">
        <f t="shared" si="344"/>
        <v>3</v>
      </c>
      <c r="DH246" s="607">
        <f t="shared" si="345"/>
        <v>18</v>
      </c>
      <c r="DI246" s="608">
        <f t="shared" si="346"/>
        <v>18</v>
      </c>
      <c r="DJ246" s="607">
        <f t="shared" si="347"/>
        <v>0</v>
      </c>
      <c r="DK246" s="608">
        <f t="shared" si="348"/>
        <v>0</v>
      </c>
      <c r="DL246" s="607">
        <f t="shared" si="349"/>
        <v>152</v>
      </c>
      <c r="DM246" s="608">
        <f t="shared" si="350"/>
        <v>154</v>
      </c>
      <c r="DN246" s="607">
        <f t="shared" si="351"/>
        <v>2189532.4743506494</v>
      </c>
      <c r="DO246" s="612">
        <f t="shared" si="352"/>
        <v>1872563.3114754097</v>
      </c>
      <c r="DP246" s="607">
        <f t="shared" si="353"/>
        <v>1687330.5145374448</v>
      </c>
      <c r="DQ246" s="606">
        <f t="shared" si="354"/>
        <v>1960849.6875</v>
      </c>
      <c r="DR246" s="607">
        <f t="shared" si="355"/>
        <v>4916351.5251704697</v>
      </c>
      <c r="DS246" s="606">
        <f t="shared" si="356"/>
        <v>4287001.010362694</v>
      </c>
      <c r="DT246" s="607">
        <f t="shared" si="357"/>
        <v>150074.37931034481</v>
      </c>
      <c r="DU246" s="606">
        <f t="shared" si="358"/>
        <v>154070.4375</v>
      </c>
      <c r="DV246" s="607">
        <f t="shared" si="359"/>
        <v>765019.00799999991</v>
      </c>
      <c r="DW246" s="608">
        <f t="shared" si="360"/>
        <v>643611.91304347827</v>
      </c>
      <c r="DX246" s="607">
        <f t="shared" si="361"/>
        <v>0</v>
      </c>
      <c r="DY246" s="608">
        <f t="shared" si="362"/>
        <v>0</v>
      </c>
      <c r="DZ246" s="607">
        <f t="shared" si="363"/>
        <v>9708307.9013689086</v>
      </c>
      <c r="EA246" s="608">
        <f t="shared" si="364"/>
        <v>8918096.3598815817</v>
      </c>
    </row>
    <row r="247" spans="1:131" x14ac:dyDescent="0.2">
      <c r="A247" s="430" t="s">
        <v>38</v>
      </c>
      <c r="B247" s="433" t="s">
        <v>766</v>
      </c>
      <c r="C247" s="562"/>
      <c r="D247" s="432">
        <v>163912</v>
      </c>
      <c r="E247" s="419">
        <v>6</v>
      </c>
      <c r="F247" s="598">
        <v>42</v>
      </c>
      <c r="G247" s="599"/>
      <c r="H247" s="600"/>
      <c r="I247" s="601">
        <v>11</v>
      </c>
      <c r="J247" s="600">
        <v>3</v>
      </c>
      <c r="K247" s="599">
        <v>2</v>
      </c>
      <c r="L247" s="600"/>
      <c r="M247" s="601">
        <v>31</v>
      </c>
      <c r="N247" s="600">
        <v>51</v>
      </c>
      <c r="O247" s="599"/>
      <c r="P247" s="600"/>
      <c r="Q247" s="601">
        <v>39</v>
      </c>
      <c r="R247" s="600"/>
      <c r="S247" s="599">
        <v>2</v>
      </c>
      <c r="T247" s="600"/>
      <c r="U247" s="601">
        <v>13</v>
      </c>
      <c r="V247" s="600">
        <v>42</v>
      </c>
      <c r="W247" s="599"/>
      <c r="X247" s="600"/>
      <c r="Y247" s="601">
        <v>43</v>
      </c>
      <c r="Z247" s="600"/>
      <c r="AA247" s="599">
        <v>3</v>
      </c>
      <c r="AB247" s="600"/>
      <c r="AC247" s="601">
        <v>2</v>
      </c>
      <c r="AD247" s="600">
        <v>3</v>
      </c>
      <c r="AE247" s="599"/>
      <c r="AF247" s="600"/>
      <c r="AG247" s="601">
        <v>3</v>
      </c>
      <c r="AH247" s="600"/>
      <c r="AI247" s="599"/>
      <c r="AJ247" s="600"/>
      <c r="AK247" s="601"/>
      <c r="AL247" s="600"/>
      <c r="AM247" s="599"/>
      <c r="AN247" s="600"/>
      <c r="AO247" s="601">
        <v>1</v>
      </c>
      <c r="AP247" s="600"/>
      <c r="AQ247" s="599"/>
      <c r="AR247" s="600"/>
      <c r="AS247" s="601"/>
      <c r="AT247" s="600"/>
      <c r="AU247" s="599"/>
      <c r="AV247" s="600"/>
      <c r="AW247" s="601"/>
      <c r="AX247" s="600"/>
      <c r="AY247" s="599"/>
      <c r="AZ247" s="600"/>
      <c r="BA247" s="601"/>
      <c r="BB247" s="602">
        <v>4222353.9840000002</v>
      </c>
      <c r="BC247" s="599">
        <v>4047199</v>
      </c>
      <c r="BD247" s="600">
        <v>3274894.977</v>
      </c>
      <c r="BE247" s="599">
        <v>3557890</v>
      </c>
      <c r="BF247" s="600">
        <v>2384442.9839999997</v>
      </c>
      <c r="BG247" s="599">
        <v>2744401</v>
      </c>
      <c r="BH247" s="600">
        <v>149000.00099999999</v>
      </c>
      <c r="BI247" s="599">
        <v>135000</v>
      </c>
      <c r="BJ247" s="600">
        <v>0</v>
      </c>
      <c r="BK247" s="615">
        <v>40000</v>
      </c>
      <c r="BL247" s="600">
        <v>0</v>
      </c>
      <c r="BM247" s="604"/>
      <c r="BN247" s="605">
        <f t="shared" si="299"/>
        <v>411</v>
      </c>
      <c r="BO247" s="606">
        <f t="shared" si="300"/>
        <v>504</v>
      </c>
      <c r="BP247" s="607">
        <f t="shared" si="301"/>
        <v>459</v>
      </c>
      <c r="BQ247" s="606">
        <f t="shared" si="302"/>
        <v>568</v>
      </c>
      <c r="BR247" s="607">
        <f t="shared" si="303"/>
        <v>378</v>
      </c>
      <c r="BS247" s="606">
        <f t="shared" si="304"/>
        <v>487</v>
      </c>
      <c r="BT247" s="607">
        <f t="shared" si="305"/>
        <v>27</v>
      </c>
      <c r="BU247" s="606">
        <f t="shared" si="306"/>
        <v>30</v>
      </c>
      <c r="BV247" s="607">
        <f t="shared" si="307"/>
        <v>0</v>
      </c>
      <c r="BW247" s="608">
        <f t="shared" si="308"/>
        <v>10</v>
      </c>
      <c r="BX247" s="607">
        <f t="shared" si="309"/>
        <v>0</v>
      </c>
      <c r="BY247" s="608">
        <f t="shared" si="310"/>
        <v>0</v>
      </c>
      <c r="BZ247" s="607">
        <f t="shared" si="311"/>
        <v>10273.367357664234</v>
      </c>
      <c r="CA247" s="608">
        <f t="shared" si="312"/>
        <v>8030.1567460317465</v>
      </c>
      <c r="CB247" s="607">
        <f t="shared" si="313"/>
        <v>7134.8474444444446</v>
      </c>
      <c r="CC247" s="608">
        <f t="shared" si="314"/>
        <v>6263.890845070423</v>
      </c>
      <c r="CD247" s="607">
        <f t="shared" si="315"/>
        <v>6308.0502222222212</v>
      </c>
      <c r="CE247" s="608">
        <f t="shared" si="316"/>
        <v>5635.3203285420941</v>
      </c>
      <c r="CF247" s="607">
        <f t="shared" si="317"/>
        <v>5518.5185555555554</v>
      </c>
      <c r="CG247" s="608">
        <f t="shared" si="318"/>
        <v>4500</v>
      </c>
      <c r="CH247" s="607">
        <f t="shared" si="319"/>
        <v>0</v>
      </c>
      <c r="CI247" s="608">
        <f t="shared" si="320"/>
        <v>4000</v>
      </c>
      <c r="CJ247" s="607">
        <f t="shared" si="321"/>
        <v>0</v>
      </c>
      <c r="CK247" s="608">
        <f t="shared" si="322"/>
        <v>0</v>
      </c>
      <c r="CL247" s="609">
        <f t="shared" si="323"/>
        <v>92460.306218978105</v>
      </c>
      <c r="CM247" s="608">
        <f t="shared" si="324"/>
        <v>72271.410714285725</v>
      </c>
      <c r="CN247" s="610">
        <f t="shared" si="325"/>
        <v>64213.627</v>
      </c>
      <c r="CO247" s="606">
        <f t="shared" si="326"/>
        <v>56375.01760563381</v>
      </c>
      <c r="CP247" s="607">
        <f t="shared" si="327"/>
        <v>56772.45199999999</v>
      </c>
      <c r="CQ247" s="606">
        <f t="shared" si="328"/>
        <v>50717.88295687885</v>
      </c>
      <c r="CR247" s="607">
        <f t="shared" si="329"/>
        <v>49666.667000000001</v>
      </c>
      <c r="CS247" s="606">
        <f t="shared" si="330"/>
        <v>40500</v>
      </c>
      <c r="CT247" s="607">
        <f t="shared" si="331"/>
        <v>0</v>
      </c>
      <c r="CU247" s="608">
        <f t="shared" si="332"/>
        <v>36000</v>
      </c>
      <c r="CV247" s="610">
        <f t="shared" si="333"/>
        <v>0</v>
      </c>
      <c r="CW247" s="608">
        <f t="shared" si="334"/>
        <v>0</v>
      </c>
      <c r="CX247" s="610">
        <f t="shared" si="335"/>
        <v>70702.494623078106</v>
      </c>
      <c r="CY247" s="611">
        <f t="shared" si="336"/>
        <v>58774.34269375322</v>
      </c>
      <c r="CZ247" s="605">
        <f t="shared" si="337"/>
        <v>45</v>
      </c>
      <c r="DA247" s="612">
        <f t="shared" si="338"/>
        <v>44</v>
      </c>
      <c r="DB247" s="607">
        <f t="shared" si="339"/>
        <v>51</v>
      </c>
      <c r="DC247" s="606">
        <f t="shared" si="340"/>
        <v>54</v>
      </c>
      <c r="DD247" s="607">
        <f t="shared" si="341"/>
        <v>42</v>
      </c>
      <c r="DE247" s="606">
        <f t="shared" si="342"/>
        <v>48</v>
      </c>
      <c r="DF247" s="607">
        <f t="shared" si="343"/>
        <v>3</v>
      </c>
      <c r="DG247" s="606">
        <f t="shared" si="344"/>
        <v>3</v>
      </c>
      <c r="DH247" s="607">
        <f t="shared" si="345"/>
        <v>0</v>
      </c>
      <c r="DI247" s="608">
        <f t="shared" si="346"/>
        <v>1</v>
      </c>
      <c r="DJ247" s="607">
        <f t="shared" si="347"/>
        <v>0</v>
      </c>
      <c r="DK247" s="608">
        <f t="shared" si="348"/>
        <v>0</v>
      </c>
      <c r="DL247" s="607">
        <f t="shared" si="349"/>
        <v>141</v>
      </c>
      <c r="DM247" s="608">
        <f t="shared" si="350"/>
        <v>150</v>
      </c>
      <c r="DN247" s="607">
        <f t="shared" si="351"/>
        <v>4160713.7798540145</v>
      </c>
      <c r="DO247" s="612">
        <f t="shared" si="352"/>
        <v>3179942.0714285718</v>
      </c>
      <c r="DP247" s="607">
        <f t="shared" si="353"/>
        <v>3274894.977</v>
      </c>
      <c r="DQ247" s="606">
        <f t="shared" si="354"/>
        <v>3044250.9507042258</v>
      </c>
      <c r="DR247" s="607">
        <f t="shared" si="355"/>
        <v>2384442.9839999997</v>
      </c>
      <c r="DS247" s="606">
        <f t="shared" si="356"/>
        <v>2434458.3819301846</v>
      </c>
      <c r="DT247" s="607">
        <f t="shared" si="357"/>
        <v>149000.00099999999</v>
      </c>
      <c r="DU247" s="606">
        <f t="shared" si="358"/>
        <v>121500</v>
      </c>
      <c r="DV247" s="607">
        <f t="shared" si="359"/>
        <v>0</v>
      </c>
      <c r="DW247" s="608">
        <f t="shared" si="360"/>
        <v>36000</v>
      </c>
      <c r="DX247" s="607">
        <f t="shared" si="361"/>
        <v>0</v>
      </c>
      <c r="DY247" s="608">
        <f t="shared" si="362"/>
        <v>0</v>
      </c>
      <c r="DZ247" s="607">
        <f t="shared" si="363"/>
        <v>9969051.7418540139</v>
      </c>
      <c r="EA247" s="608">
        <f t="shared" si="364"/>
        <v>8816151.4040629826</v>
      </c>
    </row>
    <row r="248" spans="1:131" x14ac:dyDescent="0.2">
      <c r="A248" s="480" t="s">
        <v>38</v>
      </c>
      <c r="B248" s="431" t="s">
        <v>767</v>
      </c>
      <c r="C248" s="562"/>
      <c r="D248" s="432">
        <v>161767</v>
      </c>
      <c r="E248" s="418">
        <v>8</v>
      </c>
      <c r="F248" s="598">
        <v>73</v>
      </c>
      <c r="G248" s="599"/>
      <c r="H248" s="600"/>
      <c r="I248" s="601">
        <v>77</v>
      </c>
      <c r="J248" s="600">
        <v>3</v>
      </c>
      <c r="K248" s="599"/>
      <c r="L248" s="600"/>
      <c r="M248" s="601">
        <v>5</v>
      </c>
      <c r="N248" s="600">
        <v>91</v>
      </c>
      <c r="O248" s="599"/>
      <c r="P248" s="600"/>
      <c r="Q248" s="601">
        <v>86</v>
      </c>
      <c r="R248" s="600">
        <v>7</v>
      </c>
      <c r="S248" s="599"/>
      <c r="T248" s="600"/>
      <c r="U248" s="601">
        <v>5</v>
      </c>
      <c r="V248" s="600">
        <v>71</v>
      </c>
      <c r="W248" s="599"/>
      <c r="X248" s="600"/>
      <c r="Y248" s="601">
        <v>69</v>
      </c>
      <c r="Z248" s="600">
        <v>1</v>
      </c>
      <c r="AA248" s="599"/>
      <c r="AB248" s="600"/>
      <c r="AC248" s="601">
        <v>2</v>
      </c>
      <c r="AD248" s="600">
        <v>17</v>
      </c>
      <c r="AE248" s="599"/>
      <c r="AF248" s="600"/>
      <c r="AG248" s="601">
        <v>13</v>
      </c>
      <c r="AH248" s="600">
        <v>1</v>
      </c>
      <c r="AI248" s="599"/>
      <c r="AJ248" s="600"/>
      <c r="AK248" s="601">
        <v>1</v>
      </c>
      <c r="AL248" s="600"/>
      <c r="AM248" s="599"/>
      <c r="AN248" s="600"/>
      <c r="AO248" s="601"/>
      <c r="AP248" s="600"/>
      <c r="AQ248" s="599"/>
      <c r="AR248" s="600"/>
      <c r="AS248" s="601">
        <v>3</v>
      </c>
      <c r="AT248" s="600"/>
      <c r="AU248" s="599"/>
      <c r="AV248" s="600"/>
      <c r="AW248" s="601"/>
      <c r="AX248" s="600"/>
      <c r="AY248" s="599"/>
      <c r="AZ248" s="600"/>
      <c r="BA248" s="601"/>
      <c r="BB248" s="602">
        <v>6307863.9909999995</v>
      </c>
      <c r="BC248" s="599">
        <v>6587229</v>
      </c>
      <c r="BD248" s="600">
        <v>6527433.0380000006</v>
      </c>
      <c r="BE248" s="599">
        <v>5956464</v>
      </c>
      <c r="BF248" s="600">
        <v>4156272.0330000003</v>
      </c>
      <c r="BG248" s="599">
        <v>4097055</v>
      </c>
      <c r="BH248" s="600">
        <v>912499.99899999995</v>
      </c>
      <c r="BI248" s="599">
        <v>735219</v>
      </c>
      <c r="BJ248" s="600">
        <v>0</v>
      </c>
      <c r="BK248" s="615">
        <v>142090</v>
      </c>
      <c r="BL248" s="600">
        <v>0</v>
      </c>
      <c r="BM248" s="604"/>
      <c r="BN248" s="605">
        <f t="shared" si="299"/>
        <v>690</v>
      </c>
      <c r="BO248" s="606">
        <f t="shared" si="300"/>
        <v>830</v>
      </c>
      <c r="BP248" s="607">
        <f t="shared" si="301"/>
        <v>896</v>
      </c>
      <c r="BQ248" s="606">
        <f t="shared" si="302"/>
        <v>920</v>
      </c>
      <c r="BR248" s="607">
        <f t="shared" si="303"/>
        <v>650</v>
      </c>
      <c r="BS248" s="606">
        <f t="shared" si="304"/>
        <v>714</v>
      </c>
      <c r="BT248" s="607">
        <f t="shared" si="305"/>
        <v>164</v>
      </c>
      <c r="BU248" s="606">
        <f t="shared" si="306"/>
        <v>142</v>
      </c>
      <c r="BV248" s="607">
        <f t="shared" si="307"/>
        <v>0</v>
      </c>
      <c r="BW248" s="608">
        <f t="shared" si="308"/>
        <v>36</v>
      </c>
      <c r="BX248" s="607">
        <f t="shared" si="309"/>
        <v>0</v>
      </c>
      <c r="BY248" s="608">
        <f t="shared" si="310"/>
        <v>0</v>
      </c>
      <c r="BZ248" s="607">
        <f t="shared" si="311"/>
        <v>9141.8318710144922</v>
      </c>
      <c r="CA248" s="608">
        <f t="shared" si="312"/>
        <v>7936.4204819277111</v>
      </c>
      <c r="CB248" s="607">
        <f t="shared" si="313"/>
        <v>7285.081515625001</v>
      </c>
      <c r="CC248" s="608">
        <f t="shared" si="314"/>
        <v>6474.4173913043478</v>
      </c>
      <c r="CD248" s="607">
        <f t="shared" si="315"/>
        <v>6394.2646661538465</v>
      </c>
      <c r="CE248" s="608">
        <f t="shared" si="316"/>
        <v>5738.1722689075632</v>
      </c>
      <c r="CF248" s="607">
        <f t="shared" si="317"/>
        <v>5564.0243841463416</v>
      </c>
      <c r="CG248" s="608">
        <f t="shared" si="318"/>
        <v>5177.5985915492956</v>
      </c>
      <c r="CH248" s="607">
        <f t="shared" si="319"/>
        <v>0</v>
      </c>
      <c r="CI248" s="608">
        <f t="shared" si="320"/>
        <v>3946.9444444444443</v>
      </c>
      <c r="CJ248" s="607">
        <f t="shared" si="321"/>
        <v>0</v>
      </c>
      <c r="CK248" s="608">
        <f t="shared" si="322"/>
        <v>0</v>
      </c>
      <c r="CL248" s="609">
        <f t="shared" si="323"/>
        <v>82276.486839130434</v>
      </c>
      <c r="CM248" s="608">
        <f t="shared" si="324"/>
        <v>71427.784337349396</v>
      </c>
      <c r="CN248" s="610">
        <f t="shared" si="325"/>
        <v>65565.733640625011</v>
      </c>
      <c r="CO248" s="606">
        <f t="shared" si="326"/>
        <v>58269.756521739131</v>
      </c>
      <c r="CP248" s="607">
        <f t="shared" si="327"/>
        <v>57548.381995384618</v>
      </c>
      <c r="CQ248" s="606">
        <f t="shared" si="328"/>
        <v>51643.550420168067</v>
      </c>
      <c r="CR248" s="607">
        <f t="shared" si="329"/>
        <v>50076.219457317071</v>
      </c>
      <c r="CS248" s="606">
        <f t="shared" si="330"/>
        <v>46598.387323943658</v>
      </c>
      <c r="CT248" s="607">
        <f t="shared" si="331"/>
        <v>0</v>
      </c>
      <c r="CU248" s="608">
        <f t="shared" si="332"/>
        <v>35522.5</v>
      </c>
      <c r="CV248" s="610">
        <f t="shared" si="333"/>
        <v>0</v>
      </c>
      <c r="CW248" s="608">
        <f t="shared" si="334"/>
        <v>0</v>
      </c>
      <c r="CX248" s="610">
        <f t="shared" si="335"/>
        <v>67133.751327479418</v>
      </c>
      <c r="CY248" s="611">
        <f t="shared" si="336"/>
        <v>59713.651959800969</v>
      </c>
      <c r="CZ248" s="605">
        <f t="shared" si="337"/>
        <v>76</v>
      </c>
      <c r="DA248" s="612">
        <f t="shared" si="338"/>
        <v>82</v>
      </c>
      <c r="DB248" s="607">
        <f t="shared" si="339"/>
        <v>98</v>
      </c>
      <c r="DC248" s="606">
        <f t="shared" si="340"/>
        <v>91</v>
      </c>
      <c r="DD248" s="607">
        <f t="shared" si="341"/>
        <v>72</v>
      </c>
      <c r="DE248" s="606">
        <f t="shared" si="342"/>
        <v>71</v>
      </c>
      <c r="DF248" s="607">
        <f t="shared" si="343"/>
        <v>18</v>
      </c>
      <c r="DG248" s="606">
        <f t="shared" si="344"/>
        <v>14</v>
      </c>
      <c r="DH248" s="607">
        <f t="shared" si="345"/>
        <v>0</v>
      </c>
      <c r="DI248" s="608">
        <f t="shared" si="346"/>
        <v>3</v>
      </c>
      <c r="DJ248" s="607">
        <f t="shared" si="347"/>
        <v>0</v>
      </c>
      <c r="DK248" s="608">
        <f t="shared" si="348"/>
        <v>0</v>
      </c>
      <c r="DL248" s="607">
        <f t="shared" si="349"/>
        <v>264</v>
      </c>
      <c r="DM248" s="608">
        <f t="shared" si="350"/>
        <v>261</v>
      </c>
      <c r="DN248" s="607">
        <f t="shared" si="351"/>
        <v>6253012.9997739131</v>
      </c>
      <c r="DO248" s="612">
        <f t="shared" si="352"/>
        <v>5857078.3156626504</v>
      </c>
      <c r="DP248" s="607">
        <f t="shared" si="353"/>
        <v>6425441.8967812508</v>
      </c>
      <c r="DQ248" s="606">
        <f t="shared" si="354"/>
        <v>5302547.8434782606</v>
      </c>
      <c r="DR248" s="607">
        <f t="shared" si="355"/>
        <v>4143483.5036676927</v>
      </c>
      <c r="DS248" s="606">
        <f t="shared" si="356"/>
        <v>3666692.0798319327</v>
      </c>
      <c r="DT248" s="607">
        <f t="shared" si="357"/>
        <v>901371.95023170731</v>
      </c>
      <c r="DU248" s="606">
        <f t="shared" si="358"/>
        <v>652377.4225352112</v>
      </c>
      <c r="DV248" s="607">
        <f t="shared" si="359"/>
        <v>0</v>
      </c>
      <c r="DW248" s="608">
        <f t="shared" si="360"/>
        <v>106567.5</v>
      </c>
      <c r="DX248" s="607">
        <f t="shared" si="361"/>
        <v>0</v>
      </c>
      <c r="DY248" s="608">
        <f t="shared" si="362"/>
        <v>0</v>
      </c>
      <c r="DZ248" s="607">
        <f t="shared" si="363"/>
        <v>17723310.350454565</v>
      </c>
      <c r="EA248" s="608">
        <f t="shared" si="364"/>
        <v>15585263.161508054</v>
      </c>
    </row>
    <row r="249" spans="1:131" x14ac:dyDescent="0.2">
      <c r="A249" s="430" t="s">
        <v>38</v>
      </c>
      <c r="B249" s="433" t="s">
        <v>768</v>
      </c>
      <c r="C249" s="563"/>
      <c r="D249" s="432">
        <v>162122</v>
      </c>
      <c r="E249" s="420">
        <v>8</v>
      </c>
      <c r="F249" s="598">
        <v>71</v>
      </c>
      <c r="G249" s="599"/>
      <c r="H249" s="600"/>
      <c r="I249" s="601">
        <v>71</v>
      </c>
      <c r="J249" s="600">
        <v>14</v>
      </c>
      <c r="K249" s="599"/>
      <c r="L249" s="600"/>
      <c r="M249" s="601">
        <v>15</v>
      </c>
      <c r="N249" s="600">
        <v>10</v>
      </c>
      <c r="O249" s="599"/>
      <c r="P249" s="600"/>
      <c r="Q249" s="601">
        <v>14</v>
      </c>
      <c r="R249" s="600">
        <v>4</v>
      </c>
      <c r="S249" s="599"/>
      <c r="T249" s="600"/>
      <c r="U249" s="601">
        <v>3</v>
      </c>
      <c r="V249" s="600">
        <v>22</v>
      </c>
      <c r="W249" s="599"/>
      <c r="X249" s="600"/>
      <c r="Y249" s="601">
        <v>17</v>
      </c>
      <c r="Z249" s="600">
        <v>3</v>
      </c>
      <c r="AA249" s="599"/>
      <c r="AB249" s="600"/>
      <c r="AC249" s="601">
        <v>5</v>
      </c>
      <c r="AD249" s="600"/>
      <c r="AE249" s="599"/>
      <c r="AF249" s="600"/>
      <c r="AG249" s="601"/>
      <c r="AH249" s="600"/>
      <c r="AI249" s="599"/>
      <c r="AJ249" s="600"/>
      <c r="AK249" s="601"/>
      <c r="AL249" s="600"/>
      <c r="AM249" s="599"/>
      <c r="AN249" s="600"/>
      <c r="AO249" s="601"/>
      <c r="AP249" s="600"/>
      <c r="AQ249" s="599"/>
      <c r="AR249" s="600"/>
      <c r="AS249" s="601"/>
      <c r="AT249" s="600"/>
      <c r="AU249" s="599"/>
      <c r="AV249" s="600"/>
      <c r="AW249" s="601"/>
      <c r="AX249" s="600"/>
      <c r="AY249" s="599"/>
      <c r="AZ249" s="600"/>
      <c r="BA249" s="601"/>
      <c r="BB249" s="602">
        <v>7238568.9869999997</v>
      </c>
      <c r="BC249" s="599">
        <v>7359206</v>
      </c>
      <c r="BD249" s="600">
        <v>971006</v>
      </c>
      <c r="BE249" s="599">
        <v>1160690</v>
      </c>
      <c r="BF249" s="600">
        <v>1579154.9910000002</v>
      </c>
      <c r="BG249" s="599">
        <v>1443011</v>
      </c>
      <c r="BH249" s="600">
        <v>0</v>
      </c>
      <c r="BI249" s="599"/>
      <c r="BJ249" s="600">
        <v>0</v>
      </c>
      <c r="BK249" s="615"/>
      <c r="BL249" s="600">
        <v>0</v>
      </c>
      <c r="BM249" s="604"/>
      <c r="BN249" s="605">
        <f t="shared" si="299"/>
        <v>793</v>
      </c>
      <c r="BO249" s="606">
        <f t="shared" si="300"/>
        <v>890</v>
      </c>
      <c r="BP249" s="607">
        <f t="shared" si="301"/>
        <v>134</v>
      </c>
      <c r="BQ249" s="606">
        <f t="shared" si="302"/>
        <v>176</v>
      </c>
      <c r="BR249" s="607">
        <f t="shared" si="303"/>
        <v>231</v>
      </c>
      <c r="BS249" s="606">
        <f t="shared" si="304"/>
        <v>230</v>
      </c>
      <c r="BT249" s="607">
        <f t="shared" si="305"/>
        <v>0</v>
      </c>
      <c r="BU249" s="606">
        <f t="shared" si="306"/>
        <v>0</v>
      </c>
      <c r="BV249" s="607">
        <f t="shared" si="307"/>
        <v>0</v>
      </c>
      <c r="BW249" s="608">
        <f t="shared" si="308"/>
        <v>0</v>
      </c>
      <c r="BX249" s="607">
        <f t="shared" si="309"/>
        <v>0</v>
      </c>
      <c r="BY249" s="608">
        <f t="shared" si="310"/>
        <v>0</v>
      </c>
      <c r="BZ249" s="607">
        <f t="shared" si="311"/>
        <v>9128.081950819671</v>
      </c>
      <c r="CA249" s="608">
        <f t="shared" si="312"/>
        <v>8268.7707865168541</v>
      </c>
      <c r="CB249" s="607">
        <f t="shared" si="313"/>
        <v>7246.313432835821</v>
      </c>
      <c r="CC249" s="608">
        <f t="shared" si="314"/>
        <v>6594.829545454545</v>
      </c>
      <c r="CD249" s="607">
        <f t="shared" si="315"/>
        <v>6836.1687922077926</v>
      </c>
      <c r="CE249" s="608">
        <f t="shared" si="316"/>
        <v>6273.9608695652178</v>
      </c>
      <c r="CF249" s="607">
        <f t="shared" si="317"/>
        <v>0</v>
      </c>
      <c r="CG249" s="608">
        <f t="shared" si="318"/>
        <v>0</v>
      </c>
      <c r="CH249" s="607">
        <f t="shared" si="319"/>
        <v>0</v>
      </c>
      <c r="CI249" s="608">
        <f t="shared" si="320"/>
        <v>0</v>
      </c>
      <c r="CJ249" s="607">
        <f t="shared" si="321"/>
        <v>0</v>
      </c>
      <c r="CK249" s="608">
        <f t="shared" si="322"/>
        <v>0</v>
      </c>
      <c r="CL249" s="609">
        <f t="shared" si="323"/>
        <v>82152.737557377041</v>
      </c>
      <c r="CM249" s="608">
        <f t="shared" si="324"/>
        <v>74418.937078651681</v>
      </c>
      <c r="CN249" s="610">
        <f t="shared" si="325"/>
        <v>65216.820895522389</v>
      </c>
      <c r="CO249" s="606">
        <f t="shared" si="326"/>
        <v>59353.465909090904</v>
      </c>
      <c r="CP249" s="607">
        <f t="shared" si="327"/>
        <v>61525.519129870132</v>
      </c>
      <c r="CQ249" s="606">
        <f t="shared" si="328"/>
        <v>56465.647826086963</v>
      </c>
      <c r="CR249" s="607">
        <f t="shared" si="329"/>
        <v>0</v>
      </c>
      <c r="CS249" s="606">
        <f t="shared" si="330"/>
        <v>0</v>
      </c>
      <c r="CT249" s="607">
        <f t="shared" si="331"/>
        <v>0</v>
      </c>
      <c r="CU249" s="608">
        <f t="shared" si="332"/>
        <v>0</v>
      </c>
      <c r="CV249" s="610">
        <f t="shared" si="333"/>
        <v>0</v>
      </c>
      <c r="CW249" s="608">
        <f t="shared" si="334"/>
        <v>0</v>
      </c>
      <c r="CX249" s="610">
        <f t="shared" si="335"/>
        <v>76081.904541621901</v>
      </c>
      <c r="CY249" s="611">
        <f t="shared" si="336"/>
        <v>69210.254091140028</v>
      </c>
      <c r="CZ249" s="605">
        <f t="shared" si="337"/>
        <v>85</v>
      </c>
      <c r="DA249" s="612">
        <f t="shared" si="338"/>
        <v>86</v>
      </c>
      <c r="DB249" s="607">
        <f t="shared" si="339"/>
        <v>14</v>
      </c>
      <c r="DC249" s="606">
        <f t="shared" si="340"/>
        <v>17</v>
      </c>
      <c r="DD249" s="607">
        <f t="shared" si="341"/>
        <v>25</v>
      </c>
      <c r="DE249" s="606">
        <f t="shared" si="342"/>
        <v>22</v>
      </c>
      <c r="DF249" s="607">
        <f t="shared" si="343"/>
        <v>0</v>
      </c>
      <c r="DG249" s="606">
        <f t="shared" si="344"/>
        <v>0</v>
      </c>
      <c r="DH249" s="607">
        <f t="shared" si="345"/>
        <v>0</v>
      </c>
      <c r="DI249" s="608">
        <f t="shared" si="346"/>
        <v>0</v>
      </c>
      <c r="DJ249" s="607">
        <f t="shared" si="347"/>
        <v>0</v>
      </c>
      <c r="DK249" s="608">
        <f t="shared" si="348"/>
        <v>0</v>
      </c>
      <c r="DL249" s="607">
        <f t="shared" si="349"/>
        <v>124</v>
      </c>
      <c r="DM249" s="608">
        <f t="shared" si="350"/>
        <v>125</v>
      </c>
      <c r="DN249" s="607">
        <f t="shared" si="351"/>
        <v>6982982.6923770485</v>
      </c>
      <c r="DO249" s="612">
        <f t="shared" si="352"/>
        <v>6400028.5887640445</v>
      </c>
      <c r="DP249" s="607">
        <f t="shared" si="353"/>
        <v>913035.49253731349</v>
      </c>
      <c r="DQ249" s="606">
        <f t="shared" si="354"/>
        <v>1009008.9204545454</v>
      </c>
      <c r="DR249" s="607">
        <f t="shared" si="355"/>
        <v>1538137.9782467533</v>
      </c>
      <c r="DS249" s="606">
        <f t="shared" si="356"/>
        <v>1242244.2521739132</v>
      </c>
      <c r="DT249" s="607">
        <f t="shared" si="357"/>
        <v>0</v>
      </c>
      <c r="DU249" s="606">
        <f t="shared" si="358"/>
        <v>0</v>
      </c>
      <c r="DV249" s="607">
        <f t="shared" si="359"/>
        <v>0</v>
      </c>
      <c r="DW249" s="608">
        <f t="shared" si="360"/>
        <v>0</v>
      </c>
      <c r="DX249" s="607">
        <f t="shared" si="361"/>
        <v>0</v>
      </c>
      <c r="DY249" s="608">
        <f t="shared" si="362"/>
        <v>0</v>
      </c>
      <c r="DZ249" s="607">
        <f t="shared" si="363"/>
        <v>9434156.1631611157</v>
      </c>
      <c r="EA249" s="608">
        <f t="shared" si="364"/>
        <v>8651281.761392504</v>
      </c>
    </row>
    <row r="250" spans="1:131" x14ac:dyDescent="0.2">
      <c r="A250" s="430" t="s">
        <v>38</v>
      </c>
      <c r="B250" s="431" t="s">
        <v>769</v>
      </c>
      <c r="C250" s="562"/>
      <c r="D250" s="432">
        <v>434672</v>
      </c>
      <c r="E250" s="418">
        <v>8</v>
      </c>
      <c r="F250" s="598">
        <v>49</v>
      </c>
      <c r="G250" s="599"/>
      <c r="H250" s="600"/>
      <c r="I250" s="601">
        <v>49</v>
      </c>
      <c r="J250" s="600">
        <v>17</v>
      </c>
      <c r="K250" s="599"/>
      <c r="L250" s="600"/>
      <c r="M250" s="601">
        <v>14</v>
      </c>
      <c r="N250" s="600">
        <v>101</v>
      </c>
      <c r="O250" s="599"/>
      <c r="P250" s="600"/>
      <c r="Q250" s="601">
        <v>90</v>
      </c>
      <c r="R250" s="600">
        <v>14</v>
      </c>
      <c r="S250" s="599"/>
      <c r="T250" s="600"/>
      <c r="U250" s="601">
        <v>17</v>
      </c>
      <c r="V250" s="600">
        <v>155</v>
      </c>
      <c r="W250" s="599"/>
      <c r="X250" s="600"/>
      <c r="Y250" s="601">
        <v>165</v>
      </c>
      <c r="Z250" s="600">
        <v>30</v>
      </c>
      <c r="AA250" s="599"/>
      <c r="AB250" s="600"/>
      <c r="AC250" s="601">
        <v>33</v>
      </c>
      <c r="AD250" s="600">
        <v>39</v>
      </c>
      <c r="AE250" s="599"/>
      <c r="AF250" s="600"/>
      <c r="AG250" s="601">
        <v>39</v>
      </c>
      <c r="AH250" s="600">
        <v>21</v>
      </c>
      <c r="AI250" s="599"/>
      <c r="AJ250" s="600"/>
      <c r="AK250" s="601">
        <v>20</v>
      </c>
      <c r="AL250" s="600"/>
      <c r="AM250" s="599"/>
      <c r="AN250" s="600"/>
      <c r="AO250" s="601"/>
      <c r="AP250" s="600"/>
      <c r="AQ250" s="599"/>
      <c r="AR250" s="600"/>
      <c r="AS250" s="601"/>
      <c r="AT250" s="600"/>
      <c r="AU250" s="599"/>
      <c r="AV250" s="600"/>
      <c r="AW250" s="601"/>
      <c r="AX250" s="600"/>
      <c r="AY250" s="599"/>
      <c r="AZ250" s="600"/>
      <c r="BA250" s="601"/>
      <c r="BB250" s="602">
        <v>5930024.0050000008</v>
      </c>
      <c r="BC250" s="599">
        <v>5639984</v>
      </c>
      <c r="BD250" s="600">
        <v>7930315.966</v>
      </c>
      <c r="BE250" s="599">
        <v>7632336</v>
      </c>
      <c r="BF250" s="600">
        <v>11086267.939999999</v>
      </c>
      <c r="BG250" s="599">
        <v>12221160</v>
      </c>
      <c r="BH250" s="600">
        <v>3297068.9850000003</v>
      </c>
      <c r="BI250" s="599">
        <v>3283520</v>
      </c>
      <c r="BJ250" s="600">
        <v>0</v>
      </c>
      <c r="BK250" s="615"/>
      <c r="BL250" s="600">
        <v>0</v>
      </c>
      <c r="BM250" s="604"/>
      <c r="BN250" s="605">
        <f t="shared" si="299"/>
        <v>628</v>
      </c>
      <c r="BO250" s="606">
        <f t="shared" si="300"/>
        <v>658</v>
      </c>
      <c r="BP250" s="607">
        <f t="shared" si="301"/>
        <v>1063</v>
      </c>
      <c r="BQ250" s="606">
        <f t="shared" si="302"/>
        <v>1104</v>
      </c>
      <c r="BR250" s="607">
        <f t="shared" si="303"/>
        <v>1725</v>
      </c>
      <c r="BS250" s="606">
        <f t="shared" si="304"/>
        <v>2046</v>
      </c>
      <c r="BT250" s="607">
        <f t="shared" si="305"/>
        <v>582</v>
      </c>
      <c r="BU250" s="606">
        <f t="shared" si="306"/>
        <v>630</v>
      </c>
      <c r="BV250" s="607">
        <f t="shared" si="307"/>
        <v>0</v>
      </c>
      <c r="BW250" s="608">
        <f t="shared" si="308"/>
        <v>0</v>
      </c>
      <c r="BX250" s="607">
        <f t="shared" si="309"/>
        <v>0</v>
      </c>
      <c r="BY250" s="608">
        <f t="shared" si="310"/>
        <v>0</v>
      </c>
      <c r="BZ250" s="607">
        <f t="shared" si="311"/>
        <v>9442.7133837579622</v>
      </c>
      <c r="CA250" s="608">
        <f t="shared" si="312"/>
        <v>8571.4042553191484</v>
      </c>
      <c r="CB250" s="607">
        <f t="shared" si="313"/>
        <v>7460.3160545625587</v>
      </c>
      <c r="CC250" s="608">
        <f t="shared" si="314"/>
        <v>6913.347826086957</v>
      </c>
      <c r="CD250" s="607">
        <f t="shared" si="315"/>
        <v>6426.8219942028982</v>
      </c>
      <c r="CE250" s="608">
        <f t="shared" si="316"/>
        <v>5973.1964809384162</v>
      </c>
      <c r="CF250" s="607">
        <f t="shared" si="317"/>
        <v>5665.0669845360826</v>
      </c>
      <c r="CG250" s="608">
        <f t="shared" si="318"/>
        <v>5211.936507936508</v>
      </c>
      <c r="CH250" s="607">
        <f t="shared" si="319"/>
        <v>0</v>
      </c>
      <c r="CI250" s="608">
        <f t="shared" si="320"/>
        <v>0</v>
      </c>
      <c r="CJ250" s="607">
        <f t="shared" si="321"/>
        <v>0</v>
      </c>
      <c r="CK250" s="608">
        <f t="shared" si="322"/>
        <v>0</v>
      </c>
      <c r="CL250" s="609">
        <f t="shared" si="323"/>
        <v>84984.420453821658</v>
      </c>
      <c r="CM250" s="608">
        <f t="shared" si="324"/>
        <v>77142.638297872341</v>
      </c>
      <c r="CN250" s="610">
        <f t="shared" si="325"/>
        <v>67142.844491063035</v>
      </c>
      <c r="CO250" s="606">
        <f t="shared" si="326"/>
        <v>62220.130434782615</v>
      </c>
      <c r="CP250" s="607">
        <f t="shared" si="327"/>
        <v>57841.397947826081</v>
      </c>
      <c r="CQ250" s="606">
        <f t="shared" si="328"/>
        <v>53758.768328445745</v>
      </c>
      <c r="CR250" s="607">
        <f t="shared" si="329"/>
        <v>50985.602860824743</v>
      </c>
      <c r="CS250" s="606">
        <f t="shared" si="330"/>
        <v>46907.428571428572</v>
      </c>
      <c r="CT250" s="607">
        <f t="shared" si="331"/>
        <v>0</v>
      </c>
      <c r="CU250" s="608">
        <f t="shared" si="332"/>
        <v>0</v>
      </c>
      <c r="CV250" s="610">
        <f t="shared" si="333"/>
        <v>0</v>
      </c>
      <c r="CW250" s="608">
        <f t="shared" si="334"/>
        <v>0</v>
      </c>
      <c r="CX250" s="610">
        <f t="shared" si="335"/>
        <v>63592.003893008899</v>
      </c>
      <c r="CY250" s="611">
        <f t="shared" si="336"/>
        <v>58382.46975183663</v>
      </c>
      <c r="CZ250" s="605">
        <f t="shared" si="337"/>
        <v>66</v>
      </c>
      <c r="DA250" s="612">
        <f t="shared" si="338"/>
        <v>63</v>
      </c>
      <c r="DB250" s="607">
        <f t="shared" si="339"/>
        <v>115</v>
      </c>
      <c r="DC250" s="606">
        <f t="shared" si="340"/>
        <v>107</v>
      </c>
      <c r="DD250" s="607">
        <f t="shared" si="341"/>
        <v>185</v>
      </c>
      <c r="DE250" s="606">
        <f t="shared" si="342"/>
        <v>198</v>
      </c>
      <c r="DF250" s="607">
        <f t="shared" si="343"/>
        <v>60</v>
      </c>
      <c r="DG250" s="606">
        <f t="shared" si="344"/>
        <v>59</v>
      </c>
      <c r="DH250" s="607">
        <f t="shared" si="345"/>
        <v>0</v>
      </c>
      <c r="DI250" s="608">
        <f t="shared" si="346"/>
        <v>0</v>
      </c>
      <c r="DJ250" s="607">
        <f t="shared" si="347"/>
        <v>0</v>
      </c>
      <c r="DK250" s="608">
        <f t="shared" si="348"/>
        <v>0</v>
      </c>
      <c r="DL250" s="607">
        <f t="shared" si="349"/>
        <v>426</v>
      </c>
      <c r="DM250" s="608">
        <f t="shared" si="350"/>
        <v>427</v>
      </c>
      <c r="DN250" s="607">
        <f t="shared" si="351"/>
        <v>5608971.7499522297</v>
      </c>
      <c r="DO250" s="612">
        <f t="shared" si="352"/>
        <v>4859986.2127659572</v>
      </c>
      <c r="DP250" s="607">
        <f t="shared" si="353"/>
        <v>7721427.1164722489</v>
      </c>
      <c r="DQ250" s="606">
        <f t="shared" si="354"/>
        <v>6657553.9565217402</v>
      </c>
      <c r="DR250" s="607">
        <f t="shared" si="355"/>
        <v>10700658.620347826</v>
      </c>
      <c r="DS250" s="606">
        <f t="shared" si="356"/>
        <v>10644236.129032258</v>
      </c>
      <c r="DT250" s="607">
        <f t="shared" si="357"/>
        <v>3059136.1716494844</v>
      </c>
      <c r="DU250" s="606">
        <f t="shared" si="358"/>
        <v>2767538.2857142859</v>
      </c>
      <c r="DV250" s="607">
        <f t="shared" si="359"/>
        <v>0</v>
      </c>
      <c r="DW250" s="608">
        <f t="shared" si="360"/>
        <v>0</v>
      </c>
      <c r="DX250" s="607">
        <f t="shared" si="361"/>
        <v>0</v>
      </c>
      <c r="DY250" s="608">
        <f t="shared" si="362"/>
        <v>0</v>
      </c>
      <c r="DZ250" s="607">
        <f t="shared" si="363"/>
        <v>27090193.658421792</v>
      </c>
      <c r="EA250" s="608">
        <f t="shared" si="364"/>
        <v>24929314.584034242</v>
      </c>
    </row>
    <row r="251" spans="1:131" x14ac:dyDescent="0.2">
      <c r="A251" s="430" t="s">
        <v>38</v>
      </c>
      <c r="B251" s="433" t="s">
        <v>770</v>
      </c>
      <c r="C251" s="563"/>
      <c r="D251" s="432">
        <v>162779</v>
      </c>
      <c r="E251" s="420">
        <v>8</v>
      </c>
      <c r="F251" s="598">
        <v>35</v>
      </c>
      <c r="G251" s="599"/>
      <c r="H251" s="600"/>
      <c r="I251" s="601">
        <v>34</v>
      </c>
      <c r="J251" s="600">
        <v>16</v>
      </c>
      <c r="K251" s="599"/>
      <c r="L251" s="600"/>
      <c r="M251" s="601">
        <v>16</v>
      </c>
      <c r="N251" s="600">
        <v>28</v>
      </c>
      <c r="O251" s="599"/>
      <c r="P251" s="600"/>
      <c r="Q251" s="601">
        <v>31</v>
      </c>
      <c r="R251" s="600">
        <v>11</v>
      </c>
      <c r="S251" s="599"/>
      <c r="T251" s="600"/>
      <c r="U251" s="601">
        <v>12</v>
      </c>
      <c r="V251" s="600">
        <v>52</v>
      </c>
      <c r="W251" s="599"/>
      <c r="X251" s="600"/>
      <c r="Y251" s="601">
        <v>53</v>
      </c>
      <c r="Z251" s="600">
        <v>5</v>
      </c>
      <c r="AA251" s="599"/>
      <c r="AB251" s="600"/>
      <c r="AC251" s="601">
        <v>5</v>
      </c>
      <c r="AD251" s="600">
        <v>20</v>
      </c>
      <c r="AE251" s="599"/>
      <c r="AF251" s="600"/>
      <c r="AG251" s="601">
        <v>21</v>
      </c>
      <c r="AH251" s="600">
        <v>4</v>
      </c>
      <c r="AI251" s="599"/>
      <c r="AJ251" s="600"/>
      <c r="AK251" s="601">
        <v>3</v>
      </c>
      <c r="AL251" s="600">
        <v>1</v>
      </c>
      <c r="AM251" s="599"/>
      <c r="AN251" s="600"/>
      <c r="AO251" s="601">
        <v>1</v>
      </c>
      <c r="AP251" s="600">
        <v>1</v>
      </c>
      <c r="AQ251" s="599"/>
      <c r="AR251" s="600"/>
      <c r="AS251" s="601">
        <v>1</v>
      </c>
      <c r="AT251" s="600"/>
      <c r="AU251" s="599"/>
      <c r="AV251" s="600"/>
      <c r="AW251" s="601"/>
      <c r="AX251" s="600"/>
      <c r="AY251" s="599"/>
      <c r="AZ251" s="600"/>
      <c r="BA251" s="601"/>
      <c r="BB251" s="602">
        <v>4516251.023</v>
      </c>
      <c r="BC251" s="599">
        <v>4424208</v>
      </c>
      <c r="BD251" s="600">
        <v>2786941.9920000001</v>
      </c>
      <c r="BE251" s="599">
        <v>3058954</v>
      </c>
      <c r="BF251" s="600">
        <v>3391923.9960000003</v>
      </c>
      <c r="BG251" s="599">
        <v>3505186</v>
      </c>
      <c r="BH251" s="600">
        <v>1301685</v>
      </c>
      <c r="BI251" s="599">
        <v>1318793</v>
      </c>
      <c r="BJ251" s="600">
        <v>108765</v>
      </c>
      <c r="BK251" s="615">
        <v>110069</v>
      </c>
      <c r="BL251" s="600">
        <v>0</v>
      </c>
      <c r="BM251" s="604"/>
      <c r="BN251" s="605">
        <f t="shared" si="299"/>
        <v>491</v>
      </c>
      <c r="BO251" s="606">
        <f t="shared" si="300"/>
        <v>532</v>
      </c>
      <c r="BP251" s="607">
        <f t="shared" si="301"/>
        <v>373</v>
      </c>
      <c r="BQ251" s="606">
        <f t="shared" si="302"/>
        <v>454</v>
      </c>
      <c r="BR251" s="607">
        <f t="shared" si="303"/>
        <v>523</v>
      </c>
      <c r="BS251" s="606">
        <f t="shared" si="304"/>
        <v>590</v>
      </c>
      <c r="BT251" s="607">
        <f t="shared" si="305"/>
        <v>224</v>
      </c>
      <c r="BU251" s="606">
        <f t="shared" si="306"/>
        <v>246</v>
      </c>
      <c r="BV251" s="607">
        <f t="shared" si="307"/>
        <v>20</v>
      </c>
      <c r="BW251" s="608">
        <f t="shared" si="308"/>
        <v>22</v>
      </c>
      <c r="BX251" s="607">
        <f t="shared" si="309"/>
        <v>0</v>
      </c>
      <c r="BY251" s="608">
        <f t="shared" si="310"/>
        <v>0</v>
      </c>
      <c r="BZ251" s="607">
        <f t="shared" si="311"/>
        <v>9198.0672566191442</v>
      </c>
      <c r="CA251" s="608">
        <f t="shared" si="312"/>
        <v>8316.1804511278187</v>
      </c>
      <c r="CB251" s="607">
        <f t="shared" si="313"/>
        <v>7471.6943485254696</v>
      </c>
      <c r="CC251" s="608">
        <f t="shared" si="314"/>
        <v>6737.7841409691628</v>
      </c>
      <c r="CD251" s="607">
        <f t="shared" si="315"/>
        <v>6485.5143326959851</v>
      </c>
      <c r="CE251" s="608">
        <f t="shared" si="316"/>
        <v>5940.9932203389826</v>
      </c>
      <c r="CF251" s="607">
        <f t="shared" si="317"/>
        <v>5811.09375</v>
      </c>
      <c r="CG251" s="608">
        <f t="shared" si="318"/>
        <v>5360.9471544715443</v>
      </c>
      <c r="CH251" s="607">
        <f t="shared" si="319"/>
        <v>5438.25</v>
      </c>
      <c r="CI251" s="608">
        <f t="shared" si="320"/>
        <v>5003.136363636364</v>
      </c>
      <c r="CJ251" s="607">
        <f t="shared" si="321"/>
        <v>0</v>
      </c>
      <c r="CK251" s="608">
        <f t="shared" si="322"/>
        <v>0</v>
      </c>
      <c r="CL251" s="609">
        <f t="shared" si="323"/>
        <v>82782.605309572304</v>
      </c>
      <c r="CM251" s="608">
        <f t="shared" si="324"/>
        <v>74845.624060150367</v>
      </c>
      <c r="CN251" s="610">
        <f t="shared" si="325"/>
        <v>67245.249136729224</v>
      </c>
      <c r="CO251" s="606">
        <f t="shared" si="326"/>
        <v>60640.057268722463</v>
      </c>
      <c r="CP251" s="607">
        <f t="shared" si="327"/>
        <v>58369.628994263869</v>
      </c>
      <c r="CQ251" s="606">
        <f t="shared" si="328"/>
        <v>53468.938983050844</v>
      </c>
      <c r="CR251" s="607">
        <f t="shared" si="329"/>
        <v>52299.84375</v>
      </c>
      <c r="CS251" s="606">
        <f t="shared" si="330"/>
        <v>48248.524390243896</v>
      </c>
      <c r="CT251" s="607">
        <f t="shared" si="331"/>
        <v>48944.25</v>
      </c>
      <c r="CU251" s="608">
        <f t="shared" si="332"/>
        <v>45028.227272727279</v>
      </c>
      <c r="CV251" s="610">
        <f t="shared" si="333"/>
        <v>0</v>
      </c>
      <c r="CW251" s="608">
        <f t="shared" si="334"/>
        <v>0</v>
      </c>
      <c r="CX251" s="610">
        <f t="shared" si="335"/>
        <v>66616.365258922946</v>
      </c>
      <c r="CY251" s="611">
        <f t="shared" si="336"/>
        <v>60446.45856774487</v>
      </c>
      <c r="CZ251" s="605">
        <f t="shared" si="337"/>
        <v>51</v>
      </c>
      <c r="DA251" s="612">
        <f t="shared" si="338"/>
        <v>50</v>
      </c>
      <c r="DB251" s="607">
        <f t="shared" si="339"/>
        <v>39</v>
      </c>
      <c r="DC251" s="606">
        <f t="shared" si="340"/>
        <v>43</v>
      </c>
      <c r="DD251" s="607">
        <f t="shared" si="341"/>
        <v>57</v>
      </c>
      <c r="DE251" s="606">
        <f t="shared" si="342"/>
        <v>58</v>
      </c>
      <c r="DF251" s="607">
        <f t="shared" si="343"/>
        <v>24</v>
      </c>
      <c r="DG251" s="606">
        <f t="shared" si="344"/>
        <v>24</v>
      </c>
      <c r="DH251" s="607">
        <f t="shared" si="345"/>
        <v>2</v>
      </c>
      <c r="DI251" s="608">
        <f t="shared" si="346"/>
        <v>2</v>
      </c>
      <c r="DJ251" s="607">
        <f t="shared" si="347"/>
        <v>0</v>
      </c>
      <c r="DK251" s="608">
        <f t="shared" si="348"/>
        <v>0</v>
      </c>
      <c r="DL251" s="607">
        <f t="shared" si="349"/>
        <v>173</v>
      </c>
      <c r="DM251" s="608">
        <f t="shared" si="350"/>
        <v>177</v>
      </c>
      <c r="DN251" s="607">
        <f t="shared" si="351"/>
        <v>4221912.8707881877</v>
      </c>
      <c r="DO251" s="612">
        <f t="shared" si="352"/>
        <v>3742281.2030075183</v>
      </c>
      <c r="DP251" s="607">
        <f t="shared" si="353"/>
        <v>2622564.7163324398</v>
      </c>
      <c r="DQ251" s="606">
        <f t="shared" si="354"/>
        <v>2607522.4625550658</v>
      </c>
      <c r="DR251" s="607">
        <f t="shared" si="355"/>
        <v>3327068.8526730407</v>
      </c>
      <c r="DS251" s="606">
        <f t="shared" si="356"/>
        <v>3101198.4610169488</v>
      </c>
      <c r="DT251" s="607">
        <f t="shared" si="357"/>
        <v>1255196.25</v>
      </c>
      <c r="DU251" s="606">
        <f t="shared" si="358"/>
        <v>1157964.5853658535</v>
      </c>
      <c r="DV251" s="607">
        <f t="shared" si="359"/>
        <v>97888.5</v>
      </c>
      <c r="DW251" s="608">
        <f t="shared" si="360"/>
        <v>90056.454545454559</v>
      </c>
      <c r="DX251" s="607">
        <f t="shared" si="361"/>
        <v>0</v>
      </c>
      <c r="DY251" s="608">
        <f t="shared" si="362"/>
        <v>0</v>
      </c>
      <c r="DZ251" s="607">
        <f t="shared" si="363"/>
        <v>11524631.189793671</v>
      </c>
      <c r="EA251" s="608">
        <f t="shared" si="364"/>
        <v>10699023.166490842</v>
      </c>
    </row>
    <row r="252" spans="1:131" x14ac:dyDescent="0.2">
      <c r="A252" s="430" t="s">
        <v>38</v>
      </c>
      <c r="B252" s="431" t="s">
        <v>771</v>
      </c>
      <c r="C252" s="562"/>
      <c r="D252" s="432">
        <v>163426</v>
      </c>
      <c r="E252" s="418">
        <v>8</v>
      </c>
      <c r="F252" s="598">
        <v>286</v>
      </c>
      <c r="G252" s="599">
        <v>310</v>
      </c>
      <c r="H252" s="600"/>
      <c r="I252" s="601"/>
      <c r="J252" s="600"/>
      <c r="K252" s="599"/>
      <c r="L252" s="600"/>
      <c r="M252" s="601"/>
      <c r="N252" s="600">
        <v>134</v>
      </c>
      <c r="O252" s="599">
        <v>135</v>
      </c>
      <c r="P252" s="600"/>
      <c r="Q252" s="601"/>
      <c r="R252" s="600"/>
      <c r="S252" s="599"/>
      <c r="T252" s="600"/>
      <c r="U252" s="601"/>
      <c r="V252" s="600">
        <v>99</v>
      </c>
      <c r="W252" s="599">
        <v>83</v>
      </c>
      <c r="X252" s="600"/>
      <c r="Y252" s="601"/>
      <c r="Z252" s="600"/>
      <c r="AA252" s="599"/>
      <c r="AB252" s="600"/>
      <c r="AC252" s="601"/>
      <c r="AD252" s="600">
        <v>3</v>
      </c>
      <c r="AE252" s="599">
        <v>7</v>
      </c>
      <c r="AF252" s="600"/>
      <c r="AG252" s="601"/>
      <c r="AH252" s="600"/>
      <c r="AI252" s="599"/>
      <c r="AJ252" s="600"/>
      <c r="AK252" s="601"/>
      <c r="AL252" s="600"/>
      <c r="AM252" s="599">
        <v>8</v>
      </c>
      <c r="AN252" s="600"/>
      <c r="AO252" s="601"/>
      <c r="AP252" s="600"/>
      <c r="AQ252" s="599"/>
      <c r="AR252" s="600"/>
      <c r="AS252" s="601"/>
      <c r="AT252" s="600"/>
      <c r="AU252" s="599"/>
      <c r="AV252" s="600"/>
      <c r="AW252" s="601"/>
      <c r="AX252" s="600"/>
      <c r="AY252" s="599"/>
      <c r="AZ252" s="600"/>
      <c r="BA252" s="601"/>
      <c r="BB252" s="602">
        <v>24859716.881999999</v>
      </c>
      <c r="BC252" s="599">
        <v>26161631</v>
      </c>
      <c r="BD252" s="600">
        <v>9437503.9560000002</v>
      </c>
      <c r="BE252" s="599">
        <v>9019827</v>
      </c>
      <c r="BF252" s="600">
        <v>5929093.9620000003</v>
      </c>
      <c r="BG252" s="599">
        <v>4946611</v>
      </c>
      <c r="BH252" s="600">
        <v>175203.99900000001</v>
      </c>
      <c r="BI252" s="599">
        <v>394288</v>
      </c>
      <c r="BJ252" s="600">
        <v>0</v>
      </c>
      <c r="BK252" s="615">
        <v>47614</v>
      </c>
      <c r="BL252" s="600">
        <v>0</v>
      </c>
      <c r="BM252" s="604"/>
      <c r="BN252" s="605">
        <f t="shared" si="299"/>
        <v>2574</v>
      </c>
      <c r="BO252" s="606">
        <f t="shared" si="300"/>
        <v>2790</v>
      </c>
      <c r="BP252" s="607">
        <f t="shared" si="301"/>
        <v>1206</v>
      </c>
      <c r="BQ252" s="606">
        <f t="shared" si="302"/>
        <v>1215</v>
      </c>
      <c r="BR252" s="607">
        <f t="shared" si="303"/>
        <v>891</v>
      </c>
      <c r="BS252" s="606">
        <f t="shared" si="304"/>
        <v>747</v>
      </c>
      <c r="BT252" s="607">
        <f t="shared" si="305"/>
        <v>27</v>
      </c>
      <c r="BU252" s="606">
        <f t="shared" si="306"/>
        <v>63</v>
      </c>
      <c r="BV252" s="607">
        <f t="shared" si="307"/>
        <v>0</v>
      </c>
      <c r="BW252" s="608">
        <f t="shared" si="308"/>
        <v>72</v>
      </c>
      <c r="BX252" s="607">
        <f t="shared" si="309"/>
        <v>0</v>
      </c>
      <c r="BY252" s="608">
        <f t="shared" si="310"/>
        <v>0</v>
      </c>
      <c r="BZ252" s="607">
        <f t="shared" si="311"/>
        <v>9658.0096666666668</v>
      </c>
      <c r="CA252" s="608">
        <f t="shared" si="312"/>
        <v>9376.9286738351257</v>
      </c>
      <c r="CB252" s="607">
        <f t="shared" si="313"/>
        <v>7825.4593333333332</v>
      </c>
      <c r="CC252" s="608">
        <f t="shared" si="314"/>
        <v>7423.7259259259263</v>
      </c>
      <c r="CD252" s="607">
        <f t="shared" si="315"/>
        <v>6654.4264444444452</v>
      </c>
      <c r="CE252" s="608">
        <f t="shared" si="316"/>
        <v>6621.9692101740293</v>
      </c>
      <c r="CF252" s="607">
        <f t="shared" si="317"/>
        <v>6489.0370000000003</v>
      </c>
      <c r="CG252" s="608">
        <f t="shared" si="318"/>
        <v>6258.5396825396829</v>
      </c>
      <c r="CH252" s="607">
        <f t="shared" si="319"/>
        <v>0</v>
      </c>
      <c r="CI252" s="608">
        <f t="shared" si="320"/>
        <v>661.30555555555554</v>
      </c>
      <c r="CJ252" s="607">
        <f t="shared" si="321"/>
        <v>0</v>
      </c>
      <c r="CK252" s="608">
        <f t="shared" si="322"/>
        <v>0</v>
      </c>
      <c r="CL252" s="609">
        <f t="shared" si="323"/>
        <v>86922.087</v>
      </c>
      <c r="CM252" s="608">
        <f t="shared" si="324"/>
        <v>84392.358064516127</v>
      </c>
      <c r="CN252" s="610">
        <f t="shared" si="325"/>
        <v>70429.134000000005</v>
      </c>
      <c r="CO252" s="606">
        <f t="shared" si="326"/>
        <v>66813.53333333334</v>
      </c>
      <c r="CP252" s="607">
        <f t="shared" si="327"/>
        <v>59889.838000000003</v>
      </c>
      <c r="CQ252" s="606">
        <f t="shared" si="328"/>
        <v>59597.722891566264</v>
      </c>
      <c r="CR252" s="607">
        <f t="shared" si="329"/>
        <v>58401.332999999999</v>
      </c>
      <c r="CS252" s="606">
        <f t="shared" si="330"/>
        <v>56326.857142857145</v>
      </c>
      <c r="CT252" s="607">
        <f t="shared" si="331"/>
        <v>0</v>
      </c>
      <c r="CU252" s="608">
        <f t="shared" si="332"/>
        <v>5951.75</v>
      </c>
      <c r="CV252" s="610">
        <f t="shared" si="333"/>
        <v>0</v>
      </c>
      <c r="CW252" s="608">
        <f t="shared" si="334"/>
        <v>0</v>
      </c>
      <c r="CX252" s="610">
        <f t="shared" si="335"/>
        <v>77397.545591954011</v>
      </c>
      <c r="CY252" s="611">
        <f t="shared" si="336"/>
        <v>74714.495395948441</v>
      </c>
      <c r="CZ252" s="605">
        <f t="shared" si="337"/>
        <v>286</v>
      </c>
      <c r="DA252" s="612">
        <f t="shared" si="338"/>
        <v>310</v>
      </c>
      <c r="DB252" s="607">
        <f t="shared" si="339"/>
        <v>134</v>
      </c>
      <c r="DC252" s="606">
        <f t="shared" si="340"/>
        <v>135</v>
      </c>
      <c r="DD252" s="607">
        <f t="shared" si="341"/>
        <v>99</v>
      </c>
      <c r="DE252" s="606">
        <f t="shared" si="342"/>
        <v>83</v>
      </c>
      <c r="DF252" s="607">
        <f t="shared" si="343"/>
        <v>3</v>
      </c>
      <c r="DG252" s="606">
        <f t="shared" si="344"/>
        <v>7</v>
      </c>
      <c r="DH252" s="607">
        <f t="shared" si="345"/>
        <v>0</v>
      </c>
      <c r="DI252" s="608">
        <f t="shared" si="346"/>
        <v>8</v>
      </c>
      <c r="DJ252" s="607">
        <f t="shared" si="347"/>
        <v>0</v>
      </c>
      <c r="DK252" s="608">
        <f t="shared" si="348"/>
        <v>0</v>
      </c>
      <c r="DL252" s="607">
        <f t="shared" si="349"/>
        <v>522</v>
      </c>
      <c r="DM252" s="608">
        <f t="shared" si="350"/>
        <v>543</v>
      </c>
      <c r="DN252" s="607">
        <f t="shared" si="351"/>
        <v>24859716.881999999</v>
      </c>
      <c r="DO252" s="612">
        <f t="shared" si="352"/>
        <v>26161631</v>
      </c>
      <c r="DP252" s="607">
        <f t="shared" si="353"/>
        <v>9437503.9560000002</v>
      </c>
      <c r="DQ252" s="606">
        <f t="shared" si="354"/>
        <v>9019827</v>
      </c>
      <c r="DR252" s="607">
        <f t="shared" si="355"/>
        <v>5929093.9620000003</v>
      </c>
      <c r="DS252" s="606">
        <f t="shared" si="356"/>
        <v>4946611</v>
      </c>
      <c r="DT252" s="607">
        <f t="shared" si="357"/>
        <v>175203.99900000001</v>
      </c>
      <c r="DU252" s="606">
        <f t="shared" si="358"/>
        <v>394288</v>
      </c>
      <c r="DV252" s="607">
        <f t="shared" si="359"/>
        <v>0</v>
      </c>
      <c r="DW252" s="608">
        <f t="shared" si="360"/>
        <v>47614</v>
      </c>
      <c r="DX252" s="607">
        <f t="shared" si="361"/>
        <v>0</v>
      </c>
      <c r="DY252" s="608">
        <f t="shared" si="362"/>
        <v>0</v>
      </c>
      <c r="DZ252" s="607">
        <f t="shared" si="363"/>
        <v>40401518.798999995</v>
      </c>
      <c r="EA252" s="608">
        <f t="shared" si="364"/>
        <v>40569971</v>
      </c>
    </row>
    <row r="253" spans="1:131" x14ac:dyDescent="0.2">
      <c r="A253" s="430" t="s">
        <v>38</v>
      </c>
      <c r="B253" s="431" t="s">
        <v>772</v>
      </c>
      <c r="C253" s="562"/>
      <c r="D253" s="432">
        <v>163657</v>
      </c>
      <c r="E253" s="418">
        <v>8</v>
      </c>
      <c r="F253" s="598">
        <v>92</v>
      </c>
      <c r="G253" s="599"/>
      <c r="H253" s="600"/>
      <c r="I253" s="601">
        <v>90</v>
      </c>
      <c r="J253" s="600">
        <v>2</v>
      </c>
      <c r="K253" s="599"/>
      <c r="L253" s="600"/>
      <c r="M253" s="601">
        <v>2</v>
      </c>
      <c r="N253" s="600">
        <v>100</v>
      </c>
      <c r="O253" s="599"/>
      <c r="P253" s="600"/>
      <c r="Q253" s="601">
        <v>102</v>
      </c>
      <c r="R253" s="600">
        <v>2</v>
      </c>
      <c r="S253" s="599"/>
      <c r="T253" s="600"/>
      <c r="U253" s="601">
        <v>2</v>
      </c>
      <c r="V253" s="600">
        <v>44</v>
      </c>
      <c r="W253" s="599"/>
      <c r="X253" s="600"/>
      <c r="Y253" s="601">
        <v>38</v>
      </c>
      <c r="Z253" s="600">
        <v>2</v>
      </c>
      <c r="AA253" s="599"/>
      <c r="AB253" s="600"/>
      <c r="AC253" s="601">
        <v>3</v>
      </c>
      <c r="AD253" s="600">
        <v>1</v>
      </c>
      <c r="AE253" s="599"/>
      <c r="AF253" s="600"/>
      <c r="AG253" s="601">
        <v>1</v>
      </c>
      <c r="AH253" s="600"/>
      <c r="AI253" s="599"/>
      <c r="AJ253" s="600"/>
      <c r="AK253" s="601"/>
      <c r="AL253" s="600"/>
      <c r="AM253" s="599"/>
      <c r="AN253" s="600"/>
      <c r="AO253" s="601"/>
      <c r="AP253" s="600"/>
      <c r="AQ253" s="599"/>
      <c r="AR253" s="600"/>
      <c r="AS253" s="601"/>
      <c r="AT253" s="600"/>
      <c r="AU253" s="599"/>
      <c r="AV253" s="600"/>
      <c r="AW253" s="601"/>
      <c r="AX253" s="600"/>
      <c r="AY253" s="599"/>
      <c r="AZ253" s="600"/>
      <c r="BA253" s="601"/>
      <c r="BB253" s="602">
        <v>6672960.9560000002</v>
      </c>
      <c r="BC253" s="599">
        <v>6680192</v>
      </c>
      <c r="BD253" s="600">
        <v>6019122</v>
      </c>
      <c r="BE253" s="599">
        <v>6263843</v>
      </c>
      <c r="BF253" s="600">
        <v>2354113.0040000002</v>
      </c>
      <c r="BG253" s="599">
        <v>2194461</v>
      </c>
      <c r="BH253" s="600">
        <v>48997</v>
      </c>
      <c r="BI253" s="599">
        <v>50681</v>
      </c>
      <c r="BJ253" s="600">
        <v>0</v>
      </c>
      <c r="BK253" s="615"/>
      <c r="BL253" s="600">
        <v>0</v>
      </c>
      <c r="BM253" s="604"/>
      <c r="BN253" s="605">
        <f t="shared" si="299"/>
        <v>850</v>
      </c>
      <c r="BO253" s="606">
        <f t="shared" si="300"/>
        <v>924</v>
      </c>
      <c r="BP253" s="607">
        <f t="shared" si="301"/>
        <v>922</v>
      </c>
      <c r="BQ253" s="606">
        <f t="shared" si="302"/>
        <v>1044</v>
      </c>
      <c r="BR253" s="607">
        <f t="shared" si="303"/>
        <v>418</v>
      </c>
      <c r="BS253" s="606">
        <f t="shared" si="304"/>
        <v>416</v>
      </c>
      <c r="BT253" s="607">
        <f t="shared" si="305"/>
        <v>9</v>
      </c>
      <c r="BU253" s="606">
        <f t="shared" si="306"/>
        <v>10</v>
      </c>
      <c r="BV253" s="607">
        <f t="shared" si="307"/>
        <v>0</v>
      </c>
      <c r="BW253" s="608">
        <f t="shared" si="308"/>
        <v>0</v>
      </c>
      <c r="BX253" s="607">
        <f t="shared" si="309"/>
        <v>0</v>
      </c>
      <c r="BY253" s="608">
        <f t="shared" si="310"/>
        <v>0</v>
      </c>
      <c r="BZ253" s="607">
        <f t="shared" si="311"/>
        <v>7850.5423011764706</v>
      </c>
      <c r="CA253" s="608">
        <f t="shared" si="312"/>
        <v>7229.6450216450221</v>
      </c>
      <c r="CB253" s="607">
        <f t="shared" si="313"/>
        <v>6528.3318872017353</v>
      </c>
      <c r="CC253" s="608">
        <f t="shared" si="314"/>
        <v>5999.8496168582378</v>
      </c>
      <c r="CD253" s="607">
        <f t="shared" si="315"/>
        <v>5631.8492918660295</v>
      </c>
      <c r="CE253" s="608">
        <f t="shared" si="316"/>
        <v>5275.1466346153848</v>
      </c>
      <c r="CF253" s="607">
        <f t="shared" si="317"/>
        <v>5444.1111111111113</v>
      </c>
      <c r="CG253" s="608">
        <f t="shared" si="318"/>
        <v>5068.1000000000004</v>
      </c>
      <c r="CH253" s="607">
        <f t="shared" si="319"/>
        <v>0</v>
      </c>
      <c r="CI253" s="608">
        <f t="shared" si="320"/>
        <v>0</v>
      </c>
      <c r="CJ253" s="607">
        <f t="shared" si="321"/>
        <v>0</v>
      </c>
      <c r="CK253" s="608">
        <f t="shared" si="322"/>
        <v>0</v>
      </c>
      <c r="CL253" s="609">
        <f t="shared" si="323"/>
        <v>70654.88071058823</v>
      </c>
      <c r="CM253" s="608">
        <f t="shared" si="324"/>
        <v>65066.805194805202</v>
      </c>
      <c r="CN253" s="610">
        <f t="shared" si="325"/>
        <v>58754.986984815616</v>
      </c>
      <c r="CO253" s="606">
        <f t="shared" si="326"/>
        <v>53998.646551724138</v>
      </c>
      <c r="CP253" s="607">
        <f t="shared" si="327"/>
        <v>50686.643626794263</v>
      </c>
      <c r="CQ253" s="606">
        <f t="shared" si="328"/>
        <v>47476.319711538461</v>
      </c>
      <c r="CR253" s="607">
        <f t="shared" si="329"/>
        <v>48997</v>
      </c>
      <c r="CS253" s="606">
        <f t="shared" si="330"/>
        <v>45612.9</v>
      </c>
      <c r="CT253" s="607">
        <f t="shared" si="331"/>
        <v>0</v>
      </c>
      <c r="CU253" s="608">
        <f t="shared" si="332"/>
        <v>0</v>
      </c>
      <c r="CV253" s="610">
        <f t="shared" si="333"/>
        <v>0</v>
      </c>
      <c r="CW253" s="608">
        <f t="shared" si="334"/>
        <v>0</v>
      </c>
      <c r="CX253" s="610">
        <f t="shared" si="335"/>
        <v>61790.741012670871</v>
      </c>
      <c r="CY253" s="611">
        <f t="shared" si="336"/>
        <v>57118.266081825488</v>
      </c>
      <c r="CZ253" s="605">
        <f t="shared" si="337"/>
        <v>94</v>
      </c>
      <c r="DA253" s="612">
        <f t="shared" si="338"/>
        <v>92</v>
      </c>
      <c r="DB253" s="607">
        <f t="shared" si="339"/>
        <v>102</v>
      </c>
      <c r="DC253" s="606">
        <f t="shared" si="340"/>
        <v>104</v>
      </c>
      <c r="DD253" s="607">
        <f t="shared" si="341"/>
        <v>46</v>
      </c>
      <c r="DE253" s="606">
        <f t="shared" si="342"/>
        <v>41</v>
      </c>
      <c r="DF253" s="607">
        <f t="shared" si="343"/>
        <v>1</v>
      </c>
      <c r="DG253" s="606">
        <f t="shared" si="344"/>
        <v>1</v>
      </c>
      <c r="DH253" s="607">
        <f t="shared" si="345"/>
        <v>0</v>
      </c>
      <c r="DI253" s="608">
        <f t="shared" si="346"/>
        <v>0</v>
      </c>
      <c r="DJ253" s="607">
        <f t="shared" si="347"/>
        <v>0</v>
      </c>
      <c r="DK253" s="608">
        <f t="shared" si="348"/>
        <v>0</v>
      </c>
      <c r="DL253" s="607">
        <f t="shared" si="349"/>
        <v>243</v>
      </c>
      <c r="DM253" s="608">
        <f t="shared" si="350"/>
        <v>238</v>
      </c>
      <c r="DN253" s="607">
        <f t="shared" si="351"/>
        <v>6641558.7867952939</v>
      </c>
      <c r="DO253" s="612">
        <f t="shared" si="352"/>
        <v>5986146.0779220788</v>
      </c>
      <c r="DP253" s="607">
        <f t="shared" si="353"/>
        <v>5993008.6724511925</v>
      </c>
      <c r="DQ253" s="606">
        <f t="shared" si="354"/>
        <v>5615859.2413793104</v>
      </c>
      <c r="DR253" s="607">
        <f t="shared" si="355"/>
        <v>2331585.6068325359</v>
      </c>
      <c r="DS253" s="606">
        <f t="shared" si="356"/>
        <v>1946529.108173077</v>
      </c>
      <c r="DT253" s="607">
        <f t="shared" si="357"/>
        <v>48997</v>
      </c>
      <c r="DU253" s="606">
        <f t="shared" si="358"/>
        <v>45612.9</v>
      </c>
      <c r="DV253" s="607">
        <f t="shared" si="359"/>
        <v>0</v>
      </c>
      <c r="DW253" s="608">
        <f t="shared" si="360"/>
        <v>0</v>
      </c>
      <c r="DX253" s="607">
        <f t="shared" si="361"/>
        <v>0</v>
      </c>
      <c r="DY253" s="608">
        <f t="shared" si="362"/>
        <v>0</v>
      </c>
      <c r="DZ253" s="607">
        <f t="shared" si="363"/>
        <v>15015150.066079022</v>
      </c>
      <c r="EA253" s="608">
        <f t="shared" si="364"/>
        <v>13594147.327474466</v>
      </c>
    </row>
    <row r="254" spans="1:131" x14ac:dyDescent="0.2">
      <c r="A254" s="434" t="s">
        <v>38</v>
      </c>
      <c r="B254" s="431" t="s">
        <v>773</v>
      </c>
      <c r="C254" s="562"/>
      <c r="D254" s="435">
        <v>161688</v>
      </c>
      <c r="E254" s="436">
        <v>9</v>
      </c>
      <c r="F254" s="598">
        <v>27</v>
      </c>
      <c r="G254" s="599">
        <v>22</v>
      </c>
      <c r="H254" s="600"/>
      <c r="I254" s="601">
        <v>2</v>
      </c>
      <c r="J254" s="600">
        <v>9</v>
      </c>
      <c r="K254" s="599">
        <v>4</v>
      </c>
      <c r="L254" s="600"/>
      <c r="M254" s="601">
        <v>5</v>
      </c>
      <c r="N254" s="600">
        <v>23</v>
      </c>
      <c r="O254" s="599">
        <v>20</v>
      </c>
      <c r="P254" s="600"/>
      <c r="Q254" s="601">
        <v>5</v>
      </c>
      <c r="R254" s="600">
        <v>11</v>
      </c>
      <c r="S254" s="599">
        <v>4</v>
      </c>
      <c r="T254" s="600"/>
      <c r="U254" s="601">
        <v>6</v>
      </c>
      <c r="V254" s="600">
        <v>23</v>
      </c>
      <c r="W254" s="599">
        <v>13</v>
      </c>
      <c r="X254" s="600"/>
      <c r="Y254" s="601">
        <v>5</v>
      </c>
      <c r="Z254" s="600">
        <v>7</v>
      </c>
      <c r="AA254" s="599">
        <v>1</v>
      </c>
      <c r="AB254" s="600"/>
      <c r="AC254" s="601">
        <v>6</v>
      </c>
      <c r="AD254" s="600">
        <v>7</v>
      </c>
      <c r="AE254" s="599">
        <v>5</v>
      </c>
      <c r="AF254" s="600"/>
      <c r="AG254" s="601"/>
      <c r="AH254" s="600">
        <v>5</v>
      </c>
      <c r="AI254" s="599">
        <v>1</v>
      </c>
      <c r="AJ254" s="600"/>
      <c r="AK254" s="601">
        <v>4</v>
      </c>
      <c r="AL254" s="600"/>
      <c r="AM254" s="599">
        <v>4</v>
      </c>
      <c r="AN254" s="600"/>
      <c r="AO254" s="601"/>
      <c r="AP254" s="600">
        <v>1</v>
      </c>
      <c r="AQ254" s="599"/>
      <c r="AR254" s="600"/>
      <c r="AS254" s="601">
        <v>1</v>
      </c>
      <c r="AT254" s="600"/>
      <c r="AU254" s="599"/>
      <c r="AV254" s="600"/>
      <c r="AW254" s="601"/>
      <c r="AX254" s="600"/>
      <c r="AY254" s="599"/>
      <c r="AZ254" s="600"/>
      <c r="BA254" s="601"/>
      <c r="BB254" s="602">
        <v>2368807.0020000003</v>
      </c>
      <c r="BC254" s="599">
        <v>2119452</v>
      </c>
      <c r="BD254" s="600">
        <v>1792764.9980000001</v>
      </c>
      <c r="BE254" s="599">
        <v>1821264</v>
      </c>
      <c r="BF254" s="600">
        <v>1414966.0079999999</v>
      </c>
      <c r="BG254" s="599">
        <v>1217479</v>
      </c>
      <c r="BH254" s="600">
        <v>538537.00199999998</v>
      </c>
      <c r="BI254" s="599">
        <v>561218</v>
      </c>
      <c r="BJ254" s="600">
        <v>48990</v>
      </c>
      <c r="BK254" s="615">
        <v>89560</v>
      </c>
      <c r="BL254" s="600">
        <v>0</v>
      </c>
      <c r="BM254" s="604"/>
      <c r="BN254" s="605">
        <f t="shared" si="299"/>
        <v>342</v>
      </c>
      <c r="BO254" s="606">
        <f t="shared" si="300"/>
        <v>322</v>
      </c>
      <c r="BP254" s="607">
        <f t="shared" si="301"/>
        <v>328</v>
      </c>
      <c r="BQ254" s="606">
        <f t="shared" si="302"/>
        <v>346</v>
      </c>
      <c r="BR254" s="607">
        <f t="shared" si="303"/>
        <v>284</v>
      </c>
      <c r="BS254" s="606">
        <f t="shared" si="304"/>
        <v>250</v>
      </c>
      <c r="BT254" s="607">
        <f t="shared" si="305"/>
        <v>118</v>
      </c>
      <c r="BU254" s="606">
        <f t="shared" si="306"/>
        <v>104</v>
      </c>
      <c r="BV254" s="607">
        <f t="shared" si="307"/>
        <v>11</v>
      </c>
      <c r="BW254" s="608">
        <f t="shared" si="308"/>
        <v>48</v>
      </c>
      <c r="BX254" s="607">
        <f t="shared" si="309"/>
        <v>0</v>
      </c>
      <c r="BY254" s="608">
        <f t="shared" si="310"/>
        <v>0</v>
      </c>
      <c r="BZ254" s="607">
        <f t="shared" si="311"/>
        <v>6926.3362631578957</v>
      </c>
      <c r="CA254" s="608">
        <f t="shared" si="312"/>
        <v>6582.1490683229813</v>
      </c>
      <c r="CB254" s="607">
        <f t="shared" si="313"/>
        <v>5465.7469451219513</v>
      </c>
      <c r="CC254" s="608">
        <f t="shared" si="314"/>
        <v>5263.7687861271679</v>
      </c>
      <c r="CD254" s="607">
        <f t="shared" si="315"/>
        <v>4982.2746760563377</v>
      </c>
      <c r="CE254" s="608">
        <f t="shared" si="316"/>
        <v>4869.9160000000002</v>
      </c>
      <c r="CF254" s="607">
        <f t="shared" si="317"/>
        <v>4563.8728983050842</v>
      </c>
      <c r="CG254" s="608">
        <f t="shared" si="318"/>
        <v>5396.3269230769229</v>
      </c>
      <c r="CH254" s="607">
        <f t="shared" si="319"/>
        <v>4453.636363636364</v>
      </c>
      <c r="CI254" s="608">
        <f t="shared" si="320"/>
        <v>1865.8333333333333</v>
      </c>
      <c r="CJ254" s="607">
        <f t="shared" si="321"/>
        <v>0</v>
      </c>
      <c r="CK254" s="608">
        <f t="shared" si="322"/>
        <v>0</v>
      </c>
      <c r="CL254" s="609">
        <f t="shared" si="323"/>
        <v>62337.026368421059</v>
      </c>
      <c r="CM254" s="608">
        <f t="shared" si="324"/>
        <v>59239.341614906829</v>
      </c>
      <c r="CN254" s="610">
        <f t="shared" si="325"/>
        <v>49191.722506097562</v>
      </c>
      <c r="CO254" s="606">
        <f t="shared" si="326"/>
        <v>47373.919075144513</v>
      </c>
      <c r="CP254" s="607">
        <f t="shared" si="327"/>
        <v>44840.472084507041</v>
      </c>
      <c r="CQ254" s="606">
        <f t="shared" si="328"/>
        <v>43829.243999999999</v>
      </c>
      <c r="CR254" s="607">
        <f t="shared" si="329"/>
        <v>41074.856084745756</v>
      </c>
      <c r="CS254" s="606">
        <f t="shared" si="330"/>
        <v>48566.942307692305</v>
      </c>
      <c r="CT254" s="607">
        <f t="shared" si="331"/>
        <v>40082.727272727279</v>
      </c>
      <c r="CU254" s="608">
        <f t="shared" si="332"/>
        <v>16792.5</v>
      </c>
      <c r="CV254" s="610">
        <f t="shared" si="333"/>
        <v>0</v>
      </c>
      <c r="CW254" s="608">
        <f t="shared" si="334"/>
        <v>0</v>
      </c>
      <c r="CX254" s="610">
        <f t="shared" si="335"/>
        <v>51281.829002613835</v>
      </c>
      <c r="CY254" s="611">
        <f t="shared" si="336"/>
        <v>48873.596888878761</v>
      </c>
      <c r="CZ254" s="605">
        <f t="shared" si="337"/>
        <v>36</v>
      </c>
      <c r="DA254" s="612">
        <f t="shared" si="338"/>
        <v>33</v>
      </c>
      <c r="DB254" s="607">
        <f t="shared" si="339"/>
        <v>34</v>
      </c>
      <c r="DC254" s="606">
        <f t="shared" si="340"/>
        <v>35</v>
      </c>
      <c r="DD254" s="607">
        <f t="shared" si="341"/>
        <v>30</v>
      </c>
      <c r="DE254" s="606">
        <f t="shared" si="342"/>
        <v>25</v>
      </c>
      <c r="DF254" s="607">
        <f t="shared" si="343"/>
        <v>12</v>
      </c>
      <c r="DG254" s="606">
        <f t="shared" si="344"/>
        <v>10</v>
      </c>
      <c r="DH254" s="607">
        <f t="shared" si="345"/>
        <v>1</v>
      </c>
      <c r="DI254" s="608">
        <f t="shared" si="346"/>
        <v>5</v>
      </c>
      <c r="DJ254" s="607">
        <f t="shared" si="347"/>
        <v>0</v>
      </c>
      <c r="DK254" s="608">
        <f t="shared" si="348"/>
        <v>0</v>
      </c>
      <c r="DL254" s="607">
        <f t="shared" si="349"/>
        <v>113</v>
      </c>
      <c r="DM254" s="608">
        <f t="shared" si="350"/>
        <v>108</v>
      </c>
      <c r="DN254" s="607">
        <f t="shared" si="351"/>
        <v>2244132.9492631583</v>
      </c>
      <c r="DO254" s="612">
        <f t="shared" si="352"/>
        <v>1954898.2732919254</v>
      </c>
      <c r="DP254" s="607">
        <f t="shared" si="353"/>
        <v>1672518.565207317</v>
      </c>
      <c r="DQ254" s="606">
        <f t="shared" si="354"/>
        <v>1658087.167630058</v>
      </c>
      <c r="DR254" s="607">
        <f t="shared" si="355"/>
        <v>1345214.1625352113</v>
      </c>
      <c r="DS254" s="606">
        <f t="shared" si="356"/>
        <v>1095731.0999999999</v>
      </c>
      <c r="DT254" s="607">
        <f t="shared" si="357"/>
        <v>492898.27301694907</v>
      </c>
      <c r="DU254" s="606">
        <f t="shared" si="358"/>
        <v>485669.42307692306</v>
      </c>
      <c r="DV254" s="607">
        <f t="shared" si="359"/>
        <v>40082.727272727279</v>
      </c>
      <c r="DW254" s="608">
        <f t="shared" si="360"/>
        <v>83962.5</v>
      </c>
      <c r="DX254" s="607">
        <f t="shared" si="361"/>
        <v>0</v>
      </c>
      <c r="DY254" s="608">
        <f t="shared" si="362"/>
        <v>0</v>
      </c>
      <c r="DZ254" s="607">
        <f t="shared" si="363"/>
        <v>5794846.6772953635</v>
      </c>
      <c r="EA254" s="608">
        <f t="shared" si="364"/>
        <v>5278348.4639989063</v>
      </c>
    </row>
    <row r="255" spans="1:131" x14ac:dyDescent="0.2">
      <c r="A255" s="430" t="s">
        <v>38</v>
      </c>
      <c r="B255" s="431" t="s">
        <v>774</v>
      </c>
      <c r="C255" s="562"/>
      <c r="D255" s="432">
        <v>161864</v>
      </c>
      <c r="E255" s="418">
        <v>9</v>
      </c>
      <c r="F255" s="598">
        <v>20</v>
      </c>
      <c r="G255" s="599"/>
      <c r="H255" s="600"/>
      <c r="I255" s="601">
        <v>20</v>
      </c>
      <c r="J255" s="600"/>
      <c r="K255" s="599"/>
      <c r="L255" s="600"/>
      <c r="M255" s="601"/>
      <c r="N255" s="600">
        <v>21</v>
      </c>
      <c r="O255" s="599"/>
      <c r="P255" s="600"/>
      <c r="Q255" s="601">
        <v>18</v>
      </c>
      <c r="R255" s="600"/>
      <c r="S255" s="599"/>
      <c r="T255" s="600"/>
      <c r="U255" s="601"/>
      <c r="V255" s="600">
        <v>71</v>
      </c>
      <c r="W255" s="599"/>
      <c r="X255" s="600"/>
      <c r="Y255" s="601">
        <v>70</v>
      </c>
      <c r="Z255" s="600"/>
      <c r="AA255" s="599"/>
      <c r="AB255" s="600"/>
      <c r="AC255" s="601"/>
      <c r="AD255" s="600">
        <v>3</v>
      </c>
      <c r="AE255" s="599"/>
      <c r="AF255" s="600"/>
      <c r="AG255" s="601">
        <v>4</v>
      </c>
      <c r="AH255" s="600"/>
      <c r="AI255" s="599"/>
      <c r="AJ255" s="600"/>
      <c r="AK255" s="601"/>
      <c r="AL255" s="600"/>
      <c r="AM255" s="599"/>
      <c r="AN255" s="600"/>
      <c r="AO255" s="601"/>
      <c r="AP255" s="600"/>
      <c r="AQ255" s="599"/>
      <c r="AR255" s="600"/>
      <c r="AS255" s="601"/>
      <c r="AT255" s="600"/>
      <c r="AU255" s="599"/>
      <c r="AV255" s="600"/>
      <c r="AW255" s="601"/>
      <c r="AX255" s="600"/>
      <c r="AY255" s="599"/>
      <c r="AZ255" s="600"/>
      <c r="BA255" s="601"/>
      <c r="BB255" s="602">
        <v>1555399</v>
      </c>
      <c r="BC255" s="599">
        <v>1598341</v>
      </c>
      <c r="BD255" s="600">
        <v>1352501.997</v>
      </c>
      <c r="BE255" s="599">
        <v>1147927</v>
      </c>
      <c r="BF255" s="600">
        <v>3918999.9929999998</v>
      </c>
      <c r="BG255" s="599">
        <v>4081838</v>
      </c>
      <c r="BH255" s="600">
        <v>136599.99900000001</v>
      </c>
      <c r="BI255" s="599">
        <v>189654</v>
      </c>
      <c r="BJ255" s="600">
        <v>0</v>
      </c>
      <c r="BK255" s="615"/>
      <c r="BL255" s="600">
        <v>0</v>
      </c>
      <c r="BM255" s="604"/>
      <c r="BN255" s="605">
        <f t="shared" si="299"/>
        <v>180</v>
      </c>
      <c r="BO255" s="606">
        <f t="shared" si="300"/>
        <v>200</v>
      </c>
      <c r="BP255" s="607">
        <f t="shared" si="301"/>
        <v>189</v>
      </c>
      <c r="BQ255" s="606">
        <f t="shared" si="302"/>
        <v>180</v>
      </c>
      <c r="BR255" s="607">
        <f t="shared" si="303"/>
        <v>639</v>
      </c>
      <c r="BS255" s="606">
        <f t="shared" si="304"/>
        <v>700</v>
      </c>
      <c r="BT255" s="607">
        <f t="shared" si="305"/>
        <v>27</v>
      </c>
      <c r="BU255" s="606">
        <f t="shared" si="306"/>
        <v>40</v>
      </c>
      <c r="BV255" s="607">
        <f t="shared" si="307"/>
        <v>0</v>
      </c>
      <c r="BW255" s="608">
        <f t="shared" si="308"/>
        <v>0</v>
      </c>
      <c r="BX255" s="607">
        <f t="shared" si="309"/>
        <v>0</v>
      </c>
      <c r="BY255" s="608">
        <f t="shared" si="310"/>
        <v>0</v>
      </c>
      <c r="BZ255" s="607">
        <f t="shared" si="311"/>
        <v>8641.1055555555558</v>
      </c>
      <c r="CA255" s="608">
        <f t="shared" si="312"/>
        <v>7991.7049999999999</v>
      </c>
      <c r="CB255" s="607">
        <f t="shared" si="313"/>
        <v>7156.0952222222222</v>
      </c>
      <c r="CC255" s="608">
        <f t="shared" si="314"/>
        <v>6377.3722222222223</v>
      </c>
      <c r="CD255" s="607">
        <f t="shared" si="315"/>
        <v>6133.0203333333329</v>
      </c>
      <c r="CE255" s="608">
        <f t="shared" si="316"/>
        <v>5831.1971428571433</v>
      </c>
      <c r="CF255" s="607">
        <f t="shared" si="317"/>
        <v>5059.2592222222229</v>
      </c>
      <c r="CG255" s="608">
        <f t="shared" si="318"/>
        <v>4741.3500000000004</v>
      </c>
      <c r="CH255" s="607">
        <f t="shared" si="319"/>
        <v>0</v>
      </c>
      <c r="CI255" s="608">
        <f t="shared" si="320"/>
        <v>0</v>
      </c>
      <c r="CJ255" s="607">
        <f t="shared" si="321"/>
        <v>0</v>
      </c>
      <c r="CK255" s="608">
        <f t="shared" si="322"/>
        <v>0</v>
      </c>
      <c r="CL255" s="609">
        <f t="shared" si="323"/>
        <v>77769.95</v>
      </c>
      <c r="CM255" s="608">
        <f t="shared" si="324"/>
        <v>71925.345000000001</v>
      </c>
      <c r="CN255" s="610">
        <f t="shared" si="325"/>
        <v>64404.857000000004</v>
      </c>
      <c r="CO255" s="606">
        <f t="shared" si="326"/>
        <v>57396.35</v>
      </c>
      <c r="CP255" s="607">
        <f t="shared" si="327"/>
        <v>55197.182999999997</v>
      </c>
      <c r="CQ255" s="606">
        <f t="shared" si="328"/>
        <v>52480.774285714288</v>
      </c>
      <c r="CR255" s="607">
        <f t="shared" si="329"/>
        <v>45533.333000000006</v>
      </c>
      <c r="CS255" s="606">
        <f t="shared" si="330"/>
        <v>42672.15</v>
      </c>
      <c r="CT255" s="607">
        <f t="shared" si="331"/>
        <v>0</v>
      </c>
      <c r="CU255" s="608">
        <f t="shared" si="332"/>
        <v>0</v>
      </c>
      <c r="CV255" s="610">
        <f t="shared" si="333"/>
        <v>0</v>
      </c>
      <c r="CW255" s="608">
        <f t="shared" si="334"/>
        <v>0</v>
      </c>
      <c r="CX255" s="610">
        <f t="shared" si="335"/>
        <v>60552.182513043481</v>
      </c>
      <c r="CY255" s="611">
        <f t="shared" si="336"/>
        <v>56392.714285714283</v>
      </c>
      <c r="CZ255" s="605">
        <f t="shared" si="337"/>
        <v>20</v>
      </c>
      <c r="DA255" s="612">
        <f t="shared" si="338"/>
        <v>20</v>
      </c>
      <c r="DB255" s="607">
        <f t="shared" si="339"/>
        <v>21</v>
      </c>
      <c r="DC255" s="606">
        <f t="shared" si="340"/>
        <v>18</v>
      </c>
      <c r="DD255" s="607">
        <f t="shared" si="341"/>
        <v>71</v>
      </c>
      <c r="DE255" s="606">
        <f t="shared" si="342"/>
        <v>70</v>
      </c>
      <c r="DF255" s="607">
        <f t="shared" si="343"/>
        <v>3</v>
      </c>
      <c r="DG255" s="606">
        <f t="shared" si="344"/>
        <v>4</v>
      </c>
      <c r="DH255" s="607">
        <f t="shared" si="345"/>
        <v>0</v>
      </c>
      <c r="DI255" s="608">
        <f t="shared" si="346"/>
        <v>0</v>
      </c>
      <c r="DJ255" s="607">
        <f t="shared" si="347"/>
        <v>0</v>
      </c>
      <c r="DK255" s="608">
        <f t="shared" si="348"/>
        <v>0</v>
      </c>
      <c r="DL255" s="607">
        <f t="shared" si="349"/>
        <v>115</v>
      </c>
      <c r="DM255" s="608">
        <f t="shared" si="350"/>
        <v>112</v>
      </c>
      <c r="DN255" s="607">
        <f t="shared" si="351"/>
        <v>1555399</v>
      </c>
      <c r="DO255" s="612">
        <f t="shared" si="352"/>
        <v>1438506.9</v>
      </c>
      <c r="DP255" s="607">
        <f t="shared" si="353"/>
        <v>1352501.997</v>
      </c>
      <c r="DQ255" s="606">
        <f t="shared" si="354"/>
        <v>1033134.2999999999</v>
      </c>
      <c r="DR255" s="607">
        <f t="shared" si="355"/>
        <v>3918999.9929999998</v>
      </c>
      <c r="DS255" s="606">
        <f t="shared" si="356"/>
        <v>3673654.2</v>
      </c>
      <c r="DT255" s="607">
        <f t="shared" si="357"/>
        <v>136599.99900000001</v>
      </c>
      <c r="DU255" s="606">
        <f t="shared" si="358"/>
        <v>170688.6</v>
      </c>
      <c r="DV255" s="607">
        <f t="shared" si="359"/>
        <v>0</v>
      </c>
      <c r="DW255" s="608">
        <f t="shared" si="360"/>
        <v>0</v>
      </c>
      <c r="DX255" s="607">
        <f t="shared" si="361"/>
        <v>0</v>
      </c>
      <c r="DY255" s="608">
        <f t="shared" si="362"/>
        <v>0</v>
      </c>
      <c r="DZ255" s="607">
        <f t="shared" si="363"/>
        <v>6963500.9890000001</v>
      </c>
      <c r="EA255" s="608">
        <f t="shared" si="364"/>
        <v>6315984</v>
      </c>
    </row>
    <row r="256" spans="1:131" x14ac:dyDescent="0.2">
      <c r="A256" s="430" t="s">
        <v>38</v>
      </c>
      <c r="B256" s="437" t="s">
        <v>775</v>
      </c>
      <c r="C256" s="565"/>
      <c r="D256" s="438">
        <v>405872</v>
      </c>
      <c r="E256" s="418">
        <v>9</v>
      </c>
      <c r="F256" s="598">
        <v>6</v>
      </c>
      <c r="G256" s="599"/>
      <c r="H256" s="600"/>
      <c r="I256" s="601">
        <v>7</v>
      </c>
      <c r="J256" s="600"/>
      <c r="K256" s="599"/>
      <c r="L256" s="600"/>
      <c r="M256" s="601">
        <v>1</v>
      </c>
      <c r="N256" s="600">
        <v>19</v>
      </c>
      <c r="O256" s="599"/>
      <c r="P256" s="600"/>
      <c r="Q256" s="601">
        <v>20</v>
      </c>
      <c r="R256" s="600">
        <v>4</v>
      </c>
      <c r="S256" s="599"/>
      <c r="T256" s="600"/>
      <c r="U256" s="601">
        <v>3</v>
      </c>
      <c r="V256" s="600">
        <v>37</v>
      </c>
      <c r="W256" s="599"/>
      <c r="X256" s="600"/>
      <c r="Y256" s="601">
        <v>36</v>
      </c>
      <c r="Z256" s="600">
        <v>3</v>
      </c>
      <c r="AA256" s="599"/>
      <c r="AB256" s="600"/>
      <c r="AC256" s="601">
        <v>3</v>
      </c>
      <c r="AD256" s="600">
        <v>6</v>
      </c>
      <c r="AE256" s="599"/>
      <c r="AF256" s="600"/>
      <c r="AG256" s="601">
        <v>7</v>
      </c>
      <c r="AH256" s="600"/>
      <c r="AI256" s="599"/>
      <c r="AJ256" s="600"/>
      <c r="AK256" s="601"/>
      <c r="AL256" s="600"/>
      <c r="AM256" s="599"/>
      <c r="AN256" s="600"/>
      <c r="AO256" s="601"/>
      <c r="AP256" s="600"/>
      <c r="AQ256" s="599"/>
      <c r="AR256" s="600"/>
      <c r="AS256" s="601"/>
      <c r="AT256" s="600"/>
      <c r="AU256" s="599"/>
      <c r="AV256" s="600"/>
      <c r="AW256" s="601"/>
      <c r="AX256" s="600"/>
      <c r="AY256" s="599"/>
      <c r="AZ256" s="600"/>
      <c r="BA256" s="601"/>
      <c r="BB256" s="602">
        <v>376672.00199999998</v>
      </c>
      <c r="BC256" s="599">
        <v>533629</v>
      </c>
      <c r="BD256" s="600">
        <v>1468073.003</v>
      </c>
      <c r="BE256" s="599">
        <v>1454968</v>
      </c>
      <c r="BF256" s="600">
        <v>1990980.0180000002</v>
      </c>
      <c r="BG256" s="599">
        <v>1970576</v>
      </c>
      <c r="BH256" s="600">
        <v>299392.99800000002</v>
      </c>
      <c r="BI256" s="599">
        <v>304880</v>
      </c>
      <c r="BJ256" s="600">
        <v>0</v>
      </c>
      <c r="BK256" s="615"/>
      <c r="BL256" s="600">
        <v>0</v>
      </c>
      <c r="BM256" s="604"/>
      <c r="BN256" s="605">
        <f t="shared" si="299"/>
        <v>54</v>
      </c>
      <c r="BO256" s="606">
        <f t="shared" si="300"/>
        <v>82</v>
      </c>
      <c r="BP256" s="607">
        <f t="shared" si="301"/>
        <v>215</v>
      </c>
      <c r="BQ256" s="606">
        <f t="shared" si="302"/>
        <v>236</v>
      </c>
      <c r="BR256" s="607">
        <f t="shared" si="303"/>
        <v>366</v>
      </c>
      <c r="BS256" s="606">
        <f t="shared" si="304"/>
        <v>396</v>
      </c>
      <c r="BT256" s="607">
        <f t="shared" si="305"/>
        <v>54</v>
      </c>
      <c r="BU256" s="606">
        <f t="shared" si="306"/>
        <v>70</v>
      </c>
      <c r="BV256" s="607">
        <f t="shared" si="307"/>
        <v>0</v>
      </c>
      <c r="BW256" s="608">
        <f t="shared" si="308"/>
        <v>0</v>
      </c>
      <c r="BX256" s="607">
        <f t="shared" si="309"/>
        <v>0</v>
      </c>
      <c r="BY256" s="608">
        <f t="shared" si="310"/>
        <v>0</v>
      </c>
      <c r="BZ256" s="607">
        <f t="shared" si="311"/>
        <v>6975.4074444444441</v>
      </c>
      <c r="CA256" s="608">
        <f t="shared" si="312"/>
        <v>6507.6707317073169</v>
      </c>
      <c r="CB256" s="607">
        <f t="shared" si="313"/>
        <v>6828.2465255813959</v>
      </c>
      <c r="CC256" s="608">
        <f t="shared" si="314"/>
        <v>6165.1186440677966</v>
      </c>
      <c r="CD256" s="607">
        <f t="shared" si="315"/>
        <v>5439.8361147540991</v>
      </c>
      <c r="CE256" s="608">
        <f t="shared" si="316"/>
        <v>4976.2020202020203</v>
      </c>
      <c r="CF256" s="607">
        <f t="shared" si="317"/>
        <v>5544.3147777777785</v>
      </c>
      <c r="CG256" s="608">
        <f t="shared" si="318"/>
        <v>4355.4285714285716</v>
      </c>
      <c r="CH256" s="607">
        <f t="shared" si="319"/>
        <v>0</v>
      </c>
      <c r="CI256" s="608">
        <f t="shared" si="320"/>
        <v>0</v>
      </c>
      <c r="CJ256" s="607">
        <f t="shared" si="321"/>
        <v>0</v>
      </c>
      <c r="CK256" s="608">
        <f t="shared" si="322"/>
        <v>0</v>
      </c>
      <c r="CL256" s="609">
        <f t="shared" si="323"/>
        <v>62778.666999999994</v>
      </c>
      <c r="CM256" s="608">
        <f t="shared" si="324"/>
        <v>58569.036585365851</v>
      </c>
      <c r="CN256" s="610">
        <f t="shared" si="325"/>
        <v>61454.218730232562</v>
      </c>
      <c r="CO256" s="606">
        <f t="shared" si="326"/>
        <v>55486.067796610172</v>
      </c>
      <c r="CP256" s="607">
        <f t="shared" si="327"/>
        <v>48958.525032786893</v>
      </c>
      <c r="CQ256" s="606">
        <f t="shared" si="328"/>
        <v>44785.818181818184</v>
      </c>
      <c r="CR256" s="607">
        <f t="shared" si="329"/>
        <v>49898.833000000006</v>
      </c>
      <c r="CS256" s="606">
        <f t="shared" si="330"/>
        <v>39198.857142857145</v>
      </c>
      <c r="CT256" s="607">
        <f t="shared" si="331"/>
        <v>0</v>
      </c>
      <c r="CU256" s="608">
        <f t="shared" si="332"/>
        <v>0</v>
      </c>
      <c r="CV256" s="610">
        <f t="shared" si="333"/>
        <v>0</v>
      </c>
      <c r="CW256" s="608">
        <f t="shared" si="334"/>
        <v>0</v>
      </c>
      <c r="CX256" s="610">
        <f t="shared" si="335"/>
        <v>53971.373761424329</v>
      </c>
      <c r="CY256" s="611">
        <f t="shared" si="336"/>
        <v>48906.11378046585</v>
      </c>
      <c r="CZ256" s="605">
        <f t="shared" si="337"/>
        <v>6</v>
      </c>
      <c r="DA256" s="612">
        <f t="shared" si="338"/>
        <v>8</v>
      </c>
      <c r="DB256" s="607">
        <f t="shared" si="339"/>
        <v>23</v>
      </c>
      <c r="DC256" s="606">
        <f t="shared" si="340"/>
        <v>23</v>
      </c>
      <c r="DD256" s="607">
        <f t="shared" si="341"/>
        <v>40</v>
      </c>
      <c r="DE256" s="606">
        <f t="shared" si="342"/>
        <v>39</v>
      </c>
      <c r="DF256" s="607">
        <f t="shared" si="343"/>
        <v>6</v>
      </c>
      <c r="DG256" s="606">
        <f t="shared" si="344"/>
        <v>7</v>
      </c>
      <c r="DH256" s="607">
        <f t="shared" si="345"/>
        <v>0</v>
      </c>
      <c r="DI256" s="608">
        <f t="shared" si="346"/>
        <v>0</v>
      </c>
      <c r="DJ256" s="607">
        <f t="shared" si="347"/>
        <v>0</v>
      </c>
      <c r="DK256" s="608">
        <f t="shared" si="348"/>
        <v>0</v>
      </c>
      <c r="DL256" s="607">
        <f t="shared" si="349"/>
        <v>75</v>
      </c>
      <c r="DM256" s="608">
        <f t="shared" si="350"/>
        <v>77</v>
      </c>
      <c r="DN256" s="607">
        <f t="shared" si="351"/>
        <v>376672.00199999998</v>
      </c>
      <c r="DO256" s="612">
        <f t="shared" si="352"/>
        <v>468552.29268292681</v>
      </c>
      <c r="DP256" s="607">
        <f t="shared" si="353"/>
        <v>1413447.0307953488</v>
      </c>
      <c r="DQ256" s="606">
        <f t="shared" si="354"/>
        <v>1276179.559322034</v>
      </c>
      <c r="DR256" s="607">
        <f t="shared" si="355"/>
        <v>1958341.0013114756</v>
      </c>
      <c r="DS256" s="606">
        <f t="shared" si="356"/>
        <v>1746646.9090909092</v>
      </c>
      <c r="DT256" s="607">
        <f t="shared" si="357"/>
        <v>299392.99800000002</v>
      </c>
      <c r="DU256" s="606">
        <f t="shared" si="358"/>
        <v>274392</v>
      </c>
      <c r="DV256" s="607">
        <f t="shared" si="359"/>
        <v>0</v>
      </c>
      <c r="DW256" s="608">
        <f t="shared" si="360"/>
        <v>0</v>
      </c>
      <c r="DX256" s="607">
        <f t="shared" si="361"/>
        <v>0</v>
      </c>
      <c r="DY256" s="608">
        <f t="shared" si="362"/>
        <v>0</v>
      </c>
      <c r="DZ256" s="607">
        <f t="shared" si="363"/>
        <v>4047853.0321068247</v>
      </c>
      <c r="EA256" s="608">
        <f t="shared" si="364"/>
        <v>3765770.7610958703</v>
      </c>
    </row>
    <row r="257" spans="1:131" x14ac:dyDescent="0.2">
      <c r="A257" s="430" t="s">
        <v>38</v>
      </c>
      <c r="B257" s="431" t="s">
        <v>776</v>
      </c>
      <c r="C257" s="562"/>
      <c r="D257" s="432">
        <v>162557</v>
      </c>
      <c r="E257" s="418">
        <v>9</v>
      </c>
      <c r="F257" s="598">
        <v>22</v>
      </c>
      <c r="G257" s="599"/>
      <c r="H257" s="600"/>
      <c r="I257" s="601">
        <v>24</v>
      </c>
      <c r="J257" s="600">
        <v>1</v>
      </c>
      <c r="K257" s="599"/>
      <c r="L257" s="600"/>
      <c r="M257" s="601">
        <v>3</v>
      </c>
      <c r="N257" s="600">
        <v>17</v>
      </c>
      <c r="O257" s="599"/>
      <c r="P257" s="600"/>
      <c r="Q257" s="601">
        <v>19</v>
      </c>
      <c r="R257" s="600">
        <v>1</v>
      </c>
      <c r="S257" s="599"/>
      <c r="T257" s="600"/>
      <c r="U257" s="601"/>
      <c r="V257" s="600">
        <v>55</v>
      </c>
      <c r="W257" s="599"/>
      <c r="X257" s="600"/>
      <c r="Y257" s="601">
        <v>51</v>
      </c>
      <c r="Z257" s="600">
        <v>1</v>
      </c>
      <c r="AA257" s="599"/>
      <c r="AB257" s="600"/>
      <c r="AC257" s="601"/>
      <c r="AD257" s="600"/>
      <c r="AE257" s="599"/>
      <c r="AF257" s="600"/>
      <c r="AG257" s="601"/>
      <c r="AH257" s="600"/>
      <c r="AI257" s="599"/>
      <c r="AJ257" s="600"/>
      <c r="AK257" s="601"/>
      <c r="AL257" s="600"/>
      <c r="AM257" s="599"/>
      <c r="AN257" s="600"/>
      <c r="AO257" s="601"/>
      <c r="AP257" s="600"/>
      <c r="AQ257" s="599"/>
      <c r="AR257" s="600"/>
      <c r="AS257" s="601"/>
      <c r="AT257" s="600"/>
      <c r="AU257" s="599"/>
      <c r="AV257" s="600"/>
      <c r="AW257" s="601"/>
      <c r="AX257" s="600"/>
      <c r="AY257" s="599"/>
      <c r="AZ257" s="600"/>
      <c r="BA257" s="601"/>
      <c r="BB257" s="602">
        <v>1926023.99</v>
      </c>
      <c r="BC257" s="599">
        <v>2349043</v>
      </c>
      <c r="BD257" s="600">
        <v>1332163.993</v>
      </c>
      <c r="BE257" s="599">
        <v>1374176</v>
      </c>
      <c r="BF257" s="600">
        <v>3279928</v>
      </c>
      <c r="BG257" s="599">
        <v>3075398</v>
      </c>
      <c r="BH257" s="600">
        <v>0</v>
      </c>
      <c r="BI257" s="599"/>
      <c r="BJ257" s="600">
        <v>0</v>
      </c>
      <c r="BK257" s="615"/>
      <c r="BL257" s="600">
        <v>0</v>
      </c>
      <c r="BM257" s="604"/>
      <c r="BN257" s="605">
        <f t="shared" si="299"/>
        <v>209</v>
      </c>
      <c r="BO257" s="606">
        <f t="shared" si="300"/>
        <v>276</v>
      </c>
      <c r="BP257" s="607">
        <f t="shared" si="301"/>
        <v>164</v>
      </c>
      <c r="BQ257" s="606">
        <f t="shared" si="302"/>
        <v>190</v>
      </c>
      <c r="BR257" s="607">
        <f t="shared" si="303"/>
        <v>506</v>
      </c>
      <c r="BS257" s="606">
        <f t="shared" si="304"/>
        <v>510</v>
      </c>
      <c r="BT257" s="607">
        <f t="shared" si="305"/>
        <v>0</v>
      </c>
      <c r="BU257" s="606">
        <f t="shared" si="306"/>
        <v>0</v>
      </c>
      <c r="BV257" s="607">
        <f t="shared" si="307"/>
        <v>0</v>
      </c>
      <c r="BW257" s="608">
        <f t="shared" si="308"/>
        <v>0</v>
      </c>
      <c r="BX257" s="607">
        <f t="shared" si="309"/>
        <v>0</v>
      </c>
      <c r="BY257" s="608">
        <f t="shared" si="310"/>
        <v>0</v>
      </c>
      <c r="BZ257" s="607">
        <f t="shared" si="311"/>
        <v>9215.4257894736838</v>
      </c>
      <c r="CA257" s="608">
        <f t="shared" si="312"/>
        <v>8511.0253623188401</v>
      </c>
      <c r="CB257" s="607">
        <f t="shared" si="313"/>
        <v>8122.9511768292687</v>
      </c>
      <c r="CC257" s="608">
        <f t="shared" si="314"/>
        <v>7232.5052631578947</v>
      </c>
      <c r="CD257" s="607">
        <f t="shared" si="315"/>
        <v>6482.071146245059</v>
      </c>
      <c r="CE257" s="608">
        <f t="shared" si="316"/>
        <v>6030.1921568627449</v>
      </c>
      <c r="CF257" s="607">
        <f t="shared" si="317"/>
        <v>0</v>
      </c>
      <c r="CG257" s="608">
        <f t="shared" si="318"/>
        <v>0</v>
      </c>
      <c r="CH257" s="607">
        <f t="shared" si="319"/>
        <v>0</v>
      </c>
      <c r="CI257" s="608">
        <f t="shared" si="320"/>
        <v>0</v>
      </c>
      <c r="CJ257" s="607">
        <f t="shared" si="321"/>
        <v>0</v>
      </c>
      <c r="CK257" s="608">
        <f t="shared" si="322"/>
        <v>0</v>
      </c>
      <c r="CL257" s="609">
        <f t="shared" si="323"/>
        <v>82938.832105263151</v>
      </c>
      <c r="CM257" s="608">
        <f t="shared" si="324"/>
        <v>76599.228260869568</v>
      </c>
      <c r="CN257" s="610">
        <f t="shared" si="325"/>
        <v>73106.560591463422</v>
      </c>
      <c r="CO257" s="606">
        <f t="shared" si="326"/>
        <v>65092.547368421052</v>
      </c>
      <c r="CP257" s="607">
        <f t="shared" si="327"/>
        <v>58338.640316205529</v>
      </c>
      <c r="CQ257" s="606">
        <f t="shared" si="328"/>
        <v>54271.729411764703</v>
      </c>
      <c r="CR257" s="607">
        <f t="shared" si="329"/>
        <v>0</v>
      </c>
      <c r="CS257" s="606">
        <f t="shared" si="330"/>
        <v>0</v>
      </c>
      <c r="CT257" s="607">
        <f t="shared" si="331"/>
        <v>0</v>
      </c>
      <c r="CU257" s="608">
        <f t="shared" si="332"/>
        <v>0</v>
      </c>
      <c r="CV257" s="610">
        <f t="shared" si="333"/>
        <v>0</v>
      </c>
      <c r="CW257" s="608">
        <f t="shared" si="334"/>
        <v>0</v>
      </c>
      <c r="CX257" s="610">
        <f t="shared" si="335"/>
        <v>66912.114296648491</v>
      </c>
      <c r="CY257" s="611">
        <f t="shared" si="336"/>
        <v>62606.141887046164</v>
      </c>
      <c r="CZ257" s="605">
        <f t="shared" si="337"/>
        <v>23</v>
      </c>
      <c r="DA257" s="612">
        <f t="shared" si="338"/>
        <v>27</v>
      </c>
      <c r="DB257" s="607">
        <f t="shared" si="339"/>
        <v>18</v>
      </c>
      <c r="DC257" s="606">
        <f t="shared" si="340"/>
        <v>19</v>
      </c>
      <c r="DD257" s="607">
        <f t="shared" si="341"/>
        <v>56</v>
      </c>
      <c r="DE257" s="606">
        <f t="shared" si="342"/>
        <v>51</v>
      </c>
      <c r="DF257" s="607">
        <f t="shared" si="343"/>
        <v>0</v>
      </c>
      <c r="DG257" s="606">
        <f t="shared" si="344"/>
        <v>0</v>
      </c>
      <c r="DH257" s="607">
        <f t="shared" si="345"/>
        <v>0</v>
      </c>
      <c r="DI257" s="608">
        <f t="shared" si="346"/>
        <v>0</v>
      </c>
      <c r="DJ257" s="607">
        <f t="shared" si="347"/>
        <v>0</v>
      </c>
      <c r="DK257" s="608">
        <f t="shared" si="348"/>
        <v>0</v>
      </c>
      <c r="DL257" s="607">
        <f t="shared" si="349"/>
        <v>97</v>
      </c>
      <c r="DM257" s="608">
        <f t="shared" si="350"/>
        <v>97</v>
      </c>
      <c r="DN257" s="607">
        <f t="shared" si="351"/>
        <v>1907593.1384210524</v>
      </c>
      <c r="DO257" s="612">
        <f t="shared" si="352"/>
        <v>2068179.1630434783</v>
      </c>
      <c r="DP257" s="607">
        <f t="shared" si="353"/>
        <v>1315918.0906463417</v>
      </c>
      <c r="DQ257" s="606">
        <f t="shared" si="354"/>
        <v>1236758.3999999999</v>
      </c>
      <c r="DR257" s="607">
        <f t="shared" si="355"/>
        <v>3266963.8577075098</v>
      </c>
      <c r="DS257" s="606">
        <f t="shared" si="356"/>
        <v>2767858.1999999997</v>
      </c>
      <c r="DT257" s="607">
        <f t="shared" si="357"/>
        <v>0</v>
      </c>
      <c r="DU257" s="606">
        <f t="shared" si="358"/>
        <v>0</v>
      </c>
      <c r="DV257" s="607">
        <f t="shared" si="359"/>
        <v>0</v>
      </c>
      <c r="DW257" s="608">
        <f t="shared" si="360"/>
        <v>0</v>
      </c>
      <c r="DX257" s="607">
        <f t="shared" si="361"/>
        <v>0</v>
      </c>
      <c r="DY257" s="608">
        <f t="shared" si="362"/>
        <v>0</v>
      </c>
      <c r="DZ257" s="607">
        <f t="shared" si="363"/>
        <v>6490475.0867749033</v>
      </c>
      <c r="EA257" s="608">
        <f t="shared" si="364"/>
        <v>6072795.7630434781</v>
      </c>
    </row>
    <row r="258" spans="1:131" x14ac:dyDescent="0.2">
      <c r="A258" s="493" t="s">
        <v>38</v>
      </c>
      <c r="B258" s="431" t="s">
        <v>777</v>
      </c>
      <c r="C258" s="562"/>
      <c r="D258" s="435">
        <v>162690</v>
      </c>
      <c r="E258" s="418">
        <v>9</v>
      </c>
      <c r="F258" s="598">
        <v>13</v>
      </c>
      <c r="G258" s="599"/>
      <c r="H258" s="600"/>
      <c r="I258" s="601">
        <v>11</v>
      </c>
      <c r="J258" s="600">
        <v>2</v>
      </c>
      <c r="K258" s="599">
        <v>1</v>
      </c>
      <c r="L258" s="600"/>
      <c r="M258" s="601"/>
      <c r="N258" s="600">
        <v>12</v>
      </c>
      <c r="O258" s="599"/>
      <c r="P258" s="600"/>
      <c r="Q258" s="601">
        <v>11</v>
      </c>
      <c r="R258" s="600">
        <v>1</v>
      </c>
      <c r="S258" s="599"/>
      <c r="T258" s="600"/>
      <c r="U258" s="601"/>
      <c r="V258" s="600">
        <v>23</v>
      </c>
      <c r="W258" s="599"/>
      <c r="X258" s="600"/>
      <c r="Y258" s="601">
        <v>21</v>
      </c>
      <c r="Z258" s="600">
        <v>2</v>
      </c>
      <c r="AA258" s="599">
        <v>3</v>
      </c>
      <c r="AB258" s="600"/>
      <c r="AC258" s="601"/>
      <c r="AD258" s="600">
        <v>14</v>
      </c>
      <c r="AE258" s="599"/>
      <c r="AF258" s="600"/>
      <c r="AG258" s="601">
        <v>23</v>
      </c>
      <c r="AH258" s="600">
        <v>9</v>
      </c>
      <c r="AI258" s="599">
        <v>10</v>
      </c>
      <c r="AJ258" s="600"/>
      <c r="AK258" s="601"/>
      <c r="AL258" s="600"/>
      <c r="AM258" s="599"/>
      <c r="AN258" s="600"/>
      <c r="AO258" s="601"/>
      <c r="AP258" s="600"/>
      <c r="AQ258" s="599"/>
      <c r="AR258" s="600"/>
      <c r="AS258" s="601"/>
      <c r="AT258" s="600"/>
      <c r="AU258" s="599"/>
      <c r="AV258" s="600"/>
      <c r="AW258" s="601"/>
      <c r="AX258" s="600"/>
      <c r="AY258" s="599"/>
      <c r="AZ258" s="600"/>
      <c r="BA258" s="601"/>
      <c r="BB258" s="602">
        <v>1167565.0049999999</v>
      </c>
      <c r="BC258" s="599">
        <v>909791</v>
      </c>
      <c r="BD258" s="600">
        <v>755457</v>
      </c>
      <c r="BE258" s="599">
        <v>641771</v>
      </c>
      <c r="BF258" s="600">
        <v>1347187.9890000001</v>
      </c>
      <c r="BG258" s="599">
        <v>1326816</v>
      </c>
      <c r="BH258" s="600">
        <v>1129542.9990000001</v>
      </c>
      <c r="BI258" s="599">
        <v>1635020</v>
      </c>
      <c r="BJ258" s="600">
        <v>0</v>
      </c>
      <c r="BK258" s="615"/>
      <c r="BL258" s="600">
        <v>0</v>
      </c>
      <c r="BM258" s="604"/>
      <c r="BN258" s="605">
        <f t="shared" si="299"/>
        <v>139</v>
      </c>
      <c r="BO258" s="606">
        <f t="shared" si="300"/>
        <v>121</v>
      </c>
      <c r="BP258" s="607">
        <f t="shared" si="301"/>
        <v>119</v>
      </c>
      <c r="BQ258" s="606">
        <f t="shared" si="302"/>
        <v>110</v>
      </c>
      <c r="BR258" s="607">
        <f t="shared" si="303"/>
        <v>229</v>
      </c>
      <c r="BS258" s="606">
        <f t="shared" si="304"/>
        <v>243</v>
      </c>
      <c r="BT258" s="607">
        <f t="shared" si="305"/>
        <v>225</v>
      </c>
      <c r="BU258" s="606">
        <f t="shared" si="306"/>
        <v>340</v>
      </c>
      <c r="BV258" s="607">
        <f t="shared" si="307"/>
        <v>0</v>
      </c>
      <c r="BW258" s="608">
        <f t="shared" si="308"/>
        <v>0</v>
      </c>
      <c r="BX258" s="607">
        <f t="shared" si="309"/>
        <v>0</v>
      </c>
      <c r="BY258" s="608">
        <f t="shared" si="310"/>
        <v>0</v>
      </c>
      <c r="BZ258" s="607">
        <f t="shared" si="311"/>
        <v>8399.7482374100709</v>
      </c>
      <c r="CA258" s="608">
        <f t="shared" si="312"/>
        <v>7518.9338842975203</v>
      </c>
      <c r="CB258" s="607">
        <f t="shared" si="313"/>
        <v>6348.3781512605046</v>
      </c>
      <c r="CC258" s="608">
        <f t="shared" si="314"/>
        <v>5834.2818181818184</v>
      </c>
      <c r="CD258" s="607">
        <f t="shared" si="315"/>
        <v>5882.9169825327517</v>
      </c>
      <c r="CE258" s="608">
        <f t="shared" si="316"/>
        <v>5460.1481481481478</v>
      </c>
      <c r="CF258" s="607">
        <f t="shared" si="317"/>
        <v>5020.1911066666671</v>
      </c>
      <c r="CG258" s="608">
        <f t="shared" si="318"/>
        <v>4808.8823529411766</v>
      </c>
      <c r="CH258" s="607">
        <f t="shared" si="319"/>
        <v>0</v>
      </c>
      <c r="CI258" s="608">
        <f t="shared" si="320"/>
        <v>0</v>
      </c>
      <c r="CJ258" s="607">
        <f t="shared" si="321"/>
        <v>0</v>
      </c>
      <c r="CK258" s="608">
        <f t="shared" si="322"/>
        <v>0</v>
      </c>
      <c r="CL258" s="609">
        <f t="shared" si="323"/>
        <v>75597.734136690633</v>
      </c>
      <c r="CM258" s="608">
        <f t="shared" si="324"/>
        <v>67670.404958677682</v>
      </c>
      <c r="CN258" s="610">
        <f t="shared" si="325"/>
        <v>57135.403361344543</v>
      </c>
      <c r="CO258" s="606">
        <f t="shared" si="326"/>
        <v>52508.536363636362</v>
      </c>
      <c r="CP258" s="607">
        <f t="shared" si="327"/>
        <v>52946.252842794769</v>
      </c>
      <c r="CQ258" s="606">
        <f t="shared" si="328"/>
        <v>49141.333333333328</v>
      </c>
      <c r="CR258" s="607">
        <f t="shared" si="329"/>
        <v>45181.719960000002</v>
      </c>
      <c r="CS258" s="606">
        <f t="shared" si="330"/>
        <v>43279.941176470587</v>
      </c>
      <c r="CT258" s="607">
        <f t="shared" si="331"/>
        <v>0</v>
      </c>
      <c r="CU258" s="608">
        <f t="shared" si="332"/>
        <v>0</v>
      </c>
      <c r="CV258" s="610">
        <f t="shared" si="333"/>
        <v>0</v>
      </c>
      <c r="CW258" s="608">
        <f t="shared" si="334"/>
        <v>0</v>
      </c>
      <c r="CX258" s="610">
        <f t="shared" si="335"/>
        <v>55783.712314443517</v>
      </c>
      <c r="CY258" s="611">
        <f t="shared" si="336"/>
        <v>49965.860229095772</v>
      </c>
      <c r="CZ258" s="605">
        <f t="shared" si="337"/>
        <v>15</v>
      </c>
      <c r="DA258" s="612">
        <f t="shared" si="338"/>
        <v>12</v>
      </c>
      <c r="DB258" s="607">
        <f t="shared" si="339"/>
        <v>13</v>
      </c>
      <c r="DC258" s="606">
        <f t="shared" si="340"/>
        <v>11</v>
      </c>
      <c r="DD258" s="607">
        <f t="shared" si="341"/>
        <v>25</v>
      </c>
      <c r="DE258" s="606">
        <f t="shared" si="342"/>
        <v>24</v>
      </c>
      <c r="DF258" s="607">
        <f t="shared" si="343"/>
        <v>23</v>
      </c>
      <c r="DG258" s="606">
        <f t="shared" si="344"/>
        <v>33</v>
      </c>
      <c r="DH258" s="607">
        <f t="shared" si="345"/>
        <v>0</v>
      </c>
      <c r="DI258" s="608">
        <f t="shared" si="346"/>
        <v>0</v>
      </c>
      <c r="DJ258" s="607">
        <f t="shared" si="347"/>
        <v>0</v>
      </c>
      <c r="DK258" s="608">
        <f t="shared" si="348"/>
        <v>0</v>
      </c>
      <c r="DL258" s="607">
        <f t="shared" si="349"/>
        <v>76</v>
      </c>
      <c r="DM258" s="608">
        <f t="shared" si="350"/>
        <v>80</v>
      </c>
      <c r="DN258" s="607">
        <f t="shared" si="351"/>
        <v>1133966.0120503595</v>
      </c>
      <c r="DO258" s="612">
        <f t="shared" si="352"/>
        <v>812044.85950413218</v>
      </c>
      <c r="DP258" s="607">
        <f t="shared" si="353"/>
        <v>742760.24369747902</v>
      </c>
      <c r="DQ258" s="606">
        <f t="shared" si="354"/>
        <v>577593.9</v>
      </c>
      <c r="DR258" s="607">
        <f t="shared" si="355"/>
        <v>1323656.3210698692</v>
      </c>
      <c r="DS258" s="606">
        <f t="shared" si="356"/>
        <v>1179392</v>
      </c>
      <c r="DT258" s="607">
        <f t="shared" si="357"/>
        <v>1039179.55908</v>
      </c>
      <c r="DU258" s="606">
        <f t="shared" si="358"/>
        <v>1428238.0588235294</v>
      </c>
      <c r="DV258" s="607">
        <f t="shared" si="359"/>
        <v>0</v>
      </c>
      <c r="DW258" s="608">
        <f t="shared" si="360"/>
        <v>0</v>
      </c>
      <c r="DX258" s="607">
        <f t="shared" si="361"/>
        <v>0</v>
      </c>
      <c r="DY258" s="608">
        <f t="shared" si="362"/>
        <v>0</v>
      </c>
      <c r="DZ258" s="607">
        <f t="shared" si="363"/>
        <v>4239562.1358977072</v>
      </c>
      <c r="EA258" s="608">
        <f t="shared" si="364"/>
        <v>3997268.8183276616</v>
      </c>
    </row>
    <row r="259" spans="1:131" x14ac:dyDescent="0.2">
      <c r="A259" s="480" t="s">
        <v>38</v>
      </c>
      <c r="B259" s="431" t="s">
        <v>778</v>
      </c>
      <c r="C259" s="562"/>
      <c r="D259" s="432">
        <v>162706</v>
      </c>
      <c r="E259" s="418">
        <v>9</v>
      </c>
      <c r="F259" s="598">
        <v>17</v>
      </c>
      <c r="G259" s="599"/>
      <c r="H259" s="600"/>
      <c r="I259" s="601">
        <v>19</v>
      </c>
      <c r="J259" s="600"/>
      <c r="K259" s="599"/>
      <c r="L259" s="600"/>
      <c r="M259" s="601"/>
      <c r="N259" s="600">
        <v>26</v>
      </c>
      <c r="O259" s="599"/>
      <c r="P259" s="600"/>
      <c r="Q259" s="601">
        <v>25</v>
      </c>
      <c r="R259" s="600">
        <v>1</v>
      </c>
      <c r="S259" s="599"/>
      <c r="T259" s="600"/>
      <c r="U259" s="601">
        <v>1</v>
      </c>
      <c r="V259" s="600">
        <v>18</v>
      </c>
      <c r="W259" s="599"/>
      <c r="X259" s="600"/>
      <c r="Y259" s="601">
        <v>21</v>
      </c>
      <c r="Z259" s="600"/>
      <c r="AA259" s="599"/>
      <c r="AB259" s="600"/>
      <c r="AC259" s="601"/>
      <c r="AD259" s="600"/>
      <c r="AE259" s="599"/>
      <c r="AF259" s="600"/>
      <c r="AG259" s="601"/>
      <c r="AH259" s="600"/>
      <c r="AI259" s="599"/>
      <c r="AJ259" s="600"/>
      <c r="AK259" s="601"/>
      <c r="AL259" s="600"/>
      <c r="AM259" s="599">
        <v>37</v>
      </c>
      <c r="AN259" s="600"/>
      <c r="AO259" s="601"/>
      <c r="AP259" s="600">
        <v>1</v>
      </c>
      <c r="AQ259" s="599"/>
      <c r="AR259" s="600"/>
      <c r="AS259" s="601">
        <v>3</v>
      </c>
      <c r="AT259" s="600"/>
      <c r="AU259" s="599"/>
      <c r="AV259" s="600"/>
      <c r="AW259" s="601"/>
      <c r="AX259" s="600"/>
      <c r="AY259" s="599"/>
      <c r="AZ259" s="600"/>
      <c r="BA259" s="601"/>
      <c r="BB259" s="602">
        <v>1421361.007</v>
      </c>
      <c r="BC259" s="599">
        <v>1583283</v>
      </c>
      <c r="BD259" s="600">
        <v>1802500.0020000001</v>
      </c>
      <c r="BE259" s="599">
        <v>1764078</v>
      </c>
      <c r="BF259" s="600">
        <v>943342.00200000009</v>
      </c>
      <c r="BG259" s="599">
        <v>1103768</v>
      </c>
      <c r="BH259" s="600">
        <v>0</v>
      </c>
      <c r="BI259" s="599"/>
      <c r="BJ259" s="600">
        <v>53040</v>
      </c>
      <c r="BK259" s="615">
        <v>1912423</v>
      </c>
      <c r="BL259" s="600">
        <v>0</v>
      </c>
      <c r="BM259" s="604"/>
      <c r="BN259" s="605">
        <f t="shared" si="299"/>
        <v>153</v>
      </c>
      <c r="BO259" s="606">
        <f t="shared" si="300"/>
        <v>190</v>
      </c>
      <c r="BP259" s="607">
        <f t="shared" si="301"/>
        <v>245</v>
      </c>
      <c r="BQ259" s="606">
        <f t="shared" si="302"/>
        <v>262</v>
      </c>
      <c r="BR259" s="607">
        <f t="shared" si="303"/>
        <v>162</v>
      </c>
      <c r="BS259" s="606">
        <f t="shared" si="304"/>
        <v>210</v>
      </c>
      <c r="BT259" s="607">
        <f t="shared" si="305"/>
        <v>0</v>
      </c>
      <c r="BU259" s="606">
        <f t="shared" si="306"/>
        <v>0</v>
      </c>
      <c r="BV259" s="607">
        <f t="shared" si="307"/>
        <v>11</v>
      </c>
      <c r="BW259" s="608">
        <f t="shared" si="308"/>
        <v>369</v>
      </c>
      <c r="BX259" s="607">
        <f t="shared" si="309"/>
        <v>0</v>
      </c>
      <c r="BY259" s="608">
        <f t="shared" si="310"/>
        <v>0</v>
      </c>
      <c r="BZ259" s="607">
        <f t="shared" si="311"/>
        <v>9289.9412222222218</v>
      </c>
      <c r="CA259" s="608">
        <f t="shared" si="312"/>
        <v>8333.0684210526324</v>
      </c>
      <c r="CB259" s="607">
        <f t="shared" si="313"/>
        <v>7357.142865306123</v>
      </c>
      <c r="CC259" s="608">
        <f t="shared" si="314"/>
        <v>6733.1221374045799</v>
      </c>
      <c r="CD259" s="607">
        <f t="shared" si="315"/>
        <v>5823.0987777777782</v>
      </c>
      <c r="CE259" s="608">
        <f t="shared" si="316"/>
        <v>5256.0380952380956</v>
      </c>
      <c r="CF259" s="607">
        <f t="shared" si="317"/>
        <v>0</v>
      </c>
      <c r="CG259" s="608">
        <f t="shared" si="318"/>
        <v>0</v>
      </c>
      <c r="CH259" s="607">
        <f t="shared" si="319"/>
        <v>4821.818181818182</v>
      </c>
      <c r="CI259" s="608">
        <f t="shared" si="320"/>
        <v>5182.7181571815718</v>
      </c>
      <c r="CJ259" s="607">
        <f t="shared" si="321"/>
        <v>0</v>
      </c>
      <c r="CK259" s="608">
        <f t="shared" si="322"/>
        <v>0</v>
      </c>
      <c r="CL259" s="609">
        <f t="shared" si="323"/>
        <v>83609.47099999999</v>
      </c>
      <c r="CM259" s="608">
        <f t="shared" si="324"/>
        <v>74997.615789473697</v>
      </c>
      <c r="CN259" s="610">
        <f t="shared" si="325"/>
        <v>66214.2857877551</v>
      </c>
      <c r="CO259" s="606">
        <f t="shared" si="326"/>
        <v>60598.099236641217</v>
      </c>
      <c r="CP259" s="607">
        <f t="shared" si="327"/>
        <v>52407.889000000003</v>
      </c>
      <c r="CQ259" s="606">
        <f t="shared" si="328"/>
        <v>47304.342857142859</v>
      </c>
      <c r="CR259" s="607">
        <f t="shared" si="329"/>
        <v>0</v>
      </c>
      <c r="CS259" s="606">
        <f t="shared" si="330"/>
        <v>0</v>
      </c>
      <c r="CT259" s="607">
        <f t="shared" si="331"/>
        <v>43396.36363636364</v>
      </c>
      <c r="CU259" s="608">
        <f t="shared" si="332"/>
        <v>46644.463414634149</v>
      </c>
      <c r="CV259" s="610">
        <f t="shared" si="333"/>
        <v>0</v>
      </c>
      <c r="CW259" s="608">
        <f t="shared" si="334"/>
        <v>0</v>
      </c>
      <c r="CX259" s="610">
        <f t="shared" si="335"/>
        <v>66601.350617551594</v>
      </c>
      <c r="CY259" s="611">
        <f t="shared" si="336"/>
        <v>55279.952988094701</v>
      </c>
      <c r="CZ259" s="605">
        <f t="shared" si="337"/>
        <v>17</v>
      </c>
      <c r="DA259" s="612">
        <f t="shared" si="338"/>
        <v>19</v>
      </c>
      <c r="DB259" s="607">
        <f t="shared" si="339"/>
        <v>27</v>
      </c>
      <c r="DC259" s="606">
        <f t="shared" si="340"/>
        <v>26</v>
      </c>
      <c r="DD259" s="607">
        <f t="shared" si="341"/>
        <v>18</v>
      </c>
      <c r="DE259" s="606">
        <f t="shared" si="342"/>
        <v>21</v>
      </c>
      <c r="DF259" s="607">
        <f t="shared" si="343"/>
        <v>0</v>
      </c>
      <c r="DG259" s="606">
        <f t="shared" si="344"/>
        <v>0</v>
      </c>
      <c r="DH259" s="607">
        <f t="shared" si="345"/>
        <v>1</v>
      </c>
      <c r="DI259" s="608">
        <f t="shared" si="346"/>
        <v>40</v>
      </c>
      <c r="DJ259" s="607">
        <f t="shared" si="347"/>
        <v>0</v>
      </c>
      <c r="DK259" s="608">
        <f t="shared" si="348"/>
        <v>0</v>
      </c>
      <c r="DL259" s="607">
        <f t="shared" si="349"/>
        <v>63</v>
      </c>
      <c r="DM259" s="608">
        <f t="shared" si="350"/>
        <v>106</v>
      </c>
      <c r="DN259" s="607">
        <f t="shared" si="351"/>
        <v>1421361.0069999998</v>
      </c>
      <c r="DO259" s="612">
        <f t="shared" si="352"/>
        <v>1424954.7000000002</v>
      </c>
      <c r="DP259" s="607">
        <f t="shared" si="353"/>
        <v>1787785.7162693876</v>
      </c>
      <c r="DQ259" s="606">
        <f t="shared" si="354"/>
        <v>1575550.5801526716</v>
      </c>
      <c r="DR259" s="607">
        <f t="shared" si="355"/>
        <v>943342.00200000009</v>
      </c>
      <c r="DS259" s="606">
        <f t="shared" si="356"/>
        <v>993391.20000000007</v>
      </c>
      <c r="DT259" s="607">
        <f t="shared" si="357"/>
        <v>0</v>
      </c>
      <c r="DU259" s="606">
        <f t="shared" si="358"/>
        <v>0</v>
      </c>
      <c r="DV259" s="607">
        <f t="shared" si="359"/>
        <v>43396.36363636364</v>
      </c>
      <c r="DW259" s="608">
        <f t="shared" si="360"/>
        <v>1865778.5365853659</v>
      </c>
      <c r="DX259" s="607">
        <f t="shared" si="361"/>
        <v>0</v>
      </c>
      <c r="DY259" s="608">
        <f t="shared" si="362"/>
        <v>0</v>
      </c>
      <c r="DZ259" s="607">
        <f t="shared" si="363"/>
        <v>4195885.0889057508</v>
      </c>
      <c r="EA259" s="608">
        <f t="shared" si="364"/>
        <v>5859675.0167380385</v>
      </c>
    </row>
    <row r="260" spans="1:131" x14ac:dyDescent="0.2">
      <c r="A260" s="480" t="s">
        <v>38</v>
      </c>
      <c r="B260" s="437" t="s">
        <v>779</v>
      </c>
      <c r="C260" s="565"/>
      <c r="D260" s="438">
        <v>164313</v>
      </c>
      <c r="E260" s="418">
        <v>9</v>
      </c>
      <c r="F260" s="598">
        <v>5</v>
      </c>
      <c r="G260" s="599"/>
      <c r="H260" s="600"/>
      <c r="I260" s="601">
        <v>5</v>
      </c>
      <c r="J260" s="600">
        <v>5</v>
      </c>
      <c r="K260" s="599"/>
      <c r="L260" s="600"/>
      <c r="M260" s="601">
        <v>4</v>
      </c>
      <c r="N260" s="600">
        <v>8</v>
      </c>
      <c r="O260" s="599"/>
      <c r="P260" s="600"/>
      <c r="Q260" s="601">
        <v>9</v>
      </c>
      <c r="R260" s="600">
        <v>5</v>
      </c>
      <c r="S260" s="599"/>
      <c r="T260" s="600"/>
      <c r="U260" s="601">
        <v>5</v>
      </c>
      <c r="V260" s="600">
        <v>19</v>
      </c>
      <c r="W260" s="599"/>
      <c r="X260" s="600"/>
      <c r="Y260" s="601">
        <v>23</v>
      </c>
      <c r="Z260" s="600">
        <v>4</v>
      </c>
      <c r="AA260" s="599"/>
      <c r="AB260" s="600"/>
      <c r="AC260" s="601">
        <v>6</v>
      </c>
      <c r="AD260" s="600">
        <v>20</v>
      </c>
      <c r="AE260" s="599"/>
      <c r="AF260" s="600"/>
      <c r="AG260" s="601">
        <v>15</v>
      </c>
      <c r="AH260" s="600">
        <v>2</v>
      </c>
      <c r="AI260" s="599"/>
      <c r="AJ260" s="600"/>
      <c r="AK260" s="601">
        <v>1</v>
      </c>
      <c r="AL260" s="600"/>
      <c r="AM260" s="599"/>
      <c r="AN260" s="600"/>
      <c r="AO260" s="601"/>
      <c r="AP260" s="600"/>
      <c r="AQ260" s="599"/>
      <c r="AR260" s="600"/>
      <c r="AS260" s="601"/>
      <c r="AT260" s="600"/>
      <c r="AU260" s="599"/>
      <c r="AV260" s="600"/>
      <c r="AW260" s="601"/>
      <c r="AX260" s="600"/>
      <c r="AY260" s="599"/>
      <c r="AZ260" s="600"/>
      <c r="BA260" s="601"/>
      <c r="BB260" s="602">
        <v>842645</v>
      </c>
      <c r="BC260" s="599">
        <v>741756</v>
      </c>
      <c r="BD260" s="600">
        <v>882803</v>
      </c>
      <c r="BE260" s="599">
        <v>950966</v>
      </c>
      <c r="BF260" s="600">
        <v>1254821.9950000001</v>
      </c>
      <c r="BG260" s="599">
        <v>1590919</v>
      </c>
      <c r="BH260" s="600">
        <v>1000372</v>
      </c>
      <c r="BI260" s="599">
        <v>734589</v>
      </c>
      <c r="BJ260" s="600">
        <v>0</v>
      </c>
      <c r="BK260" s="615"/>
      <c r="BL260" s="600">
        <v>0</v>
      </c>
      <c r="BM260" s="604"/>
      <c r="BN260" s="605">
        <f t="shared" si="299"/>
        <v>100</v>
      </c>
      <c r="BO260" s="606">
        <f t="shared" si="300"/>
        <v>98</v>
      </c>
      <c r="BP260" s="607">
        <f t="shared" si="301"/>
        <v>127</v>
      </c>
      <c r="BQ260" s="606">
        <f t="shared" si="302"/>
        <v>150</v>
      </c>
      <c r="BR260" s="607">
        <f t="shared" si="303"/>
        <v>215</v>
      </c>
      <c r="BS260" s="606">
        <f t="shared" si="304"/>
        <v>302</v>
      </c>
      <c r="BT260" s="607">
        <f t="shared" si="305"/>
        <v>202</v>
      </c>
      <c r="BU260" s="606">
        <f t="shared" si="306"/>
        <v>162</v>
      </c>
      <c r="BV260" s="607">
        <f t="shared" si="307"/>
        <v>0</v>
      </c>
      <c r="BW260" s="608">
        <f t="shared" si="308"/>
        <v>0</v>
      </c>
      <c r="BX260" s="607">
        <f t="shared" si="309"/>
        <v>0</v>
      </c>
      <c r="BY260" s="608">
        <f t="shared" si="310"/>
        <v>0</v>
      </c>
      <c r="BZ260" s="607">
        <f t="shared" si="311"/>
        <v>8426.4500000000007</v>
      </c>
      <c r="CA260" s="608">
        <f t="shared" si="312"/>
        <v>7568.9387755102043</v>
      </c>
      <c r="CB260" s="607">
        <f t="shared" si="313"/>
        <v>6951.2047244094492</v>
      </c>
      <c r="CC260" s="608">
        <f t="shared" si="314"/>
        <v>6339.7733333333335</v>
      </c>
      <c r="CD260" s="607">
        <f t="shared" si="315"/>
        <v>5836.3813720930239</v>
      </c>
      <c r="CE260" s="608">
        <f t="shared" si="316"/>
        <v>5267.9437086092712</v>
      </c>
      <c r="CF260" s="607">
        <f t="shared" si="317"/>
        <v>4952.3366336633662</v>
      </c>
      <c r="CG260" s="608">
        <f t="shared" si="318"/>
        <v>4534.5</v>
      </c>
      <c r="CH260" s="607">
        <f t="shared" si="319"/>
        <v>0</v>
      </c>
      <c r="CI260" s="608">
        <f t="shared" si="320"/>
        <v>0</v>
      </c>
      <c r="CJ260" s="607">
        <f t="shared" si="321"/>
        <v>0</v>
      </c>
      <c r="CK260" s="608">
        <f t="shared" si="322"/>
        <v>0</v>
      </c>
      <c r="CL260" s="609">
        <f t="shared" si="323"/>
        <v>75838.05</v>
      </c>
      <c r="CM260" s="608">
        <f t="shared" si="324"/>
        <v>68120.448979591834</v>
      </c>
      <c r="CN260" s="610">
        <f t="shared" si="325"/>
        <v>62560.842519685044</v>
      </c>
      <c r="CO260" s="606">
        <f t="shared" si="326"/>
        <v>57057.96</v>
      </c>
      <c r="CP260" s="607">
        <f t="shared" si="327"/>
        <v>52527.432348837217</v>
      </c>
      <c r="CQ260" s="606">
        <f t="shared" si="328"/>
        <v>47411.493377483443</v>
      </c>
      <c r="CR260" s="607">
        <f t="shared" si="329"/>
        <v>44571.029702970292</v>
      </c>
      <c r="CS260" s="606">
        <f t="shared" si="330"/>
        <v>40810.5</v>
      </c>
      <c r="CT260" s="607">
        <f t="shared" si="331"/>
        <v>0</v>
      </c>
      <c r="CU260" s="608">
        <f t="shared" si="332"/>
        <v>0</v>
      </c>
      <c r="CV260" s="610">
        <f t="shared" si="333"/>
        <v>0</v>
      </c>
      <c r="CW260" s="608">
        <f t="shared" si="334"/>
        <v>0</v>
      </c>
      <c r="CX260" s="610">
        <f t="shared" si="335"/>
        <v>55299.486033007473</v>
      </c>
      <c r="CY260" s="611">
        <f t="shared" si="336"/>
        <v>50585.246893578616</v>
      </c>
      <c r="CZ260" s="605">
        <f t="shared" si="337"/>
        <v>10</v>
      </c>
      <c r="DA260" s="612">
        <f t="shared" si="338"/>
        <v>9</v>
      </c>
      <c r="DB260" s="607">
        <f t="shared" si="339"/>
        <v>13</v>
      </c>
      <c r="DC260" s="606">
        <f t="shared" si="340"/>
        <v>14</v>
      </c>
      <c r="DD260" s="607">
        <f t="shared" si="341"/>
        <v>23</v>
      </c>
      <c r="DE260" s="606">
        <f t="shared" si="342"/>
        <v>29</v>
      </c>
      <c r="DF260" s="607">
        <f t="shared" si="343"/>
        <v>22</v>
      </c>
      <c r="DG260" s="606">
        <f t="shared" si="344"/>
        <v>16</v>
      </c>
      <c r="DH260" s="607">
        <f t="shared" si="345"/>
        <v>0</v>
      </c>
      <c r="DI260" s="608">
        <f t="shared" si="346"/>
        <v>0</v>
      </c>
      <c r="DJ260" s="607">
        <f t="shared" si="347"/>
        <v>0</v>
      </c>
      <c r="DK260" s="608">
        <f t="shared" si="348"/>
        <v>0</v>
      </c>
      <c r="DL260" s="607">
        <f t="shared" si="349"/>
        <v>68</v>
      </c>
      <c r="DM260" s="608">
        <f t="shared" si="350"/>
        <v>68</v>
      </c>
      <c r="DN260" s="607">
        <f t="shared" si="351"/>
        <v>758380.5</v>
      </c>
      <c r="DO260" s="612">
        <f t="shared" si="352"/>
        <v>613084.04081632651</v>
      </c>
      <c r="DP260" s="607">
        <f t="shared" si="353"/>
        <v>813290.95275590557</v>
      </c>
      <c r="DQ260" s="606">
        <f t="shared" si="354"/>
        <v>798811.44</v>
      </c>
      <c r="DR260" s="607">
        <f t="shared" si="355"/>
        <v>1208130.944023256</v>
      </c>
      <c r="DS260" s="606">
        <f t="shared" si="356"/>
        <v>1374933.3079470198</v>
      </c>
      <c r="DT260" s="607">
        <f t="shared" si="357"/>
        <v>980562.65346534643</v>
      </c>
      <c r="DU260" s="606">
        <f t="shared" si="358"/>
        <v>652968</v>
      </c>
      <c r="DV260" s="607">
        <f t="shared" si="359"/>
        <v>0</v>
      </c>
      <c r="DW260" s="608">
        <f t="shared" si="360"/>
        <v>0</v>
      </c>
      <c r="DX260" s="607">
        <f t="shared" si="361"/>
        <v>0</v>
      </c>
      <c r="DY260" s="608">
        <f t="shared" si="362"/>
        <v>0</v>
      </c>
      <c r="DZ260" s="607">
        <f t="shared" si="363"/>
        <v>3760365.0502445083</v>
      </c>
      <c r="EA260" s="608">
        <f t="shared" si="364"/>
        <v>3439796.7887633462</v>
      </c>
    </row>
    <row r="261" spans="1:131" x14ac:dyDescent="0.2">
      <c r="A261" s="480" t="s">
        <v>38</v>
      </c>
      <c r="B261" s="431" t="s">
        <v>780</v>
      </c>
      <c r="C261" s="562"/>
      <c r="D261" s="432">
        <v>162104</v>
      </c>
      <c r="E261" s="418">
        <v>10</v>
      </c>
      <c r="F261" s="598">
        <v>10</v>
      </c>
      <c r="G261" s="599"/>
      <c r="H261" s="600"/>
      <c r="I261" s="601">
        <v>11</v>
      </c>
      <c r="J261" s="600">
        <v>2</v>
      </c>
      <c r="K261" s="599"/>
      <c r="L261" s="600"/>
      <c r="M261" s="601">
        <v>1</v>
      </c>
      <c r="N261" s="600">
        <v>13</v>
      </c>
      <c r="O261" s="599"/>
      <c r="P261" s="600"/>
      <c r="Q261" s="601">
        <v>15</v>
      </c>
      <c r="R261" s="600"/>
      <c r="S261" s="599"/>
      <c r="T261" s="600"/>
      <c r="U261" s="601"/>
      <c r="V261" s="600">
        <v>18</v>
      </c>
      <c r="W261" s="599"/>
      <c r="X261" s="600"/>
      <c r="Y261" s="601">
        <v>16</v>
      </c>
      <c r="Z261" s="600">
        <v>2</v>
      </c>
      <c r="AA261" s="599"/>
      <c r="AB261" s="600"/>
      <c r="AC261" s="601">
        <v>2</v>
      </c>
      <c r="AD261" s="600">
        <v>2</v>
      </c>
      <c r="AE261" s="599"/>
      <c r="AF261" s="600"/>
      <c r="AG261" s="601">
        <v>2</v>
      </c>
      <c r="AH261" s="600"/>
      <c r="AI261" s="599"/>
      <c r="AJ261" s="600"/>
      <c r="AK261" s="601"/>
      <c r="AL261" s="600"/>
      <c r="AM261" s="599"/>
      <c r="AN261" s="600"/>
      <c r="AO261" s="601"/>
      <c r="AP261" s="600"/>
      <c r="AQ261" s="599"/>
      <c r="AR261" s="600"/>
      <c r="AS261" s="601"/>
      <c r="AT261" s="600"/>
      <c r="AU261" s="599"/>
      <c r="AV261" s="600"/>
      <c r="AW261" s="601"/>
      <c r="AX261" s="600"/>
      <c r="AY261" s="599"/>
      <c r="AZ261" s="600"/>
      <c r="BA261" s="601"/>
      <c r="BB261" s="602">
        <v>864668</v>
      </c>
      <c r="BC261" s="599">
        <v>874045</v>
      </c>
      <c r="BD261" s="600">
        <v>769390.99900000007</v>
      </c>
      <c r="BE261" s="599">
        <v>903186</v>
      </c>
      <c r="BF261" s="600">
        <v>964412.99799999991</v>
      </c>
      <c r="BG261" s="599">
        <v>894305</v>
      </c>
      <c r="BH261" s="600">
        <v>84271</v>
      </c>
      <c r="BI261" s="599">
        <v>86588</v>
      </c>
      <c r="BJ261" s="600">
        <v>0</v>
      </c>
      <c r="BK261" s="615"/>
      <c r="BL261" s="600">
        <v>0</v>
      </c>
      <c r="BM261" s="604"/>
      <c r="BN261" s="605">
        <f t="shared" si="299"/>
        <v>112</v>
      </c>
      <c r="BO261" s="606">
        <f t="shared" si="300"/>
        <v>122</v>
      </c>
      <c r="BP261" s="607">
        <f t="shared" si="301"/>
        <v>117</v>
      </c>
      <c r="BQ261" s="606">
        <f t="shared" si="302"/>
        <v>150</v>
      </c>
      <c r="BR261" s="607">
        <f t="shared" si="303"/>
        <v>184</v>
      </c>
      <c r="BS261" s="606">
        <f t="shared" si="304"/>
        <v>184</v>
      </c>
      <c r="BT261" s="607">
        <f t="shared" si="305"/>
        <v>18</v>
      </c>
      <c r="BU261" s="606">
        <f t="shared" si="306"/>
        <v>20</v>
      </c>
      <c r="BV261" s="607">
        <f t="shared" si="307"/>
        <v>0</v>
      </c>
      <c r="BW261" s="608">
        <f t="shared" si="308"/>
        <v>0</v>
      </c>
      <c r="BX261" s="607">
        <f t="shared" si="309"/>
        <v>0</v>
      </c>
      <c r="BY261" s="608">
        <f t="shared" si="310"/>
        <v>0</v>
      </c>
      <c r="BZ261" s="607">
        <f t="shared" si="311"/>
        <v>7720.25</v>
      </c>
      <c r="CA261" s="608">
        <f t="shared" si="312"/>
        <v>7164.3032786885242</v>
      </c>
      <c r="CB261" s="607">
        <f t="shared" si="313"/>
        <v>6575.9914444444448</v>
      </c>
      <c r="CC261" s="608">
        <f t="shared" si="314"/>
        <v>6021.24</v>
      </c>
      <c r="CD261" s="607">
        <f t="shared" si="315"/>
        <v>5241.3749891304342</v>
      </c>
      <c r="CE261" s="608">
        <f t="shared" si="316"/>
        <v>4860.353260869565</v>
      </c>
      <c r="CF261" s="607">
        <f t="shared" si="317"/>
        <v>4681.7222222222226</v>
      </c>
      <c r="CG261" s="608">
        <f t="shared" si="318"/>
        <v>4329.3999999999996</v>
      </c>
      <c r="CH261" s="607">
        <f t="shared" si="319"/>
        <v>0</v>
      </c>
      <c r="CI261" s="608">
        <f t="shared" si="320"/>
        <v>0</v>
      </c>
      <c r="CJ261" s="607">
        <f t="shared" si="321"/>
        <v>0</v>
      </c>
      <c r="CK261" s="608">
        <f t="shared" si="322"/>
        <v>0</v>
      </c>
      <c r="CL261" s="609">
        <f t="shared" si="323"/>
        <v>69482.25</v>
      </c>
      <c r="CM261" s="608">
        <f t="shared" si="324"/>
        <v>64478.729508196717</v>
      </c>
      <c r="CN261" s="610">
        <f t="shared" si="325"/>
        <v>59183.923000000003</v>
      </c>
      <c r="CO261" s="606">
        <f t="shared" si="326"/>
        <v>54191.159999999996</v>
      </c>
      <c r="CP261" s="607">
        <f t="shared" si="327"/>
        <v>47172.374902173906</v>
      </c>
      <c r="CQ261" s="606">
        <f t="shared" si="328"/>
        <v>43743.179347826088</v>
      </c>
      <c r="CR261" s="607">
        <f t="shared" si="329"/>
        <v>42135.5</v>
      </c>
      <c r="CS261" s="606">
        <f t="shared" si="330"/>
        <v>38964.6</v>
      </c>
      <c r="CT261" s="607">
        <f t="shared" si="331"/>
        <v>0</v>
      </c>
      <c r="CU261" s="608">
        <f t="shared" si="332"/>
        <v>0</v>
      </c>
      <c r="CV261" s="610">
        <f t="shared" si="333"/>
        <v>0</v>
      </c>
      <c r="CW261" s="608">
        <f t="shared" si="334"/>
        <v>0</v>
      </c>
      <c r="CX261" s="610">
        <f t="shared" si="335"/>
        <v>55976.521213691027</v>
      </c>
      <c r="CY261" s="611">
        <f t="shared" si="336"/>
        <v>52168.480475728298</v>
      </c>
      <c r="CZ261" s="605">
        <f t="shared" si="337"/>
        <v>12</v>
      </c>
      <c r="DA261" s="612">
        <f t="shared" si="338"/>
        <v>12</v>
      </c>
      <c r="DB261" s="607">
        <f t="shared" si="339"/>
        <v>13</v>
      </c>
      <c r="DC261" s="606">
        <f t="shared" si="340"/>
        <v>15</v>
      </c>
      <c r="DD261" s="607">
        <f t="shared" si="341"/>
        <v>20</v>
      </c>
      <c r="DE261" s="606">
        <f t="shared" si="342"/>
        <v>18</v>
      </c>
      <c r="DF261" s="607">
        <f t="shared" si="343"/>
        <v>2</v>
      </c>
      <c r="DG261" s="606">
        <f t="shared" si="344"/>
        <v>2</v>
      </c>
      <c r="DH261" s="607">
        <f t="shared" si="345"/>
        <v>0</v>
      </c>
      <c r="DI261" s="608">
        <f t="shared" si="346"/>
        <v>0</v>
      </c>
      <c r="DJ261" s="607">
        <f t="shared" si="347"/>
        <v>0</v>
      </c>
      <c r="DK261" s="608">
        <f t="shared" si="348"/>
        <v>0</v>
      </c>
      <c r="DL261" s="607">
        <f t="shared" si="349"/>
        <v>47</v>
      </c>
      <c r="DM261" s="608">
        <f t="shared" si="350"/>
        <v>47</v>
      </c>
      <c r="DN261" s="607">
        <f t="shared" si="351"/>
        <v>833787</v>
      </c>
      <c r="DO261" s="612">
        <f t="shared" si="352"/>
        <v>773744.75409836066</v>
      </c>
      <c r="DP261" s="607">
        <f t="shared" si="353"/>
        <v>769390.99900000007</v>
      </c>
      <c r="DQ261" s="606">
        <f t="shared" si="354"/>
        <v>812867.39999999991</v>
      </c>
      <c r="DR261" s="607">
        <f t="shared" si="355"/>
        <v>943447.49804347812</v>
      </c>
      <c r="DS261" s="606">
        <f t="shared" si="356"/>
        <v>787377.22826086963</v>
      </c>
      <c r="DT261" s="607">
        <f t="shared" si="357"/>
        <v>84271</v>
      </c>
      <c r="DU261" s="606">
        <f t="shared" si="358"/>
        <v>77929.2</v>
      </c>
      <c r="DV261" s="607">
        <f t="shared" si="359"/>
        <v>0</v>
      </c>
      <c r="DW261" s="608">
        <f t="shared" si="360"/>
        <v>0</v>
      </c>
      <c r="DX261" s="607">
        <f t="shared" si="361"/>
        <v>0</v>
      </c>
      <c r="DY261" s="608">
        <f t="shared" si="362"/>
        <v>0</v>
      </c>
      <c r="DZ261" s="607">
        <f t="shared" si="363"/>
        <v>2630896.4970434783</v>
      </c>
      <c r="EA261" s="608">
        <f t="shared" si="364"/>
        <v>2451918.5823592301</v>
      </c>
    </row>
    <row r="262" spans="1:131" x14ac:dyDescent="0.2">
      <c r="A262" s="480" t="s">
        <v>38</v>
      </c>
      <c r="B262" s="431" t="s">
        <v>781</v>
      </c>
      <c r="C262" s="562"/>
      <c r="D262" s="432">
        <v>162168</v>
      </c>
      <c r="E262" s="418">
        <v>10</v>
      </c>
      <c r="F262" s="598">
        <v>13</v>
      </c>
      <c r="G262" s="599"/>
      <c r="H262" s="600"/>
      <c r="I262" s="601">
        <v>9</v>
      </c>
      <c r="J262" s="600">
        <v>2</v>
      </c>
      <c r="K262" s="599"/>
      <c r="L262" s="600"/>
      <c r="M262" s="601"/>
      <c r="N262" s="600">
        <v>18</v>
      </c>
      <c r="O262" s="599"/>
      <c r="P262" s="600"/>
      <c r="Q262" s="601">
        <v>17</v>
      </c>
      <c r="R262" s="600">
        <v>1</v>
      </c>
      <c r="S262" s="599"/>
      <c r="T262" s="600"/>
      <c r="U262" s="601">
        <v>1</v>
      </c>
      <c r="V262" s="600">
        <v>14</v>
      </c>
      <c r="W262" s="599"/>
      <c r="X262" s="600"/>
      <c r="Y262" s="601">
        <v>14</v>
      </c>
      <c r="Z262" s="600">
        <v>1</v>
      </c>
      <c r="AA262" s="599"/>
      <c r="AB262" s="600"/>
      <c r="AC262" s="601">
        <v>1</v>
      </c>
      <c r="AD262" s="600">
        <v>11</v>
      </c>
      <c r="AE262" s="599"/>
      <c r="AF262" s="600"/>
      <c r="AG262" s="601">
        <v>11</v>
      </c>
      <c r="AH262" s="600"/>
      <c r="AI262" s="599"/>
      <c r="AJ262" s="600"/>
      <c r="AK262" s="601"/>
      <c r="AL262" s="600"/>
      <c r="AM262" s="599"/>
      <c r="AN262" s="600"/>
      <c r="AO262" s="601"/>
      <c r="AP262" s="600">
        <v>1</v>
      </c>
      <c r="AQ262" s="599"/>
      <c r="AR262" s="600"/>
      <c r="AS262" s="601">
        <v>2</v>
      </c>
      <c r="AT262" s="600"/>
      <c r="AU262" s="599"/>
      <c r="AV262" s="600"/>
      <c r="AW262" s="601"/>
      <c r="AX262" s="600"/>
      <c r="AY262" s="599"/>
      <c r="AZ262" s="600"/>
      <c r="BA262" s="601"/>
      <c r="BB262" s="602">
        <v>1157718.0010000002</v>
      </c>
      <c r="BC262" s="599">
        <v>670397</v>
      </c>
      <c r="BD262" s="600">
        <v>1305019.9920000001</v>
      </c>
      <c r="BE262" s="599">
        <v>1226448</v>
      </c>
      <c r="BF262" s="600">
        <v>878796.00599999994</v>
      </c>
      <c r="BG262" s="599">
        <v>874373</v>
      </c>
      <c r="BH262" s="600">
        <v>592411.99600000004</v>
      </c>
      <c r="BI262" s="599">
        <v>585712</v>
      </c>
      <c r="BJ262" s="600">
        <v>46798</v>
      </c>
      <c r="BK262" s="615">
        <v>121482</v>
      </c>
      <c r="BL262" s="600">
        <v>0</v>
      </c>
      <c r="BM262" s="604"/>
      <c r="BN262" s="605">
        <f t="shared" si="299"/>
        <v>139</v>
      </c>
      <c r="BO262" s="606">
        <f t="shared" si="300"/>
        <v>90</v>
      </c>
      <c r="BP262" s="607">
        <f t="shared" si="301"/>
        <v>173</v>
      </c>
      <c r="BQ262" s="606">
        <f t="shared" si="302"/>
        <v>182</v>
      </c>
      <c r="BR262" s="607">
        <f t="shared" si="303"/>
        <v>137</v>
      </c>
      <c r="BS262" s="606">
        <f t="shared" si="304"/>
        <v>152</v>
      </c>
      <c r="BT262" s="607">
        <f t="shared" si="305"/>
        <v>99</v>
      </c>
      <c r="BU262" s="606">
        <f t="shared" si="306"/>
        <v>110</v>
      </c>
      <c r="BV262" s="607">
        <f t="shared" si="307"/>
        <v>11</v>
      </c>
      <c r="BW262" s="608">
        <f t="shared" si="308"/>
        <v>24</v>
      </c>
      <c r="BX262" s="607">
        <f t="shared" si="309"/>
        <v>0</v>
      </c>
      <c r="BY262" s="608">
        <f t="shared" si="310"/>
        <v>0</v>
      </c>
      <c r="BZ262" s="607">
        <f t="shared" si="311"/>
        <v>8328.9064820143903</v>
      </c>
      <c r="CA262" s="608">
        <f t="shared" si="312"/>
        <v>7448.8555555555558</v>
      </c>
      <c r="CB262" s="607">
        <f t="shared" si="313"/>
        <v>7543.4681618497116</v>
      </c>
      <c r="CC262" s="608">
        <f t="shared" si="314"/>
        <v>6738.7252747252751</v>
      </c>
      <c r="CD262" s="607">
        <f t="shared" si="315"/>
        <v>6414.5693868613134</v>
      </c>
      <c r="CE262" s="608">
        <f t="shared" si="316"/>
        <v>5752.4539473684208</v>
      </c>
      <c r="CF262" s="607">
        <f t="shared" si="317"/>
        <v>5983.9595555555561</v>
      </c>
      <c r="CG262" s="608">
        <f t="shared" si="318"/>
        <v>5324.6545454545458</v>
      </c>
      <c r="CH262" s="607">
        <f t="shared" si="319"/>
        <v>4254.363636363636</v>
      </c>
      <c r="CI262" s="608">
        <f t="shared" si="320"/>
        <v>5061.75</v>
      </c>
      <c r="CJ262" s="607">
        <f t="shared" si="321"/>
        <v>0</v>
      </c>
      <c r="CK262" s="608">
        <f t="shared" si="322"/>
        <v>0</v>
      </c>
      <c r="CL262" s="609">
        <f t="shared" si="323"/>
        <v>74960.15833812952</v>
      </c>
      <c r="CM262" s="608">
        <f t="shared" si="324"/>
        <v>67039.7</v>
      </c>
      <c r="CN262" s="610">
        <f t="shared" si="325"/>
        <v>67891.213456647398</v>
      </c>
      <c r="CO262" s="606">
        <f t="shared" si="326"/>
        <v>60648.527472527479</v>
      </c>
      <c r="CP262" s="607">
        <f t="shared" si="327"/>
        <v>57731.124481751824</v>
      </c>
      <c r="CQ262" s="606">
        <f t="shared" si="328"/>
        <v>51772.085526315786</v>
      </c>
      <c r="CR262" s="607">
        <f t="shared" si="329"/>
        <v>53855.636000000006</v>
      </c>
      <c r="CS262" s="606">
        <f t="shared" si="330"/>
        <v>47921.890909090915</v>
      </c>
      <c r="CT262" s="607">
        <f t="shared" si="331"/>
        <v>38289.272727272721</v>
      </c>
      <c r="CU262" s="608">
        <f t="shared" si="332"/>
        <v>45555.75</v>
      </c>
      <c r="CV262" s="610">
        <f t="shared" si="333"/>
        <v>0</v>
      </c>
      <c r="CW262" s="608">
        <f t="shared" si="334"/>
        <v>0</v>
      </c>
      <c r="CX262" s="610">
        <f t="shared" si="335"/>
        <v>64114.812568881862</v>
      </c>
      <c r="CY262" s="611">
        <f t="shared" si="336"/>
        <v>56179.352316367847</v>
      </c>
      <c r="CZ262" s="605">
        <f t="shared" si="337"/>
        <v>15</v>
      </c>
      <c r="DA262" s="612">
        <f t="shared" si="338"/>
        <v>9</v>
      </c>
      <c r="DB262" s="607">
        <f t="shared" si="339"/>
        <v>19</v>
      </c>
      <c r="DC262" s="606">
        <f t="shared" si="340"/>
        <v>18</v>
      </c>
      <c r="DD262" s="607">
        <f t="shared" si="341"/>
        <v>15</v>
      </c>
      <c r="DE262" s="606">
        <f t="shared" si="342"/>
        <v>15</v>
      </c>
      <c r="DF262" s="607">
        <f t="shared" si="343"/>
        <v>11</v>
      </c>
      <c r="DG262" s="606">
        <f t="shared" si="344"/>
        <v>11</v>
      </c>
      <c r="DH262" s="607">
        <f t="shared" si="345"/>
        <v>1</v>
      </c>
      <c r="DI262" s="608">
        <f t="shared" si="346"/>
        <v>2</v>
      </c>
      <c r="DJ262" s="607">
        <f t="shared" si="347"/>
        <v>0</v>
      </c>
      <c r="DK262" s="608">
        <f t="shared" si="348"/>
        <v>0</v>
      </c>
      <c r="DL262" s="607">
        <f t="shared" si="349"/>
        <v>61</v>
      </c>
      <c r="DM262" s="608">
        <f t="shared" si="350"/>
        <v>55</v>
      </c>
      <c r="DN262" s="607">
        <f t="shared" si="351"/>
        <v>1124402.3750719428</v>
      </c>
      <c r="DO262" s="612">
        <f t="shared" si="352"/>
        <v>603357.29999999993</v>
      </c>
      <c r="DP262" s="607">
        <f t="shared" si="353"/>
        <v>1289933.0556763005</v>
      </c>
      <c r="DQ262" s="606">
        <f t="shared" si="354"/>
        <v>1091673.4945054946</v>
      </c>
      <c r="DR262" s="607">
        <f t="shared" si="355"/>
        <v>865966.86722627736</v>
      </c>
      <c r="DS262" s="606">
        <f t="shared" si="356"/>
        <v>776581.28289473685</v>
      </c>
      <c r="DT262" s="607">
        <f t="shared" si="357"/>
        <v>592411.99600000004</v>
      </c>
      <c r="DU262" s="606">
        <f t="shared" si="358"/>
        <v>527140.80000000005</v>
      </c>
      <c r="DV262" s="607">
        <f t="shared" si="359"/>
        <v>38289.272727272721</v>
      </c>
      <c r="DW262" s="608">
        <f t="shared" si="360"/>
        <v>91111.5</v>
      </c>
      <c r="DX262" s="607">
        <f t="shared" si="361"/>
        <v>0</v>
      </c>
      <c r="DY262" s="608">
        <f t="shared" si="362"/>
        <v>0</v>
      </c>
      <c r="DZ262" s="607">
        <f t="shared" si="363"/>
        <v>3911003.5667017936</v>
      </c>
      <c r="EA262" s="608">
        <f t="shared" si="364"/>
        <v>3089864.3774002315</v>
      </c>
    </row>
    <row r="263" spans="1:131" x14ac:dyDescent="0.2">
      <c r="A263" s="480" t="s">
        <v>38</v>
      </c>
      <c r="B263" s="431" t="s">
        <v>782</v>
      </c>
      <c r="C263" s="562"/>
      <c r="D263" s="432">
        <v>162609</v>
      </c>
      <c r="E263" s="418">
        <v>10</v>
      </c>
      <c r="F263" s="598">
        <v>10</v>
      </c>
      <c r="G263" s="599"/>
      <c r="H263" s="600"/>
      <c r="I263" s="601">
        <v>9</v>
      </c>
      <c r="J263" s="600">
        <v>1</v>
      </c>
      <c r="K263" s="599">
        <v>1</v>
      </c>
      <c r="L263" s="600"/>
      <c r="M263" s="601">
        <v>1</v>
      </c>
      <c r="N263" s="600">
        <v>3</v>
      </c>
      <c r="O263" s="599"/>
      <c r="P263" s="600"/>
      <c r="Q263" s="601">
        <v>4</v>
      </c>
      <c r="R263" s="600">
        <v>4</v>
      </c>
      <c r="S263" s="599">
        <v>1</v>
      </c>
      <c r="T263" s="600"/>
      <c r="U263" s="601">
        <v>2</v>
      </c>
      <c r="V263" s="600"/>
      <c r="W263" s="599"/>
      <c r="X263" s="600"/>
      <c r="Y263" s="601">
        <v>4</v>
      </c>
      <c r="Z263" s="600">
        <v>1</v>
      </c>
      <c r="AA263" s="599"/>
      <c r="AB263" s="600"/>
      <c r="AC263" s="601">
        <v>1</v>
      </c>
      <c r="AD263" s="600">
        <v>2</v>
      </c>
      <c r="AE263" s="599"/>
      <c r="AF263" s="600"/>
      <c r="AG263" s="601"/>
      <c r="AH263" s="600"/>
      <c r="AI263" s="599"/>
      <c r="AJ263" s="600"/>
      <c r="AK263" s="601"/>
      <c r="AL263" s="600"/>
      <c r="AM263" s="599"/>
      <c r="AN263" s="600"/>
      <c r="AO263" s="601"/>
      <c r="AP263" s="600"/>
      <c r="AQ263" s="599"/>
      <c r="AR263" s="600"/>
      <c r="AS263" s="601"/>
      <c r="AT263" s="600"/>
      <c r="AU263" s="599"/>
      <c r="AV263" s="600"/>
      <c r="AW263" s="601"/>
      <c r="AX263" s="600"/>
      <c r="AY263" s="599"/>
      <c r="AZ263" s="600"/>
      <c r="BA263" s="601"/>
      <c r="BB263" s="602">
        <v>726926</v>
      </c>
      <c r="BC263" s="599">
        <v>778895</v>
      </c>
      <c r="BD263" s="600">
        <v>414189.99900000001</v>
      </c>
      <c r="BE263" s="599">
        <v>420941</v>
      </c>
      <c r="BF263" s="600">
        <v>54649</v>
      </c>
      <c r="BG263" s="599">
        <v>273411</v>
      </c>
      <c r="BH263" s="600">
        <v>87840</v>
      </c>
      <c r="BI263" s="599"/>
      <c r="BJ263" s="600">
        <v>0</v>
      </c>
      <c r="BK263" s="615"/>
      <c r="BL263" s="600">
        <v>0</v>
      </c>
      <c r="BM263" s="604"/>
      <c r="BN263" s="605">
        <f t="shared" si="299"/>
        <v>101</v>
      </c>
      <c r="BO263" s="606">
        <f t="shared" si="300"/>
        <v>113</v>
      </c>
      <c r="BP263" s="607">
        <f t="shared" si="301"/>
        <v>71</v>
      </c>
      <c r="BQ263" s="606">
        <f t="shared" si="302"/>
        <v>75</v>
      </c>
      <c r="BR263" s="607">
        <f t="shared" si="303"/>
        <v>11</v>
      </c>
      <c r="BS263" s="606">
        <f t="shared" si="304"/>
        <v>52</v>
      </c>
      <c r="BT263" s="607">
        <f t="shared" si="305"/>
        <v>18</v>
      </c>
      <c r="BU263" s="606">
        <f t="shared" si="306"/>
        <v>0</v>
      </c>
      <c r="BV263" s="607">
        <f t="shared" si="307"/>
        <v>0</v>
      </c>
      <c r="BW263" s="608">
        <f t="shared" si="308"/>
        <v>0</v>
      </c>
      <c r="BX263" s="607">
        <f t="shared" si="309"/>
        <v>0</v>
      </c>
      <c r="BY263" s="608">
        <f t="shared" si="310"/>
        <v>0</v>
      </c>
      <c r="BZ263" s="607">
        <f t="shared" si="311"/>
        <v>7197.287128712871</v>
      </c>
      <c r="CA263" s="608">
        <f t="shared" si="312"/>
        <v>6892.8761061946907</v>
      </c>
      <c r="CB263" s="607">
        <f t="shared" si="313"/>
        <v>5833.6619577464789</v>
      </c>
      <c r="CC263" s="608">
        <f t="shared" si="314"/>
        <v>5612.5466666666671</v>
      </c>
      <c r="CD263" s="607">
        <f t="shared" si="315"/>
        <v>4968.090909090909</v>
      </c>
      <c r="CE263" s="608">
        <f t="shared" si="316"/>
        <v>5257.9038461538457</v>
      </c>
      <c r="CF263" s="607">
        <f t="shared" si="317"/>
        <v>4880</v>
      </c>
      <c r="CG263" s="608">
        <f t="shared" si="318"/>
        <v>0</v>
      </c>
      <c r="CH263" s="607">
        <f t="shared" si="319"/>
        <v>0</v>
      </c>
      <c r="CI263" s="608">
        <f t="shared" si="320"/>
        <v>0</v>
      </c>
      <c r="CJ263" s="607">
        <f t="shared" si="321"/>
        <v>0</v>
      </c>
      <c r="CK263" s="608">
        <f t="shared" si="322"/>
        <v>0</v>
      </c>
      <c r="CL263" s="609">
        <f t="shared" si="323"/>
        <v>64775.584158415841</v>
      </c>
      <c r="CM263" s="608">
        <f t="shared" si="324"/>
        <v>62035.884955752219</v>
      </c>
      <c r="CN263" s="610">
        <f t="shared" si="325"/>
        <v>52502.957619718312</v>
      </c>
      <c r="CO263" s="606">
        <f t="shared" si="326"/>
        <v>50512.920000000006</v>
      </c>
      <c r="CP263" s="607">
        <f t="shared" si="327"/>
        <v>44712.818181818184</v>
      </c>
      <c r="CQ263" s="606">
        <f t="shared" si="328"/>
        <v>47321.13461538461</v>
      </c>
      <c r="CR263" s="607">
        <f t="shared" si="329"/>
        <v>43920</v>
      </c>
      <c r="CS263" s="606">
        <f t="shared" si="330"/>
        <v>0</v>
      </c>
      <c r="CT263" s="607">
        <f t="shared" si="331"/>
        <v>0</v>
      </c>
      <c r="CU263" s="608">
        <f t="shared" si="332"/>
        <v>0</v>
      </c>
      <c r="CV263" s="610">
        <f t="shared" si="333"/>
        <v>0</v>
      </c>
      <c r="CW263" s="608">
        <f t="shared" si="334"/>
        <v>0</v>
      </c>
      <c r="CX263" s="610">
        <f t="shared" si="335"/>
        <v>57743.092726781928</v>
      </c>
      <c r="CY263" s="611">
        <f t="shared" si="336"/>
        <v>55330.036851747718</v>
      </c>
      <c r="CZ263" s="605">
        <f t="shared" si="337"/>
        <v>11</v>
      </c>
      <c r="DA263" s="612">
        <f t="shared" si="338"/>
        <v>11</v>
      </c>
      <c r="DB263" s="607">
        <f t="shared" si="339"/>
        <v>7</v>
      </c>
      <c r="DC263" s="606">
        <f t="shared" si="340"/>
        <v>7</v>
      </c>
      <c r="DD263" s="607">
        <f t="shared" si="341"/>
        <v>1</v>
      </c>
      <c r="DE263" s="606">
        <f t="shared" si="342"/>
        <v>5</v>
      </c>
      <c r="DF263" s="607">
        <f t="shared" si="343"/>
        <v>2</v>
      </c>
      <c r="DG263" s="606">
        <f t="shared" si="344"/>
        <v>0</v>
      </c>
      <c r="DH263" s="607">
        <f t="shared" si="345"/>
        <v>0</v>
      </c>
      <c r="DI263" s="608">
        <f t="shared" si="346"/>
        <v>0</v>
      </c>
      <c r="DJ263" s="607">
        <f t="shared" si="347"/>
        <v>0</v>
      </c>
      <c r="DK263" s="608">
        <f t="shared" si="348"/>
        <v>0</v>
      </c>
      <c r="DL263" s="607">
        <f t="shared" si="349"/>
        <v>21</v>
      </c>
      <c r="DM263" s="608">
        <f t="shared" si="350"/>
        <v>23</v>
      </c>
      <c r="DN263" s="607">
        <f t="shared" si="351"/>
        <v>712531.42574257427</v>
      </c>
      <c r="DO263" s="612">
        <f t="shared" si="352"/>
        <v>682394.73451327439</v>
      </c>
      <c r="DP263" s="607">
        <f t="shared" si="353"/>
        <v>367520.70333802816</v>
      </c>
      <c r="DQ263" s="606">
        <f t="shared" si="354"/>
        <v>353590.44000000006</v>
      </c>
      <c r="DR263" s="607">
        <f t="shared" si="355"/>
        <v>44712.818181818184</v>
      </c>
      <c r="DS263" s="606">
        <f t="shared" si="356"/>
        <v>236605.67307692306</v>
      </c>
      <c r="DT263" s="607">
        <f t="shared" si="357"/>
        <v>87840</v>
      </c>
      <c r="DU263" s="606">
        <f t="shared" si="358"/>
        <v>0</v>
      </c>
      <c r="DV263" s="607">
        <f t="shared" si="359"/>
        <v>0</v>
      </c>
      <c r="DW263" s="608">
        <f t="shared" si="360"/>
        <v>0</v>
      </c>
      <c r="DX263" s="607">
        <f t="shared" si="361"/>
        <v>0</v>
      </c>
      <c r="DY263" s="608">
        <f t="shared" si="362"/>
        <v>0</v>
      </c>
      <c r="DZ263" s="607">
        <f t="shared" si="363"/>
        <v>1212604.9472624206</v>
      </c>
      <c r="EA263" s="608">
        <f t="shared" si="364"/>
        <v>1272590.8475901976</v>
      </c>
    </row>
    <row r="264" spans="1:131" x14ac:dyDescent="0.2">
      <c r="A264" s="372" t="s">
        <v>39</v>
      </c>
      <c r="B264" s="373" t="s">
        <v>552</v>
      </c>
      <c r="C264" s="566"/>
      <c r="D264" s="362">
        <v>176080</v>
      </c>
      <c r="E264" s="363">
        <v>1</v>
      </c>
      <c r="F264" s="598">
        <v>115</v>
      </c>
      <c r="G264" s="599">
        <v>120</v>
      </c>
      <c r="H264" s="600"/>
      <c r="I264" s="601"/>
      <c r="J264" s="600">
        <v>116</v>
      </c>
      <c r="K264" s="599"/>
      <c r="L264" s="600"/>
      <c r="M264" s="601">
        <v>116</v>
      </c>
      <c r="N264" s="600">
        <v>153</v>
      </c>
      <c r="O264" s="599">
        <v>171</v>
      </c>
      <c r="P264" s="600"/>
      <c r="Q264" s="601"/>
      <c r="R264" s="600">
        <v>54</v>
      </c>
      <c r="S264" s="599"/>
      <c r="T264" s="600"/>
      <c r="U264" s="601">
        <v>53</v>
      </c>
      <c r="V264" s="600">
        <v>237</v>
      </c>
      <c r="W264" s="599">
        <v>229</v>
      </c>
      <c r="X264" s="600"/>
      <c r="Y264" s="601"/>
      <c r="Z264" s="600">
        <v>44</v>
      </c>
      <c r="AA264" s="599"/>
      <c r="AB264" s="600"/>
      <c r="AC264" s="601">
        <v>44</v>
      </c>
      <c r="AD264" s="600">
        <v>115</v>
      </c>
      <c r="AE264" s="599">
        <v>128</v>
      </c>
      <c r="AF264" s="600"/>
      <c r="AG264" s="601"/>
      <c r="AH264" s="600">
        <v>16</v>
      </c>
      <c r="AI264" s="599"/>
      <c r="AJ264" s="600"/>
      <c r="AK264" s="601">
        <v>18</v>
      </c>
      <c r="AL264" s="600">
        <v>58</v>
      </c>
      <c r="AM264" s="599">
        <v>51</v>
      </c>
      <c r="AN264" s="600"/>
      <c r="AO264" s="601"/>
      <c r="AP264" s="600"/>
      <c r="AQ264" s="599"/>
      <c r="AR264" s="600"/>
      <c r="AS264" s="601">
        <v>1</v>
      </c>
      <c r="AT264" s="600"/>
      <c r="AU264" s="599"/>
      <c r="AV264" s="600"/>
      <c r="AW264" s="601"/>
      <c r="AX264" s="600"/>
      <c r="AY264" s="599"/>
      <c r="AZ264" s="600"/>
      <c r="BA264" s="601"/>
      <c r="BB264" s="602">
        <v>24734100</v>
      </c>
      <c r="BC264" s="599">
        <v>25313884</v>
      </c>
      <c r="BD264" s="600">
        <v>15934815</v>
      </c>
      <c r="BE264" s="599">
        <v>17610922</v>
      </c>
      <c r="BF264" s="600">
        <v>18350258</v>
      </c>
      <c r="BG264" s="599">
        <v>18333355</v>
      </c>
      <c r="BH264" s="600">
        <v>5553978</v>
      </c>
      <c r="BI264" s="599">
        <v>6319574</v>
      </c>
      <c r="BJ264" s="600">
        <v>1772016</v>
      </c>
      <c r="BK264" s="615">
        <v>1486692</v>
      </c>
      <c r="BL264" s="600">
        <v>0</v>
      </c>
      <c r="BM264" s="604"/>
      <c r="BN264" s="605">
        <f t="shared" si="299"/>
        <v>2311</v>
      </c>
      <c r="BO264" s="606">
        <f t="shared" si="300"/>
        <v>2472</v>
      </c>
      <c r="BP264" s="607">
        <f t="shared" si="301"/>
        <v>1971</v>
      </c>
      <c r="BQ264" s="606">
        <f t="shared" si="302"/>
        <v>2175</v>
      </c>
      <c r="BR264" s="607">
        <f t="shared" si="303"/>
        <v>2617</v>
      </c>
      <c r="BS264" s="606">
        <f t="shared" si="304"/>
        <v>2589</v>
      </c>
      <c r="BT264" s="607">
        <f t="shared" si="305"/>
        <v>1211</v>
      </c>
      <c r="BU264" s="606">
        <f t="shared" si="306"/>
        <v>1368</v>
      </c>
      <c r="BV264" s="607">
        <f t="shared" si="307"/>
        <v>522</v>
      </c>
      <c r="BW264" s="608">
        <f t="shared" si="308"/>
        <v>471</v>
      </c>
      <c r="BX264" s="607">
        <f t="shared" si="309"/>
        <v>0</v>
      </c>
      <c r="BY264" s="608">
        <f t="shared" si="310"/>
        <v>0</v>
      </c>
      <c r="BZ264" s="607">
        <f t="shared" si="311"/>
        <v>10702.769363911726</v>
      </c>
      <c r="CA264" s="608">
        <f t="shared" si="312"/>
        <v>10240.24433656958</v>
      </c>
      <c r="CB264" s="607">
        <f t="shared" si="313"/>
        <v>8084.6347031963469</v>
      </c>
      <c r="CC264" s="608">
        <f t="shared" si="314"/>
        <v>8096.9756321839077</v>
      </c>
      <c r="CD264" s="607">
        <f t="shared" si="315"/>
        <v>7011.9442109285437</v>
      </c>
      <c r="CE264" s="608">
        <f t="shared" si="316"/>
        <v>7081.2495171881037</v>
      </c>
      <c r="CF264" s="607">
        <f t="shared" si="317"/>
        <v>4586.2741535920723</v>
      </c>
      <c r="CG264" s="608">
        <f t="shared" si="318"/>
        <v>4619.5716374269005</v>
      </c>
      <c r="CH264" s="607">
        <f t="shared" si="319"/>
        <v>3394.6666666666665</v>
      </c>
      <c r="CI264" s="608">
        <f t="shared" si="320"/>
        <v>3156.4585987261148</v>
      </c>
      <c r="CJ264" s="607">
        <f t="shared" si="321"/>
        <v>0</v>
      </c>
      <c r="CK264" s="608">
        <f t="shared" si="322"/>
        <v>0</v>
      </c>
      <c r="CL264" s="609">
        <f t="shared" si="323"/>
        <v>96324.924275205529</v>
      </c>
      <c r="CM264" s="608">
        <f t="shared" si="324"/>
        <v>92162.199029126219</v>
      </c>
      <c r="CN264" s="610">
        <f t="shared" si="325"/>
        <v>72761.712328767127</v>
      </c>
      <c r="CO264" s="606">
        <f t="shared" si="326"/>
        <v>72872.780689655163</v>
      </c>
      <c r="CP264" s="607">
        <f t="shared" si="327"/>
        <v>63107.497898356894</v>
      </c>
      <c r="CQ264" s="606">
        <f t="shared" si="328"/>
        <v>63731.245654692932</v>
      </c>
      <c r="CR264" s="607">
        <f t="shared" si="329"/>
        <v>41276.46738232865</v>
      </c>
      <c r="CS264" s="606">
        <f t="shared" si="330"/>
        <v>41576.144736842107</v>
      </c>
      <c r="CT264" s="607">
        <f t="shared" si="331"/>
        <v>30552</v>
      </c>
      <c r="CU264" s="608">
        <f t="shared" si="332"/>
        <v>28408.127388535035</v>
      </c>
      <c r="CV264" s="610">
        <f t="shared" si="333"/>
        <v>0</v>
      </c>
      <c r="CW264" s="608">
        <f t="shared" si="334"/>
        <v>0</v>
      </c>
      <c r="CX264" s="610">
        <f t="shared" si="335"/>
        <v>68529.925216024902</v>
      </c>
      <c r="CY264" s="611">
        <f t="shared" si="336"/>
        <v>67690.388469248646</v>
      </c>
      <c r="CZ264" s="605">
        <f t="shared" si="337"/>
        <v>231</v>
      </c>
      <c r="DA264" s="612">
        <f t="shared" si="338"/>
        <v>236</v>
      </c>
      <c r="DB264" s="607">
        <f t="shared" si="339"/>
        <v>207</v>
      </c>
      <c r="DC264" s="606">
        <f t="shared" si="340"/>
        <v>224</v>
      </c>
      <c r="DD264" s="607">
        <f t="shared" si="341"/>
        <v>281</v>
      </c>
      <c r="DE264" s="606">
        <f t="shared" si="342"/>
        <v>273</v>
      </c>
      <c r="DF264" s="607">
        <f t="shared" si="343"/>
        <v>131</v>
      </c>
      <c r="DG264" s="606">
        <f t="shared" si="344"/>
        <v>146</v>
      </c>
      <c r="DH264" s="607">
        <f t="shared" si="345"/>
        <v>58</v>
      </c>
      <c r="DI264" s="608">
        <f t="shared" si="346"/>
        <v>52</v>
      </c>
      <c r="DJ264" s="607">
        <f t="shared" si="347"/>
        <v>0</v>
      </c>
      <c r="DK264" s="608">
        <f t="shared" si="348"/>
        <v>0</v>
      </c>
      <c r="DL264" s="607">
        <f t="shared" si="349"/>
        <v>908</v>
      </c>
      <c r="DM264" s="608">
        <f t="shared" si="350"/>
        <v>931</v>
      </c>
      <c r="DN264" s="607">
        <f t="shared" si="351"/>
        <v>22251057.507572476</v>
      </c>
      <c r="DO264" s="612">
        <f t="shared" si="352"/>
        <v>21750278.970873788</v>
      </c>
      <c r="DP264" s="607">
        <f t="shared" si="353"/>
        <v>15061674.452054795</v>
      </c>
      <c r="DQ264" s="606">
        <f t="shared" si="354"/>
        <v>16323502.874482756</v>
      </c>
      <c r="DR264" s="607">
        <f t="shared" si="355"/>
        <v>17733206.909438286</v>
      </c>
      <c r="DS264" s="606">
        <f t="shared" si="356"/>
        <v>17398630.063731171</v>
      </c>
      <c r="DT264" s="607">
        <f t="shared" si="357"/>
        <v>5407217.227085053</v>
      </c>
      <c r="DU264" s="606">
        <f t="shared" si="358"/>
        <v>6070117.1315789474</v>
      </c>
      <c r="DV264" s="607">
        <f t="shared" si="359"/>
        <v>1772016</v>
      </c>
      <c r="DW264" s="608">
        <f t="shared" si="360"/>
        <v>1477222.6242038219</v>
      </c>
      <c r="DX264" s="607">
        <f t="shared" si="361"/>
        <v>0</v>
      </c>
      <c r="DY264" s="608">
        <f t="shared" si="362"/>
        <v>0</v>
      </c>
      <c r="DZ264" s="607">
        <f t="shared" si="363"/>
        <v>62225172.096150614</v>
      </c>
      <c r="EA264" s="608">
        <f t="shared" si="364"/>
        <v>63019751.664870493</v>
      </c>
    </row>
    <row r="265" spans="1:131" x14ac:dyDescent="0.2">
      <c r="A265" s="372" t="s">
        <v>39</v>
      </c>
      <c r="B265" s="373" t="s">
        <v>553</v>
      </c>
      <c r="C265" s="566" t="s">
        <v>560</v>
      </c>
      <c r="D265" s="362">
        <v>176372</v>
      </c>
      <c r="E265" s="363">
        <v>1</v>
      </c>
      <c r="F265" s="598">
        <v>97</v>
      </c>
      <c r="G265" s="599">
        <v>95</v>
      </c>
      <c r="H265" s="600"/>
      <c r="I265" s="601"/>
      <c r="J265" s="600">
        <v>30</v>
      </c>
      <c r="K265" s="599"/>
      <c r="L265" s="600"/>
      <c r="M265" s="601">
        <v>33</v>
      </c>
      <c r="N265" s="600">
        <v>175</v>
      </c>
      <c r="O265" s="599">
        <v>188</v>
      </c>
      <c r="P265" s="600"/>
      <c r="Q265" s="601"/>
      <c r="R265" s="600">
        <v>22</v>
      </c>
      <c r="S265" s="599"/>
      <c r="T265" s="600"/>
      <c r="U265" s="601">
        <v>20</v>
      </c>
      <c r="V265" s="600">
        <v>186</v>
      </c>
      <c r="W265" s="599">
        <v>186</v>
      </c>
      <c r="X265" s="600"/>
      <c r="Y265" s="601"/>
      <c r="Z265" s="600">
        <v>7</v>
      </c>
      <c r="AA265" s="599"/>
      <c r="AB265" s="600"/>
      <c r="AC265" s="601">
        <v>11</v>
      </c>
      <c r="AD265" s="600">
        <v>140</v>
      </c>
      <c r="AE265" s="599">
        <v>138</v>
      </c>
      <c r="AF265" s="600"/>
      <c r="AG265" s="601"/>
      <c r="AH265" s="600">
        <v>10</v>
      </c>
      <c r="AI265" s="599"/>
      <c r="AJ265" s="600"/>
      <c r="AK265" s="601">
        <v>11</v>
      </c>
      <c r="AL265" s="600">
        <v>3</v>
      </c>
      <c r="AM265" s="599">
        <v>2</v>
      </c>
      <c r="AN265" s="600"/>
      <c r="AO265" s="601"/>
      <c r="AP265" s="600">
        <v>1</v>
      </c>
      <c r="AQ265" s="599"/>
      <c r="AR265" s="600"/>
      <c r="AS265" s="601">
        <v>3</v>
      </c>
      <c r="AT265" s="600"/>
      <c r="AU265" s="599"/>
      <c r="AV265" s="600"/>
      <c r="AW265" s="601"/>
      <c r="AX265" s="600"/>
      <c r="AY265" s="599"/>
      <c r="AZ265" s="600"/>
      <c r="BA265" s="601"/>
      <c r="BB265" s="602">
        <v>11727736</v>
      </c>
      <c r="BC265" s="599">
        <v>11985137</v>
      </c>
      <c r="BD265" s="600">
        <v>13284563</v>
      </c>
      <c r="BE265" s="599">
        <v>14089402</v>
      </c>
      <c r="BF265" s="600">
        <v>11311704</v>
      </c>
      <c r="BG265" s="599">
        <v>11959056</v>
      </c>
      <c r="BH265" s="600">
        <v>7193530</v>
      </c>
      <c r="BI265" s="599">
        <v>7031505</v>
      </c>
      <c r="BJ265" s="600">
        <v>226323</v>
      </c>
      <c r="BK265" s="615">
        <v>366095</v>
      </c>
      <c r="BL265" s="600">
        <v>0</v>
      </c>
      <c r="BM265" s="604"/>
      <c r="BN265" s="605">
        <f t="shared" ref="BN265:BN328" si="365">((F265*9)+(H265*10)+(J265*11)+(L265*12))</f>
        <v>1203</v>
      </c>
      <c r="BO265" s="606">
        <f t="shared" ref="BO265:BO328" si="366">((G265*9)+(I265*10)+(K265*11)+(M265*12))</f>
        <v>1251</v>
      </c>
      <c r="BP265" s="607">
        <f t="shared" ref="BP265:BP328" si="367">((N265*9)+(P265*10)+(R265*11)+(T265*12))</f>
        <v>1817</v>
      </c>
      <c r="BQ265" s="606">
        <f t="shared" ref="BQ265:BQ328" si="368">((O265*9)+(Q265*10)+(S265*11)+(U265*12))</f>
        <v>1932</v>
      </c>
      <c r="BR265" s="607">
        <f t="shared" ref="BR265:BR328" si="369">((V265*9)+(X265*10)+(Z265*11)+(AB265*12))</f>
        <v>1751</v>
      </c>
      <c r="BS265" s="606">
        <f t="shared" ref="BS265:BS328" si="370">((W265*9)+(Y265*10)+(AA265*11)+(AC265*12))</f>
        <v>1806</v>
      </c>
      <c r="BT265" s="607">
        <f t="shared" ref="BT265:BT328" si="371">((AD265*9)+(AF265*10)+(AH265*11)+(AJ265*12))</f>
        <v>1370</v>
      </c>
      <c r="BU265" s="606">
        <f t="shared" ref="BU265:BU328" si="372">((AE265*9)+(AG265*10)+(AI265*11)+(AK265*12))</f>
        <v>1374</v>
      </c>
      <c r="BV265" s="607">
        <f t="shared" ref="BV265:BV328" si="373">((AL265*9)+(AN265*10)+(AP265*11)+(AR265*12))</f>
        <v>38</v>
      </c>
      <c r="BW265" s="608">
        <f t="shared" ref="BW265:BW328" si="374">((AM265*9)+(AO265*10)+(AQ265*11)+(AS265*12))</f>
        <v>54</v>
      </c>
      <c r="BX265" s="607">
        <f t="shared" ref="BX265:BX328" si="375">((AT265*9)+(AV265*10)+(AX265*11)+(AZ265*12))</f>
        <v>0</v>
      </c>
      <c r="BY265" s="608">
        <f t="shared" ref="BY265:BY328" si="376">((AU265*9)+(AW265*10)+(AY265*11)+(BA265*12))</f>
        <v>0</v>
      </c>
      <c r="BZ265" s="607">
        <f t="shared" ref="BZ265:BZ328" si="377">IF(BN265&gt;0,BB265/BN265,)</f>
        <v>9748.7414796342473</v>
      </c>
      <c r="CA265" s="608">
        <f t="shared" ref="CA265:CA328" si="378">IF(BO265&gt;0,BC265/BO265,)</f>
        <v>9580.4452438049557</v>
      </c>
      <c r="CB265" s="607">
        <f t="shared" ref="CB265:CB328" si="379">IF(BP265&gt;0,BD265/BP265,)</f>
        <v>7311.2619702806824</v>
      </c>
      <c r="CC265" s="608">
        <f t="shared" ref="CC265:CC328" si="380">IF(BQ265&gt;0,BE265/BQ265,)</f>
        <v>7292.6511387163564</v>
      </c>
      <c r="CD265" s="607">
        <f t="shared" ref="CD265:CD328" si="381">IF(BR265&gt;0,BF265/BR265,)</f>
        <v>6460.1393489434613</v>
      </c>
      <c r="CE265" s="608">
        <f t="shared" ref="CE265:CE328" si="382">IF(BS265&gt;0,BG265/BS265,)</f>
        <v>6621.8471760797338</v>
      </c>
      <c r="CF265" s="607">
        <f t="shared" ref="CF265:CF328" si="383">IF(BT265&gt;0,BH265/BT265,)</f>
        <v>5250.7518248175184</v>
      </c>
      <c r="CG265" s="608">
        <f t="shared" ref="CG265:CG328" si="384">IF(BU265&gt;0,BI265/BU265,)</f>
        <v>5117.5436681222709</v>
      </c>
      <c r="CH265" s="607">
        <f t="shared" ref="CH265:CH328" si="385">IF(BV265&gt;0,BJ265/BV265,)</f>
        <v>5955.8684210526317</v>
      </c>
      <c r="CI265" s="608">
        <f t="shared" ref="CI265:CI328" si="386">IF(BW265&gt;0,BK265/BW265,)</f>
        <v>6779.5370370370374</v>
      </c>
      <c r="CJ265" s="607">
        <f t="shared" ref="CJ265:CJ328" si="387">IF(BX265&gt;0,BL265/BX265,)</f>
        <v>0</v>
      </c>
      <c r="CK265" s="608">
        <f t="shared" ref="CK265:CK328" si="388">IF(BY265&gt;0,BM265/BY265,)</f>
        <v>0</v>
      </c>
      <c r="CL265" s="609">
        <f t="shared" ref="CL265:CL328" si="389">+BZ265*9</f>
        <v>87738.673316708228</v>
      </c>
      <c r="CM265" s="608">
        <f t="shared" ref="CM265:CM328" si="390">+CA265*9</f>
        <v>86224.007194244594</v>
      </c>
      <c r="CN265" s="610">
        <f t="shared" ref="CN265:CN328" si="391">+CB265*9</f>
        <v>65801.357732526143</v>
      </c>
      <c r="CO265" s="606">
        <f t="shared" ref="CO265:CO328" si="392">+CC265*9</f>
        <v>65633.860248447207</v>
      </c>
      <c r="CP265" s="607">
        <f t="shared" ref="CP265:CP328" si="393">+CD265*9</f>
        <v>58141.254140491154</v>
      </c>
      <c r="CQ265" s="606">
        <f t="shared" ref="CQ265:CQ328" si="394">+CE265*9</f>
        <v>59596.624584717603</v>
      </c>
      <c r="CR265" s="607">
        <f t="shared" ref="CR265:CR328" si="395">+CF265*9</f>
        <v>47256.766423357665</v>
      </c>
      <c r="CS265" s="606">
        <f t="shared" ref="CS265:CS328" si="396">+CG265*9</f>
        <v>46057.893013100438</v>
      </c>
      <c r="CT265" s="607">
        <f t="shared" ref="CT265:CT328" si="397">+CH265*9</f>
        <v>53602.815789473687</v>
      </c>
      <c r="CU265" s="608">
        <f t="shared" ref="CU265:CU328" si="398">+CI265*9</f>
        <v>61015.833333333336</v>
      </c>
      <c r="CV265" s="610">
        <f t="shared" ref="CV265:CV328" si="399">+CJ265*9</f>
        <v>0</v>
      </c>
      <c r="CW265" s="608">
        <f t="shared" ref="CW265:CW328" si="400">+CK265*9</f>
        <v>0</v>
      </c>
      <c r="CX265" s="610">
        <f t="shared" ref="CX265:CX328" si="401">IF(DL265&gt;0,((CL265*CZ265)+(CN265*DB265)+(CP265*DD265)+(CR265*DF265)+(CT265*DH265)+(CV265*DJ265))/DL265,)</f>
        <v>63531.843905075919</v>
      </c>
      <c r="CY265" s="611">
        <f t="shared" ref="CY265:CY328" si="402">IF(DM265&gt;0,((CM265*DA265)+(CO265*DC265)+(CQ265*DE265)+(CS265*DG265)+(CU265*DI265)+(CW265*DK265))/DM265,)</f>
        <v>63459.615897159143</v>
      </c>
      <c r="CZ265" s="605">
        <f t="shared" ref="CZ265:CZ328" si="403">+F265+H265+J265+L265</f>
        <v>127</v>
      </c>
      <c r="DA265" s="612">
        <f t="shared" ref="DA265:DA328" si="404">+G265+I265+K265+M265</f>
        <v>128</v>
      </c>
      <c r="DB265" s="607">
        <f t="shared" ref="DB265:DB328" si="405">+N265+P265+R265+T265</f>
        <v>197</v>
      </c>
      <c r="DC265" s="606">
        <f t="shared" ref="DC265:DC328" si="406">+O265+Q265+S265+U265</f>
        <v>208</v>
      </c>
      <c r="DD265" s="607">
        <f t="shared" ref="DD265:DD328" si="407">+V265+X265+Z265+AB265</f>
        <v>193</v>
      </c>
      <c r="DE265" s="606">
        <f t="shared" ref="DE265:DE328" si="408">+W265+Y265+AA265+AC265</f>
        <v>197</v>
      </c>
      <c r="DF265" s="607">
        <f t="shared" ref="DF265:DF328" si="409">+AD265+AF265+AH265+AJ265</f>
        <v>150</v>
      </c>
      <c r="DG265" s="606">
        <f t="shared" ref="DG265:DG328" si="410">+AE265+AG265+AI265+AK265</f>
        <v>149</v>
      </c>
      <c r="DH265" s="607">
        <f t="shared" ref="DH265:DH328" si="411">+AL265+AN265+AP265+AR265</f>
        <v>4</v>
      </c>
      <c r="DI265" s="608">
        <f t="shared" ref="DI265:DI328" si="412">+AM265+AO265+AQ265+AS265</f>
        <v>5</v>
      </c>
      <c r="DJ265" s="607">
        <f t="shared" ref="DJ265:DJ328" si="413">+AT265+AV265+AX265+AZ265</f>
        <v>0</v>
      </c>
      <c r="DK265" s="608">
        <f t="shared" ref="DK265:DK328" si="414">+AU265+AW265+AY265+BA265</f>
        <v>0</v>
      </c>
      <c r="DL265" s="607">
        <f t="shared" ref="DL265:DL328" si="415">+CZ265+DB265+DD265+DF265+DH265+DJ265</f>
        <v>671</v>
      </c>
      <c r="DM265" s="608">
        <f t="shared" ref="DM265:DM328" si="416">+DA265+DC265+DE265+DG265+DI265+DK265</f>
        <v>687</v>
      </c>
      <c r="DN265" s="607">
        <f t="shared" ref="DN265:DN328" si="417">+CZ265*CL265</f>
        <v>11142811.511221945</v>
      </c>
      <c r="DO265" s="612">
        <f t="shared" ref="DO265:DO328" si="418">+DA265*CM265</f>
        <v>11036672.920863308</v>
      </c>
      <c r="DP265" s="607">
        <f t="shared" ref="DP265:DP328" si="419">+DB265*CN265</f>
        <v>12962867.473307651</v>
      </c>
      <c r="DQ265" s="606">
        <f t="shared" ref="DQ265:DQ328" si="420">+DC265*CO265</f>
        <v>13651842.931677019</v>
      </c>
      <c r="DR265" s="607">
        <f t="shared" ref="DR265:DR328" si="421">+DD265*CP265</f>
        <v>11221262.049114794</v>
      </c>
      <c r="DS265" s="606">
        <f t="shared" ref="DS265:DS328" si="422">+DE265*CQ265</f>
        <v>11740535.043189367</v>
      </c>
      <c r="DT265" s="607">
        <f t="shared" ref="DT265:DT328" si="423">+DF265*CR265</f>
        <v>7088514.9635036495</v>
      </c>
      <c r="DU265" s="606">
        <f t="shared" ref="DU265:DU328" si="424">+DG265*CS265</f>
        <v>6862626.0589519655</v>
      </c>
      <c r="DV265" s="607">
        <f t="shared" ref="DV265:DV328" si="425">+DH265*CT265</f>
        <v>214411.26315789475</v>
      </c>
      <c r="DW265" s="608">
        <f t="shared" ref="DW265:DW328" si="426">+DI265*CU265</f>
        <v>305079.16666666669</v>
      </c>
      <c r="DX265" s="607">
        <f t="shared" ref="DX265:DX328" si="427">+DJ265*CV265</f>
        <v>0</v>
      </c>
      <c r="DY265" s="608">
        <f t="shared" ref="DY265:DY328" si="428">+DK265*CW265</f>
        <v>0</v>
      </c>
      <c r="DZ265" s="607">
        <f t="shared" ref="DZ265:DZ328" si="429">+DL265*CX265</f>
        <v>42629867.260305941</v>
      </c>
      <c r="EA265" s="608">
        <f t="shared" ref="EA265:EA328" si="430">+DM265*CY265</f>
        <v>43596756.121348329</v>
      </c>
    </row>
    <row r="266" spans="1:131" x14ac:dyDescent="0.2">
      <c r="A266" s="372" t="s">
        <v>39</v>
      </c>
      <c r="B266" s="374" t="s">
        <v>554</v>
      </c>
      <c r="C266" s="566"/>
      <c r="D266" s="362">
        <v>175856</v>
      </c>
      <c r="E266" s="363">
        <v>2</v>
      </c>
      <c r="F266" s="598">
        <v>50</v>
      </c>
      <c r="G266" s="599">
        <v>52</v>
      </c>
      <c r="H266" s="600"/>
      <c r="I266" s="601">
        <v>2</v>
      </c>
      <c r="J266" s="600">
        <v>31</v>
      </c>
      <c r="K266" s="599"/>
      <c r="L266" s="600"/>
      <c r="M266" s="601">
        <v>27</v>
      </c>
      <c r="N266" s="600">
        <v>91</v>
      </c>
      <c r="O266" s="599">
        <v>81</v>
      </c>
      <c r="P266" s="600"/>
      <c r="Q266" s="601">
        <v>8</v>
      </c>
      <c r="R266" s="600">
        <v>16</v>
      </c>
      <c r="S266" s="599"/>
      <c r="T266" s="600"/>
      <c r="U266" s="601">
        <v>16</v>
      </c>
      <c r="V266" s="600">
        <v>114</v>
      </c>
      <c r="W266" s="599">
        <v>108</v>
      </c>
      <c r="X266" s="600"/>
      <c r="Y266" s="601">
        <v>11</v>
      </c>
      <c r="Z266" s="600">
        <v>10</v>
      </c>
      <c r="AA266" s="599"/>
      <c r="AB266" s="600"/>
      <c r="AC266" s="601">
        <v>9</v>
      </c>
      <c r="AD266" s="600">
        <v>64</v>
      </c>
      <c r="AE266" s="599">
        <v>52</v>
      </c>
      <c r="AF266" s="600"/>
      <c r="AG266" s="601">
        <v>16</v>
      </c>
      <c r="AH266" s="600">
        <v>1</v>
      </c>
      <c r="AI266" s="599"/>
      <c r="AJ266" s="600"/>
      <c r="AK266" s="601">
        <v>2</v>
      </c>
      <c r="AL266" s="600">
        <v>1</v>
      </c>
      <c r="AM266" s="599">
        <v>2</v>
      </c>
      <c r="AN266" s="600"/>
      <c r="AO266" s="601">
        <v>1</v>
      </c>
      <c r="AP266" s="600"/>
      <c r="AQ266" s="599"/>
      <c r="AR266" s="600"/>
      <c r="AS266" s="601"/>
      <c r="AT266" s="600"/>
      <c r="AU266" s="599"/>
      <c r="AV266" s="600"/>
      <c r="AW266" s="601"/>
      <c r="AX266" s="600"/>
      <c r="AY266" s="599"/>
      <c r="AZ266" s="600"/>
      <c r="BA266" s="601"/>
      <c r="BB266" s="602">
        <v>6584743</v>
      </c>
      <c r="BC266" s="599">
        <v>6640164</v>
      </c>
      <c r="BD266" s="600">
        <v>7077019</v>
      </c>
      <c r="BE266" s="599">
        <v>7039321</v>
      </c>
      <c r="BF266" s="600">
        <v>7072844</v>
      </c>
      <c r="BG266" s="599">
        <v>7268104</v>
      </c>
      <c r="BH266" s="600">
        <v>2703553</v>
      </c>
      <c r="BI266" s="599">
        <v>2941932</v>
      </c>
      <c r="BJ266" s="600">
        <v>34747</v>
      </c>
      <c r="BK266" s="615">
        <v>112075</v>
      </c>
      <c r="BL266" s="600">
        <v>0</v>
      </c>
      <c r="BM266" s="604"/>
      <c r="BN266" s="605">
        <f t="shared" si="365"/>
        <v>791</v>
      </c>
      <c r="BO266" s="606">
        <f t="shared" si="366"/>
        <v>812</v>
      </c>
      <c r="BP266" s="607">
        <f t="shared" si="367"/>
        <v>995</v>
      </c>
      <c r="BQ266" s="606">
        <f t="shared" si="368"/>
        <v>1001</v>
      </c>
      <c r="BR266" s="607">
        <f t="shared" si="369"/>
        <v>1136</v>
      </c>
      <c r="BS266" s="606">
        <f t="shared" si="370"/>
        <v>1190</v>
      </c>
      <c r="BT266" s="607">
        <f t="shared" si="371"/>
        <v>587</v>
      </c>
      <c r="BU266" s="606">
        <f t="shared" si="372"/>
        <v>652</v>
      </c>
      <c r="BV266" s="607">
        <f t="shared" si="373"/>
        <v>9</v>
      </c>
      <c r="BW266" s="608">
        <f t="shared" si="374"/>
        <v>28</v>
      </c>
      <c r="BX266" s="607">
        <f t="shared" si="375"/>
        <v>0</v>
      </c>
      <c r="BY266" s="608">
        <f t="shared" si="376"/>
        <v>0</v>
      </c>
      <c r="BZ266" s="607">
        <f t="shared" si="377"/>
        <v>8324.5802781289512</v>
      </c>
      <c r="CA266" s="608">
        <f t="shared" si="378"/>
        <v>8177.5418719211821</v>
      </c>
      <c r="CB266" s="607">
        <f t="shared" si="379"/>
        <v>7112.5819095477391</v>
      </c>
      <c r="CC266" s="608">
        <f t="shared" si="380"/>
        <v>7032.2887112887111</v>
      </c>
      <c r="CD266" s="607">
        <f t="shared" si="381"/>
        <v>6226.0950704225352</v>
      </c>
      <c r="CE266" s="608">
        <f t="shared" si="382"/>
        <v>6107.6504201680673</v>
      </c>
      <c r="CF266" s="607">
        <f t="shared" si="383"/>
        <v>4605.7120954003403</v>
      </c>
      <c r="CG266" s="608">
        <f t="shared" si="384"/>
        <v>4512.1656441717787</v>
      </c>
      <c r="CH266" s="607">
        <f t="shared" si="385"/>
        <v>3860.7777777777778</v>
      </c>
      <c r="CI266" s="608">
        <f t="shared" si="386"/>
        <v>4002.6785714285716</v>
      </c>
      <c r="CJ266" s="607">
        <f t="shared" si="387"/>
        <v>0</v>
      </c>
      <c r="CK266" s="608">
        <f t="shared" si="388"/>
        <v>0</v>
      </c>
      <c r="CL266" s="609">
        <f t="shared" si="389"/>
        <v>74921.222503160563</v>
      </c>
      <c r="CM266" s="608">
        <f t="shared" si="390"/>
        <v>73597.876847290638</v>
      </c>
      <c r="CN266" s="610">
        <f t="shared" si="391"/>
        <v>64013.237185929655</v>
      </c>
      <c r="CO266" s="606">
        <f t="shared" si="392"/>
        <v>63290.5984015984</v>
      </c>
      <c r="CP266" s="607">
        <f t="shared" si="393"/>
        <v>56034.855633802814</v>
      </c>
      <c r="CQ266" s="606">
        <f t="shared" si="394"/>
        <v>54968.853781512604</v>
      </c>
      <c r="CR266" s="607">
        <f t="shared" si="395"/>
        <v>41451.408858603063</v>
      </c>
      <c r="CS266" s="606">
        <f t="shared" si="396"/>
        <v>40609.490797546008</v>
      </c>
      <c r="CT266" s="607">
        <f t="shared" si="397"/>
        <v>34747</v>
      </c>
      <c r="CU266" s="608">
        <f t="shared" si="398"/>
        <v>36024.107142857145</v>
      </c>
      <c r="CV266" s="610">
        <f t="shared" si="399"/>
        <v>0</v>
      </c>
      <c r="CW266" s="608">
        <f t="shared" si="400"/>
        <v>0</v>
      </c>
      <c r="CX266" s="610">
        <f t="shared" si="401"/>
        <v>59776.312370505897</v>
      </c>
      <c r="CY266" s="611">
        <f t="shared" si="402"/>
        <v>58381.630020901233</v>
      </c>
      <c r="CZ266" s="605">
        <f t="shared" si="403"/>
        <v>81</v>
      </c>
      <c r="DA266" s="612">
        <f t="shared" si="404"/>
        <v>81</v>
      </c>
      <c r="DB266" s="607">
        <f t="shared" si="405"/>
        <v>107</v>
      </c>
      <c r="DC266" s="606">
        <f t="shared" si="406"/>
        <v>105</v>
      </c>
      <c r="DD266" s="607">
        <f t="shared" si="407"/>
        <v>124</v>
      </c>
      <c r="DE266" s="606">
        <f t="shared" si="408"/>
        <v>128</v>
      </c>
      <c r="DF266" s="607">
        <f t="shared" si="409"/>
        <v>65</v>
      </c>
      <c r="DG266" s="606">
        <f t="shared" si="410"/>
        <v>70</v>
      </c>
      <c r="DH266" s="607">
        <f t="shared" si="411"/>
        <v>1</v>
      </c>
      <c r="DI266" s="608">
        <f t="shared" si="412"/>
        <v>3</v>
      </c>
      <c r="DJ266" s="607">
        <f t="shared" si="413"/>
        <v>0</v>
      </c>
      <c r="DK266" s="608">
        <f t="shared" si="414"/>
        <v>0</v>
      </c>
      <c r="DL266" s="607">
        <f t="shared" si="415"/>
        <v>378</v>
      </c>
      <c r="DM266" s="608">
        <f t="shared" si="416"/>
        <v>387</v>
      </c>
      <c r="DN266" s="607">
        <f t="shared" si="417"/>
        <v>6068619.0227560056</v>
      </c>
      <c r="DO266" s="612">
        <f t="shared" si="418"/>
        <v>5961428.0246305419</v>
      </c>
      <c r="DP266" s="607">
        <f t="shared" si="419"/>
        <v>6849416.3788944734</v>
      </c>
      <c r="DQ266" s="606">
        <f t="shared" si="420"/>
        <v>6645512.8321678322</v>
      </c>
      <c r="DR266" s="607">
        <f t="shared" si="421"/>
        <v>6948322.0985915493</v>
      </c>
      <c r="DS266" s="606">
        <f t="shared" si="422"/>
        <v>7036013.2840336133</v>
      </c>
      <c r="DT266" s="607">
        <f t="shared" si="423"/>
        <v>2694341.5758091989</v>
      </c>
      <c r="DU266" s="606">
        <f t="shared" si="424"/>
        <v>2842664.3558282205</v>
      </c>
      <c r="DV266" s="607">
        <f t="shared" si="425"/>
        <v>34747</v>
      </c>
      <c r="DW266" s="608">
        <f t="shared" si="426"/>
        <v>108072.32142857143</v>
      </c>
      <c r="DX266" s="607">
        <f t="shared" si="427"/>
        <v>0</v>
      </c>
      <c r="DY266" s="608">
        <f t="shared" si="428"/>
        <v>0</v>
      </c>
      <c r="DZ266" s="607">
        <f t="shared" si="429"/>
        <v>22595446.076051228</v>
      </c>
      <c r="EA266" s="608">
        <f t="shared" si="430"/>
        <v>22593690.818088777</v>
      </c>
    </row>
    <row r="267" spans="1:131" x14ac:dyDescent="0.2">
      <c r="A267" s="372" t="s">
        <v>39</v>
      </c>
      <c r="B267" s="354" t="s">
        <v>555</v>
      </c>
      <c r="C267" s="566"/>
      <c r="D267" s="362">
        <v>176017</v>
      </c>
      <c r="E267" s="363">
        <v>2</v>
      </c>
      <c r="F267" s="598">
        <v>116</v>
      </c>
      <c r="G267" s="599">
        <v>115</v>
      </c>
      <c r="H267" s="600"/>
      <c r="I267" s="601"/>
      <c r="J267" s="600">
        <v>50</v>
      </c>
      <c r="K267" s="599"/>
      <c r="L267" s="600"/>
      <c r="M267" s="601">
        <v>51</v>
      </c>
      <c r="N267" s="600">
        <v>172</v>
      </c>
      <c r="O267" s="599">
        <v>174</v>
      </c>
      <c r="P267" s="600"/>
      <c r="Q267" s="601"/>
      <c r="R267" s="600">
        <v>50</v>
      </c>
      <c r="S267" s="599"/>
      <c r="T267" s="600"/>
      <c r="U267" s="601">
        <v>46</v>
      </c>
      <c r="V267" s="600">
        <v>177</v>
      </c>
      <c r="W267" s="599">
        <v>204</v>
      </c>
      <c r="X267" s="600"/>
      <c r="Y267" s="601"/>
      <c r="Z267" s="600">
        <v>34</v>
      </c>
      <c r="AA267" s="599"/>
      <c r="AB267" s="600"/>
      <c r="AC267" s="601">
        <v>33</v>
      </c>
      <c r="AD267" s="600">
        <v>124</v>
      </c>
      <c r="AE267" s="599">
        <v>113</v>
      </c>
      <c r="AF267" s="600"/>
      <c r="AG267" s="601"/>
      <c r="AH267" s="600">
        <v>26</v>
      </c>
      <c r="AI267" s="599"/>
      <c r="AJ267" s="600"/>
      <c r="AK267" s="601">
        <v>32</v>
      </c>
      <c r="AL267" s="600">
        <v>13</v>
      </c>
      <c r="AM267" s="599">
        <v>17</v>
      </c>
      <c r="AN267" s="600"/>
      <c r="AO267" s="601"/>
      <c r="AP267" s="600">
        <v>2</v>
      </c>
      <c r="AQ267" s="599"/>
      <c r="AR267" s="600"/>
      <c r="AS267" s="601">
        <v>3</v>
      </c>
      <c r="AT267" s="600"/>
      <c r="AU267" s="599"/>
      <c r="AV267" s="600"/>
      <c r="AW267" s="601"/>
      <c r="AX267" s="600"/>
      <c r="AY267" s="599"/>
      <c r="AZ267" s="600"/>
      <c r="BA267" s="601"/>
      <c r="BB267" s="602">
        <v>19258524</v>
      </c>
      <c r="BC267" s="599">
        <v>19951796</v>
      </c>
      <c r="BD267" s="600">
        <v>18453622</v>
      </c>
      <c r="BE267" s="599">
        <v>18595511</v>
      </c>
      <c r="BF267" s="600">
        <v>14536757</v>
      </c>
      <c r="BG267" s="599">
        <v>16599388</v>
      </c>
      <c r="BH267" s="600">
        <v>6235184</v>
      </c>
      <c r="BI267" s="599">
        <v>6147789</v>
      </c>
      <c r="BJ267" s="600">
        <v>711926</v>
      </c>
      <c r="BK267" s="615">
        <v>962176</v>
      </c>
      <c r="BL267" s="600">
        <v>0</v>
      </c>
      <c r="BM267" s="604"/>
      <c r="BN267" s="605">
        <f t="shared" si="365"/>
        <v>1594</v>
      </c>
      <c r="BO267" s="606">
        <f t="shared" si="366"/>
        <v>1647</v>
      </c>
      <c r="BP267" s="607">
        <f t="shared" si="367"/>
        <v>2098</v>
      </c>
      <c r="BQ267" s="606">
        <f t="shared" si="368"/>
        <v>2118</v>
      </c>
      <c r="BR267" s="607">
        <f t="shared" si="369"/>
        <v>1967</v>
      </c>
      <c r="BS267" s="606">
        <f t="shared" si="370"/>
        <v>2232</v>
      </c>
      <c r="BT267" s="607">
        <f t="shared" si="371"/>
        <v>1402</v>
      </c>
      <c r="BU267" s="606">
        <f t="shared" si="372"/>
        <v>1401</v>
      </c>
      <c r="BV267" s="607">
        <f t="shared" si="373"/>
        <v>139</v>
      </c>
      <c r="BW267" s="608">
        <f t="shared" si="374"/>
        <v>189</v>
      </c>
      <c r="BX267" s="607">
        <f t="shared" si="375"/>
        <v>0</v>
      </c>
      <c r="BY267" s="608">
        <f t="shared" si="376"/>
        <v>0</v>
      </c>
      <c r="BZ267" s="607">
        <f t="shared" si="377"/>
        <v>12081.884567126725</v>
      </c>
      <c r="CA267" s="608">
        <f t="shared" si="378"/>
        <v>12114.023072252581</v>
      </c>
      <c r="CB267" s="607">
        <f t="shared" si="379"/>
        <v>8795.8160152526216</v>
      </c>
      <c r="CC267" s="608">
        <f t="shared" si="380"/>
        <v>8779.7502360717663</v>
      </c>
      <c r="CD267" s="607">
        <f t="shared" si="381"/>
        <v>7390.3187595322825</v>
      </c>
      <c r="CE267" s="608">
        <f t="shared" si="382"/>
        <v>7437.0017921146955</v>
      </c>
      <c r="CF267" s="607">
        <f t="shared" si="383"/>
        <v>4447.3495007132669</v>
      </c>
      <c r="CG267" s="608">
        <f t="shared" si="384"/>
        <v>4388.1434689507496</v>
      </c>
      <c r="CH267" s="607">
        <f t="shared" si="385"/>
        <v>5121.7697841726622</v>
      </c>
      <c r="CI267" s="608">
        <f t="shared" si="386"/>
        <v>5090.8783068783068</v>
      </c>
      <c r="CJ267" s="607">
        <f t="shared" si="387"/>
        <v>0</v>
      </c>
      <c r="CK267" s="608">
        <f t="shared" si="388"/>
        <v>0</v>
      </c>
      <c r="CL267" s="609">
        <f t="shared" si="389"/>
        <v>108736.96110414052</v>
      </c>
      <c r="CM267" s="608">
        <f t="shared" si="390"/>
        <v>109026.20765027322</v>
      </c>
      <c r="CN267" s="610">
        <f t="shared" si="391"/>
        <v>79162.344137273598</v>
      </c>
      <c r="CO267" s="606">
        <f t="shared" si="392"/>
        <v>79017.752124645893</v>
      </c>
      <c r="CP267" s="607">
        <f t="shared" si="393"/>
        <v>66512.868835790548</v>
      </c>
      <c r="CQ267" s="606">
        <f t="shared" si="394"/>
        <v>66933.016129032258</v>
      </c>
      <c r="CR267" s="607">
        <f t="shared" si="395"/>
        <v>40026.145506419401</v>
      </c>
      <c r="CS267" s="606">
        <f t="shared" si="396"/>
        <v>39493.291220556748</v>
      </c>
      <c r="CT267" s="607">
        <f t="shared" si="397"/>
        <v>46095.92805755396</v>
      </c>
      <c r="CU267" s="608">
        <f t="shared" si="398"/>
        <v>45817.904761904763</v>
      </c>
      <c r="CV267" s="610">
        <f t="shared" si="399"/>
        <v>0</v>
      </c>
      <c r="CW267" s="608">
        <f t="shared" si="400"/>
        <v>0</v>
      </c>
      <c r="CX267" s="610">
        <f t="shared" si="401"/>
        <v>73761.71729442419</v>
      </c>
      <c r="CY267" s="611">
        <f t="shared" si="402"/>
        <v>73589.170155034168</v>
      </c>
      <c r="CZ267" s="605">
        <f t="shared" si="403"/>
        <v>166</v>
      </c>
      <c r="DA267" s="612">
        <f t="shared" si="404"/>
        <v>166</v>
      </c>
      <c r="DB267" s="607">
        <f t="shared" si="405"/>
        <v>222</v>
      </c>
      <c r="DC267" s="606">
        <f t="shared" si="406"/>
        <v>220</v>
      </c>
      <c r="DD267" s="607">
        <f t="shared" si="407"/>
        <v>211</v>
      </c>
      <c r="DE267" s="606">
        <f t="shared" si="408"/>
        <v>237</v>
      </c>
      <c r="DF267" s="607">
        <f t="shared" si="409"/>
        <v>150</v>
      </c>
      <c r="DG267" s="606">
        <f t="shared" si="410"/>
        <v>145</v>
      </c>
      <c r="DH267" s="607">
        <f t="shared" si="411"/>
        <v>15</v>
      </c>
      <c r="DI267" s="608">
        <f t="shared" si="412"/>
        <v>20</v>
      </c>
      <c r="DJ267" s="607">
        <f t="shared" si="413"/>
        <v>0</v>
      </c>
      <c r="DK267" s="608">
        <f t="shared" si="414"/>
        <v>0</v>
      </c>
      <c r="DL267" s="607">
        <f t="shared" si="415"/>
        <v>764</v>
      </c>
      <c r="DM267" s="608">
        <f t="shared" si="416"/>
        <v>788</v>
      </c>
      <c r="DN267" s="607">
        <f t="shared" si="417"/>
        <v>18050335.543287326</v>
      </c>
      <c r="DO267" s="612">
        <f t="shared" si="418"/>
        <v>18098350.469945356</v>
      </c>
      <c r="DP267" s="607">
        <f t="shared" si="419"/>
        <v>17574040.398474738</v>
      </c>
      <c r="DQ267" s="606">
        <f t="shared" si="420"/>
        <v>17383905.467422098</v>
      </c>
      <c r="DR267" s="607">
        <f t="shared" si="421"/>
        <v>14034215.324351806</v>
      </c>
      <c r="DS267" s="606">
        <f t="shared" si="422"/>
        <v>15863124.822580645</v>
      </c>
      <c r="DT267" s="607">
        <f t="shared" si="423"/>
        <v>6003921.8259629104</v>
      </c>
      <c r="DU267" s="606">
        <f t="shared" si="424"/>
        <v>5726527.2269807281</v>
      </c>
      <c r="DV267" s="607">
        <f t="shared" si="425"/>
        <v>691438.92086330941</v>
      </c>
      <c r="DW267" s="608">
        <f t="shared" si="426"/>
        <v>916358.09523809527</v>
      </c>
      <c r="DX267" s="607">
        <f t="shared" si="427"/>
        <v>0</v>
      </c>
      <c r="DY267" s="608">
        <f t="shared" si="428"/>
        <v>0</v>
      </c>
      <c r="DZ267" s="607">
        <f t="shared" si="429"/>
        <v>56353952.012940079</v>
      </c>
      <c r="EA267" s="608">
        <f t="shared" si="430"/>
        <v>57988266.082166925</v>
      </c>
    </row>
    <row r="268" spans="1:131" x14ac:dyDescent="0.2">
      <c r="A268" s="372" t="s">
        <v>39</v>
      </c>
      <c r="B268" s="373" t="s">
        <v>556</v>
      </c>
      <c r="C268" s="566"/>
      <c r="D268" s="362">
        <v>175342</v>
      </c>
      <c r="E268" s="363">
        <v>4</v>
      </c>
      <c r="F268" s="598">
        <v>29</v>
      </c>
      <c r="G268" s="599">
        <v>28</v>
      </c>
      <c r="H268" s="600"/>
      <c r="I268" s="601"/>
      <c r="J268" s="600">
        <v>6</v>
      </c>
      <c r="K268" s="599"/>
      <c r="L268" s="600"/>
      <c r="M268" s="601">
        <v>5</v>
      </c>
      <c r="N268" s="600">
        <v>27</v>
      </c>
      <c r="O268" s="599">
        <v>26</v>
      </c>
      <c r="P268" s="600"/>
      <c r="Q268" s="601"/>
      <c r="R268" s="600">
        <v>7</v>
      </c>
      <c r="S268" s="599"/>
      <c r="T268" s="600"/>
      <c r="U268" s="601">
        <v>6</v>
      </c>
      <c r="V268" s="600">
        <v>41</v>
      </c>
      <c r="W268" s="599">
        <v>48</v>
      </c>
      <c r="X268" s="600"/>
      <c r="Y268" s="601"/>
      <c r="Z268" s="600">
        <v>8</v>
      </c>
      <c r="AA268" s="599"/>
      <c r="AB268" s="600"/>
      <c r="AC268" s="601">
        <v>10</v>
      </c>
      <c r="AD268" s="600">
        <v>39</v>
      </c>
      <c r="AE268" s="599">
        <v>40</v>
      </c>
      <c r="AF268" s="600"/>
      <c r="AG268" s="601"/>
      <c r="AH268" s="600">
        <v>7</v>
      </c>
      <c r="AI268" s="599"/>
      <c r="AJ268" s="600"/>
      <c r="AK268" s="601">
        <v>6</v>
      </c>
      <c r="AL268" s="600"/>
      <c r="AM268" s="599"/>
      <c r="AN268" s="600"/>
      <c r="AO268" s="601"/>
      <c r="AP268" s="600"/>
      <c r="AQ268" s="599"/>
      <c r="AR268" s="600"/>
      <c r="AS268" s="601"/>
      <c r="AT268" s="600"/>
      <c r="AU268" s="599"/>
      <c r="AV268" s="600"/>
      <c r="AW268" s="601"/>
      <c r="AX268" s="600"/>
      <c r="AY268" s="599"/>
      <c r="AZ268" s="600"/>
      <c r="BA268" s="601"/>
      <c r="BB268" s="602">
        <v>2489287.8499999996</v>
      </c>
      <c r="BC268" s="599">
        <v>2433932</v>
      </c>
      <c r="BD268" s="600">
        <v>2148955</v>
      </c>
      <c r="BE268" s="599">
        <v>2111339</v>
      </c>
      <c r="BF268" s="600">
        <v>2824400.9989999998</v>
      </c>
      <c r="BG268" s="599">
        <v>3487093</v>
      </c>
      <c r="BH268" s="600">
        <v>1901506.8399999999</v>
      </c>
      <c r="BI268" s="599">
        <v>1961900</v>
      </c>
      <c r="BJ268" s="600">
        <v>0</v>
      </c>
      <c r="BK268" s="615"/>
      <c r="BL268" s="600">
        <v>0</v>
      </c>
      <c r="BM268" s="604"/>
      <c r="BN268" s="605">
        <f t="shared" si="365"/>
        <v>327</v>
      </c>
      <c r="BO268" s="606">
        <f t="shared" si="366"/>
        <v>312</v>
      </c>
      <c r="BP268" s="607">
        <f t="shared" si="367"/>
        <v>320</v>
      </c>
      <c r="BQ268" s="606">
        <f t="shared" si="368"/>
        <v>306</v>
      </c>
      <c r="BR268" s="607">
        <f t="shared" si="369"/>
        <v>457</v>
      </c>
      <c r="BS268" s="606">
        <f t="shared" si="370"/>
        <v>552</v>
      </c>
      <c r="BT268" s="607">
        <f t="shared" si="371"/>
        <v>428</v>
      </c>
      <c r="BU268" s="606">
        <f t="shared" si="372"/>
        <v>432</v>
      </c>
      <c r="BV268" s="607">
        <f t="shared" si="373"/>
        <v>0</v>
      </c>
      <c r="BW268" s="608">
        <f t="shared" si="374"/>
        <v>0</v>
      </c>
      <c r="BX268" s="607">
        <f t="shared" si="375"/>
        <v>0</v>
      </c>
      <c r="BY268" s="608">
        <f t="shared" si="376"/>
        <v>0</v>
      </c>
      <c r="BZ268" s="607">
        <f t="shared" si="377"/>
        <v>7612.5010703363905</v>
      </c>
      <c r="CA268" s="608">
        <f t="shared" si="378"/>
        <v>7801.0641025641025</v>
      </c>
      <c r="CB268" s="607">
        <f t="shared" si="379"/>
        <v>6715.484375</v>
      </c>
      <c r="CC268" s="608">
        <f t="shared" si="380"/>
        <v>6899.8006535947716</v>
      </c>
      <c r="CD268" s="607">
        <f t="shared" si="381"/>
        <v>6180.308531728665</v>
      </c>
      <c r="CE268" s="608">
        <f t="shared" si="382"/>
        <v>6317.197463768116</v>
      </c>
      <c r="CF268" s="607">
        <f t="shared" si="383"/>
        <v>4442.7729906542054</v>
      </c>
      <c r="CG268" s="608">
        <f t="shared" si="384"/>
        <v>4541.4351851851852</v>
      </c>
      <c r="CH268" s="607">
        <f t="shared" si="385"/>
        <v>0</v>
      </c>
      <c r="CI268" s="608">
        <f t="shared" si="386"/>
        <v>0</v>
      </c>
      <c r="CJ268" s="607">
        <f t="shared" si="387"/>
        <v>0</v>
      </c>
      <c r="CK268" s="608">
        <f t="shared" si="388"/>
        <v>0</v>
      </c>
      <c r="CL268" s="609">
        <f t="shared" si="389"/>
        <v>68512.509633027512</v>
      </c>
      <c r="CM268" s="608">
        <f t="shared" si="390"/>
        <v>70209.576923076922</v>
      </c>
      <c r="CN268" s="610">
        <f t="shared" si="391"/>
        <v>60439.359375</v>
      </c>
      <c r="CO268" s="606">
        <f t="shared" si="392"/>
        <v>62098.205882352944</v>
      </c>
      <c r="CP268" s="607">
        <f t="shared" si="393"/>
        <v>55622.776785557988</v>
      </c>
      <c r="CQ268" s="606">
        <f t="shared" si="394"/>
        <v>56854.77717391304</v>
      </c>
      <c r="CR268" s="607">
        <f t="shared" si="395"/>
        <v>39984.956915887851</v>
      </c>
      <c r="CS268" s="606">
        <f t="shared" si="396"/>
        <v>40872.916666666664</v>
      </c>
      <c r="CT268" s="607">
        <f t="shared" si="397"/>
        <v>0</v>
      </c>
      <c r="CU268" s="608">
        <f t="shared" si="398"/>
        <v>0</v>
      </c>
      <c r="CV268" s="610">
        <f t="shared" si="399"/>
        <v>0</v>
      </c>
      <c r="CW268" s="608">
        <f t="shared" si="400"/>
        <v>0</v>
      </c>
      <c r="CX268" s="610">
        <f t="shared" si="401"/>
        <v>54985.976442250874</v>
      </c>
      <c r="CY268" s="611">
        <f t="shared" si="402"/>
        <v>56105.265499706838</v>
      </c>
      <c r="CZ268" s="605">
        <f t="shared" si="403"/>
        <v>35</v>
      </c>
      <c r="DA268" s="612">
        <f t="shared" si="404"/>
        <v>33</v>
      </c>
      <c r="DB268" s="607">
        <f t="shared" si="405"/>
        <v>34</v>
      </c>
      <c r="DC268" s="606">
        <f t="shared" si="406"/>
        <v>32</v>
      </c>
      <c r="DD268" s="607">
        <f t="shared" si="407"/>
        <v>49</v>
      </c>
      <c r="DE268" s="606">
        <f t="shared" si="408"/>
        <v>58</v>
      </c>
      <c r="DF268" s="607">
        <f t="shared" si="409"/>
        <v>46</v>
      </c>
      <c r="DG268" s="606">
        <f t="shared" si="410"/>
        <v>46</v>
      </c>
      <c r="DH268" s="607">
        <f t="shared" si="411"/>
        <v>0</v>
      </c>
      <c r="DI268" s="608">
        <f t="shared" si="412"/>
        <v>0</v>
      </c>
      <c r="DJ268" s="607">
        <f t="shared" si="413"/>
        <v>0</v>
      </c>
      <c r="DK268" s="608">
        <f t="shared" si="414"/>
        <v>0</v>
      </c>
      <c r="DL268" s="607">
        <f t="shared" si="415"/>
        <v>164</v>
      </c>
      <c r="DM268" s="608">
        <f t="shared" si="416"/>
        <v>169</v>
      </c>
      <c r="DN268" s="607">
        <f t="shared" si="417"/>
        <v>2397937.8371559628</v>
      </c>
      <c r="DO268" s="612">
        <f t="shared" si="418"/>
        <v>2316916.0384615385</v>
      </c>
      <c r="DP268" s="607">
        <f t="shared" si="419"/>
        <v>2054938.21875</v>
      </c>
      <c r="DQ268" s="606">
        <f t="shared" si="420"/>
        <v>1987142.5882352942</v>
      </c>
      <c r="DR268" s="607">
        <f t="shared" si="421"/>
        <v>2725516.0624923413</v>
      </c>
      <c r="DS268" s="606">
        <f t="shared" si="422"/>
        <v>3297577.0760869565</v>
      </c>
      <c r="DT268" s="607">
        <f t="shared" si="423"/>
        <v>1839308.0181308412</v>
      </c>
      <c r="DU268" s="606">
        <f t="shared" si="424"/>
        <v>1880154.1666666665</v>
      </c>
      <c r="DV268" s="607">
        <f t="shared" si="425"/>
        <v>0</v>
      </c>
      <c r="DW268" s="608">
        <f t="shared" si="426"/>
        <v>0</v>
      </c>
      <c r="DX268" s="607">
        <f t="shared" si="427"/>
        <v>0</v>
      </c>
      <c r="DY268" s="608">
        <f t="shared" si="428"/>
        <v>0</v>
      </c>
      <c r="DZ268" s="607">
        <f t="shared" si="429"/>
        <v>9017700.1365291439</v>
      </c>
      <c r="EA268" s="608">
        <f t="shared" si="430"/>
        <v>9481789.8694504555</v>
      </c>
    </row>
    <row r="269" spans="1:131" x14ac:dyDescent="0.2">
      <c r="A269" s="372" t="s">
        <v>39</v>
      </c>
      <c r="B269" s="374" t="s">
        <v>557</v>
      </c>
      <c r="C269" s="566"/>
      <c r="D269" s="362">
        <v>175616</v>
      </c>
      <c r="E269" s="363">
        <v>4</v>
      </c>
      <c r="F269" s="598">
        <v>20</v>
      </c>
      <c r="G269" s="599">
        <v>21</v>
      </c>
      <c r="H269" s="600"/>
      <c r="I269" s="601"/>
      <c r="J269" s="600">
        <v>11</v>
      </c>
      <c r="K269" s="599"/>
      <c r="L269" s="600"/>
      <c r="M269" s="601">
        <v>11</v>
      </c>
      <c r="N269" s="600">
        <v>35</v>
      </c>
      <c r="O269" s="599">
        <v>35</v>
      </c>
      <c r="P269" s="600"/>
      <c r="Q269" s="601"/>
      <c r="R269" s="600">
        <v>10</v>
      </c>
      <c r="S269" s="599"/>
      <c r="T269" s="600"/>
      <c r="U269" s="601">
        <v>12</v>
      </c>
      <c r="V269" s="600">
        <v>46</v>
      </c>
      <c r="W269" s="599">
        <v>51</v>
      </c>
      <c r="X269" s="600"/>
      <c r="Y269" s="601"/>
      <c r="Z269" s="600">
        <v>10</v>
      </c>
      <c r="AA269" s="599"/>
      <c r="AB269" s="600"/>
      <c r="AC269" s="601">
        <v>7</v>
      </c>
      <c r="AD269" s="600">
        <v>42</v>
      </c>
      <c r="AE269" s="599">
        <v>35</v>
      </c>
      <c r="AF269" s="600"/>
      <c r="AG269" s="601"/>
      <c r="AH269" s="600">
        <v>9</v>
      </c>
      <c r="AI269" s="599">
        <v>1</v>
      </c>
      <c r="AJ269" s="600"/>
      <c r="AK269" s="601">
        <v>9</v>
      </c>
      <c r="AL269" s="600"/>
      <c r="AM269" s="599"/>
      <c r="AN269" s="600"/>
      <c r="AO269" s="601"/>
      <c r="AP269" s="600"/>
      <c r="AQ269" s="599"/>
      <c r="AR269" s="600"/>
      <c r="AS269" s="601"/>
      <c r="AT269" s="600"/>
      <c r="AU269" s="599"/>
      <c r="AV269" s="600"/>
      <c r="AW269" s="601"/>
      <c r="AX269" s="600"/>
      <c r="AY269" s="599"/>
      <c r="AZ269" s="600"/>
      <c r="BA269" s="601"/>
      <c r="BB269" s="602">
        <v>2237708</v>
      </c>
      <c r="BC269" s="599">
        <v>2299009</v>
      </c>
      <c r="BD269" s="600">
        <v>2645745</v>
      </c>
      <c r="BE269" s="599">
        <v>2682885</v>
      </c>
      <c r="BF269" s="600">
        <v>2868992</v>
      </c>
      <c r="BG269" s="599">
        <v>3064801</v>
      </c>
      <c r="BH269" s="600">
        <v>2519319</v>
      </c>
      <c r="BI269" s="599">
        <v>2184377</v>
      </c>
      <c r="BJ269" s="600">
        <v>0</v>
      </c>
      <c r="BK269" s="615"/>
      <c r="BL269" s="600">
        <v>0</v>
      </c>
      <c r="BM269" s="604"/>
      <c r="BN269" s="605">
        <f t="shared" si="365"/>
        <v>301</v>
      </c>
      <c r="BO269" s="606">
        <f t="shared" si="366"/>
        <v>321</v>
      </c>
      <c r="BP269" s="607">
        <f t="shared" si="367"/>
        <v>425</v>
      </c>
      <c r="BQ269" s="606">
        <f t="shared" si="368"/>
        <v>459</v>
      </c>
      <c r="BR269" s="607">
        <f t="shared" si="369"/>
        <v>524</v>
      </c>
      <c r="BS269" s="606">
        <f t="shared" si="370"/>
        <v>543</v>
      </c>
      <c r="BT269" s="607">
        <f t="shared" si="371"/>
        <v>477</v>
      </c>
      <c r="BU269" s="606">
        <f t="shared" si="372"/>
        <v>434</v>
      </c>
      <c r="BV269" s="607">
        <f t="shared" si="373"/>
        <v>0</v>
      </c>
      <c r="BW269" s="608">
        <f t="shared" si="374"/>
        <v>0</v>
      </c>
      <c r="BX269" s="607">
        <f t="shared" si="375"/>
        <v>0</v>
      </c>
      <c r="BY269" s="608">
        <f t="shared" si="376"/>
        <v>0</v>
      </c>
      <c r="BZ269" s="607">
        <f t="shared" si="377"/>
        <v>7434.2458471760801</v>
      </c>
      <c r="CA269" s="608">
        <f t="shared" si="378"/>
        <v>7162.0218068535823</v>
      </c>
      <c r="CB269" s="607">
        <f t="shared" si="379"/>
        <v>6225.2823529411762</v>
      </c>
      <c r="CC269" s="608">
        <f t="shared" si="380"/>
        <v>5845.0653594771238</v>
      </c>
      <c r="CD269" s="607">
        <f t="shared" si="381"/>
        <v>5475.1755725190842</v>
      </c>
      <c r="CE269" s="608">
        <f t="shared" si="382"/>
        <v>5644.2007366482503</v>
      </c>
      <c r="CF269" s="607">
        <f t="shared" si="383"/>
        <v>5281.5911949685533</v>
      </c>
      <c r="CG269" s="608">
        <f t="shared" si="384"/>
        <v>5033.1267281105993</v>
      </c>
      <c r="CH269" s="607">
        <f t="shared" si="385"/>
        <v>0</v>
      </c>
      <c r="CI269" s="608">
        <f t="shared" si="386"/>
        <v>0</v>
      </c>
      <c r="CJ269" s="607">
        <f t="shared" si="387"/>
        <v>0</v>
      </c>
      <c r="CK269" s="608">
        <f t="shared" si="388"/>
        <v>0</v>
      </c>
      <c r="CL269" s="609">
        <f t="shared" si="389"/>
        <v>66908.212624584718</v>
      </c>
      <c r="CM269" s="608">
        <f t="shared" si="390"/>
        <v>64458.196261682242</v>
      </c>
      <c r="CN269" s="610">
        <f t="shared" si="391"/>
        <v>56027.541176470586</v>
      </c>
      <c r="CO269" s="606">
        <f t="shared" si="392"/>
        <v>52605.588235294112</v>
      </c>
      <c r="CP269" s="607">
        <f t="shared" si="393"/>
        <v>49276.580152671755</v>
      </c>
      <c r="CQ269" s="606">
        <f t="shared" si="394"/>
        <v>50797.806629834253</v>
      </c>
      <c r="CR269" s="607">
        <f t="shared" si="395"/>
        <v>47534.32075471698</v>
      </c>
      <c r="CS269" s="606">
        <f t="shared" si="396"/>
        <v>45298.140552995392</v>
      </c>
      <c r="CT269" s="607">
        <f t="shared" si="397"/>
        <v>0</v>
      </c>
      <c r="CU269" s="608">
        <f t="shared" si="398"/>
        <v>0</v>
      </c>
      <c r="CV269" s="610">
        <f t="shared" si="399"/>
        <v>0</v>
      </c>
      <c r="CW269" s="608">
        <f t="shared" si="400"/>
        <v>0</v>
      </c>
      <c r="CX269" s="610">
        <f t="shared" si="401"/>
        <v>53437.884105702105</v>
      </c>
      <c r="CY269" s="611">
        <f t="shared" si="402"/>
        <v>52306.670532130956</v>
      </c>
      <c r="CZ269" s="605">
        <f t="shared" si="403"/>
        <v>31</v>
      </c>
      <c r="DA269" s="612">
        <f t="shared" si="404"/>
        <v>32</v>
      </c>
      <c r="DB269" s="607">
        <f t="shared" si="405"/>
        <v>45</v>
      </c>
      <c r="DC269" s="606">
        <f t="shared" si="406"/>
        <v>47</v>
      </c>
      <c r="DD269" s="607">
        <f t="shared" si="407"/>
        <v>56</v>
      </c>
      <c r="DE269" s="606">
        <f t="shared" si="408"/>
        <v>58</v>
      </c>
      <c r="DF269" s="607">
        <f t="shared" si="409"/>
        <v>51</v>
      </c>
      <c r="DG269" s="606">
        <f t="shared" si="410"/>
        <v>45</v>
      </c>
      <c r="DH269" s="607">
        <f t="shared" si="411"/>
        <v>0</v>
      </c>
      <c r="DI269" s="608">
        <f t="shared" si="412"/>
        <v>0</v>
      </c>
      <c r="DJ269" s="607">
        <f t="shared" si="413"/>
        <v>0</v>
      </c>
      <c r="DK269" s="608">
        <f t="shared" si="414"/>
        <v>0</v>
      </c>
      <c r="DL269" s="607">
        <f t="shared" si="415"/>
        <v>183</v>
      </c>
      <c r="DM269" s="608">
        <f t="shared" si="416"/>
        <v>182</v>
      </c>
      <c r="DN269" s="607">
        <f t="shared" si="417"/>
        <v>2074154.5913621262</v>
      </c>
      <c r="DO269" s="612">
        <f t="shared" si="418"/>
        <v>2062662.2803738317</v>
      </c>
      <c r="DP269" s="607">
        <f t="shared" si="419"/>
        <v>2521239.3529411764</v>
      </c>
      <c r="DQ269" s="606">
        <f t="shared" si="420"/>
        <v>2472462.6470588231</v>
      </c>
      <c r="DR269" s="607">
        <f t="shared" si="421"/>
        <v>2759488.4885496181</v>
      </c>
      <c r="DS269" s="606">
        <f t="shared" si="422"/>
        <v>2946272.7845303868</v>
      </c>
      <c r="DT269" s="607">
        <f t="shared" si="423"/>
        <v>2424250.3584905658</v>
      </c>
      <c r="DU269" s="606">
        <f t="shared" si="424"/>
        <v>2038416.3248847926</v>
      </c>
      <c r="DV269" s="607">
        <f t="shared" si="425"/>
        <v>0</v>
      </c>
      <c r="DW269" s="608">
        <f t="shared" si="426"/>
        <v>0</v>
      </c>
      <c r="DX269" s="607">
        <f t="shared" si="427"/>
        <v>0</v>
      </c>
      <c r="DY269" s="608">
        <f t="shared" si="428"/>
        <v>0</v>
      </c>
      <c r="DZ269" s="607">
        <f t="shared" si="429"/>
        <v>9779132.7913434859</v>
      </c>
      <c r="EA269" s="608">
        <f t="shared" si="430"/>
        <v>9519814.0368478335</v>
      </c>
    </row>
    <row r="270" spans="1:131" x14ac:dyDescent="0.2">
      <c r="A270" s="372" t="s">
        <v>39</v>
      </c>
      <c r="B270" s="356" t="s">
        <v>558</v>
      </c>
      <c r="C270" s="566"/>
      <c r="D270" s="362">
        <v>176044</v>
      </c>
      <c r="E270" s="363">
        <v>4</v>
      </c>
      <c r="F270" s="598">
        <v>15</v>
      </c>
      <c r="G270" s="599">
        <v>15</v>
      </c>
      <c r="H270" s="600"/>
      <c r="I270" s="601"/>
      <c r="J270" s="600">
        <v>5</v>
      </c>
      <c r="K270" s="599"/>
      <c r="L270" s="600"/>
      <c r="M270" s="601">
        <v>2</v>
      </c>
      <c r="N270" s="600">
        <v>24</v>
      </c>
      <c r="O270" s="599">
        <v>22</v>
      </c>
      <c r="P270" s="600"/>
      <c r="Q270" s="601"/>
      <c r="R270" s="600">
        <v>9</v>
      </c>
      <c r="S270" s="599"/>
      <c r="T270" s="600"/>
      <c r="U270" s="601">
        <v>14</v>
      </c>
      <c r="V270" s="600">
        <v>48</v>
      </c>
      <c r="W270" s="599">
        <v>45</v>
      </c>
      <c r="X270" s="600"/>
      <c r="Y270" s="601">
        <v>3</v>
      </c>
      <c r="Z270" s="600">
        <v>6</v>
      </c>
      <c r="AA270" s="599"/>
      <c r="AB270" s="600"/>
      <c r="AC270" s="601">
        <v>5</v>
      </c>
      <c r="AD270" s="600">
        <v>18</v>
      </c>
      <c r="AE270" s="599">
        <v>20</v>
      </c>
      <c r="AF270" s="600"/>
      <c r="AG270" s="601">
        <v>1</v>
      </c>
      <c r="AH270" s="600">
        <v>5</v>
      </c>
      <c r="AI270" s="599"/>
      <c r="AJ270" s="600"/>
      <c r="AK270" s="601">
        <v>7</v>
      </c>
      <c r="AL270" s="600"/>
      <c r="AM270" s="599"/>
      <c r="AN270" s="600"/>
      <c r="AO270" s="601"/>
      <c r="AP270" s="600"/>
      <c r="AQ270" s="599"/>
      <c r="AR270" s="600"/>
      <c r="AS270" s="601"/>
      <c r="AT270" s="600"/>
      <c r="AU270" s="599"/>
      <c r="AV270" s="600"/>
      <c r="AW270" s="601"/>
      <c r="AX270" s="600"/>
      <c r="AY270" s="599"/>
      <c r="AZ270" s="600"/>
      <c r="BA270" s="601"/>
      <c r="BB270" s="602">
        <v>1382809</v>
      </c>
      <c r="BC270" s="599">
        <v>1129280</v>
      </c>
      <c r="BD270" s="600">
        <v>1954458</v>
      </c>
      <c r="BE270" s="599">
        <v>2124871</v>
      </c>
      <c r="BF270" s="600">
        <v>2674158</v>
      </c>
      <c r="BG270" s="599">
        <v>2631623</v>
      </c>
      <c r="BH270" s="600">
        <v>947658.08</v>
      </c>
      <c r="BI270" s="599">
        <v>1108397</v>
      </c>
      <c r="BJ270" s="600">
        <v>0</v>
      </c>
      <c r="BK270" s="615"/>
      <c r="BL270" s="600">
        <v>0</v>
      </c>
      <c r="BM270" s="604"/>
      <c r="BN270" s="605">
        <f t="shared" si="365"/>
        <v>190</v>
      </c>
      <c r="BO270" s="606">
        <f t="shared" si="366"/>
        <v>159</v>
      </c>
      <c r="BP270" s="607">
        <f t="shared" si="367"/>
        <v>315</v>
      </c>
      <c r="BQ270" s="606">
        <f t="shared" si="368"/>
        <v>366</v>
      </c>
      <c r="BR270" s="607">
        <f t="shared" si="369"/>
        <v>498</v>
      </c>
      <c r="BS270" s="606">
        <f t="shared" si="370"/>
        <v>495</v>
      </c>
      <c r="BT270" s="607">
        <f t="shared" si="371"/>
        <v>217</v>
      </c>
      <c r="BU270" s="606">
        <f t="shared" si="372"/>
        <v>274</v>
      </c>
      <c r="BV270" s="607">
        <f t="shared" si="373"/>
        <v>0</v>
      </c>
      <c r="BW270" s="608">
        <f t="shared" si="374"/>
        <v>0</v>
      </c>
      <c r="BX270" s="607">
        <f t="shared" si="375"/>
        <v>0</v>
      </c>
      <c r="BY270" s="608">
        <f t="shared" si="376"/>
        <v>0</v>
      </c>
      <c r="BZ270" s="607">
        <f t="shared" si="377"/>
        <v>7277.9421052631578</v>
      </c>
      <c r="CA270" s="608">
        <f t="shared" si="378"/>
        <v>7102.3899371069183</v>
      </c>
      <c r="CB270" s="607">
        <f t="shared" si="379"/>
        <v>6204.6285714285714</v>
      </c>
      <c r="CC270" s="608">
        <f t="shared" si="380"/>
        <v>5805.6584699453551</v>
      </c>
      <c r="CD270" s="607">
        <f t="shared" si="381"/>
        <v>5369.7951807228919</v>
      </c>
      <c r="CE270" s="608">
        <f t="shared" si="382"/>
        <v>5316.4101010101012</v>
      </c>
      <c r="CF270" s="607">
        <f t="shared" si="383"/>
        <v>4367.0879262672806</v>
      </c>
      <c r="CG270" s="608">
        <f t="shared" si="384"/>
        <v>4045.2445255474454</v>
      </c>
      <c r="CH270" s="607">
        <f t="shared" si="385"/>
        <v>0</v>
      </c>
      <c r="CI270" s="608">
        <f t="shared" si="386"/>
        <v>0</v>
      </c>
      <c r="CJ270" s="607">
        <f t="shared" si="387"/>
        <v>0</v>
      </c>
      <c r="CK270" s="608">
        <f t="shared" si="388"/>
        <v>0</v>
      </c>
      <c r="CL270" s="609">
        <f t="shared" si="389"/>
        <v>65501.478947368421</v>
      </c>
      <c r="CM270" s="608">
        <f t="shared" si="390"/>
        <v>63921.509433962266</v>
      </c>
      <c r="CN270" s="610">
        <f t="shared" si="391"/>
        <v>55841.657142857141</v>
      </c>
      <c r="CO270" s="606">
        <f t="shared" si="392"/>
        <v>52250.926229508194</v>
      </c>
      <c r="CP270" s="607">
        <f t="shared" si="393"/>
        <v>48328.156626506025</v>
      </c>
      <c r="CQ270" s="606">
        <f t="shared" si="394"/>
        <v>47847.69090909091</v>
      </c>
      <c r="CR270" s="607">
        <f t="shared" si="395"/>
        <v>39303.791336405528</v>
      </c>
      <c r="CS270" s="606">
        <f t="shared" si="396"/>
        <v>36407.200729927012</v>
      </c>
      <c r="CT270" s="607">
        <f t="shared" si="397"/>
        <v>0</v>
      </c>
      <c r="CU270" s="608">
        <f t="shared" si="398"/>
        <v>0</v>
      </c>
      <c r="CV270" s="610">
        <f t="shared" si="399"/>
        <v>0</v>
      </c>
      <c r="CW270" s="608">
        <f t="shared" si="400"/>
        <v>0</v>
      </c>
      <c r="CX270" s="610">
        <f t="shared" si="401"/>
        <v>51280.860947925437</v>
      </c>
      <c r="CY270" s="611">
        <f t="shared" si="402"/>
        <v>48679.315248204686</v>
      </c>
      <c r="CZ270" s="605">
        <f t="shared" si="403"/>
        <v>20</v>
      </c>
      <c r="DA270" s="612">
        <f t="shared" si="404"/>
        <v>17</v>
      </c>
      <c r="DB270" s="607">
        <f t="shared" si="405"/>
        <v>33</v>
      </c>
      <c r="DC270" s="606">
        <f t="shared" si="406"/>
        <v>36</v>
      </c>
      <c r="DD270" s="607">
        <f t="shared" si="407"/>
        <v>54</v>
      </c>
      <c r="DE270" s="606">
        <f t="shared" si="408"/>
        <v>53</v>
      </c>
      <c r="DF270" s="607">
        <f t="shared" si="409"/>
        <v>23</v>
      </c>
      <c r="DG270" s="606">
        <f t="shared" si="410"/>
        <v>28</v>
      </c>
      <c r="DH270" s="607">
        <f t="shared" si="411"/>
        <v>0</v>
      </c>
      <c r="DI270" s="608">
        <f t="shared" si="412"/>
        <v>0</v>
      </c>
      <c r="DJ270" s="607">
        <f t="shared" si="413"/>
        <v>0</v>
      </c>
      <c r="DK270" s="608">
        <f t="shared" si="414"/>
        <v>0</v>
      </c>
      <c r="DL270" s="607">
        <f t="shared" si="415"/>
        <v>130</v>
      </c>
      <c r="DM270" s="608">
        <f t="shared" si="416"/>
        <v>134</v>
      </c>
      <c r="DN270" s="607">
        <f t="shared" si="417"/>
        <v>1310029.5789473685</v>
      </c>
      <c r="DO270" s="612">
        <f t="shared" si="418"/>
        <v>1086665.6603773586</v>
      </c>
      <c r="DP270" s="607">
        <f t="shared" si="419"/>
        <v>1842774.6857142856</v>
      </c>
      <c r="DQ270" s="606">
        <f t="shared" si="420"/>
        <v>1881033.3442622949</v>
      </c>
      <c r="DR270" s="607">
        <f t="shared" si="421"/>
        <v>2609720.4578313255</v>
      </c>
      <c r="DS270" s="606">
        <f t="shared" si="422"/>
        <v>2535927.6181818182</v>
      </c>
      <c r="DT270" s="607">
        <f t="shared" si="423"/>
        <v>903987.2007373271</v>
      </c>
      <c r="DU270" s="606">
        <f t="shared" si="424"/>
        <v>1019401.6204379563</v>
      </c>
      <c r="DV270" s="607">
        <f t="shared" si="425"/>
        <v>0</v>
      </c>
      <c r="DW270" s="608">
        <f t="shared" si="426"/>
        <v>0</v>
      </c>
      <c r="DX270" s="607">
        <f t="shared" si="427"/>
        <v>0</v>
      </c>
      <c r="DY270" s="608">
        <f t="shared" si="428"/>
        <v>0</v>
      </c>
      <c r="DZ270" s="607">
        <f t="shared" si="429"/>
        <v>6666511.9232303072</v>
      </c>
      <c r="EA270" s="608">
        <f t="shared" si="430"/>
        <v>6523028.2432594281</v>
      </c>
    </row>
    <row r="271" spans="1:131" x14ac:dyDescent="0.2">
      <c r="A271" s="372" t="s">
        <v>39</v>
      </c>
      <c r="B271" s="373" t="s">
        <v>559</v>
      </c>
      <c r="C271" s="566"/>
      <c r="D271" s="362">
        <v>176035</v>
      </c>
      <c r="E271" s="363">
        <v>5</v>
      </c>
      <c r="F271" s="598">
        <v>21</v>
      </c>
      <c r="G271" s="599">
        <v>20</v>
      </c>
      <c r="H271" s="600">
        <v>0</v>
      </c>
      <c r="I271" s="601">
        <v>3</v>
      </c>
      <c r="J271" s="600">
        <v>9</v>
      </c>
      <c r="K271" s="599">
        <v>8</v>
      </c>
      <c r="L271" s="600">
        <v>0</v>
      </c>
      <c r="M271" s="601">
        <v>2</v>
      </c>
      <c r="N271" s="600">
        <v>22</v>
      </c>
      <c r="O271" s="599">
        <v>17</v>
      </c>
      <c r="P271" s="600"/>
      <c r="Q271" s="601">
        <v>1</v>
      </c>
      <c r="R271" s="600">
        <v>1</v>
      </c>
      <c r="S271" s="599"/>
      <c r="T271" s="600"/>
      <c r="U271" s="601"/>
      <c r="V271" s="600">
        <v>28</v>
      </c>
      <c r="W271" s="599">
        <v>18</v>
      </c>
      <c r="X271" s="600"/>
      <c r="Y271" s="601">
        <v>4</v>
      </c>
      <c r="Z271" s="600">
        <v>3</v>
      </c>
      <c r="AA271" s="599">
        <v>2</v>
      </c>
      <c r="AB271" s="600"/>
      <c r="AC271" s="601">
        <v>7</v>
      </c>
      <c r="AD271" s="600">
        <v>39</v>
      </c>
      <c r="AE271" s="599">
        <v>28</v>
      </c>
      <c r="AF271" s="600"/>
      <c r="AG271" s="601">
        <v>9</v>
      </c>
      <c r="AH271" s="600">
        <v>14</v>
      </c>
      <c r="AI271" s="599">
        <v>1</v>
      </c>
      <c r="AJ271" s="600"/>
      <c r="AK271" s="601">
        <v>10</v>
      </c>
      <c r="AL271" s="600"/>
      <c r="AM271" s="599"/>
      <c r="AN271" s="600"/>
      <c r="AO271" s="601"/>
      <c r="AP271" s="600"/>
      <c r="AQ271" s="599"/>
      <c r="AR271" s="600"/>
      <c r="AS271" s="601"/>
      <c r="AT271" s="600"/>
      <c r="AU271" s="599"/>
      <c r="AV271" s="600"/>
      <c r="AW271" s="601"/>
      <c r="AX271" s="600"/>
      <c r="AY271" s="599"/>
      <c r="AZ271" s="600"/>
      <c r="BA271" s="601"/>
      <c r="BB271" s="602">
        <v>1803846</v>
      </c>
      <c r="BC271" s="599">
        <v>2058237</v>
      </c>
      <c r="BD271" s="600">
        <v>1110047</v>
      </c>
      <c r="BE271" s="599">
        <v>899689</v>
      </c>
      <c r="BF271" s="600">
        <v>1534713</v>
      </c>
      <c r="BG271" s="599">
        <v>1741812</v>
      </c>
      <c r="BH271" s="600">
        <v>2682276</v>
      </c>
      <c r="BI271" s="599">
        <v>2491052</v>
      </c>
      <c r="BJ271" s="600">
        <v>0</v>
      </c>
      <c r="BK271" s="615"/>
      <c r="BL271" s="600">
        <v>0</v>
      </c>
      <c r="BM271" s="604"/>
      <c r="BN271" s="605">
        <f t="shared" si="365"/>
        <v>288</v>
      </c>
      <c r="BO271" s="606">
        <f t="shared" si="366"/>
        <v>322</v>
      </c>
      <c r="BP271" s="607">
        <f t="shared" si="367"/>
        <v>209</v>
      </c>
      <c r="BQ271" s="606">
        <f t="shared" si="368"/>
        <v>163</v>
      </c>
      <c r="BR271" s="607">
        <f t="shared" si="369"/>
        <v>285</v>
      </c>
      <c r="BS271" s="606">
        <f t="shared" si="370"/>
        <v>308</v>
      </c>
      <c r="BT271" s="607">
        <f t="shared" si="371"/>
        <v>505</v>
      </c>
      <c r="BU271" s="606">
        <f t="shared" si="372"/>
        <v>473</v>
      </c>
      <c r="BV271" s="607">
        <f t="shared" si="373"/>
        <v>0</v>
      </c>
      <c r="BW271" s="608">
        <f t="shared" si="374"/>
        <v>0</v>
      </c>
      <c r="BX271" s="607">
        <f t="shared" si="375"/>
        <v>0</v>
      </c>
      <c r="BY271" s="608">
        <f t="shared" si="376"/>
        <v>0</v>
      </c>
      <c r="BZ271" s="607">
        <f t="shared" si="377"/>
        <v>6263.354166666667</v>
      </c>
      <c r="CA271" s="608">
        <f t="shared" si="378"/>
        <v>6392.0403726708073</v>
      </c>
      <c r="CB271" s="607">
        <f t="shared" si="379"/>
        <v>5311.2296650717699</v>
      </c>
      <c r="CC271" s="608">
        <f t="shared" si="380"/>
        <v>5519.564417177914</v>
      </c>
      <c r="CD271" s="607">
        <f t="shared" si="381"/>
        <v>5384.9578947368418</v>
      </c>
      <c r="CE271" s="608">
        <f t="shared" si="382"/>
        <v>5655.2337662337659</v>
      </c>
      <c r="CF271" s="607">
        <f t="shared" si="383"/>
        <v>5311.4376237623765</v>
      </c>
      <c r="CG271" s="608">
        <f t="shared" si="384"/>
        <v>5266.4947145877377</v>
      </c>
      <c r="CH271" s="607">
        <f t="shared" si="385"/>
        <v>0</v>
      </c>
      <c r="CI271" s="608">
        <f t="shared" si="386"/>
        <v>0</v>
      </c>
      <c r="CJ271" s="607">
        <f t="shared" si="387"/>
        <v>0</v>
      </c>
      <c r="CK271" s="608">
        <f t="shared" si="388"/>
        <v>0</v>
      </c>
      <c r="CL271" s="609">
        <f t="shared" si="389"/>
        <v>56370.1875</v>
      </c>
      <c r="CM271" s="608">
        <f t="shared" si="390"/>
        <v>57528.363354037268</v>
      </c>
      <c r="CN271" s="610">
        <f t="shared" si="391"/>
        <v>47801.066985645928</v>
      </c>
      <c r="CO271" s="606">
        <f t="shared" si="392"/>
        <v>49676.079754601225</v>
      </c>
      <c r="CP271" s="607">
        <f t="shared" si="393"/>
        <v>48464.621052631577</v>
      </c>
      <c r="CQ271" s="606">
        <f t="shared" si="394"/>
        <v>50897.103896103894</v>
      </c>
      <c r="CR271" s="607">
        <f t="shared" si="395"/>
        <v>47802.938613861392</v>
      </c>
      <c r="CS271" s="606">
        <f t="shared" si="396"/>
        <v>47398.452431289639</v>
      </c>
      <c r="CT271" s="607">
        <f t="shared" si="397"/>
        <v>0</v>
      </c>
      <c r="CU271" s="608">
        <f t="shared" si="398"/>
        <v>0</v>
      </c>
      <c r="CV271" s="610">
        <f t="shared" si="399"/>
        <v>0</v>
      </c>
      <c r="CW271" s="608">
        <f t="shared" si="400"/>
        <v>0</v>
      </c>
      <c r="CX271" s="610">
        <f t="shared" si="401"/>
        <v>49828.388064496998</v>
      </c>
      <c r="CY271" s="611">
        <f t="shared" si="402"/>
        <v>51119.548951901343</v>
      </c>
      <c r="CZ271" s="605">
        <f t="shared" si="403"/>
        <v>30</v>
      </c>
      <c r="DA271" s="612">
        <f t="shared" si="404"/>
        <v>33</v>
      </c>
      <c r="DB271" s="607">
        <f t="shared" si="405"/>
        <v>23</v>
      </c>
      <c r="DC271" s="606">
        <f t="shared" si="406"/>
        <v>18</v>
      </c>
      <c r="DD271" s="607">
        <f t="shared" si="407"/>
        <v>31</v>
      </c>
      <c r="DE271" s="606">
        <f t="shared" si="408"/>
        <v>31</v>
      </c>
      <c r="DF271" s="607">
        <f t="shared" si="409"/>
        <v>53</v>
      </c>
      <c r="DG271" s="606">
        <f t="shared" si="410"/>
        <v>48</v>
      </c>
      <c r="DH271" s="607">
        <f t="shared" si="411"/>
        <v>0</v>
      </c>
      <c r="DI271" s="608">
        <f t="shared" si="412"/>
        <v>0</v>
      </c>
      <c r="DJ271" s="607">
        <f t="shared" si="413"/>
        <v>0</v>
      </c>
      <c r="DK271" s="608">
        <f t="shared" si="414"/>
        <v>0</v>
      </c>
      <c r="DL271" s="607">
        <f t="shared" si="415"/>
        <v>137</v>
      </c>
      <c r="DM271" s="608">
        <f t="shared" si="416"/>
        <v>130</v>
      </c>
      <c r="DN271" s="607">
        <f t="shared" si="417"/>
        <v>1691105.625</v>
      </c>
      <c r="DO271" s="612">
        <f t="shared" si="418"/>
        <v>1898435.9906832299</v>
      </c>
      <c r="DP271" s="607">
        <f t="shared" si="419"/>
        <v>1099424.5406698564</v>
      </c>
      <c r="DQ271" s="606">
        <f t="shared" si="420"/>
        <v>894169.43558282207</v>
      </c>
      <c r="DR271" s="607">
        <f t="shared" si="421"/>
        <v>1502403.2526315788</v>
      </c>
      <c r="DS271" s="606">
        <f t="shared" si="422"/>
        <v>1577810.2207792208</v>
      </c>
      <c r="DT271" s="607">
        <f t="shared" si="423"/>
        <v>2533555.7465346539</v>
      </c>
      <c r="DU271" s="606">
        <f t="shared" si="424"/>
        <v>2275125.7167019024</v>
      </c>
      <c r="DV271" s="607">
        <f t="shared" si="425"/>
        <v>0</v>
      </c>
      <c r="DW271" s="608">
        <f t="shared" si="426"/>
        <v>0</v>
      </c>
      <c r="DX271" s="607">
        <f t="shared" si="427"/>
        <v>0</v>
      </c>
      <c r="DY271" s="608">
        <f t="shared" si="428"/>
        <v>0</v>
      </c>
      <c r="DZ271" s="607">
        <f t="shared" si="429"/>
        <v>6826489.1648360891</v>
      </c>
      <c r="EA271" s="608">
        <f t="shared" si="430"/>
        <v>6645541.3637471749</v>
      </c>
    </row>
    <row r="272" spans="1:131" x14ac:dyDescent="0.2">
      <c r="A272" s="473" t="s">
        <v>39</v>
      </c>
      <c r="B272" s="474" t="s">
        <v>894</v>
      </c>
      <c r="C272" s="567"/>
      <c r="D272" s="477">
        <v>175786</v>
      </c>
      <c r="E272" s="477">
        <v>8</v>
      </c>
      <c r="F272" s="598"/>
      <c r="G272" s="599"/>
      <c r="H272" s="600"/>
      <c r="I272" s="601"/>
      <c r="J272" s="600"/>
      <c r="K272" s="599"/>
      <c r="L272" s="600"/>
      <c r="M272" s="601"/>
      <c r="N272" s="600"/>
      <c r="O272" s="599"/>
      <c r="P272" s="600"/>
      <c r="Q272" s="601"/>
      <c r="R272" s="600"/>
      <c r="S272" s="599"/>
      <c r="T272" s="600"/>
      <c r="U272" s="601"/>
      <c r="V272" s="600"/>
      <c r="W272" s="599"/>
      <c r="X272" s="600"/>
      <c r="Y272" s="601"/>
      <c r="Z272" s="600"/>
      <c r="AA272" s="599"/>
      <c r="AB272" s="600"/>
      <c r="AC272" s="601"/>
      <c r="AD272" s="600"/>
      <c r="AE272" s="599"/>
      <c r="AF272" s="600"/>
      <c r="AG272" s="601"/>
      <c r="AH272" s="600"/>
      <c r="AI272" s="599"/>
      <c r="AJ272" s="600"/>
      <c r="AK272" s="601"/>
      <c r="AL272" s="600"/>
      <c r="AM272" s="599"/>
      <c r="AN272" s="600"/>
      <c r="AO272" s="601"/>
      <c r="AP272" s="600"/>
      <c r="AQ272" s="599"/>
      <c r="AR272" s="600"/>
      <c r="AS272" s="601"/>
      <c r="AT272" s="600">
        <v>313</v>
      </c>
      <c r="AU272" s="599">
        <v>292</v>
      </c>
      <c r="AV272" s="600"/>
      <c r="AW272" s="601"/>
      <c r="AX272" s="600">
        <v>107</v>
      </c>
      <c r="AY272" s="599"/>
      <c r="AZ272" s="600"/>
      <c r="BA272" s="601">
        <v>127</v>
      </c>
      <c r="BB272" s="602">
        <v>0</v>
      </c>
      <c r="BC272" s="599"/>
      <c r="BD272" s="600">
        <v>0</v>
      </c>
      <c r="BE272" s="599"/>
      <c r="BF272" s="600">
        <v>0</v>
      </c>
      <c r="BG272" s="599"/>
      <c r="BH272" s="600">
        <v>0</v>
      </c>
      <c r="BI272" s="599"/>
      <c r="BJ272" s="600">
        <v>0</v>
      </c>
      <c r="BK272" s="615"/>
      <c r="BL272" s="600">
        <v>20325436.799999997</v>
      </c>
      <c r="BM272" s="604">
        <v>20324358</v>
      </c>
      <c r="BN272" s="605">
        <f t="shared" si="365"/>
        <v>0</v>
      </c>
      <c r="BO272" s="606">
        <f t="shared" si="366"/>
        <v>0</v>
      </c>
      <c r="BP272" s="607">
        <f t="shared" si="367"/>
        <v>0</v>
      </c>
      <c r="BQ272" s="606">
        <f t="shared" si="368"/>
        <v>0</v>
      </c>
      <c r="BR272" s="607">
        <f t="shared" si="369"/>
        <v>0</v>
      </c>
      <c r="BS272" s="606">
        <f t="shared" si="370"/>
        <v>0</v>
      </c>
      <c r="BT272" s="607">
        <f t="shared" si="371"/>
        <v>0</v>
      </c>
      <c r="BU272" s="606">
        <f t="shared" si="372"/>
        <v>0</v>
      </c>
      <c r="BV272" s="607">
        <f t="shared" si="373"/>
        <v>0</v>
      </c>
      <c r="BW272" s="608">
        <f t="shared" si="374"/>
        <v>0</v>
      </c>
      <c r="BX272" s="607">
        <f t="shared" si="375"/>
        <v>3994</v>
      </c>
      <c r="BY272" s="608">
        <f t="shared" si="376"/>
        <v>4152</v>
      </c>
      <c r="BZ272" s="607">
        <f t="shared" si="377"/>
        <v>0</v>
      </c>
      <c r="CA272" s="608">
        <f t="shared" si="378"/>
        <v>0</v>
      </c>
      <c r="CB272" s="607">
        <f t="shared" si="379"/>
        <v>0</v>
      </c>
      <c r="CC272" s="608">
        <f t="shared" si="380"/>
        <v>0</v>
      </c>
      <c r="CD272" s="607">
        <f t="shared" si="381"/>
        <v>0</v>
      </c>
      <c r="CE272" s="608">
        <f t="shared" si="382"/>
        <v>0</v>
      </c>
      <c r="CF272" s="607">
        <f t="shared" si="383"/>
        <v>0</v>
      </c>
      <c r="CG272" s="608">
        <f t="shared" si="384"/>
        <v>0</v>
      </c>
      <c r="CH272" s="607">
        <f t="shared" si="385"/>
        <v>0</v>
      </c>
      <c r="CI272" s="608">
        <f t="shared" si="386"/>
        <v>0</v>
      </c>
      <c r="CJ272" s="607">
        <f t="shared" si="387"/>
        <v>5088.9926890335491</v>
      </c>
      <c r="CK272" s="608">
        <f t="shared" si="388"/>
        <v>4895.0765895953755</v>
      </c>
      <c r="CL272" s="609">
        <f t="shared" si="389"/>
        <v>0</v>
      </c>
      <c r="CM272" s="608">
        <f t="shared" si="390"/>
        <v>0</v>
      </c>
      <c r="CN272" s="610">
        <f t="shared" si="391"/>
        <v>0</v>
      </c>
      <c r="CO272" s="606">
        <f t="shared" si="392"/>
        <v>0</v>
      </c>
      <c r="CP272" s="607">
        <f t="shared" si="393"/>
        <v>0</v>
      </c>
      <c r="CQ272" s="606">
        <f t="shared" si="394"/>
        <v>0</v>
      </c>
      <c r="CR272" s="607">
        <f t="shared" si="395"/>
        <v>0</v>
      </c>
      <c r="CS272" s="606">
        <f t="shared" si="396"/>
        <v>0</v>
      </c>
      <c r="CT272" s="607">
        <f t="shared" si="397"/>
        <v>0</v>
      </c>
      <c r="CU272" s="608">
        <f t="shared" si="398"/>
        <v>0</v>
      </c>
      <c r="CV272" s="610">
        <f t="shared" si="399"/>
        <v>45800.934201301941</v>
      </c>
      <c r="CW272" s="608">
        <f t="shared" si="400"/>
        <v>44055.689306358378</v>
      </c>
      <c r="CX272" s="610">
        <f t="shared" si="401"/>
        <v>45800.934201301941</v>
      </c>
      <c r="CY272" s="611">
        <f t="shared" si="402"/>
        <v>44055.689306358378</v>
      </c>
      <c r="CZ272" s="605">
        <f t="shared" si="403"/>
        <v>0</v>
      </c>
      <c r="DA272" s="612">
        <f t="shared" si="404"/>
        <v>0</v>
      </c>
      <c r="DB272" s="607">
        <f t="shared" si="405"/>
        <v>0</v>
      </c>
      <c r="DC272" s="606">
        <f t="shared" si="406"/>
        <v>0</v>
      </c>
      <c r="DD272" s="607">
        <f t="shared" si="407"/>
        <v>0</v>
      </c>
      <c r="DE272" s="606">
        <f t="shared" si="408"/>
        <v>0</v>
      </c>
      <c r="DF272" s="607">
        <f t="shared" si="409"/>
        <v>0</v>
      </c>
      <c r="DG272" s="606">
        <f t="shared" si="410"/>
        <v>0</v>
      </c>
      <c r="DH272" s="607">
        <f t="shared" si="411"/>
        <v>0</v>
      </c>
      <c r="DI272" s="608">
        <f t="shared" si="412"/>
        <v>0</v>
      </c>
      <c r="DJ272" s="607">
        <f t="shared" si="413"/>
        <v>420</v>
      </c>
      <c r="DK272" s="608">
        <f t="shared" si="414"/>
        <v>419</v>
      </c>
      <c r="DL272" s="607">
        <f t="shared" si="415"/>
        <v>420</v>
      </c>
      <c r="DM272" s="608">
        <f t="shared" si="416"/>
        <v>419</v>
      </c>
      <c r="DN272" s="607">
        <f t="shared" si="417"/>
        <v>0</v>
      </c>
      <c r="DO272" s="612">
        <f t="shared" si="418"/>
        <v>0</v>
      </c>
      <c r="DP272" s="607">
        <f t="shared" si="419"/>
        <v>0</v>
      </c>
      <c r="DQ272" s="606">
        <f t="shared" si="420"/>
        <v>0</v>
      </c>
      <c r="DR272" s="607">
        <f t="shared" si="421"/>
        <v>0</v>
      </c>
      <c r="DS272" s="606">
        <f t="shared" si="422"/>
        <v>0</v>
      </c>
      <c r="DT272" s="607">
        <f t="shared" si="423"/>
        <v>0</v>
      </c>
      <c r="DU272" s="606">
        <f t="shared" si="424"/>
        <v>0</v>
      </c>
      <c r="DV272" s="607">
        <f t="shared" si="425"/>
        <v>0</v>
      </c>
      <c r="DW272" s="608">
        <f t="shared" si="426"/>
        <v>0</v>
      </c>
      <c r="DX272" s="607">
        <f t="shared" si="427"/>
        <v>19236392.364546817</v>
      </c>
      <c r="DY272" s="608">
        <f t="shared" si="428"/>
        <v>18459333.81936416</v>
      </c>
      <c r="DZ272" s="607">
        <f t="shared" si="429"/>
        <v>19236392.364546817</v>
      </c>
      <c r="EA272" s="608">
        <f t="shared" si="430"/>
        <v>18459333.81936416</v>
      </c>
    </row>
    <row r="273" spans="1:131" x14ac:dyDescent="0.2">
      <c r="A273" s="473" t="s">
        <v>39</v>
      </c>
      <c r="B273" s="474" t="s">
        <v>895</v>
      </c>
      <c r="C273" s="567"/>
      <c r="D273" s="477">
        <v>175829</v>
      </c>
      <c r="E273" s="477">
        <v>8</v>
      </c>
      <c r="F273" s="598"/>
      <c r="G273" s="599"/>
      <c r="H273" s="600"/>
      <c r="I273" s="601"/>
      <c r="J273" s="600"/>
      <c r="K273" s="599"/>
      <c r="L273" s="600"/>
      <c r="M273" s="601"/>
      <c r="N273" s="600"/>
      <c r="O273" s="599"/>
      <c r="P273" s="600"/>
      <c r="Q273" s="601"/>
      <c r="R273" s="600"/>
      <c r="S273" s="599"/>
      <c r="T273" s="600"/>
      <c r="U273" s="601"/>
      <c r="V273" s="600"/>
      <c r="W273" s="599"/>
      <c r="X273" s="600"/>
      <c r="Y273" s="601"/>
      <c r="Z273" s="600"/>
      <c r="AA273" s="599"/>
      <c r="AB273" s="600"/>
      <c r="AC273" s="601"/>
      <c r="AD273" s="600"/>
      <c r="AE273" s="599"/>
      <c r="AF273" s="600"/>
      <c r="AG273" s="601"/>
      <c r="AH273" s="600"/>
      <c r="AI273" s="599"/>
      <c r="AJ273" s="600"/>
      <c r="AK273" s="601"/>
      <c r="AL273" s="600"/>
      <c r="AM273" s="599"/>
      <c r="AN273" s="600"/>
      <c r="AO273" s="601"/>
      <c r="AP273" s="600"/>
      <c r="AQ273" s="599"/>
      <c r="AR273" s="600"/>
      <c r="AS273" s="601"/>
      <c r="AT273" s="600">
        <v>148</v>
      </c>
      <c r="AU273" s="599">
        <v>99</v>
      </c>
      <c r="AV273" s="600"/>
      <c r="AW273" s="601">
        <v>45</v>
      </c>
      <c r="AX273" s="600">
        <v>60</v>
      </c>
      <c r="AY273" s="599">
        <v>49</v>
      </c>
      <c r="AZ273" s="600"/>
      <c r="BA273" s="601">
        <v>17</v>
      </c>
      <c r="BB273" s="602">
        <v>0</v>
      </c>
      <c r="BC273" s="599"/>
      <c r="BD273" s="600">
        <v>0</v>
      </c>
      <c r="BE273" s="599"/>
      <c r="BF273" s="600">
        <v>0</v>
      </c>
      <c r="BG273" s="599"/>
      <c r="BH273" s="600">
        <v>0</v>
      </c>
      <c r="BI273" s="599"/>
      <c r="BJ273" s="600">
        <v>0</v>
      </c>
      <c r="BK273" s="615"/>
      <c r="BL273" s="600">
        <v>13499616</v>
      </c>
      <c r="BM273" s="604">
        <v>13035824</v>
      </c>
      <c r="BN273" s="605">
        <f t="shared" si="365"/>
        <v>0</v>
      </c>
      <c r="BO273" s="606">
        <f t="shared" si="366"/>
        <v>0</v>
      </c>
      <c r="BP273" s="607">
        <f t="shared" si="367"/>
        <v>0</v>
      </c>
      <c r="BQ273" s="606">
        <f t="shared" si="368"/>
        <v>0</v>
      </c>
      <c r="BR273" s="607">
        <f t="shared" si="369"/>
        <v>0</v>
      </c>
      <c r="BS273" s="606">
        <f t="shared" si="370"/>
        <v>0</v>
      </c>
      <c r="BT273" s="607">
        <f t="shared" si="371"/>
        <v>0</v>
      </c>
      <c r="BU273" s="606">
        <f t="shared" si="372"/>
        <v>0</v>
      </c>
      <c r="BV273" s="607">
        <f t="shared" si="373"/>
        <v>0</v>
      </c>
      <c r="BW273" s="608">
        <f t="shared" si="374"/>
        <v>0</v>
      </c>
      <c r="BX273" s="607">
        <f t="shared" si="375"/>
        <v>1992</v>
      </c>
      <c r="BY273" s="608">
        <f t="shared" si="376"/>
        <v>2084</v>
      </c>
      <c r="BZ273" s="607">
        <f t="shared" si="377"/>
        <v>0</v>
      </c>
      <c r="CA273" s="608">
        <f t="shared" si="378"/>
        <v>0</v>
      </c>
      <c r="CB273" s="607">
        <f t="shared" si="379"/>
        <v>0</v>
      </c>
      <c r="CC273" s="608">
        <f t="shared" si="380"/>
        <v>0</v>
      </c>
      <c r="CD273" s="607">
        <f t="shared" si="381"/>
        <v>0</v>
      </c>
      <c r="CE273" s="608">
        <f t="shared" si="382"/>
        <v>0</v>
      </c>
      <c r="CF273" s="607">
        <f t="shared" si="383"/>
        <v>0</v>
      </c>
      <c r="CG273" s="608">
        <f t="shared" si="384"/>
        <v>0</v>
      </c>
      <c r="CH273" s="607">
        <f t="shared" si="385"/>
        <v>0</v>
      </c>
      <c r="CI273" s="608">
        <f t="shared" si="386"/>
        <v>0</v>
      </c>
      <c r="CJ273" s="607">
        <f t="shared" si="387"/>
        <v>6776.9156626506028</v>
      </c>
      <c r="CK273" s="608">
        <f t="shared" si="388"/>
        <v>6255.1938579654507</v>
      </c>
      <c r="CL273" s="609">
        <f t="shared" si="389"/>
        <v>0</v>
      </c>
      <c r="CM273" s="608">
        <f t="shared" si="390"/>
        <v>0</v>
      </c>
      <c r="CN273" s="610">
        <f t="shared" si="391"/>
        <v>0</v>
      </c>
      <c r="CO273" s="606">
        <f t="shared" si="392"/>
        <v>0</v>
      </c>
      <c r="CP273" s="607">
        <f t="shared" si="393"/>
        <v>0</v>
      </c>
      <c r="CQ273" s="606">
        <f t="shared" si="394"/>
        <v>0</v>
      </c>
      <c r="CR273" s="607">
        <f t="shared" si="395"/>
        <v>0</v>
      </c>
      <c r="CS273" s="606">
        <f t="shared" si="396"/>
        <v>0</v>
      </c>
      <c r="CT273" s="607">
        <f t="shared" si="397"/>
        <v>0</v>
      </c>
      <c r="CU273" s="608">
        <f t="shared" si="398"/>
        <v>0</v>
      </c>
      <c r="CV273" s="610">
        <f t="shared" si="399"/>
        <v>60992.240963855424</v>
      </c>
      <c r="CW273" s="608">
        <f t="shared" si="400"/>
        <v>56296.744721689058</v>
      </c>
      <c r="CX273" s="610">
        <f t="shared" si="401"/>
        <v>60992.240963855424</v>
      </c>
      <c r="CY273" s="611">
        <f t="shared" si="402"/>
        <v>56296.744721689058</v>
      </c>
      <c r="CZ273" s="605">
        <f t="shared" si="403"/>
        <v>0</v>
      </c>
      <c r="DA273" s="612">
        <f t="shared" si="404"/>
        <v>0</v>
      </c>
      <c r="DB273" s="607">
        <f t="shared" si="405"/>
        <v>0</v>
      </c>
      <c r="DC273" s="606">
        <f t="shared" si="406"/>
        <v>0</v>
      </c>
      <c r="DD273" s="607">
        <f t="shared" si="407"/>
        <v>0</v>
      </c>
      <c r="DE273" s="606">
        <f t="shared" si="408"/>
        <v>0</v>
      </c>
      <c r="DF273" s="607">
        <f t="shared" si="409"/>
        <v>0</v>
      </c>
      <c r="DG273" s="606">
        <f t="shared" si="410"/>
        <v>0</v>
      </c>
      <c r="DH273" s="607">
        <f t="shared" si="411"/>
        <v>0</v>
      </c>
      <c r="DI273" s="608">
        <f t="shared" si="412"/>
        <v>0</v>
      </c>
      <c r="DJ273" s="607">
        <f t="shared" si="413"/>
        <v>208</v>
      </c>
      <c r="DK273" s="608">
        <f t="shared" si="414"/>
        <v>210</v>
      </c>
      <c r="DL273" s="607">
        <f t="shared" si="415"/>
        <v>208</v>
      </c>
      <c r="DM273" s="608">
        <f t="shared" si="416"/>
        <v>210</v>
      </c>
      <c r="DN273" s="607">
        <f t="shared" si="417"/>
        <v>0</v>
      </c>
      <c r="DO273" s="612">
        <f t="shared" si="418"/>
        <v>0</v>
      </c>
      <c r="DP273" s="607">
        <f t="shared" si="419"/>
        <v>0</v>
      </c>
      <c r="DQ273" s="606">
        <f t="shared" si="420"/>
        <v>0</v>
      </c>
      <c r="DR273" s="607">
        <f t="shared" si="421"/>
        <v>0</v>
      </c>
      <c r="DS273" s="606">
        <f t="shared" si="422"/>
        <v>0</v>
      </c>
      <c r="DT273" s="607">
        <f t="shared" si="423"/>
        <v>0</v>
      </c>
      <c r="DU273" s="606">
        <f t="shared" si="424"/>
        <v>0</v>
      </c>
      <c r="DV273" s="607">
        <f t="shared" si="425"/>
        <v>0</v>
      </c>
      <c r="DW273" s="608">
        <f t="shared" si="426"/>
        <v>0</v>
      </c>
      <c r="DX273" s="607">
        <f t="shared" si="427"/>
        <v>12686386.120481929</v>
      </c>
      <c r="DY273" s="608">
        <f t="shared" si="428"/>
        <v>11822316.391554702</v>
      </c>
      <c r="DZ273" s="607">
        <f t="shared" si="429"/>
        <v>12686386.120481929</v>
      </c>
      <c r="EA273" s="608">
        <f t="shared" si="430"/>
        <v>11822316.391554702</v>
      </c>
    </row>
    <row r="274" spans="1:131" x14ac:dyDescent="0.2">
      <c r="A274" s="473" t="s">
        <v>39</v>
      </c>
      <c r="B274" s="478" t="s">
        <v>896</v>
      </c>
      <c r="C274" s="567"/>
      <c r="D274" s="473">
        <v>176071</v>
      </c>
      <c r="E274" s="476">
        <v>8</v>
      </c>
      <c r="F274" s="598"/>
      <c r="G274" s="599"/>
      <c r="H274" s="600"/>
      <c r="I274" s="601"/>
      <c r="J274" s="600"/>
      <c r="K274" s="599"/>
      <c r="L274" s="600"/>
      <c r="M274" s="601"/>
      <c r="N274" s="600"/>
      <c r="O274" s="599"/>
      <c r="P274" s="600"/>
      <c r="Q274" s="601"/>
      <c r="R274" s="600"/>
      <c r="S274" s="599"/>
      <c r="T274" s="600"/>
      <c r="U274" s="601"/>
      <c r="V274" s="600"/>
      <c r="W274" s="599"/>
      <c r="X274" s="600"/>
      <c r="Y274" s="601"/>
      <c r="Z274" s="600"/>
      <c r="AA274" s="599"/>
      <c r="AB274" s="600"/>
      <c r="AC274" s="601"/>
      <c r="AD274" s="600"/>
      <c r="AE274" s="599"/>
      <c r="AF274" s="600"/>
      <c r="AG274" s="601"/>
      <c r="AH274" s="600"/>
      <c r="AI274" s="599"/>
      <c r="AJ274" s="600"/>
      <c r="AK274" s="601"/>
      <c r="AL274" s="600"/>
      <c r="AM274" s="599"/>
      <c r="AN274" s="600"/>
      <c r="AO274" s="601"/>
      <c r="AP274" s="600"/>
      <c r="AQ274" s="599"/>
      <c r="AR274" s="600"/>
      <c r="AS274" s="601"/>
      <c r="AT274" s="600">
        <v>251.2</v>
      </c>
      <c r="AU274" s="599">
        <v>210</v>
      </c>
      <c r="AV274" s="600"/>
      <c r="AW274" s="601">
        <v>34</v>
      </c>
      <c r="AX274" s="600">
        <v>73.7</v>
      </c>
      <c r="AY274" s="599"/>
      <c r="AZ274" s="600"/>
      <c r="BA274" s="601">
        <v>63</v>
      </c>
      <c r="BB274" s="602">
        <v>0</v>
      </c>
      <c r="BC274" s="599"/>
      <c r="BD274" s="600">
        <v>0</v>
      </c>
      <c r="BE274" s="599"/>
      <c r="BF274" s="600">
        <v>0</v>
      </c>
      <c r="BG274" s="599"/>
      <c r="BH274" s="600">
        <v>0</v>
      </c>
      <c r="BI274" s="599"/>
      <c r="BJ274" s="600">
        <v>0</v>
      </c>
      <c r="BK274" s="615"/>
      <c r="BL274" s="600">
        <v>15701288.199999999</v>
      </c>
      <c r="BM274" s="604">
        <v>15470352</v>
      </c>
      <c r="BN274" s="605">
        <f t="shared" si="365"/>
        <v>0</v>
      </c>
      <c r="BO274" s="606">
        <f t="shared" si="366"/>
        <v>0</v>
      </c>
      <c r="BP274" s="607">
        <f t="shared" si="367"/>
        <v>0</v>
      </c>
      <c r="BQ274" s="606">
        <f t="shared" si="368"/>
        <v>0</v>
      </c>
      <c r="BR274" s="607">
        <f t="shared" si="369"/>
        <v>0</v>
      </c>
      <c r="BS274" s="606">
        <f t="shared" si="370"/>
        <v>0</v>
      </c>
      <c r="BT274" s="607">
        <f t="shared" si="371"/>
        <v>0</v>
      </c>
      <c r="BU274" s="606">
        <f t="shared" si="372"/>
        <v>0</v>
      </c>
      <c r="BV274" s="607">
        <f t="shared" si="373"/>
        <v>0</v>
      </c>
      <c r="BW274" s="608">
        <f t="shared" si="374"/>
        <v>0</v>
      </c>
      <c r="BX274" s="607">
        <f t="shared" si="375"/>
        <v>3071.5</v>
      </c>
      <c r="BY274" s="608">
        <f t="shared" si="376"/>
        <v>2986</v>
      </c>
      <c r="BZ274" s="607">
        <f t="shared" si="377"/>
        <v>0</v>
      </c>
      <c r="CA274" s="608">
        <f t="shared" si="378"/>
        <v>0</v>
      </c>
      <c r="CB274" s="607">
        <f t="shared" si="379"/>
        <v>0</v>
      </c>
      <c r="CC274" s="608">
        <f t="shared" si="380"/>
        <v>0</v>
      </c>
      <c r="CD274" s="607">
        <f t="shared" si="381"/>
        <v>0</v>
      </c>
      <c r="CE274" s="608">
        <f t="shared" si="382"/>
        <v>0</v>
      </c>
      <c r="CF274" s="607">
        <f t="shared" si="383"/>
        <v>0</v>
      </c>
      <c r="CG274" s="608">
        <f t="shared" si="384"/>
        <v>0</v>
      </c>
      <c r="CH274" s="607">
        <f t="shared" si="385"/>
        <v>0</v>
      </c>
      <c r="CI274" s="608">
        <f t="shared" si="386"/>
        <v>0</v>
      </c>
      <c r="CJ274" s="607">
        <f t="shared" si="387"/>
        <v>5111.9284388735141</v>
      </c>
      <c r="CK274" s="608">
        <f t="shared" si="388"/>
        <v>5180.9618218352307</v>
      </c>
      <c r="CL274" s="609">
        <f t="shared" si="389"/>
        <v>0</v>
      </c>
      <c r="CM274" s="608">
        <f t="shared" si="390"/>
        <v>0</v>
      </c>
      <c r="CN274" s="610">
        <f t="shared" si="391"/>
        <v>0</v>
      </c>
      <c r="CO274" s="606">
        <f t="shared" si="392"/>
        <v>0</v>
      </c>
      <c r="CP274" s="607">
        <f t="shared" si="393"/>
        <v>0</v>
      </c>
      <c r="CQ274" s="606">
        <f t="shared" si="394"/>
        <v>0</v>
      </c>
      <c r="CR274" s="607">
        <f t="shared" si="395"/>
        <v>0</v>
      </c>
      <c r="CS274" s="606">
        <f t="shared" si="396"/>
        <v>0</v>
      </c>
      <c r="CT274" s="607">
        <f t="shared" si="397"/>
        <v>0</v>
      </c>
      <c r="CU274" s="608">
        <f t="shared" si="398"/>
        <v>0</v>
      </c>
      <c r="CV274" s="610">
        <f t="shared" si="399"/>
        <v>46007.355949861623</v>
      </c>
      <c r="CW274" s="608">
        <f t="shared" si="400"/>
        <v>46628.656396517079</v>
      </c>
      <c r="CX274" s="610">
        <f t="shared" si="401"/>
        <v>46007.355949861623</v>
      </c>
      <c r="CY274" s="611">
        <f t="shared" si="402"/>
        <v>46628.656396517079</v>
      </c>
      <c r="CZ274" s="605">
        <f t="shared" si="403"/>
        <v>0</v>
      </c>
      <c r="DA274" s="612">
        <f t="shared" si="404"/>
        <v>0</v>
      </c>
      <c r="DB274" s="607">
        <f t="shared" si="405"/>
        <v>0</v>
      </c>
      <c r="DC274" s="606">
        <f t="shared" si="406"/>
        <v>0</v>
      </c>
      <c r="DD274" s="607">
        <f t="shared" si="407"/>
        <v>0</v>
      </c>
      <c r="DE274" s="606">
        <f t="shared" si="408"/>
        <v>0</v>
      </c>
      <c r="DF274" s="607">
        <f t="shared" si="409"/>
        <v>0</v>
      </c>
      <c r="DG274" s="606">
        <f t="shared" si="410"/>
        <v>0</v>
      </c>
      <c r="DH274" s="607">
        <f t="shared" si="411"/>
        <v>0</v>
      </c>
      <c r="DI274" s="608">
        <f t="shared" si="412"/>
        <v>0</v>
      </c>
      <c r="DJ274" s="607">
        <f t="shared" si="413"/>
        <v>324.89999999999998</v>
      </c>
      <c r="DK274" s="608">
        <f t="shared" si="414"/>
        <v>307</v>
      </c>
      <c r="DL274" s="607">
        <f t="shared" si="415"/>
        <v>324.89999999999998</v>
      </c>
      <c r="DM274" s="608">
        <f t="shared" si="416"/>
        <v>307</v>
      </c>
      <c r="DN274" s="607">
        <f t="shared" si="417"/>
        <v>0</v>
      </c>
      <c r="DO274" s="612">
        <f t="shared" si="418"/>
        <v>0</v>
      </c>
      <c r="DP274" s="607">
        <f t="shared" si="419"/>
        <v>0</v>
      </c>
      <c r="DQ274" s="606">
        <f t="shared" si="420"/>
        <v>0</v>
      </c>
      <c r="DR274" s="607">
        <f t="shared" si="421"/>
        <v>0</v>
      </c>
      <c r="DS274" s="606">
        <f t="shared" si="422"/>
        <v>0</v>
      </c>
      <c r="DT274" s="607">
        <f t="shared" si="423"/>
        <v>0</v>
      </c>
      <c r="DU274" s="606">
        <f t="shared" si="424"/>
        <v>0</v>
      </c>
      <c r="DV274" s="607">
        <f t="shared" si="425"/>
        <v>0</v>
      </c>
      <c r="DW274" s="608">
        <f t="shared" si="426"/>
        <v>0</v>
      </c>
      <c r="DX274" s="607">
        <f t="shared" si="427"/>
        <v>14947789.94811004</v>
      </c>
      <c r="DY274" s="608">
        <f t="shared" si="428"/>
        <v>14314997.513730744</v>
      </c>
      <c r="DZ274" s="607">
        <f t="shared" si="429"/>
        <v>14947789.94811004</v>
      </c>
      <c r="EA274" s="608">
        <f t="shared" si="430"/>
        <v>14314997.513730744</v>
      </c>
    </row>
    <row r="275" spans="1:131" x14ac:dyDescent="0.2">
      <c r="A275" s="473" t="s">
        <v>39</v>
      </c>
      <c r="B275" s="478" t="s">
        <v>897</v>
      </c>
      <c r="C275" s="567"/>
      <c r="D275" s="473">
        <v>176178</v>
      </c>
      <c r="E275" s="473">
        <v>8</v>
      </c>
      <c r="F275" s="598"/>
      <c r="G275" s="599"/>
      <c r="H275" s="600"/>
      <c r="I275" s="601"/>
      <c r="J275" s="600"/>
      <c r="K275" s="599"/>
      <c r="L275" s="600"/>
      <c r="M275" s="601"/>
      <c r="N275" s="600"/>
      <c r="O275" s="599"/>
      <c r="P275" s="600"/>
      <c r="Q275" s="601"/>
      <c r="R275" s="600"/>
      <c r="S275" s="599"/>
      <c r="T275" s="600"/>
      <c r="U275" s="601"/>
      <c r="V275" s="600"/>
      <c r="W275" s="599"/>
      <c r="X275" s="600"/>
      <c r="Y275" s="601"/>
      <c r="Z275" s="600"/>
      <c r="AA275" s="599"/>
      <c r="AB275" s="600"/>
      <c r="AC275" s="601"/>
      <c r="AD275" s="600"/>
      <c r="AE275" s="599"/>
      <c r="AF275" s="600"/>
      <c r="AG275" s="601"/>
      <c r="AH275" s="600"/>
      <c r="AI275" s="599"/>
      <c r="AJ275" s="600"/>
      <c r="AK275" s="601"/>
      <c r="AL275" s="600"/>
      <c r="AM275" s="599"/>
      <c r="AN275" s="600"/>
      <c r="AO275" s="601"/>
      <c r="AP275" s="600"/>
      <c r="AQ275" s="599"/>
      <c r="AR275" s="600"/>
      <c r="AS275" s="601"/>
      <c r="AT275" s="600">
        <v>183</v>
      </c>
      <c r="AU275" s="599">
        <v>142</v>
      </c>
      <c r="AV275" s="600"/>
      <c r="AW275" s="601">
        <v>42</v>
      </c>
      <c r="AX275" s="600">
        <v>38</v>
      </c>
      <c r="AY275" s="599">
        <v>0</v>
      </c>
      <c r="AZ275" s="600"/>
      <c r="BA275" s="601">
        <v>37</v>
      </c>
      <c r="BB275" s="602">
        <v>0</v>
      </c>
      <c r="BC275" s="599"/>
      <c r="BD275" s="600">
        <v>0</v>
      </c>
      <c r="BE275" s="599"/>
      <c r="BF275" s="600">
        <v>0</v>
      </c>
      <c r="BG275" s="599"/>
      <c r="BH275" s="600">
        <v>0</v>
      </c>
      <c r="BI275" s="599"/>
      <c r="BJ275" s="600">
        <v>0</v>
      </c>
      <c r="BK275" s="615"/>
      <c r="BL275" s="600">
        <v>11890219.1</v>
      </c>
      <c r="BM275" s="604">
        <v>12234204</v>
      </c>
      <c r="BN275" s="605">
        <f t="shared" si="365"/>
        <v>0</v>
      </c>
      <c r="BO275" s="606">
        <f t="shared" si="366"/>
        <v>0</v>
      </c>
      <c r="BP275" s="607">
        <f t="shared" si="367"/>
        <v>0</v>
      </c>
      <c r="BQ275" s="606">
        <f t="shared" si="368"/>
        <v>0</v>
      </c>
      <c r="BR275" s="607">
        <f t="shared" si="369"/>
        <v>0</v>
      </c>
      <c r="BS275" s="606">
        <f t="shared" si="370"/>
        <v>0</v>
      </c>
      <c r="BT275" s="607">
        <f t="shared" si="371"/>
        <v>0</v>
      </c>
      <c r="BU275" s="606">
        <f t="shared" si="372"/>
        <v>0</v>
      </c>
      <c r="BV275" s="607">
        <f t="shared" si="373"/>
        <v>0</v>
      </c>
      <c r="BW275" s="608">
        <f t="shared" si="374"/>
        <v>0</v>
      </c>
      <c r="BX275" s="607">
        <f t="shared" si="375"/>
        <v>2065</v>
      </c>
      <c r="BY275" s="608">
        <f t="shared" si="376"/>
        <v>2142</v>
      </c>
      <c r="BZ275" s="607">
        <f t="shared" si="377"/>
        <v>0</v>
      </c>
      <c r="CA275" s="608">
        <f t="shared" si="378"/>
        <v>0</v>
      </c>
      <c r="CB275" s="607">
        <f t="shared" si="379"/>
        <v>0</v>
      </c>
      <c r="CC275" s="608">
        <f t="shared" si="380"/>
        <v>0</v>
      </c>
      <c r="CD275" s="607">
        <f t="shared" si="381"/>
        <v>0</v>
      </c>
      <c r="CE275" s="608">
        <f t="shared" si="382"/>
        <v>0</v>
      </c>
      <c r="CF275" s="607">
        <f t="shared" si="383"/>
        <v>0</v>
      </c>
      <c r="CG275" s="608">
        <f t="shared" si="384"/>
        <v>0</v>
      </c>
      <c r="CH275" s="607">
        <f t="shared" si="385"/>
        <v>0</v>
      </c>
      <c r="CI275" s="608">
        <f t="shared" si="386"/>
        <v>0</v>
      </c>
      <c r="CJ275" s="607">
        <f t="shared" si="387"/>
        <v>5757.975351089588</v>
      </c>
      <c r="CK275" s="608">
        <f t="shared" si="388"/>
        <v>5711.5798319327732</v>
      </c>
      <c r="CL275" s="609">
        <f t="shared" si="389"/>
        <v>0</v>
      </c>
      <c r="CM275" s="608">
        <f t="shared" si="390"/>
        <v>0</v>
      </c>
      <c r="CN275" s="610">
        <f t="shared" si="391"/>
        <v>0</v>
      </c>
      <c r="CO275" s="606">
        <f t="shared" si="392"/>
        <v>0</v>
      </c>
      <c r="CP275" s="607">
        <f t="shared" si="393"/>
        <v>0</v>
      </c>
      <c r="CQ275" s="606">
        <f t="shared" si="394"/>
        <v>0</v>
      </c>
      <c r="CR275" s="607">
        <f t="shared" si="395"/>
        <v>0</v>
      </c>
      <c r="CS275" s="606">
        <f t="shared" si="396"/>
        <v>0</v>
      </c>
      <c r="CT275" s="607">
        <f t="shared" si="397"/>
        <v>0</v>
      </c>
      <c r="CU275" s="608">
        <f t="shared" si="398"/>
        <v>0</v>
      </c>
      <c r="CV275" s="610">
        <f t="shared" si="399"/>
        <v>51821.778159806294</v>
      </c>
      <c r="CW275" s="608">
        <f t="shared" si="400"/>
        <v>51404.218487394959</v>
      </c>
      <c r="CX275" s="610">
        <f t="shared" si="401"/>
        <v>51821.778159806294</v>
      </c>
      <c r="CY275" s="611">
        <f t="shared" si="402"/>
        <v>51404.218487394959</v>
      </c>
      <c r="CZ275" s="605">
        <f t="shared" si="403"/>
        <v>0</v>
      </c>
      <c r="DA275" s="612">
        <f t="shared" si="404"/>
        <v>0</v>
      </c>
      <c r="DB275" s="607">
        <f t="shared" si="405"/>
        <v>0</v>
      </c>
      <c r="DC275" s="606">
        <f t="shared" si="406"/>
        <v>0</v>
      </c>
      <c r="DD275" s="607">
        <f t="shared" si="407"/>
        <v>0</v>
      </c>
      <c r="DE275" s="606">
        <f t="shared" si="408"/>
        <v>0</v>
      </c>
      <c r="DF275" s="607">
        <f t="shared" si="409"/>
        <v>0</v>
      </c>
      <c r="DG275" s="606">
        <f t="shared" si="410"/>
        <v>0</v>
      </c>
      <c r="DH275" s="607">
        <f t="shared" si="411"/>
        <v>0</v>
      </c>
      <c r="DI275" s="608">
        <f t="shared" si="412"/>
        <v>0</v>
      </c>
      <c r="DJ275" s="607">
        <f t="shared" si="413"/>
        <v>221</v>
      </c>
      <c r="DK275" s="608">
        <f t="shared" si="414"/>
        <v>221</v>
      </c>
      <c r="DL275" s="607">
        <f t="shared" si="415"/>
        <v>221</v>
      </c>
      <c r="DM275" s="608">
        <f t="shared" si="416"/>
        <v>221</v>
      </c>
      <c r="DN275" s="607">
        <f t="shared" si="417"/>
        <v>0</v>
      </c>
      <c r="DO275" s="612">
        <f t="shared" si="418"/>
        <v>0</v>
      </c>
      <c r="DP275" s="607">
        <f t="shared" si="419"/>
        <v>0</v>
      </c>
      <c r="DQ275" s="606">
        <f t="shared" si="420"/>
        <v>0</v>
      </c>
      <c r="DR275" s="607">
        <f t="shared" si="421"/>
        <v>0</v>
      </c>
      <c r="DS275" s="606">
        <f t="shared" si="422"/>
        <v>0</v>
      </c>
      <c r="DT275" s="607">
        <f t="shared" si="423"/>
        <v>0</v>
      </c>
      <c r="DU275" s="606">
        <f t="shared" si="424"/>
        <v>0</v>
      </c>
      <c r="DV275" s="607">
        <f t="shared" si="425"/>
        <v>0</v>
      </c>
      <c r="DW275" s="608">
        <f t="shared" si="426"/>
        <v>0</v>
      </c>
      <c r="DX275" s="607">
        <f t="shared" si="427"/>
        <v>11452612.973317191</v>
      </c>
      <c r="DY275" s="608">
        <f t="shared" si="428"/>
        <v>11360332.285714285</v>
      </c>
      <c r="DZ275" s="607">
        <f t="shared" si="429"/>
        <v>11452612.973317191</v>
      </c>
      <c r="EA275" s="608">
        <f t="shared" si="430"/>
        <v>11360332.285714285</v>
      </c>
    </row>
    <row r="276" spans="1:131" x14ac:dyDescent="0.2">
      <c r="A276" s="473" t="s">
        <v>39</v>
      </c>
      <c r="B276" s="474" t="s">
        <v>898</v>
      </c>
      <c r="C276" s="567"/>
      <c r="D276" s="475">
        <v>175573</v>
      </c>
      <c r="E276" s="476">
        <v>9</v>
      </c>
      <c r="F276" s="598"/>
      <c r="G276" s="599"/>
      <c r="H276" s="600"/>
      <c r="I276" s="601"/>
      <c r="J276" s="600"/>
      <c r="K276" s="599"/>
      <c r="L276" s="600"/>
      <c r="M276" s="601"/>
      <c r="N276" s="600"/>
      <c r="O276" s="599"/>
      <c r="P276" s="600"/>
      <c r="Q276" s="601"/>
      <c r="R276" s="600"/>
      <c r="S276" s="599"/>
      <c r="T276" s="600"/>
      <c r="U276" s="601"/>
      <c r="V276" s="600"/>
      <c r="W276" s="599"/>
      <c r="X276" s="600"/>
      <c r="Y276" s="601"/>
      <c r="Z276" s="600"/>
      <c r="AA276" s="599"/>
      <c r="AB276" s="600"/>
      <c r="AC276" s="601"/>
      <c r="AD276" s="600"/>
      <c r="AE276" s="599"/>
      <c r="AF276" s="600"/>
      <c r="AG276" s="601"/>
      <c r="AH276" s="600"/>
      <c r="AI276" s="599"/>
      <c r="AJ276" s="600"/>
      <c r="AK276" s="601"/>
      <c r="AL276" s="600"/>
      <c r="AM276" s="599"/>
      <c r="AN276" s="600"/>
      <c r="AO276" s="601"/>
      <c r="AP276" s="600"/>
      <c r="AQ276" s="599"/>
      <c r="AR276" s="600"/>
      <c r="AS276" s="601"/>
      <c r="AT276" s="600">
        <v>117</v>
      </c>
      <c r="AU276" s="599">
        <v>0</v>
      </c>
      <c r="AV276" s="600"/>
      <c r="AW276" s="601">
        <v>113.6</v>
      </c>
      <c r="AX276" s="600"/>
      <c r="AY276" s="599">
        <v>0</v>
      </c>
      <c r="AZ276" s="600"/>
      <c r="BA276" s="601">
        <v>1</v>
      </c>
      <c r="BB276" s="602">
        <v>0</v>
      </c>
      <c r="BC276" s="599"/>
      <c r="BD276" s="600">
        <v>0</v>
      </c>
      <c r="BE276" s="599"/>
      <c r="BF276" s="600">
        <v>0</v>
      </c>
      <c r="BG276" s="599"/>
      <c r="BH276" s="600">
        <v>0</v>
      </c>
      <c r="BI276" s="599"/>
      <c r="BJ276" s="600">
        <v>0</v>
      </c>
      <c r="BK276" s="615"/>
      <c r="BL276" s="600">
        <v>5500556.1000000006</v>
      </c>
      <c r="BM276" s="604">
        <v>5424693</v>
      </c>
      <c r="BN276" s="605">
        <f t="shared" si="365"/>
        <v>0</v>
      </c>
      <c r="BO276" s="606">
        <f t="shared" si="366"/>
        <v>0</v>
      </c>
      <c r="BP276" s="607">
        <f t="shared" si="367"/>
        <v>0</v>
      </c>
      <c r="BQ276" s="606">
        <f t="shared" si="368"/>
        <v>0</v>
      </c>
      <c r="BR276" s="607">
        <f t="shared" si="369"/>
        <v>0</v>
      </c>
      <c r="BS276" s="606">
        <f t="shared" si="370"/>
        <v>0</v>
      </c>
      <c r="BT276" s="607">
        <f t="shared" si="371"/>
        <v>0</v>
      </c>
      <c r="BU276" s="606">
        <f t="shared" si="372"/>
        <v>0</v>
      </c>
      <c r="BV276" s="607">
        <f t="shared" si="373"/>
        <v>0</v>
      </c>
      <c r="BW276" s="608">
        <f t="shared" si="374"/>
        <v>0</v>
      </c>
      <c r="BX276" s="607">
        <f t="shared" si="375"/>
        <v>1053</v>
      </c>
      <c r="BY276" s="608">
        <f t="shared" si="376"/>
        <v>1148</v>
      </c>
      <c r="BZ276" s="607">
        <f t="shared" si="377"/>
        <v>0</v>
      </c>
      <c r="CA276" s="608">
        <f t="shared" si="378"/>
        <v>0</v>
      </c>
      <c r="CB276" s="607">
        <f t="shared" si="379"/>
        <v>0</v>
      </c>
      <c r="CC276" s="608">
        <f t="shared" si="380"/>
        <v>0</v>
      </c>
      <c r="CD276" s="607">
        <f t="shared" si="381"/>
        <v>0</v>
      </c>
      <c r="CE276" s="608">
        <f t="shared" si="382"/>
        <v>0</v>
      </c>
      <c r="CF276" s="607">
        <f t="shared" si="383"/>
        <v>0</v>
      </c>
      <c r="CG276" s="608">
        <f t="shared" si="384"/>
        <v>0</v>
      </c>
      <c r="CH276" s="607">
        <f t="shared" si="385"/>
        <v>0</v>
      </c>
      <c r="CI276" s="608">
        <f t="shared" si="386"/>
        <v>0</v>
      </c>
      <c r="CJ276" s="607">
        <f t="shared" si="387"/>
        <v>5223.7000000000007</v>
      </c>
      <c r="CK276" s="608">
        <f t="shared" si="388"/>
        <v>4725.3423344947732</v>
      </c>
      <c r="CL276" s="609">
        <f t="shared" si="389"/>
        <v>0</v>
      </c>
      <c r="CM276" s="608">
        <f t="shared" si="390"/>
        <v>0</v>
      </c>
      <c r="CN276" s="610">
        <f t="shared" si="391"/>
        <v>0</v>
      </c>
      <c r="CO276" s="606">
        <f t="shared" si="392"/>
        <v>0</v>
      </c>
      <c r="CP276" s="607">
        <f t="shared" si="393"/>
        <v>0</v>
      </c>
      <c r="CQ276" s="606">
        <f t="shared" si="394"/>
        <v>0</v>
      </c>
      <c r="CR276" s="607">
        <f t="shared" si="395"/>
        <v>0</v>
      </c>
      <c r="CS276" s="606">
        <f t="shared" si="396"/>
        <v>0</v>
      </c>
      <c r="CT276" s="607">
        <f t="shared" si="397"/>
        <v>0</v>
      </c>
      <c r="CU276" s="608">
        <f t="shared" si="398"/>
        <v>0</v>
      </c>
      <c r="CV276" s="610">
        <f t="shared" si="399"/>
        <v>47013.3</v>
      </c>
      <c r="CW276" s="608">
        <f t="shared" si="400"/>
        <v>42528.081010452959</v>
      </c>
      <c r="CX276" s="610">
        <f t="shared" si="401"/>
        <v>47013.3</v>
      </c>
      <c r="CY276" s="611">
        <f t="shared" si="402"/>
        <v>42528.081010452966</v>
      </c>
      <c r="CZ276" s="605">
        <f t="shared" si="403"/>
        <v>0</v>
      </c>
      <c r="DA276" s="612">
        <f t="shared" si="404"/>
        <v>0</v>
      </c>
      <c r="DB276" s="607">
        <f t="shared" si="405"/>
        <v>0</v>
      </c>
      <c r="DC276" s="606">
        <f t="shared" si="406"/>
        <v>0</v>
      </c>
      <c r="DD276" s="607">
        <f t="shared" si="407"/>
        <v>0</v>
      </c>
      <c r="DE276" s="606">
        <f t="shared" si="408"/>
        <v>0</v>
      </c>
      <c r="DF276" s="607">
        <f t="shared" si="409"/>
        <v>0</v>
      </c>
      <c r="DG276" s="606">
        <f t="shared" si="410"/>
        <v>0</v>
      </c>
      <c r="DH276" s="607">
        <f t="shared" si="411"/>
        <v>0</v>
      </c>
      <c r="DI276" s="608">
        <f t="shared" si="412"/>
        <v>0</v>
      </c>
      <c r="DJ276" s="607">
        <f t="shared" si="413"/>
        <v>117</v>
      </c>
      <c r="DK276" s="608">
        <f t="shared" si="414"/>
        <v>114.6</v>
      </c>
      <c r="DL276" s="607">
        <f t="shared" si="415"/>
        <v>117</v>
      </c>
      <c r="DM276" s="608">
        <f t="shared" si="416"/>
        <v>114.6</v>
      </c>
      <c r="DN276" s="607">
        <f t="shared" si="417"/>
        <v>0</v>
      </c>
      <c r="DO276" s="612">
        <f t="shared" si="418"/>
        <v>0</v>
      </c>
      <c r="DP276" s="607">
        <f t="shared" si="419"/>
        <v>0</v>
      </c>
      <c r="DQ276" s="606">
        <f t="shared" si="420"/>
        <v>0</v>
      </c>
      <c r="DR276" s="607">
        <f t="shared" si="421"/>
        <v>0</v>
      </c>
      <c r="DS276" s="606">
        <f t="shared" si="422"/>
        <v>0</v>
      </c>
      <c r="DT276" s="607">
        <f t="shared" si="423"/>
        <v>0</v>
      </c>
      <c r="DU276" s="606">
        <f t="shared" si="424"/>
        <v>0</v>
      </c>
      <c r="DV276" s="607">
        <f t="shared" si="425"/>
        <v>0</v>
      </c>
      <c r="DW276" s="608">
        <f t="shared" si="426"/>
        <v>0</v>
      </c>
      <c r="DX276" s="607">
        <f t="shared" si="427"/>
        <v>5500556.1000000006</v>
      </c>
      <c r="DY276" s="608">
        <f t="shared" si="428"/>
        <v>4873718.0837979093</v>
      </c>
      <c r="DZ276" s="607">
        <f t="shared" si="429"/>
        <v>5500556.1000000006</v>
      </c>
      <c r="EA276" s="608">
        <f t="shared" si="430"/>
        <v>4873718.0837979093</v>
      </c>
    </row>
    <row r="277" spans="1:131" x14ac:dyDescent="0.2">
      <c r="A277" s="473" t="s">
        <v>39</v>
      </c>
      <c r="B277" s="479" t="s">
        <v>899</v>
      </c>
      <c r="C277" s="567"/>
      <c r="D277" s="473">
        <v>175643</v>
      </c>
      <c r="E277" s="473">
        <v>9</v>
      </c>
      <c r="F277" s="598"/>
      <c r="G277" s="599"/>
      <c r="H277" s="600"/>
      <c r="I277" s="601"/>
      <c r="J277" s="600"/>
      <c r="K277" s="599"/>
      <c r="L277" s="600"/>
      <c r="M277" s="601"/>
      <c r="N277" s="600"/>
      <c r="O277" s="599"/>
      <c r="P277" s="600"/>
      <c r="Q277" s="601"/>
      <c r="R277" s="600"/>
      <c r="S277" s="599"/>
      <c r="T277" s="600"/>
      <c r="U277" s="601"/>
      <c r="V277" s="600"/>
      <c r="W277" s="599"/>
      <c r="X277" s="600"/>
      <c r="Y277" s="601"/>
      <c r="Z277" s="600"/>
      <c r="AA277" s="599"/>
      <c r="AB277" s="600"/>
      <c r="AC277" s="601"/>
      <c r="AD277" s="600"/>
      <c r="AE277" s="599"/>
      <c r="AF277" s="600"/>
      <c r="AG277" s="601"/>
      <c r="AH277" s="600"/>
      <c r="AI277" s="599"/>
      <c r="AJ277" s="600"/>
      <c r="AK277" s="601"/>
      <c r="AL277" s="600"/>
      <c r="AM277" s="599"/>
      <c r="AN277" s="600"/>
      <c r="AO277" s="601"/>
      <c r="AP277" s="600"/>
      <c r="AQ277" s="599"/>
      <c r="AR277" s="600"/>
      <c r="AS277" s="601"/>
      <c r="AT277" s="600">
        <v>73</v>
      </c>
      <c r="AU277" s="599">
        <v>75</v>
      </c>
      <c r="AV277" s="600"/>
      <c r="AW277" s="601"/>
      <c r="AX277" s="600">
        <v>9</v>
      </c>
      <c r="AY277" s="599"/>
      <c r="AZ277" s="600"/>
      <c r="BA277" s="601">
        <v>7</v>
      </c>
      <c r="BB277" s="602">
        <v>0</v>
      </c>
      <c r="BC277" s="599"/>
      <c r="BD277" s="600">
        <v>0</v>
      </c>
      <c r="BE277" s="599"/>
      <c r="BF277" s="600">
        <v>0</v>
      </c>
      <c r="BG277" s="599"/>
      <c r="BH277" s="600">
        <v>0</v>
      </c>
      <c r="BI277" s="599"/>
      <c r="BJ277" s="600">
        <v>0</v>
      </c>
      <c r="BK277" s="615"/>
      <c r="BL277" s="600">
        <v>3922662.3</v>
      </c>
      <c r="BM277" s="604">
        <v>3845787</v>
      </c>
      <c r="BN277" s="605">
        <f t="shared" si="365"/>
        <v>0</v>
      </c>
      <c r="BO277" s="606">
        <f t="shared" si="366"/>
        <v>0</v>
      </c>
      <c r="BP277" s="607">
        <f t="shared" si="367"/>
        <v>0</v>
      </c>
      <c r="BQ277" s="606">
        <f t="shared" si="368"/>
        <v>0</v>
      </c>
      <c r="BR277" s="607">
        <f t="shared" si="369"/>
        <v>0</v>
      </c>
      <c r="BS277" s="606">
        <f t="shared" si="370"/>
        <v>0</v>
      </c>
      <c r="BT277" s="607">
        <f t="shared" si="371"/>
        <v>0</v>
      </c>
      <c r="BU277" s="606">
        <f t="shared" si="372"/>
        <v>0</v>
      </c>
      <c r="BV277" s="607">
        <f t="shared" si="373"/>
        <v>0</v>
      </c>
      <c r="BW277" s="608">
        <f t="shared" si="374"/>
        <v>0</v>
      </c>
      <c r="BX277" s="607">
        <f t="shared" si="375"/>
        <v>756</v>
      </c>
      <c r="BY277" s="608">
        <f t="shared" si="376"/>
        <v>759</v>
      </c>
      <c r="BZ277" s="607">
        <f t="shared" si="377"/>
        <v>0</v>
      </c>
      <c r="CA277" s="608">
        <f t="shared" si="378"/>
        <v>0</v>
      </c>
      <c r="CB277" s="607">
        <f t="shared" si="379"/>
        <v>0</v>
      </c>
      <c r="CC277" s="608">
        <f t="shared" si="380"/>
        <v>0</v>
      </c>
      <c r="CD277" s="607">
        <f t="shared" si="381"/>
        <v>0</v>
      </c>
      <c r="CE277" s="608">
        <f t="shared" si="382"/>
        <v>0</v>
      </c>
      <c r="CF277" s="607">
        <f t="shared" si="383"/>
        <v>0</v>
      </c>
      <c r="CG277" s="608">
        <f t="shared" si="384"/>
        <v>0</v>
      </c>
      <c r="CH277" s="607">
        <f t="shared" si="385"/>
        <v>0</v>
      </c>
      <c r="CI277" s="608">
        <f t="shared" si="386"/>
        <v>0</v>
      </c>
      <c r="CJ277" s="607">
        <f t="shared" si="387"/>
        <v>5188.7067460317458</v>
      </c>
      <c r="CK277" s="608">
        <f t="shared" si="388"/>
        <v>5066.913043478261</v>
      </c>
      <c r="CL277" s="609">
        <f t="shared" si="389"/>
        <v>0</v>
      </c>
      <c r="CM277" s="608">
        <f t="shared" si="390"/>
        <v>0</v>
      </c>
      <c r="CN277" s="610">
        <f t="shared" si="391"/>
        <v>0</v>
      </c>
      <c r="CO277" s="606">
        <f t="shared" si="392"/>
        <v>0</v>
      </c>
      <c r="CP277" s="607">
        <f t="shared" si="393"/>
        <v>0</v>
      </c>
      <c r="CQ277" s="606">
        <f t="shared" si="394"/>
        <v>0</v>
      </c>
      <c r="CR277" s="607">
        <f t="shared" si="395"/>
        <v>0</v>
      </c>
      <c r="CS277" s="606">
        <f t="shared" si="396"/>
        <v>0</v>
      </c>
      <c r="CT277" s="607">
        <f t="shared" si="397"/>
        <v>0</v>
      </c>
      <c r="CU277" s="608">
        <f t="shared" si="398"/>
        <v>0</v>
      </c>
      <c r="CV277" s="610">
        <f t="shared" si="399"/>
        <v>46698.360714285714</v>
      </c>
      <c r="CW277" s="608">
        <f t="shared" si="400"/>
        <v>45602.217391304352</v>
      </c>
      <c r="CX277" s="610">
        <f t="shared" si="401"/>
        <v>46698.360714285714</v>
      </c>
      <c r="CY277" s="611">
        <f t="shared" si="402"/>
        <v>45602.217391304352</v>
      </c>
      <c r="CZ277" s="605">
        <f t="shared" si="403"/>
        <v>0</v>
      </c>
      <c r="DA277" s="612">
        <f t="shared" si="404"/>
        <v>0</v>
      </c>
      <c r="DB277" s="607">
        <f t="shared" si="405"/>
        <v>0</v>
      </c>
      <c r="DC277" s="606">
        <f t="shared" si="406"/>
        <v>0</v>
      </c>
      <c r="DD277" s="607">
        <f t="shared" si="407"/>
        <v>0</v>
      </c>
      <c r="DE277" s="606">
        <f t="shared" si="408"/>
        <v>0</v>
      </c>
      <c r="DF277" s="607">
        <f t="shared" si="409"/>
        <v>0</v>
      </c>
      <c r="DG277" s="606">
        <f t="shared" si="410"/>
        <v>0</v>
      </c>
      <c r="DH277" s="607">
        <f t="shared" si="411"/>
        <v>0</v>
      </c>
      <c r="DI277" s="608">
        <f t="shared" si="412"/>
        <v>0</v>
      </c>
      <c r="DJ277" s="607">
        <f t="shared" si="413"/>
        <v>82</v>
      </c>
      <c r="DK277" s="608">
        <f t="shared" si="414"/>
        <v>82</v>
      </c>
      <c r="DL277" s="607">
        <f t="shared" si="415"/>
        <v>82</v>
      </c>
      <c r="DM277" s="608">
        <f t="shared" si="416"/>
        <v>82</v>
      </c>
      <c r="DN277" s="607">
        <f t="shared" si="417"/>
        <v>0</v>
      </c>
      <c r="DO277" s="612">
        <f t="shared" si="418"/>
        <v>0</v>
      </c>
      <c r="DP277" s="607">
        <f t="shared" si="419"/>
        <v>0</v>
      </c>
      <c r="DQ277" s="606">
        <f t="shared" si="420"/>
        <v>0</v>
      </c>
      <c r="DR277" s="607">
        <f t="shared" si="421"/>
        <v>0</v>
      </c>
      <c r="DS277" s="606">
        <f t="shared" si="422"/>
        <v>0</v>
      </c>
      <c r="DT277" s="607">
        <f t="shared" si="423"/>
        <v>0</v>
      </c>
      <c r="DU277" s="606">
        <f t="shared" si="424"/>
        <v>0</v>
      </c>
      <c r="DV277" s="607">
        <f t="shared" si="425"/>
        <v>0</v>
      </c>
      <c r="DW277" s="608">
        <f t="shared" si="426"/>
        <v>0</v>
      </c>
      <c r="DX277" s="607">
        <f t="shared" si="427"/>
        <v>3829265.5785714285</v>
      </c>
      <c r="DY277" s="608">
        <f t="shared" si="428"/>
        <v>3739381.826086957</v>
      </c>
      <c r="DZ277" s="607">
        <f t="shared" si="429"/>
        <v>3829265.5785714285</v>
      </c>
      <c r="EA277" s="608">
        <f t="shared" si="430"/>
        <v>3739381.826086957</v>
      </c>
    </row>
    <row r="278" spans="1:131" x14ac:dyDescent="0.2">
      <c r="A278" s="473" t="s">
        <v>39</v>
      </c>
      <c r="B278" s="478" t="s">
        <v>900</v>
      </c>
      <c r="C278" s="567"/>
      <c r="D278" s="473">
        <v>175652</v>
      </c>
      <c r="E278" s="473">
        <v>9</v>
      </c>
      <c r="F278" s="598"/>
      <c r="G278" s="599"/>
      <c r="H278" s="600"/>
      <c r="I278" s="601"/>
      <c r="J278" s="600"/>
      <c r="K278" s="599"/>
      <c r="L278" s="600"/>
      <c r="M278" s="601"/>
      <c r="N278" s="600"/>
      <c r="O278" s="599"/>
      <c r="P278" s="600"/>
      <c r="Q278" s="601"/>
      <c r="R278" s="600"/>
      <c r="S278" s="599"/>
      <c r="T278" s="600"/>
      <c r="U278" s="601"/>
      <c r="V278" s="600"/>
      <c r="W278" s="599"/>
      <c r="X278" s="600"/>
      <c r="Y278" s="601"/>
      <c r="Z278" s="600"/>
      <c r="AA278" s="599"/>
      <c r="AB278" s="600"/>
      <c r="AC278" s="601"/>
      <c r="AD278" s="600"/>
      <c r="AE278" s="599"/>
      <c r="AF278" s="600"/>
      <c r="AG278" s="601"/>
      <c r="AH278" s="600"/>
      <c r="AI278" s="599"/>
      <c r="AJ278" s="600"/>
      <c r="AK278" s="601"/>
      <c r="AL278" s="600"/>
      <c r="AM278" s="599"/>
      <c r="AN278" s="600"/>
      <c r="AO278" s="601"/>
      <c r="AP278" s="600"/>
      <c r="AQ278" s="599"/>
      <c r="AR278" s="600"/>
      <c r="AS278" s="601"/>
      <c r="AT278" s="600">
        <v>88.7</v>
      </c>
      <c r="AU278" s="599">
        <v>81.7</v>
      </c>
      <c r="AV278" s="600"/>
      <c r="AW278" s="601">
        <v>6</v>
      </c>
      <c r="AX278" s="600">
        <v>17.3</v>
      </c>
      <c r="AY278" s="599">
        <v>12.3</v>
      </c>
      <c r="AZ278" s="600"/>
      <c r="BA278" s="601">
        <v>4</v>
      </c>
      <c r="BB278" s="602">
        <v>0</v>
      </c>
      <c r="BC278" s="599"/>
      <c r="BD278" s="600">
        <v>0</v>
      </c>
      <c r="BE278" s="599"/>
      <c r="BF278" s="600">
        <v>0</v>
      </c>
      <c r="BG278" s="599"/>
      <c r="BH278" s="600">
        <v>0</v>
      </c>
      <c r="BI278" s="599"/>
      <c r="BJ278" s="600">
        <v>0</v>
      </c>
      <c r="BK278" s="615"/>
      <c r="BL278" s="600">
        <v>5832721.7800000003</v>
      </c>
      <c r="BM278" s="604">
        <v>5903423</v>
      </c>
      <c r="BN278" s="605">
        <f t="shared" si="365"/>
        <v>0</v>
      </c>
      <c r="BO278" s="606">
        <f t="shared" si="366"/>
        <v>0</v>
      </c>
      <c r="BP278" s="607">
        <f t="shared" si="367"/>
        <v>0</v>
      </c>
      <c r="BQ278" s="606">
        <f t="shared" si="368"/>
        <v>0</v>
      </c>
      <c r="BR278" s="607">
        <f t="shared" si="369"/>
        <v>0</v>
      </c>
      <c r="BS278" s="606">
        <f t="shared" si="370"/>
        <v>0</v>
      </c>
      <c r="BT278" s="607">
        <f t="shared" si="371"/>
        <v>0</v>
      </c>
      <c r="BU278" s="606">
        <f t="shared" si="372"/>
        <v>0</v>
      </c>
      <c r="BV278" s="607">
        <f t="shared" si="373"/>
        <v>0</v>
      </c>
      <c r="BW278" s="608">
        <f t="shared" si="374"/>
        <v>0</v>
      </c>
      <c r="BX278" s="607">
        <f t="shared" si="375"/>
        <v>988.60000000000014</v>
      </c>
      <c r="BY278" s="608">
        <f t="shared" si="376"/>
        <v>978.60000000000014</v>
      </c>
      <c r="BZ278" s="607">
        <f t="shared" si="377"/>
        <v>0</v>
      </c>
      <c r="CA278" s="608">
        <f t="shared" si="378"/>
        <v>0</v>
      </c>
      <c r="CB278" s="607">
        <f t="shared" si="379"/>
        <v>0</v>
      </c>
      <c r="CC278" s="608">
        <f t="shared" si="380"/>
        <v>0</v>
      </c>
      <c r="CD278" s="607">
        <f t="shared" si="381"/>
        <v>0</v>
      </c>
      <c r="CE278" s="608">
        <f t="shared" si="382"/>
        <v>0</v>
      </c>
      <c r="CF278" s="607">
        <f t="shared" si="383"/>
        <v>0</v>
      </c>
      <c r="CG278" s="608">
        <f t="shared" si="384"/>
        <v>0</v>
      </c>
      <c r="CH278" s="607">
        <f t="shared" si="385"/>
        <v>0</v>
      </c>
      <c r="CI278" s="608">
        <f t="shared" si="386"/>
        <v>0</v>
      </c>
      <c r="CJ278" s="607">
        <f t="shared" si="387"/>
        <v>5899.9815698968232</v>
      </c>
      <c r="CK278" s="608">
        <f t="shared" si="388"/>
        <v>6032.5189045575307</v>
      </c>
      <c r="CL278" s="609">
        <f t="shared" si="389"/>
        <v>0</v>
      </c>
      <c r="CM278" s="608">
        <f t="shared" si="390"/>
        <v>0</v>
      </c>
      <c r="CN278" s="610">
        <f t="shared" si="391"/>
        <v>0</v>
      </c>
      <c r="CO278" s="606">
        <f t="shared" si="392"/>
        <v>0</v>
      </c>
      <c r="CP278" s="607">
        <f t="shared" si="393"/>
        <v>0</v>
      </c>
      <c r="CQ278" s="606">
        <f t="shared" si="394"/>
        <v>0</v>
      </c>
      <c r="CR278" s="607">
        <f t="shared" si="395"/>
        <v>0</v>
      </c>
      <c r="CS278" s="606">
        <f t="shared" si="396"/>
        <v>0</v>
      </c>
      <c r="CT278" s="607">
        <f t="shared" si="397"/>
        <v>0</v>
      </c>
      <c r="CU278" s="608">
        <f t="shared" si="398"/>
        <v>0</v>
      </c>
      <c r="CV278" s="610">
        <f t="shared" si="399"/>
        <v>53099.834129071409</v>
      </c>
      <c r="CW278" s="608">
        <f t="shared" si="400"/>
        <v>54292.670141017777</v>
      </c>
      <c r="CX278" s="610">
        <f t="shared" si="401"/>
        <v>53099.834129071409</v>
      </c>
      <c r="CY278" s="611">
        <f t="shared" si="402"/>
        <v>54292.670141017777</v>
      </c>
      <c r="CZ278" s="605">
        <f t="shared" si="403"/>
        <v>0</v>
      </c>
      <c r="DA278" s="612">
        <f t="shared" si="404"/>
        <v>0</v>
      </c>
      <c r="DB278" s="607">
        <f t="shared" si="405"/>
        <v>0</v>
      </c>
      <c r="DC278" s="606">
        <f t="shared" si="406"/>
        <v>0</v>
      </c>
      <c r="DD278" s="607">
        <f t="shared" si="407"/>
        <v>0</v>
      </c>
      <c r="DE278" s="606">
        <f t="shared" si="408"/>
        <v>0</v>
      </c>
      <c r="DF278" s="607">
        <f t="shared" si="409"/>
        <v>0</v>
      </c>
      <c r="DG278" s="606">
        <f t="shared" si="410"/>
        <v>0</v>
      </c>
      <c r="DH278" s="607">
        <f t="shared" si="411"/>
        <v>0</v>
      </c>
      <c r="DI278" s="608">
        <f t="shared" si="412"/>
        <v>0</v>
      </c>
      <c r="DJ278" s="607">
        <f t="shared" si="413"/>
        <v>106</v>
      </c>
      <c r="DK278" s="608">
        <f t="shared" si="414"/>
        <v>104</v>
      </c>
      <c r="DL278" s="607">
        <f t="shared" si="415"/>
        <v>106</v>
      </c>
      <c r="DM278" s="608">
        <f t="shared" si="416"/>
        <v>104</v>
      </c>
      <c r="DN278" s="607">
        <f t="shared" si="417"/>
        <v>0</v>
      </c>
      <c r="DO278" s="612">
        <f t="shared" si="418"/>
        <v>0</v>
      </c>
      <c r="DP278" s="607">
        <f t="shared" si="419"/>
        <v>0</v>
      </c>
      <c r="DQ278" s="606">
        <f t="shared" si="420"/>
        <v>0</v>
      </c>
      <c r="DR278" s="607">
        <f t="shared" si="421"/>
        <v>0</v>
      </c>
      <c r="DS278" s="606">
        <f t="shared" si="422"/>
        <v>0</v>
      </c>
      <c r="DT278" s="607">
        <f t="shared" si="423"/>
        <v>0</v>
      </c>
      <c r="DU278" s="606">
        <f t="shared" si="424"/>
        <v>0</v>
      </c>
      <c r="DV278" s="607">
        <f t="shared" si="425"/>
        <v>0</v>
      </c>
      <c r="DW278" s="608">
        <f t="shared" si="426"/>
        <v>0</v>
      </c>
      <c r="DX278" s="607">
        <f t="shared" si="427"/>
        <v>5628582.4176815692</v>
      </c>
      <c r="DY278" s="608">
        <f t="shared" si="428"/>
        <v>5646437.6946658492</v>
      </c>
      <c r="DZ278" s="607">
        <f t="shared" si="429"/>
        <v>5628582.4176815692</v>
      </c>
      <c r="EA278" s="608">
        <f t="shared" si="430"/>
        <v>5646437.6946658492</v>
      </c>
    </row>
    <row r="279" spans="1:131" x14ac:dyDescent="0.2">
      <c r="A279" s="473" t="s">
        <v>39</v>
      </c>
      <c r="B279" s="474" t="s">
        <v>901</v>
      </c>
      <c r="C279" s="567" t="s">
        <v>1066</v>
      </c>
      <c r="D279" s="473">
        <v>175810</v>
      </c>
      <c r="E279" s="476">
        <v>9</v>
      </c>
      <c r="F279" s="598"/>
      <c r="G279" s="599"/>
      <c r="H279" s="600"/>
      <c r="I279" s="601"/>
      <c r="J279" s="600"/>
      <c r="K279" s="599"/>
      <c r="L279" s="600"/>
      <c r="M279" s="601"/>
      <c r="N279" s="600"/>
      <c r="O279" s="599"/>
      <c r="P279" s="600"/>
      <c r="Q279" s="601"/>
      <c r="R279" s="600"/>
      <c r="S279" s="599"/>
      <c r="T279" s="600"/>
      <c r="U279" s="601"/>
      <c r="V279" s="600"/>
      <c r="W279" s="599"/>
      <c r="X279" s="600"/>
      <c r="Y279" s="601"/>
      <c r="Z279" s="600"/>
      <c r="AA279" s="599"/>
      <c r="AB279" s="600"/>
      <c r="AC279" s="601"/>
      <c r="AD279" s="600"/>
      <c r="AE279" s="599"/>
      <c r="AF279" s="600"/>
      <c r="AG279" s="601"/>
      <c r="AH279" s="600"/>
      <c r="AI279" s="599"/>
      <c r="AJ279" s="600"/>
      <c r="AK279" s="601"/>
      <c r="AL279" s="600"/>
      <c r="AM279" s="599"/>
      <c r="AN279" s="600"/>
      <c r="AO279" s="601"/>
      <c r="AP279" s="600"/>
      <c r="AQ279" s="599"/>
      <c r="AR279" s="600"/>
      <c r="AS279" s="601"/>
      <c r="AT279" s="600">
        <v>139</v>
      </c>
      <c r="AU279" s="599">
        <v>100</v>
      </c>
      <c r="AV279" s="600"/>
      <c r="AW279" s="601">
        <v>42</v>
      </c>
      <c r="AX279" s="600">
        <v>29</v>
      </c>
      <c r="AY279" s="599">
        <v>0</v>
      </c>
      <c r="AZ279" s="600"/>
      <c r="BA279" s="601">
        <v>26</v>
      </c>
      <c r="BB279" s="602">
        <v>0</v>
      </c>
      <c r="BC279" s="599"/>
      <c r="BD279" s="600">
        <v>0</v>
      </c>
      <c r="BE279" s="599"/>
      <c r="BF279" s="600">
        <v>0</v>
      </c>
      <c r="BG279" s="599"/>
      <c r="BH279" s="600">
        <v>0</v>
      </c>
      <c r="BI279" s="599"/>
      <c r="BJ279" s="600">
        <v>0</v>
      </c>
      <c r="BK279" s="615"/>
      <c r="BL279" s="600">
        <v>9287364.6999999993</v>
      </c>
      <c r="BM279" s="604">
        <v>9294352</v>
      </c>
      <c r="BN279" s="605">
        <f t="shared" si="365"/>
        <v>0</v>
      </c>
      <c r="BO279" s="606">
        <f t="shared" si="366"/>
        <v>0</v>
      </c>
      <c r="BP279" s="607">
        <f t="shared" si="367"/>
        <v>0</v>
      </c>
      <c r="BQ279" s="606">
        <f t="shared" si="368"/>
        <v>0</v>
      </c>
      <c r="BR279" s="607">
        <f t="shared" si="369"/>
        <v>0</v>
      </c>
      <c r="BS279" s="606">
        <f t="shared" si="370"/>
        <v>0</v>
      </c>
      <c r="BT279" s="607">
        <f t="shared" si="371"/>
        <v>0</v>
      </c>
      <c r="BU279" s="606">
        <f t="shared" si="372"/>
        <v>0</v>
      </c>
      <c r="BV279" s="607">
        <f t="shared" si="373"/>
        <v>0</v>
      </c>
      <c r="BW279" s="608">
        <f t="shared" si="374"/>
        <v>0</v>
      </c>
      <c r="BX279" s="607">
        <f t="shared" si="375"/>
        <v>1570</v>
      </c>
      <c r="BY279" s="608">
        <f t="shared" si="376"/>
        <v>1632</v>
      </c>
      <c r="BZ279" s="607">
        <f t="shared" si="377"/>
        <v>0</v>
      </c>
      <c r="CA279" s="608">
        <f t="shared" si="378"/>
        <v>0</v>
      </c>
      <c r="CB279" s="607">
        <f t="shared" si="379"/>
        <v>0</v>
      </c>
      <c r="CC279" s="608">
        <f t="shared" si="380"/>
        <v>0</v>
      </c>
      <c r="CD279" s="607">
        <f t="shared" si="381"/>
        <v>0</v>
      </c>
      <c r="CE279" s="608">
        <f t="shared" si="382"/>
        <v>0</v>
      </c>
      <c r="CF279" s="607">
        <f t="shared" si="383"/>
        <v>0</v>
      </c>
      <c r="CG279" s="608">
        <f t="shared" si="384"/>
        <v>0</v>
      </c>
      <c r="CH279" s="607">
        <f t="shared" si="385"/>
        <v>0</v>
      </c>
      <c r="CI279" s="608">
        <f t="shared" si="386"/>
        <v>0</v>
      </c>
      <c r="CJ279" s="607">
        <f t="shared" si="387"/>
        <v>5915.5189171974516</v>
      </c>
      <c r="CK279" s="608">
        <f t="shared" si="388"/>
        <v>5695.0686274509808</v>
      </c>
      <c r="CL279" s="609">
        <f t="shared" si="389"/>
        <v>0</v>
      </c>
      <c r="CM279" s="608">
        <f t="shared" si="390"/>
        <v>0</v>
      </c>
      <c r="CN279" s="610">
        <f t="shared" si="391"/>
        <v>0</v>
      </c>
      <c r="CO279" s="606">
        <f t="shared" si="392"/>
        <v>0</v>
      </c>
      <c r="CP279" s="607">
        <f t="shared" si="393"/>
        <v>0</v>
      </c>
      <c r="CQ279" s="606">
        <f t="shared" si="394"/>
        <v>0</v>
      </c>
      <c r="CR279" s="607">
        <f t="shared" si="395"/>
        <v>0</v>
      </c>
      <c r="CS279" s="606">
        <f t="shared" si="396"/>
        <v>0</v>
      </c>
      <c r="CT279" s="607">
        <f t="shared" si="397"/>
        <v>0</v>
      </c>
      <c r="CU279" s="608">
        <f t="shared" si="398"/>
        <v>0</v>
      </c>
      <c r="CV279" s="610">
        <f t="shared" si="399"/>
        <v>53239.670254777062</v>
      </c>
      <c r="CW279" s="608">
        <f t="shared" si="400"/>
        <v>51255.617647058825</v>
      </c>
      <c r="CX279" s="610">
        <f t="shared" si="401"/>
        <v>53239.670254777062</v>
      </c>
      <c r="CY279" s="611">
        <f t="shared" si="402"/>
        <v>51255.617647058833</v>
      </c>
      <c r="CZ279" s="605">
        <f t="shared" si="403"/>
        <v>0</v>
      </c>
      <c r="DA279" s="612">
        <f t="shared" si="404"/>
        <v>0</v>
      </c>
      <c r="DB279" s="607">
        <f t="shared" si="405"/>
        <v>0</v>
      </c>
      <c r="DC279" s="606">
        <f t="shared" si="406"/>
        <v>0</v>
      </c>
      <c r="DD279" s="607">
        <f t="shared" si="407"/>
        <v>0</v>
      </c>
      <c r="DE279" s="606">
        <f t="shared" si="408"/>
        <v>0</v>
      </c>
      <c r="DF279" s="607">
        <f t="shared" si="409"/>
        <v>0</v>
      </c>
      <c r="DG279" s="606">
        <f t="shared" si="410"/>
        <v>0</v>
      </c>
      <c r="DH279" s="607">
        <f t="shared" si="411"/>
        <v>0</v>
      </c>
      <c r="DI279" s="608">
        <f t="shared" si="412"/>
        <v>0</v>
      </c>
      <c r="DJ279" s="607">
        <f t="shared" si="413"/>
        <v>168</v>
      </c>
      <c r="DK279" s="608">
        <f t="shared" si="414"/>
        <v>168</v>
      </c>
      <c r="DL279" s="607">
        <f t="shared" si="415"/>
        <v>168</v>
      </c>
      <c r="DM279" s="608">
        <f t="shared" si="416"/>
        <v>168</v>
      </c>
      <c r="DN279" s="607">
        <f t="shared" si="417"/>
        <v>0</v>
      </c>
      <c r="DO279" s="612">
        <f t="shared" si="418"/>
        <v>0</v>
      </c>
      <c r="DP279" s="607">
        <f t="shared" si="419"/>
        <v>0</v>
      </c>
      <c r="DQ279" s="606">
        <f t="shared" si="420"/>
        <v>0</v>
      </c>
      <c r="DR279" s="607">
        <f t="shared" si="421"/>
        <v>0</v>
      </c>
      <c r="DS279" s="606">
        <f t="shared" si="422"/>
        <v>0</v>
      </c>
      <c r="DT279" s="607">
        <f t="shared" si="423"/>
        <v>0</v>
      </c>
      <c r="DU279" s="606">
        <f t="shared" si="424"/>
        <v>0</v>
      </c>
      <c r="DV279" s="607">
        <f t="shared" si="425"/>
        <v>0</v>
      </c>
      <c r="DW279" s="608">
        <f t="shared" si="426"/>
        <v>0</v>
      </c>
      <c r="DX279" s="607">
        <f t="shared" si="427"/>
        <v>8944264.6028025467</v>
      </c>
      <c r="DY279" s="608">
        <f t="shared" si="428"/>
        <v>8610943.7647058833</v>
      </c>
      <c r="DZ279" s="607">
        <f t="shared" si="429"/>
        <v>8944264.6028025467</v>
      </c>
      <c r="EA279" s="608">
        <f t="shared" si="430"/>
        <v>8610943.7647058833</v>
      </c>
    </row>
    <row r="280" spans="1:131" x14ac:dyDescent="0.2">
      <c r="A280" s="473" t="s">
        <v>39</v>
      </c>
      <c r="B280" s="474" t="s">
        <v>902</v>
      </c>
      <c r="C280" s="567"/>
      <c r="D280" s="473">
        <v>175883</v>
      </c>
      <c r="E280" s="476">
        <v>9</v>
      </c>
      <c r="F280" s="598"/>
      <c r="G280" s="599"/>
      <c r="H280" s="600"/>
      <c r="I280" s="601"/>
      <c r="J280" s="600"/>
      <c r="K280" s="599"/>
      <c r="L280" s="600"/>
      <c r="M280" s="601"/>
      <c r="N280" s="600"/>
      <c r="O280" s="599"/>
      <c r="P280" s="600"/>
      <c r="Q280" s="601"/>
      <c r="R280" s="600"/>
      <c r="S280" s="599"/>
      <c r="T280" s="600"/>
      <c r="U280" s="601"/>
      <c r="V280" s="600"/>
      <c r="W280" s="599"/>
      <c r="X280" s="600"/>
      <c r="Y280" s="601"/>
      <c r="Z280" s="600"/>
      <c r="AA280" s="599"/>
      <c r="AB280" s="600"/>
      <c r="AC280" s="601"/>
      <c r="AD280" s="600"/>
      <c r="AE280" s="599"/>
      <c r="AF280" s="600"/>
      <c r="AG280" s="601"/>
      <c r="AH280" s="600"/>
      <c r="AI280" s="599"/>
      <c r="AJ280" s="600"/>
      <c r="AK280" s="601"/>
      <c r="AL280" s="600"/>
      <c r="AM280" s="599"/>
      <c r="AN280" s="600"/>
      <c r="AO280" s="601"/>
      <c r="AP280" s="600"/>
      <c r="AQ280" s="599"/>
      <c r="AR280" s="600"/>
      <c r="AS280" s="601"/>
      <c r="AT280" s="600">
        <v>127</v>
      </c>
      <c r="AU280" s="599">
        <v>125</v>
      </c>
      <c r="AV280" s="600"/>
      <c r="AW280" s="601"/>
      <c r="AX280" s="600">
        <v>16</v>
      </c>
      <c r="AY280" s="599"/>
      <c r="AZ280" s="600"/>
      <c r="BA280" s="601">
        <v>17.5</v>
      </c>
      <c r="BB280" s="602">
        <v>0</v>
      </c>
      <c r="BC280" s="599"/>
      <c r="BD280" s="600">
        <v>0</v>
      </c>
      <c r="BE280" s="599"/>
      <c r="BF280" s="600">
        <v>0</v>
      </c>
      <c r="BG280" s="599"/>
      <c r="BH280" s="600">
        <v>0</v>
      </c>
      <c r="BI280" s="599"/>
      <c r="BJ280" s="600">
        <v>0</v>
      </c>
      <c r="BK280" s="615"/>
      <c r="BL280" s="600">
        <v>7500056.7000000002</v>
      </c>
      <c r="BM280" s="604">
        <v>7492114</v>
      </c>
      <c r="BN280" s="605">
        <f t="shared" si="365"/>
        <v>0</v>
      </c>
      <c r="BO280" s="606">
        <f t="shared" si="366"/>
        <v>0</v>
      </c>
      <c r="BP280" s="607">
        <f t="shared" si="367"/>
        <v>0</v>
      </c>
      <c r="BQ280" s="606">
        <f t="shared" si="368"/>
        <v>0</v>
      </c>
      <c r="BR280" s="607">
        <f t="shared" si="369"/>
        <v>0</v>
      </c>
      <c r="BS280" s="606">
        <f t="shared" si="370"/>
        <v>0</v>
      </c>
      <c r="BT280" s="607">
        <f t="shared" si="371"/>
        <v>0</v>
      </c>
      <c r="BU280" s="606">
        <f t="shared" si="372"/>
        <v>0</v>
      </c>
      <c r="BV280" s="607">
        <f t="shared" si="373"/>
        <v>0</v>
      </c>
      <c r="BW280" s="608">
        <f t="shared" si="374"/>
        <v>0</v>
      </c>
      <c r="BX280" s="607">
        <f t="shared" si="375"/>
        <v>1319</v>
      </c>
      <c r="BY280" s="608">
        <f t="shared" si="376"/>
        <v>1335</v>
      </c>
      <c r="BZ280" s="607">
        <f t="shared" si="377"/>
        <v>0</v>
      </c>
      <c r="CA280" s="608">
        <f t="shared" si="378"/>
        <v>0</v>
      </c>
      <c r="CB280" s="607">
        <f t="shared" si="379"/>
        <v>0</v>
      </c>
      <c r="CC280" s="608">
        <f t="shared" si="380"/>
        <v>0</v>
      </c>
      <c r="CD280" s="607">
        <f t="shared" si="381"/>
        <v>0</v>
      </c>
      <c r="CE280" s="608">
        <f t="shared" si="382"/>
        <v>0</v>
      </c>
      <c r="CF280" s="607">
        <f t="shared" si="383"/>
        <v>0</v>
      </c>
      <c r="CG280" s="608">
        <f t="shared" si="384"/>
        <v>0</v>
      </c>
      <c r="CH280" s="607">
        <f t="shared" si="385"/>
        <v>0</v>
      </c>
      <c r="CI280" s="608">
        <f t="shared" si="386"/>
        <v>0</v>
      </c>
      <c r="CJ280" s="607">
        <f t="shared" si="387"/>
        <v>5686.1688400303265</v>
      </c>
      <c r="CK280" s="608">
        <f t="shared" si="388"/>
        <v>5612.0704119850188</v>
      </c>
      <c r="CL280" s="609">
        <f t="shared" si="389"/>
        <v>0</v>
      </c>
      <c r="CM280" s="608">
        <f t="shared" si="390"/>
        <v>0</v>
      </c>
      <c r="CN280" s="610">
        <f t="shared" si="391"/>
        <v>0</v>
      </c>
      <c r="CO280" s="606">
        <f t="shared" si="392"/>
        <v>0</v>
      </c>
      <c r="CP280" s="607">
        <f t="shared" si="393"/>
        <v>0</v>
      </c>
      <c r="CQ280" s="606">
        <f t="shared" si="394"/>
        <v>0</v>
      </c>
      <c r="CR280" s="607">
        <f t="shared" si="395"/>
        <v>0</v>
      </c>
      <c r="CS280" s="606">
        <f t="shared" si="396"/>
        <v>0</v>
      </c>
      <c r="CT280" s="607">
        <f t="shared" si="397"/>
        <v>0</v>
      </c>
      <c r="CU280" s="608">
        <f t="shared" si="398"/>
        <v>0</v>
      </c>
      <c r="CV280" s="610">
        <f t="shared" si="399"/>
        <v>51175.519560272936</v>
      </c>
      <c r="CW280" s="608">
        <f t="shared" si="400"/>
        <v>50508.63370786517</v>
      </c>
      <c r="CX280" s="610">
        <f t="shared" si="401"/>
        <v>51175.519560272936</v>
      </c>
      <c r="CY280" s="611">
        <f t="shared" si="402"/>
        <v>50508.63370786517</v>
      </c>
      <c r="CZ280" s="605">
        <f t="shared" si="403"/>
        <v>0</v>
      </c>
      <c r="DA280" s="612">
        <f t="shared" si="404"/>
        <v>0</v>
      </c>
      <c r="DB280" s="607">
        <f t="shared" si="405"/>
        <v>0</v>
      </c>
      <c r="DC280" s="606">
        <f t="shared" si="406"/>
        <v>0</v>
      </c>
      <c r="DD280" s="607">
        <f t="shared" si="407"/>
        <v>0</v>
      </c>
      <c r="DE280" s="606">
        <f t="shared" si="408"/>
        <v>0</v>
      </c>
      <c r="DF280" s="607">
        <f t="shared" si="409"/>
        <v>0</v>
      </c>
      <c r="DG280" s="606">
        <f t="shared" si="410"/>
        <v>0</v>
      </c>
      <c r="DH280" s="607">
        <f t="shared" si="411"/>
        <v>0</v>
      </c>
      <c r="DI280" s="608">
        <f t="shared" si="412"/>
        <v>0</v>
      </c>
      <c r="DJ280" s="607">
        <f t="shared" si="413"/>
        <v>143</v>
      </c>
      <c r="DK280" s="608">
        <f t="shared" si="414"/>
        <v>142.5</v>
      </c>
      <c r="DL280" s="607">
        <f t="shared" si="415"/>
        <v>143</v>
      </c>
      <c r="DM280" s="608">
        <f t="shared" si="416"/>
        <v>142.5</v>
      </c>
      <c r="DN280" s="607">
        <f t="shared" si="417"/>
        <v>0</v>
      </c>
      <c r="DO280" s="612">
        <f t="shared" si="418"/>
        <v>0</v>
      </c>
      <c r="DP280" s="607">
        <f t="shared" si="419"/>
        <v>0</v>
      </c>
      <c r="DQ280" s="606">
        <f t="shared" si="420"/>
        <v>0</v>
      </c>
      <c r="DR280" s="607">
        <f t="shared" si="421"/>
        <v>0</v>
      </c>
      <c r="DS280" s="606">
        <f t="shared" si="422"/>
        <v>0</v>
      </c>
      <c r="DT280" s="607">
        <f t="shared" si="423"/>
        <v>0</v>
      </c>
      <c r="DU280" s="606">
        <f t="shared" si="424"/>
        <v>0</v>
      </c>
      <c r="DV280" s="607">
        <f t="shared" si="425"/>
        <v>0</v>
      </c>
      <c r="DW280" s="608">
        <f t="shared" si="426"/>
        <v>0</v>
      </c>
      <c r="DX280" s="607">
        <f t="shared" si="427"/>
        <v>7318099.2971190298</v>
      </c>
      <c r="DY280" s="608">
        <f t="shared" si="428"/>
        <v>7197480.3033707868</v>
      </c>
      <c r="DZ280" s="607">
        <f t="shared" si="429"/>
        <v>7318099.2971190298</v>
      </c>
      <c r="EA280" s="608">
        <f t="shared" si="430"/>
        <v>7197480.3033707868</v>
      </c>
    </row>
    <row r="281" spans="1:131" x14ac:dyDescent="0.2">
      <c r="A281" s="473" t="s">
        <v>39</v>
      </c>
      <c r="B281" s="478" t="s">
        <v>903</v>
      </c>
      <c r="C281" s="567"/>
      <c r="D281" s="473">
        <v>175935</v>
      </c>
      <c r="E281" s="476">
        <v>9</v>
      </c>
      <c r="F281" s="598"/>
      <c r="G281" s="599"/>
      <c r="H281" s="600"/>
      <c r="I281" s="601"/>
      <c r="J281" s="600"/>
      <c r="K281" s="599"/>
      <c r="L281" s="600"/>
      <c r="M281" s="601"/>
      <c r="N281" s="600"/>
      <c r="O281" s="599"/>
      <c r="P281" s="600"/>
      <c r="Q281" s="601"/>
      <c r="R281" s="600"/>
      <c r="S281" s="599"/>
      <c r="T281" s="600"/>
      <c r="U281" s="601"/>
      <c r="V281" s="600"/>
      <c r="W281" s="599"/>
      <c r="X281" s="600"/>
      <c r="Y281" s="601"/>
      <c r="Z281" s="600"/>
      <c r="AA281" s="599"/>
      <c r="AB281" s="600"/>
      <c r="AC281" s="601"/>
      <c r="AD281" s="600"/>
      <c r="AE281" s="599"/>
      <c r="AF281" s="600"/>
      <c r="AG281" s="601"/>
      <c r="AH281" s="600"/>
      <c r="AI281" s="599"/>
      <c r="AJ281" s="600"/>
      <c r="AK281" s="601"/>
      <c r="AL281" s="600"/>
      <c r="AM281" s="599"/>
      <c r="AN281" s="600"/>
      <c r="AO281" s="601"/>
      <c r="AP281" s="600"/>
      <c r="AQ281" s="599"/>
      <c r="AR281" s="600"/>
      <c r="AS281" s="601"/>
      <c r="AT281" s="600">
        <v>95.8</v>
      </c>
      <c r="AU281" s="599">
        <v>0</v>
      </c>
      <c r="AV281" s="600"/>
      <c r="AW281" s="601">
        <v>96</v>
      </c>
      <c r="AX281" s="600">
        <v>63.9</v>
      </c>
      <c r="AY281" s="599">
        <v>0</v>
      </c>
      <c r="AZ281" s="600"/>
      <c r="BA281" s="601">
        <v>63</v>
      </c>
      <c r="BB281" s="602">
        <v>0</v>
      </c>
      <c r="BC281" s="599"/>
      <c r="BD281" s="600">
        <v>0</v>
      </c>
      <c r="BE281" s="599"/>
      <c r="BF281" s="600">
        <v>0</v>
      </c>
      <c r="BG281" s="599"/>
      <c r="BH281" s="600">
        <v>0</v>
      </c>
      <c r="BI281" s="599"/>
      <c r="BJ281" s="600">
        <v>0</v>
      </c>
      <c r="BK281" s="615"/>
      <c r="BL281" s="600">
        <v>7236973.2400000002</v>
      </c>
      <c r="BM281" s="604">
        <v>7458650</v>
      </c>
      <c r="BN281" s="605">
        <f t="shared" si="365"/>
        <v>0</v>
      </c>
      <c r="BO281" s="606">
        <f t="shared" si="366"/>
        <v>0</v>
      </c>
      <c r="BP281" s="607">
        <f t="shared" si="367"/>
        <v>0</v>
      </c>
      <c r="BQ281" s="606">
        <f t="shared" si="368"/>
        <v>0</v>
      </c>
      <c r="BR281" s="607">
        <f t="shared" si="369"/>
        <v>0</v>
      </c>
      <c r="BS281" s="606">
        <f t="shared" si="370"/>
        <v>0</v>
      </c>
      <c r="BT281" s="607">
        <f t="shared" si="371"/>
        <v>0</v>
      </c>
      <c r="BU281" s="606">
        <f t="shared" si="372"/>
        <v>0</v>
      </c>
      <c r="BV281" s="607">
        <f t="shared" si="373"/>
        <v>0</v>
      </c>
      <c r="BW281" s="608">
        <f t="shared" si="374"/>
        <v>0</v>
      </c>
      <c r="BX281" s="607">
        <f t="shared" si="375"/>
        <v>1565.1</v>
      </c>
      <c r="BY281" s="608">
        <f t="shared" si="376"/>
        <v>1716</v>
      </c>
      <c r="BZ281" s="607">
        <f t="shared" si="377"/>
        <v>0</v>
      </c>
      <c r="CA281" s="608">
        <f t="shared" si="378"/>
        <v>0</v>
      </c>
      <c r="CB281" s="607">
        <f t="shared" si="379"/>
        <v>0</v>
      </c>
      <c r="CC281" s="608">
        <f t="shared" si="380"/>
        <v>0</v>
      </c>
      <c r="CD281" s="607">
        <f t="shared" si="381"/>
        <v>0</v>
      </c>
      <c r="CE281" s="608">
        <f t="shared" si="382"/>
        <v>0</v>
      </c>
      <c r="CF281" s="607">
        <f t="shared" si="383"/>
        <v>0</v>
      </c>
      <c r="CG281" s="608">
        <f t="shared" si="384"/>
        <v>0</v>
      </c>
      <c r="CH281" s="607">
        <f t="shared" si="385"/>
        <v>0</v>
      </c>
      <c r="CI281" s="608">
        <f t="shared" si="386"/>
        <v>0</v>
      </c>
      <c r="CJ281" s="607">
        <f t="shared" si="387"/>
        <v>4623.9685898664629</v>
      </c>
      <c r="CK281" s="608">
        <f t="shared" si="388"/>
        <v>4346.5326340326337</v>
      </c>
      <c r="CL281" s="609">
        <f t="shared" si="389"/>
        <v>0</v>
      </c>
      <c r="CM281" s="608">
        <f t="shared" si="390"/>
        <v>0</v>
      </c>
      <c r="CN281" s="610">
        <f t="shared" si="391"/>
        <v>0</v>
      </c>
      <c r="CO281" s="606">
        <f t="shared" si="392"/>
        <v>0</v>
      </c>
      <c r="CP281" s="607">
        <f t="shared" si="393"/>
        <v>0</v>
      </c>
      <c r="CQ281" s="606">
        <f t="shared" si="394"/>
        <v>0</v>
      </c>
      <c r="CR281" s="607">
        <f t="shared" si="395"/>
        <v>0</v>
      </c>
      <c r="CS281" s="606">
        <f t="shared" si="396"/>
        <v>0</v>
      </c>
      <c r="CT281" s="607">
        <f t="shared" si="397"/>
        <v>0</v>
      </c>
      <c r="CU281" s="608">
        <f t="shared" si="398"/>
        <v>0</v>
      </c>
      <c r="CV281" s="610">
        <f t="shared" si="399"/>
        <v>41615.717308798165</v>
      </c>
      <c r="CW281" s="608">
        <f t="shared" si="400"/>
        <v>39118.793706293705</v>
      </c>
      <c r="CX281" s="610">
        <f t="shared" si="401"/>
        <v>41615.717308798165</v>
      </c>
      <c r="CY281" s="611">
        <f t="shared" si="402"/>
        <v>39118.793706293705</v>
      </c>
      <c r="CZ281" s="605">
        <f t="shared" si="403"/>
        <v>0</v>
      </c>
      <c r="DA281" s="612">
        <f t="shared" si="404"/>
        <v>0</v>
      </c>
      <c r="DB281" s="607">
        <f t="shared" si="405"/>
        <v>0</v>
      </c>
      <c r="DC281" s="606">
        <f t="shared" si="406"/>
        <v>0</v>
      </c>
      <c r="DD281" s="607">
        <f t="shared" si="407"/>
        <v>0</v>
      </c>
      <c r="DE281" s="606">
        <f t="shared" si="408"/>
        <v>0</v>
      </c>
      <c r="DF281" s="607">
        <f t="shared" si="409"/>
        <v>0</v>
      </c>
      <c r="DG281" s="606">
        <f t="shared" si="410"/>
        <v>0</v>
      </c>
      <c r="DH281" s="607">
        <f t="shared" si="411"/>
        <v>0</v>
      </c>
      <c r="DI281" s="608">
        <f t="shared" si="412"/>
        <v>0</v>
      </c>
      <c r="DJ281" s="607">
        <f t="shared" si="413"/>
        <v>159.69999999999999</v>
      </c>
      <c r="DK281" s="608">
        <f t="shared" si="414"/>
        <v>159</v>
      </c>
      <c r="DL281" s="607">
        <f t="shared" si="415"/>
        <v>159.69999999999999</v>
      </c>
      <c r="DM281" s="608">
        <f t="shared" si="416"/>
        <v>159</v>
      </c>
      <c r="DN281" s="607">
        <f t="shared" si="417"/>
        <v>0</v>
      </c>
      <c r="DO281" s="612">
        <f t="shared" si="418"/>
        <v>0</v>
      </c>
      <c r="DP281" s="607">
        <f t="shared" si="419"/>
        <v>0</v>
      </c>
      <c r="DQ281" s="606">
        <f t="shared" si="420"/>
        <v>0</v>
      </c>
      <c r="DR281" s="607">
        <f t="shared" si="421"/>
        <v>0</v>
      </c>
      <c r="DS281" s="606">
        <f t="shared" si="422"/>
        <v>0</v>
      </c>
      <c r="DT281" s="607">
        <f t="shared" si="423"/>
        <v>0</v>
      </c>
      <c r="DU281" s="606">
        <f t="shared" si="424"/>
        <v>0</v>
      </c>
      <c r="DV281" s="607">
        <f t="shared" si="425"/>
        <v>0</v>
      </c>
      <c r="DW281" s="608">
        <f t="shared" si="426"/>
        <v>0</v>
      </c>
      <c r="DX281" s="607">
        <f t="shared" si="427"/>
        <v>6646030.0542150661</v>
      </c>
      <c r="DY281" s="608">
        <f t="shared" si="428"/>
        <v>6219888.1993006989</v>
      </c>
      <c r="DZ281" s="607">
        <f t="shared" si="429"/>
        <v>6646030.0542150661</v>
      </c>
      <c r="EA281" s="608">
        <f t="shared" si="430"/>
        <v>6219888.1993006989</v>
      </c>
    </row>
    <row r="282" spans="1:131" x14ac:dyDescent="0.2">
      <c r="A282" s="473" t="s">
        <v>39</v>
      </c>
      <c r="B282" s="478" t="s">
        <v>904</v>
      </c>
      <c r="C282" s="567"/>
      <c r="D282" s="473">
        <v>176008</v>
      </c>
      <c r="E282" s="476">
        <v>9</v>
      </c>
      <c r="F282" s="598"/>
      <c r="G282" s="599"/>
      <c r="H282" s="600"/>
      <c r="I282" s="601"/>
      <c r="J282" s="600"/>
      <c r="K282" s="599"/>
      <c r="L282" s="600"/>
      <c r="M282" s="601"/>
      <c r="N282" s="600"/>
      <c r="O282" s="599"/>
      <c r="P282" s="600"/>
      <c r="Q282" s="601"/>
      <c r="R282" s="600"/>
      <c r="S282" s="599"/>
      <c r="T282" s="600"/>
      <c r="U282" s="601"/>
      <c r="V282" s="600"/>
      <c r="W282" s="599"/>
      <c r="X282" s="600"/>
      <c r="Y282" s="601"/>
      <c r="Z282" s="600"/>
      <c r="AA282" s="599"/>
      <c r="AB282" s="600"/>
      <c r="AC282" s="601"/>
      <c r="AD282" s="600"/>
      <c r="AE282" s="599"/>
      <c r="AF282" s="600"/>
      <c r="AG282" s="601"/>
      <c r="AH282" s="600"/>
      <c r="AI282" s="599"/>
      <c r="AJ282" s="600"/>
      <c r="AK282" s="601"/>
      <c r="AL282" s="600"/>
      <c r="AM282" s="599"/>
      <c r="AN282" s="600"/>
      <c r="AO282" s="601"/>
      <c r="AP282" s="600"/>
      <c r="AQ282" s="599"/>
      <c r="AR282" s="600"/>
      <c r="AS282" s="601"/>
      <c r="AT282" s="600">
        <v>104.3</v>
      </c>
      <c r="AU282" s="599">
        <v>81</v>
      </c>
      <c r="AV282" s="600"/>
      <c r="AW282" s="601">
        <v>20.5</v>
      </c>
      <c r="AX282" s="600">
        <v>8</v>
      </c>
      <c r="AY282" s="599">
        <v>3</v>
      </c>
      <c r="AZ282" s="600"/>
      <c r="BA282" s="601">
        <v>14.5</v>
      </c>
      <c r="BB282" s="602">
        <v>0</v>
      </c>
      <c r="BC282" s="599"/>
      <c r="BD282" s="600">
        <v>0</v>
      </c>
      <c r="BE282" s="599"/>
      <c r="BF282" s="600">
        <v>0</v>
      </c>
      <c r="BG282" s="599"/>
      <c r="BH282" s="600">
        <v>0</v>
      </c>
      <c r="BI282" s="599"/>
      <c r="BJ282" s="600">
        <v>0</v>
      </c>
      <c r="BK282" s="615"/>
      <c r="BL282" s="600">
        <v>5718960.6799999997</v>
      </c>
      <c r="BM282" s="604">
        <v>6068155</v>
      </c>
      <c r="BN282" s="605">
        <f t="shared" si="365"/>
        <v>0</v>
      </c>
      <c r="BO282" s="606">
        <f t="shared" si="366"/>
        <v>0</v>
      </c>
      <c r="BP282" s="607">
        <f t="shared" si="367"/>
        <v>0</v>
      </c>
      <c r="BQ282" s="606">
        <f t="shared" si="368"/>
        <v>0</v>
      </c>
      <c r="BR282" s="607">
        <f t="shared" si="369"/>
        <v>0</v>
      </c>
      <c r="BS282" s="606">
        <f t="shared" si="370"/>
        <v>0</v>
      </c>
      <c r="BT282" s="607">
        <f t="shared" si="371"/>
        <v>0</v>
      </c>
      <c r="BU282" s="606">
        <f t="shared" si="372"/>
        <v>0</v>
      </c>
      <c r="BV282" s="607">
        <f t="shared" si="373"/>
        <v>0</v>
      </c>
      <c r="BW282" s="608">
        <f t="shared" si="374"/>
        <v>0</v>
      </c>
      <c r="BX282" s="607">
        <f t="shared" si="375"/>
        <v>1026.6999999999998</v>
      </c>
      <c r="BY282" s="608">
        <f t="shared" si="376"/>
        <v>1141</v>
      </c>
      <c r="BZ282" s="607">
        <f t="shared" si="377"/>
        <v>0</v>
      </c>
      <c r="CA282" s="608">
        <f t="shared" si="378"/>
        <v>0</v>
      </c>
      <c r="CB282" s="607">
        <f t="shared" si="379"/>
        <v>0</v>
      </c>
      <c r="CC282" s="608">
        <f t="shared" si="380"/>
        <v>0</v>
      </c>
      <c r="CD282" s="607">
        <f t="shared" si="381"/>
        <v>0</v>
      </c>
      <c r="CE282" s="608">
        <f t="shared" si="382"/>
        <v>0</v>
      </c>
      <c r="CF282" s="607">
        <f t="shared" si="383"/>
        <v>0</v>
      </c>
      <c r="CG282" s="608">
        <f t="shared" si="384"/>
        <v>0</v>
      </c>
      <c r="CH282" s="607">
        <f t="shared" si="385"/>
        <v>0</v>
      </c>
      <c r="CI282" s="608">
        <f t="shared" si="386"/>
        <v>0</v>
      </c>
      <c r="CJ282" s="607">
        <f t="shared" si="387"/>
        <v>5570.2353949547096</v>
      </c>
      <c r="CK282" s="608">
        <f t="shared" si="388"/>
        <v>5318.277826468011</v>
      </c>
      <c r="CL282" s="609">
        <f t="shared" si="389"/>
        <v>0</v>
      </c>
      <c r="CM282" s="608">
        <f t="shared" si="390"/>
        <v>0</v>
      </c>
      <c r="CN282" s="610">
        <f t="shared" si="391"/>
        <v>0</v>
      </c>
      <c r="CO282" s="606">
        <f t="shared" si="392"/>
        <v>0</v>
      </c>
      <c r="CP282" s="607">
        <f t="shared" si="393"/>
        <v>0</v>
      </c>
      <c r="CQ282" s="606">
        <f t="shared" si="394"/>
        <v>0</v>
      </c>
      <c r="CR282" s="607">
        <f t="shared" si="395"/>
        <v>0</v>
      </c>
      <c r="CS282" s="606">
        <f t="shared" si="396"/>
        <v>0</v>
      </c>
      <c r="CT282" s="607">
        <f t="shared" si="397"/>
        <v>0</v>
      </c>
      <c r="CU282" s="608">
        <f t="shared" si="398"/>
        <v>0</v>
      </c>
      <c r="CV282" s="610">
        <f t="shared" si="399"/>
        <v>50132.118554592387</v>
      </c>
      <c r="CW282" s="608">
        <f t="shared" si="400"/>
        <v>47864.500438212097</v>
      </c>
      <c r="CX282" s="610">
        <f t="shared" si="401"/>
        <v>50132.118554592387</v>
      </c>
      <c r="CY282" s="611">
        <f t="shared" si="402"/>
        <v>47864.500438212097</v>
      </c>
      <c r="CZ282" s="605">
        <f t="shared" si="403"/>
        <v>0</v>
      </c>
      <c r="DA282" s="612">
        <f t="shared" si="404"/>
        <v>0</v>
      </c>
      <c r="DB282" s="607">
        <f t="shared" si="405"/>
        <v>0</v>
      </c>
      <c r="DC282" s="606">
        <f t="shared" si="406"/>
        <v>0</v>
      </c>
      <c r="DD282" s="607">
        <f t="shared" si="407"/>
        <v>0</v>
      </c>
      <c r="DE282" s="606">
        <f t="shared" si="408"/>
        <v>0</v>
      </c>
      <c r="DF282" s="607">
        <f t="shared" si="409"/>
        <v>0</v>
      </c>
      <c r="DG282" s="606">
        <f t="shared" si="410"/>
        <v>0</v>
      </c>
      <c r="DH282" s="607">
        <f t="shared" si="411"/>
        <v>0</v>
      </c>
      <c r="DI282" s="608">
        <f t="shared" si="412"/>
        <v>0</v>
      </c>
      <c r="DJ282" s="607">
        <f t="shared" si="413"/>
        <v>112.3</v>
      </c>
      <c r="DK282" s="608">
        <f t="shared" si="414"/>
        <v>119</v>
      </c>
      <c r="DL282" s="607">
        <f t="shared" si="415"/>
        <v>112.3</v>
      </c>
      <c r="DM282" s="608">
        <f t="shared" si="416"/>
        <v>119</v>
      </c>
      <c r="DN282" s="607">
        <f t="shared" si="417"/>
        <v>0</v>
      </c>
      <c r="DO282" s="612">
        <f t="shared" si="418"/>
        <v>0</v>
      </c>
      <c r="DP282" s="607">
        <f t="shared" si="419"/>
        <v>0</v>
      </c>
      <c r="DQ282" s="606">
        <f t="shared" si="420"/>
        <v>0</v>
      </c>
      <c r="DR282" s="607">
        <f t="shared" si="421"/>
        <v>0</v>
      </c>
      <c r="DS282" s="606">
        <f t="shared" si="422"/>
        <v>0</v>
      </c>
      <c r="DT282" s="607">
        <f t="shared" si="423"/>
        <v>0</v>
      </c>
      <c r="DU282" s="606">
        <f t="shared" si="424"/>
        <v>0</v>
      </c>
      <c r="DV282" s="607">
        <f t="shared" si="425"/>
        <v>0</v>
      </c>
      <c r="DW282" s="608">
        <f t="shared" si="426"/>
        <v>0</v>
      </c>
      <c r="DX282" s="607">
        <f t="shared" si="427"/>
        <v>5629836.9136807248</v>
      </c>
      <c r="DY282" s="608">
        <f t="shared" si="428"/>
        <v>5695875.5521472394</v>
      </c>
      <c r="DZ282" s="607">
        <f t="shared" si="429"/>
        <v>5629836.9136807248</v>
      </c>
      <c r="EA282" s="608">
        <f t="shared" si="430"/>
        <v>5695875.5521472394</v>
      </c>
    </row>
    <row r="283" spans="1:131" x14ac:dyDescent="0.2">
      <c r="A283" s="473" t="s">
        <v>39</v>
      </c>
      <c r="B283" s="478" t="s">
        <v>905</v>
      </c>
      <c r="C283" s="567"/>
      <c r="D283" s="473">
        <v>176169</v>
      </c>
      <c r="E283" s="473">
        <v>9</v>
      </c>
      <c r="F283" s="598"/>
      <c r="G283" s="599"/>
      <c r="H283" s="600"/>
      <c r="I283" s="601"/>
      <c r="J283" s="600"/>
      <c r="K283" s="599"/>
      <c r="L283" s="600"/>
      <c r="M283" s="601"/>
      <c r="N283" s="600"/>
      <c r="O283" s="599"/>
      <c r="P283" s="600"/>
      <c r="Q283" s="601"/>
      <c r="R283" s="600"/>
      <c r="S283" s="599"/>
      <c r="T283" s="600"/>
      <c r="U283" s="601"/>
      <c r="V283" s="600"/>
      <c r="W283" s="599"/>
      <c r="X283" s="600"/>
      <c r="Y283" s="601"/>
      <c r="Z283" s="600"/>
      <c r="AA283" s="599"/>
      <c r="AB283" s="600"/>
      <c r="AC283" s="601"/>
      <c r="AD283" s="600"/>
      <c r="AE283" s="599"/>
      <c r="AF283" s="600"/>
      <c r="AG283" s="601"/>
      <c r="AH283" s="600"/>
      <c r="AI283" s="599"/>
      <c r="AJ283" s="600"/>
      <c r="AK283" s="601"/>
      <c r="AL283" s="600"/>
      <c r="AM283" s="599"/>
      <c r="AN283" s="600"/>
      <c r="AO283" s="601"/>
      <c r="AP283" s="600"/>
      <c r="AQ283" s="599"/>
      <c r="AR283" s="600"/>
      <c r="AS283" s="601"/>
      <c r="AT283" s="600">
        <v>102</v>
      </c>
      <c r="AU283" s="599">
        <v>61</v>
      </c>
      <c r="AV283" s="600"/>
      <c r="AW283" s="601">
        <v>40</v>
      </c>
      <c r="AX283" s="600">
        <v>22</v>
      </c>
      <c r="AY283" s="599">
        <v>3</v>
      </c>
      <c r="AZ283" s="600"/>
      <c r="BA283" s="601">
        <v>18</v>
      </c>
      <c r="BB283" s="602">
        <v>0</v>
      </c>
      <c r="BC283" s="599"/>
      <c r="BD283" s="600">
        <v>0</v>
      </c>
      <c r="BE283" s="599"/>
      <c r="BF283" s="600">
        <v>0</v>
      </c>
      <c r="BG283" s="599"/>
      <c r="BH283" s="600">
        <v>0</v>
      </c>
      <c r="BI283" s="599"/>
      <c r="BJ283" s="600">
        <v>0</v>
      </c>
      <c r="BK283" s="615"/>
      <c r="BL283" s="600">
        <v>6698973</v>
      </c>
      <c r="BM283" s="604">
        <v>6568552</v>
      </c>
      <c r="BN283" s="605">
        <f t="shared" si="365"/>
        <v>0</v>
      </c>
      <c r="BO283" s="606">
        <f t="shared" si="366"/>
        <v>0</v>
      </c>
      <c r="BP283" s="607">
        <f t="shared" si="367"/>
        <v>0</v>
      </c>
      <c r="BQ283" s="606">
        <f t="shared" si="368"/>
        <v>0</v>
      </c>
      <c r="BR283" s="607">
        <f t="shared" si="369"/>
        <v>0</v>
      </c>
      <c r="BS283" s="606">
        <f t="shared" si="370"/>
        <v>0</v>
      </c>
      <c r="BT283" s="607">
        <f t="shared" si="371"/>
        <v>0</v>
      </c>
      <c r="BU283" s="606">
        <f t="shared" si="372"/>
        <v>0</v>
      </c>
      <c r="BV283" s="607">
        <f t="shared" si="373"/>
        <v>0</v>
      </c>
      <c r="BW283" s="608">
        <f t="shared" si="374"/>
        <v>0</v>
      </c>
      <c r="BX283" s="607">
        <f t="shared" si="375"/>
        <v>1160</v>
      </c>
      <c r="BY283" s="608">
        <f t="shared" si="376"/>
        <v>1198</v>
      </c>
      <c r="BZ283" s="607">
        <f t="shared" si="377"/>
        <v>0</v>
      </c>
      <c r="CA283" s="608">
        <f t="shared" si="378"/>
        <v>0</v>
      </c>
      <c r="CB283" s="607">
        <f t="shared" si="379"/>
        <v>0</v>
      </c>
      <c r="CC283" s="608">
        <f t="shared" si="380"/>
        <v>0</v>
      </c>
      <c r="CD283" s="607">
        <f t="shared" si="381"/>
        <v>0</v>
      </c>
      <c r="CE283" s="608">
        <f t="shared" si="382"/>
        <v>0</v>
      </c>
      <c r="CF283" s="607">
        <f t="shared" si="383"/>
        <v>0</v>
      </c>
      <c r="CG283" s="608">
        <f t="shared" si="384"/>
        <v>0</v>
      </c>
      <c r="CH283" s="607">
        <f t="shared" si="385"/>
        <v>0</v>
      </c>
      <c r="CI283" s="608">
        <f t="shared" si="386"/>
        <v>0</v>
      </c>
      <c r="CJ283" s="607">
        <f t="shared" si="387"/>
        <v>5774.9767241379313</v>
      </c>
      <c r="CK283" s="608">
        <f t="shared" si="388"/>
        <v>5482.9315525876464</v>
      </c>
      <c r="CL283" s="609">
        <f t="shared" si="389"/>
        <v>0</v>
      </c>
      <c r="CM283" s="608">
        <f t="shared" si="390"/>
        <v>0</v>
      </c>
      <c r="CN283" s="610">
        <f t="shared" si="391"/>
        <v>0</v>
      </c>
      <c r="CO283" s="606">
        <f t="shared" si="392"/>
        <v>0</v>
      </c>
      <c r="CP283" s="607">
        <f t="shared" si="393"/>
        <v>0</v>
      </c>
      <c r="CQ283" s="606">
        <f t="shared" si="394"/>
        <v>0</v>
      </c>
      <c r="CR283" s="607">
        <f t="shared" si="395"/>
        <v>0</v>
      </c>
      <c r="CS283" s="606">
        <f t="shared" si="396"/>
        <v>0</v>
      </c>
      <c r="CT283" s="607">
        <f t="shared" si="397"/>
        <v>0</v>
      </c>
      <c r="CU283" s="608">
        <f t="shared" si="398"/>
        <v>0</v>
      </c>
      <c r="CV283" s="610">
        <f t="shared" si="399"/>
        <v>51974.790517241381</v>
      </c>
      <c r="CW283" s="608">
        <f t="shared" si="400"/>
        <v>49346.383973288815</v>
      </c>
      <c r="CX283" s="610">
        <f t="shared" si="401"/>
        <v>51974.790517241381</v>
      </c>
      <c r="CY283" s="611">
        <f t="shared" si="402"/>
        <v>49346.383973288815</v>
      </c>
      <c r="CZ283" s="605">
        <f t="shared" si="403"/>
        <v>0</v>
      </c>
      <c r="DA283" s="612">
        <f t="shared" si="404"/>
        <v>0</v>
      </c>
      <c r="DB283" s="607">
        <f t="shared" si="405"/>
        <v>0</v>
      </c>
      <c r="DC283" s="606">
        <f t="shared" si="406"/>
        <v>0</v>
      </c>
      <c r="DD283" s="607">
        <f t="shared" si="407"/>
        <v>0</v>
      </c>
      <c r="DE283" s="606">
        <f t="shared" si="408"/>
        <v>0</v>
      </c>
      <c r="DF283" s="607">
        <f t="shared" si="409"/>
        <v>0</v>
      </c>
      <c r="DG283" s="606">
        <f t="shared" si="410"/>
        <v>0</v>
      </c>
      <c r="DH283" s="607">
        <f t="shared" si="411"/>
        <v>0</v>
      </c>
      <c r="DI283" s="608">
        <f t="shared" si="412"/>
        <v>0</v>
      </c>
      <c r="DJ283" s="607">
        <f t="shared" si="413"/>
        <v>124</v>
      </c>
      <c r="DK283" s="608">
        <f t="shared" si="414"/>
        <v>122</v>
      </c>
      <c r="DL283" s="607">
        <f t="shared" si="415"/>
        <v>124</v>
      </c>
      <c r="DM283" s="608">
        <f t="shared" si="416"/>
        <v>122</v>
      </c>
      <c r="DN283" s="607">
        <f t="shared" si="417"/>
        <v>0</v>
      </c>
      <c r="DO283" s="612">
        <f t="shared" si="418"/>
        <v>0</v>
      </c>
      <c r="DP283" s="607">
        <f t="shared" si="419"/>
        <v>0</v>
      </c>
      <c r="DQ283" s="606">
        <f t="shared" si="420"/>
        <v>0</v>
      </c>
      <c r="DR283" s="607">
        <f t="shared" si="421"/>
        <v>0</v>
      </c>
      <c r="DS283" s="606">
        <f t="shared" si="422"/>
        <v>0</v>
      </c>
      <c r="DT283" s="607">
        <f t="shared" si="423"/>
        <v>0</v>
      </c>
      <c r="DU283" s="606">
        <f t="shared" si="424"/>
        <v>0</v>
      </c>
      <c r="DV283" s="607">
        <f t="shared" si="425"/>
        <v>0</v>
      </c>
      <c r="DW283" s="608">
        <f t="shared" si="426"/>
        <v>0</v>
      </c>
      <c r="DX283" s="607">
        <f t="shared" si="427"/>
        <v>6444874.0241379309</v>
      </c>
      <c r="DY283" s="608">
        <f t="shared" si="428"/>
        <v>6020258.8447412355</v>
      </c>
      <c r="DZ283" s="607">
        <f t="shared" si="429"/>
        <v>6444874.0241379309</v>
      </c>
      <c r="EA283" s="608">
        <f t="shared" si="430"/>
        <v>6020258.8447412355</v>
      </c>
    </row>
    <row r="284" spans="1:131" x14ac:dyDescent="0.2">
      <c r="A284" s="473" t="s">
        <v>39</v>
      </c>
      <c r="B284" s="474" t="s">
        <v>906</v>
      </c>
      <c r="C284" s="567"/>
      <c r="D284" s="475">
        <v>176239</v>
      </c>
      <c r="E284" s="476">
        <v>9</v>
      </c>
      <c r="F284" s="598"/>
      <c r="G284" s="599"/>
      <c r="H284" s="600"/>
      <c r="I284" s="601"/>
      <c r="J284" s="600"/>
      <c r="K284" s="599"/>
      <c r="L284" s="600"/>
      <c r="M284" s="601"/>
      <c r="N284" s="600"/>
      <c r="O284" s="599"/>
      <c r="P284" s="600"/>
      <c r="Q284" s="601"/>
      <c r="R284" s="600"/>
      <c r="S284" s="599"/>
      <c r="T284" s="600"/>
      <c r="U284" s="601"/>
      <c r="V284" s="600"/>
      <c r="W284" s="599"/>
      <c r="X284" s="600"/>
      <c r="Y284" s="601"/>
      <c r="Z284" s="600"/>
      <c r="AA284" s="599"/>
      <c r="AB284" s="600"/>
      <c r="AC284" s="601"/>
      <c r="AD284" s="600"/>
      <c r="AE284" s="599"/>
      <c r="AF284" s="600"/>
      <c r="AG284" s="601"/>
      <c r="AH284" s="600"/>
      <c r="AI284" s="599"/>
      <c r="AJ284" s="600"/>
      <c r="AK284" s="601"/>
      <c r="AL284" s="600"/>
      <c r="AM284" s="599"/>
      <c r="AN284" s="600"/>
      <c r="AO284" s="601"/>
      <c r="AP284" s="600"/>
      <c r="AQ284" s="599"/>
      <c r="AR284" s="600"/>
      <c r="AS284" s="601"/>
      <c r="AT284" s="600">
        <v>187</v>
      </c>
      <c r="AU284" s="599">
        <v>188</v>
      </c>
      <c r="AV284" s="600"/>
      <c r="AW284" s="601"/>
      <c r="AX284" s="600"/>
      <c r="AY284" s="599"/>
      <c r="AZ284" s="600"/>
      <c r="BA284" s="601">
        <v>0</v>
      </c>
      <c r="BB284" s="602">
        <v>0</v>
      </c>
      <c r="BC284" s="599"/>
      <c r="BD284" s="600">
        <v>0</v>
      </c>
      <c r="BE284" s="599"/>
      <c r="BF284" s="600">
        <v>0</v>
      </c>
      <c r="BG284" s="599"/>
      <c r="BH284" s="600">
        <v>0</v>
      </c>
      <c r="BI284" s="599"/>
      <c r="BJ284" s="600">
        <v>0</v>
      </c>
      <c r="BK284" s="615"/>
      <c r="BL284" s="600">
        <v>10603835</v>
      </c>
      <c r="BM284" s="604">
        <v>10865917</v>
      </c>
      <c r="BN284" s="605">
        <f t="shared" si="365"/>
        <v>0</v>
      </c>
      <c r="BO284" s="606">
        <f t="shared" si="366"/>
        <v>0</v>
      </c>
      <c r="BP284" s="607">
        <f t="shared" si="367"/>
        <v>0</v>
      </c>
      <c r="BQ284" s="606">
        <f t="shared" si="368"/>
        <v>0</v>
      </c>
      <c r="BR284" s="607">
        <f t="shared" si="369"/>
        <v>0</v>
      </c>
      <c r="BS284" s="606">
        <f t="shared" si="370"/>
        <v>0</v>
      </c>
      <c r="BT284" s="607">
        <f t="shared" si="371"/>
        <v>0</v>
      </c>
      <c r="BU284" s="606">
        <f t="shared" si="372"/>
        <v>0</v>
      </c>
      <c r="BV284" s="607">
        <f t="shared" si="373"/>
        <v>0</v>
      </c>
      <c r="BW284" s="608">
        <f t="shared" si="374"/>
        <v>0</v>
      </c>
      <c r="BX284" s="607">
        <f t="shared" si="375"/>
        <v>1683</v>
      </c>
      <c r="BY284" s="608">
        <f t="shared" si="376"/>
        <v>1692</v>
      </c>
      <c r="BZ284" s="607">
        <f t="shared" si="377"/>
        <v>0</v>
      </c>
      <c r="CA284" s="608">
        <f t="shared" si="378"/>
        <v>0</v>
      </c>
      <c r="CB284" s="607">
        <f t="shared" si="379"/>
        <v>0</v>
      </c>
      <c r="CC284" s="608">
        <f t="shared" si="380"/>
        <v>0</v>
      </c>
      <c r="CD284" s="607">
        <f t="shared" si="381"/>
        <v>0</v>
      </c>
      <c r="CE284" s="608">
        <f t="shared" si="382"/>
        <v>0</v>
      </c>
      <c r="CF284" s="607">
        <f t="shared" si="383"/>
        <v>0</v>
      </c>
      <c r="CG284" s="608">
        <f t="shared" si="384"/>
        <v>0</v>
      </c>
      <c r="CH284" s="607">
        <f t="shared" si="385"/>
        <v>0</v>
      </c>
      <c r="CI284" s="608">
        <f t="shared" si="386"/>
        <v>0</v>
      </c>
      <c r="CJ284" s="607">
        <f t="shared" si="387"/>
        <v>6300.5555555555557</v>
      </c>
      <c r="CK284" s="608">
        <f t="shared" si="388"/>
        <v>6421.9367612293145</v>
      </c>
      <c r="CL284" s="609">
        <f t="shared" si="389"/>
        <v>0</v>
      </c>
      <c r="CM284" s="608">
        <f t="shared" si="390"/>
        <v>0</v>
      </c>
      <c r="CN284" s="610">
        <f t="shared" si="391"/>
        <v>0</v>
      </c>
      <c r="CO284" s="606">
        <f t="shared" si="392"/>
        <v>0</v>
      </c>
      <c r="CP284" s="607">
        <f t="shared" si="393"/>
        <v>0</v>
      </c>
      <c r="CQ284" s="606">
        <f t="shared" si="394"/>
        <v>0</v>
      </c>
      <c r="CR284" s="607">
        <f t="shared" si="395"/>
        <v>0</v>
      </c>
      <c r="CS284" s="606">
        <f t="shared" si="396"/>
        <v>0</v>
      </c>
      <c r="CT284" s="607">
        <f t="shared" si="397"/>
        <v>0</v>
      </c>
      <c r="CU284" s="608">
        <f t="shared" si="398"/>
        <v>0</v>
      </c>
      <c r="CV284" s="610">
        <f t="shared" si="399"/>
        <v>56705</v>
      </c>
      <c r="CW284" s="608">
        <f t="shared" si="400"/>
        <v>57797.430851063829</v>
      </c>
      <c r="CX284" s="610">
        <f t="shared" si="401"/>
        <v>56705</v>
      </c>
      <c r="CY284" s="611">
        <f t="shared" si="402"/>
        <v>57797.430851063829</v>
      </c>
      <c r="CZ284" s="605">
        <f t="shared" si="403"/>
        <v>0</v>
      </c>
      <c r="DA284" s="612">
        <f t="shared" si="404"/>
        <v>0</v>
      </c>
      <c r="DB284" s="607">
        <f t="shared" si="405"/>
        <v>0</v>
      </c>
      <c r="DC284" s="606">
        <f t="shared" si="406"/>
        <v>0</v>
      </c>
      <c r="DD284" s="607">
        <f t="shared" si="407"/>
        <v>0</v>
      </c>
      <c r="DE284" s="606">
        <f t="shared" si="408"/>
        <v>0</v>
      </c>
      <c r="DF284" s="607">
        <f t="shared" si="409"/>
        <v>0</v>
      </c>
      <c r="DG284" s="606">
        <f t="shared" si="410"/>
        <v>0</v>
      </c>
      <c r="DH284" s="607">
        <f t="shared" si="411"/>
        <v>0</v>
      </c>
      <c r="DI284" s="608">
        <f t="shared" si="412"/>
        <v>0</v>
      </c>
      <c r="DJ284" s="607">
        <f t="shared" si="413"/>
        <v>187</v>
      </c>
      <c r="DK284" s="608">
        <f t="shared" si="414"/>
        <v>188</v>
      </c>
      <c r="DL284" s="607">
        <f t="shared" si="415"/>
        <v>187</v>
      </c>
      <c r="DM284" s="608">
        <f t="shared" si="416"/>
        <v>188</v>
      </c>
      <c r="DN284" s="607">
        <f t="shared" si="417"/>
        <v>0</v>
      </c>
      <c r="DO284" s="612">
        <f t="shared" si="418"/>
        <v>0</v>
      </c>
      <c r="DP284" s="607">
        <f t="shared" si="419"/>
        <v>0</v>
      </c>
      <c r="DQ284" s="606">
        <f t="shared" si="420"/>
        <v>0</v>
      </c>
      <c r="DR284" s="607">
        <f t="shared" si="421"/>
        <v>0</v>
      </c>
      <c r="DS284" s="606">
        <f t="shared" si="422"/>
        <v>0</v>
      </c>
      <c r="DT284" s="607">
        <f t="shared" si="423"/>
        <v>0</v>
      </c>
      <c r="DU284" s="606">
        <f t="shared" si="424"/>
        <v>0</v>
      </c>
      <c r="DV284" s="607">
        <f t="shared" si="425"/>
        <v>0</v>
      </c>
      <c r="DW284" s="608">
        <f t="shared" si="426"/>
        <v>0</v>
      </c>
      <c r="DX284" s="607">
        <f t="shared" si="427"/>
        <v>10603835</v>
      </c>
      <c r="DY284" s="608">
        <f t="shared" si="428"/>
        <v>10865917</v>
      </c>
      <c r="DZ284" s="607">
        <f t="shared" si="429"/>
        <v>10603835</v>
      </c>
      <c r="EA284" s="608">
        <f t="shared" si="430"/>
        <v>10865917</v>
      </c>
    </row>
    <row r="285" spans="1:131" x14ac:dyDescent="0.2">
      <c r="A285" s="473" t="s">
        <v>39</v>
      </c>
      <c r="B285" s="474" t="s">
        <v>907</v>
      </c>
      <c r="C285" s="567"/>
      <c r="D285" s="473">
        <v>175519</v>
      </c>
      <c r="E285" s="476">
        <v>10</v>
      </c>
      <c r="F285" s="598"/>
      <c r="G285" s="599"/>
      <c r="H285" s="600"/>
      <c r="I285" s="601"/>
      <c r="J285" s="600"/>
      <c r="K285" s="599"/>
      <c r="L285" s="600"/>
      <c r="M285" s="601"/>
      <c r="N285" s="600"/>
      <c r="O285" s="599"/>
      <c r="P285" s="600"/>
      <c r="Q285" s="601"/>
      <c r="R285" s="600"/>
      <c r="S285" s="599"/>
      <c r="T285" s="600"/>
      <c r="U285" s="601"/>
      <c r="V285" s="600"/>
      <c r="W285" s="599"/>
      <c r="X285" s="600"/>
      <c r="Y285" s="601"/>
      <c r="Z285" s="600"/>
      <c r="AA285" s="599"/>
      <c r="AB285" s="600"/>
      <c r="AC285" s="601"/>
      <c r="AD285" s="600"/>
      <c r="AE285" s="599"/>
      <c r="AF285" s="600"/>
      <c r="AG285" s="601"/>
      <c r="AH285" s="600"/>
      <c r="AI285" s="599"/>
      <c r="AJ285" s="600"/>
      <c r="AK285" s="601"/>
      <c r="AL285" s="600"/>
      <c r="AM285" s="599"/>
      <c r="AN285" s="600"/>
      <c r="AO285" s="601"/>
      <c r="AP285" s="600"/>
      <c r="AQ285" s="599"/>
      <c r="AR285" s="600"/>
      <c r="AS285" s="601"/>
      <c r="AT285" s="600">
        <v>57</v>
      </c>
      <c r="AU285" s="599">
        <v>35</v>
      </c>
      <c r="AV285" s="600"/>
      <c r="AW285" s="601">
        <v>0</v>
      </c>
      <c r="AX285" s="600">
        <v>24</v>
      </c>
      <c r="AY285" s="599">
        <v>0</v>
      </c>
      <c r="AZ285" s="600"/>
      <c r="BA285" s="601">
        <v>41</v>
      </c>
      <c r="BB285" s="602">
        <v>0</v>
      </c>
      <c r="BC285" s="599"/>
      <c r="BD285" s="600">
        <v>0</v>
      </c>
      <c r="BE285" s="599"/>
      <c r="BF285" s="600">
        <v>0</v>
      </c>
      <c r="BG285" s="599"/>
      <c r="BH285" s="600">
        <v>0</v>
      </c>
      <c r="BI285" s="599"/>
      <c r="BJ285" s="600">
        <v>0</v>
      </c>
      <c r="BK285" s="615"/>
      <c r="BL285" s="600">
        <v>3481999.3000000003</v>
      </c>
      <c r="BM285" s="604">
        <v>3511931</v>
      </c>
      <c r="BN285" s="605">
        <f t="shared" si="365"/>
        <v>0</v>
      </c>
      <c r="BO285" s="606">
        <f t="shared" si="366"/>
        <v>0</v>
      </c>
      <c r="BP285" s="607">
        <f t="shared" si="367"/>
        <v>0</v>
      </c>
      <c r="BQ285" s="606">
        <f t="shared" si="368"/>
        <v>0</v>
      </c>
      <c r="BR285" s="607">
        <f t="shared" si="369"/>
        <v>0</v>
      </c>
      <c r="BS285" s="606">
        <f t="shared" si="370"/>
        <v>0</v>
      </c>
      <c r="BT285" s="607">
        <f t="shared" si="371"/>
        <v>0</v>
      </c>
      <c r="BU285" s="606">
        <f t="shared" si="372"/>
        <v>0</v>
      </c>
      <c r="BV285" s="607">
        <f t="shared" si="373"/>
        <v>0</v>
      </c>
      <c r="BW285" s="608">
        <f t="shared" si="374"/>
        <v>0</v>
      </c>
      <c r="BX285" s="607">
        <f t="shared" si="375"/>
        <v>777</v>
      </c>
      <c r="BY285" s="608">
        <f t="shared" si="376"/>
        <v>807</v>
      </c>
      <c r="BZ285" s="607">
        <f t="shared" si="377"/>
        <v>0</v>
      </c>
      <c r="CA285" s="608">
        <f t="shared" si="378"/>
        <v>0</v>
      </c>
      <c r="CB285" s="607">
        <f t="shared" si="379"/>
        <v>0</v>
      </c>
      <c r="CC285" s="608">
        <f t="shared" si="380"/>
        <v>0</v>
      </c>
      <c r="CD285" s="607">
        <f t="shared" si="381"/>
        <v>0</v>
      </c>
      <c r="CE285" s="608">
        <f t="shared" si="382"/>
        <v>0</v>
      </c>
      <c r="CF285" s="607">
        <f t="shared" si="383"/>
        <v>0</v>
      </c>
      <c r="CG285" s="608">
        <f t="shared" si="384"/>
        <v>0</v>
      </c>
      <c r="CH285" s="607">
        <f t="shared" si="385"/>
        <v>0</v>
      </c>
      <c r="CI285" s="608">
        <f t="shared" si="386"/>
        <v>0</v>
      </c>
      <c r="CJ285" s="607">
        <f t="shared" si="387"/>
        <v>4481.337580437581</v>
      </c>
      <c r="CK285" s="608">
        <f t="shared" si="388"/>
        <v>4351.8351920693931</v>
      </c>
      <c r="CL285" s="609">
        <f t="shared" si="389"/>
        <v>0</v>
      </c>
      <c r="CM285" s="608">
        <f t="shared" si="390"/>
        <v>0</v>
      </c>
      <c r="CN285" s="610">
        <f t="shared" si="391"/>
        <v>0</v>
      </c>
      <c r="CO285" s="606">
        <f t="shared" si="392"/>
        <v>0</v>
      </c>
      <c r="CP285" s="607">
        <f t="shared" si="393"/>
        <v>0</v>
      </c>
      <c r="CQ285" s="606">
        <f t="shared" si="394"/>
        <v>0</v>
      </c>
      <c r="CR285" s="607">
        <f t="shared" si="395"/>
        <v>0</v>
      </c>
      <c r="CS285" s="606">
        <f t="shared" si="396"/>
        <v>0</v>
      </c>
      <c r="CT285" s="607">
        <f t="shared" si="397"/>
        <v>0</v>
      </c>
      <c r="CU285" s="608">
        <f t="shared" si="398"/>
        <v>0</v>
      </c>
      <c r="CV285" s="610">
        <f t="shared" si="399"/>
        <v>40332.038223938231</v>
      </c>
      <c r="CW285" s="608">
        <f t="shared" si="400"/>
        <v>39166.516728624541</v>
      </c>
      <c r="CX285" s="610">
        <f t="shared" si="401"/>
        <v>40332.038223938231</v>
      </c>
      <c r="CY285" s="611">
        <f t="shared" si="402"/>
        <v>39166.516728624541</v>
      </c>
      <c r="CZ285" s="605">
        <f t="shared" si="403"/>
        <v>0</v>
      </c>
      <c r="DA285" s="612">
        <f t="shared" si="404"/>
        <v>0</v>
      </c>
      <c r="DB285" s="607">
        <f t="shared" si="405"/>
        <v>0</v>
      </c>
      <c r="DC285" s="606">
        <f t="shared" si="406"/>
        <v>0</v>
      </c>
      <c r="DD285" s="607">
        <f t="shared" si="407"/>
        <v>0</v>
      </c>
      <c r="DE285" s="606">
        <f t="shared" si="408"/>
        <v>0</v>
      </c>
      <c r="DF285" s="607">
        <f t="shared" si="409"/>
        <v>0</v>
      </c>
      <c r="DG285" s="606">
        <f t="shared" si="410"/>
        <v>0</v>
      </c>
      <c r="DH285" s="607">
        <f t="shared" si="411"/>
        <v>0</v>
      </c>
      <c r="DI285" s="608">
        <f t="shared" si="412"/>
        <v>0</v>
      </c>
      <c r="DJ285" s="607">
        <f t="shared" si="413"/>
        <v>81</v>
      </c>
      <c r="DK285" s="608">
        <f t="shared" si="414"/>
        <v>76</v>
      </c>
      <c r="DL285" s="607">
        <f t="shared" si="415"/>
        <v>81</v>
      </c>
      <c r="DM285" s="608">
        <f t="shared" si="416"/>
        <v>76</v>
      </c>
      <c r="DN285" s="607">
        <f t="shared" si="417"/>
        <v>0</v>
      </c>
      <c r="DO285" s="612">
        <f t="shared" si="418"/>
        <v>0</v>
      </c>
      <c r="DP285" s="607">
        <f t="shared" si="419"/>
        <v>0</v>
      </c>
      <c r="DQ285" s="606">
        <f t="shared" si="420"/>
        <v>0</v>
      </c>
      <c r="DR285" s="607">
        <f t="shared" si="421"/>
        <v>0</v>
      </c>
      <c r="DS285" s="606">
        <f t="shared" si="422"/>
        <v>0</v>
      </c>
      <c r="DT285" s="607">
        <f t="shared" si="423"/>
        <v>0</v>
      </c>
      <c r="DU285" s="606">
        <f t="shared" si="424"/>
        <v>0</v>
      </c>
      <c r="DV285" s="607">
        <f t="shared" si="425"/>
        <v>0</v>
      </c>
      <c r="DW285" s="608">
        <f t="shared" si="426"/>
        <v>0</v>
      </c>
      <c r="DX285" s="607">
        <f t="shared" si="427"/>
        <v>3266895.0961389965</v>
      </c>
      <c r="DY285" s="608">
        <f t="shared" si="428"/>
        <v>2976655.2713754652</v>
      </c>
      <c r="DZ285" s="607">
        <f t="shared" si="429"/>
        <v>3266895.0961389965</v>
      </c>
      <c r="EA285" s="608">
        <f t="shared" si="430"/>
        <v>2976655.2713754652</v>
      </c>
    </row>
    <row r="286" spans="1:131" x14ac:dyDescent="0.2">
      <c r="A286" s="473" t="s">
        <v>39</v>
      </c>
      <c r="B286" s="478" t="s">
        <v>908</v>
      </c>
      <c r="C286" s="568"/>
      <c r="D286" s="473">
        <v>176354</v>
      </c>
      <c r="E286" s="476">
        <v>10</v>
      </c>
      <c r="F286" s="598"/>
      <c r="G286" s="599"/>
      <c r="H286" s="600"/>
      <c r="I286" s="601"/>
      <c r="J286" s="600"/>
      <c r="K286" s="599"/>
      <c r="L286" s="600"/>
      <c r="M286" s="601"/>
      <c r="N286" s="600"/>
      <c r="O286" s="599"/>
      <c r="P286" s="600"/>
      <c r="Q286" s="601"/>
      <c r="R286" s="600"/>
      <c r="S286" s="599"/>
      <c r="T286" s="600"/>
      <c r="U286" s="601"/>
      <c r="V286" s="600"/>
      <c r="W286" s="599"/>
      <c r="X286" s="600"/>
      <c r="Y286" s="601"/>
      <c r="Z286" s="600"/>
      <c r="AA286" s="599"/>
      <c r="AB286" s="600"/>
      <c r="AC286" s="601"/>
      <c r="AD286" s="600"/>
      <c r="AE286" s="599"/>
      <c r="AF286" s="600"/>
      <c r="AG286" s="601"/>
      <c r="AH286" s="600"/>
      <c r="AI286" s="599"/>
      <c r="AJ286" s="600"/>
      <c r="AK286" s="601"/>
      <c r="AL286" s="600"/>
      <c r="AM286" s="599"/>
      <c r="AN286" s="600"/>
      <c r="AO286" s="601"/>
      <c r="AP286" s="600"/>
      <c r="AQ286" s="599"/>
      <c r="AR286" s="600"/>
      <c r="AS286" s="601"/>
      <c r="AT286" s="600">
        <v>59</v>
      </c>
      <c r="AU286" s="599">
        <v>63</v>
      </c>
      <c r="AV286" s="600"/>
      <c r="AW286" s="601">
        <v>2</v>
      </c>
      <c r="AX286" s="600">
        <v>9</v>
      </c>
      <c r="AY286" s="599">
        <v>8</v>
      </c>
      <c r="AZ286" s="600"/>
      <c r="BA286" s="601">
        <v>0</v>
      </c>
      <c r="BB286" s="602">
        <v>0</v>
      </c>
      <c r="BC286" s="599"/>
      <c r="BD286" s="600">
        <v>0</v>
      </c>
      <c r="BE286" s="599"/>
      <c r="BF286" s="600">
        <v>0</v>
      </c>
      <c r="BG286" s="599"/>
      <c r="BH286" s="600">
        <v>0</v>
      </c>
      <c r="BI286" s="599"/>
      <c r="BJ286" s="600">
        <v>0</v>
      </c>
      <c r="BK286" s="615"/>
      <c r="BL286" s="600">
        <v>3721317.4</v>
      </c>
      <c r="BM286" s="604">
        <v>4208404</v>
      </c>
      <c r="BN286" s="605">
        <f t="shared" si="365"/>
        <v>0</v>
      </c>
      <c r="BO286" s="606">
        <f t="shared" si="366"/>
        <v>0</v>
      </c>
      <c r="BP286" s="607">
        <f t="shared" si="367"/>
        <v>0</v>
      </c>
      <c r="BQ286" s="606">
        <f t="shared" si="368"/>
        <v>0</v>
      </c>
      <c r="BR286" s="607">
        <f t="shared" si="369"/>
        <v>0</v>
      </c>
      <c r="BS286" s="606">
        <f t="shared" si="370"/>
        <v>0</v>
      </c>
      <c r="BT286" s="607">
        <f t="shared" si="371"/>
        <v>0</v>
      </c>
      <c r="BU286" s="606">
        <f t="shared" si="372"/>
        <v>0</v>
      </c>
      <c r="BV286" s="607">
        <f t="shared" si="373"/>
        <v>0</v>
      </c>
      <c r="BW286" s="608">
        <f t="shared" si="374"/>
        <v>0</v>
      </c>
      <c r="BX286" s="607">
        <f t="shared" si="375"/>
        <v>630</v>
      </c>
      <c r="BY286" s="608">
        <f t="shared" si="376"/>
        <v>675</v>
      </c>
      <c r="BZ286" s="607">
        <f t="shared" si="377"/>
        <v>0</v>
      </c>
      <c r="CA286" s="608">
        <f t="shared" si="378"/>
        <v>0</v>
      </c>
      <c r="CB286" s="607">
        <f t="shared" si="379"/>
        <v>0</v>
      </c>
      <c r="CC286" s="608">
        <f t="shared" si="380"/>
        <v>0</v>
      </c>
      <c r="CD286" s="607">
        <f t="shared" si="381"/>
        <v>0</v>
      </c>
      <c r="CE286" s="608">
        <f t="shared" si="382"/>
        <v>0</v>
      </c>
      <c r="CF286" s="607">
        <f t="shared" si="383"/>
        <v>0</v>
      </c>
      <c r="CG286" s="608">
        <f t="shared" si="384"/>
        <v>0</v>
      </c>
      <c r="CH286" s="607">
        <f t="shared" si="385"/>
        <v>0</v>
      </c>
      <c r="CI286" s="608">
        <f t="shared" si="386"/>
        <v>0</v>
      </c>
      <c r="CJ286" s="607">
        <f t="shared" si="387"/>
        <v>5906.8530158730155</v>
      </c>
      <c r="CK286" s="608">
        <f t="shared" si="388"/>
        <v>6234.672592592593</v>
      </c>
      <c r="CL286" s="609">
        <f t="shared" si="389"/>
        <v>0</v>
      </c>
      <c r="CM286" s="608">
        <f t="shared" si="390"/>
        <v>0</v>
      </c>
      <c r="CN286" s="610">
        <f t="shared" si="391"/>
        <v>0</v>
      </c>
      <c r="CO286" s="606">
        <f t="shared" si="392"/>
        <v>0</v>
      </c>
      <c r="CP286" s="607">
        <f t="shared" si="393"/>
        <v>0</v>
      </c>
      <c r="CQ286" s="606">
        <f t="shared" si="394"/>
        <v>0</v>
      </c>
      <c r="CR286" s="607">
        <f t="shared" si="395"/>
        <v>0</v>
      </c>
      <c r="CS286" s="606">
        <f t="shared" si="396"/>
        <v>0</v>
      </c>
      <c r="CT286" s="607">
        <f t="shared" si="397"/>
        <v>0</v>
      </c>
      <c r="CU286" s="608">
        <f t="shared" si="398"/>
        <v>0</v>
      </c>
      <c r="CV286" s="610">
        <f t="shared" si="399"/>
        <v>53161.677142857137</v>
      </c>
      <c r="CW286" s="608">
        <f t="shared" si="400"/>
        <v>56112.053333333337</v>
      </c>
      <c r="CX286" s="610">
        <f t="shared" si="401"/>
        <v>53161.677142857137</v>
      </c>
      <c r="CY286" s="611">
        <f t="shared" si="402"/>
        <v>56112.053333333337</v>
      </c>
      <c r="CZ286" s="605">
        <f t="shared" si="403"/>
        <v>0</v>
      </c>
      <c r="DA286" s="612">
        <f t="shared" si="404"/>
        <v>0</v>
      </c>
      <c r="DB286" s="607">
        <f t="shared" si="405"/>
        <v>0</v>
      </c>
      <c r="DC286" s="606">
        <f t="shared" si="406"/>
        <v>0</v>
      </c>
      <c r="DD286" s="607">
        <f t="shared" si="407"/>
        <v>0</v>
      </c>
      <c r="DE286" s="606">
        <f t="shared" si="408"/>
        <v>0</v>
      </c>
      <c r="DF286" s="607">
        <f t="shared" si="409"/>
        <v>0</v>
      </c>
      <c r="DG286" s="606">
        <f t="shared" si="410"/>
        <v>0</v>
      </c>
      <c r="DH286" s="607">
        <f t="shared" si="411"/>
        <v>0</v>
      </c>
      <c r="DI286" s="608">
        <f t="shared" si="412"/>
        <v>0</v>
      </c>
      <c r="DJ286" s="607">
        <f t="shared" si="413"/>
        <v>68</v>
      </c>
      <c r="DK286" s="608">
        <f t="shared" si="414"/>
        <v>73</v>
      </c>
      <c r="DL286" s="607">
        <f t="shared" si="415"/>
        <v>68</v>
      </c>
      <c r="DM286" s="608">
        <f t="shared" si="416"/>
        <v>73</v>
      </c>
      <c r="DN286" s="607">
        <f t="shared" si="417"/>
        <v>0</v>
      </c>
      <c r="DO286" s="612">
        <f t="shared" si="418"/>
        <v>0</v>
      </c>
      <c r="DP286" s="607">
        <f t="shared" si="419"/>
        <v>0</v>
      </c>
      <c r="DQ286" s="606">
        <f t="shared" si="420"/>
        <v>0</v>
      </c>
      <c r="DR286" s="607">
        <f t="shared" si="421"/>
        <v>0</v>
      </c>
      <c r="DS286" s="606">
        <f t="shared" si="422"/>
        <v>0</v>
      </c>
      <c r="DT286" s="607">
        <f t="shared" si="423"/>
        <v>0</v>
      </c>
      <c r="DU286" s="606">
        <f t="shared" si="424"/>
        <v>0</v>
      </c>
      <c r="DV286" s="607">
        <f t="shared" si="425"/>
        <v>0</v>
      </c>
      <c r="DW286" s="608">
        <f t="shared" si="426"/>
        <v>0</v>
      </c>
      <c r="DX286" s="607">
        <f t="shared" si="427"/>
        <v>3614994.0457142852</v>
      </c>
      <c r="DY286" s="608">
        <f t="shared" si="428"/>
        <v>4096179.8933333335</v>
      </c>
      <c r="DZ286" s="607">
        <f t="shared" si="429"/>
        <v>3614994.0457142852</v>
      </c>
      <c r="EA286" s="608">
        <f t="shared" si="430"/>
        <v>4096179.8933333335</v>
      </c>
    </row>
    <row r="287" spans="1:131" x14ac:dyDescent="0.2">
      <c r="A287" s="333" t="s">
        <v>40</v>
      </c>
      <c r="B287" s="318" t="s">
        <v>350</v>
      </c>
      <c r="C287" s="321"/>
      <c r="D287" s="322">
        <v>199193</v>
      </c>
      <c r="E287" s="323">
        <v>1</v>
      </c>
      <c r="F287" s="598">
        <v>397</v>
      </c>
      <c r="G287" s="599">
        <v>353</v>
      </c>
      <c r="H287" s="600"/>
      <c r="I287" s="601"/>
      <c r="J287" s="600">
        <v>261</v>
      </c>
      <c r="K287" s="599">
        <v>96</v>
      </c>
      <c r="L287" s="600"/>
      <c r="M287" s="601"/>
      <c r="N287" s="600">
        <v>318</v>
      </c>
      <c r="O287" s="599">
        <v>297</v>
      </c>
      <c r="P287" s="600"/>
      <c r="Q287" s="601"/>
      <c r="R287" s="600">
        <v>128</v>
      </c>
      <c r="S287" s="599">
        <v>61</v>
      </c>
      <c r="T287" s="600"/>
      <c r="U287" s="601"/>
      <c r="V287" s="600">
        <v>209</v>
      </c>
      <c r="W287" s="599">
        <v>202</v>
      </c>
      <c r="X287" s="600"/>
      <c r="Y287" s="601"/>
      <c r="Z287" s="600">
        <v>124</v>
      </c>
      <c r="AA287" s="599">
        <v>35</v>
      </c>
      <c r="AB287" s="600"/>
      <c r="AC287" s="601"/>
      <c r="AD287" s="600">
        <v>4</v>
      </c>
      <c r="AE287" s="599">
        <v>1</v>
      </c>
      <c r="AF287" s="600"/>
      <c r="AG287" s="601"/>
      <c r="AH287" s="600">
        <v>1</v>
      </c>
      <c r="AI287" s="599"/>
      <c r="AJ287" s="600"/>
      <c r="AK287" s="601"/>
      <c r="AL287" s="600">
        <v>220</v>
      </c>
      <c r="AM287" s="599">
        <v>229</v>
      </c>
      <c r="AN287" s="600"/>
      <c r="AO287" s="601"/>
      <c r="AP287" s="600">
        <v>74</v>
      </c>
      <c r="AQ287" s="599">
        <v>73</v>
      </c>
      <c r="AR287" s="600"/>
      <c r="AS287" s="601"/>
      <c r="AT287" s="600"/>
      <c r="AU287" s="599"/>
      <c r="AV287" s="600"/>
      <c r="AW287" s="601"/>
      <c r="AX287" s="600"/>
      <c r="AY287" s="599"/>
      <c r="AZ287" s="600"/>
      <c r="BA287" s="601"/>
      <c r="BB287" s="602">
        <v>82933769</v>
      </c>
      <c r="BC287" s="599">
        <v>54130517.366400003</v>
      </c>
      <c r="BD287" s="600">
        <v>39593902</v>
      </c>
      <c r="BE287" s="599">
        <v>31255683.692200001</v>
      </c>
      <c r="BF287" s="600">
        <v>25337884</v>
      </c>
      <c r="BG287" s="599">
        <v>18790867.833000001</v>
      </c>
      <c r="BH287" s="600">
        <v>352500</v>
      </c>
      <c r="BI287" s="599">
        <v>53130</v>
      </c>
      <c r="BJ287" s="600">
        <v>17679960</v>
      </c>
      <c r="BK287" s="615">
        <v>17639706.525200002</v>
      </c>
      <c r="BL287" s="600">
        <v>0</v>
      </c>
      <c r="BM287" s="604"/>
      <c r="BN287" s="605">
        <f t="shared" si="365"/>
        <v>6444</v>
      </c>
      <c r="BO287" s="606">
        <f t="shared" si="366"/>
        <v>4233</v>
      </c>
      <c r="BP287" s="607">
        <f t="shared" si="367"/>
        <v>4270</v>
      </c>
      <c r="BQ287" s="606">
        <f t="shared" si="368"/>
        <v>3344</v>
      </c>
      <c r="BR287" s="607">
        <f t="shared" si="369"/>
        <v>3245</v>
      </c>
      <c r="BS287" s="606">
        <f t="shared" si="370"/>
        <v>2203</v>
      </c>
      <c r="BT287" s="607">
        <f t="shared" si="371"/>
        <v>47</v>
      </c>
      <c r="BU287" s="606">
        <f t="shared" si="372"/>
        <v>9</v>
      </c>
      <c r="BV287" s="607">
        <f t="shared" si="373"/>
        <v>2794</v>
      </c>
      <c r="BW287" s="608">
        <f t="shared" si="374"/>
        <v>2864</v>
      </c>
      <c r="BX287" s="607">
        <f t="shared" si="375"/>
        <v>0</v>
      </c>
      <c r="BY287" s="608">
        <f t="shared" si="376"/>
        <v>0</v>
      </c>
      <c r="BZ287" s="607">
        <f t="shared" si="377"/>
        <v>12869.920701427685</v>
      </c>
      <c r="CA287" s="608">
        <f t="shared" si="378"/>
        <v>12787.743294684622</v>
      </c>
      <c r="CB287" s="607">
        <f t="shared" si="379"/>
        <v>9272.5765807962525</v>
      </c>
      <c r="CC287" s="608">
        <f t="shared" si="380"/>
        <v>9346.7953625000009</v>
      </c>
      <c r="CD287" s="607">
        <f t="shared" si="381"/>
        <v>7808.2847457627122</v>
      </c>
      <c r="CE287" s="608">
        <f t="shared" si="382"/>
        <v>8529.6721892873356</v>
      </c>
      <c r="CF287" s="607">
        <f t="shared" si="383"/>
        <v>7500</v>
      </c>
      <c r="CG287" s="608">
        <f t="shared" si="384"/>
        <v>5903.333333333333</v>
      </c>
      <c r="CH287" s="607">
        <f t="shared" si="385"/>
        <v>6327.8310665712243</v>
      </c>
      <c r="CI287" s="608">
        <f t="shared" si="386"/>
        <v>6159.1154068435762</v>
      </c>
      <c r="CJ287" s="607">
        <f t="shared" si="387"/>
        <v>0</v>
      </c>
      <c r="CK287" s="608">
        <f t="shared" si="388"/>
        <v>0</v>
      </c>
      <c r="CL287" s="609">
        <f t="shared" si="389"/>
        <v>115829.28631284917</v>
      </c>
      <c r="CM287" s="608">
        <f t="shared" si="390"/>
        <v>115089.6896521616</v>
      </c>
      <c r="CN287" s="610">
        <f t="shared" si="391"/>
        <v>83453.189227166265</v>
      </c>
      <c r="CO287" s="606">
        <f t="shared" si="392"/>
        <v>84121.158262500016</v>
      </c>
      <c r="CP287" s="607">
        <f t="shared" si="393"/>
        <v>70274.562711864404</v>
      </c>
      <c r="CQ287" s="606">
        <f t="shared" si="394"/>
        <v>76767.049703586017</v>
      </c>
      <c r="CR287" s="607">
        <f t="shared" si="395"/>
        <v>67500</v>
      </c>
      <c r="CS287" s="606">
        <f t="shared" si="396"/>
        <v>53130</v>
      </c>
      <c r="CT287" s="607">
        <f t="shared" si="397"/>
        <v>56950.479599141021</v>
      </c>
      <c r="CU287" s="608">
        <f t="shared" si="398"/>
        <v>55432.038661592189</v>
      </c>
      <c r="CV287" s="610">
        <f t="shared" si="399"/>
        <v>0</v>
      </c>
      <c r="CW287" s="608">
        <f t="shared" si="400"/>
        <v>0</v>
      </c>
      <c r="CX287" s="610">
        <f t="shared" si="401"/>
        <v>88662.536390765672</v>
      </c>
      <c r="CY287" s="611">
        <f t="shared" si="402"/>
        <v>86694.908513248913</v>
      </c>
      <c r="CZ287" s="605">
        <f t="shared" si="403"/>
        <v>658</v>
      </c>
      <c r="DA287" s="612">
        <f t="shared" si="404"/>
        <v>449</v>
      </c>
      <c r="DB287" s="607">
        <f t="shared" si="405"/>
        <v>446</v>
      </c>
      <c r="DC287" s="606">
        <f t="shared" si="406"/>
        <v>358</v>
      </c>
      <c r="DD287" s="607">
        <f t="shared" si="407"/>
        <v>333</v>
      </c>
      <c r="DE287" s="606">
        <f t="shared" si="408"/>
        <v>237</v>
      </c>
      <c r="DF287" s="607">
        <f t="shared" si="409"/>
        <v>5</v>
      </c>
      <c r="DG287" s="606">
        <f t="shared" si="410"/>
        <v>1</v>
      </c>
      <c r="DH287" s="607">
        <f t="shared" si="411"/>
        <v>294</v>
      </c>
      <c r="DI287" s="608">
        <f t="shared" si="412"/>
        <v>302</v>
      </c>
      <c r="DJ287" s="607">
        <f t="shared" si="413"/>
        <v>0</v>
      </c>
      <c r="DK287" s="608">
        <f t="shared" si="414"/>
        <v>0</v>
      </c>
      <c r="DL287" s="607">
        <f t="shared" si="415"/>
        <v>1736</v>
      </c>
      <c r="DM287" s="608">
        <f t="shared" si="416"/>
        <v>1347</v>
      </c>
      <c r="DN287" s="607">
        <f t="shared" si="417"/>
        <v>76215670.393854752</v>
      </c>
      <c r="DO287" s="612">
        <f t="shared" si="418"/>
        <v>51675270.653820559</v>
      </c>
      <c r="DP287" s="607">
        <f t="shared" si="419"/>
        <v>37220122.395316154</v>
      </c>
      <c r="DQ287" s="606">
        <f t="shared" si="420"/>
        <v>30115374.657975007</v>
      </c>
      <c r="DR287" s="607">
        <f t="shared" si="421"/>
        <v>23401429.383050848</v>
      </c>
      <c r="DS287" s="606">
        <f t="shared" si="422"/>
        <v>18193790.779749885</v>
      </c>
      <c r="DT287" s="607">
        <f t="shared" si="423"/>
        <v>337500</v>
      </c>
      <c r="DU287" s="606">
        <f t="shared" si="424"/>
        <v>53130</v>
      </c>
      <c r="DV287" s="607">
        <f t="shared" si="425"/>
        <v>16743441.00214746</v>
      </c>
      <c r="DW287" s="608">
        <f t="shared" si="426"/>
        <v>16740475.675800841</v>
      </c>
      <c r="DX287" s="607">
        <f t="shared" si="427"/>
        <v>0</v>
      </c>
      <c r="DY287" s="608">
        <f t="shared" si="428"/>
        <v>0</v>
      </c>
      <c r="DZ287" s="607">
        <f t="shared" si="429"/>
        <v>153918163.17436922</v>
      </c>
      <c r="EA287" s="608">
        <f t="shared" si="430"/>
        <v>116778041.76734629</v>
      </c>
    </row>
    <row r="288" spans="1:131" x14ac:dyDescent="0.2">
      <c r="A288" s="333" t="s">
        <v>40</v>
      </c>
      <c r="B288" s="318" t="s">
        <v>351</v>
      </c>
      <c r="C288" s="321"/>
      <c r="D288" s="322">
        <v>199120</v>
      </c>
      <c r="E288" s="323">
        <v>1</v>
      </c>
      <c r="F288" s="598">
        <v>487</v>
      </c>
      <c r="G288" s="599">
        <v>490</v>
      </c>
      <c r="H288" s="600"/>
      <c r="I288" s="601"/>
      <c r="J288" s="600">
        <v>128</v>
      </c>
      <c r="K288" s="599">
        <v>106</v>
      </c>
      <c r="L288" s="600"/>
      <c r="M288" s="601"/>
      <c r="N288" s="600">
        <v>274</v>
      </c>
      <c r="O288" s="599">
        <v>277</v>
      </c>
      <c r="P288" s="600"/>
      <c r="Q288" s="601"/>
      <c r="R288" s="600">
        <v>92</v>
      </c>
      <c r="S288" s="599">
        <v>73</v>
      </c>
      <c r="T288" s="600"/>
      <c r="U288" s="601"/>
      <c r="V288" s="600">
        <v>266</v>
      </c>
      <c r="W288" s="599">
        <v>265</v>
      </c>
      <c r="X288" s="600"/>
      <c r="Y288" s="601"/>
      <c r="Z288" s="600">
        <v>95</v>
      </c>
      <c r="AA288" s="599">
        <v>56</v>
      </c>
      <c r="AB288" s="600"/>
      <c r="AC288" s="601"/>
      <c r="AD288" s="600">
        <v>4</v>
      </c>
      <c r="AE288" s="599">
        <v>2</v>
      </c>
      <c r="AF288" s="600"/>
      <c r="AG288" s="601"/>
      <c r="AH288" s="600">
        <v>2</v>
      </c>
      <c r="AI288" s="599"/>
      <c r="AJ288" s="600"/>
      <c r="AK288" s="601"/>
      <c r="AL288" s="600">
        <v>210</v>
      </c>
      <c r="AM288" s="599">
        <v>222</v>
      </c>
      <c r="AN288" s="600"/>
      <c r="AO288" s="601"/>
      <c r="AP288" s="600">
        <v>128</v>
      </c>
      <c r="AQ288" s="599">
        <v>170</v>
      </c>
      <c r="AR288" s="600"/>
      <c r="AS288" s="601"/>
      <c r="AT288" s="600"/>
      <c r="AU288" s="599"/>
      <c r="AV288" s="600"/>
      <c r="AW288" s="601"/>
      <c r="AX288" s="600"/>
      <c r="AY288" s="599"/>
      <c r="AZ288" s="600"/>
      <c r="BA288" s="601"/>
      <c r="BB288" s="602">
        <v>92901678</v>
      </c>
      <c r="BC288" s="599">
        <v>88141171.498799995</v>
      </c>
      <c r="BD288" s="600">
        <v>36709920</v>
      </c>
      <c r="BE288" s="599">
        <v>33804944.949000001</v>
      </c>
      <c r="BF288" s="600">
        <v>30531290</v>
      </c>
      <c r="BG288" s="599">
        <v>27083439.966400001</v>
      </c>
      <c r="BH288" s="600">
        <v>631492</v>
      </c>
      <c r="BI288" s="599">
        <v>176400</v>
      </c>
      <c r="BJ288" s="600">
        <v>26003040</v>
      </c>
      <c r="BK288" s="615">
        <v>28668292.708000001</v>
      </c>
      <c r="BL288" s="600">
        <v>0</v>
      </c>
      <c r="BM288" s="604"/>
      <c r="BN288" s="605">
        <f t="shared" si="365"/>
        <v>5791</v>
      </c>
      <c r="BO288" s="606">
        <f t="shared" si="366"/>
        <v>5576</v>
      </c>
      <c r="BP288" s="607">
        <f t="shared" si="367"/>
        <v>3478</v>
      </c>
      <c r="BQ288" s="606">
        <f t="shared" si="368"/>
        <v>3296</v>
      </c>
      <c r="BR288" s="607">
        <f t="shared" si="369"/>
        <v>3439</v>
      </c>
      <c r="BS288" s="606">
        <f t="shared" si="370"/>
        <v>3001</v>
      </c>
      <c r="BT288" s="607">
        <f t="shared" si="371"/>
        <v>58</v>
      </c>
      <c r="BU288" s="606">
        <f t="shared" si="372"/>
        <v>18</v>
      </c>
      <c r="BV288" s="607">
        <f t="shared" si="373"/>
        <v>3298</v>
      </c>
      <c r="BW288" s="608">
        <f t="shared" si="374"/>
        <v>3868</v>
      </c>
      <c r="BX288" s="607">
        <f t="shared" si="375"/>
        <v>0</v>
      </c>
      <c r="BY288" s="608">
        <f t="shared" si="376"/>
        <v>0</v>
      </c>
      <c r="BZ288" s="607">
        <f t="shared" si="377"/>
        <v>16042.424106371956</v>
      </c>
      <c r="CA288" s="608">
        <f t="shared" si="378"/>
        <v>15807.240225753227</v>
      </c>
      <c r="CB288" s="607">
        <f t="shared" si="379"/>
        <v>10554.893617021276</v>
      </c>
      <c r="CC288" s="608">
        <f t="shared" si="380"/>
        <v>10256.354656856796</v>
      </c>
      <c r="CD288" s="607">
        <f t="shared" si="381"/>
        <v>8877.9558011049721</v>
      </c>
      <c r="CE288" s="608">
        <f t="shared" si="382"/>
        <v>9024.8050537820727</v>
      </c>
      <c r="CF288" s="607">
        <f t="shared" si="383"/>
        <v>10887.793103448275</v>
      </c>
      <c r="CG288" s="608">
        <f t="shared" si="384"/>
        <v>9800</v>
      </c>
      <c r="CH288" s="607">
        <f t="shared" si="385"/>
        <v>7884.4875682231659</v>
      </c>
      <c r="CI288" s="608">
        <f t="shared" si="386"/>
        <v>7411.6578872802484</v>
      </c>
      <c r="CJ288" s="607">
        <f t="shared" si="387"/>
        <v>0</v>
      </c>
      <c r="CK288" s="608">
        <f t="shared" si="388"/>
        <v>0</v>
      </c>
      <c r="CL288" s="609">
        <f t="shared" si="389"/>
        <v>144381.81695734762</v>
      </c>
      <c r="CM288" s="608">
        <f t="shared" si="390"/>
        <v>142265.16203177904</v>
      </c>
      <c r="CN288" s="610">
        <f t="shared" si="391"/>
        <v>94994.042553191481</v>
      </c>
      <c r="CO288" s="606">
        <f t="shared" si="392"/>
        <v>92307.191911711168</v>
      </c>
      <c r="CP288" s="607">
        <f t="shared" si="393"/>
        <v>79901.602209944744</v>
      </c>
      <c r="CQ288" s="606">
        <f t="shared" si="394"/>
        <v>81223.245484038649</v>
      </c>
      <c r="CR288" s="607">
        <f t="shared" si="395"/>
        <v>97990.137931034478</v>
      </c>
      <c r="CS288" s="606">
        <f t="shared" si="396"/>
        <v>88200</v>
      </c>
      <c r="CT288" s="607">
        <f t="shared" si="397"/>
        <v>70960.3881140085</v>
      </c>
      <c r="CU288" s="608">
        <f t="shared" si="398"/>
        <v>66704.920985522229</v>
      </c>
      <c r="CV288" s="610">
        <f t="shared" si="399"/>
        <v>0</v>
      </c>
      <c r="CW288" s="608">
        <f t="shared" si="400"/>
        <v>0</v>
      </c>
      <c r="CX288" s="610">
        <f t="shared" si="401"/>
        <v>104970.14674445313</v>
      </c>
      <c r="CY288" s="611">
        <f t="shared" si="402"/>
        <v>102043.91605462994</v>
      </c>
      <c r="CZ288" s="605">
        <f t="shared" si="403"/>
        <v>615</v>
      </c>
      <c r="DA288" s="612">
        <f t="shared" si="404"/>
        <v>596</v>
      </c>
      <c r="DB288" s="607">
        <f t="shared" si="405"/>
        <v>366</v>
      </c>
      <c r="DC288" s="606">
        <f t="shared" si="406"/>
        <v>350</v>
      </c>
      <c r="DD288" s="607">
        <f t="shared" si="407"/>
        <v>361</v>
      </c>
      <c r="DE288" s="606">
        <f t="shared" si="408"/>
        <v>321</v>
      </c>
      <c r="DF288" s="607">
        <f t="shared" si="409"/>
        <v>6</v>
      </c>
      <c r="DG288" s="606">
        <f t="shared" si="410"/>
        <v>2</v>
      </c>
      <c r="DH288" s="607">
        <f t="shared" si="411"/>
        <v>338</v>
      </c>
      <c r="DI288" s="608">
        <f t="shared" si="412"/>
        <v>392</v>
      </c>
      <c r="DJ288" s="607">
        <f t="shared" si="413"/>
        <v>0</v>
      </c>
      <c r="DK288" s="608">
        <f t="shared" si="414"/>
        <v>0</v>
      </c>
      <c r="DL288" s="607">
        <f t="shared" si="415"/>
        <v>1686</v>
      </c>
      <c r="DM288" s="608">
        <f t="shared" si="416"/>
        <v>1661</v>
      </c>
      <c r="DN288" s="607">
        <f t="shared" si="417"/>
        <v>88794817.428768784</v>
      </c>
      <c r="DO288" s="612">
        <f t="shared" si="418"/>
        <v>84790036.570940301</v>
      </c>
      <c r="DP288" s="607">
        <f t="shared" si="419"/>
        <v>34767819.574468084</v>
      </c>
      <c r="DQ288" s="606">
        <f t="shared" si="420"/>
        <v>32307517.16909891</v>
      </c>
      <c r="DR288" s="607">
        <f t="shared" si="421"/>
        <v>28844478.397790052</v>
      </c>
      <c r="DS288" s="606">
        <f t="shared" si="422"/>
        <v>26072661.800376408</v>
      </c>
      <c r="DT288" s="607">
        <f t="shared" si="423"/>
        <v>587940.82758620684</v>
      </c>
      <c r="DU288" s="606">
        <f t="shared" si="424"/>
        <v>176400</v>
      </c>
      <c r="DV288" s="607">
        <f t="shared" si="425"/>
        <v>23984611.182534873</v>
      </c>
      <c r="DW288" s="608">
        <f t="shared" si="426"/>
        <v>26148329.026324715</v>
      </c>
      <c r="DX288" s="607">
        <f t="shared" si="427"/>
        <v>0</v>
      </c>
      <c r="DY288" s="608">
        <f t="shared" si="428"/>
        <v>0</v>
      </c>
      <c r="DZ288" s="607">
        <f t="shared" si="429"/>
        <v>176979667.41114798</v>
      </c>
      <c r="EA288" s="608">
        <f t="shared" si="430"/>
        <v>169494944.56674033</v>
      </c>
    </row>
    <row r="289" spans="1:131" x14ac:dyDescent="0.2">
      <c r="A289" s="333" t="s">
        <v>40</v>
      </c>
      <c r="B289" s="320" t="s">
        <v>352</v>
      </c>
      <c r="C289" s="324"/>
      <c r="D289" s="322">
        <v>199148</v>
      </c>
      <c r="E289" s="319">
        <v>1</v>
      </c>
      <c r="F289" s="598">
        <v>177</v>
      </c>
      <c r="G289" s="599">
        <v>150</v>
      </c>
      <c r="H289" s="600"/>
      <c r="I289" s="601"/>
      <c r="J289" s="600">
        <v>18</v>
      </c>
      <c r="K289" s="599">
        <v>11</v>
      </c>
      <c r="L289" s="600"/>
      <c r="M289" s="601"/>
      <c r="N289" s="600">
        <v>240</v>
      </c>
      <c r="O289" s="599">
        <v>245</v>
      </c>
      <c r="P289" s="600"/>
      <c r="Q289" s="601"/>
      <c r="R289" s="600">
        <v>8</v>
      </c>
      <c r="S289" s="599">
        <v>4</v>
      </c>
      <c r="T289" s="600"/>
      <c r="U289" s="601"/>
      <c r="V289" s="600">
        <v>133</v>
      </c>
      <c r="W289" s="599">
        <v>118</v>
      </c>
      <c r="X289" s="600"/>
      <c r="Y289" s="601"/>
      <c r="Z289" s="600">
        <v>2</v>
      </c>
      <c r="AA289" s="599">
        <v>1</v>
      </c>
      <c r="AB289" s="600"/>
      <c r="AC289" s="601"/>
      <c r="AD289" s="600">
        <v>43</v>
      </c>
      <c r="AE289" s="599">
        <v>54</v>
      </c>
      <c r="AF289" s="600"/>
      <c r="AG289" s="601"/>
      <c r="AH289" s="600">
        <v>12</v>
      </c>
      <c r="AI289" s="599">
        <v>12</v>
      </c>
      <c r="AJ289" s="600"/>
      <c r="AK289" s="601"/>
      <c r="AL289" s="600">
        <v>154</v>
      </c>
      <c r="AM289" s="599">
        <v>162</v>
      </c>
      <c r="AN289" s="600"/>
      <c r="AO289" s="601"/>
      <c r="AP289" s="600">
        <v>19</v>
      </c>
      <c r="AQ289" s="599">
        <v>26</v>
      </c>
      <c r="AR289" s="600"/>
      <c r="AS289" s="601"/>
      <c r="AT289" s="600"/>
      <c r="AU289" s="599"/>
      <c r="AV289" s="600"/>
      <c r="AW289" s="601"/>
      <c r="AX289" s="600"/>
      <c r="AY289" s="599"/>
      <c r="AZ289" s="600"/>
      <c r="BA289" s="601"/>
      <c r="BB289" s="602">
        <v>21618096</v>
      </c>
      <c r="BC289" s="599">
        <v>17796833.224599998</v>
      </c>
      <c r="BD289" s="600">
        <v>18824952</v>
      </c>
      <c r="BE289" s="599">
        <v>19281521.557599999</v>
      </c>
      <c r="BF289" s="600">
        <v>8555642</v>
      </c>
      <c r="BG289" s="599">
        <v>7892846.7407999998</v>
      </c>
      <c r="BH289" s="600">
        <v>3206099</v>
      </c>
      <c r="BI289" s="599">
        <v>3735822.6384000001</v>
      </c>
      <c r="BJ289" s="600">
        <v>7618612</v>
      </c>
      <c r="BK289" s="615">
        <v>8483091.9944000002</v>
      </c>
      <c r="BL289" s="600">
        <v>0</v>
      </c>
      <c r="BM289" s="604"/>
      <c r="BN289" s="605">
        <f t="shared" si="365"/>
        <v>1791</v>
      </c>
      <c r="BO289" s="606">
        <f t="shared" si="366"/>
        <v>1471</v>
      </c>
      <c r="BP289" s="607">
        <f t="shared" si="367"/>
        <v>2248</v>
      </c>
      <c r="BQ289" s="606">
        <f t="shared" si="368"/>
        <v>2249</v>
      </c>
      <c r="BR289" s="607">
        <f t="shared" si="369"/>
        <v>1219</v>
      </c>
      <c r="BS289" s="606">
        <f t="shared" si="370"/>
        <v>1073</v>
      </c>
      <c r="BT289" s="607">
        <f t="shared" si="371"/>
        <v>519</v>
      </c>
      <c r="BU289" s="606">
        <f t="shared" si="372"/>
        <v>618</v>
      </c>
      <c r="BV289" s="607">
        <f t="shared" si="373"/>
        <v>1595</v>
      </c>
      <c r="BW289" s="608">
        <f t="shared" si="374"/>
        <v>1744</v>
      </c>
      <c r="BX289" s="607">
        <f t="shared" si="375"/>
        <v>0</v>
      </c>
      <c r="BY289" s="608">
        <f t="shared" si="376"/>
        <v>0</v>
      </c>
      <c r="BZ289" s="607">
        <f t="shared" si="377"/>
        <v>12070.405360134004</v>
      </c>
      <c r="CA289" s="608">
        <f t="shared" si="378"/>
        <v>12098.459024201222</v>
      </c>
      <c r="CB289" s="607">
        <f t="shared" si="379"/>
        <v>8374.088967971531</v>
      </c>
      <c r="CC289" s="608">
        <f t="shared" si="380"/>
        <v>8573.3755258337042</v>
      </c>
      <c r="CD289" s="607">
        <f t="shared" si="381"/>
        <v>7018.5742411812962</v>
      </c>
      <c r="CE289" s="608">
        <f t="shared" si="382"/>
        <v>7355.8683511649579</v>
      </c>
      <c r="CF289" s="607">
        <f t="shared" si="383"/>
        <v>6177.4547206165707</v>
      </c>
      <c r="CG289" s="608">
        <f t="shared" si="384"/>
        <v>6045.0204504854373</v>
      </c>
      <c r="CH289" s="607">
        <f t="shared" si="385"/>
        <v>4776.5592476489028</v>
      </c>
      <c r="CI289" s="608">
        <f t="shared" si="386"/>
        <v>4864.1582536697251</v>
      </c>
      <c r="CJ289" s="607">
        <f t="shared" si="387"/>
        <v>0</v>
      </c>
      <c r="CK289" s="608">
        <f t="shared" si="388"/>
        <v>0</v>
      </c>
      <c r="CL289" s="609">
        <f t="shared" si="389"/>
        <v>108633.64824120603</v>
      </c>
      <c r="CM289" s="608">
        <f t="shared" si="390"/>
        <v>108886.13121781099</v>
      </c>
      <c r="CN289" s="610">
        <f t="shared" si="391"/>
        <v>75366.800711743781</v>
      </c>
      <c r="CO289" s="606">
        <f t="shared" si="392"/>
        <v>77160.379732503337</v>
      </c>
      <c r="CP289" s="607">
        <f t="shared" si="393"/>
        <v>63167.168170631667</v>
      </c>
      <c r="CQ289" s="606">
        <f t="shared" si="394"/>
        <v>66202.815160484621</v>
      </c>
      <c r="CR289" s="607">
        <f t="shared" si="395"/>
        <v>55597.092485549139</v>
      </c>
      <c r="CS289" s="606">
        <f t="shared" si="396"/>
        <v>54405.184054368932</v>
      </c>
      <c r="CT289" s="607">
        <f t="shared" si="397"/>
        <v>42989.033228840126</v>
      </c>
      <c r="CU289" s="608">
        <f t="shared" si="398"/>
        <v>43777.424283027525</v>
      </c>
      <c r="CV289" s="610">
        <f t="shared" si="399"/>
        <v>0</v>
      </c>
      <c r="CW289" s="608">
        <f t="shared" si="400"/>
        <v>0</v>
      </c>
      <c r="CX289" s="610">
        <f t="shared" si="401"/>
        <v>73073.248786448443</v>
      </c>
      <c r="CY289" s="611">
        <f t="shared" si="402"/>
        <v>72085.101655627193</v>
      </c>
      <c r="CZ289" s="605">
        <f t="shared" si="403"/>
        <v>195</v>
      </c>
      <c r="DA289" s="612">
        <f t="shared" si="404"/>
        <v>161</v>
      </c>
      <c r="DB289" s="607">
        <f t="shared" si="405"/>
        <v>248</v>
      </c>
      <c r="DC289" s="606">
        <f t="shared" si="406"/>
        <v>249</v>
      </c>
      <c r="DD289" s="607">
        <f t="shared" si="407"/>
        <v>135</v>
      </c>
      <c r="DE289" s="606">
        <f t="shared" si="408"/>
        <v>119</v>
      </c>
      <c r="DF289" s="607">
        <f t="shared" si="409"/>
        <v>55</v>
      </c>
      <c r="DG289" s="606">
        <f t="shared" si="410"/>
        <v>66</v>
      </c>
      <c r="DH289" s="607">
        <f t="shared" si="411"/>
        <v>173</v>
      </c>
      <c r="DI289" s="608">
        <f t="shared" si="412"/>
        <v>188</v>
      </c>
      <c r="DJ289" s="607">
        <f t="shared" si="413"/>
        <v>0</v>
      </c>
      <c r="DK289" s="608">
        <f t="shared" si="414"/>
        <v>0</v>
      </c>
      <c r="DL289" s="607">
        <f t="shared" si="415"/>
        <v>806</v>
      </c>
      <c r="DM289" s="608">
        <f t="shared" si="416"/>
        <v>783</v>
      </c>
      <c r="DN289" s="607">
        <f t="shared" si="417"/>
        <v>21183561.407035176</v>
      </c>
      <c r="DO289" s="612">
        <f t="shared" si="418"/>
        <v>17530667.126067571</v>
      </c>
      <c r="DP289" s="607">
        <f t="shared" si="419"/>
        <v>18690966.576512456</v>
      </c>
      <c r="DQ289" s="606">
        <f t="shared" si="420"/>
        <v>19212934.55339333</v>
      </c>
      <c r="DR289" s="607">
        <f t="shared" si="421"/>
        <v>8527567.7030352745</v>
      </c>
      <c r="DS289" s="606">
        <f t="shared" si="422"/>
        <v>7878135.0040976703</v>
      </c>
      <c r="DT289" s="607">
        <f t="shared" si="423"/>
        <v>3057840.0867052027</v>
      </c>
      <c r="DU289" s="606">
        <f t="shared" si="424"/>
        <v>3590742.1475883494</v>
      </c>
      <c r="DV289" s="607">
        <f t="shared" si="425"/>
        <v>7437102.7485893415</v>
      </c>
      <c r="DW289" s="608">
        <f t="shared" si="426"/>
        <v>8230155.7652091747</v>
      </c>
      <c r="DX289" s="607">
        <f t="shared" si="427"/>
        <v>0</v>
      </c>
      <c r="DY289" s="608">
        <f t="shared" si="428"/>
        <v>0</v>
      </c>
      <c r="DZ289" s="607">
        <f t="shared" si="429"/>
        <v>58897038.521877445</v>
      </c>
      <c r="EA289" s="608">
        <f t="shared" si="430"/>
        <v>56442634.596356094</v>
      </c>
    </row>
    <row r="290" spans="1:131" x14ac:dyDescent="0.2">
      <c r="A290" s="317" t="s">
        <v>40</v>
      </c>
      <c r="B290" s="320" t="s">
        <v>355</v>
      </c>
      <c r="C290" s="324" t="s">
        <v>366</v>
      </c>
      <c r="D290" s="322">
        <v>198464</v>
      </c>
      <c r="E290" s="325">
        <v>2</v>
      </c>
      <c r="F290" s="598">
        <v>170</v>
      </c>
      <c r="G290" s="599">
        <v>159</v>
      </c>
      <c r="H290" s="600"/>
      <c r="I290" s="601"/>
      <c r="J290" s="600">
        <v>56</v>
      </c>
      <c r="K290" s="599">
        <v>54</v>
      </c>
      <c r="L290" s="600"/>
      <c r="M290" s="601"/>
      <c r="N290" s="600">
        <v>346</v>
      </c>
      <c r="O290" s="599">
        <v>342</v>
      </c>
      <c r="P290" s="600"/>
      <c r="Q290" s="601"/>
      <c r="R290" s="600">
        <v>53</v>
      </c>
      <c r="S290" s="599">
        <v>64</v>
      </c>
      <c r="T290" s="600"/>
      <c r="U290" s="601"/>
      <c r="V290" s="600">
        <v>250</v>
      </c>
      <c r="W290" s="599">
        <v>238</v>
      </c>
      <c r="X290" s="600"/>
      <c r="Y290" s="601"/>
      <c r="Z290" s="600">
        <v>24</v>
      </c>
      <c r="AA290" s="599">
        <v>33</v>
      </c>
      <c r="AB290" s="600"/>
      <c r="AC290" s="601"/>
      <c r="AD290" s="600">
        <v>7</v>
      </c>
      <c r="AE290" s="599">
        <v>7</v>
      </c>
      <c r="AF290" s="600"/>
      <c r="AG290" s="601"/>
      <c r="AH290" s="600">
        <v>1</v>
      </c>
      <c r="AI290" s="599">
        <v>1</v>
      </c>
      <c r="AJ290" s="600"/>
      <c r="AK290" s="601"/>
      <c r="AL290" s="600">
        <v>246</v>
      </c>
      <c r="AM290" s="599">
        <v>249</v>
      </c>
      <c r="AN290" s="600"/>
      <c r="AO290" s="601"/>
      <c r="AP290" s="600">
        <v>44</v>
      </c>
      <c r="AQ290" s="599">
        <v>51</v>
      </c>
      <c r="AR290" s="600"/>
      <c r="AS290" s="601"/>
      <c r="AT290" s="600"/>
      <c r="AU290" s="599"/>
      <c r="AV290" s="600"/>
      <c r="AW290" s="601"/>
      <c r="AX290" s="600"/>
      <c r="AY290" s="599"/>
      <c r="AZ290" s="600"/>
      <c r="BA290" s="601"/>
      <c r="BB290" s="602">
        <v>22907604</v>
      </c>
      <c r="BC290" s="599">
        <v>20664138.573600002</v>
      </c>
      <c r="BD290" s="600">
        <v>30801228</v>
      </c>
      <c r="BE290" s="599">
        <v>30776239.500799999</v>
      </c>
      <c r="BF290" s="600">
        <v>18616576</v>
      </c>
      <c r="BG290" s="599">
        <v>18111409.856400002</v>
      </c>
      <c r="BH290" s="600">
        <v>543479</v>
      </c>
      <c r="BI290" s="599">
        <v>508113.9056</v>
      </c>
      <c r="BJ290" s="600">
        <v>15406254</v>
      </c>
      <c r="BK290" s="615">
        <v>15811814.046</v>
      </c>
      <c r="BL290" s="600">
        <v>0</v>
      </c>
      <c r="BM290" s="604"/>
      <c r="BN290" s="605">
        <f t="shared" si="365"/>
        <v>2146</v>
      </c>
      <c r="BO290" s="606">
        <f t="shared" si="366"/>
        <v>2025</v>
      </c>
      <c r="BP290" s="607">
        <f t="shared" si="367"/>
        <v>3697</v>
      </c>
      <c r="BQ290" s="606">
        <f t="shared" si="368"/>
        <v>3782</v>
      </c>
      <c r="BR290" s="607">
        <f t="shared" si="369"/>
        <v>2514</v>
      </c>
      <c r="BS290" s="606">
        <f t="shared" si="370"/>
        <v>2505</v>
      </c>
      <c r="BT290" s="607">
        <f t="shared" si="371"/>
        <v>74</v>
      </c>
      <c r="BU290" s="606">
        <f t="shared" si="372"/>
        <v>74</v>
      </c>
      <c r="BV290" s="607">
        <f t="shared" si="373"/>
        <v>2698</v>
      </c>
      <c r="BW290" s="608">
        <f t="shared" si="374"/>
        <v>2802</v>
      </c>
      <c r="BX290" s="607">
        <f t="shared" si="375"/>
        <v>0</v>
      </c>
      <c r="BY290" s="608">
        <f t="shared" si="376"/>
        <v>0</v>
      </c>
      <c r="BZ290" s="607">
        <f t="shared" si="377"/>
        <v>10674.559179869524</v>
      </c>
      <c r="CA290" s="608">
        <f t="shared" si="378"/>
        <v>10204.512875851853</v>
      </c>
      <c r="CB290" s="607">
        <f t="shared" si="379"/>
        <v>8331.4114146605352</v>
      </c>
      <c r="CC290" s="608">
        <f t="shared" si="380"/>
        <v>8137.5567162347961</v>
      </c>
      <c r="CD290" s="607">
        <f t="shared" si="381"/>
        <v>7405.161495624503</v>
      </c>
      <c r="CE290" s="608">
        <f t="shared" si="382"/>
        <v>7230.1037350898214</v>
      </c>
      <c r="CF290" s="607">
        <f t="shared" si="383"/>
        <v>7344.3108108108108</v>
      </c>
      <c r="CG290" s="608">
        <f t="shared" si="384"/>
        <v>6866.4041297297299</v>
      </c>
      <c r="CH290" s="607">
        <f t="shared" si="385"/>
        <v>5710.2498146775388</v>
      </c>
      <c r="CI290" s="608">
        <f t="shared" si="386"/>
        <v>5643.045698072805</v>
      </c>
      <c r="CJ290" s="607">
        <f t="shared" si="387"/>
        <v>0</v>
      </c>
      <c r="CK290" s="608">
        <f t="shared" si="388"/>
        <v>0</v>
      </c>
      <c r="CL290" s="609">
        <f t="shared" si="389"/>
        <v>96071.032618825717</v>
      </c>
      <c r="CM290" s="608">
        <f t="shared" si="390"/>
        <v>91840.61588266668</v>
      </c>
      <c r="CN290" s="610">
        <f t="shared" si="391"/>
        <v>74982.702731944824</v>
      </c>
      <c r="CO290" s="606">
        <f t="shared" si="392"/>
        <v>73238.01044611317</v>
      </c>
      <c r="CP290" s="607">
        <f t="shared" si="393"/>
        <v>66646.453460620527</v>
      </c>
      <c r="CQ290" s="606">
        <f t="shared" si="394"/>
        <v>65070.93361580839</v>
      </c>
      <c r="CR290" s="607">
        <f t="shared" si="395"/>
        <v>66098.797297297293</v>
      </c>
      <c r="CS290" s="606">
        <f t="shared" si="396"/>
        <v>61797.637167567569</v>
      </c>
      <c r="CT290" s="607">
        <f t="shared" si="397"/>
        <v>51392.24833209785</v>
      </c>
      <c r="CU290" s="608">
        <f t="shared" si="398"/>
        <v>50787.411282655245</v>
      </c>
      <c r="CV290" s="610">
        <f t="shared" si="399"/>
        <v>0</v>
      </c>
      <c r="CW290" s="608">
        <f t="shared" si="400"/>
        <v>0</v>
      </c>
      <c r="CX290" s="610">
        <f t="shared" si="401"/>
        <v>71281.388809354539</v>
      </c>
      <c r="CY290" s="611">
        <f t="shared" si="402"/>
        <v>68999.591749708794</v>
      </c>
      <c r="CZ290" s="605">
        <f t="shared" si="403"/>
        <v>226</v>
      </c>
      <c r="DA290" s="612">
        <f t="shared" si="404"/>
        <v>213</v>
      </c>
      <c r="DB290" s="607">
        <f t="shared" si="405"/>
        <v>399</v>
      </c>
      <c r="DC290" s="606">
        <f t="shared" si="406"/>
        <v>406</v>
      </c>
      <c r="DD290" s="607">
        <f t="shared" si="407"/>
        <v>274</v>
      </c>
      <c r="DE290" s="606">
        <f t="shared" si="408"/>
        <v>271</v>
      </c>
      <c r="DF290" s="607">
        <f t="shared" si="409"/>
        <v>8</v>
      </c>
      <c r="DG290" s="606">
        <f t="shared" si="410"/>
        <v>8</v>
      </c>
      <c r="DH290" s="607">
        <f t="shared" si="411"/>
        <v>290</v>
      </c>
      <c r="DI290" s="608">
        <f t="shared" si="412"/>
        <v>300</v>
      </c>
      <c r="DJ290" s="607">
        <f t="shared" si="413"/>
        <v>0</v>
      </c>
      <c r="DK290" s="608">
        <f t="shared" si="414"/>
        <v>0</v>
      </c>
      <c r="DL290" s="607">
        <f t="shared" si="415"/>
        <v>1197</v>
      </c>
      <c r="DM290" s="608">
        <f t="shared" si="416"/>
        <v>1198</v>
      </c>
      <c r="DN290" s="607">
        <f t="shared" si="417"/>
        <v>21712053.371854611</v>
      </c>
      <c r="DO290" s="612">
        <f t="shared" si="418"/>
        <v>19562051.183008004</v>
      </c>
      <c r="DP290" s="607">
        <f t="shared" si="419"/>
        <v>29918098.390045986</v>
      </c>
      <c r="DQ290" s="606">
        <f t="shared" si="420"/>
        <v>29734632.241121948</v>
      </c>
      <c r="DR290" s="607">
        <f t="shared" si="421"/>
        <v>18261128.248210024</v>
      </c>
      <c r="DS290" s="606">
        <f t="shared" si="422"/>
        <v>17634223.009884074</v>
      </c>
      <c r="DT290" s="607">
        <f t="shared" si="423"/>
        <v>528790.37837837834</v>
      </c>
      <c r="DU290" s="606">
        <f t="shared" si="424"/>
        <v>494381.09734054055</v>
      </c>
      <c r="DV290" s="607">
        <f t="shared" si="425"/>
        <v>14903752.016308377</v>
      </c>
      <c r="DW290" s="608">
        <f t="shared" si="426"/>
        <v>15236223.384796573</v>
      </c>
      <c r="DX290" s="607">
        <f t="shared" si="427"/>
        <v>0</v>
      </c>
      <c r="DY290" s="608">
        <f t="shared" si="428"/>
        <v>0</v>
      </c>
      <c r="DZ290" s="607">
        <f t="shared" si="429"/>
        <v>85323822.40479739</v>
      </c>
      <c r="EA290" s="608">
        <f t="shared" si="430"/>
        <v>82661510.916151136</v>
      </c>
    </row>
    <row r="291" spans="1:131" x14ac:dyDescent="0.2">
      <c r="A291" s="317" t="s">
        <v>40</v>
      </c>
      <c r="B291" s="318" t="s">
        <v>353</v>
      </c>
      <c r="C291" s="321" t="s">
        <v>365</v>
      </c>
      <c r="D291" s="322">
        <v>199139</v>
      </c>
      <c r="E291" s="323">
        <v>2</v>
      </c>
      <c r="F291" s="598">
        <v>190</v>
      </c>
      <c r="G291" s="599">
        <v>185</v>
      </c>
      <c r="H291" s="600"/>
      <c r="I291" s="601"/>
      <c r="J291" s="600">
        <v>24</v>
      </c>
      <c r="K291" s="599">
        <v>7</v>
      </c>
      <c r="L291" s="600"/>
      <c r="M291" s="601"/>
      <c r="N291" s="600">
        <v>294</v>
      </c>
      <c r="O291" s="599">
        <v>307</v>
      </c>
      <c r="P291" s="600"/>
      <c r="Q291" s="601"/>
      <c r="R291" s="600">
        <v>10</v>
      </c>
      <c r="S291" s="599">
        <v>3</v>
      </c>
      <c r="T291" s="600"/>
      <c r="U291" s="601"/>
      <c r="V291" s="600">
        <v>214</v>
      </c>
      <c r="W291" s="599">
        <v>182</v>
      </c>
      <c r="X291" s="600"/>
      <c r="Y291" s="601"/>
      <c r="Z291" s="600">
        <v>0</v>
      </c>
      <c r="AA291" s="599"/>
      <c r="AB291" s="600"/>
      <c r="AC291" s="601"/>
      <c r="AD291" s="600">
        <v>0</v>
      </c>
      <c r="AE291" s="599"/>
      <c r="AF291" s="600"/>
      <c r="AG291" s="601"/>
      <c r="AH291" s="600">
        <v>0</v>
      </c>
      <c r="AI291" s="599"/>
      <c r="AJ291" s="600"/>
      <c r="AK291" s="601"/>
      <c r="AL291" s="600">
        <v>200</v>
      </c>
      <c r="AM291" s="599">
        <v>214</v>
      </c>
      <c r="AN291" s="600"/>
      <c r="AO291" s="601"/>
      <c r="AP291" s="600">
        <v>39</v>
      </c>
      <c r="AQ291" s="599">
        <v>54</v>
      </c>
      <c r="AR291" s="600"/>
      <c r="AS291" s="601"/>
      <c r="AT291" s="600"/>
      <c r="AU291" s="599"/>
      <c r="AV291" s="600"/>
      <c r="AW291" s="601"/>
      <c r="AX291" s="600"/>
      <c r="AY291" s="599"/>
      <c r="AZ291" s="600"/>
      <c r="BA291" s="601"/>
      <c r="BB291" s="602">
        <v>24694522</v>
      </c>
      <c r="BC291" s="599">
        <v>22209823.797200002</v>
      </c>
      <c r="BD291" s="600">
        <v>24332430</v>
      </c>
      <c r="BE291" s="599">
        <v>24955822.353399999</v>
      </c>
      <c r="BF291" s="600">
        <v>14954962</v>
      </c>
      <c r="BG291" s="599">
        <v>13290732</v>
      </c>
      <c r="BH291" s="600"/>
      <c r="BI291" s="599">
        <v>0</v>
      </c>
      <c r="BJ291" s="600">
        <v>12429283</v>
      </c>
      <c r="BK291" s="615">
        <v>13669047.7664</v>
      </c>
      <c r="BL291" s="600">
        <v>0</v>
      </c>
      <c r="BM291" s="604"/>
      <c r="BN291" s="605">
        <f t="shared" si="365"/>
        <v>1974</v>
      </c>
      <c r="BO291" s="606">
        <f t="shared" si="366"/>
        <v>1742</v>
      </c>
      <c r="BP291" s="607">
        <f t="shared" si="367"/>
        <v>2756</v>
      </c>
      <c r="BQ291" s="606">
        <f t="shared" si="368"/>
        <v>2796</v>
      </c>
      <c r="BR291" s="607">
        <f t="shared" si="369"/>
        <v>1926</v>
      </c>
      <c r="BS291" s="606">
        <f t="shared" si="370"/>
        <v>1638</v>
      </c>
      <c r="BT291" s="607">
        <f t="shared" si="371"/>
        <v>0</v>
      </c>
      <c r="BU291" s="606">
        <f t="shared" si="372"/>
        <v>0</v>
      </c>
      <c r="BV291" s="607">
        <f t="shared" si="373"/>
        <v>2229</v>
      </c>
      <c r="BW291" s="608">
        <f t="shared" si="374"/>
        <v>2520</v>
      </c>
      <c r="BX291" s="607">
        <f t="shared" si="375"/>
        <v>0</v>
      </c>
      <c r="BY291" s="608">
        <f t="shared" si="376"/>
        <v>0</v>
      </c>
      <c r="BZ291" s="607">
        <f t="shared" si="377"/>
        <v>12509.889564336372</v>
      </c>
      <c r="CA291" s="608">
        <f t="shared" si="378"/>
        <v>12749.611823880598</v>
      </c>
      <c r="CB291" s="607">
        <f t="shared" si="379"/>
        <v>8828.893323657474</v>
      </c>
      <c r="CC291" s="608">
        <f t="shared" si="380"/>
        <v>8925.5444754649488</v>
      </c>
      <c r="CD291" s="607">
        <f t="shared" si="381"/>
        <v>7764.7777777777774</v>
      </c>
      <c r="CE291" s="608">
        <f t="shared" si="382"/>
        <v>8114</v>
      </c>
      <c r="CF291" s="607">
        <f t="shared" si="383"/>
        <v>0</v>
      </c>
      <c r="CG291" s="608">
        <f t="shared" si="384"/>
        <v>0</v>
      </c>
      <c r="CH291" s="607">
        <f t="shared" si="385"/>
        <v>5576.1700314042173</v>
      </c>
      <c r="CI291" s="608">
        <f t="shared" si="386"/>
        <v>5424.2253041269842</v>
      </c>
      <c r="CJ291" s="607">
        <f t="shared" si="387"/>
        <v>0</v>
      </c>
      <c r="CK291" s="608">
        <f t="shared" si="388"/>
        <v>0</v>
      </c>
      <c r="CL291" s="609">
        <f t="shared" si="389"/>
        <v>112589.00607902734</v>
      </c>
      <c r="CM291" s="608">
        <f t="shared" si="390"/>
        <v>114746.50641492537</v>
      </c>
      <c r="CN291" s="610">
        <f t="shared" si="391"/>
        <v>79460.039912917273</v>
      </c>
      <c r="CO291" s="606">
        <f t="shared" si="392"/>
        <v>80329.900279184541</v>
      </c>
      <c r="CP291" s="607">
        <f t="shared" si="393"/>
        <v>69883</v>
      </c>
      <c r="CQ291" s="606">
        <f t="shared" si="394"/>
        <v>73026</v>
      </c>
      <c r="CR291" s="607">
        <f t="shared" si="395"/>
        <v>0</v>
      </c>
      <c r="CS291" s="606">
        <f t="shared" si="396"/>
        <v>0</v>
      </c>
      <c r="CT291" s="607">
        <f t="shared" si="397"/>
        <v>50185.530282637956</v>
      </c>
      <c r="CU291" s="608">
        <f t="shared" si="398"/>
        <v>48818.02773714286</v>
      </c>
      <c r="CV291" s="610">
        <f t="shared" si="399"/>
        <v>0</v>
      </c>
      <c r="CW291" s="608">
        <f t="shared" si="400"/>
        <v>0</v>
      </c>
      <c r="CX291" s="610">
        <f t="shared" si="401"/>
        <v>77445.111402666502</v>
      </c>
      <c r="CY291" s="611">
        <f t="shared" si="402"/>
        <v>77003.741335889892</v>
      </c>
      <c r="CZ291" s="605">
        <f t="shared" si="403"/>
        <v>214</v>
      </c>
      <c r="DA291" s="612">
        <f t="shared" si="404"/>
        <v>192</v>
      </c>
      <c r="DB291" s="607">
        <f t="shared" si="405"/>
        <v>304</v>
      </c>
      <c r="DC291" s="606">
        <f t="shared" si="406"/>
        <v>310</v>
      </c>
      <c r="DD291" s="607">
        <f t="shared" si="407"/>
        <v>214</v>
      </c>
      <c r="DE291" s="606">
        <f t="shared" si="408"/>
        <v>182</v>
      </c>
      <c r="DF291" s="607">
        <f t="shared" si="409"/>
        <v>0</v>
      </c>
      <c r="DG291" s="606">
        <f t="shared" si="410"/>
        <v>0</v>
      </c>
      <c r="DH291" s="607">
        <f t="shared" si="411"/>
        <v>239</v>
      </c>
      <c r="DI291" s="608">
        <f t="shared" si="412"/>
        <v>268</v>
      </c>
      <c r="DJ291" s="607">
        <f t="shared" si="413"/>
        <v>0</v>
      </c>
      <c r="DK291" s="608">
        <f t="shared" si="414"/>
        <v>0</v>
      </c>
      <c r="DL291" s="607">
        <f t="shared" si="415"/>
        <v>971</v>
      </c>
      <c r="DM291" s="608">
        <f t="shared" si="416"/>
        <v>952</v>
      </c>
      <c r="DN291" s="607">
        <f t="shared" si="417"/>
        <v>24094047.300911851</v>
      </c>
      <c r="DO291" s="612">
        <f t="shared" si="418"/>
        <v>22031329.231665671</v>
      </c>
      <c r="DP291" s="607">
        <f t="shared" si="419"/>
        <v>24155852.13352685</v>
      </c>
      <c r="DQ291" s="606">
        <f t="shared" si="420"/>
        <v>24902269.086547207</v>
      </c>
      <c r="DR291" s="607">
        <f t="shared" si="421"/>
        <v>14954962</v>
      </c>
      <c r="DS291" s="606">
        <f t="shared" si="422"/>
        <v>13290732</v>
      </c>
      <c r="DT291" s="607">
        <f t="shared" si="423"/>
        <v>0</v>
      </c>
      <c r="DU291" s="606">
        <f t="shared" si="424"/>
        <v>0</v>
      </c>
      <c r="DV291" s="607">
        <f t="shared" si="425"/>
        <v>11994341.737550471</v>
      </c>
      <c r="DW291" s="608">
        <f t="shared" si="426"/>
        <v>13083231.433554286</v>
      </c>
      <c r="DX291" s="607">
        <f t="shared" si="427"/>
        <v>0</v>
      </c>
      <c r="DY291" s="608">
        <f t="shared" si="428"/>
        <v>0</v>
      </c>
      <c r="DZ291" s="607">
        <f t="shared" si="429"/>
        <v>75199203.171989173</v>
      </c>
      <c r="EA291" s="608">
        <f t="shared" si="430"/>
        <v>73307561.751767173</v>
      </c>
    </row>
    <row r="292" spans="1:131" x14ac:dyDescent="0.2">
      <c r="A292" s="317" t="s">
        <v>40</v>
      </c>
      <c r="B292" s="318" t="s">
        <v>354</v>
      </c>
      <c r="C292" s="321"/>
      <c r="D292" s="322">
        <v>197869</v>
      </c>
      <c r="E292" s="323">
        <v>3</v>
      </c>
      <c r="F292" s="598">
        <v>267</v>
      </c>
      <c r="G292" s="599">
        <v>273</v>
      </c>
      <c r="H292" s="600"/>
      <c r="I292" s="601"/>
      <c r="J292" s="600">
        <v>4</v>
      </c>
      <c r="K292" s="599">
        <v>4</v>
      </c>
      <c r="L292" s="600"/>
      <c r="M292" s="601"/>
      <c r="N292" s="600">
        <v>205</v>
      </c>
      <c r="O292" s="599">
        <v>202</v>
      </c>
      <c r="P292" s="600"/>
      <c r="Q292" s="601"/>
      <c r="R292" s="600">
        <v>2</v>
      </c>
      <c r="S292" s="599">
        <v>1</v>
      </c>
      <c r="T292" s="600"/>
      <c r="U292" s="601"/>
      <c r="V292" s="600">
        <v>219</v>
      </c>
      <c r="W292" s="599">
        <v>217</v>
      </c>
      <c r="X292" s="600"/>
      <c r="Y292" s="601"/>
      <c r="Z292" s="600">
        <v>1</v>
      </c>
      <c r="AA292" s="599">
        <v>1</v>
      </c>
      <c r="AB292" s="600"/>
      <c r="AC292" s="601"/>
      <c r="AD292" s="600">
        <v>12</v>
      </c>
      <c r="AE292" s="599">
        <v>7</v>
      </c>
      <c r="AF292" s="600"/>
      <c r="AG292" s="601"/>
      <c r="AH292" s="600">
        <v>0</v>
      </c>
      <c r="AI292" s="599"/>
      <c r="AJ292" s="600"/>
      <c r="AK292" s="601"/>
      <c r="AL292" s="600">
        <v>153</v>
      </c>
      <c r="AM292" s="599">
        <v>188</v>
      </c>
      <c r="AN292" s="600"/>
      <c r="AO292" s="601"/>
      <c r="AP292" s="600">
        <v>8</v>
      </c>
      <c r="AQ292" s="599">
        <v>8</v>
      </c>
      <c r="AR292" s="600"/>
      <c r="AS292" s="601"/>
      <c r="AT292" s="600"/>
      <c r="AU292" s="599"/>
      <c r="AV292" s="600"/>
      <c r="AW292" s="601"/>
      <c r="AX292" s="600"/>
      <c r="AY292" s="599"/>
      <c r="AZ292" s="600"/>
      <c r="BA292" s="601"/>
      <c r="BB292" s="602">
        <v>24277160</v>
      </c>
      <c r="BC292" s="599">
        <v>25076820.835200001</v>
      </c>
      <c r="BD292" s="600">
        <v>14562275</v>
      </c>
      <c r="BE292" s="599">
        <v>14567935.462200001</v>
      </c>
      <c r="BF292" s="600">
        <v>13311874</v>
      </c>
      <c r="BG292" s="599">
        <v>13561595.1138</v>
      </c>
      <c r="BH292" s="600">
        <v>696792</v>
      </c>
      <c r="BI292" s="599">
        <v>427371</v>
      </c>
      <c r="BJ292" s="600">
        <v>6740895</v>
      </c>
      <c r="BK292" s="615">
        <v>8534191.0304000005</v>
      </c>
      <c r="BL292" s="600">
        <v>0</v>
      </c>
      <c r="BM292" s="604"/>
      <c r="BN292" s="605">
        <f t="shared" si="365"/>
        <v>2447</v>
      </c>
      <c r="BO292" s="606">
        <f t="shared" si="366"/>
        <v>2501</v>
      </c>
      <c r="BP292" s="607">
        <f t="shared" si="367"/>
        <v>1867</v>
      </c>
      <c r="BQ292" s="606">
        <f t="shared" si="368"/>
        <v>1829</v>
      </c>
      <c r="BR292" s="607">
        <f t="shared" si="369"/>
        <v>1982</v>
      </c>
      <c r="BS292" s="606">
        <f t="shared" si="370"/>
        <v>1964</v>
      </c>
      <c r="BT292" s="607">
        <f t="shared" si="371"/>
        <v>108</v>
      </c>
      <c r="BU292" s="606">
        <f t="shared" si="372"/>
        <v>63</v>
      </c>
      <c r="BV292" s="607">
        <f t="shared" si="373"/>
        <v>1465</v>
      </c>
      <c r="BW292" s="608">
        <f t="shared" si="374"/>
        <v>1780</v>
      </c>
      <c r="BX292" s="607">
        <f t="shared" si="375"/>
        <v>0</v>
      </c>
      <c r="BY292" s="608">
        <f t="shared" si="376"/>
        <v>0</v>
      </c>
      <c r="BZ292" s="607">
        <f t="shared" si="377"/>
        <v>9921.1932979158155</v>
      </c>
      <c r="CA292" s="608">
        <f t="shared" si="378"/>
        <v>10026.717647021193</v>
      </c>
      <c r="CB292" s="607">
        <f t="shared" si="379"/>
        <v>7799.8259239421532</v>
      </c>
      <c r="CC292" s="608">
        <f t="shared" si="380"/>
        <v>7964.9729153635872</v>
      </c>
      <c r="CD292" s="607">
        <f t="shared" si="381"/>
        <v>6716.3844601412711</v>
      </c>
      <c r="CE292" s="608">
        <f t="shared" si="382"/>
        <v>6905.0891618126279</v>
      </c>
      <c r="CF292" s="607">
        <f t="shared" si="383"/>
        <v>6451.7777777777774</v>
      </c>
      <c r="CG292" s="608">
        <f t="shared" si="384"/>
        <v>6783.666666666667</v>
      </c>
      <c r="CH292" s="607">
        <f t="shared" si="385"/>
        <v>4601.2935153583621</v>
      </c>
      <c r="CI292" s="608">
        <f t="shared" si="386"/>
        <v>4794.4893429213489</v>
      </c>
      <c r="CJ292" s="607">
        <f t="shared" si="387"/>
        <v>0</v>
      </c>
      <c r="CK292" s="608">
        <f t="shared" si="388"/>
        <v>0</v>
      </c>
      <c r="CL292" s="609">
        <f t="shared" si="389"/>
        <v>89290.739681242339</v>
      </c>
      <c r="CM292" s="608">
        <f t="shared" si="390"/>
        <v>90240.45882319074</v>
      </c>
      <c r="CN292" s="610">
        <f t="shared" si="391"/>
        <v>70198.433315479371</v>
      </c>
      <c r="CO292" s="606">
        <f t="shared" si="392"/>
        <v>71684.756238272283</v>
      </c>
      <c r="CP292" s="607">
        <f t="shared" si="393"/>
        <v>60447.46014127144</v>
      </c>
      <c r="CQ292" s="606">
        <f t="shared" si="394"/>
        <v>62145.80245631365</v>
      </c>
      <c r="CR292" s="607">
        <f t="shared" si="395"/>
        <v>58066</v>
      </c>
      <c r="CS292" s="606">
        <f t="shared" si="396"/>
        <v>61053</v>
      </c>
      <c r="CT292" s="607">
        <f t="shared" si="397"/>
        <v>41411.641638225257</v>
      </c>
      <c r="CU292" s="608">
        <f t="shared" si="398"/>
        <v>43150.404086292139</v>
      </c>
      <c r="CV292" s="610">
        <f t="shared" si="399"/>
        <v>0</v>
      </c>
      <c r="CW292" s="608">
        <f t="shared" si="400"/>
        <v>0</v>
      </c>
      <c r="CX292" s="610">
        <f t="shared" si="401"/>
        <v>68187.570246561299</v>
      </c>
      <c r="CY292" s="611">
        <f t="shared" si="402"/>
        <v>68791.617920957535</v>
      </c>
      <c r="CZ292" s="605">
        <f t="shared" si="403"/>
        <v>271</v>
      </c>
      <c r="DA292" s="612">
        <f t="shared" si="404"/>
        <v>277</v>
      </c>
      <c r="DB292" s="607">
        <f t="shared" si="405"/>
        <v>207</v>
      </c>
      <c r="DC292" s="606">
        <f t="shared" si="406"/>
        <v>203</v>
      </c>
      <c r="DD292" s="607">
        <f t="shared" si="407"/>
        <v>220</v>
      </c>
      <c r="DE292" s="606">
        <f t="shared" si="408"/>
        <v>218</v>
      </c>
      <c r="DF292" s="607">
        <f t="shared" si="409"/>
        <v>12</v>
      </c>
      <c r="DG292" s="606">
        <f t="shared" si="410"/>
        <v>7</v>
      </c>
      <c r="DH292" s="607">
        <f t="shared" si="411"/>
        <v>161</v>
      </c>
      <c r="DI292" s="608">
        <f t="shared" si="412"/>
        <v>196</v>
      </c>
      <c r="DJ292" s="607">
        <f t="shared" si="413"/>
        <v>0</v>
      </c>
      <c r="DK292" s="608">
        <f t="shared" si="414"/>
        <v>0</v>
      </c>
      <c r="DL292" s="607">
        <f t="shared" si="415"/>
        <v>871</v>
      </c>
      <c r="DM292" s="608">
        <f t="shared" si="416"/>
        <v>901</v>
      </c>
      <c r="DN292" s="607">
        <f t="shared" si="417"/>
        <v>24197790.453616675</v>
      </c>
      <c r="DO292" s="612">
        <f t="shared" si="418"/>
        <v>24996607.094023835</v>
      </c>
      <c r="DP292" s="607">
        <f t="shared" si="419"/>
        <v>14531075.69630423</v>
      </c>
      <c r="DQ292" s="606">
        <f t="shared" si="420"/>
        <v>14552005.516369274</v>
      </c>
      <c r="DR292" s="607">
        <f t="shared" si="421"/>
        <v>13298441.231079716</v>
      </c>
      <c r="DS292" s="606">
        <f t="shared" si="422"/>
        <v>13547784.935476376</v>
      </c>
      <c r="DT292" s="607">
        <f t="shared" si="423"/>
        <v>696792</v>
      </c>
      <c r="DU292" s="606">
        <f t="shared" si="424"/>
        <v>427371</v>
      </c>
      <c r="DV292" s="607">
        <f t="shared" si="425"/>
        <v>6667274.3037542664</v>
      </c>
      <c r="DW292" s="608">
        <f t="shared" si="426"/>
        <v>8457479.2009132598</v>
      </c>
      <c r="DX292" s="607">
        <f t="shared" si="427"/>
        <v>0</v>
      </c>
      <c r="DY292" s="608">
        <f t="shared" si="428"/>
        <v>0</v>
      </c>
      <c r="DZ292" s="607">
        <f t="shared" si="429"/>
        <v>59391373.684754893</v>
      </c>
      <c r="EA292" s="608">
        <f t="shared" si="430"/>
        <v>61981247.746782742</v>
      </c>
    </row>
    <row r="293" spans="1:131" x14ac:dyDescent="0.2">
      <c r="A293" s="317" t="s">
        <v>40</v>
      </c>
      <c r="B293" s="318" t="s">
        <v>356</v>
      </c>
      <c r="C293" s="321"/>
      <c r="D293" s="322">
        <v>199102</v>
      </c>
      <c r="E293" s="323">
        <v>3</v>
      </c>
      <c r="F293" s="598">
        <v>77</v>
      </c>
      <c r="G293" s="599">
        <v>80</v>
      </c>
      <c r="H293" s="600"/>
      <c r="I293" s="601"/>
      <c r="J293" s="600">
        <v>25</v>
      </c>
      <c r="K293" s="599">
        <v>6</v>
      </c>
      <c r="L293" s="600"/>
      <c r="M293" s="601"/>
      <c r="N293" s="600">
        <v>161</v>
      </c>
      <c r="O293" s="599">
        <v>174</v>
      </c>
      <c r="P293" s="600"/>
      <c r="Q293" s="601"/>
      <c r="R293" s="600">
        <v>24</v>
      </c>
      <c r="S293" s="599">
        <v>5</v>
      </c>
      <c r="T293" s="600"/>
      <c r="U293" s="601"/>
      <c r="V293" s="600">
        <v>107</v>
      </c>
      <c r="W293" s="599">
        <v>100</v>
      </c>
      <c r="X293" s="600"/>
      <c r="Y293" s="601"/>
      <c r="Z293" s="600">
        <v>6</v>
      </c>
      <c r="AA293" s="599">
        <v>6</v>
      </c>
      <c r="AB293" s="600"/>
      <c r="AC293" s="601"/>
      <c r="AD293" s="600">
        <v>2</v>
      </c>
      <c r="AE293" s="599">
        <v>1</v>
      </c>
      <c r="AF293" s="600"/>
      <c r="AG293" s="601"/>
      <c r="AH293" s="600">
        <v>1</v>
      </c>
      <c r="AI293" s="599">
        <v>2</v>
      </c>
      <c r="AJ293" s="600"/>
      <c r="AK293" s="601"/>
      <c r="AL293" s="600">
        <v>79</v>
      </c>
      <c r="AM293" s="599">
        <v>76</v>
      </c>
      <c r="AN293" s="600"/>
      <c r="AO293" s="601"/>
      <c r="AP293" s="600">
        <v>26</v>
      </c>
      <c r="AQ293" s="599">
        <v>20</v>
      </c>
      <c r="AR293" s="600"/>
      <c r="AS293" s="601"/>
      <c r="AT293" s="600"/>
      <c r="AU293" s="599"/>
      <c r="AV293" s="600"/>
      <c r="AW293" s="601"/>
      <c r="AX293" s="600"/>
      <c r="AY293" s="599"/>
      <c r="AZ293" s="600"/>
      <c r="BA293" s="601"/>
      <c r="BB293" s="602">
        <v>9942687</v>
      </c>
      <c r="BC293" s="599">
        <v>7991518.1972000003</v>
      </c>
      <c r="BD293" s="600">
        <v>14462442</v>
      </c>
      <c r="BE293" s="599">
        <v>13483373.301000001</v>
      </c>
      <c r="BF293" s="600">
        <v>7756028</v>
      </c>
      <c r="BG293" s="599">
        <v>7261974.3956000004</v>
      </c>
      <c r="BH293" s="600">
        <v>160440</v>
      </c>
      <c r="BI293" s="599">
        <v>141327.54999999999</v>
      </c>
      <c r="BJ293" s="600">
        <v>5944253</v>
      </c>
      <c r="BK293" s="615">
        <v>5310256.068</v>
      </c>
      <c r="BL293" s="600">
        <v>0</v>
      </c>
      <c r="BM293" s="604"/>
      <c r="BN293" s="605">
        <f t="shared" si="365"/>
        <v>968</v>
      </c>
      <c r="BO293" s="606">
        <f t="shared" si="366"/>
        <v>786</v>
      </c>
      <c r="BP293" s="607">
        <f t="shared" si="367"/>
        <v>1713</v>
      </c>
      <c r="BQ293" s="606">
        <f t="shared" si="368"/>
        <v>1621</v>
      </c>
      <c r="BR293" s="607">
        <f t="shared" si="369"/>
        <v>1029</v>
      </c>
      <c r="BS293" s="606">
        <f t="shared" si="370"/>
        <v>966</v>
      </c>
      <c r="BT293" s="607">
        <f t="shared" si="371"/>
        <v>29</v>
      </c>
      <c r="BU293" s="606">
        <f t="shared" si="372"/>
        <v>31</v>
      </c>
      <c r="BV293" s="607">
        <f t="shared" si="373"/>
        <v>997</v>
      </c>
      <c r="BW293" s="608">
        <f t="shared" si="374"/>
        <v>904</v>
      </c>
      <c r="BX293" s="607">
        <f t="shared" si="375"/>
        <v>0</v>
      </c>
      <c r="BY293" s="608">
        <f t="shared" si="376"/>
        <v>0</v>
      </c>
      <c r="BZ293" s="607">
        <f t="shared" si="377"/>
        <v>10271.370867768595</v>
      </c>
      <c r="CA293" s="608">
        <f t="shared" si="378"/>
        <v>10167.325950636132</v>
      </c>
      <c r="CB293" s="607">
        <f t="shared" si="379"/>
        <v>8442.7565674255693</v>
      </c>
      <c r="CC293" s="608">
        <f t="shared" si="380"/>
        <v>8317.9354108574953</v>
      </c>
      <c r="CD293" s="607">
        <f t="shared" si="381"/>
        <v>7537.442176870748</v>
      </c>
      <c r="CE293" s="608">
        <f t="shared" si="382"/>
        <v>7517.5718380952385</v>
      </c>
      <c r="CF293" s="607">
        <f t="shared" si="383"/>
        <v>5532.4137931034484</v>
      </c>
      <c r="CG293" s="608">
        <f t="shared" si="384"/>
        <v>4558.953225806451</v>
      </c>
      <c r="CH293" s="607">
        <f t="shared" si="385"/>
        <v>5962.1394182547647</v>
      </c>
      <c r="CI293" s="608">
        <f t="shared" si="386"/>
        <v>5874.1770663716816</v>
      </c>
      <c r="CJ293" s="607">
        <f t="shared" si="387"/>
        <v>0</v>
      </c>
      <c r="CK293" s="608">
        <f t="shared" si="388"/>
        <v>0</v>
      </c>
      <c r="CL293" s="609">
        <f t="shared" si="389"/>
        <v>92442.337809917357</v>
      </c>
      <c r="CM293" s="608">
        <f t="shared" si="390"/>
        <v>91505.933555725191</v>
      </c>
      <c r="CN293" s="610">
        <f t="shared" si="391"/>
        <v>75984.809106830129</v>
      </c>
      <c r="CO293" s="606">
        <f t="shared" si="392"/>
        <v>74861.418697717454</v>
      </c>
      <c r="CP293" s="607">
        <f t="shared" si="393"/>
        <v>67836.979591836731</v>
      </c>
      <c r="CQ293" s="606">
        <f t="shared" si="394"/>
        <v>67658.146542857139</v>
      </c>
      <c r="CR293" s="607">
        <f t="shared" si="395"/>
        <v>49791.724137931036</v>
      </c>
      <c r="CS293" s="606">
        <f t="shared" si="396"/>
        <v>41030.579032258058</v>
      </c>
      <c r="CT293" s="607">
        <f t="shared" si="397"/>
        <v>53659.254764292884</v>
      </c>
      <c r="CU293" s="608">
        <f t="shared" si="398"/>
        <v>52867.593597345134</v>
      </c>
      <c r="CV293" s="610">
        <f t="shared" si="399"/>
        <v>0</v>
      </c>
      <c r="CW293" s="608">
        <f t="shared" si="400"/>
        <v>0</v>
      </c>
      <c r="CX293" s="610">
        <f t="shared" si="401"/>
        <v>72707.645192750468</v>
      </c>
      <c r="CY293" s="611">
        <f t="shared" si="402"/>
        <v>71574.14572057141</v>
      </c>
      <c r="CZ293" s="605">
        <f t="shared" si="403"/>
        <v>102</v>
      </c>
      <c r="DA293" s="612">
        <f t="shared" si="404"/>
        <v>86</v>
      </c>
      <c r="DB293" s="607">
        <f t="shared" si="405"/>
        <v>185</v>
      </c>
      <c r="DC293" s="606">
        <f t="shared" si="406"/>
        <v>179</v>
      </c>
      <c r="DD293" s="607">
        <f t="shared" si="407"/>
        <v>113</v>
      </c>
      <c r="DE293" s="606">
        <f t="shared" si="408"/>
        <v>106</v>
      </c>
      <c r="DF293" s="607">
        <f t="shared" si="409"/>
        <v>3</v>
      </c>
      <c r="DG293" s="606">
        <f t="shared" si="410"/>
        <v>3</v>
      </c>
      <c r="DH293" s="607">
        <f t="shared" si="411"/>
        <v>105</v>
      </c>
      <c r="DI293" s="608">
        <f t="shared" si="412"/>
        <v>96</v>
      </c>
      <c r="DJ293" s="607">
        <f t="shared" si="413"/>
        <v>0</v>
      </c>
      <c r="DK293" s="608">
        <f t="shared" si="414"/>
        <v>0</v>
      </c>
      <c r="DL293" s="607">
        <f t="shared" si="415"/>
        <v>508</v>
      </c>
      <c r="DM293" s="608">
        <f t="shared" si="416"/>
        <v>470</v>
      </c>
      <c r="DN293" s="607">
        <f t="shared" si="417"/>
        <v>9429118.45661157</v>
      </c>
      <c r="DO293" s="612">
        <f t="shared" si="418"/>
        <v>7869510.2857923666</v>
      </c>
      <c r="DP293" s="607">
        <f t="shared" si="419"/>
        <v>14057189.684763573</v>
      </c>
      <c r="DQ293" s="606">
        <f t="shared" si="420"/>
        <v>13400193.946891425</v>
      </c>
      <c r="DR293" s="607">
        <f t="shared" si="421"/>
        <v>7665578.6938775508</v>
      </c>
      <c r="DS293" s="606">
        <f t="shared" si="422"/>
        <v>7171763.5335428566</v>
      </c>
      <c r="DT293" s="607">
        <f t="shared" si="423"/>
        <v>149375.1724137931</v>
      </c>
      <c r="DU293" s="606">
        <f t="shared" si="424"/>
        <v>123091.73709677417</v>
      </c>
      <c r="DV293" s="607">
        <f t="shared" si="425"/>
        <v>5634221.750250753</v>
      </c>
      <c r="DW293" s="608">
        <f t="shared" si="426"/>
        <v>5075288.9853451326</v>
      </c>
      <c r="DX293" s="607">
        <f t="shared" si="427"/>
        <v>0</v>
      </c>
      <c r="DY293" s="608">
        <f t="shared" si="428"/>
        <v>0</v>
      </c>
      <c r="DZ293" s="607">
        <f t="shared" si="429"/>
        <v>36935483.75791724</v>
      </c>
      <c r="EA293" s="608">
        <f t="shared" si="430"/>
        <v>33639848.488668561</v>
      </c>
    </row>
    <row r="294" spans="1:131" x14ac:dyDescent="0.2">
      <c r="A294" s="317" t="s">
        <v>40</v>
      </c>
      <c r="B294" s="318" t="s">
        <v>357</v>
      </c>
      <c r="C294" s="321"/>
      <c r="D294" s="322">
        <v>199157</v>
      </c>
      <c r="E294" s="323">
        <v>3</v>
      </c>
      <c r="F294" s="598">
        <v>31</v>
      </c>
      <c r="G294" s="599">
        <v>42</v>
      </c>
      <c r="H294" s="600"/>
      <c r="I294" s="601"/>
      <c r="J294" s="600">
        <v>34</v>
      </c>
      <c r="K294" s="599">
        <v>14</v>
      </c>
      <c r="L294" s="600"/>
      <c r="M294" s="601"/>
      <c r="N294" s="600">
        <v>61</v>
      </c>
      <c r="O294" s="599">
        <v>80</v>
      </c>
      <c r="P294" s="600"/>
      <c r="Q294" s="601"/>
      <c r="R294" s="600">
        <v>32</v>
      </c>
      <c r="S294" s="599">
        <v>16</v>
      </c>
      <c r="T294" s="600"/>
      <c r="U294" s="601"/>
      <c r="V294" s="600">
        <v>111</v>
      </c>
      <c r="W294" s="599">
        <v>101</v>
      </c>
      <c r="X294" s="600"/>
      <c r="Y294" s="601"/>
      <c r="Z294" s="600">
        <v>33</v>
      </c>
      <c r="AA294" s="599">
        <v>9</v>
      </c>
      <c r="AB294" s="600"/>
      <c r="AC294" s="601"/>
      <c r="AD294" s="600">
        <v>2</v>
      </c>
      <c r="AE294" s="599">
        <v>9</v>
      </c>
      <c r="AF294" s="600"/>
      <c r="AG294" s="601"/>
      <c r="AH294" s="600">
        <v>2</v>
      </c>
      <c r="AI294" s="599">
        <v>2</v>
      </c>
      <c r="AJ294" s="600"/>
      <c r="AK294" s="601"/>
      <c r="AL294" s="600">
        <v>84</v>
      </c>
      <c r="AM294" s="599">
        <v>95</v>
      </c>
      <c r="AN294" s="600"/>
      <c r="AO294" s="601"/>
      <c r="AP294" s="600">
        <v>35</v>
      </c>
      <c r="AQ294" s="599">
        <v>18</v>
      </c>
      <c r="AR294" s="600"/>
      <c r="AS294" s="601"/>
      <c r="AT294" s="600"/>
      <c r="AU294" s="599"/>
      <c r="AV294" s="600"/>
      <c r="AW294" s="601"/>
      <c r="AX294" s="600"/>
      <c r="AY294" s="599"/>
      <c r="AZ294" s="600"/>
      <c r="BA294" s="601"/>
      <c r="BB294" s="602">
        <v>6892293</v>
      </c>
      <c r="BC294" s="599">
        <v>5681113.0600000005</v>
      </c>
      <c r="BD294" s="600">
        <v>7611090</v>
      </c>
      <c r="BE294" s="599">
        <v>7497132.7423999999</v>
      </c>
      <c r="BF294" s="600">
        <v>10112544</v>
      </c>
      <c r="BG294" s="599">
        <v>7773720.4620000003</v>
      </c>
      <c r="BH294" s="600">
        <v>209200</v>
      </c>
      <c r="BI294" s="599">
        <v>635394.72</v>
      </c>
      <c r="BJ294" s="600">
        <v>6518799</v>
      </c>
      <c r="BK294" s="615">
        <v>6177413.4024</v>
      </c>
      <c r="BL294" s="600">
        <v>0</v>
      </c>
      <c r="BM294" s="604"/>
      <c r="BN294" s="605">
        <f t="shared" si="365"/>
        <v>653</v>
      </c>
      <c r="BO294" s="606">
        <f t="shared" si="366"/>
        <v>532</v>
      </c>
      <c r="BP294" s="607">
        <f t="shared" si="367"/>
        <v>901</v>
      </c>
      <c r="BQ294" s="606">
        <f t="shared" si="368"/>
        <v>896</v>
      </c>
      <c r="BR294" s="607">
        <f t="shared" si="369"/>
        <v>1362</v>
      </c>
      <c r="BS294" s="606">
        <f t="shared" si="370"/>
        <v>1008</v>
      </c>
      <c r="BT294" s="607">
        <f t="shared" si="371"/>
        <v>40</v>
      </c>
      <c r="BU294" s="606">
        <f t="shared" si="372"/>
        <v>103</v>
      </c>
      <c r="BV294" s="607">
        <f t="shared" si="373"/>
        <v>1141</v>
      </c>
      <c r="BW294" s="608">
        <f t="shared" si="374"/>
        <v>1053</v>
      </c>
      <c r="BX294" s="607">
        <f t="shared" si="375"/>
        <v>0</v>
      </c>
      <c r="BY294" s="608">
        <f t="shared" si="376"/>
        <v>0</v>
      </c>
      <c r="BZ294" s="607">
        <f t="shared" si="377"/>
        <v>10554.813169984685</v>
      </c>
      <c r="CA294" s="608">
        <f t="shared" si="378"/>
        <v>10678.783947368422</v>
      </c>
      <c r="CB294" s="607">
        <f t="shared" si="379"/>
        <v>8447.3806881243072</v>
      </c>
      <c r="CC294" s="608">
        <f t="shared" si="380"/>
        <v>8367.3356499999991</v>
      </c>
      <c r="CD294" s="607">
        <f t="shared" si="381"/>
        <v>7424.7753303964755</v>
      </c>
      <c r="CE294" s="608">
        <f t="shared" si="382"/>
        <v>7712.0242678571431</v>
      </c>
      <c r="CF294" s="607">
        <f t="shared" si="383"/>
        <v>5230</v>
      </c>
      <c r="CG294" s="608">
        <f t="shared" si="384"/>
        <v>6168.8807766990285</v>
      </c>
      <c r="CH294" s="607">
        <f t="shared" si="385"/>
        <v>5713.2331288343557</v>
      </c>
      <c r="CI294" s="608">
        <f t="shared" si="386"/>
        <v>5866.4894609686608</v>
      </c>
      <c r="CJ294" s="607">
        <f t="shared" si="387"/>
        <v>0</v>
      </c>
      <c r="CK294" s="608">
        <f t="shared" si="388"/>
        <v>0</v>
      </c>
      <c r="CL294" s="609">
        <f t="shared" si="389"/>
        <v>94993.318529862168</v>
      </c>
      <c r="CM294" s="608">
        <f t="shared" si="390"/>
        <v>96109.055526315788</v>
      </c>
      <c r="CN294" s="610">
        <f t="shared" si="391"/>
        <v>76026.426193118765</v>
      </c>
      <c r="CO294" s="606">
        <f t="shared" si="392"/>
        <v>75306.020849999986</v>
      </c>
      <c r="CP294" s="607">
        <f t="shared" si="393"/>
        <v>66822.977973568282</v>
      </c>
      <c r="CQ294" s="606">
        <f t="shared" si="394"/>
        <v>69408.218410714282</v>
      </c>
      <c r="CR294" s="607">
        <f t="shared" si="395"/>
        <v>47070</v>
      </c>
      <c r="CS294" s="606">
        <f t="shared" si="396"/>
        <v>55519.926990291257</v>
      </c>
      <c r="CT294" s="607">
        <f t="shared" si="397"/>
        <v>51419.098159509202</v>
      </c>
      <c r="CU294" s="608">
        <f t="shared" si="398"/>
        <v>52798.405148717946</v>
      </c>
      <c r="CV294" s="610">
        <f t="shared" si="399"/>
        <v>0</v>
      </c>
      <c r="CW294" s="608">
        <f t="shared" si="400"/>
        <v>0</v>
      </c>
      <c r="CX294" s="610">
        <f t="shared" si="401"/>
        <v>68646.317293121203</v>
      </c>
      <c r="CY294" s="611">
        <f t="shared" si="402"/>
        <v>69490.487344431574</v>
      </c>
      <c r="CZ294" s="605">
        <f t="shared" si="403"/>
        <v>65</v>
      </c>
      <c r="DA294" s="612">
        <f t="shared" si="404"/>
        <v>56</v>
      </c>
      <c r="DB294" s="607">
        <f t="shared" si="405"/>
        <v>93</v>
      </c>
      <c r="DC294" s="606">
        <f t="shared" si="406"/>
        <v>96</v>
      </c>
      <c r="DD294" s="607">
        <f t="shared" si="407"/>
        <v>144</v>
      </c>
      <c r="DE294" s="606">
        <f t="shared" si="408"/>
        <v>110</v>
      </c>
      <c r="DF294" s="607">
        <f t="shared" si="409"/>
        <v>4</v>
      </c>
      <c r="DG294" s="606">
        <f t="shared" si="410"/>
        <v>11</v>
      </c>
      <c r="DH294" s="607">
        <f t="shared" si="411"/>
        <v>119</v>
      </c>
      <c r="DI294" s="608">
        <f t="shared" si="412"/>
        <v>113</v>
      </c>
      <c r="DJ294" s="607">
        <f t="shared" si="413"/>
        <v>0</v>
      </c>
      <c r="DK294" s="608">
        <f t="shared" si="414"/>
        <v>0</v>
      </c>
      <c r="DL294" s="607">
        <f t="shared" si="415"/>
        <v>425</v>
      </c>
      <c r="DM294" s="608">
        <f t="shared" si="416"/>
        <v>386</v>
      </c>
      <c r="DN294" s="607">
        <f t="shared" si="417"/>
        <v>6174565.7044410408</v>
      </c>
      <c r="DO294" s="612">
        <f t="shared" si="418"/>
        <v>5382107.1094736839</v>
      </c>
      <c r="DP294" s="607">
        <f t="shared" si="419"/>
        <v>7070457.6359600453</v>
      </c>
      <c r="DQ294" s="606">
        <f t="shared" si="420"/>
        <v>7229378.0015999991</v>
      </c>
      <c r="DR294" s="607">
        <f t="shared" si="421"/>
        <v>9622508.8281938322</v>
      </c>
      <c r="DS294" s="606">
        <f t="shared" si="422"/>
        <v>7634904.0251785712</v>
      </c>
      <c r="DT294" s="607">
        <f t="shared" si="423"/>
        <v>188280</v>
      </c>
      <c r="DU294" s="606">
        <f t="shared" si="424"/>
        <v>610719.19689320377</v>
      </c>
      <c r="DV294" s="607">
        <f t="shared" si="425"/>
        <v>6118872.6809815951</v>
      </c>
      <c r="DW294" s="608">
        <f t="shared" si="426"/>
        <v>5966219.7818051279</v>
      </c>
      <c r="DX294" s="607">
        <f t="shared" si="427"/>
        <v>0</v>
      </c>
      <c r="DY294" s="608">
        <f t="shared" si="428"/>
        <v>0</v>
      </c>
      <c r="DZ294" s="607">
        <f t="shared" si="429"/>
        <v>29174684.84957651</v>
      </c>
      <c r="EA294" s="608">
        <f t="shared" si="430"/>
        <v>26823328.114950586</v>
      </c>
    </row>
    <row r="295" spans="1:131" x14ac:dyDescent="0.2">
      <c r="A295" s="317" t="s">
        <v>40</v>
      </c>
      <c r="B295" s="318" t="s">
        <v>358</v>
      </c>
      <c r="C295" s="321"/>
      <c r="D295" s="322">
        <v>199218</v>
      </c>
      <c r="E295" s="323">
        <v>3</v>
      </c>
      <c r="F295" s="598">
        <v>148</v>
      </c>
      <c r="G295" s="599">
        <v>150</v>
      </c>
      <c r="H295" s="600"/>
      <c r="I295" s="601"/>
      <c r="J295" s="600">
        <v>27</v>
      </c>
      <c r="K295" s="599">
        <v>22</v>
      </c>
      <c r="L295" s="600"/>
      <c r="M295" s="601"/>
      <c r="N295" s="600">
        <v>184</v>
      </c>
      <c r="O295" s="599">
        <v>189</v>
      </c>
      <c r="P295" s="600"/>
      <c r="Q295" s="601"/>
      <c r="R295" s="600">
        <v>21</v>
      </c>
      <c r="S295" s="599">
        <v>13</v>
      </c>
      <c r="T295" s="600"/>
      <c r="U295" s="601"/>
      <c r="V295" s="600">
        <v>133</v>
      </c>
      <c r="W295" s="599">
        <v>125</v>
      </c>
      <c r="X295" s="600"/>
      <c r="Y295" s="601"/>
      <c r="Z295" s="600">
        <v>3</v>
      </c>
      <c r="AA295" s="599"/>
      <c r="AB295" s="600"/>
      <c r="AC295" s="601"/>
      <c r="AD295" s="600">
        <v>0</v>
      </c>
      <c r="AE295" s="599"/>
      <c r="AF295" s="600"/>
      <c r="AG295" s="601"/>
      <c r="AH295" s="600">
        <v>0</v>
      </c>
      <c r="AI295" s="599"/>
      <c r="AJ295" s="600"/>
      <c r="AK295" s="601"/>
      <c r="AL295" s="600">
        <v>89</v>
      </c>
      <c r="AM295" s="599">
        <v>108</v>
      </c>
      <c r="AN295" s="600"/>
      <c r="AO295" s="601"/>
      <c r="AP295" s="600">
        <v>19</v>
      </c>
      <c r="AQ295" s="599">
        <v>8</v>
      </c>
      <c r="AR295" s="600"/>
      <c r="AS295" s="601"/>
      <c r="AT295" s="600"/>
      <c r="AU295" s="599"/>
      <c r="AV295" s="600"/>
      <c r="AW295" s="601"/>
      <c r="AX295" s="600"/>
      <c r="AY295" s="599"/>
      <c r="AZ295" s="600"/>
      <c r="BA295" s="601"/>
      <c r="BB295" s="602">
        <v>16947198</v>
      </c>
      <c r="BC295" s="599">
        <v>16525128.984000001</v>
      </c>
      <c r="BD295" s="600">
        <v>15175957</v>
      </c>
      <c r="BE295" s="599">
        <v>14612375.2322</v>
      </c>
      <c r="BF295" s="600">
        <v>8095572</v>
      </c>
      <c r="BG295" s="599">
        <v>7830500</v>
      </c>
      <c r="BH295" s="600"/>
      <c r="BI295" s="599">
        <v>0</v>
      </c>
      <c r="BJ295" s="600">
        <v>5050350</v>
      </c>
      <c r="BK295" s="615">
        <v>5309006.6847999999</v>
      </c>
      <c r="BL295" s="600">
        <v>0</v>
      </c>
      <c r="BM295" s="604"/>
      <c r="BN295" s="605">
        <f t="shared" si="365"/>
        <v>1629</v>
      </c>
      <c r="BO295" s="606">
        <f t="shared" si="366"/>
        <v>1592</v>
      </c>
      <c r="BP295" s="607">
        <f t="shared" si="367"/>
        <v>1887</v>
      </c>
      <c r="BQ295" s="606">
        <f t="shared" si="368"/>
        <v>1844</v>
      </c>
      <c r="BR295" s="607">
        <f t="shared" si="369"/>
        <v>1230</v>
      </c>
      <c r="BS295" s="606">
        <f t="shared" si="370"/>
        <v>1125</v>
      </c>
      <c r="BT295" s="607">
        <f t="shared" si="371"/>
        <v>0</v>
      </c>
      <c r="BU295" s="606">
        <f t="shared" si="372"/>
        <v>0</v>
      </c>
      <c r="BV295" s="607">
        <f t="shared" si="373"/>
        <v>1010</v>
      </c>
      <c r="BW295" s="608">
        <f t="shared" si="374"/>
        <v>1060</v>
      </c>
      <c r="BX295" s="607">
        <f t="shared" si="375"/>
        <v>0</v>
      </c>
      <c r="BY295" s="608">
        <f t="shared" si="376"/>
        <v>0</v>
      </c>
      <c r="BZ295" s="607">
        <f t="shared" si="377"/>
        <v>10403.436464088398</v>
      </c>
      <c r="CA295" s="608">
        <f t="shared" si="378"/>
        <v>10380.106145728643</v>
      </c>
      <c r="CB295" s="607">
        <f t="shared" si="379"/>
        <v>8042.3725490196075</v>
      </c>
      <c r="CC295" s="608">
        <f t="shared" si="380"/>
        <v>7924.2815792841648</v>
      </c>
      <c r="CD295" s="607">
        <f t="shared" si="381"/>
        <v>6581.7658536585368</v>
      </c>
      <c r="CE295" s="608">
        <f t="shared" si="382"/>
        <v>6960.4444444444443</v>
      </c>
      <c r="CF295" s="607">
        <f t="shared" si="383"/>
        <v>0</v>
      </c>
      <c r="CG295" s="608">
        <f t="shared" si="384"/>
        <v>0</v>
      </c>
      <c r="CH295" s="607">
        <f t="shared" si="385"/>
        <v>5000.3465346534649</v>
      </c>
      <c r="CI295" s="608">
        <f t="shared" si="386"/>
        <v>5008.4968724528298</v>
      </c>
      <c r="CJ295" s="607">
        <f t="shared" si="387"/>
        <v>0</v>
      </c>
      <c r="CK295" s="608">
        <f t="shared" si="388"/>
        <v>0</v>
      </c>
      <c r="CL295" s="609">
        <f t="shared" si="389"/>
        <v>93630.928176795584</v>
      </c>
      <c r="CM295" s="608">
        <f t="shared" si="390"/>
        <v>93420.955311557787</v>
      </c>
      <c r="CN295" s="610">
        <f t="shared" si="391"/>
        <v>72381.352941176461</v>
      </c>
      <c r="CO295" s="606">
        <f t="shared" si="392"/>
        <v>71318.53421355749</v>
      </c>
      <c r="CP295" s="607">
        <f t="shared" si="393"/>
        <v>59235.892682926831</v>
      </c>
      <c r="CQ295" s="606">
        <f t="shared" si="394"/>
        <v>62644</v>
      </c>
      <c r="CR295" s="607">
        <f t="shared" si="395"/>
        <v>0</v>
      </c>
      <c r="CS295" s="606">
        <f t="shared" si="396"/>
        <v>0</v>
      </c>
      <c r="CT295" s="607">
        <f t="shared" si="397"/>
        <v>45003.118811881184</v>
      </c>
      <c r="CU295" s="608">
        <f t="shared" si="398"/>
        <v>45076.471852075469</v>
      </c>
      <c r="CV295" s="610">
        <f t="shared" si="399"/>
        <v>0</v>
      </c>
      <c r="CW295" s="608">
        <f t="shared" si="400"/>
        <v>0</v>
      </c>
      <c r="CX295" s="610">
        <f t="shared" si="401"/>
        <v>70737.192340451307</v>
      </c>
      <c r="CY295" s="611">
        <f t="shared" si="402"/>
        <v>70787.185300109442</v>
      </c>
      <c r="CZ295" s="605">
        <f t="shared" si="403"/>
        <v>175</v>
      </c>
      <c r="DA295" s="612">
        <f t="shared" si="404"/>
        <v>172</v>
      </c>
      <c r="DB295" s="607">
        <f t="shared" si="405"/>
        <v>205</v>
      </c>
      <c r="DC295" s="606">
        <f t="shared" si="406"/>
        <v>202</v>
      </c>
      <c r="DD295" s="607">
        <f t="shared" si="407"/>
        <v>136</v>
      </c>
      <c r="DE295" s="606">
        <f t="shared" si="408"/>
        <v>125</v>
      </c>
      <c r="DF295" s="607">
        <f t="shared" si="409"/>
        <v>0</v>
      </c>
      <c r="DG295" s="606">
        <f t="shared" si="410"/>
        <v>0</v>
      </c>
      <c r="DH295" s="607">
        <f t="shared" si="411"/>
        <v>108</v>
      </c>
      <c r="DI295" s="608">
        <f t="shared" si="412"/>
        <v>116</v>
      </c>
      <c r="DJ295" s="607">
        <f t="shared" si="413"/>
        <v>0</v>
      </c>
      <c r="DK295" s="608">
        <f t="shared" si="414"/>
        <v>0</v>
      </c>
      <c r="DL295" s="607">
        <f t="shared" si="415"/>
        <v>624</v>
      </c>
      <c r="DM295" s="608">
        <f t="shared" si="416"/>
        <v>615</v>
      </c>
      <c r="DN295" s="607">
        <f t="shared" si="417"/>
        <v>16385412.430939227</v>
      </c>
      <c r="DO295" s="612">
        <f t="shared" si="418"/>
        <v>16068404.313587939</v>
      </c>
      <c r="DP295" s="607">
        <f t="shared" si="419"/>
        <v>14838177.352941174</v>
      </c>
      <c r="DQ295" s="606">
        <f t="shared" si="420"/>
        <v>14406343.911138613</v>
      </c>
      <c r="DR295" s="607">
        <f t="shared" si="421"/>
        <v>8056081.4048780492</v>
      </c>
      <c r="DS295" s="606">
        <f t="shared" si="422"/>
        <v>7830500</v>
      </c>
      <c r="DT295" s="607">
        <f t="shared" si="423"/>
        <v>0</v>
      </c>
      <c r="DU295" s="606">
        <f t="shared" si="424"/>
        <v>0</v>
      </c>
      <c r="DV295" s="607">
        <f t="shared" si="425"/>
        <v>4860336.8316831682</v>
      </c>
      <c r="DW295" s="608">
        <f t="shared" si="426"/>
        <v>5228870.7348407544</v>
      </c>
      <c r="DX295" s="607">
        <f t="shared" si="427"/>
        <v>0</v>
      </c>
      <c r="DY295" s="608">
        <f t="shared" si="428"/>
        <v>0</v>
      </c>
      <c r="DZ295" s="607">
        <f t="shared" si="429"/>
        <v>44140008.020441614</v>
      </c>
      <c r="EA295" s="608">
        <f t="shared" si="430"/>
        <v>43534118.959567308</v>
      </c>
    </row>
    <row r="296" spans="1:131" x14ac:dyDescent="0.2">
      <c r="A296" s="317" t="s">
        <v>40</v>
      </c>
      <c r="B296" s="318" t="s">
        <v>359</v>
      </c>
      <c r="C296" s="321"/>
      <c r="D296" s="322">
        <v>200004</v>
      </c>
      <c r="E296" s="323">
        <v>3</v>
      </c>
      <c r="F296" s="598">
        <v>58</v>
      </c>
      <c r="G296" s="599">
        <v>59</v>
      </c>
      <c r="H296" s="600"/>
      <c r="I296" s="601"/>
      <c r="J296" s="600">
        <v>15</v>
      </c>
      <c r="K296" s="599">
        <v>13</v>
      </c>
      <c r="L296" s="600"/>
      <c r="M296" s="601"/>
      <c r="N296" s="600">
        <v>136</v>
      </c>
      <c r="O296" s="599">
        <v>138</v>
      </c>
      <c r="P296" s="600"/>
      <c r="Q296" s="601"/>
      <c r="R296" s="600">
        <v>16</v>
      </c>
      <c r="S296" s="599">
        <v>17</v>
      </c>
      <c r="T296" s="600"/>
      <c r="U296" s="601"/>
      <c r="V296" s="600">
        <v>104</v>
      </c>
      <c r="W296" s="599">
        <v>100</v>
      </c>
      <c r="X296" s="600"/>
      <c r="Y296" s="601"/>
      <c r="Z296" s="600">
        <v>4</v>
      </c>
      <c r="AA296" s="599">
        <v>3</v>
      </c>
      <c r="AB296" s="600"/>
      <c r="AC296" s="601"/>
      <c r="AD296" s="600">
        <v>13</v>
      </c>
      <c r="AE296" s="599">
        <v>8</v>
      </c>
      <c r="AF296" s="600"/>
      <c r="AG296" s="601"/>
      <c r="AH296" s="600">
        <v>3</v>
      </c>
      <c r="AI296" s="599">
        <v>3</v>
      </c>
      <c r="AJ296" s="600"/>
      <c r="AK296" s="601"/>
      <c r="AL296" s="600">
        <v>74</v>
      </c>
      <c r="AM296" s="599">
        <v>82</v>
      </c>
      <c r="AN296" s="600"/>
      <c r="AO296" s="601"/>
      <c r="AP296" s="600">
        <v>16</v>
      </c>
      <c r="AQ296" s="599">
        <v>13</v>
      </c>
      <c r="AR296" s="600"/>
      <c r="AS296" s="601"/>
      <c r="AT296" s="600"/>
      <c r="AU296" s="599"/>
      <c r="AV296" s="600"/>
      <c r="AW296" s="601"/>
      <c r="AX296" s="600"/>
      <c r="AY296" s="599"/>
      <c r="AZ296" s="600"/>
      <c r="BA296" s="601"/>
      <c r="BB296" s="602">
        <v>6778331</v>
      </c>
      <c r="BC296" s="599">
        <v>6542841.9514000006</v>
      </c>
      <c r="BD296" s="600">
        <v>11266632</v>
      </c>
      <c r="BE296" s="599">
        <v>11179189.663799999</v>
      </c>
      <c r="BF296" s="600">
        <v>6271336</v>
      </c>
      <c r="BG296" s="599">
        <v>6025387.5779999997</v>
      </c>
      <c r="BH296" s="600">
        <v>776845</v>
      </c>
      <c r="BI296" s="599">
        <v>441768.08260000002</v>
      </c>
      <c r="BJ296" s="600">
        <v>5516348</v>
      </c>
      <c r="BK296" s="615">
        <v>5343478.2325999998</v>
      </c>
      <c r="BL296" s="600">
        <v>0</v>
      </c>
      <c r="BM296" s="604"/>
      <c r="BN296" s="605">
        <f t="shared" si="365"/>
        <v>687</v>
      </c>
      <c r="BO296" s="606">
        <f t="shared" si="366"/>
        <v>674</v>
      </c>
      <c r="BP296" s="607">
        <f t="shared" si="367"/>
        <v>1400</v>
      </c>
      <c r="BQ296" s="606">
        <f t="shared" si="368"/>
        <v>1429</v>
      </c>
      <c r="BR296" s="607">
        <f t="shared" si="369"/>
        <v>980</v>
      </c>
      <c r="BS296" s="606">
        <f t="shared" si="370"/>
        <v>933</v>
      </c>
      <c r="BT296" s="607">
        <f t="shared" si="371"/>
        <v>150</v>
      </c>
      <c r="BU296" s="606">
        <f t="shared" si="372"/>
        <v>105</v>
      </c>
      <c r="BV296" s="607">
        <f t="shared" si="373"/>
        <v>842</v>
      </c>
      <c r="BW296" s="608">
        <f t="shared" si="374"/>
        <v>881</v>
      </c>
      <c r="BX296" s="607">
        <f t="shared" si="375"/>
        <v>0</v>
      </c>
      <c r="BY296" s="608">
        <f t="shared" si="376"/>
        <v>0</v>
      </c>
      <c r="BZ296" s="607">
        <f t="shared" si="377"/>
        <v>9866.5662299854448</v>
      </c>
      <c r="CA296" s="608">
        <f t="shared" si="378"/>
        <v>9707.4806400593479</v>
      </c>
      <c r="CB296" s="607">
        <f t="shared" si="379"/>
        <v>8047.5942857142854</v>
      </c>
      <c r="CC296" s="608">
        <f t="shared" si="380"/>
        <v>7823.0858389083269</v>
      </c>
      <c r="CD296" s="607">
        <f t="shared" si="381"/>
        <v>6399.3224489795921</v>
      </c>
      <c r="CE296" s="608">
        <f t="shared" si="382"/>
        <v>6458.0788617363341</v>
      </c>
      <c r="CF296" s="607">
        <f t="shared" si="383"/>
        <v>5178.9666666666662</v>
      </c>
      <c r="CG296" s="608">
        <f t="shared" si="384"/>
        <v>4207.3150723809522</v>
      </c>
      <c r="CH296" s="607">
        <f t="shared" si="385"/>
        <v>6551.4821852731593</v>
      </c>
      <c r="CI296" s="608">
        <f t="shared" si="386"/>
        <v>6065.2420347332572</v>
      </c>
      <c r="CJ296" s="607">
        <f t="shared" si="387"/>
        <v>0</v>
      </c>
      <c r="CK296" s="608">
        <f t="shared" si="388"/>
        <v>0</v>
      </c>
      <c r="CL296" s="609">
        <f t="shared" si="389"/>
        <v>88799.096069869003</v>
      </c>
      <c r="CM296" s="608">
        <f t="shared" si="390"/>
        <v>87367.325760534135</v>
      </c>
      <c r="CN296" s="610">
        <f t="shared" si="391"/>
        <v>72428.348571428563</v>
      </c>
      <c r="CO296" s="606">
        <f t="shared" si="392"/>
        <v>70407.772550174937</v>
      </c>
      <c r="CP296" s="607">
        <f t="shared" si="393"/>
        <v>57593.902040816327</v>
      </c>
      <c r="CQ296" s="606">
        <f t="shared" si="394"/>
        <v>58122.709755627009</v>
      </c>
      <c r="CR296" s="607">
        <f t="shared" si="395"/>
        <v>46610.7</v>
      </c>
      <c r="CS296" s="606">
        <f t="shared" si="396"/>
        <v>37865.83565142857</v>
      </c>
      <c r="CT296" s="607">
        <f t="shared" si="397"/>
        <v>58963.339667458436</v>
      </c>
      <c r="CU296" s="608">
        <f t="shared" si="398"/>
        <v>54587.178312599317</v>
      </c>
      <c r="CV296" s="610">
        <f t="shared" si="399"/>
        <v>0</v>
      </c>
      <c r="CW296" s="608">
        <f t="shared" si="400"/>
        <v>0</v>
      </c>
      <c r="CX296" s="610">
        <f t="shared" si="401"/>
        <v>67799.672406462429</v>
      </c>
      <c r="CY296" s="611">
        <f t="shared" si="402"/>
        <v>66038.067515430739</v>
      </c>
      <c r="CZ296" s="605">
        <f t="shared" si="403"/>
        <v>73</v>
      </c>
      <c r="DA296" s="612">
        <f t="shared" si="404"/>
        <v>72</v>
      </c>
      <c r="DB296" s="607">
        <f t="shared" si="405"/>
        <v>152</v>
      </c>
      <c r="DC296" s="606">
        <f t="shared" si="406"/>
        <v>155</v>
      </c>
      <c r="DD296" s="607">
        <f t="shared" si="407"/>
        <v>108</v>
      </c>
      <c r="DE296" s="606">
        <f t="shared" si="408"/>
        <v>103</v>
      </c>
      <c r="DF296" s="607">
        <f t="shared" si="409"/>
        <v>16</v>
      </c>
      <c r="DG296" s="606">
        <f t="shared" si="410"/>
        <v>11</v>
      </c>
      <c r="DH296" s="607">
        <f t="shared" si="411"/>
        <v>90</v>
      </c>
      <c r="DI296" s="608">
        <f t="shared" si="412"/>
        <v>95</v>
      </c>
      <c r="DJ296" s="607">
        <f t="shared" si="413"/>
        <v>0</v>
      </c>
      <c r="DK296" s="608">
        <f t="shared" si="414"/>
        <v>0</v>
      </c>
      <c r="DL296" s="607">
        <f t="shared" si="415"/>
        <v>439</v>
      </c>
      <c r="DM296" s="608">
        <f t="shared" si="416"/>
        <v>436</v>
      </c>
      <c r="DN296" s="607">
        <f t="shared" si="417"/>
        <v>6482334.0131004369</v>
      </c>
      <c r="DO296" s="612">
        <f t="shared" si="418"/>
        <v>6290447.4547584578</v>
      </c>
      <c r="DP296" s="607">
        <f t="shared" si="419"/>
        <v>11009108.982857142</v>
      </c>
      <c r="DQ296" s="606">
        <f t="shared" si="420"/>
        <v>10913204.745277116</v>
      </c>
      <c r="DR296" s="607">
        <f t="shared" si="421"/>
        <v>6220141.4204081632</v>
      </c>
      <c r="DS296" s="606">
        <f t="shared" si="422"/>
        <v>5986639.1048295824</v>
      </c>
      <c r="DT296" s="607">
        <f t="shared" si="423"/>
        <v>745771.2</v>
      </c>
      <c r="DU296" s="606">
        <f t="shared" si="424"/>
        <v>416524.19216571428</v>
      </c>
      <c r="DV296" s="607">
        <f t="shared" si="425"/>
        <v>5306700.5700712595</v>
      </c>
      <c r="DW296" s="608">
        <f t="shared" si="426"/>
        <v>5185781.939696935</v>
      </c>
      <c r="DX296" s="607">
        <f t="shared" si="427"/>
        <v>0</v>
      </c>
      <c r="DY296" s="608">
        <f t="shared" si="428"/>
        <v>0</v>
      </c>
      <c r="DZ296" s="607">
        <f t="shared" si="429"/>
        <v>29764056.186437007</v>
      </c>
      <c r="EA296" s="608">
        <f t="shared" si="430"/>
        <v>28792597.436727803</v>
      </c>
    </row>
    <row r="297" spans="1:131" x14ac:dyDescent="0.2">
      <c r="A297" s="317" t="s">
        <v>40</v>
      </c>
      <c r="B297" s="320" t="s">
        <v>360</v>
      </c>
      <c r="C297" s="321"/>
      <c r="D297" s="322">
        <v>198543</v>
      </c>
      <c r="E297" s="323">
        <v>4</v>
      </c>
      <c r="F297" s="598">
        <v>38</v>
      </c>
      <c r="G297" s="599">
        <v>38</v>
      </c>
      <c r="H297" s="600"/>
      <c r="I297" s="601"/>
      <c r="J297" s="600">
        <v>12</v>
      </c>
      <c r="K297" s="599">
        <v>18</v>
      </c>
      <c r="L297" s="600"/>
      <c r="M297" s="601"/>
      <c r="N297" s="600">
        <v>81</v>
      </c>
      <c r="O297" s="599">
        <v>89</v>
      </c>
      <c r="P297" s="600"/>
      <c r="Q297" s="601"/>
      <c r="R297" s="600">
        <v>8</v>
      </c>
      <c r="S297" s="599">
        <v>11</v>
      </c>
      <c r="T297" s="600"/>
      <c r="U297" s="601"/>
      <c r="V297" s="600">
        <v>100</v>
      </c>
      <c r="W297" s="599">
        <v>82</v>
      </c>
      <c r="X297" s="600"/>
      <c r="Y297" s="601"/>
      <c r="Z297" s="600">
        <v>1</v>
      </c>
      <c r="AA297" s="599">
        <v>5</v>
      </c>
      <c r="AB297" s="600"/>
      <c r="AC297" s="601"/>
      <c r="AD297" s="600">
        <v>7</v>
      </c>
      <c r="AE297" s="599">
        <v>4</v>
      </c>
      <c r="AF297" s="600"/>
      <c r="AG297" s="601"/>
      <c r="AH297" s="600">
        <v>0</v>
      </c>
      <c r="AI297" s="599"/>
      <c r="AJ297" s="600"/>
      <c r="AK297" s="601"/>
      <c r="AL297" s="600">
        <v>33</v>
      </c>
      <c r="AM297" s="599">
        <v>23</v>
      </c>
      <c r="AN297" s="600"/>
      <c r="AO297" s="601"/>
      <c r="AP297" s="600">
        <v>0</v>
      </c>
      <c r="AQ297" s="599">
        <v>7</v>
      </c>
      <c r="AR297" s="600"/>
      <c r="AS297" s="601"/>
      <c r="AT297" s="600"/>
      <c r="AU297" s="599"/>
      <c r="AV297" s="600"/>
      <c r="AW297" s="601"/>
      <c r="AX297" s="600"/>
      <c r="AY297" s="599"/>
      <c r="AZ297" s="600"/>
      <c r="BA297" s="601"/>
      <c r="BB297" s="602">
        <v>4606002</v>
      </c>
      <c r="BC297" s="599">
        <v>4920206.3552000001</v>
      </c>
      <c r="BD297" s="600">
        <v>6735663</v>
      </c>
      <c r="BE297" s="599">
        <v>7344336.9084000001</v>
      </c>
      <c r="BF297" s="600">
        <v>6399838</v>
      </c>
      <c r="BG297" s="599">
        <v>5540234.4000000004</v>
      </c>
      <c r="BH297" s="600">
        <v>425894</v>
      </c>
      <c r="BI297" s="599">
        <v>238016</v>
      </c>
      <c r="BJ297" s="600">
        <v>1817805</v>
      </c>
      <c r="BK297" s="615">
        <v>1612944.5888</v>
      </c>
      <c r="BL297" s="600">
        <v>0</v>
      </c>
      <c r="BM297" s="604"/>
      <c r="BN297" s="605">
        <f t="shared" si="365"/>
        <v>474</v>
      </c>
      <c r="BO297" s="606">
        <f t="shared" si="366"/>
        <v>540</v>
      </c>
      <c r="BP297" s="607">
        <f t="shared" si="367"/>
        <v>817</v>
      </c>
      <c r="BQ297" s="606">
        <f t="shared" si="368"/>
        <v>922</v>
      </c>
      <c r="BR297" s="607">
        <f t="shared" si="369"/>
        <v>911</v>
      </c>
      <c r="BS297" s="606">
        <f t="shared" si="370"/>
        <v>793</v>
      </c>
      <c r="BT297" s="607">
        <f t="shared" si="371"/>
        <v>63</v>
      </c>
      <c r="BU297" s="606">
        <f t="shared" si="372"/>
        <v>36</v>
      </c>
      <c r="BV297" s="607">
        <f t="shared" si="373"/>
        <v>297</v>
      </c>
      <c r="BW297" s="608">
        <f t="shared" si="374"/>
        <v>284</v>
      </c>
      <c r="BX297" s="607">
        <f t="shared" si="375"/>
        <v>0</v>
      </c>
      <c r="BY297" s="608">
        <f t="shared" si="376"/>
        <v>0</v>
      </c>
      <c r="BZ297" s="607">
        <f t="shared" si="377"/>
        <v>9717.3037974683539</v>
      </c>
      <c r="CA297" s="608">
        <f t="shared" si="378"/>
        <v>9111.4932503703712</v>
      </c>
      <c r="CB297" s="607">
        <f t="shared" si="379"/>
        <v>8244.3855569155439</v>
      </c>
      <c r="CC297" s="608">
        <f t="shared" si="380"/>
        <v>7965.6582520607381</v>
      </c>
      <c r="CD297" s="607">
        <f t="shared" si="381"/>
        <v>7025.069154774973</v>
      </c>
      <c r="CE297" s="608">
        <f t="shared" si="382"/>
        <v>6986.4242118537204</v>
      </c>
      <c r="CF297" s="607">
        <f t="shared" si="383"/>
        <v>6760.2222222222226</v>
      </c>
      <c r="CG297" s="608">
        <f t="shared" si="384"/>
        <v>6611.5555555555557</v>
      </c>
      <c r="CH297" s="607">
        <f t="shared" si="385"/>
        <v>6120.5555555555557</v>
      </c>
      <c r="CI297" s="608">
        <f t="shared" si="386"/>
        <v>5679.3823549295776</v>
      </c>
      <c r="CJ297" s="607">
        <f t="shared" si="387"/>
        <v>0</v>
      </c>
      <c r="CK297" s="608">
        <f t="shared" si="388"/>
        <v>0</v>
      </c>
      <c r="CL297" s="609">
        <f t="shared" si="389"/>
        <v>87455.734177215185</v>
      </c>
      <c r="CM297" s="608">
        <f t="shared" si="390"/>
        <v>82003.439253333345</v>
      </c>
      <c r="CN297" s="610">
        <f t="shared" si="391"/>
        <v>74199.470012239894</v>
      </c>
      <c r="CO297" s="606">
        <f t="shared" si="392"/>
        <v>71690.924268546645</v>
      </c>
      <c r="CP297" s="607">
        <f t="shared" si="393"/>
        <v>63225.622392974758</v>
      </c>
      <c r="CQ297" s="606">
        <f t="shared" si="394"/>
        <v>62877.817906683485</v>
      </c>
      <c r="CR297" s="607">
        <f t="shared" si="395"/>
        <v>60842</v>
      </c>
      <c r="CS297" s="606">
        <f t="shared" si="396"/>
        <v>59504</v>
      </c>
      <c r="CT297" s="607">
        <f t="shared" si="397"/>
        <v>55085</v>
      </c>
      <c r="CU297" s="608">
        <f t="shared" si="398"/>
        <v>51114.441194366198</v>
      </c>
      <c r="CV297" s="610">
        <f t="shared" si="399"/>
        <v>0</v>
      </c>
      <c r="CW297" s="608">
        <f t="shared" si="400"/>
        <v>0</v>
      </c>
      <c r="CX297" s="610">
        <f t="shared" si="401"/>
        <v>70021.522863001999</v>
      </c>
      <c r="CY297" s="611">
        <f t="shared" si="402"/>
        <v>68603.265049652633</v>
      </c>
      <c r="CZ297" s="605">
        <f t="shared" si="403"/>
        <v>50</v>
      </c>
      <c r="DA297" s="612">
        <f t="shared" si="404"/>
        <v>56</v>
      </c>
      <c r="DB297" s="607">
        <f t="shared" si="405"/>
        <v>89</v>
      </c>
      <c r="DC297" s="606">
        <f t="shared" si="406"/>
        <v>100</v>
      </c>
      <c r="DD297" s="607">
        <f t="shared" si="407"/>
        <v>101</v>
      </c>
      <c r="DE297" s="606">
        <f t="shared" si="408"/>
        <v>87</v>
      </c>
      <c r="DF297" s="607">
        <f t="shared" si="409"/>
        <v>7</v>
      </c>
      <c r="DG297" s="606">
        <f t="shared" si="410"/>
        <v>4</v>
      </c>
      <c r="DH297" s="607">
        <f t="shared" si="411"/>
        <v>33</v>
      </c>
      <c r="DI297" s="608">
        <f t="shared" si="412"/>
        <v>30</v>
      </c>
      <c r="DJ297" s="607">
        <f t="shared" si="413"/>
        <v>0</v>
      </c>
      <c r="DK297" s="608">
        <f t="shared" si="414"/>
        <v>0</v>
      </c>
      <c r="DL297" s="607">
        <f t="shared" si="415"/>
        <v>280</v>
      </c>
      <c r="DM297" s="608">
        <f t="shared" si="416"/>
        <v>277</v>
      </c>
      <c r="DN297" s="607">
        <f t="shared" si="417"/>
        <v>4372786.7088607596</v>
      </c>
      <c r="DO297" s="612">
        <f t="shared" si="418"/>
        <v>4592192.5981866671</v>
      </c>
      <c r="DP297" s="607">
        <f t="shared" si="419"/>
        <v>6603752.8310893504</v>
      </c>
      <c r="DQ297" s="606">
        <f t="shared" si="420"/>
        <v>7169092.4268546645</v>
      </c>
      <c r="DR297" s="607">
        <f t="shared" si="421"/>
        <v>6385787.8616904505</v>
      </c>
      <c r="DS297" s="606">
        <f t="shared" si="422"/>
        <v>5470370.1578814629</v>
      </c>
      <c r="DT297" s="607">
        <f t="shared" si="423"/>
        <v>425894</v>
      </c>
      <c r="DU297" s="606">
        <f t="shared" si="424"/>
        <v>238016</v>
      </c>
      <c r="DV297" s="607">
        <f t="shared" si="425"/>
        <v>1817805</v>
      </c>
      <c r="DW297" s="608">
        <f t="shared" si="426"/>
        <v>1533433.2358309859</v>
      </c>
      <c r="DX297" s="607">
        <f t="shared" si="427"/>
        <v>0</v>
      </c>
      <c r="DY297" s="608">
        <f t="shared" si="428"/>
        <v>0</v>
      </c>
      <c r="DZ297" s="607">
        <f t="shared" si="429"/>
        <v>19606026.40164056</v>
      </c>
      <c r="EA297" s="608">
        <f t="shared" si="430"/>
        <v>19003104.41875378</v>
      </c>
    </row>
    <row r="298" spans="1:131" x14ac:dyDescent="0.2">
      <c r="A298" s="317" t="s">
        <v>40</v>
      </c>
      <c r="B298" s="318" t="s">
        <v>361</v>
      </c>
      <c r="C298" s="321"/>
      <c r="D298" s="322">
        <v>199281</v>
      </c>
      <c r="E298" s="323">
        <v>5</v>
      </c>
      <c r="F298" s="598">
        <v>60</v>
      </c>
      <c r="G298" s="599">
        <v>58</v>
      </c>
      <c r="H298" s="600"/>
      <c r="I298" s="601"/>
      <c r="J298" s="600">
        <v>3</v>
      </c>
      <c r="K298" s="599">
        <v>2</v>
      </c>
      <c r="L298" s="600"/>
      <c r="M298" s="601"/>
      <c r="N298" s="600">
        <v>61</v>
      </c>
      <c r="O298" s="599">
        <v>68</v>
      </c>
      <c r="P298" s="600"/>
      <c r="Q298" s="601"/>
      <c r="R298" s="600">
        <v>3</v>
      </c>
      <c r="S298" s="599">
        <v>4</v>
      </c>
      <c r="T298" s="600"/>
      <c r="U298" s="601"/>
      <c r="V298" s="600">
        <v>105</v>
      </c>
      <c r="W298" s="599">
        <v>98</v>
      </c>
      <c r="X298" s="600"/>
      <c r="Y298" s="601"/>
      <c r="Z298" s="600">
        <v>2</v>
      </c>
      <c r="AA298" s="599">
        <v>2</v>
      </c>
      <c r="AB298" s="600"/>
      <c r="AC298" s="601"/>
      <c r="AD298" s="600">
        <v>2</v>
      </c>
      <c r="AE298" s="599">
        <v>3</v>
      </c>
      <c r="AF298" s="600"/>
      <c r="AG298" s="601"/>
      <c r="AH298" s="600">
        <v>0</v>
      </c>
      <c r="AI298" s="599"/>
      <c r="AJ298" s="600"/>
      <c r="AK298" s="601"/>
      <c r="AL298" s="600">
        <v>77</v>
      </c>
      <c r="AM298" s="599">
        <v>84</v>
      </c>
      <c r="AN298" s="600"/>
      <c r="AO298" s="601"/>
      <c r="AP298" s="600">
        <v>5</v>
      </c>
      <c r="AQ298" s="599">
        <v>5</v>
      </c>
      <c r="AR298" s="600"/>
      <c r="AS298" s="601"/>
      <c r="AT298" s="600"/>
      <c r="AU298" s="599"/>
      <c r="AV298" s="600"/>
      <c r="AW298" s="601"/>
      <c r="AX298" s="600"/>
      <c r="AY298" s="599"/>
      <c r="AZ298" s="600"/>
      <c r="BA298" s="601"/>
      <c r="BB298" s="602">
        <v>5200479</v>
      </c>
      <c r="BC298" s="599">
        <v>4852618.2611999996</v>
      </c>
      <c r="BD298" s="600">
        <v>4146653</v>
      </c>
      <c r="BE298" s="599">
        <v>4499556.6440000003</v>
      </c>
      <c r="BF298" s="600">
        <v>6153237</v>
      </c>
      <c r="BG298" s="599">
        <v>5912944.6376</v>
      </c>
      <c r="BH298" s="600">
        <v>95000</v>
      </c>
      <c r="BI298" s="599">
        <v>148764</v>
      </c>
      <c r="BJ298" s="600">
        <v>4019381</v>
      </c>
      <c r="BK298" s="615">
        <v>4295630.2949999999</v>
      </c>
      <c r="BL298" s="600">
        <v>0</v>
      </c>
      <c r="BM298" s="604"/>
      <c r="BN298" s="605">
        <f t="shared" si="365"/>
        <v>573</v>
      </c>
      <c r="BO298" s="606">
        <f t="shared" si="366"/>
        <v>544</v>
      </c>
      <c r="BP298" s="607">
        <f t="shared" si="367"/>
        <v>582</v>
      </c>
      <c r="BQ298" s="606">
        <f t="shared" si="368"/>
        <v>656</v>
      </c>
      <c r="BR298" s="607">
        <f t="shared" si="369"/>
        <v>967</v>
      </c>
      <c r="BS298" s="606">
        <f t="shared" si="370"/>
        <v>904</v>
      </c>
      <c r="BT298" s="607">
        <f t="shared" si="371"/>
        <v>18</v>
      </c>
      <c r="BU298" s="606">
        <f t="shared" si="372"/>
        <v>27</v>
      </c>
      <c r="BV298" s="607">
        <f t="shared" si="373"/>
        <v>748</v>
      </c>
      <c r="BW298" s="608">
        <f t="shared" si="374"/>
        <v>811</v>
      </c>
      <c r="BX298" s="607">
        <f t="shared" si="375"/>
        <v>0</v>
      </c>
      <c r="BY298" s="608">
        <f t="shared" si="376"/>
        <v>0</v>
      </c>
      <c r="BZ298" s="607">
        <f t="shared" si="377"/>
        <v>9075.8795811518321</v>
      </c>
      <c r="CA298" s="608">
        <f t="shared" si="378"/>
        <v>8920.254156617646</v>
      </c>
      <c r="CB298" s="607">
        <f t="shared" si="379"/>
        <v>7124.833333333333</v>
      </c>
      <c r="CC298" s="608">
        <f t="shared" si="380"/>
        <v>6859.0802500000009</v>
      </c>
      <c r="CD298" s="607">
        <f t="shared" si="381"/>
        <v>6363.2233712512925</v>
      </c>
      <c r="CE298" s="608">
        <f t="shared" si="382"/>
        <v>6540.8679619469031</v>
      </c>
      <c r="CF298" s="607">
        <f t="shared" si="383"/>
        <v>5277.7777777777774</v>
      </c>
      <c r="CG298" s="608">
        <f t="shared" si="384"/>
        <v>5509.7777777777774</v>
      </c>
      <c r="CH298" s="607">
        <f t="shared" si="385"/>
        <v>5373.5040106951874</v>
      </c>
      <c r="CI298" s="608">
        <f t="shared" si="386"/>
        <v>5296.7081319358813</v>
      </c>
      <c r="CJ298" s="607">
        <f t="shared" si="387"/>
        <v>0</v>
      </c>
      <c r="CK298" s="608">
        <f t="shared" si="388"/>
        <v>0</v>
      </c>
      <c r="CL298" s="609">
        <f t="shared" si="389"/>
        <v>81682.916230366493</v>
      </c>
      <c r="CM298" s="608">
        <f t="shared" si="390"/>
        <v>80282.287409558819</v>
      </c>
      <c r="CN298" s="610">
        <f t="shared" si="391"/>
        <v>64123.5</v>
      </c>
      <c r="CO298" s="606">
        <f t="shared" si="392"/>
        <v>61731.722250000006</v>
      </c>
      <c r="CP298" s="607">
        <f t="shared" si="393"/>
        <v>57269.01034126163</v>
      </c>
      <c r="CQ298" s="606">
        <f t="shared" si="394"/>
        <v>58867.811657522128</v>
      </c>
      <c r="CR298" s="607">
        <f t="shared" si="395"/>
        <v>47500</v>
      </c>
      <c r="CS298" s="606">
        <f t="shared" si="396"/>
        <v>49588</v>
      </c>
      <c r="CT298" s="607">
        <f t="shared" si="397"/>
        <v>48361.536096256685</v>
      </c>
      <c r="CU298" s="608">
        <f t="shared" si="398"/>
        <v>47670.373187422934</v>
      </c>
      <c r="CV298" s="610">
        <f t="shared" si="399"/>
        <v>0</v>
      </c>
      <c r="CW298" s="608">
        <f t="shared" si="400"/>
        <v>0</v>
      </c>
      <c r="CX298" s="610">
        <f t="shared" si="401"/>
        <v>61126.911285915514</v>
      </c>
      <c r="CY298" s="611">
        <f t="shared" si="402"/>
        <v>60308.11612964933</v>
      </c>
      <c r="CZ298" s="605">
        <f t="shared" si="403"/>
        <v>63</v>
      </c>
      <c r="DA298" s="612">
        <f t="shared" si="404"/>
        <v>60</v>
      </c>
      <c r="DB298" s="607">
        <f t="shared" si="405"/>
        <v>64</v>
      </c>
      <c r="DC298" s="606">
        <f t="shared" si="406"/>
        <v>72</v>
      </c>
      <c r="DD298" s="607">
        <f t="shared" si="407"/>
        <v>107</v>
      </c>
      <c r="DE298" s="606">
        <f t="shared" si="408"/>
        <v>100</v>
      </c>
      <c r="DF298" s="607">
        <f t="shared" si="409"/>
        <v>2</v>
      </c>
      <c r="DG298" s="606">
        <f t="shared" si="410"/>
        <v>3</v>
      </c>
      <c r="DH298" s="607">
        <f t="shared" si="411"/>
        <v>82</v>
      </c>
      <c r="DI298" s="608">
        <f t="shared" si="412"/>
        <v>89</v>
      </c>
      <c r="DJ298" s="607">
        <f t="shared" si="413"/>
        <v>0</v>
      </c>
      <c r="DK298" s="608">
        <f t="shared" si="414"/>
        <v>0</v>
      </c>
      <c r="DL298" s="607">
        <f t="shared" si="415"/>
        <v>318</v>
      </c>
      <c r="DM298" s="608">
        <f t="shared" si="416"/>
        <v>324</v>
      </c>
      <c r="DN298" s="607">
        <f t="shared" si="417"/>
        <v>5146023.722513089</v>
      </c>
      <c r="DO298" s="612">
        <f t="shared" si="418"/>
        <v>4816937.2445735289</v>
      </c>
      <c r="DP298" s="607">
        <f t="shared" si="419"/>
        <v>4103904</v>
      </c>
      <c r="DQ298" s="606">
        <f t="shared" si="420"/>
        <v>4444684.0020000003</v>
      </c>
      <c r="DR298" s="607">
        <f t="shared" si="421"/>
        <v>6127784.1065149941</v>
      </c>
      <c r="DS298" s="606">
        <f t="shared" si="422"/>
        <v>5886781.1657522125</v>
      </c>
      <c r="DT298" s="607">
        <f t="shared" si="423"/>
        <v>95000</v>
      </c>
      <c r="DU298" s="606">
        <f t="shared" si="424"/>
        <v>148764</v>
      </c>
      <c r="DV298" s="607">
        <f t="shared" si="425"/>
        <v>3965645.9598930483</v>
      </c>
      <c r="DW298" s="608">
        <f t="shared" si="426"/>
        <v>4242663.2136806408</v>
      </c>
      <c r="DX298" s="607">
        <f t="shared" si="427"/>
        <v>0</v>
      </c>
      <c r="DY298" s="608">
        <f t="shared" si="428"/>
        <v>0</v>
      </c>
      <c r="DZ298" s="607">
        <f t="shared" si="429"/>
        <v>19438357.788921133</v>
      </c>
      <c r="EA298" s="608">
        <f t="shared" si="430"/>
        <v>19539829.626006383</v>
      </c>
    </row>
    <row r="299" spans="1:131" x14ac:dyDescent="0.2">
      <c r="A299" s="317" t="s">
        <v>40</v>
      </c>
      <c r="B299" s="318" t="s">
        <v>362</v>
      </c>
      <c r="C299" s="321"/>
      <c r="D299" s="322">
        <v>199999</v>
      </c>
      <c r="E299" s="323">
        <v>5</v>
      </c>
      <c r="F299" s="598">
        <v>19</v>
      </c>
      <c r="G299" s="599">
        <v>33</v>
      </c>
      <c r="H299" s="600"/>
      <c r="I299" s="601"/>
      <c r="J299" s="600">
        <v>17</v>
      </c>
      <c r="K299" s="599">
        <v>25</v>
      </c>
      <c r="L299" s="600"/>
      <c r="M299" s="601"/>
      <c r="N299" s="600">
        <v>82</v>
      </c>
      <c r="O299" s="599">
        <v>78</v>
      </c>
      <c r="P299" s="600"/>
      <c r="Q299" s="601"/>
      <c r="R299" s="600">
        <v>42</v>
      </c>
      <c r="S299" s="599">
        <v>25</v>
      </c>
      <c r="T299" s="600"/>
      <c r="U299" s="601"/>
      <c r="V299" s="600">
        <v>91</v>
      </c>
      <c r="W299" s="599">
        <v>94</v>
      </c>
      <c r="X299" s="600"/>
      <c r="Y299" s="601"/>
      <c r="Z299" s="600">
        <v>24</v>
      </c>
      <c r="AA299" s="599">
        <v>19</v>
      </c>
      <c r="AB299" s="600"/>
      <c r="AC299" s="601"/>
      <c r="AD299" s="600">
        <v>34</v>
      </c>
      <c r="AE299" s="599">
        <v>33</v>
      </c>
      <c r="AF299" s="600"/>
      <c r="AG299" s="601"/>
      <c r="AH299" s="600">
        <v>17</v>
      </c>
      <c r="AI299" s="599">
        <v>20</v>
      </c>
      <c r="AJ299" s="600"/>
      <c r="AK299" s="601"/>
      <c r="AL299" s="600">
        <v>15</v>
      </c>
      <c r="AM299" s="599">
        <v>7</v>
      </c>
      <c r="AN299" s="600"/>
      <c r="AO299" s="601"/>
      <c r="AP299" s="600">
        <v>13</v>
      </c>
      <c r="AQ299" s="599">
        <v>17</v>
      </c>
      <c r="AR299" s="600"/>
      <c r="AS299" s="601"/>
      <c r="AT299" s="600"/>
      <c r="AU299" s="599"/>
      <c r="AV299" s="600"/>
      <c r="AW299" s="601"/>
      <c r="AX299" s="600"/>
      <c r="AY299" s="599"/>
      <c r="AZ299" s="600"/>
      <c r="BA299" s="601"/>
      <c r="BB299" s="602">
        <v>3510402</v>
      </c>
      <c r="BC299" s="599">
        <v>5184008.01</v>
      </c>
      <c r="BD299" s="600">
        <v>10074232</v>
      </c>
      <c r="BE299" s="599">
        <v>7905987.7300000004</v>
      </c>
      <c r="BF299" s="600">
        <v>8104753</v>
      </c>
      <c r="BG299" s="599">
        <v>7795207.2684000004</v>
      </c>
      <c r="BH299" s="600">
        <v>3231122</v>
      </c>
      <c r="BI299" s="599">
        <v>3132465.4879999999</v>
      </c>
      <c r="BJ299" s="600">
        <v>1671212</v>
      </c>
      <c r="BK299" s="615">
        <v>1348004.0776</v>
      </c>
      <c r="BL299" s="600">
        <v>0</v>
      </c>
      <c r="BM299" s="604"/>
      <c r="BN299" s="605">
        <f t="shared" si="365"/>
        <v>358</v>
      </c>
      <c r="BO299" s="606">
        <f t="shared" si="366"/>
        <v>572</v>
      </c>
      <c r="BP299" s="607">
        <f t="shared" si="367"/>
        <v>1200</v>
      </c>
      <c r="BQ299" s="606">
        <f t="shared" si="368"/>
        <v>977</v>
      </c>
      <c r="BR299" s="607">
        <f t="shared" si="369"/>
        <v>1083</v>
      </c>
      <c r="BS299" s="606">
        <f t="shared" si="370"/>
        <v>1055</v>
      </c>
      <c r="BT299" s="607">
        <f t="shared" si="371"/>
        <v>493</v>
      </c>
      <c r="BU299" s="606">
        <f t="shared" si="372"/>
        <v>517</v>
      </c>
      <c r="BV299" s="607">
        <f t="shared" si="373"/>
        <v>278</v>
      </c>
      <c r="BW299" s="608">
        <f t="shared" si="374"/>
        <v>250</v>
      </c>
      <c r="BX299" s="607">
        <f t="shared" si="375"/>
        <v>0</v>
      </c>
      <c r="BY299" s="608">
        <f t="shared" si="376"/>
        <v>0</v>
      </c>
      <c r="BZ299" s="607">
        <f t="shared" si="377"/>
        <v>9805.5921787709503</v>
      </c>
      <c r="CA299" s="608">
        <f t="shared" si="378"/>
        <v>9062.9510664335667</v>
      </c>
      <c r="CB299" s="607">
        <f t="shared" si="379"/>
        <v>8395.1933333333327</v>
      </c>
      <c r="CC299" s="608">
        <f t="shared" si="380"/>
        <v>8092.1061719549643</v>
      </c>
      <c r="CD299" s="607">
        <f t="shared" si="381"/>
        <v>7483.613111726685</v>
      </c>
      <c r="CE299" s="608">
        <f t="shared" si="382"/>
        <v>7388.8220553554502</v>
      </c>
      <c r="CF299" s="607">
        <f t="shared" si="383"/>
        <v>6554</v>
      </c>
      <c r="CG299" s="608">
        <f t="shared" si="384"/>
        <v>6058.9274429400384</v>
      </c>
      <c r="CH299" s="607">
        <f t="shared" si="385"/>
        <v>6011.5539568345321</v>
      </c>
      <c r="CI299" s="608">
        <f t="shared" si="386"/>
        <v>5392.0163104000003</v>
      </c>
      <c r="CJ299" s="607">
        <f t="shared" si="387"/>
        <v>0</v>
      </c>
      <c r="CK299" s="608">
        <f t="shared" si="388"/>
        <v>0</v>
      </c>
      <c r="CL299" s="609">
        <f t="shared" si="389"/>
        <v>88250.329608938555</v>
      </c>
      <c r="CM299" s="608">
        <f t="shared" si="390"/>
        <v>81566.559597902102</v>
      </c>
      <c r="CN299" s="610">
        <f t="shared" si="391"/>
        <v>75556.739999999991</v>
      </c>
      <c r="CO299" s="606">
        <f t="shared" si="392"/>
        <v>72828.955547594684</v>
      </c>
      <c r="CP299" s="607">
        <f t="shared" si="393"/>
        <v>67352.518005540158</v>
      </c>
      <c r="CQ299" s="606">
        <f t="shared" si="394"/>
        <v>66499.398498199051</v>
      </c>
      <c r="CR299" s="607">
        <f t="shared" si="395"/>
        <v>58986</v>
      </c>
      <c r="CS299" s="606">
        <f t="shared" si="396"/>
        <v>54530.346986460347</v>
      </c>
      <c r="CT299" s="607">
        <f t="shared" si="397"/>
        <v>54103.98561151079</v>
      </c>
      <c r="CU299" s="608">
        <f t="shared" si="398"/>
        <v>48528.146793600004</v>
      </c>
      <c r="CV299" s="610">
        <f t="shared" si="399"/>
        <v>0</v>
      </c>
      <c r="CW299" s="608">
        <f t="shared" si="400"/>
        <v>0</v>
      </c>
      <c r="CX299" s="610">
        <f t="shared" si="401"/>
        <v>70098.262129042952</v>
      </c>
      <c r="CY299" s="611">
        <f t="shared" si="402"/>
        <v>67810.423993464006</v>
      </c>
      <c r="CZ299" s="605">
        <f t="shared" si="403"/>
        <v>36</v>
      </c>
      <c r="DA299" s="612">
        <f t="shared" si="404"/>
        <v>58</v>
      </c>
      <c r="DB299" s="607">
        <f t="shared" si="405"/>
        <v>124</v>
      </c>
      <c r="DC299" s="606">
        <f t="shared" si="406"/>
        <v>103</v>
      </c>
      <c r="DD299" s="607">
        <f t="shared" si="407"/>
        <v>115</v>
      </c>
      <c r="DE299" s="606">
        <f t="shared" si="408"/>
        <v>113</v>
      </c>
      <c r="DF299" s="607">
        <f t="shared" si="409"/>
        <v>51</v>
      </c>
      <c r="DG299" s="606">
        <f t="shared" si="410"/>
        <v>53</v>
      </c>
      <c r="DH299" s="607">
        <f t="shared" si="411"/>
        <v>28</v>
      </c>
      <c r="DI299" s="608">
        <f t="shared" si="412"/>
        <v>24</v>
      </c>
      <c r="DJ299" s="607">
        <f t="shared" si="413"/>
        <v>0</v>
      </c>
      <c r="DK299" s="608">
        <f t="shared" si="414"/>
        <v>0</v>
      </c>
      <c r="DL299" s="607">
        <f t="shared" si="415"/>
        <v>354</v>
      </c>
      <c r="DM299" s="608">
        <f t="shared" si="416"/>
        <v>351</v>
      </c>
      <c r="DN299" s="607">
        <f t="shared" si="417"/>
        <v>3177011.8659217879</v>
      </c>
      <c r="DO299" s="612">
        <f t="shared" si="418"/>
        <v>4730860.4566783216</v>
      </c>
      <c r="DP299" s="607">
        <f t="shared" si="419"/>
        <v>9369035.7599999979</v>
      </c>
      <c r="DQ299" s="606">
        <f t="shared" si="420"/>
        <v>7501382.4214022523</v>
      </c>
      <c r="DR299" s="607">
        <f t="shared" si="421"/>
        <v>7745539.5706371181</v>
      </c>
      <c r="DS299" s="606">
        <f t="shared" si="422"/>
        <v>7514432.0302964924</v>
      </c>
      <c r="DT299" s="607">
        <f t="shared" si="423"/>
        <v>3008286</v>
      </c>
      <c r="DU299" s="606">
        <f t="shared" si="424"/>
        <v>2890108.3902823986</v>
      </c>
      <c r="DV299" s="607">
        <f t="shared" si="425"/>
        <v>1514911.597122302</v>
      </c>
      <c r="DW299" s="608">
        <f t="shared" si="426"/>
        <v>1164675.5230464002</v>
      </c>
      <c r="DX299" s="607">
        <f t="shared" si="427"/>
        <v>0</v>
      </c>
      <c r="DY299" s="608">
        <f t="shared" si="428"/>
        <v>0</v>
      </c>
      <c r="DZ299" s="607">
        <f t="shared" si="429"/>
        <v>24814784.793681204</v>
      </c>
      <c r="EA299" s="608">
        <f t="shared" si="430"/>
        <v>23801458.821705867</v>
      </c>
    </row>
    <row r="300" spans="1:131" x14ac:dyDescent="0.2">
      <c r="A300" s="317" t="s">
        <v>40</v>
      </c>
      <c r="B300" s="318" t="s">
        <v>363</v>
      </c>
      <c r="C300" s="321"/>
      <c r="D300" s="322">
        <v>198507</v>
      </c>
      <c r="E300" s="323">
        <v>6</v>
      </c>
      <c r="F300" s="598">
        <v>49</v>
      </c>
      <c r="G300" s="599">
        <v>47</v>
      </c>
      <c r="H300" s="600"/>
      <c r="I300" s="601"/>
      <c r="J300" s="600">
        <v>2</v>
      </c>
      <c r="K300" s="599">
        <v>3</v>
      </c>
      <c r="L300" s="600"/>
      <c r="M300" s="601"/>
      <c r="N300" s="600">
        <v>33</v>
      </c>
      <c r="O300" s="599">
        <v>38</v>
      </c>
      <c r="P300" s="600"/>
      <c r="Q300" s="601"/>
      <c r="R300" s="600">
        <v>1</v>
      </c>
      <c r="S300" s="599"/>
      <c r="T300" s="600"/>
      <c r="U300" s="601"/>
      <c r="V300" s="600">
        <v>38</v>
      </c>
      <c r="W300" s="599">
        <v>33</v>
      </c>
      <c r="X300" s="600"/>
      <c r="Y300" s="601"/>
      <c r="Z300" s="600">
        <v>4</v>
      </c>
      <c r="AA300" s="599"/>
      <c r="AB300" s="600"/>
      <c r="AC300" s="601"/>
      <c r="AD300" s="600">
        <v>4</v>
      </c>
      <c r="AE300" s="599">
        <v>1</v>
      </c>
      <c r="AF300" s="600"/>
      <c r="AG300" s="601"/>
      <c r="AH300" s="600">
        <v>0</v>
      </c>
      <c r="AI300" s="599"/>
      <c r="AJ300" s="600"/>
      <c r="AK300" s="601"/>
      <c r="AL300" s="600">
        <v>26</v>
      </c>
      <c r="AM300" s="599">
        <v>25</v>
      </c>
      <c r="AN300" s="600"/>
      <c r="AO300" s="601"/>
      <c r="AP300" s="600">
        <v>4</v>
      </c>
      <c r="AQ300" s="599">
        <v>6</v>
      </c>
      <c r="AR300" s="600"/>
      <c r="AS300" s="601"/>
      <c r="AT300" s="600"/>
      <c r="AU300" s="599"/>
      <c r="AV300" s="600"/>
      <c r="AW300" s="601"/>
      <c r="AX300" s="600"/>
      <c r="AY300" s="599"/>
      <c r="AZ300" s="600"/>
      <c r="BA300" s="601"/>
      <c r="BB300" s="602">
        <v>3946904</v>
      </c>
      <c r="BC300" s="599">
        <v>3961688.4315999998</v>
      </c>
      <c r="BD300" s="600">
        <v>2282205</v>
      </c>
      <c r="BE300" s="599">
        <v>2510584</v>
      </c>
      <c r="BF300" s="600">
        <v>2747292</v>
      </c>
      <c r="BG300" s="599">
        <v>2143152</v>
      </c>
      <c r="BH300" s="600">
        <v>218572</v>
      </c>
      <c r="BI300" s="599">
        <v>50000</v>
      </c>
      <c r="BJ300" s="600">
        <v>1904804</v>
      </c>
      <c r="BK300" s="615">
        <v>1835580.0520000001</v>
      </c>
      <c r="BL300" s="600">
        <v>0</v>
      </c>
      <c r="BM300" s="604"/>
      <c r="BN300" s="605">
        <f t="shared" si="365"/>
        <v>463</v>
      </c>
      <c r="BO300" s="606">
        <f t="shared" si="366"/>
        <v>456</v>
      </c>
      <c r="BP300" s="607">
        <f t="shared" si="367"/>
        <v>308</v>
      </c>
      <c r="BQ300" s="606">
        <f t="shared" si="368"/>
        <v>342</v>
      </c>
      <c r="BR300" s="607">
        <f t="shared" si="369"/>
        <v>386</v>
      </c>
      <c r="BS300" s="606">
        <f t="shared" si="370"/>
        <v>297</v>
      </c>
      <c r="BT300" s="607">
        <f t="shared" si="371"/>
        <v>36</v>
      </c>
      <c r="BU300" s="606">
        <f t="shared" si="372"/>
        <v>9</v>
      </c>
      <c r="BV300" s="607">
        <f t="shared" si="373"/>
        <v>278</v>
      </c>
      <c r="BW300" s="608">
        <f t="shared" si="374"/>
        <v>291</v>
      </c>
      <c r="BX300" s="607">
        <f t="shared" si="375"/>
        <v>0</v>
      </c>
      <c r="BY300" s="608">
        <f t="shared" si="376"/>
        <v>0</v>
      </c>
      <c r="BZ300" s="607">
        <f t="shared" si="377"/>
        <v>8524.6306695464355</v>
      </c>
      <c r="CA300" s="608">
        <f t="shared" si="378"/>
        <v>8687.9132271929811</v>
      </c>
      <c r="CB300" s="607">
        <f t="shared" si="379"/>
        <v>7409.7564935064938</v>
      </c>
      <c r="CC300" s="608">
        <f t="shared" si="380"/>
        <v>7340.8888888888887</v>
      </c>
      <c r="CD300" s="607">
        <f t="shared" si="381"/>
        <v>7117.3367875647673</v>
      </c>
      <c r="CE300" s="608">
        <f t="shared" si="382"/>
        <v>7216</v>
      </c>
      <c r="CF300" s="607">
        <f t="shared" si="383"/>
        <v>6071.4444444444443</v>
      </c>
      <c r="CG300" s="608">
        <f t="shared" si="384"/>
        <v>5555.5555555555557</v>
      </c>
      <c r="CH300" s="607">
        <f t="shared" si="385"/>
        <v>6851.812949640288</v>
      </c>
      <c r="CI300" s="608">
        <f t="shared" si="386"/>
        <v>6307.8352302405501</v>
      </c>
      <c r="CJ300" s="607">
        <f t="shared" si="387"/>
        <v>0</v>
      </c>
      <c r="CK300" s="608">
        <f t="shared" si="388"/>
        <v>0</v>
      </c>
      <c r="CL300" s="609">
        <f t="shared" si="389"/>
        <v>76721.676025917914</v>
      </c>
      <c r="CM300" s="608">
        <f t="shared" si="390"/>
        <v>78191.219044736834</v>
      </c>
      <c r="CN300" s="610">
        <f t="shared" si="391"/>
        <v>66687.808441558445</v>
      </c>
      <c r="CO300" s="606">
        <f t="shared" si="392"/>
        <v>66068</v>
      </c>
      <c r="CP300" s="607">
        <f t="shared" si="393"/>
        <v>64056.031088082906</v>
      </c>
      <c r="CQ300" s="606">
        <f t="shared" si="394"/>
        <v>64944</v>
      </c>
      <c r="CR300" s="607">
        <f t="shared" si="395"/>
        <v>54643</v>
      </c>
      <c r="CS300" s="606">
        <f t="shared" si="396"/>
        <v>50000</v>
      </c>
      <c r="CT300" s="607">
        <f t="shared" si="397"/>
        <v>61666.316546762595</v>
      </c>
      <c r="CU300" s="608">
        <f t="shared" si="398"/>
        <v>56770.517072164948</v>
      </c>
      <c r="CV300" s="610">
        <f t="shared" si="399"/>
        <v>0</v>
      </c>
      <c r="CW300" s="608">
        <f t="shared" si="400"/>
        <v>0</v>
      </c>
      <c r="CX300" s="610">
        <f t="shared" si="401"/>
        <v>67944.756313274294</v>
      </c>
      <c r="CY300" s="611">
        <f t="shared" si="402"/>
        <v>67798.581578261146</v>
      </c>
      <c r="CZ300" s="605">
        <f t="shared" si="403"/>
        <v>51</v>
      </c>
      <c r="DA300" s="612">
        <f t="shared" si="404"/>
        <v>50</v>
      </c>
      <c r="DB300" s="607">
        <f t="shared" si="405"/>
        <v>34</v>
      </c>
      <c r="DC300" s="606">
        <f t="shared" si="406"/>
        <v>38</v>
      </c>
      <c r="DD300" s="607">
        <f t="shared" si="407"/>
        <v>42</v>
      </c>
      <c r="DE300" s="606">
        <f t="shared" si="408"/>
        <v>33</v>
      </c>
      <c r="DF300" s="607">
        <f t="shared" si="409"/>
        <v>4</v>
      </c>
      <c r="DG300" s="606">
        <f t="shared" si="410"/>
        <v>1</v>
      </c>
      <c r="DH300" s="607">
        <f t="shared" si="411"/>
        <v>30</v>
      </c>
      <c r="DI300" s="608">
        <f t="shared" si="412"/>
        <v>31</v>
      </c>
      <c r="DJ300" s="607">
        <f t="shared" si="413"/>
        <v>0</v>
      </c>
      <c r="DK300" s="608">
        <f t="shared" si="414"/>
        <v>0</v>
      </c>
      <c r="DL300" s="607">
        <f t="shared" si="415"/>
        <v>161</v>
      </c>
      <c r="DM300" s="608">
        <f t="shared" si="416"/>
        <v>153</v>
      </c>
      <c r="DN300" s="607">
        <f t="shared" si="417"/>
        <v>3912805.4773218138</v>
      </c>
      <c r="DO300" s="612">
        <f t="shared" si="418"/>
        <v>3909560.9522368419</v>
      </c>
      <c r="DP300" s="607">
        <f t="shared" si="419"/>
        <v>2267385.487012987</v>
      </c>
      <c r="DQ300" s="606">
        <f t="shared" si="420"/>
        <v>2510584</v>
      </c>
      <c r="DR300" s="607">
        <f t="shared" si="421"/>
        <v>2690353.3056994821</v>
      </c>
      <c r="DS300" s="606">
        <f t="shared" si="422"/>
        <v>2143152</v>
      </c>
      <c r="DT300" s="607">
        <f t="shared" si="423"/>
        <v>218572</v>
      </c>
      <c r="DU300" s="606">
        <f t="shared" si="424"/>
        <v>50000</v>
      </c>
      <c r="DV300" s="607">
        <f t="shared" si="425"/>
        <v>1849989.4964028778</v>
      </c>
      <c r="DW300" s="608">
        <f t="shared" si="426"/>
        <v>1759886.0292371134</v>
      </c>
      <c r="DX300" s="607">
        <f t="shared" si="427"/>
        <v>0</v>
      </c>
      <c r="DY300" s="608">
        <f t="shared" si="428"/>
        <v>0</v>
      </c>
      <c r="DZ300" s="607">
        <f t="shared" si="429"/>
        <v>10939105.766437162</v>
      </c>
      <c r="EA300" s="608">
        <f t="shared" si="430"/>
        <v>10373182.981473956</v>
      </c>
    </row>
    <row r="301" spans="1:131" x14ac:dyDescent="0.2">
      <c r="A301" s="317" t="s">
        <v>40</v>
      </c>
      <c r="B301" s="318" t="s">
        <v>364</v>
      </c>
      <c r="C301" s="321"/>
      <c r="D301" s="322">
        <v>199111</v>
      </c>
      <c r="E301" s="323">
        <v>6</v>
      </c>
      <c r="F301" s="598">
        <v>61</v>
      </c>
      <c r="G301" s="599">
        <v>60</v>
      </c>
      <c r="H301" s="600"/>
      <c r="I301" s="601"/>
      <c r="J301" s="600">
        <v>0</v>
      </c>
      <c r="K301" s="599"/>
      <c r="L301" s="600"/>
      <c r="M301" s="601"/>
      <c r="N301" s="600">
        <v>66</v>
      </c>
      <c r="O301" s="599">
        <v>64</v>
      </c>
      <c r="P301" s="600"/>
      <c r="Q301" s="601"/>
      <c r="R301" s="600">
        <v>0</v>
      </c>
      <c r="S301" s="599"/>
      <c r="T301" s="600"/>
      <c r="U301" s="601"/>
      <c r="V301" s="600">
        <v>42</v>
      </c>
      <c r="W301" s="599">
        <v>40</v>
      </c>
      <c r="X301" s="600"/>
      <c r="Y301" s="601"/>
      <c r="Z301" s="600">
        <v>0</v>
      </c>
      <c r="AA301" s="599"/>
      <c r="AB301" s="600"/>
      <c r="AC301" s="601"/>
      <c r="AD301" s="600">
        <v>1</v>
      </c>
      <c r="AE301" s="599"/>
      <c r="AF301" s="600"/>
      <c r="AG301" s="601"/>
      <c r="AH301" s="600">
        <v>0</v>
      </c>
      <c r="AI301" s="599"/>
      <c r="AJ301" s="600"/>
      <c r="AK301" s="601"/>
      <c r="AL301" s="600">
        <v>41</v>
      </c>
      <c r="AM301" s="599">
        <v>49</v>
      </c>
      <c r="AN301" s="600"/>
      <c r="AO301" s="601"/>
      <c r="AP301" s="600">
        <v>0</v>
      </c>
      <c r="AQ301" s="599"/>
      <c r="AR301" s="600"/>
      <c r="AS301" s="601"/>
      <c r="AT301" s="600"/>
      <c r="AU301" s="599"/>
      <c r="AV301" s="600"/>
      <c r="AW301" s="601"/>
      <c r="AX301" s="600"/>
      <c r="AY301" s="599"/>
      <c r="AZ301" s="600"/>
      <c r="BA301" s="601"/>
      <c r="BB301" s="602">
        <v>5163406</v>
      </c>
      <c r="BC301" s="599">
        <v>5130180</v>
      </c>
      <c r="BD301" s="600">
        <v>4455660</v>
      </c>
      <c r="BE301" s="599">
        <v>4457728</v>
      </c>
      <c r="BF301" s="600">
        <v>2593206</v>
      </c>
      <c r="BG301" s="599">
        <v>2555080</v>
      </c>
      <c r="BH301" s="600">
        <v>56000</v>
      </c>
      <c r="BI301" s="599">
        <v>0</v>
      </c>
      <c r="BJ301" s="600">
        <v>2039996</v>
      </c>
      <c r="BK301" s="615">
        <v>2442601</v>
      </c>
      <c r="BL301" s="600">
        <v>0</v>
      </c>
      <c r="BM301" s="604"/>
      <c r="BN301" s="605">
        <f t="shared" si="365"/>
        <v>549</v>
      </c>
      <c r="BO301" s="606">
        <f t="shared" si="366"/>
        <v>540</v>
      </c>
      <c r="BP301" s="607">
        <f t="shared" si="367"/>
        <v>594</v>
      </c>
      <c r="BQ301" s="606">
        <f t="shared" si="368"/>
        <v>576</v>
      </c>
      <c r="BR301" s="607">
        <f t="shared" si="369"/>
        <v>378</v>
      </c>
      <c r="BS301" s="606">
        <f t="shared" si="370"/>
        <v>360</v>
      </c>
      <c r="BT301" s="607">
        <f t="shared" si="371"/>
        <v>9</v>
      </c>
      <c r="BU301" s="606">
        <f t="shared" si="372"/>
        <v>0</v>
      </c>
      <c r="BV301" s="607">
        <f t="shared" si="373"/>
        <v>369</v>
      </c>
      <c r="BW301" s="608">
        <f t="shared" si="374"/>
        <v>441</v>
      </c>
      <c r="BX301" s="607">
        <f t="shared" si="375"/>
        <v>0</v>
      </c>
      <c r="BY301" s="608">
        <f t="shared" si="376"/>
        <v>0</v>
      </c>
      <c r="BZ301" s="607">
        <f t="shared" si="377"/>
        <v>9405.1111111111113</v>
      </c>
      <c r="CA301" s="608">
        <f t="shared" si="378"/>
        <v>9500.3333333333339</v>
      </c>
      <c r="CB301" s="607">
        <f t="shared" si="379"/>
        <v>7501.1111111111113</v>
      </c>
      <c r="CC301" s="608">
        <f t="shared" si="380"/>
        <v>7739.1111111111113</v>
      </c>
      <c r="CD301" s="607">
        <f t="shared" si="381"/>
        <v>6860.333333333333</v>
      </c>
      <c r="CE301" s="608">
        <f t="shared" si="382"/>
        <v>7097.4444444444443</v>
      </c>
      <c r="CF301" s="607">
        <f t="shared" si="383"/>
        <v>6222.2222222222226</v>
      </c>
      <c r="CG301" s="608">
        <f t="shared" si="384"/>
        <v>0</v>
      </c>
      <c r="CH301" s="607">
        <f t="shared" si="385"/>
        <v>5528.4444444444443</v>
      </c>
      <c r="CI301" s="608">
        <f t="shared" si="386"/>
        <v>5538.7777777777774</v>
      </c>
      <c r="CJ301" s="607">
        <f t="shared" si="387"/>
        <v>0</v>
      </c>
      <c r="CK301" s="608">
        <f t="shared" si="388"/>
        <v>0</v>
      </c>
      <c r="CL301" s="609">
        <f t="shared" si="389"/>
        <v>84646</v>
      </c>
      <c r="CM301" s="608">
        <f t="shared" si="390"/>
        <v>85503</v>
      </c>
      <c r="CN301" s="610">
        <f t="shared" si="391"/>
        <v>67510</v>
      </c>
      <c r="CO301" s="606">
        <f t="shared" si="392"/>
        <v>69652</v>
      </c>
      <c r="CP301" s="607">
        <f t="shared" si="393"/>
        <v>61743</v>
      </c>
      <c r="CQ301" s="606">
        <f t="shared" si="394"/>
        <v>63877</v>
      </c>
      <c r="CR301" s="607">
        <f t="shared" si="395"/>
        <v>56000</v>
      </c>
      <c r="CS301" s="606">
        <f t="shared" si="396"/>
        <v>0</v>
      </c>
      <c r="CT301" s="607">
        <f t="shared" si="397"/>
        <v>49756</v>
      </c>
      <c r="CU301" s="608">
        <f t="shared" si="398"/>
        <v>49849</v>
      </c>
      <c r="CV301" s="610">
        <f t="shared" si="399"/>
        <v>0</v>
      </c>
      <c r="CW301" s="608">
        <f t="shared" si="400"/>
        <v>0</v>
      </c>
      <c r="CX301" s="610">
        <f t="shared" si="401"/>
        <v>67811.696682464448</v>
      </c>
      <c r="CY301" s="611">
        <f t="shared" si="402"/>
        <v>68476.943661971833</v>
      </c>
      <c r="CZ301" s="605">
        <f t="shared" si="403"/>
        <v>61</v>
      </c>
      <c r="DA301" s="612">
        <f t="shared" si="404"/>
        <v>60</v>
      </c>
      <c r="DB301" s="607">
        <f t="shared" si="405"/>
        <v>66</v>
      </c>
      <c r="DC301" s="606">
        <f t="shared" si="406"/>
        <v>64</v>
      </c>
      <c r="DD301" s="607">
        <f t="shared" si="407"/>
        <v>42</v>
      </c>
      <c r="DE301" s="606">
        <f t="shared" si="408"/>
        <v>40</v>
      </c>
      <c r="DF301" s="607">
        <f t="shared" si="409"/>
        <v>1</v>
      </c>
      <c r="DG301" s="606">
        <f t="shared" si="410"/>
        <v>0</v>
      </c>
      <c r="DH301" s="607">
        <f t="shared" si="411"/>
        <v>41</v>
      </c>
      <c r="DI301" s="608">
        <f t="shared" si="412"/>
        <v>49</v>
      </c>
      <c r="DJ301" s="607">
        <f t="shared" si="413"/>
        <v>0</v>
      </c>
      <c r="DK301" s="608">
        <f t="shared" si="414"/>
        <v>0</v>
      </c>
      <c r="DL301" s="607">
        <f t="shared" si="415"/>
        <v>211</v>
      </c>
      <c r="DM301" s="608">
        <f t="shared" si="416"/>
        <v>213</v>
      </c>
      <c r="DN301" s="607">
        <f t="shared" si="417"/>
        <v>5163406</v>
      </c>
      <c r="DO301" s="612">
        <f t="shared" si="418"/>
        <v>5130180</v>
      </c>
      <c r="DP301" s="607">
        <f t="shared" si="419"/>
        <v>4455660</v>
      </c>
      <c r="DQ301" s="606">
        <f t="shared" si="420"/>
        <v>4457728</v>
      </c>
      <c r="DR301" s="607">
        <f t="shared" si="421"/>
        <v>2593206</v>
      </c>
      <c r="DS301" s="606">
        <f t="shared" si="422"/>
        <v>2555080</v>
      </c>
      <c r="DT301" s="607">
        <f t="shared" si="423"/>
        <v>56000</v>
      </c>
      <c r="DU301" s="606">
        <f t="shared" si="424"/>
        <v>0</v>
      </c>
      <c r="DV301" s="607">
        <f t="shared" si="425"/>
        <v>2039996</v>
      </c>
      <c r="DW301" s="608">
        <f t="shared" si="426"/>
        <v>2442601</v>
      </c>
      <c r="DX301" s="607">
        <f t="shared" si="427"/>
        <v>0</v>
      </c>
      <c r="DY301" s="608">
        <f t="shared" si="428"/>
        <v>0</v>
      </c>
      <c r="DZ301" s="607">
        <f t="shared" si="429"/>
        <v>14308267.999999998</v>
      </c>
      <c r="EA301" s="608">
        <f t="shared" si="430"/>
        <v>14585589</v>
      </c>
    </row>
    <row r="302" spans="1:131" x14ac:dyDescent="0.2">
      <c r="A302" s="390" t="s">
        <v>40</v>
      </c>
      <c r="B302" s="391" t="s">
        <v>620</v>
      </c>
      <c r="C302" s="569"/>
      <c r="D302" s="398">
        <v>197887</v>
      </c>
      <c r="E302" s="399">
        <v>8</v>
      </c>
      <c r="F302" s="598"/>
      <c r="G302" s="599"/>
      <c r="H302" s="600"/>
      <c r="I302" s="601"/>
      <c r="J302" s="600"/>
      <c r="K302" s="599"/>
      <c r="L302" s="600"/>
      <c r="M302" s="601"/>
      <c r="N302" s="600"/>
      <c r="O302" s="599"/>
      <c r="P302" s="600"/>
      <c r="Q302" s="601"/>
      <c r="R302" s="600"/>
      <c r="S302" s="599"/>
      <c r="T302" s="600"/>
      <c r="U302" s="601"/>
      <c r="V302" s="600"/>
      <c r="W302" s="599"/>
      <c r="X302" s="600"/>
      <c r="Y302" s="601"/>
      <c r="Z302" s="600"/>
      <c r="AA302" s="599"/>
      <c r="AB302" s="600"/>
      <c r="AC302" s="601"/>
      <c r="AD302" s="600"/>
      <c r="AE302" s="599"/>
      <c r="AF302" s="600"/>
      <c r="AG302" s="601"/>
      <c r="AH302" s="600"/>
      <c r="AI302" s="599"/>
      <c r="AJ302" s="600"/>
      <c r="AK302" s="601"/>
      <c r="AL302" s="600"/>
      <c r="AM302" s="599">
        <v>60</v>
      </c>
      <c r="AN302" s="600"/>
      <c r="AO302" s="601">
        <v>1</v>
      </c>
      <c r="AP302" s="600"/>
      <c r="AQ302" s="599"/>
      <c r="AR302" s="600"/>
      <c r="AS302" s="601">
        <v>62</v>
      </c>
      <c r="AT302" s="600">
        <v>166</v>
      </c>
      <c r="AU302" s="599"/>
      <c r="AV302" s="600"/>
      <c r="AW302" s="601"/>
      <c r="AX302" s="600"/>
      <c r="AY302" s="599"/>
      <c r="AZ302" s="600"/>
      <c r="BA302" s="601"/>
      <c r="BB302" s="602">
        <v>0</v>
      </c>
      <c r="BC302" s="599"/>
      <c r="BD302" s="600">
        <v>0</v>
      </c>
      <c r="BE302" s="599"/>
      <c r="BF302" s="600">
        <v>0</v>
      </c>
      <c r="BG302" s="599"/>
      <c r="BH302" s="600">
        <v>0</v>
      </c>
      <c r="BI302" s="599"/>
      <c r="BJ302" s="600">
        <v>0</v>
      </c>
      <c r="BK302" s="615">
        <v>6009276</v>
      </c>
      <c r="BL302" s="600">
        <v>7611362.2800000003</v>
      </c>
      <c r="BM302" s="604"/>
      <c r="BN302" s="605">
        <f t="shared" si="365"/>
        <v>0</v>
      </c>
      <c r="BO302" s="606">
        <f t="shared" si="366"/>
        <v>0</v>
      </c>
      <c r="BP302" s="607">
        <f t="shared" si="367"/>
        <v>0</v>
      </c>
      <c r="BQ302" s="606">
        <f t="shared" si="368"/>
        <v>0</v>
      </c>
      <c r="BR302" s="607">
        <f t="shared" si="369"/>
        <v>0</v>
      </c>
      <c r="BS302" s="606">
        <f t="shared" si="370"/>
        <v>0</v>
      </c>
      <c r="BT302" s="607">
        <f t="shared" si="371"/>
        <v>0</v>
      </c>
      <c r="BU302" s="606">
        <f t="shared" si="372"/>
        <v>0</v>
      </c>
      <c r="BV302" s="607">
        <f t="shared" si="373"/>
        <v>0</v>
      </c>
      <c r="BW302" s="608">
        <f t="shared" si="374"/>
        <v>1294</v>
      </c>
      <c r="BX302" s="607">
        <f t="shared" si="375"/>
        <v>1494</v>
      </c>
      <c r="BY302" s="608">
        <f t="shared" si="376"/>
        <v>0</v>
      </c>
      <c r="BZ302" s="607">
        <f t="shared" si="377"/>
        <v>0</v>
      </c>
      <c r="CA302" s="608">
        <f t="shared" si="378"/>
        <v>0</v>
      </c>
      <c r="CB302" s="607">
        <f t="shared" si="379"/>
        <v>0</v>
      </c>
      <c r="CC302" s="608">
        <f t="shared" si="380"/>
        <v>0</v>
      </c>
      <c r="CD302" s="607">
        <f t="shared" si="381"/>
        <v>0</v>
      </c>
      <c r="CE302" s="608">
        <f t="shared" si="382"/>
        <v>0</v>
      </c>
      <c r="CF302" s="607">
        <f t="shared" si="383"/>
        <v>0</v>
      </c>
      <c r="CG302" s="608">
        <f t="shared" si="384"/>
        <v>0</v>
      </c>
      <c r="CH302" s="607">
        <f t="shared" si="385"/>
        <v>0</v>
      </c>
      <c r="CI302" s="608">
        <f t="shared" si="386"/>
        <v>4643.9536321483774</v>
      </c>
      <c r="CJ302" s="607">
        <f t="shared" si="387"/>
        <v>5094.62</v>
      </c>
      <c r="CK302" s="608">
        <f t="shared" si="388"/>
        <v>0</v>
      </c>
      <c r="CL302" s="609">
        <f t="shared" si="389"/>
        <v>0</v>
      </c>
      <c r="CM302" s="608">
        <f t="shared" si="390"/>
        <v>0</v>
      </c>
      <c r="CN302" s="610">
        <f t="shared" si="391"/>
        <v>0</v>
      </c>
      <c r="CO302" s="606">
        <f t="shared" si="392"/>
        <v>0</v>
      </c>
      <c r="CP302" s="607">
        <f t="shared" si="393"/>
        <v>0</v>
      </c>
      <c r="CQ302" s="606">
        <f t="shared" si="394"/>
        <v>0</v>
      </c>
      <c r="CR302" s="607">
        <f t="shared" si="395"/>
        <v>0</v>
      </c>
      <c r="CS302" s="606">
        <f t="shared" si="396"/>
        <v>0</v>
      </c>
      <c r="CT302" s="607">
        <f t="shared" si="397"/>
        <v>0</v>
      </c>
      <c r="CU302" s="608">
        <f t="shared" si="398"/>
        <v>41795.582689335395</v>
      </c>
      <c r="CV302" s="610">
        <f t="shared" si="399"/>
        <v>45851.58</v>
      </c>
      <c r="CW302" s="608">
        <f t="shared" si="400"/>
        <v>0</v>
      </c>
      <c r="CX302" s="610">
        <f t="shared" si="401"/>
        <v>45851.58</v>
      </c>
      <c r="CY302" s="611">
        <f t="shared" si="402"/>
        <v>41795.582689335395</v>
      </c>
      <c r="CZ302" s="605">
        <f t="shared" si="403"/>
        <v>0</v>
      </c>
      <c r="DA302" s="612">
        <f t="shared" si="404"/>
        <v>0</v>
      </c>
      <c r="DB302" s="607">
        <f t="shared" si="405"/>
        <v>0</v>
      </c>
      <c r="DC302" s="606">
        <f t="shared" si="406"/>
        <v>0</v>
      </c>
      <c r="DD302" s="607">
        <f t="shared" si="407"/>
        <v>0</v>
      </c>
      <c r="DE302" s="606">
        <f t="shared" si="408"/>
        <v>0</v>
      </c>
      <c r="DF302" s="607">
        <f t="shared" si="409"/>
        <v>0</v>
      </c>
      <c r="DG302" s="606">
        <f t="shared" si="410"/>
        <v>0</v>
      </c>
      <c r="DH302" s="607">
        <f t="shared" si="411"/>
        <v>0</v>
      </c>
      <c r="DI302" s="608">
        <f t="shared" si="412"/>
        <v>123</v>
      </c>
      <c r="DJ302" s="607">
        <f t="shared" si="413"/>
        <v>166</v>
      </c>
      <c r="DK302" s="608">
        <f t="shared" si="414"/>
        <v>0</v>
      </c>
      <c r="DL302" s="607">
        <f t="shared" si="415"/>
        <v>166</v>
      </c>
      <c r="DM302" s="608">
        <f t="shared" si="416"/>
        <v>123</v>
      </c>
      <c r="DN302" s="607">
        <f t="shared" si="417"/>
        <v>0</v>
      </c>
      <c r="DO302" s="612">
        <f t="shared" si="418"/>
        <v>0</v>
      </c>
      <c r="DP302" s="607">
        <f t="shared" si="419"/>
        <v>0</v>
      </c>
      <c r="DQ302" s="606">
        <f t="shared" si="420"/>
        <v>0</v>
      </c>
      <c r="DR302" s="607">
        <f t="shared" si="421"/>
        <v>0</v>
      </c>
      <c r="DS302" s="606">
        <f t="shared" si="422"/>
        <v>0</v>
      </c>
      <c r="DT302" s="607">
        <f t="shared" si="423"/>
        <v>0</v>
      </c>
      <c r="DU302" s="606">
        <f t="shared" si="424"/>
        <v>0</v>
      </c>
      <c r="DV302" s="607">
        <f t="shared" si="425"/>
        <v>0</v>
      </c>
      <c r="DW302" s="608">
        <f t="shared" si="426"/>
        <v>5140856.6707882537</v>
      </c>
      <c r="DX302" s="607">
        <f t="shared" si="427"/>
        <v>7611362.2800000003</v>
      </c>
      <c r="DY302" s="608">
        <f t="shared" si="428"/>
        <v>0</v>
      </c>
      <c r="DZ302" s="607">
        <f t="shared" si="429"/>
        <v>7611362.2800000003</v>
      </c>
      <c r="EA302" s="608">
        <f t="shared" si="430"/>
        <v>5140856.6707882537</v>
      </c>
    </row>
    <row r="303" spans="1:131" x14ac:dyDescent="0.2">
      <c r="A303" s="393" t="s">
        <v>40</v>
      </c>
      <c r="B303" s="391" t="s">
        <v>621</v>
      </c>
      <c r="C303" s="569"/>
      <c r="D303" s="398">
        <v>198154</v>
      </c>
      <c r="E303" s="399">
        <v>8</v>
      </c>
      <c r="F303" s="598"/>
      <c r="G303" s="599"/>
      <c r="H303" s="600"/>
      <c r="I303" s="601"/>
      <c r="J303" s="600"/>
      <c r="K303" s="599"/>
      <c r="L303" s="600"/>
      <c r="M303" s="601"/>
      <c r="N303" s="600"/>
      <c r="O303" s="599"/>
      <c r="P303" s="600"/>
      <c r="Q303" s="601"/>
      <c r="R303" s="600"/>
      <c r="S303" s="599"/>
      <c r="T303" s="600"/>
      <c r="U303" s="601"/>
      <c r="V303" s="600"/>
      <c r="W303" s="599"/>
      <c r="X303" s="600"/>
      <c r="Y303" s="601"/>
      <c r="Z303" s="600"/>
      <c r="AA303" s="599"/>
      <c r="AB303" s="600"/>
      <c r="AC303" s="601"/>
      <c r="AD303" s="600"/>
      <c r="AE303" s="599"/>
      <c r="AF303" s="600"/>
      <c r="AG303" s="601"/>
      <c r="AH303" s="600"/>
      <c r="AI303" s="599"/>
      <c r="AJ303" s="600"/>
      <c r="AK303" s="601"/>
      <c r="AL303" s="600"/>
      <c r="AM303" s="599">
        <v>290</v>
      </c>
      <c r="AN303" s="600"/>
      <c r="AO303" s="601"/>
      <c r="AP303" s="600"/>
      <c r="AQ303" s="599"/>
      <c r="AR303" s="600"/>
      <c r="AS303" s="601"/>
      <c r="AT303" s="600">
        <v>276</v>
      </c>
      <c r="AU303" s="599"/>
      <c r="AV303" s="600"/>
      <c r="AW303" s="601"/>
      <c r="AX303" s="600"/>
      <c r="AY303" s="599"/>
      <c r="AZ303" s="600"/>
      <c r="BA303" s="601"/>
      <c r="BB303" s="602">
        <v>0</v>
      </c>
      <c r="BC303" s="599"/>
      <c r="BD303" s="600">
        <v>0</v>
      </c>
      <c r="BE303" s="599"/>
      <c r="BF303" s="600">
        <v>0</v>
      </c>
      <c r="BG303" s="599"/>
      <c r="BH303" s="600">
        <v>0</v>
      </c>
      <c r="BI303" s="599"/>
      <c r="BJ303" s="600">
        <v>0</v>
      </c>
      <c r="BK303" s="615">
        <v>14068053</v>
      </c>
      <c r="BL303" s="600">
        <v>13214432.879999999</v>
      </c>
      <c r="BM303" s="604"/>
      <c r="BN303" s="605">
        <f t="shared" si="365"/>
        <v>0</v>
      </c>
      <c r="BO303" s="606">
        <f t="shared" si="366"/>
        <v>0</v>
      </c>
      <c r="BP303" s="607">
        <f t="shared" si="367"/>
        <v>0</v>
      </c>
      <c r="BQ303" s="606">
        <f t="shared" si="368"/>
        <v>0</v>
      </c>
      <c r="BR303" s="607">
        <f t="shared" si="369"/>
        <v>0</v>
      </c>
      <c r="BS303" s="606">
        <f t="shared" si="370"/>
        <v>0</v>
      </c>
      <c r="BT303" s="607">
        <f t="shared" si="371"/>
        <v>0</v>
      </c>
      <c r="BU303" s="606">
        <f t="shared" si="372"/>
        <v>0</v>
      </c>
      <c r="BV303" s="607">
        <f t="shared" si="373"/>
        <v>0</v>
      </c>
      <c r="BW303" s="608">
        <f t="shared" si="374"/>
        <v>2610</v>
      </c>
      <c r="BX303" s="607">
        <f t="shared" si="375"/>
        <v>2484</v>
      </c>
      <c r="BY303" s="608">
        <f t="shared" si="376"/>
        <v>0</v>
      </c>
      <c r="BZ303" s="607">
        <f t="shared" si="377"/>
        <v>0</v>
      </c>
      <c r="CA303" s="608">
        <f t="shared" si="378"/>
        <v>0</v>
      </c>
      <c r="CB303" s="607">
        <f t="shared" si="379"/>
        <v>0</v>
      </c>
      <c r="CC303" s="608">
        <f t="shared" si="380"/>
        <v>0</v>
      </c>
      <c r="CD303" s="607">
        <f t="shared" si="381"/>
        <v>0</v>
      </c>
      <c r="CE303" s="608">
        <f t="shared" si="382"/>
        <v>0</v>
      </c>
      <c r="CF303" s="607">
        <f t="shared" si="383"/>
        <v>0</v>
      </c>
      <c r="CG303" s="608">
        <f t="shared" si="384"/>
        <v>0</v>
      </c>
      <c r="CH303" s="607">
        <f t="shared" si="385"/>
        <v>0</v>
      </c>
      <c r="CI303" s="608">
        <f t="shared" si="386"/>
        <v>5390.0586206896551</v>
      </c>
      <c r="CJ303" s="607">
        <f t="shared" si="387"/>
        <v>5319.82</v>
      </c>
      <c r="CK303" s="608">
        <f t="shared" si="388"/>
        <v>0</v>
      </c>
      <c r="CL303" s="609">
        <f t="shared" si="389"/>
        <v>0</v>
      </c>
      <c r="CM303" s="608">
        <f t="shared" si="390"/>
        <v>0</v>
      </c>
      <c r="CN303" s="610">
        <f t="shared" si="391"/>
        <v>0</v>
      </c>
      <c r="CO303" s="606">
        <f t="shared" si="392"/>
        <v>0</v>
      </c>
      <c r="CP303" s="607">
        <f t="shared" si="393"/>
        <v>0</v>
      </c>
      <c r="CQ303" s="606">
        <f t="shared" si="394"/>
        <v>0</v>
      </c>
      <c r="CR303" s="607">
        <f t="shared" si="395"/>
        <v>0</v>
      </c>
      <c r="CS303" s="606">
        <f t="shared" si="396"/>
        <v>0</v>
      </c>
      <c r="CT303" s="607">
        <f t="shared" si="397"/>
        <v>0</v>
      </c>
      <c r="CU303" s="608">
        <f t="shared" si="398"/>
        <v>48510.527586206896</v>
      </c>
      <c r="CV303" s="610">
        <f t="shared" si="399"/>
        <v>47878.38</v>
      </c>
      <c r="CW303" s="608">
        <f t="shared" si="400"/>
        <v>0</v>
      </c>
      <c r="CX303" s="610">
        <f t="shared" si="401"/>
        <v>47878.38</v>
      </c>
      <c r="CY303" s="611">
        <f t="shared" si="402"/>
        <v>48510.527586206896</v>
      </c>
      <c r="CZ303" s="605">
        <f t="shared" si="403"/>
        <v>0</v>
      </c>
      <c r="DA303" s="612">
        <f t="shared" si="404"/>
        <v>0</v>
      </c>
      <c r="DB303" s="607">
        <f t="shared" si="405"/>
        <v>0</v>
      </c>
      <c r="DC303" s="606">
        <f t="shared" si="406"/>
        <v>0</v>
      </c>
      <c r="DD303" s="607">
        <f t="shared" si="407"/>
        <v>0</v>
      </c>
      <c r="DE303" s="606">
        <f t="shared" si="408"/>
        <v>0</v>
      </c>
      <c r="DF303" s="607">
        <f t="shared" si="409"/>
        <v>0</v>
      </c>
      <c r="DG303" s="606">
        <f t="shared" si="410"/>
        <v>0</v>
      </c>
      <c r="DH303" s="607">
        <f t="shared" si="411"/>
        <v>0</v>
      </c>
      <c r="DI303" s="608">
        <f t="shared" si="412"/>
        <v>290</v>
      </c>
      <c r="DJ303" s="607">
        <f t="shared" si="413"/>
        <v>276</v>
      </c>
      <c r="DK303" s="608">
        <f t="shared" si="414"/>
        <v>0</v>
      </c>
      <c r="DL303" s="607">
        <f t="shared" si="415"/>
        <v>276</v>
      </c>
      <c r="DM303" s="608">
        <f t="shared" si="416"/>
        <v>290</v>
      </c>
      <c r="DN303" s="607">
        <f t="shared" si="417"/>
        <v>0</v>
      </c>
      <c r="DO303" s="612">
        <f t="shared" si="418"/>
        <v>0</v>
      </c>
      <c r="DP303" s="607">
        <f t="shared" si="419"/>
        <v>0</v>
      </c>
      <c r="DQ303" s="606">
        <f t="shared" si="420"/>
        <v>0</v>
      </c>
      <c r="DR303" s="607">
        <f t="shared" si="421"/>
        <v>0</v>
      </c>
      <c r="DS303" s="606">
        <f t="shared" si="422"/>
        <v>0</v>
      </c>
      <c r="DT303" s="607">
        <f t="shared" si="423"/>
        <v>0</v>
      </c>
      <c r="DU303" s="606">
        <f t="shared" si="424"/>
        <v>0</v>
      </c>
      <c r="DV303" s="607">
        <f t="shared" si="425"/>
        <v>0</v>
      </c>
      <c r="DW303" s="608">
        <f t="shared" si="426"/>
        <v>14068053</v>
      </c>
      <c r="DX303" s="607">
        <f t="shared" si="427"/>
        <v>13214432.879999999</v>
      </c>
      <c r="DY303" s="608">
        <f t="shared" si="428"/>
        <v>0</v>
      </c>
      <c r="DZ303" s="607">
        <f t="shared" si="429"/>
        <v>13214432.879999999</v>
      </c>
      <c r="EA303" s="608">
        <f t="shared" si="430"/>
        <v>14068053</v>
      </c>
    </row>
    <row r="304" spans="1:131" x14ac:dyDescent="0.2">
      <c r="A304" s="393" t="s">
        <v>40</v>
      </c>
      <c r="B304" s="391" t="s">
        <v>622</v>
      </c>
      <c r="C304" s="569"/>
      <c r="D304" s="398">
        <v>198260</v>
      </c>
      <c r="E304" s="399">
        <v>8</v>
      </c>
      <c r="F304" s="598"/>
      <c r="G304" s="599"/>
      <c r="H304" s="600"/>
      <c r="I304" s="601"/>
      <c r="J304" s="600"/>
      <c r="K304" s="599"/>
      <c r="L304" s="600"/>
      <c r="M304" s="601"/>
      <c r="N304" s="600"/>
      <c r="O304" s="599"/>
      <c r="P304" s="600"/>
      <c r="Q304" s="601"/>
      <c r="R304" s="600"/>
      <c r="S304" s="599"/>
      <c r="T304" s="600"/>
      <c r="U304" s="601"/>
      <c r="V304" s="600"/>
      <c r="W304" s="599"/>
      <c r="X304" s="600"/>
      <c r="Y304" s="601"/>
      <c r="Z304" s="600"/>
      <c r="AA304" s="599"/>
      <c r="AB304" s="600"/>
      <c r="AC304" s="601"/>
      <c r="AD304" s="600"/>
      <c r="AE304" s="599"/>
      <c r="AF304" s="600"/>
      <c r="AG304" s="601"/>
      <c r="AH304" s="600"/>
      <c r="AI304" s="599"/>
      <c r="AJ304" s="600"/>
      <c r="AK304" s="601"/>
      <c r="AL304" s="600"/>
      <c r="AM304" s="599"/>
      <c r="AN304" s="600"/>
      <c r="AO304" s="601">
        <v>346</v>
      </c>
      <c r="AP304" s="600"/>
      <c r="AQ304" s="599"/>
      <c r="AR304" s="600"/>
      <c r="AS304" s="601">
        <v>31</v>
      </c>
      <c r="AT304" s="600">
        <v>321</v>
      </c>
      <c r="AU304" s="599"/>
      <c r="AV304" s="600"/>
      <c r="AW304" s="601"/>
      <c r="AX304" s="600"/>
      <c r="AY304" s="599"/>
      <c r="AZ304" s="600"/>
      <c r="BA304" s="601"/>
      <c r="BB304" s="602">
        <v>0</v>
      </c>
      <c r="BC304" s="599"/>
      <c r="BD304" s="600">
        <v>0</v>
      </c>
      <c r="BE304" s="599"/>
      <c r="BF304" s="600">
        <v>0</v>
      </c>
      <c r="BG304" s="599"/>
      <c r="BH304" s="600">
        <v>0</v>
      </c>
      <c r="BI304" s="599"/>
      <c r="BJ304" s="600">
        <v>0</v>
      </c>
      <c r="BK304" s="615">
        <v>22014974</v>
      </c>
      <c r="BL304" s="600">
        <v>16888227.299999997</v>
      </c>
      <c r="BM304" s="604"/>
      <c r="BN304" s="605">
        <f t="shared" si="365"/>
        <v>0</v>
      </c>
      <c r="BO304" s="606">
        <f t="shared" si="366"/>
        <v>0</v>
      </c>
      <c r="BP304" s="607">
        <f t="shared" si="367"/>
        <v>0</v>
      </c>
      <c r="BQ304" s="606">
        <f t="shared" si="368"/>
        <v>0</v>
      </c>
      <c r="BR304" s="607">
        <f t="shared" si="369"/>
        <v>0</v>
      </c>
      <c r="BS304" s="606">
        <f t="shared" si="370"/>
        <v>0</v>
      </c>
      <c r="BT304" s="607">
        <f t="shared" si="371"/>
        <v>0</v>
      </c>
      <c r="BU304" s="606">
        <f t="shared" si="372"/>
        <v>0</v>
      </c>
      <c r="BV304" s="607">
        <f t="shared" si="373"/>
        <v>0</v>
      </c>
      <c r="BW304" s="608">
        <f t="shared" si="374"/>
        <v>3832</v>
      </c>
      <c r="BX304" s="607">
        <f t="shared" si="375"/>
        <v>2889</v>
      </c>
      <c r="BY304" s="608">
        <f t="shared" si="376"/>
        <v>0</v>
      </c>
      <c r="BZ304" s="607">
        <f t="shared" si="377"/>
        <v>0</v>
      </c>
      <c r="CA304" s="608">
        <f t="shared" si="378"/>
        <v>0</v>
      </c>
      <c r="CB304" s="607">
        <f t="shared" si="379"/>
        <v>0</v>
      </c>
      <c r="CC304" s="608">
        <f t="shared" si="380"/>
        <v>0</v>
      </c>
      <c r="CD304" s="607">
        <f t="shared" si="381"/>
        <v>0</v>
      </c>
      <c r="CE304" s="608">
        <f t="shared" si="382"/>
        <v>0</v>
      </c>
      <c r="CF304" s="607">
        <f t="shared" si="383"/>
        <v>0</v>
      </c>
      <c r="CG304" s="608">
        <f t="shared" si="384"/>
        <v>0</v>
      </c>
      <c r="CH304" s="607">
        <f t="shared" si="385"/>
        <v>0</v>
      </c>
      <c r="CI304" s="608">
        <f t="shared" si="386"/>
        <v>5745.0349686847603</v>
      </c>
      <c r="CJ304" s="607">
        <f t="shared" si="387"/>
        <v>5845.6999999999989</v>
      </c>
      <c r="CK304" s="608">
        <f t="shared" si="388"/>
        <v>0</v>
      </c>
      <c r="CL304" s="609">
        <f t="shared" si="389"/>
        <v>0</v>
      </c>
      <c r="CM304" s="608">
        <f t="shared" si="390"/>
        <v>0</v>
      </c>
      <c r="CN304" s="610">
        <f t="shared" si="391"/>
        <v>0</v>
      </c>
      <c r="CO304" s="606">
        <f t="shared" si="392"/>
        <v>0</v>
      </c>
      <c r="CP304" s="607">
        <f t="shared" si="393"/>
        <v>0</v>
      </c>
      <c r="CQ304" s="606">
        <f t="shared" si="394"/>
        <v>0</v>
      </c>
      <c r="CR304" s="607">
        <f t="shared" si="395"/>
        <v>0</v>
      </c>
      <c r="CS304" s="606">
        <f t="shared" si="396"/>
        <v>0</v>
      </c>
      <c r="CT304" s="607">
        <f t="shared" si="397"/>
        <v>0</v>
      </c>
      <c r="CU304" s="608">
        <f t="shared" si="398"/>
        <v>51705.314718162845</v>
      </c>
      <c r="CV304" s="610">
        <f t="shared" si="399"/>
        <v>52611.299999999988</v>
      </c>
      <c r="CW304" s="608">
        <f t="shared" si="400"/>
        <v>0</v>
      </c>
      <c r="CX304" s="610">
        <f t="shared" si="401"/>
        <v>52611.299999999988</v>
      </c>
      <c r="CY304" s="611">
        <f t="shared" si="402"/>
        <v>51705.314718162845</v>
      </c>
      <c r="CZ304" s="605">
        <f t="shared" si="403"/>
        <v>0</v>
      </c>
      <c r="DA304" s="612">
        <f t="shared" si="404"/>
        <v>0</v>
      </c>
      <c r="DB304" s="607">
        <f t="shared" si="405"/>
        <v>0</v>
      </c>
      <c r="DC304" s="606">
        <f t="shared" si="406"/>
        <v>0</v>
      </c>
      <c r="DD304" s="607">
        <f t="shared" si="407"/>
        <v>0</v>
      </c>
      <c r="DE304" s="606">
        <f t="shared" si="408"/>
        <v>0</v>
      </c>
      <c r="DF304" s="607">
        <f t="shared" si="409"/>
        <v>0</v>
      </c>
      <c r="DG304" s="606">
        <f t="shared" si="410"/>
        <v>0</v>
      </c>
      <c r="DH304" s="607">
        <f t="shared" si="411"/>
        <v>0</v>
      </c>
      <c r="DI304" s="608">
        <f t="shared" si="412"/>
        <v>377</v>
      </c>
      <c r="DJ304" s="607">
        <f t="shared" si="413"/>
        <v>321</v>
      </c>
      <c r="DK304" s="608">
        <f t="shared" si="414"/>
        <v>0</v>
      </c>
      <c r="DL304" s="607">
        <f t="shared" si="415"/>
        <v>321</v>
      </c>
      <c r="DM304" s="608">
        <f t="shared" si="416"/>
        <v>377</v>
      </c>
      <c r="DN304" s="607">
        <f t="shared" si="417"/>
        <v>0</v>
      </c>
      <c r="DO304" s="612">
        <f t="shared" si="418"/>
        <v>0</v>
      </c>
      <c r="DP304" s="607">
        <f t="shared" si="419"/>
        <v>0</v>
      </c>
      <c r="DQ304" s="606">
        <f t="shared" si="420"/>
        <v>0</v>
      </c>
      <c r="DR304" s="607">
        <f t="shared" si="421"/>
        <v>0</v>
      </c>
      <c r="DS304" s="606">
        <f t="shared" si="422"/>
        <v>0</v>
      </c>
      <c r="DT304" s="607">
        <f t="shared" si="423"/>
        <v>0</v>
      </c>
      <c r="DU304" s="606">
        <f t="shared" si="424"/>
        <v>0</v>
      </c>
      <c r="DV304" s="607">
        <f t="shared" si="425"/>
        <v>0</v>
      </c>
      <c r="DW304" s="608">
        <f t="shared" si="426"/>
        <v>19492903.648747392</v>
      </c>
      <c r="DX304" s="607">
        <f t="shared" si="427"/>
        <v>16888227.299999997</v>
      </c>
      <c r="DY304" s="608">
        <f t="shared" si="428"/>
        <v>0</v>
      </c>
      <c r="DZ304" s="607">
        <f t="shared" si="429"/>
        <v>16888227.299999997</v>
      </c>
      <c r="EA304" s="608">
        <f t="shared" si="430"/>
        <v>19492903.648747392</v>
      </c>
    </row>
    <row r="305" spans="1:131" x14ac:dyDescent="0.2">
      <c r="A305" s="393" t="s">
        <v>40</v>
      </c>
      <c r="B305" s="391" t="s">
        <v>623</v>
      </c>
      <c r="C305" s="569"/>
      <c r="D305" s="398">
        <v>198534</v>
      </c>
      <c r="E305" s="399">
        <v>8</v>
      </c>
      <c r="F305" s="598"/>
      <c r="G305" s="599"/>
      <c r="H305" s="600"/>
      <c r="I305" s="601"/>
      <c r="J305" s="600"/>
      <c r="K305" s="599"/>
      <c r="L305" s="600"/>
      <c r="M305" s="601"/>
      <c r="N305" s="600"/>
      <c r="O305" s="599"/>
      <c r="P305" s="600"/>
      <c r="Q305" s="601"/>
      <c r="R305" s="600"/>
      <c r="S305" s="599"/>
      <c r="T305" s="600"/>
      <c r="U305" s="601"/>
      <c r="V305" s="600"/>
      <c r="W305" s="599"/>
      <c r="X305" s="600"/>
      <c r="Y305" s="601"/>
      <c r="Z305" s="600"/>
      <c r="AA305" s="599"/>
      <c r="AB305" s="600"/>
      <c r="AC305" s="601"/>
      <c r="AD305" s="600"/>
      <c r="AE305" s="599"/>
      <c r="AF305" s="600"/>
      <c r="AG305" s="601"/>
      <c r="AH305" s="600"/>
      <c r="AI305" s="599"/>
      <c r="AJ305" s="600"/>
      <c r="AK305" s="601"/>
      <c r="AL305" s="600"/>
      <c r="AM305" s="599"/>
      <c r="AN305" s="600"/>
      <c r="AO305" s="601"/>
      <c r="AP305" s="600"/>
      <c r="AQ305" s="599"/>
      <c r="AR305" s="600"/>
      <c r="AS305" s="601"/>
      <c r="AT305" s="600">
        <v>263</v>
      </c>
      <c r="AU305" s="599"/>
      <c r="AV305" s="600"/>
      <c r="AW305" s="601">
        <v>158</v>
      </c>
      <c r="AX305" s="600"/>
      <c r="AY305" s="599"/>
      <c r="AZ305" s="600"/>
      <c r="BA305" s="601">
        <v>138</v>
      </c>
      <c r="BB305" s="602">
        <v>0</v>
      </c>
      <c r="BC305" s="599"/>
      <c r="BD305" s="600">
        <v>0</v>
      </c>
      <c r="BE305" s="599"/>
      <c r="BF305" s="600">
        <v>0</v>
      </c>
      <c r="BG305" s="599"/>
      <c r="BH305" s="600">
        <v>0</v>
      </c>
      <c r="BI305" s="599">
        <v>16964236</v>
      </c>
      <c r="BJ305" s="600">
        <v>0</v>
      </c>
      <c r="BK305" s="615"/>
      <c r="BL305" s="600">
        <v>12485711.970000001</v>
      </c>
      <c r="BM305" s="604"/>
      <c r="BN305" s="605">
        <f t="shared" si="365"/>
        <v>0</v>
      </c>
      <c r="BO305" s="606">
        <f t="shared" si="366"/>
        <v>0</v>
      </c>
      <c r="BP305" s="607">
        <f t="shared" si="367"/>
        <v>0</v>
      </c>
      <c r="BQ305" s="606">
        <f t="shared" si="368"/>
        <v>0</v>
      </c>
      <c r="BR305" s="607">
        <f t="shared" si="369"/>
        <v>0</v>
      </c>
      <c r="BS305" s="606">
        <f t="shared" si="370"/>
        <v>0</v>
      </c>
      <c r="BT305" s="607">
        <f t="shared" si="371"/>
        <v>0</v>
      </c>
      <c r="BU305" s="606">
        <f t="shared" si="372"/>
        <v>0</v>
      </c>
      <c r="BV305" s="607">
        <f t="shared" si="373"/>
        <v>0</v>
      </c>
      <c r="BW305" s="608">
        <f t="shared" si="374"/>
        <v>0</v>
      </c>
      <c r="BX305" s="607">
        <f t="shared" si="375"/>
        <v>2367</v>
      </c>
      <c r="BY305" s="608">
        <f t="shared" si="376"/>
        <v>3236</v>
      </c>
      <c r="BZ305" s="607">
        <f t="shared" si="377"/>
        <v>0</v>
      </c>
      <c r="CA305" s="608">
        <f t="shared" si="378"/>
        <v>0</v>
      </c>
      <c r="CB305" s="607">
        <f t="shared" si="379"/>
        <v>0</v>
      </c>
      <c r="CC305" s="608">
        <f t="shared" si="380"/>
        <v>0</v>
      </c>
      <c r="CD305" s="607">
        <f t="shared" si="381"/>
        <v>0</v>
      </c>
      <c r="CE305" s="608">
        <f t="shared" si="382"/>
        <v>0</v>
      </c>
      <c r="CF305" s="607">
        <f t="shared" si="383"/>
        <v>0</v>
      </c>
      <c r="CG305" s="608">
        <f t="shared" si="384"/>
        <v>0</v>
      </c>
      <c r="CH305" s="607">
        <f t="shared" si="385"/>
        <v>0</v>
      </c>
      <c r="CI305" s="608">
        <f t="shared" si="386"/>
        <v>0</v>
      </c>
      <c r="CJ305" s="607">
        <f t="shared" si="387"/>
        <v>5274.91</v>
      </c>
      <c r="CK305" s="608">
        <f t="shared" si="388"/>
        <v>0</v>
      </c>
      <c r="CL305" s="609">
        <f t="shared" si="389"/>
        <v>0</v>
      </c>
      <c r="CM305" s="608">
        <f t="shared" si="390"/>
        <v>0</v>
      </c>
      <c r="CN305" s="610">
        <f t="shared" si="391"/>
        <v>0</v>
      </c>
      <c r="CO305" s="606">
        <f t="shared" si="392"/>
        <v>0</v>
      </c>
      <c r="CP305" s="607">
        <f t="shared" si="393"/>
        <v>0</v>
      </c>
      <c r="CQ305" s="606">
        <f t="shared" si="394"/>
        <v>0</v>
      </c>
      <c r="CR305" s="607">
        <f t="shared" si="395"/>
        <v>0</v>
      </c>
      <c r="CS305" s="606">
        <f t="shared" si="396"/>
        <v>0</v>
      </c>
      <c r="CT305" s="607">
        <f t="shared" si="397"/>
        <v>0</v>
      </c>
      <c r="CU305" s="608">
        <f t="shared" si="398"/>
        <v>0</v>
      </c>
      <c r="CV305" s="610">
        <f t="shared" si="399"/>
        <v>47474.19</v>
      </c>
      <c r="CW305" s="608">
        <f t="shared" si="400"/>
        <v>0</v>
      </c>
      <c r="CX305" s="610">
        <f t="shared" si="401"/>
        <v>47474.19</v>
      </c>
      <c r="CY305" s="611">
        <f t="shared" si="402"/>
        <v>0</v>
      </c>
      <c r="CZ305" s="605">
        <f t="shared" si="403"/>
        <v>0</v>
      </c>
      <c r="DA305" s="612">
        <f t="shared" si="404"/>
        <v>0</v>
      </c>
      <c r="DB305" s="607">
        <f t="shared" si="405"/>
        <v>0</v>
      </c>
      <c r="DC305" s="606">
        <f t="shared" si="406"/>
        <v>0</v>
      </c>
      <c r="DD305" s="607">
        <f t="shared" si="407"/>
        <v>0</v>
      </c>
      <c r="DE305" s="606">
        <f t="shared" si="408"/>
        <v>0</v>
      </c>
      <c r="DF305" s="607">
        <f t="shared" si="409"/>
        <v>0</v>
      </c>
      <c r="DG305" s="606">
        <f t="shared" si="410"/>
        <v>0</v>
      </c>
      <c r="DH305" s="607">
        <f t="shared" si="411"/>
        <v>0</v>
      </c>
      <c r="DI305" s="608">
        <f t="shared" si="412"/>
        <v>0</v>
      </c>
      <c r="DJ305" s="607">
        <f t="shared" si="413"/>
        <v>263</v>
      </c>
      <c r="DK305" s="608">
        <f t="shared" si="414"/>
        <v>296</v>
      </c>
      <c r="DL305" s="607">
        <f t="shared" si="415"/>
        <v>263</v>
      </c>
      <c r="DM305" s="608">
        <f t="shared" si="416"/>
        <v>296</v>
      </c>
      <c r="DN305" s="607">
        <f t="shared" si="417"/>
        <v>0</v>
      </c>
      <c r="DO305" s="612">
        <f t="shared" si="418"/>
        <v>0</v>
      </c>
      <c r="DP305" s="607">
        <f t="shared" si="419"/>
        <v>0</v>
      </c>
      <c r="DQ305" s="606">
        <f t="shared" si="420"/>
        <v>0</v>
      </c>
      <c r="DR305" s="607">
        <f t="shared" si="421"/>
        <v>0</v>
      </c>
      <c r="DS305" s="606">
        <f t="shared" si="422"/>
        <v>0</v>
      </c>
      <c r="DT305" s="607">
        <f t="shared" si="423"/>
        <v>0</v>
      </c>
      <c r="DU305" s="606">
        <f t="shared" si="424"/>
        <v>0</v>
      </c>
      <c r="DV305" s="607">
        <f t="shared" si="425"/>
        <v>0</v>
      </c>
      <c r="DW305" s="608">
        <f t="shared" si="426"/>
        <v>0</v>
      </c>
      <c r="DX305" s="607">
        <f t="shared" si="427"/>
        <v>12485711.970000001</v>
      </c>
      <c r="DY305" s="608">
        <f t="shared" si="428"/>
        <v>0</v>
      </c>
      <c r="DZ305" s="607">
        <f t="shared" si="429"/>
        <v>12485711.970000001</v>
      </c>
      <c r="EA305" s="608">
        <f t="shared" si="430"/>
        <v>0</v>
      </c>
    </row>
    <row r="306" spans="1:131" x14ac:dyDescent="0.2">
      <c r="A306" s="393" t="s">
        <v>40</v>
      </c>
      <c r="B306" s="391" t="s">
        <v>624</v>
      </c>
      <c r="C306" s="569"/>
      <c r="D306" s="398">
        <v>198552</v>
      </c>
      <c r="E306" s="399">
        <v>8</v>
      </c>
      <c r="F306" s="598"/>
      <c r="G306" s="599"/>
      <c r="H306" s="600"/>
      <c r="I306" s="601"/>
      <c r="J306" s="600"/>
      <c r="K306" s="599"/>
      <c r="L306" s="600"/>
      <c r="M306" s="601"/>
      <c r="N306" s="600"/>
      <c r="O306" s="599"/>
      <c r="P306" s="600"/>
      <c r="Q306" s="601"/>
      <c r="R306" s="600"/>
      <c r="S306" s="599"/>
      <c r="T306" s="600"/>
      <c r="U306" s="601"/>
      <c r="V306" s="600"/>
      <c r="W306" s="599"/>
      <c r="X306" s="600"/>
      <c r="Y306" s="601"/>
      <c r="Z306" s="600"/>
      <c r="AA306" s="599"/>
      <c r="AB306" s="600"/>
      <c r="AC306" s="601"/>
      <c r="AD306" s="600"/>
      <c r="AE306" s="599"/>
      <c r="AF306" s="600"/>
      <c r="AG306" s="601"/>
      <c r="AH306" s="600"/>
      <c r="AI306" s="599"/>
      <c r="AJ306" s="600"/>
      <c r="AK306" s="601"/>
      <c r="AL306" s="600"/>
      <c r="AM306" s="599"/>
      <c r="AN306" s="600"/>
      <c r="AO306" s="601"/>
      <c r="AP306" s="600"/>
      <c r="AQ306" s="599"/>
      <c r="AR306" s="600"/>
      <c r="AS306" s="601"/>
      <c r="AT306" s="600">
        <v>225</v>
      </c>
      <c r="AU306" s="599">
        <v>236</v>
      </c>
      <c r="AV306" s="600"/>
      <c r="AW306" s="601"/>
      <c r="AX306" s="600"/>
      <c r="AY306" s="599"/>
      <c r="AZ306" s="600"/>
      <c r="BA306" s="601">
        <v>6</v>
      </c>
      <c r="BB306" s="602">
        <v>0</v>
      </c>
      <c r="BC306" s="599"/>
      <c r="BD306" s="600">
        <v>0</v>
      </c>
      <c r="BE306" s="599"/>
      <c r="BF306" s="600">
        <v>0</v>
      </c>
      <c r="BG306" s="599"/>
      <c r="BH306" s="600">
        <v>0</v>
      </c>
      <c r="BI306" s="599">
        <v>10474077</v>
      </c>
      <c r="BJ306" s="600">
        <v>0</v>
      </c>
      <c r="BK306" s="615"/>
      <c r="BL306" s="600">
        <v>9628490.25</v>
      </c>
      <c r="BM306" s="604"/>
      <c r="BN306" s="605">
        <f t="shared" si="365"/>
        <v>0</v>
      </c>
      <c r="BO306" s="606">
        <f t="shared" si="366"/>
        <v>0</v>
      </c>
      <c r="BP306" s="607">
        <f t="shared" si="367"/>
        <v>0</v>
      </c>
      <c r="BQ306" s="606">
        <f t="shared" si="368"/>
        <v>0</v>
      </c>
      <c r="BR306" s="607">
        <f t="shared" si="369"/>
        <v>0</v>
      </c>
      <c r="BS306" s="606">
        <f t="shared" si="370"/>
        <v>0</v>
      </c>
      <c r="BT306" s="607">
        <f t="shared" si="371"/>
        <v>0</v>
      </c>
      <c r="BU306" s="606">
        <f t="shared" si="372"/>
        <v>0</v>
      </c>
      <c r="BV306" s="607">
        <f t="shared" si="373"/>
        <v>0</v>
      </c>
      <c r="BW306" s="608">
        <f t="shared" si="374"/>
        <v>0</v>
      </c>
      <c r="BX306" s="607">
        <f t="shared" si="375"/>
        <v>2025</v>
      </c>
      <c r="BY306" s="608">
        <f t="shared" si="376"/>
        <v>2196</v>
      </c>
      <c r="BZ306" s="607">
        <f t="shared" si="377"/>
        <v>0</v>
      </c>
      <c r="CA306" s="608">
        <f t="shared" si="378"/>
        <v>0</v>
      </c>
      <c r="CB306" s="607">
        <f t="shared" si="379"/>
        <v>0</v>
      </c>
      <c r="CC306" s="608">
        <f t="shared" si="380"/>
        <v>0</v>
      </c>
      <c r="CD306" s="607">
        <f t="shared" si="381"/>
        <v>0</v>
      </c>
      <c r="CE306" s="608">
        <f t="shared" si="382"/>
        <v>0</v>
      </c>
      <c r="CF306" s="607">
        <f t="shared" si="383"/>
        <v>0</v>
      </c>
      <c r="CG306" s="608">
        <f t="shared" si="384"/>
        <v>0</v>
      </c>
      <c r="CH306" s="607">
        <f t="shared" si="385"/>
        <v>0</v>
      </c>
      <c r="CI306" s="608">
        <f t="shared" si="386"/>
        <v>0</v>
      </c>
      <c r="CJ306" s="607">
        <f t="shared" si="387"/>
        <v>4754.8100000000004</v>
      </c>
      <c r="CK306" s="608">
        <f t="shared" si="388"/>
        <v>0</v>
      </c>
      <c r="CL306" s="609">
        <f t="shared" si="389"/>
        <v>0</v>
      </c>
      <c r="CM306" s="608">
        <f t="shared" si="390"/>
        <v>0</v>
      </c>
      <c r="CN306" s="610">
        <f t="shared" si="391"/>
        <v>0</v>
      </c>
      <c r="CO306" s="606">
        <f t="shared" si="392"/>
        <v>0</v>
      </c>
      <c r="CP306" s="607">
        <f t="shared" si="393"/>
        <v>0</v>
      </c>
      <c r="CQ306" s="606">
        <f t="shared" si="394"/>
        <v>0</v>
      </c>
      <c r="CR306" s="607">
        <f t="shared" si="395"/>
        <v>0</v>
      </c>
      <c r="CS306" s="606">
        <f t="shared" si="396"/>
        <v>0</v>
      </c>
      <c r="CT306" s="607">
        <f t="shared" si="397"/>
        <v>0</v>
      </c>
      <c r="CU306" s="608">
        <f t="shared" si="398"/>
        <v>0</v>
      </c>
      <c r="CV306" s="610">
        <f t="shared" si="399"/>
        <v>42793.29</v>
      </c>
      <c r="CW306" s="608">
        <f t="shared" si="400"/>
        <v>0</v>
      </c>
      <c r="CX306" s="610">
        <f t="shared" si="401"/>
        <v>42793.29</v>
      </c>
      <c r="CY306" s="611">
        <f t="shared" si="402"/>
        <v>0</v>
      </c>
      <c r="CZ306" s="605">
        <f t="shared" si="403"/>
        <v>0</v>
      </c>
      <c r="DA306" s="612">
        <f t="shared" si="404"/>
        <v>0</v>
      </c>
      <c r="DB306" s="607">
        <f t="shared" si="405"/>
        <v>0</v>
      </c>
      <c r="DC306" s="606">
        <f t="shared" si="406"/>
        <v>0</v>
      </c>
      <c r="DD306" s="607">
        <f t="shared" si="407"/>
        <v>0</v>
      </c>
      <c r="DE306" s="606">
        <f t="shared" si="408"/>
        <v>0</v>
      </c>
      <c r="DF306" s="607">
        <f t="shared" si="409"/>
        <v>0</v>
      </c>
      <c r="DG306" s="606">
        <f t="shared" si="410"/>
        <v>0</v>
      </c>
      <c r="DH306" s="607">
        <f t="shared" si="411"/>
        <v>0</v>
      </c>
      <c r="DI306" s="608">
        <f t="shared" si="412"/>
        <v>0</v>
      </c>
      <c r="DJ306" s="607">
        <f t="shared" si="413"/>
        <v>225</v>
      </c>
      <c r="DK306" s="608">
        <f t="shared" si="414"/>
        <v>242</v>
      </c>
      <c r="DL306" s="607">
        <f t="shared" si="415"/>
        <v>225</v>
      </c>
      <c r="DM306" s="608">
        <f t="shared" si="416"/>
        <v>242</v>
      </c>
      <c r="DN306" s="607">
        <f t="shared" si="417"/>
        <v>0</v>
      </c>
      <c r="DO306" s="612">
        <f t="shared" si="418"/>
        <v>0</v>
      </c>
      <c r="DP306" s="607">
        <f t="shared" si="419"/>
        <v>0</v>
      </c>
      <c r="DQ306" s="606">
        <f t="shared" si="420"/>
        <v>0</v>
      </c>
      <c r="DR306" s="607">
        <f t="shared" si="421"/>
        <v>0</v>
      </c>
      <c r="DS306" s="606">
        <f t="shared" si="422"/>
        <v>0</v>
      </c>
      <c r="DT306" s="607">
        <f t="shared" si="423"/>
        <v>0</v>
      </c>
      <c r="DU306" s="606">
        <f t="shared" si="424"/>
        <v>0</v>
      </c>
      <c r="DV306" s="607">
        <f t="shared" si="425"/>
        <v>0</v>
      </c>
      <c r="DW306" s="608">
        <f t="shared" si="426"/>
        <v>0</v>
      </c>
      <c r="DX306" s="607">
        <f t="shared" si="427"/>
        <v>9628490.25</v>
      </c>
      <c r="DY306" s="608">
        <f t="shared" si="428"/>
        <v>0</v>
      </c>
      <c r="DZ306" s="607">
        <f t="shared" si="429"/>
        <v>9628490.25</v>
      </c>
      <c r="EA306" s="608">
        <f t="shared" si="430"/>
        <v>0</v>
      </c>
    </row>
    <row r="307" spans="1:131" x14ac:dyDescent="0.2">
      <c r="A307" s="393" t="s">
        <v>40</v>
      </c>
      <c r="B307" s="394" t="s">
        <v>625</v>
      </c>
      <c r="C307" s="570" t="s">
        <v>678</v>
      </c>
      <c r="D307" s="400">
        <v>198570</v>
      </c>
      <c r="E307" s="392">
        <v>8</v>
      </c>
      <c r="F307" s="598"/>
      <c r="G307" s="599"/>
      <c r="H307" s="600"/>
      <c r="I307" s="601"/>
      <c r="J307" s="600"/>
      <c r="K307" s="599"/>
      <c r="L307" s="600"/>
      <c r="M307" s="601"/>
      <c r="N307" s="600"/>
      <c r="O307" s="599"/>
      <c r="P307" s="600"/>
      <c r="Q307" s="601"/>
      <c r="R307" s="600"/>
      <c r="S307" s="599"/>
      <c r="T307" s="600"/>
      <c r="U307" s="601"/>
      <c r="V307" s="600"/>
      <c r="W307" s="599"/>
      <c r="X307" s="600"/>
      <c r="Y307" s="601"/>
      <c r="Z307" s="600"/>
      <c r="AA307" s="599"/>
      <c r="AB307" s="600"/>
      <c r="AC307" s="601"/>
      <c r="AD307" s="600"/>
      <c r="AE307" s="599"/>
      <c r="AF307" s="600"/>
      <c r="AG307" s="601"/>
      <c r="AH307" s="600"/>
      <c r="AI307" s="599"/>
      <c r="AJ307" s="600"/>
      <c r="AK307" s="601"/>
      <c r="AL307" s="600"/>
      <c r="AM307" s="599">
        <v>167</v>
      </c>
      <c r="AN307" s="600"/>
      <c r="AO307" s="601"/>
      <c r="AP307" s="600"/>
      <c r="AQ307" s="599"/>
      <c r="AR307" s="600"/>
      <c r="AS307" s="601"/>
      <c r="AT307" s="600">
        <v>161</v>
      </c>
      <c r="AU307" s="599"/>
      <c r="AV307" s="600"/>
      <c r="AW307" s="601"/>
      <c r="AX307" s="600"/>
      <c r="AY307" s="599"/>
      <c r="AZ307" s="600"/>
      <c r="BA307" s="601"/>
      <c r="BB307" s="602">
        <v>0</v>
      </c>
      <c r="BC307" s="599"/>
      <c r="BD307" s="600">
        <v>0</v>
      </c>
      <c r="BE307" s="599"/>
      <c r="BF307" s="600">
        <v>0</v>
      </c>
      <c r="BG307" s="599"/>
      <c r="BH307" s="600">
        <v>0</v>
      </c>
      <c r="BI307" s="599"/>
      <c r="BJ307" s="600">
        <v>0</v>
      </c>
      <c r="BK307" s="615">
        <v>9081990</v>
      </c>
      <c r="BL307" s="600">
        <v>8057802.0599999996</v>
      </c>
      <c r="BM307" s="604"/>
      <c r="BN307" s="605">
        <f t="shared" si="365"/>
        <v>0</v>
      </c>
      <c r="BO307" s="606">
        <f t="shared" si="366"/>
        <v>0</v>
      </c>
      <c r="BP307" s="607">
        <f t="shared" si="367"/>
        <v>0</v>
      </c>
      <c r="BQ307" s="606">
        <f t="shared" si="368"/>
        <v>0</v>
      </c>
      <c r="BR307" s="607">
        <f t="shared" si="369"/>
        <v>0</v>
      </c>
      <c r="BS307" s="606">
        <f t="shared" si="370"/>
        <v>0</v>
      </c>
      <c r="BT307" s="607">
        <f t="shared" si="371"/>
        <v>0</v>
      </c>
      <c r="BU307" s="606">
        <f t="shared" si="372"/>
        <v>0</v>
      </c>
      <c r="BV307" s="607">
        <f t="shared" si="373"/>
        <v>0</v>
      </c>
      <c r="BW307" s="608">
        <f t="shared" si="374"/>
        <v>1503</v>
      </c>
      <c r="BX307" s="607">
        <f t="shared" si="375"/>
        <v>1449</v>
      </c>
      <c r="BY307" s="608">
        <f t="shared" si="376"/>
        <v>0</v>
      </c>
      <c r="BZ307" s="607">
        <f t="shared" si="377"/>
        <v>0</v>
      </c>
      <c r="CA307" s="608">
        <f t="shared" si="378"/>
        <v>0</v>
      </c>
      <c r="CB307" s="607">
        <f t="shared" si="379"/>
        <v>0</v>
      </c>
      <c r="CC307" s="608">
        <f t="shared" si="380"/>
        <v>0</v>
      </c>
      <c r="CD307" s="607">
        <f t="shared" si="381"/>
        <v>0</v>
      </c>
      <c r="CE307" s="608">
        <f t="shared" si="382"/>
        <v>0</v>
      </c>
      <c r="CF307" s="607">
        <f t="shared" si="383"/>
        <v>0</v>
      </c>
      <c r="CG307" s="608">
        <f t="shared" si="384"/>
        <v>0</v>
      </c>
      <c r="CH307" s="607">
        <f t="shared" si="385"/>
        <v>0</v>
      </c>
      <c r="CI307" s="608">
        <f t="shared" si="386"/>
        <v>6042.5748502994011</v>
      </c>
      <c r="CJ307" s="607">
        <f t="shared" si="387"/>
        <v>5560.94</v>
      </c>
      <c r="CK307" s="608">
        <f t="shared" si="388"/>
        <v>0</v>
      </c>
      <c r="CL307" s="609">
        <f t="shared" si="389"/>
        <v>0</v>
      </c>
      <c r="CM307" s="608">
        <f t="shared" si="390"/>
        <v>0</v>
      </c>
      <c r="CN307" s="610">
        <f t="shared" si="391"/>
        <v>0</v>
      </c>
      <c r="CO307" s="606">
        <f t="shared" si="392"/>
        <v>0</v>
      </c>
      <c r="CP307" s="607">
        <f t="shared" si="393"/>
        <v>0</v>
      </c>
      <c r="CQ307" s="606">
        <f t="shared" si="394"/>
        <v>0</v>
      </c>
      <c r="CR307" s="607">
        <f t="shared" si="395"/>
        <v>0</v>
      </c>
      <c r="CS307" s="606">
        <f t="shared" si="396"/>
        <v>0</v>
      </c>
      <c r="CT307" s="607">
        <f t="shared" si="397"/>
        <v>0</v>
      </c>
      <c r="CU307" s="608">
        <f t="shared" si="398"/>
        <v>54383.173652694612</v>
      </c>
      <c r="CV307" s="610">
        <f t="shared" si="399"/>
        <v>50048.46</v>
      </c>
      <c r="CW307" s="608">
        <f t="shared" si="400"/>
        <v>0</v>
      </c>
      <c r="CX307" s="610">
        <f t="shared" si="401"/>
        <v>50048.46</v>
      </c>
      <c r="CY307" s="611">
        <f t="shared" si="402"/>
        <v>54383.173652694612</v>
      </c>
      <c r="CZ307" s="605">
        <f t="shared" si="403"/>
        <v>0</v>
      </c>
      <c r="DA307" s="612">
        <f t="shared" si="404"/>
        <v>0</v>
      </c>
      <c r="DB307" s="607">
        <f t="shared" si="405"/>
        <v>0</v>
      </c>
      <c r="DC307" s="606">
        <f t="shared" si="406"/>
        <v>0</v>
      </c>
      <c r="DD307" s="607">
        <f t="shared" si="407"/>
        <v>0</v>
      </c>
      <c r="DE307" s="606">
        <f t="shared" si="408"/>
        <v>0</v>
      </c>
      <c r="DF307" s="607">
        <f t="shared" si="409"/>
        <v>0</v>
      </c>
      <c r="DG307" s="606">
        <f t="shared" si="410"/>
        <v>0</v>
      </c>
      <c r="DH307" s="607">
        <f t="shared" si="411"/>
        <v>0</v>
      </c>
      <c r="DI307" s="608">
        <f t="shared" si="412"/>
        <v>167</v>
      </c>
      <c r="DJ307" s="607">
        <f t="shared" si="413"/>
        <v>161</v>
      </c>
      <c r="DK307" s="608">
        <f t="shared" si="414"/>
        <v>0</v>
      </c>
      <c r="DL307" s="607">
        <f t="shared" si="415"/>
        <v>161</v>
      </c>
      <c r="DM307" s="608">
        <f t="shared" si="416"/>
        <v>167</v>
      </c>
      <c r="DN307" s="607">
        <f t="shared" si="417"/>
        <v>0</v>
      </c>
      <c r="DO307" s="612">
        <f t="shared" si="418"/>
        <v>0</v>
      </c>
      <c r="DP307" s="607">
        <f t="shared" si="419"/>
        <v>0</v>
      </c>
      <c r="DQ307" s="606">
        <f t="shared" si="420"/>
        <v>0</v>
      </c>
      <c r="DR307" s="607">
        <f t="shared" si="421"/>
        <v>0</v>
      </c>
      <c r="DS307" s="606">
        <f t="shared" si="422"/>
        <v>0</v>
      </c>
      <c r="DT307" s="607">
        <f t="shared" si="423"/>
        <v>0</v>
      </c>
      <c r="DU307" s="606">
        <f t="shared" si="424"/>
        <v>0</v>
      </c>
      <c r="DV307" s="607">
        <f t="shared" si="425"/>
        <v>0</v>
      </c>
      <c r="DW307" s="608">
        <f t="shared" si="426"/>
        <v>9081990</v>
      </c>
      <c r="DX307" s="607">
        <f t="shared" si="427"/>
        <v>8057802.0599999996</v>
      </c>
      <c r="DY307" s="608">
        <f t="shared" si="428"/>
        <v>0</v>
      </c>
      <c r="DZ307" s="607">
        <f t="shared" si="429"/>
        <v>8057802.0599999996</v>
      </c>
      <c r="EA307" s="608">
        <f t="shared" si="430"/>
        <v>9081990</v>
      </c>
    </row>
    <row r="308" spans="1:131" x14ac:dyDescent="0.2">
      <c r="A308" s="393" t="s">
        <v>40</v>
      </c>
      <c r="B308" s="391" t="s">
        <v>626</v>
      </c>
      <c r="C308" s="569"/>
      <c r="D308" s="398">
        <v>198622</v>
      </c>
      <c r="E308" s="399">
        <v>8</v>
      </c>
      <c r="F308" s="598"/>
      <c r="G308" s="599"/>
      <c r="H308" s="600"/>
      <c r="I308" s="601"/>
      <c r="J308" s="600"/>
      <c r="K308" s="599"/>
      <c r="L308" s="600"/>
      <c r="M308" s="601"/>
      <c r="N308" s="600"/>
      <c r="O308" s="599"/>
      <c r="P308" s="600"/>
      <c r="Q308" s="601"/>
      <c r="R308" s="600"/>
      <c r="S308" s="599"/>
      <c r="T308" s="600"/>
      <c r="U308" s="601"/>
      <c r="V308" s="600"/>
      <c r="W308" s="599"/>
      <c r="X308" s="600"/>
      <c r="Y308" s="601"/>
      <c r="Z308" s="600"/>
      <c r="AA308" s="599"/>
      <c r="AB308" s="600"/>
      <c r="AC308" s="601"/>
      <c r="AD308" s="600"/>
      <c r="AE308" s="599"/>
      <c r="AF308" s="600"/>
      <c r="AG308" s="601"/>
      <c r="AH308" s="600"/>
      <c r="AI308" s="599"/>
      <c r="AJ308" s="600"/>
      <c r="AK308" s="601"/>
      <c r="AL308" s="600"/>
      <c r="AM308" s="599">
        <v>336</v>
      </c>
      <c r="AN308" s="600"/>
      <c r="AO308" s="601"/>
      <c r="AP308" s="600"/>
      <c r="AQ308" s="599"/>
      <c r="AR308" s="600"/>
      <c r="AS308" s="601"/>
      <c r="AT308" s="600">
        <v>342</v>
      </c>
      <c r="AU308" s="599"/>
      <c r="AV308" s="600"/>
      <c r="AW308" s="601"/>
      <c r="AX308" s="600"/>
      <c r="AY308" s="599"/>
      <c r="AZ308" s="600"/>
      <c r="BA308" s="601"/>
      <c r="BB308" s="602">
        <v>0</v>
      </c>
      <c r="BC308" s="599"/>
      <c r="BD308" s="600">
        <v>0</v>
      </c>
      <c r="BE308" s="599"/>
      <c r="BF308" s="600">
        <v>0</v>
      </c>
      <c r="BG308" s="599"/>
      <c r="BH308" s="600">
        <v>0</v>
      </c>
      <c r="BI308" s="599"/>
      <c r="BJ308" s="600">
        <v>0</v>
      </c>
      <c r="BK308" s="615">
        <v>19221035</v>
      </c>
      <c r="BL308" s="600">
        <v>16817299.379999999</v>
      </c>
      <c r="BM308" s="604"/>
      <c r="BN308" s="605">
        <f t="shared" si="365"/>
        <v>0</v>
      </c>
      <c r="BO308" s="606">
        <f t="shared" si="366"/>
        <v>0</v>
      </c>
      <c r="BP308" s="607">
        <f t="shared" si="367"/>
        <v>0</v>
      </c>
      <c r="BQ308" s="606">
        <f t="shared" si="368"/>
        <v>0</v>
      </c>
      <c r="BR308" s="607">
        <f t="shared" si="369"/>
        <v>0</v>
      </c>
      <c r="BS308" s="606">
        <f t="shared" si="370"/>
        <v>0</v>
      </c>
      <c r="BT308" s="607">
        <f t="shared" si="371"/>
        <v>0</v>
      </c>
      <c r="BU308" s="606">
        <f t="shared" si="372"/>
        <v>0</v>
      </c>
      <c r="BV308" s="607">
        <f t="shared" si="373"/>
        <v>0</v>
      </c>
      <c r="BW308" s="608">
        <f t="shared" si="374"/>
        <v>3024</v>
      </c>
      <c r="BX308" s="607">
        <f t="shared" si="375"/>
        <v>3078</v>
      </c>
      <c r="BY308" s="608">
        <f t="shared" si="376"/>
        <v>0</v>
      </c>
      <c r="BZ308" s="607">
        <f t="shared" si="377"/>
        <v>0</v>
      </c>
      <c r="CA308" s="608">
        <f t="shared" si="378"/>
        <v>0</v>
      </c>
      <c r="CB308" s="607">
        <f t="shared" si="379"/>
        <v>0</v>
      </c>
      <c r="CC308" s="608">
        <f t="shared" si="380"/>
        <v>0</v>
      </c>
      <c r="CD308" s="607">
        <f t="shared" si="381"/>
        <v>0</v>
      </c>
      <c r="CE308" s="608">
        <f t="shared" si="382"/>
        <v>0</v>
      </c>
      <c r="CF308" s="607">
        <f t="shared" si="383"/>
        <v>0</v>
      </c>
      <c r="CG308" s="608">
        <f t="shared" si="384"/>
        <v>0</v>
      </c>
      <c r="CH308" s="607">
        <f t="shared" si="385"/>
        <v>0</v>
      </c>
      <c r="CI308" s="608">
        <f t="shared" si="386"/>
        <v>6356.1623677248681</v>
      </c>
      <c r="CJ308" s="607">
        <f t="shared" si="387"/>
        <v>5463.71</v>
      </c>
      <c r="CK308" s="608">
        <f t="shared" si="388"/>
        <v>0</v>
      </c>
      <c r="CL308" s="609">
        <f t="shared" si="389"/>
        <v>0</v>
      </c>
      <c r="CM308" s="608">
        <f t="shared" si="390"/>
        <v>0</v>
      </c>
      <c r="CN308" s="610">
        <f t="shared" si="391"/>
        <v>0</v>
      </c>
      <c r="CO308" s="606">
        <f t="shared" si="392"/>
        <v>0</v>
      </c>
      <c r="CP308" s="607">
        <f t="shared" si="393"/>
        <v>0</v>
      </c>
      <c r="CQ308" s="606">
        <f t="shared" si="394"/>
        <v>0</v>
      </c>
      <c r="CR308" s="607">
        <f t="shared" si="395"/>
        <v>0</v>
      </c>
      <c r="CS308" s="606">
        <f t="shared" si="396"/>
        <v>0</v>
      </c>
      <c r="CT308" s="607">
        <f t="shared" si="397"/>
        <v>0</v>
      </c>
      <c r="CU308" s="608">
        <f t="shared" si="398"/>
        <v>57205.461309523816</v>
      </c>
      <c r="CV308" s="610">
        <f t="shared" si="399"/>
        <v>49173.39</v>
      </c>
      <c r="CW308" s="608">
        <f t="shared" si="400"/>
        <v>0</v>
      </c>
      <c r="CX308" s="610">
        <f t="shared" si="401"/>
        <v>49173.39</v>
      </c>
      <c r="CY308" s="611">
        <f t="shared" si="402"/>
        <v>57205.461309523824</v>
      </c>
      <c r="CZ308" s="605">
        <f t="shared" si="403"/>
        <v>0</v>
      </c>
      <c r="DA308" s="612">
        <f t="shared" si="404"/>
        <v>0</v>
      </c>
      <c r="DB308" s="607">
        <f t="shared" si="405"/>
        <v>0</v>
      </c>
      <c r="DC308" s="606">
        <f t="shared" si="406"/>
        <v>0</v>
      </c>
      <c r="DD308" s="607">
        <f t="shared" si="407"/>
        <v>0</v>
      </c>
      <c r="DE308" s="606">
        <f t="shared" si="408"/>
        <v>0</v>
      </c>
      <c r="DF308" s="607">
        <f t="shared" si="409"/>
        <v>0</v>
      </c>
      <c r="DG308" s="606">
        <f t="shared" si="410"/>
        <v>0</v>
      </c>
      <c r="DH308" s="607">
        <f t="shared" si="411"/>
        <v>0</v>
      </c>
      <c r="DI308" s="608">
        <f t="shared" si="412"/>
        <v>336</v>
      </c>
      <c r="DJ308" s="607">
        <f t="shared" si="413"/>
        <v>342</v>
      </c>
      <c r="DK308" s="608">
        <f t="shared" si="414"/>
        <v>0</v>
      </c>
      <c r="DL308" s="607">
        <f t="shared" si="415"/>
        <v>342</v>
      </c>
      <c r="DM308" s="608">
        <f t="shared" si="416"/>
        <v>336</v>
      </c>
      <c r="DN308" s="607">
        <f t="shared" si="417"/>
        <v>0</v>
      </c>
      <c r="DO308" s="612">
        <f t="shared" si="418"/>
        <v>0</v>
      </c>
      <c r="DP308" s="607">
        <f t="shared" si="419"/>
        <v>0</v>
      </c>
      <c r="DQ308" s="606">
        <f t="shared" si="420"/>
        <v>0</v>
      </c>
      <c r="DR308" s="607">
        <f t="shared" si="421"/>
        <v>0</v>
      </c>
      <c r="DS308" s="606">
        <f t="shared" si="422"/>
        <v>0</v>
      </c>
      <c r="DT308" s="607">
        <f t="shared" si="423"/>
        <v>0</v>
      </c>
      <c r="DU308" s="606">
        <f t="shared" si="424"/>
        <v>0</v>
      </c>
      <c r="DV308" s="607">
        <f t="shared" si="425"/>
        <v>0</v>
      </c>
      <c r="DW308" s="608">
        <f t="shared" si="426"/>
        <v>19221035.000000004</v>
      </c>
      <c r="DX308" s="607">
        <f t="shared" si="427"/>
        <v>16817299.379999999</v>
      </c>
      <c r="DY308" s="608">
        <f t="shared" si="428"/>
        <v>0</v>
      </c>
      <c r="DZ308" s="607">
        <f t="shared" si="429"/>
        <v>16817299.379999999</v>
      </c>
      <c r="EA308" s="608">
        <f t="shared" si="430"/>
        <v>19221035.000000004</v>
      </c>
    </row>
    <row r="309" spans="1:131" x14ac:dyDescent="0.2">
      <c r="A309" s="393" t="s">
        <v>40</v>
      </c>
      <c r="B309" s="391" t="s">
        <v>627</v>
      </c>
      <c r="C309" s="569"/>
      <c r="D309" s="398">
        <v>199333</v>
      </c>
      <c r="E309" s="399">
        <v>8</v>
      </c>
      <c r="F309" s="598"/>
      <c r="G309" s="599"/>
      <c r="H309" s="600"/>
      <c r="I309" s="601"/>
      <c r="J309" s="600"/>
      <c r="K309" s="599"/>
      <c r="L309" s="600"/>
      <c r="M309" s="601"/>
      <c r="N309" s="600"/>
      <c r="O309" s="599"/>
      <c r="P309" s="600"/>
      <c r="Q309" s="601"/>
      <c r="R309" s="600"/>
      <c r="S309" s="599"/>
      <c r="T309" s="600"/>
      <c r="U309" s="601"/>
      <c r="V309" s="600"/>
      <c r="W309" s="599"/>
      <c r="X309" s="600"/>
      <c r="Y309" s="601"/>
      <c r="Z309" s="600"/>
      <c r="AA309" s="599"/>
      <c r="AB309" s="600"/>
      <c r="AC309" s="601"/>
      <c r="AD309" s="600"/>
      <c r="AE309" s="599"/>
      <c r="AF309" s="600"/>
      <c r="AG309" s="601"/>
      <c r="AH309" s="600"/>
      <c r="AI309" s="599"/>
      <c r="AJ309" s="600"/>
      <c r="AK309" s="601"/>
      <c r="AL309" s="600"/>
      <c r="AM309" s="599">
        <v>178</v>
      </c>
      <c r="AN309" s="600"/>
      <c r="AO309" s="601"/>
      <c r="AP309" s="600"/>
      <c r="AQ309" s="599"/>
      <c r="AR309" s="600"/>
      <c r="AS309" s="601"/>
      <c r="AT309" s="600">
        <v>222</v>
      </c>
      <c r="AU309" s="599"/>
      <c r="AV309" s="600"/>
      <c r="AW309" s="601"/>
      <c r="AX309" s="600"/>
      <c r="AY309" s="599"/>
      <c r="AZ309" s="600"/>
      <c r="BA309" s="601"/>
      <c r="BB309" s="602">
        <v>0</v>
      </c>
      <c r="BC309" s="599"/>
      <c r="BD309" s="600">
        <v>0</v>
      </c>
      <c r="BE309" s="599"/>
      <c r="BF309" s="600">
        <v>0</v>
      </c>
      <c r="BG309" s="599"/>
      <c r="BH309" s="600">
        <v>0</v>
      </c>
      <c r="BI309" s="599"/>
      <c r="BJ309" s="600">
        <v>0</v>
      </c>
      <c r="BK309" s="615">
        <v>9726319</v>
      </c>
      <c r="BL309" s="600">
        <v>10385024.58</v>
      </c>
      <c r="BM309" s="604"/>
      <c r="BN309" s="605">
        <f t="shared" si="365"/>
        <v>0</v>
      </c>
      <c r="BO309" s="606">
        <f t="shared" si="366"/>
        <v>0</v>
      </c>
      <c r="BP309" s="607">
        <f t="shared" si="367"/>
        <v>0</v>
      </c>
      <c r="BQ309" s="606">
        <f t="shared" si="368"/>
        <v>0</v>
      </c>
      <c r="BR309" s="607">
        <f t="shared" si="369"/>
        <v>0</v>
      </c>
      <c r="BS309" s="606">
        <f t="shared" si="370"/>
        <v>0</v>
      </c>
      <c r="BT309" s="607">
        <f t="shared" si="371"/>
        <v>0</v>
      </c>
      <c r="BU309" s="606">
        <f t="shared" si="372"/>
        <v>0</v>
      </c>
      <c r="BV309" s="607">
        <f t="shared" si="373"/>
        <v>0</v>
      </c>
      <c r="BW309" s="608">
        <f t="shared" si="374"/>
        <v>1602</v>
      </c>
      <c r="BX309" s="607">
        <f t="shared" si="375"/>
        <v>1998</v>
      </c>
      <c r="BY309" s="608">
        <f t="shared" si="376"/>
        <v>0</v>
      </c>
      <c r="BZ309" s="607">
        <f t="shared" si="377"/>
        <v>0</v>
      </c>
      <c r="CA309" s="608">
        <f t="shared" si="378"/>
        <v>0</v>
      </c>
      <c r="CB309" s="607">
        <f t="shared" si="379"/>
        <v>0</v>
      </c>
      <c r="CC309" s="608">
        <f t="shared" si="380"/>
        <v>0</v>
      </c>
      <c r="CD309" s="607">
        <f t="shared" si="381"/>
        <v>0</v>
      </c>
      <c r="CE309" s="608">
        <f t="shared" si="382"/>
        <v>0</v>
      </c>
      <c r="CF309" s="607">
        <f t="shared" si="383"/>
        <v>0</v>
      </c>
      <c r="CG309" s="608">
        <f t="shared" si="384"/>
        <v>0</v>
      </c>
      <c r="CH309" s="607">
        <f t="shared" si="385"/>
        <v>0</v>
      </c>
      <c r="CI309" s="608">
        <f t="shared" si="386"/>
        <v>6071.3601747815228</v>
      </c>
      <c r="CJ309" s="607">
        <f t="shared" si="387"/>
        <v>5197.71</v>
      </c>
      <c r="CK309" s="608">
        <f t="shared" si="388"/>
        <v>0</v>
      </c>
      <c r="CL309" s="609">
        <f t="shared" si="389"/>
        <v>0</v>
      </c>
      <c r="CM309" s="608">
        <f t="shared" si="390"/>
        <v>0</v>
      </c>
      <c r="CN309" s="610">
        <f t="shared" si="391"/>
        <v>0</v>
      </c>
      <c r="CO309" s="606">
        <f t="shared" si="392"/>
        <v>0</v>
      </c>
      <c r="CP309" s="607">
        <f t="shared" si="393"/>
        <v>0</v>
      </c>
      <c r="CQ309" s="606">
        <f t="shared" si="394"/>
        <v>0</v>
      </c>
      <c r="CR309" s="607">
        <f t="shared" si="395"/>
        <v>0</v>
      </c>
      <c r="CS309" s="606">
        <f t="shared" si="396"/>
        <v>0</v>
      </c>
      <c r="CT309" s="607">
        <f t="shared" si="397"/>
        <v>0</v>
      </c>
      <c r="CU309" s="608">
        <f t="shared" si="398"/>
        <v>54642.241573033709</v>
      </c>
      <c r="CV309" s="610">
        <f t="shared" si="399"/>
        <v>46779.39</v>
      </c>
      <c r="CW309" s="608">
        <f t="shared" si="400"/>
        <v>0</v>
      </c>
      <c r="CX309" s="610">
        <f t="shared" si="401"/>
        <v>46779.39</v>
      </c>
      <c r="CY309" s="611">
        <f t="shared" si="402"/>
        <v>54642.241573033709</v>
      </c>
      <c r="CZ309" s="605">
        <f t="shared" si="403"/>
        <v>0</v>
      </c>
      <c r="DA309" s="612">
        <f t="shared" si="404"/>
        <v>0</v>
      </c>
      <c r="DB309" s="607">
        <f t="shared" si="405"/>
        <v>0</v>
      </c>
      <c r="DC309" s="606">
        <f t="shared" si="406"/>
        <v>0</v>
      </c>
      <c r="DD309" s="607">
        <f t="shared" si="407"/>
        <v>0</v>
      </c>
      <c r="DE309" s="606">
        <f t="shared" si="408"/>
        <v>0</v>
      </c>
      <c r="DF309" s="607">
        <f t="shared" si="409"/>
        <v>0</v>
      </c>
      <c r="DG309" s="606">
        <f t="shared" si="410"/>
        <v>0</v>
      </c>
      <c r="DH309" s="607">
        <f t="shared" si="411"/>
        <v>0</v>
      </c>
      <c r="DI309" s="608">
        <f t="shared" si="412"/>
        <v>178</v>
      </c>
      <c r="DJ309" s="607">
        <f t="shared" si="413"/>
        <v>222</v>
      </c>
      <c r="DK309" s="608">
        <f t="shared" si="414"/>
        <v>0</v>
      </c>
      <c r="DL309" s="607">
        <f t="shared" si="415"/>
        <v>222</v>
      </c>
      <c r="DM309" s="608">
        <f t="shared" si="416"/>
        <v>178</v>
      </c>
      <c r="DN309" s="607">
        <f t="shared" si="417"/>
        <v>0</v>
      </c>
      <c r="DO309" s="612">
        <f t="shared" si="418"/>
        <v>0</v>
      </c>
      <c r="DP309" s="607">
        <f t="shared" si="419"/>
        <v>0</v>
      </c>
      <c r="DQ309" s="606">
        <f t="shared" si="420"/>
        <v>0</v>
      </c>
      <c r="DR309" s="607">
        <f t="shared" si="421"/>
        <v>0</v>
      </c>
      <c r="DS309" s="606">
        <f t="shared" si="422"/>
        <v>0</v>
      </c>
      <c r="DT309" s="607">
        <f t="shared" si="423"/>
        <v>0</v>
      </c>
      <c r="DU309" s="606">
        <f t="shared" si="424"/>
        <v>0</v>
      </c>
      <c r="DV309" s="607">
        <f t="shared" si="425"/>
        <v>0</v>
      </c>
      <c r="DW309" s="608">
        <f t="shared" si="426"/>
        <v>9726319</v>
      </c>
      <c r="DX309" s="607">
        <f t="shared" si="427"/>
        <v>10385024.58</v>
      </c>
      <c r="DY309" s="608">
        <f t="shared" si="428"/>
        <v>0</v>
      </c>
      <c r="DZ309" s="607">
        <f t="shared" si="429"/>
        <v>10385024.58</v>
      </c>
      <c r="EA309" s="608">
        <f t="shared" si="430"/>
        <v>9726319</v>
      </c>
    </row>
    <row r="310" spans="1:131" x14ac:dyDescent="0.2">
      <c r="A310" s="395" t="s">
        <v>40</v>
      </c>
      <c r="B310" s="396" t="s">
        <v>628</v>
      </c>
      <c r="C310" s="571"/>
      <c r="D310" s="401">
        <v>199494</v>
      </c>
      <c r="E310" s="402">
        <v>8</v>
      </c>
      <c r="F310" s="598"/>
      <c r="G310" s="599"/>
      <c r="H310" s="600"/>
      <c r="I310" s="601"/>
      <c r="J310" s="600"/>
      <c r="K310" s="599"/>
      <c r="L310" s="600"/>
      <c r="M310" s="601"/>
      <c r="N310" s="600"/>
      <c r="O310" s="599"/>
      <c r="P310" s="600"/>
      <c r="Q310" s="601"/>
      <c r="R310" s="600"/>
      <c r="S310" s="599"/>
      <c r="T310" s="600"/>
      <c r="U310" s="601"/>
      <c r="V310" s="600"/>
      <c r="W310" s="599"/>
      <c r="X310" s="600"/>
      <c r="Y310" s="601"/>
      <c r="Z310" s="600"/>
      <c r="AA310" s="599"/>
      <c r="AB310" s="600"/>
      <c r="AC310" s="601"/>
      <c r="AD310" s="600"/>
      <c r="AE310" s="599"/>
      <c r="AF310" s="600"/>
      <c r="AG310" s="601"/>
      <c r="AH310" s="600"/>
      <c r="AI310" s="599"/>
      <c r="AJ310" s="600"/>
      <c r="AK310" s="601"/>
      <c r="AL310" s="600"/>
      <c r="AM310" s="599">
        <v>181</v>
      </c>
      <c r="AN310" s="600"/>
      <c r="AO310" s="601"/>
      <c r="AP310" s="600"/>
      <c r="AQ310" s="599"/>
      <c r="AR310" s="600"/>
      <c r="AS310" s="601"/>
      <c r="AT310" s="600">
        <v>160</v>
      </c>
      <c r="AU310" s="599"/>
      <c r="AV310" s="600"/>
      <c r="AW310" s="601"/>
      <c r="AX310" s="600"/>
      <c r="AY310" s="599"/>
      <c r="AZ310" s="600"/>
      <c r="BA310" s="601"/>
      <c r="BB310" s="602">
        <v>0</v>
      </c>
      <c r="BC310" s="599"/>
      <c r="BD310" s="600">
        <v>0</v>
      </c>
      <c r="BE310" s="599"/>
      <c r="BF310" s="600">
        <v>0</v>
      </c>
      <c r="BG310" s="599"/>
      <c r="BH310" s="600">
        <v>0</v>
      </c>
      <c r="BI310" s="599"/>
      <c r="BJ310" s="600">
        <v>0</v>
      </c>
      <c r="BK310" s="615">
        <v>9773544</v>
      </c>
      <c r="BL310" s="600">
        <v>7852017.5999999996</v>
      </c>
      <c r="BM310" s="604"/>
      <c r="BN310" s="605">
        <f t="shared" si="365"/>
        <v>0</v>
      </c>
      <c r="BO310" s="606">
        <f t="shared" si="366"/>
        <v>0</v>
      </c>
      <c r="BP310" s="607">
        <f t="shared" si="367"/>
        <v>0</v>
      </c>
      <c r="BQ310" s="606">
        <f t="shared" si="368"/>
        <v>0</v>
      </c>
      <c r="BR310" s="607">
        <f t="shared" si="369"/>
        <v>0</v>
      </c>
      <c r="BS310" s="606">
        <f t="shared" si="370"/>
        <v>0</v>
      </c>
      <c r="BT310" s="607">
        <f t="shared" si="371"/>
        <v>0</v>
      </c>
      <c r="BU310" s="606">
        <f t="shared" si="372"/>
        <v>0</v>
      </c>
      <c r="BV310" s="607">
        <f t="shared" si="373"/>
        <v>0</v>
      </c>
      <c r="BW310" s="608">
        <f t="shared" si="374"/>
        <v>1629</v>
      </c>
      <c r="BX310" s="607">
        <f t="shared" si="375"/>
        <v>1440</v>
      </c>
      <c r="BY310" s="608">
        <f t="shared" si="376"/>
        <v>0</v>
      </c>
      <c r="BZ310" s="607">
        <f t="shared" si="377"/>
        <v>0</v>
      </c>
      <c r="CA310" s="608">
        <f t="shared" si="378"/>
        <v>0</v>
      </c>
      <c r="CB310" s="607">
        <f t="shared" si="379"/>
        <v>0</v>
      </c>
      <c r="CC310" s="608">
        <f t="shared" si="380"/>
        <v>0</v>
      </c>
      <c r="CD310" s="607">
        <f t="shared" si="381"/>
        <v>0</v>
      </c>
      <c r="CE310" s="608">
        <f t="shared" si="382"/>
        <v>0</v>
      </c>
      <c r="CF310" s="607">
        <f t="shared" si="383"/>
        <v>0</v>
      </c>
      <c r="CG310" s="608">
        <f t="shared" si="384"/>
        <v>0</v>
      </c>
      <c r="CH310" s="607">
        <f t="shared" si="385"/>
        <v>0</v>
      </c>
      <c r="CI310" s="608">
        <f t="shared" si="386"/>
        <v>5999.7200736648247</v>
      </c>
      <c r="CJ310" s="607">
        <f t="shared" si="387"/>
        <v>5452.79</v>
      </c>
      <c r="CK310" s="608">
        <f t="shared" si="388"/>
        <v>0</v>
      </c>
      <c r="CL310" s="609">
        <f t="shared" si="389"/>
        <v>0</v>
      </c>
      <c r="CM310" s="608">
        <f t="shared" si="390"/>
        <v>0</v>
      </c>
      <c r="CN310" s="610">
        <f t="shared" si="391"/>
        <v>0</v>
      </c>
      <c r="CO310" s="606">
        <f t="shared" si="392"/>
        <v>0</v>
      </c>
      <c r="CP310" s="607">
        <f t="shared" si="393"/>
        <v>0</v>
      </c>
      <c r="CQ310" s="606">
        <f t="shared" si="394"/>
        <v>0</v>
      </c>
      <c r="CR310" s="607">
        <f t="shared" si="395"/>
        <v>0</v>
      </c>
      <c r="CS310" s="606">
        <f t="shared" si="396"/>
        <v>0</v>
      </c>
      <c r="CT310" s="607">
        <f t="shared" si="397"/>
        <v>0</v>
      </c>
      <c r="CU310" s="608">
        <f t="shared" si="398"/>
        <v>53997.48066298342</v>
      </c>
      <c r="CV310" s="610">
        <f t="shared" si="399"/>
        <v>49075.11</v>
      </c>
      <c r="CW310" s="608">
        <f t="shared" si="400"/>
        <v>0</v>
      </c>
      <c r="CX310" s="610">
        <f t="shared" si="401"/>
        <v>49075.11</v>
      </c>
      <c r="CY310" s="611">
        <f t="shared" si="402"/>
        <v>53997.480662983413</v>
      </c>
      <c r="CZ310" s="605">
        <f t="shared" si="403"/>
        <v>0</v>
      </c>
      <c r="DA310" s="612">
        <f t="shared" si="404"/>
        <v>0</v>
      </c>
      <c r="DB310" s="607">
        <f t="shared" si="405"/>
        <v>0</v>
      </c>
      <c r="DC310" s="606">
        <f t="shared" si="406"/>
        <v>0</v>
      </c>
      <c r="DD310" s="607">
        <f t="shared" si="407"/>
        <v>0</v>
      </c>
      <c r="DE310" s="606">
        <f t="shared" si="408"/>
        <v>0</v>
      </c>
      <c r="DF310" s="607">
        <f t="shared" si="409"/>
        <v>0</v>
      </c>
      <c r="DG310" s="606">
        <f t="shared" si="410"/>
        <v>0</v>
      </c>
      <c r="DH310" s="607">
        <f t="shared" si="411"/>
        <v>0</v>
      </c>
      <c r="DI310" s="608">
        <f t="shared" si="412"/>
        <v>181</v>
      </c>
      <c r="DJ310" s="607">
        <f t="shared" si="413"/>
        <v>160</v>
      </c>
      <c r="DK310" s="608">
        <f t="shared" si="414"/>
        <v>0</v>
      </c>
      <c r="DL310" s="607">
        <f t="shared" si="415"/>
        <v>160</v>
      </c>
      <c r="DM310" s="608">
        <f t="shared" si="416"/>
        <v>181</v>
      </c>
      <c r="DN310" s="607">
        <f t="shared" si="417"/>
        <v>0</v>
      </c>
      <c r="DO310" s="612">
        <f t="shared" si="418"/>
        <v>0</v>
      </c>
      <c r="DP310" s="607">
        <f t="shared" si="419"/>
        <v>0</v>
      </c>
      <c r="DQ310" s="606">
        <f t="shared" si="420"/>
        <v>0</v>
      </c>
      <c r="DR310" s="607">
        <f t="shared" si="421"/>
        <v>0</v>
      </c>
      <c r="DS310" s="606">
        <f t="shared" si="422"/>
        <v>0</v>
      </c>
      <c r="DT310" s="607">
        <f t="shared" si="423"/>
        <v>0</v>
      </c>
      <c r="DU310" s="606">
        <f t="shared" si="424"/>
        <v>0</v>
      </c>
      <c r="DV310" s="607">
        <f t="shared" si="425"/>
        <v>0</v>
      </c>
      <c r="DW310" s="608">
        <f t="shared" si="426"/>
        <v>9773543.9999999981</v>
      </c>
      <c r="DX310" s="607">
        <f t="shared" si="427"/>
        <v>7852017.5999999996</v>
      </c>
      <c r="DY310" s="608">
        <f t="shared" si="428"/>
        <v>0</v>
      </c>
      <c r="DZ310" s="607">
        <f t="shared" si="429"/>
        <v>7852017.5999999996</v>
      </c>
      <c r="EA310" s="608">
        <f t="shared" si="430"/>
        <v>9773543.9999999981</v>
      </c>
    </row>
    <row r="311" spans="1:131" x14ac:dyDescent="0.2">
      <c r="A311" s="393" t="s">
        <v>40</v>
      </c>
      <c r="B311" s="391" t="s">
        <v>629</v>
      </c>
      <c r="C311" s="569"/>
      <c r="D311" s="398">
        <v>199856</v>
      </c>
      <c r="E311" s="399">
        <v>8</v>
      </c>
      <c r="F311" s="598"/>
      <c r="G311" s="599"/>
      <c r="H311" s="600"/>
      <c r="I311" s="601"/>
      <c r="J311" s="600"/>
      <c r="K311" s="599"/>
      <c r="L311" s="600"/>
      <c r="M311" s="601"/>
      <c r="N311" s="600"/>
      <c r="O311" s="599"/>
      <c r="P311" s="600"/>
      <c r="Q311" s="601"/>
      <c r="R311" s="600"/>
      <c r="S311" s="599"/>
      <c r="T311" s="600"/>
      <c r="U311" s="601"/>
      <c r="V311" s="600"/>
      <c r="W311" s="599"/>
      <c r="X311" s="600"/>
      <c r="Y311" s="601"/>
      <c r="Z311" s="600"/>
      <c r="AA311" s="599"/>
      <c r="AB311" s="600"/>
      <c r="AC311" s="601"/>
      <c r="AD311" s="600"/>
      <c r="AE311" s="599"/>
      <c r="AF311" s="600"/>
      <c r="AG311" s="601"/>
      <c r="AH311" s="600"/>
      <c r="AI311" s="599"/>
      <c r="AJ311" s="600"/>
      <c r="AK311" s="601"/>
      <c r="AL311" s="600"/>
      <c r="AM311" s="599">
        <v>319</v>
      </c>
      <c r="AN311" s="600"/>
      <c r="AO311" s="601"/>
      <c r="AP311" s="600"/>
      <c r="AQ311" s="599"/>
      <c r="AR311" s="600"/>
      <c r="AS311" s="601">
        <v>173</v>
      </c>
      <c r="AT311" s="600">
        <v>437</v>
      </c>
      <c r="AU311" s="599"/>
      <c r="AV311" s="600"/>
      <c r="AW311" s="601"/>
      <c r="AX311" s="600"/>
      <c r="AY311" s="599"/>
      <c r="AZ311" s="600"/>
      <c r="BA311" s="601"/>
      <c r="BB311" s="602">
        <v>0</v>
      </c>
      <c r="BC311" s="599"/>
      <c r="BD311" s="600">
        <v>0</v>
      </c>
      <c r="BE311" s="599"/>
      <c r="BF311" s="600">
        <v>0</v>
      </c>
      <c r="BG311" s="599"/>
      <c r="BH311" s="600">
        <v>0</v>
      </c>
      <c r="BI311" s="599"/>
      <c r="BJ311" s="600">
        <v>0</v>
      </c>
      <c r="BK311" s="615">
        <v>25210031</v>
      </c>
      <c r="BL311" s="600">
        <v>19466934.120000001</v>
      </c>
      <c r="BM311" s="604"/>
      <c r="BN311" s="605">
        <f t="shared" si="365"/>
        <v>0</v>
      </c>
      <c r="BO311" s="606">
        <f t="shared" si="366"/>
        <v>0</v>
      </c>
      <c r="BP311" s="607">
        <f t="shared" si="367"/>
        <v>0</v>
      </c>
      <c r="BQ311" s="606">
        <f t="shared" si="368"/>
        <v>0</v>
      </c>
      <c r="BR311" s="607">
        <f t="shared" si="369"/>
        <v>0</v>
      </c>
      <c r="BS311" s="606">
        <f t="shared" si="370"/>
        <v>0</v>
      </c>
      <c r="BT311" s="607">
        <f t="shared" si="371"/>
        <v>0</v>
      </c>
      <c r="BU311" s="606">
        <f t="shared" si="372"/>
        <v>0</v>
      </c>
      <c r="BV311" s="607">
        <f t="shared" si="373"/>
        <v>0</v>
      </c>
      <c r="BW311" s="608">
        <f t="shared" si="374"/>
        <v>4947</v>
      </c>
      <c r="BX311" s="607">
        <f t="shared" si="375"/>
        <v>3933</v>
      </c>
      <c r="BY311" s="608">
        <f t="shared" si="376"/>
        <v>0</v>
      </c>
      <c r="BZ311" s="607">
        <f t="shared" si="377"/>
        <v>0</v>
      </c>
      <c r="CA311" s="608">
        <f t="shared" si="378"/>
        <v>0</v>
      </c>
      <c r="CB311" s="607">
        <f t="shared" si="379"/>
        <v>0</v>
      </c>
      <c r="CC311" s="608">
        <f t="shared" si="380"/>
        <v>0</v>
      </c>
      <c r="CD311" s="607">
        <f t="shared" si="381"/>
        <v>0</v>
      </c>
      <c r="CE311" s="608">
        <f t="shared" si="382"/>
        <v>0</v>
      </c>
      <c r="CF311" s="607">
        <f t="shared" si="383"/>
        <v>0</v>
      </c>
      <c r="CG311" s="608">
        <f t="shared" si="384"/>
        <v>0</v>
      </c>
      <c r="CH311" s="607">
        <f t="shared" si="385"/>
        <v>0</v>
      </c>
      <c r="CI311" s="608">
        <f t="shared" si="386"/>
        <v>5096.0240549828177</v>
      </c>
      <c r="CJ311" s="607">
        <f t="shared" si="387"/>
        <v>4949.6400000000003</v>
      </c>
      <c r="CK311" s="608">
        <f t="shared" si="388"/>
        <v>0</v>
      </c>
      <c r="CL311" s="609">
        <f t="shared" si="389"/>
        <v>0</v>
      </c>
      <c r="CM311" s="608">
        <f t="shared" si="390"/>
        <v>0</v>
      </c>
      <c r="CN311" s="610">
        <f t="shared" si="391"/>
        <v>0</v>
      </c>
      <c r="CO311" s="606">
        <f t="shared" si="392"/>
        <v>0</v>
      </c>
      <c r="CP311" s="607">
        <f t="shared" si="393"/>
        <v>0</v>
      </c>
      <c r="CQ311" s="606">
        <f t="shared" si="394"/>
        <v>0</v>
      </c>
      <c r="CR311" s="607">
        <f t="shared" si="395"/>
        <v>0</v>
      </c>
      <c r="CS311" s="606">
        <f t="shared" si="396"/>
        <v>0</v>
      </c>
      <c r="CT311" s="607">
        <f t="shared" si="397"/>
        <v>0</v>
      </c>
      <c r="CU311" s="608">
        <f t="shared" si="398"/>
        <v>45864.216494845357</v>
      </c>
      <c r="CV311" s="610">
        <f t="shared" si="399"/>
        <v>44546.76</v>
      </c>
      <c r="CW311" s="608">
        <f t="shared" si="400"/>
        <v>0</v>
      </c>
      <c r="CX311" s="610">
        <f t="shared" si="401"/>
        <v>44546.76</v>
      </c>
      <c r="CY311" s="611">
        <f t="shared" si="402"/>
        <v>45864.216494845357</v>
      </c>
      <c r="CZ311" s="605">
        <f t="shared" si="403"/>
        <v>0</v>
      </c>
      <c r="DA311" s="612">
        <f t="shared" si="404"/>
        <v>0</v>
      </c>
      <c r="DB311" s="607">
        <f t="shared" si="405"/>
        <v>0</v>
      </c>
      <c r="DC311" s="606">
        <f t="shared" si="406"/>
        <v>0</v>
      </c>
      <c r="DD311" s="607">
        <f t="shared" si="407"/>
        <v>0</v>
      </c>
      <c r="DE311" s="606">
        <f t="shared" si="408"/>
        <v>0</v>
      </c>
      <c r="DF311" s="607">
        <f t="shared" si="409"/>
        <v>0</v>
      </c>
      <c r="DG311" s="606">
        <f t="shared" si="410"/>
        <v>0</v>
      </c>
      <c r="DH311" s="607">
        <f t="shared" si="411"/>
        <v>0</v>
      </c>
      <c r="DI311" s="608">
        <f t="shared" si="412"/>
        <v>492</v>
      </c>
      <c r="DJ311" s="607">
        <f t="shared" si="413"/>
        <v>437</v>
      </c>
      <c r="DK311" s="608">
        <f t="shared" si="414"/>
        <v>0</v>
      </c>
      <c r="DL311" s="607">
        <f t="shared" si="415"/>
        <v>437</v>
      </c>
      <c r="DM311" s="608">
        <f t="shared" si="416"/>
        <v>492</v>
      </c>
      <c r="DN311" s="607">
        <f t="shared" si="417"/>
        <v>0</v>
      </c>
      <c r="DO311" s="612">
        <f t="shared" si="418"/>
        <v>0</v>
      </c>
      <c r="DP311" s="607">
        <f t="shared" si="419"/>
        <v>0</v>
      </c>
      <c r="DQ311" s="606">
        <f t="shared" si="420"/>
        <v>0</v>
      </c>
      <c r="DR311" s="607">
        <f t="shared" si="421"/>
        <v>0</v>
      </c>
      <c r="DS311" s="606">
        <f t="shared" si="422"/>
        <v>0</v>
      </c>
      <c r="DT311" s="607">
        <f t="shared" si="423"/>
        <v>0</v>
      </c>
      <c r="DU311" s="606">
        <f t="shared" si="424"/>
        <v>0</v>
      </c>
      <c r="DV311" s="607">
        <f t="shared" si="425"/>
        <v>0</v>
      </c>
      <c r="DW311" s="608">
        <f t="shared" si="426"/>
        <v>22565194.515463915</v>
      </c>
      <c r="DX311" s="607">
        <f t="shared" si="427"/>
        <v>19466934.120000001</v>
      </c>
      <c r="DY311" s="608">
        <f t="shared" si="428"/>
        <v>0</v>
      </c>
      <c r="DZ311" s="607">
        <f t="shared" si="429"/>
        <v>19466934.120000001</v>
      </c>
      <c r="EA311" s="608">
        <f t="shared" si="430"/>
        <v>22565194.515463915</v>
      </c>
    </row>
    <row r="312" spans="1:131" x14ac:dyDescent="0.2">
      <c r="A312" s="393" t="s">
        <v>40</v>
      </c>
      <c r="B312" s="391" t="s">
        <v>630</v>
      </c>
      <c r="C312" s="570"/>
      <c r="D312" s="398">
        <v>199786</v>
      </c>
      <c r="E312" s="399">
        <v>9</v>
      </c>
      <c r="F312" s="598"/>
      <c r="G312" s="599"/>
      <c r="H312" s="600"/>
      <c r="I312" s="601"/>
      <c r="J312" s="600"/>
      <c r="K312" s="599"/>
      <c r="L312" s="600"/>
      <c r="M312" s="601"/>
      <c r="N312" s="600"/>
      <c r="O312" s="599"/>
      <c r="P312" s="600"/>
      <c r="Q312" s="601"/>
      <c r="R312" s="600"/>
      <c r="S312" s="599"/>
      <c r="T312" s="600"/>
      <c r="U312" s="601"/>
      <c r="V312" s="600"/>
      <c r="W312" s="599"/>
      <c r="X312" s="600"/>
      <c r="Y312" s="601"/>
      <c r="Z312" s="600"/>
      <c r="AA312" s="599"/>
      <c r="AB312" s="600"/>
      <c r="AC312" s="601"/>
      <c r="AD312" s="600"/>
      <c r="AE312" s="599"/>
      <c r="AF312" s="600"/>
      <c r="AG312" s="601"/>
      <c r="AH312" s="600"/>
      <c r="AI312" s="599"/>
      <c r="AJ312" s="600"/>
      <c r="AK312" s="601"/>
      <c r="AL312" s="600"/>
      <c r="AM312" s="599">
        <v>102</v>
      </c>
      <c r="AN312" s="600"/>
      <c r="AO312" s="601">
        <v>2</v>
      </c>
      <c r="AP312" s="600"/>
      <c r="AQ312" s="599"/>
      <c r="AR312" s="600"/>
      <c r="AS312" s="601">
        <v>8</v>
      </c>
      <c r="AT312" s="600">
        <v>119</v>
      </c>
      <c r="AU312" s="599"/>
      <c r="AV312" s="600"/>
      <c r="AW312" s="601"/>
      <c r="AX312" s="600"/>
      <c r="AY312" s="599"/>
      <c r="AZ312" s="600"/>
      <c r="BA312" s="601"/>
      <c r="BB312" s="602">
        <v>0</v>
      </c>
      <c r="BC312" s="599"/>
      <c r="BD312" s="600">
        <v>0</v>
      </c>
      <c r="BE312" s="599"/>
      <c r="BF312" s="600">
        <v>0</v>
      </c>
      <c r="BG312" s="599"/>
      <c r="BH312" s="600">
        <v>0</v>
      </c>
      <c r="BI312" s="599"/>
      <c r="BJ312" s="600">
        <v>0</v>
      </c>
      <c r="BK312" s="615">
        <v>6497262</v>
      </c>
      <c r="BL312" s="600">
        <v>5614974.5399999991</v>
      </c>
      <c r="BM312" s="604"/>
      <c r="BN312" s="605">
        <f t="shared" si="365"/>
        <v>0</v>
      </c>
      <c r="BO312" s="606">
        <f t="shared" si="366"/>
        <v>0</v>
      </c>
      <c r="BP312" s="607">
        <f t="shared" si="367"/>
        <v>0</v>
      </c>
      <c r="BQ312" s="606">
        <f t="shared" si="368"/>
        <v>0</v>
      </c>
      <c r="BR312" s="607">
        <f t="shared" si="369"/>
        <v>0</v>
      </c>
      <c r="BS312" s="606">
        <f t="shared" si="370"/>
        <v>0</v>
      </c>
      <c r="BT312" s="607">
        <f t="shared" si="371"/>
        <v>0</v>
      </c>
      <c r="BU312" s="606">
        <f t="shared" si="372"/>
        <v>0</v>
      </c>
      <c r="BV312" s="607">
        <f t="shared" si="373"/>
        <v>0</v>
      </c>
      <c r="BW312" s="608">
        <f t="shared" si="374"/>
        <v>1034</v>
      </c>
      <c r="BX312" s="607">
        <f t="shared" si="375"/>
        <v>1071</v>
      </c>
      <c r="BY312" s="608">
        <f t="shared" si="376"/>
        <v>0</v>
      </c>
      <c r="BZ312" s="607">
        <f t="shared" si="377"/>
        <v>0</v>
      </c>
      <c r="CA312" s="608">
        <f t="shared" si="378"/>
        <v>0</v>
      </c>
      <c r="CB312" s="607">
        <f t="shared" si="379"/>
        <v>0</v>
      </c>
      <c r="CC312" s="608">
        <f t="shared" si="380"/>
        <v>0</v>
      </c>
      <c r="CD312" s="607">
        <f t="shared" si="381"/>
        <v>0</v>
      </c>
      <c r="CE312" s="608">
        <f t="shared" si="382"/>
        <v>0</v>
      </c>
      <c r="CF312" s="607">
        <f t="shared" si="383"/>
        <v>0</v>
      </c>
      <c r="CG312" s="608">
        <f t="shared" si="384"/>
        <v>0</v>
      </c>
      <c r="CH312" s="607">
        <f t="shared" si="385"/>
        <v>0</v>
      </c>
      <c r="CI312" s="608">
        <f t="shared" si="386"/>
        <v>6283.6189555125729</v>
      </c>
      <c r="CJ312" s="607">
        <f t="shared" si="387"/>
        <v>5242.7399999999989</v>
      </c>
      <c r="CK312" s="608">
        <f t="shared" si="388"/>
        <v>0</v>
      </c>
      <c r="CL312" s="609">
        <f t="shared" si="389"/>
        <v>0</v>
      </c>
      <c r="CM312" s="608">
        <f t="shared" si="390"/>
        <v>0</v>
      </c>
      <c r="CN312" s="610">
        <f t="shared" si="391"/>
        <v>0</v>
      </c>
      <c r="CO312" s="606">
        <f t="shared" si="392"/>
        <v>0</v>
      </c>
      <c r="CP312" s="607">
        <f t="shared" si="393"/>
        <v>0</v>
      </c>
      <c r="CQ312" s="606">
        <f t="shared" si="394"/>
        <v>0</v>
      </c>
      <c r="CR312" s="607">
        <f t="shared" si="395"/>
        <v>0</v>
      </c>
      <c r="CS312" s="606">
        <f t="shared" si="396"/>
        <v>0</v>
      </c>
      <c r="CT312" s="607">
        <f t="shared" si="397"/>
        <v>0</v>
      </c>
      <c r="CU312" s="608">
        <f t="shared" si="398"/>
        <v>56552.570599613158</v>
      </c>
      <c r="CV312" s="610">
        <f t="shared" si="399"/>
        <v>47184.659999999989</v>
      </c>
      <c r="CW312" s="608">
        <f t="shared" si="400"/>
        <v>0</v>
      </c>
      <c r="CX312" s="610">
        <f t="shared" si="401"/>
        <v>47184.659999999989</v>
      </c>
      <c r="CY312" s="611">
        <f t="shared" si="402"/>
        <v>56552.570599613166</v>
      </c>
      <c r="CZ312" s="605">
        <f t="shared" si="403"/>
        <v>0</v>
      </c>
      <c r="DA312" s="612">
        <f t="shared" si="404"/>
        <v>0</v>
      </c>
      <c r="DB312" s="607">
        <f t="shared" si="405"/>
        <v>0</v>
      </c>
      <c r="DC312" s="606">
        <f t="shared" si="406"/>
        <v>0</v>
      </c>
      <c r="DD312" s="607">
        <f t="shared" si="407"/>
        <v>0</v>
      </c>
      <c r="DE312" s="606">
        <f t="shared" si="408"/>
        <v>0</v>
      </c>
      <c r="DF312" s="607">
        <f t="shared" si="409"/>
        <v>0</v>
      </c>
      <c r="DG312" s="606">
        <f t="shared" si="410"/>
        <v>0</v>
      </c>
      <c r="DH312" s="607">
        <f t="shared" si="411"/>
        <v>0</v>
      </c>
      <c r="DI312" s="608">
        <f t="shared" si="412"/>
        <v>112</v>
      </c>
      <c r="DJ312" s="607">
        <f t="shared" si="413"/>
        <v>119</v>
      </c>
      <c r="DK312" s="608">
        <f t="shared" si="414"/>
        <v>0</v>
      </c>
      <c r="DL312" s="607">
        <f t="shared" si="415"/>
        <v>119</v>
      </c>
      <c r="DM312" s="608">
        <f t="shared" si="416"/>
        <v>112</v>
      </c>
      <c r="DN312" s="607">
        <f t="shared" si="417"/>
        <v>0</v>
      </c>
      <c r="DO312" s="612">
        <f t="shared" si="418"/>
        <v>0</v>
      </c>
      <c r="DP312" s="607">
        <f t="shared" si="419"/>
        <v>0</v>
      </c>
      <c r="DQ312" s="606">
        <f t="shared" si="420"/>
        <v>0</v>
      </c>
      <c r="DR312" s="607">
        <f t="shared" si="421"/>
        <v>0</v>
      </c>
      <c r="DS312" s="606">
        <f t="shared" si="422"/>
        <v>0</v>
      </c>
      <c r="DT312" s="607">
        <f t="shared" si="423"/>
        <v>0</v>
      </c>
      <c r="DU312" s="606">
        <f t="shared" si="424"/>
        <v>0</v>
      </c>
      <c r="DV312" s="607">
        <f t="shared" si="425"/>
        <v>0</v>
      </c>
      <c r="DW312" s="608">
        <f t="shared" si="426"/>
        <v>6333887.9071566742</v>
      </c>
      <c r="DX312" s="607">
        <f t="shared" si="427"/>
        <v>5614974.5399999991</v>
      </c>
      <c r="DY312" s="608">
        <f t="shared" si="428"/>
        <v>0</v>
      </c>
      <c r="DZ312" s="607">
        <f t="shared" si="429"/>
        <v>5614974.5399999991</v>
      </c>
      <c r="EA312" s="608">
        <f t="shared" si="430"/>
        <v>6333887.9071566742</v>
      </c>
    </row>
    <row r="313" spans="1:131" x14ac:dyDescent="0.2">
      <c r="A313" s="393" t="s">
        <v>40</v>
      </c>
      <c r="B313" s="391" t="s">
        <v>631</v>
      </c>
      <c r="C313" s="570"/>
      <c r="D313" s="398">
        <v>198118</v>
      </c>
      <c r="E313" s="399">
        <v>9</v>
      </c>
      <c r="F313" s="598"/>
      <c r="G313" s="599"/>
      <c r="H313" s="600"/>
      <c r="I313" s="601"/>
      <c r="J313" s="600"/>
      <c r="K313" s="599"/>
      <c r="L313" s="600"/>
      <c r="M313" s="601"/>
      <c r="N313" s="600"/>
      <c r="O313" s="599"/>
      <c r="P313" s="600"/>
      <c r="Q313" s="601"/>
      <c r="R313" s="600"/>
      <c r="S313" s="599"/>
      <c r="T313" s="600"/>
      <c r="U313" s="601"/>
      <c r="V313" s="600"/>
      <c r="W313" s="599"/>
      <c r="X313" s="600"/>
      <c r="Y313" s="601"/>
      <c r="Z313" s="600"/>
      <c r="AA313" s="599"/>
      <c r="AB313" s="600"/>
      <c r="AC313" s="601"/>
      <c r="AD313" s="600"/>
      <c r="AE313" s="599">
        <v>44</v>
      </c>
      <c r="AF313" s="600"/>
      <c r="AG313" s="601">
        <v>2</v>
      </c>
      <c r="AH313" s="600"/>
      <c r="AI313" s="599">
        <v>13</v>
      </c>
      <c r="AJ313" s="600"/>
      <c r="AK313" s="601">
        <v>39</v>
      </c>
      <c r="AL313" s="600"/>
      <c r="AM313" s="599"/>
      <c r="AN313" s="600"/>
      <c r="AO313" s="601"/>
      <c r="AP313" s="600"/>
      <c r="AQ313" s="599"/>
      <c r="AR313" s="600"/>
      <c r="AS313" s="601"/>
      <c r="AT313" s="600">
        <v>125</v>
      </c>
      <c r="AU313" s="599"/>
      <c r="AV313" s="600"/>
      <c r="AW313" s="601"/>
      <c r="AX313" s="600"/>
      <c r="AY313" s="599"/>
      <c r="AZ313" s="600"/>
      <c r="BA313" s="601"/>
      <c r="BB313" s="602">
        <v>0</v>
      </c>
      <c r="BC313" s="599"/>
      <c r="BD313" s="600">
        <v>0</v>
      </c>
      <c r="BE313" s="599"/>
      <c r="BF313" s="600">
        <v>0</v>
      </c>
      <c r="BG313" s="599"/>
      <c r="BH313" s="600">
        <v>0</v>
      </c>
      <c r="BI313" s="599">
        <v>4781779</v>
      </c>
      <c r="BJ313" s="600">
        <v>0</v>
      </c>
      <c r="BK313" s="615"/>
      <c r="BL313" s="600">
        <v>5512038.75</v>
      </c>
      <c r="BM313" s="604"/>
      <c r="BN313" s="605">
        <f t="shared" si="365"/>
        <v>0</v>
      </c>
      <c r="BO313" s="606">
        <f t="shared" si="366"/>
        <v>0</v>
      </c>
      <c r="BP313" s="607">
        <f t="shared" si="367"/>
        <v>0</v>
      </c>
      <c r="BQ313" s="606">
        <f t="shared" si="368"/>
        <v>0</v>
      </c>
      <c r="BR313" s="607">
        <f t="shared" si="369"/>
        <v>0</v>
      </c>
      <c r="BS313" s="606">
        <f t="shared" si="370"/>
        <v>0</v>
      </c>
      <c r="BT313" s="607">
        <f t="shared" si="371"/>
        <v>0</v>
      </c>
      <c r="BU313" s="606">
        <f t="shared" si="372"/>
        <v>1027</v>
      </c>
      <c r="BV313" s="607">
        <f t="shared" si="373"/>
        <v>0</v>
      </c>
      <c r="BW313" s="608">
        <f t="shared" si="374"/>
        <v>0</v>
      </c>
      <c r="BX313" s="607">
        <f t="shared" si="375"/>
        <v>1125</v>
      </c>
      <c r="BY313" s="608">
        <f t="shared" si="376"/>
        <v>0</v>
      </c>
      <c r="BZ313" s="607">
        <f t="shared" si="377"/>
        <v>0</v>
      </c>
      <c r="CA313" s="608">
        <f t="shared" si="378"/>
        <v>0</v>
      </c>
      <c r="CB313" s="607">
        <f t="shared" si="379"/>
        <v>0</v>
      </c>
      <c r="CC313" s="608">
        <f t="shared" si="380"/>
        <v>0</v>
      </c>
      <c r="CD313" s="607">
        <f t="shared" si="381"/>
        <v>0</v>
      </c>
      <c r="CE313" s="608">
        <f t="shared" si="382"/>
        <v>0</v>
      </c>
      <c r="CF313" s="607">
        <f t="shared" si="383"/>
        <v>0</v>
      </c>
      <c r="CG313" s="608">
        <f t="shared" si="384"/>
        <v>4656.0652385589092</v>
      </c>
      <c r="CH313" s="607">
        <f t="shared" si="385"/>
        <v>0</v>
      </c>
      <c r="CI313" s="608">
        <f t="shared" si="386"/>
        <v>0</v>
      </c>
      <c r="CJ313" s="607">
        <f t="shared" si="387"/>
        <v>4899.59</v>
      </c>
      <c r="CK313" s="608">
        <f t="shared" si="388"/>
        <v>0</v>
      </c>
      <c r="CL313" s="609">
        <f t="shared" si="389"/>
        <v>0</v>
      </c>
      <c r="CM313" s="608">
        <f t="shared" si="390"/>
        <v>0</v>
      </c>
      <c r="CN313" s="610">
        <f t="shared" si="391"/>
        <v>0</v>
      </c>
      <c r="CO313" s="606">
        <f t="shared" si="392"/>
        <v>0</v>
      </c>
      <c r="CP313" s="607">
        <f t="shared" si="393"/>
        <v>0</v>
      </c>
      <c r="CQ313" s="606">
        <f t="shared" si="394"/>
        <v>0</v>
      </c>
      <c r="CR313" s="607">
        <f t="shared" si="395"/>
        <v>0</v>
      </c>
      <c r="CS313" s="606">
        <f t="shared" si="396"/>
        <v>41904.587147030179</v>
      </c>
      <c r="CT313" s="607">
        <f t="shared" si="397"/>
        <v>0</v>
      </c>
      <c r="CU313" s="608">
        <f t="shared" si="398"/>
        <v>0</v>
      </c>
      <c r="CV313" s="610">
        <f t="shared" si="399"/>
        <v>44096.31</v>
      </c>
      <c r="CW313" s="608">
        <f t="shared" si="400"/>
        <v>0</v>
      </c>
      <c r="CX313" s="610">
        <f t="shared" si="401"/>
        <v>44096.31</v>
      </c>
      <c r="CY313" s="611">
        <f t="shared" si="402"/>
        <v>41904.587147030179</v>
      </c>
      <c r="CZ313" s="605">
        <f t="shared" si="403"/>
        <v>0</v>
      </c>
      <c r="DA313" s="612">
        <f t="shared" si="404"/>
        <v>0</v>
      </c>
      <c r="DB313" s="607">
        <f t="shared" si="405"/>
        <v>0</v>
      </c>
      <c r="DC313" s="606">
        <f t="shared" si="406"/>
        <v>0</v>
      </c>
      <c r="DD313" s="607">
        <f t="shared" si="407"/>
        <v>0</v>
      </c>
      <c r="DE313" s="606">
        <f t="shared" si="408"/>
        <v>0</v>
      </c>
      <c r="DF313" s="607">
        <f t="shared" si="409"/>
        <v>0</v>
      </c>
      <c r="DG313" s="606">
        <f t="shared" si="410"/>
        <v>98</v>
      </c>
      <c r="DH313" s="607">
        <f t="shared" si="411"/>
        <v>0</v>
      </c>
      <c r="DI313" s="608">
        <f t="shared" si="412"/>
        <v>0</v>
      </c>
      <c r="DJ313" s="607">
        <f t="shared" si="413"/>
        <v>125</v>
      </c>
      <c r="DK313" s="608">
        <f t="shared" si="414"/>
        <v>0</v>
      </c>
      <c r="DL313" s="607">
        <f t="shared" si="415"/>
        <v>125</v>
      </c>
      <c r="DM313" s="608">
        <f t="shared" si="416"/>
        <v>98</v>
      </c>
      <c r="DN313" s="607">
        <f t="shared" si="417"/>
        <v>0</v>
      </c>
      <c r="DO313" s="612">
        <f t="shared" si="418"/>
        <v>0</v>
      </c>
      <c r="DP313" s="607">
        <f t="shared" si="419"/>
        <v>0</v>
      </c>
      <c r="DQ313" s="606">
        <f t="shared" si="420"/>
        <v>0</v>
      </c>
      <c r="DR313" s="607">
        <f t="shared" si="421"/>
        <v>0</v>
      </c>
      <c r="DS313" s="606">
        <f t="shared" si="422"/>
        <v>0</v>
      </c>
      <c r="DT313" s="607">
        <f t="shared" si="423"/>
        <v>0</v>
      </c>
      <c r="DU313" s="606">
        <f t="shared" si="424"/>
        <v>4106649.5404089577</v>
      </c>
      <c r="DV313" s="607">
        <f t="shared" si="425"/>
        <v>0</v>
      </c>
      <c r="DW313" s="608">
        <f t="shared" si="426"/>
        <v>0</v>
      </c>
      <c r="DX313" s="607">
        <f t="shared" si="427"/>
        <v>5512038.75</v>
      </c>
      <c r="DY313" s="608">
        <f t="shared" si="428"/>
        <v>0</v>
      </c>
      <c r="DZ313" s="607">
        <f t="shared" si="429"/>
        <v>5512038.75</v>
      </c>
      <c r="EA313" s="608">
        <f t="shared" si="430"/>
        <v>4106649.5404089577</v>
      </c>
    </row>
    <row r="314" spans="1:131" x14ac:dyDescent="0.2">
      <c r="A314" s="393" t="s">
        <v>40</v>
      </c>
      <c r="B314" s="394" t="s">
        <v>632</v>
      </c>
      <c r="C314" s="570"/>
      <c r="D314" s="400">
        <v>198233</v>
      </c>
      <c r="E314" s="392">
        <v>9</v>
      </c>
      <c r="F314" s="598"/>
      <c r="G314" s="599"/>
      <c r="H314" s="600"/>
      <c r="I314" s="601"/>
      <c r="J314" s="600"/>
      <c r="K314" s="599"/>
      <c r="L314" s="600"/>
      <c r="M314" s="601"/>
      <c r="N314" s="600"/>
      <c r="O314" s="599"/>
      <c r="P314" s="600"/>
      <c r="Q314" s="601"/>
      <c r="R314" s="600"/>
      <c r="S314" s="599"/>
      <c r="T314" s="600"/>
      <c r="U314" s="601"/>
      <c r="V314" s="600"/>
      <c r="W314" s="599"/>
      <c r="X314" s="600"/>
      <c r="Y314" s="601"/>
      <c r="Z314" s="600"/>
      <c r="AA314" s="599"/>
      <c r="AB314" s="600"/>
      <c r="AC314" s="601"/>
      <c r="AD314" s="600"/>
      <c r="AE314" s="599"/>
      <c r="AF314" s="600"/>
      <c r="AG314" s="601"/>
      <c r="AH314" s="600"/>
      <c r="AI314" s="599"/>
      <c r="AJ314" s="600"/>
      <c r="AK314" s="601"/>
      <c r="AL314" s="600"/>
      <c r="AM314" s="599">
        <v>127</v>
      </c>
      <c r="AN314" s="600"/>
      <c r="AO314" s="601"/>
      <c r="AP314" s="600"/>
      <c r="AQ314" s="599"/>
      <c r="AR314" s="600"/>
      <c r="AS314" s="601">
        <v>18</v>
      </c>
      <c r="AT314" s="600">
        <v>132</v>
      </c>
      <c r="AU314" s="599"/>
      <c r="AV314" s="600"/>
      <c r="AW314" s="601"/>
      <c r="AX314" s="600"/>
      <c r="AY314" s="599"/>
      <c r="AZ314" s="600"/>
      <c r="BA314" s="601"/>
      <c r="BB314" s="602">
        <v>0</v>
      </c>
      <c r="BC314" s="599"/>
      <c r="BD314" s="600">
        <v>0</v>
      </c>
      <c r="BE314" s="599"/>
      <c r="BF314" s="600">
        <v>0</v>
      </c>
      <c r="BG314" s="599"/>
      <c r="BH314" s="600">
        <v>0</v>
      </c>
      <c r="BI314" s="599"/>
      <c r="BJ314" s="600">
        <v>0</v>
      </c>
      <c r="BK314" s="615">
        <v>7882577</v>
      </c>
      <c r="BL314" s="600">
        <v>6849889.2000000002</v>
      </c>
      <c r="BM314" s="604"/>
      <c r="BN314" s="605">
        <f t="shared" si="365"/>
        <v>0</v>
      </c>
      <c r="BO314" s="606">
        <f t="shared" si="366"/>
        <v>0</v>
      </c>
      <c r="BP314" s="607">
        <f t="shared" si="367"/>
        <v>0</v>
      </c>
      <c r="BQ314" s="606">
        <f t="shared" si="368"/>
        <v>0</v>
      </c>
      <c r="BR314" s="607">
        <f t="shared" si="369"/>
        <v>0</v>
      </c>
      <c r="BS314" s="606">
        <f t="shared" si="370"/>
        <v>0</v>
      </c>
      <c r="BT314" s="607">
        <f t="shared" si="371"/>
        <v>0</v>
      </c>
      <c r="BU314" s="606">
        <f t="shared" si="372"/>
        <v>0</v>
      </c>
      <c r="BV314" s="607">
        <f t="shared" si="373"/>
        <v>0</v>
      </c>
      <c r="BW314" s="608">
        <f t="shared" si="374"/>
        <v>1359</v>
      </c>
      <c r="BX314" s="607">
        <f t="shared" si="375"/>
        <v>1188</v>
      </c>
      <c r="BY314" s="608">
        <f t="shared" si="376"/>
        <v>0</v>
      </c>
      <c r="BZ314" s="607">
        <f t="shared" si="377"/>
        <v>0</v>
      </c>
      <c r="CA314" s="608">
        <f t="shared" si="378"/>
        <v>0</v>
      </c>
      <c r="CB314" s="607">
        <f t="shared" si="379"/>
        <v>0</v>
      </c>
      <c r="CC314" s="608">
        <f t="shared" si="380"/>
        <v>0</v>
      </c>
      <c r="CD314" s="607">
        <f t="shared" si="381"/>
        <v>0</v>
      </c>
      <c r="CE314" s="608">
        <f t="shared" si="382"/>
        <v>0</v>
      </c>
      <c r="CF314" s="607">
        <f t="shared" si="383"/>
        <v>0</v>
      </c>
      <c r="CG314" s="608">
        <f t="shared" si="384"/>
        <v>0</v>
      </c>
      <c r="CH314" s="607">
        <f t="shared" si="385"/>
        <v>0</v>
      </c>
      <c r="CI314" s="608">
        <f t="shared" si="386"/>
        <v>5800.2774098601913</v>
      </c>
      <c r="CJ314" s="607">
        <f t="shared" si="387"/>
        <v>5765.9000000000005</v>
      </c>
      <c r="CK314" s="608">
        <f t="shared" si="388"/>
        <v>0</v>
      </c>
      <c r="CL314" s="609">
        <f t="shared" si="389"/>
        <v>0</v>
      </c>
      <c r="CM314" s="608">
        <f t="shared" si="390"/>
        <v>0</v>
      </c>
      <c r="CN314" s="610">
        <f t="shared" si="391"/>
        <v>0</v>
      </c>
      <c r="CO314" s="606">
        <f t="shared" si="392"/>
        <v>0</v>
      </c>
      <c r="CP314" s="607">
        <f t="shared" si="393"/>
        <v>0</v>
      </c>
      <c r="CQ314" s="606">
        <f t="shared" si="394"/>
        <v>0</v>
      </c>
      <c r="CR314" s="607">
        <f t="shared" si="395"/>
        <v>0</v>
      </c>
      <c r="CS314" s="606">
        <f t="shared" si="396"/>
        <v>0</v>
      </c>
      <c r="CT314" s="607">
        <f t="shared" si="397"/>
        <v>0</v>
      </c>
      <c r="CU314" s="608">
        <f t="shared" si="398"/>
        <v>52202.496688741725</v>
      </c>
      <c r="CV314" s="610">
        <f t="shared" si="399"/>
        <v>51893.100000000006</v>
      </c>
      <c r="CW314" s="608">
        <f t="shared" si="400"/>
        <v>0</v>
      </c>
      <c r="CX314" s="610">
        <f t="shared" si="401"/>
        <v>51893.100000000006</v>
      </c>
      <c r="CY314" s="611">
        <f t="shared" si="402"/>
        <v>52202.496688741725</v>
      </c>
      <c r="CZ314" s="605">
        <f t="shared" si="403"/>
        <v>0</v>
      </c>
      <c r="DA314" s="612">
        <f t="shared" si="404"/>
        <v>0</v>
      </c>
      <c r="DB314" s="607">
        <f t="shared" si="405"/>
        <v>0</v>
      </c>
      <c r="DC314" s="606">
        <f t="shared" si="406"/>
        <v>0</v>
      </c>
      <c r="DD314" s="607">
        <f t="shared" si="407"/>
        <v>0</v>
      </c>
      <c r="DE314" s="606">
        <f t="shared" si="408"/>
        <v>0</v>
      </c>
      <c r="DF314" s="607">
        <f t="shared" si="409"/>
        <v>0</v>
      </c>
      <c r="DG314" s="606">
        <f t="shared" si="410"/>
        <v>0</v>
      </c>
      <c r="DH314" s="607">
        <f t="shared" si="411"/>
        <v>0</v>
      </c>
      <c r="DI314" s="608">
        <f t="shared" si="412"/>
        <v>145</v>
      </c>
      <c r="DJ314" s="607">
        <f t="shared" si="413"/>
        <v>132</v>
      </c>
      <c r="DK314" s="608">
        <f t="shared" si="414"/>
        <v>0</v>
      </c>
      <c r="DL314" s="607">
        <f t="shared" si="415"/>
        <v>132</v>
      </c>
      <c r="DM314" s="608">
        <f t="shared" si="416"/>
        <v>145</v>
      </c>
      <c r="DN314" s="607">
        <f t="shared" si="417"/>
        <v>0</v>
      </c>
      <c r="DO314" s="612">
        <f t="shared" si="418"/>
        <v>0</v>
      </c>
      <c r="DP314" s="607">
        <f t="shared" si="419"/>
        <v>0</v>
      </c>
      <c r="DQ314" s="606">
        <f t="shared" si="420"/>
        <v>0</v>
      </c>
      <c r="DR314" s="607">
        <f t="shared" si="421"/>
        <v>0</v>
      </c>
      <c r="DS314" s="606">
        <f t="shared" si="422"/>
        <v>0</v>
      </c>
      <c r="DT314" s="607">
        <f t="shared" si="423"/>
        <v>0</v>
      </c>
      <c r="DU314" s="606">
        <f t="shared" si="424"/>
        <v>0</v>
      </c>
      <c r="DV314" s="607">
        <f t="shared" si="425"/>
        <v>0</v>
      </c>
      <c r="DW314" s="608">
        <f t="shared" si="426"/>
        <v>7569362.0198675506</v>
      </c>
      <c r="DX314" s="607">
        <f t="shared" si="427"/>
        <v>6849889.2000000011</v>
      </c>
      <c r="DY314" s="608">
        <f t="shared" si="428"/>
        <v>0</v>
      </c>
      <c r="DZ314" s="607">
        <f t="shared" si="429"/>
        <v>6849889.2000000011</v>
      </c>
      <c r="EA314" s="608">
        <f t="shared" si="430"/>
        <v>7569362.0198675506</v>
      </c>
    </row>
    <row r="315" spans="1:131" x14ac:dyDescent="0.2">
      <c r="A315" s="393" t="s">
        <v>40</v>
      </c>
      <c r="B315" s="394" t="s">
        <v>633</v>
      </c>
      <c r="C315" s="570"/>
      <c r="D315" s="400">
        <v>198251</v>
      </c>
      <c r="E315" s="392">
        <v>9</v>
      </c>
      <c r="F315" s="598"/>
      <c r="G315" s="599"/>
      <c r="H315" s="600"/>
      <c r="I315" s="601"/>
      <c r="J315" s="600"/>
      <c r="K315" s="599"/>
      <c r="L315" s="600"/>
      <c r="M315" s="601"/>
      <c r="N315" s="600"/>
      <c r="O315" s="599"/>
      <c r="P315" s="600"/>
      <c r="Q315" s="601"/>
      <c r="R315" s="600"/>
      <c r="S315" s="599"/>
      <c r="T315" s="600"/>
      <c r="U315" s="601"/>
      <c r="V315" s="600"/>
      <c r="W315" s="599"/>
      <c r="X315" s="600"/>
      <c r="Y315" s="601"/>
      <c r="Z315" s="600"/>
      <c r="AA315" s="599"/>
      <c r="AB315" s="600"/>
      <c r="AC315" s="601"/>
      <c r="AD315" s="600"/>
      <c r="AE315" s="599"/>
      <c r="AF315" s="600"/>
      <c r="AG315" s="601"/>
      <c r="AH315" s="600"/>
      <c r="AI315" s="599"/>
      <c r="AJ315" s="600"/>
      <c r="AK315" s="601"/>
      <c r="AL315" s="600"/>
      <c r="AM315" s="599">
        <v>89</v>
      </c>
      <c r="AN315" s="600"/>
      <c r="AO315" s="601"/>
      <c r="AP315" s="600"/>
      <c r="AQ315" s="599"/>
      <c r="AR315" s="600"/>
      <c r="AS315" s="601">
        <v>77</v>
      </c>
      <c r="AT315" s="600">
        <v>141</v>
      </c>
      <c r="AU315" s="599"/>
      <c r="AV315" s="600"/>
      <c r="AW315" s="601"/>
      <c r="AX315" s="600"/>
      <c r="AY315" s="599"/>
      <c r="AZ315" s="600"/>
      <c r="BA315" s="601"/>
      <c r="BB315" s="602">
        <v>0</v>
      </c>
      <c r="BC315" s="599"/>
      <c r="BD315" s="600">
        <v>0</v>
      </c>
      <c r="BE315" s="599"/>
      <c r="BF315" s="600">
        <v>0</v>
      </c>
      <c r="BG315" s="599"/>
      <c r="BH315" s="600">
        <v>0</v>
      </c>
      <c r="BI315" s="599"/>
      <c r="BJ315" s="600">
        <v>0</v>
      </c>
      <c r="BK315" s="615">
        <v>8198422</v>
      </c>
      <c r="BL315" s="600">
        <v>5893578.6300000008</v>
      </c>
      <c r="BM315" s="604"/>
      <c r="BN315" s="605">
        <f t="shared" si="365"/>
        <v>0</v>
      </c>
      <c r="BO315" s="606">
        <f t="shared" si="366"/>
        <v>0</v>
      </c>
      <c r="BP315" s="607">
        <f t="shared" si="367"/>
        <v>0</v>
      </c>
      <c r="BQ315" s="606">
        <f t="shared" si="368"/>
        <v>0</v>
      </c>
      <c r="BR315" s="607">
        <f t="shared" si="369"/>
        <v>0</v>
      </c>
      <c r="BS315" s="606">
        <f t="shared" si="370"/>
        <v>0</v>
      </c>
      <c r="BT315" s="607">
        <f t="shared" si="371"/>
        <v>0</v>
      </c>
      <c r="BU315" s="606">
        <f t="shared" si="372"/>
        <v>0</v>
      </c>
      <c r="BV315" s="607">
        <f t="shared" si="373"/>
        <v>0</v>
      </c>
      <c r="BW315" s="608">
        <f t="shared" si="374"/>
        <v>1725</v>
      </c>
      <c r="BX315" s="607">
        <f t="shared" si="375"/>
        <v>1269</v>
      </c>
      <c r="BY315" s="608">
        <f t="shared" si="376"/>
        <v>0</v>
      </c>
      <c r="BZ315" s="607">
        <f t="shared" si="377"/>
        <v>0</v>
      </c>
      <c r="CA315" s="608">
        <f t="shared" si="378"/>
        <v>0</v>
      </c>
      <c r="CB315" s="607">
        <f t="shared" si="379"/>
        <v>0</v>
      </c>
      <c r="CC315" s="608">
        <f t="shared" si="380"/>
        <v>0</v>
      </c>
      <c r="CD315" s="607">
        <f t="shared" si="381"/>
        <v>0</v>
      </c>
      <c r="CE315" s="608">
        <f t="shared" si="382"/>
        <v>0</v>
      </c>
      <c r="CF315" s="607">
        <f t="shared" si="383"/>
        <v>0</v>
      </c>
      <c r="CG315" s="608">
        <f t="shared" si="384"/>
        <v>0</v>
      </c>
      <c r="CH315" s="607">
        <f t="shared" si="385"/>
        <v>0</v>
      </c>
      <c r="CI315" s="608">
        <f t="shared" si="386"/>
        <v>4752.7084057971015</v>
      </c>
      <c r="CJ315" s="607">
        <f t="shared" si="387"/>
        <v>4644.2700000000004</v>
      </c>
      <c r="CK315" s="608">
        <f t="shared" si="388"/>
        <v>0</v>
      </c>
      <c r="CL315" s="609">
        <f t="shared" si="389"/>
        <v>0</v>
      </c>
      <c r="CM315" s="608">
        <f t="shared" si="390"/>
        <v>0</v>
      </c>
      <c r="CN315" s="610">
        <f t="shared" si="391"/>
        <v>0</v>
      </c>
      <c r="CO315" s="606">
        <f t="shared" si="392"/>
        <v>0</v>
      </c>
      <c r="CP315" s="607">
        <f t="shared" si="393"/>
        <v>0</v>
      </c>
      <c r="CQ315" s="606">
        <f t="shared" si="394"/>
        <v>0</v>
      </c>
      <c r="CR315" s="607">
        <f t="shared" si="395"/>
        <v>0</v>
      </c>
      <c r="CS315" s="606">
        <f t="shared" si="396"/>
        <v>0</v>
      </c>
      <c r="CT315" s="607">
        <f t="shared" si="397"/>
        <v>0</v>
      </c>
      <c r="CU315" s="608">
        <f t="shared" si="398"/>
        <v>42774.375652173912</v>
      </c>
      <c r="CV315" s="610">
        <f t="shared" si="399"/>
        <v>41798.430000000008</v>
      </c>
      <c r="CW315" s="608">
        <f t="shared" si="400"/>
        <v>0</v>
      </c>
      <c r="CX315" s="610">
        <f t="shared" si="401"/>
        <v>41798.430000000008</v>
      </c>
      <c r="CY315" s="611">
        <f t="shared" si="402"/>
        <v>42774.375652173912</v>
      </c>
      <c r="CZ315" s="605">
        <f t="shared" si="403"/>
        <v>0</v>
      </c>
      <c r="DA315" s="612">
        <f t="shared" si="404"/>
        <v>0</v>
      </c>
      <c r="DB315" s="607">
        <f t="shared" si="405"/>
        <v>0</v>
      </c>
      <c r="DC315" s="606">
        <f t="shared" si="406"/>
        <v>0</v>
      </c>
      <c r="DD315" s="607">
        <f t="shared" si="407"/>
        <v>0</v>
      </c>
      <c r="DE315" s="606">
        <f t="shared" si="408"/>
        <v>0</v>
      </c>
      <c r="DF315" s="607">
        <f t="shared" si="409"/>
        <v>0</v>
      </c>
      <c r="DG315" s="606">
        <f t="shared" si="410"/>
        <v>0</v>
      </c>
      <c r="DH315" s="607">
        <f t="shared" si="411"/>
        <v>0</v>
      </c>
      <c r="DI315" s="608">
        <f t="shared" si="412"/>
        <v>166</v>
      </c>
      <c r="DJ315" s="607">
        <f t="shared" si="413"/>
        <v>141</v>
      </c>
      <c r="DK315" s="608">
        <f t="shared" si="414"/>
        <v>0</v>
      </c>
      <c r="DL315" s="607">
        <f t="shared" si="415"/>
        <v>141</v>
      </c>
      <c r="DM315" s="608">
        <f t="shared" si="416"/>
        <v>166</v>
      </c>
      <c r="DN315" s="607">
        <f t="shared" si="417"/>
        <v>0</v>
      </c>
      <c r="DO315" s="612">
        <f t="shared" si="418"/>
        <v>0</v>
      </c>
      <c r="DP315" s="607">
        <f t="shared" si="419"/>
        <v>0</v>
      </c>
      <c r="DQ315" s="606">
        <f t="shared" si="420"/>
        <v>0</v>
      </c>
      <c r="DR315" s="607">
        <f t="shared" si="421"/>
        <v>0</v>
      </c>
      <c r="DS315" s="606">
        <f t="shared" si="422"/>
        <v>0</v>
      </c>
      <c r="DT315" s="607">
        <f t="shared" si="423"/>
        <v>0</v>
      </c>
      <c r="DU315" s="606">
        <f t="shared" si="424"/>
        <v>0</v>
      </c>
      <c r="DV315" s="607">
        <f t="shared" si="425"/>
        <v>0</v>
      </c>
      <c r="DW315" s="608">
        <f t="shared" si="426"/>
        <v>7100546.358260869</v>
      </c>
      <c r="DX315" s="607">
        <f t="shared" si="427"/>
        <v>5893578.6300000008</v>
      </c>
      <c r="DY315" s="608">
        <f t="shared" si="428"/>
        <v>0</v>
      </c>
      <c r="DZ315" s="607">
        <f t="shared" si="429"/>
        <v>5893578.6300000008</v>
      </c>
      <c r="EA315" s="608">
        <f t="shared" si="430"/>
        <v>7100546.358260869</v>
      </c>
    </row>
    <row r="316" spans="1:131" x14ac:dyDescent="0.2">
      <c r="A316" s="393" t="s">
        <v>40</v>
      </c>
      <c r="B316" s="391" t="s">
        <v>634</v>
      </c>
      <c r="C316" s="570"/>
      <c r="D316" s="398">
        <v>198321</v>
      </c>
      <c r="E316" s="399">
        <v>9</v>
      </c>
      <c r="F316" s="598"/>
      <c r="G316" s="599"/>
      <c r="H316" s="600"/>
      <c r="I316" s="601"/>
      <c r="J316" s="600"/>
      <c r="K316" s="599"/>
      <c r="L316" s="600"/>
      <c r="M316" s="601"/>
      <c r="N316" s="600"/>
      <c r="O316" s="599"/>
      <c r="P316" s="600"/>
      <c r="Q316" s="601"/>
      <c r="R316" s="600"/>
      <c r="S316" s="599"/>
      <c r="T316" s="600"/>
      <c r="U316" s="601"/>
      <c r="V316" s="600"/>
      <c r="W316" s="599"/>
      <c r="X316" s="600"/>
      <c r="Y316" s="601"/>
      <c r="Z316" s="600"/>
      <c r="AA316" s="599"/>
      <c r="AB316" s="600"/>
      <c r="AC316" s="601"/>
      <c r="AD316" s="600"/>
      <c r="AE316" s="599"/>
      <c r="AF316" s="600"/>
      <c r="AG316" s="601"/>
      <c r="AH316" s="600"/>
      <c r="AI316" s="599"/>
      <c r="AJ316" s="600"/>
      <c r="AK316" s="601"/>
      <c r="AL316" s="600"/>
      <c r="AM316" s="599">
        <v>72</v>
      </c>
      <c r="AN316" s="600"/>
      <c r="AO316" s="601"/>
      <c r="AP316" s="600"/>
      <c r="AQ316" s="599"/>
      <c r="AR316" s="600"/>
      <c r="AS316" s="601"/>
      <c r="AT316" s="600">
        <v>78</v>
      </c>
      <c r="AU316" s="599"/>
      <c r="AV316" s="600"/>
      <c r="AW316" s="601"/>
      <c r="AX316" s="600"/>
      <c r="AY316" s="599"/>
      <c r="AZ316" s="600"/>
      <c r="BA316" s="601"/>
      <c r="BB316" s="602">
        <v>0</v>
      </c>
      <c r="BC316" s="599"/>
      <c r="BD316" s="600">
        <v>0</v>
      </c>
      <c r="BE316" s="599"/>
      <c r="BF316" s="600">
        <v>0</v>
      </c>
      <c r="BG316" s="599"/>
      <c r="BH316" s="600">
        <v>0</v>
      </c>
      <c r="BI316" s="599"/>
      <c r="BJ316" s="600">
        <v>0</v>
      </c>
      <c r="BK316" s="615">
        <v>3931501</v>
      </c>
      <c r="BL316" s="600">
        <v>3570877.4400000004</v>
      </c>
      <c r="BM316" s="604"/>
      <c r="BN316" s="605">
        <f t="shared" si="365"/>
        <v>0</v>
      </c>
      <c r="BO316" s="606">
        <f t="shared" si="366"/>
        <v>0</v>
      </c>
      <c r="BP316" s="607">
        <f t="shared" si="367"/>
        <v>0</v>
      </c>
      <c r="BQ316" s="606">
        <f t="shared" si="368"/>
        <v>0</v>
      </c>
      <c r="BR316" s="607">
        <f t="shared" si="369"/>
        <v>0</v>
      </c>
      <c r="BS316" s="606">
        <f t="shared" si="370"/>
        <v>0</v>
      </c>
      <c r="BT316" s="607">
        <f t="shared" si="371"/>
        <v>0</v>
      </c>
      <c r="BU316" s="606">
        <f t="shared" si="372"/>
        <v>0</v>
      </c>
      <c r="BV316" s="607">
        <f t="shared" si="373"/>
        <v>0</v>
      </c>
      <c r="BW316" s="608">
        <f t="shared" si="374"/>
        <v>648</v>
      </c>
      <c r="BX316" s="607">
        <f t="shared" si="375"/>
        <v>702</v>
      </c>
      <c r="BY316" s="608">
        <f t="shared" si="376"/>
        <v>0</v>
      </c>
      <c r="BZ316" s="607">
        <f t="shared" si="377"/>
        <v>0</v>
      </c>
      <c r="CA316" s="608">
        <f t="shared" si="378"/>
        <v>0</v>
      </c>
      <c r="CB316" s="607">
        <f t="shared" si="379"/>
        <v>0</v>
      </c>
      <c r="CC316" s="608">
        <f t="shared" si="380"/>
        <v>0</v>
      </c>
      <c r="CD316" s="607">
        <f t="shared" si="381"/>
        <v>0</v>
      </c>
      <c r="CE316" s="608">
        <f t="shared" si="382"/>
        <v>0</v>
      </c>
      <c r="CF316" s="607">
        <f t="shared" si="383"/>
        <v>0</v>
      </c>
      <c r="CG316" s="608">
        <f t="shared" si="384"/>
        <v>0</v>
      </c>
      <c r="CH316" s="607">
        <f t="shared" si="385"/>
        <v>0</v>
      </c>
      <c r="CI316" s="608">
        <f t="shared" si="386"/>
        <v>6067.1311728395058</v>
      </c>
      <c r="CJ316" s="607">
        <f t="shared" si="387"/>
        <v>5086.72</v>
      </c>
      <c r="CK316" s="608">
        <f t="shared" si="388"/>
        <v>0</v>
      </c>
      <c r="CL316" s="609">
        <f t="shared" si="389"/>
        <v>0</v>
      </c>
      <c r="CM316" s="608">
        <f t="shared" si="390"/>
        <v>0</v>
      </c>
      <c r="CN316" s="610">
        <f t="shared" si="391"/>
        <v>0</v>
      </c>
      <c r="CO316" s="606">
        <f t="shared" si="392"/>
        <v>0</v>
      </c>
      <c r="CP316" s="607">
        <f t="shared" si="393"/>
        <v>0</v>
      </c>
      <c r="CQ316" s="606">
        <f t="shared" si="394"/>
        <v>0</v>
      </c>
      <c r="CR316" s="607">
        <f t="shared" si="395"/>
        <v>0</v>
      </c>
      <c r="CS316" s="606">
        <f t="shared" si="396"/>
        <v>0</v>
      </c>
      <c r="CT316" s="607">
        <f t="shared" si="397"/>
        <v>0</v>
      </c>
      <c r="CU316" s="608">
        <f t="shared" si="398"/>
        <v>54604.180555555555</v>
      </c>
      <c r="CV316" s="610">
        <f t="shared" si="399"/>
        <v>45780.480000000003</v>
      </c>
      <c r="CW316" s="608">
        <f t="shared" si="400"/>
        <v>0</v>
      </c>
      <c r="CX316" s="610">
        <f t="shared" si="401"/>
        <v>45780.480000000003</v>
      </c>
      <c r="CY316" s="611">
        <f t="shared" si="402"/>
        <v>54604.180555555555</v>
      </c>
      <c r="CZ316" s="605">
        <f t="shared" si="403"/>
        <v>0</v>
      </c>
      <c r="DA316" s="612">
        <f t="shared" si="404"/>
        <v>0</v>
      </c>
      <c r="DB316" s="607">
        <f t="shared" si="405"/>
        <v>0</v>
      </c>
      <c r="DC316" s="606">
        <f t="shared" si="406"/>
        <v>0</v>
      </c>
      <c r="DD316" s="607">
        <f t="shared" si="407"/>
        <v>0</v>
      </c>
      <c r="DE316" s="606">
        <f t="shared" si="408"/>
        <v>0</v>
      </c>
      <c r="DF316" s="607">
        <f t="shared" si="409"/>
        <v>0</v>
      </c>
      <c r="DG316" s="606">
        <f t="shared" si="410"/>
        <v>0</v>
      </c>
      <c r="DH316" s="607">
        <f t="shared" si="411"/>
        <v>0</v>
      </c>
      <c r="DI316" s="608">
        <f t="shared" si="412"/>
        <v>72</v>
      </c>
      <c r="DJ316" s="607">
        <f t="shared" si="413"/>
        <v>78</v>
      </c>
      <c r="DK316" s="608">
        <f t="shared" si="414"/>
        <v>0</v>
      </c>
      <c r="DL316" s="607">
        <f t="shared" si="415"/>
        <v>78</v>
      </c>
      <c r="DM316" s="608">
        <f t="shared" si="416"/>
        <v>72</v>
      </c>
      <c r="DN316" s="607">
        <f t="shared" si="417"/>
        <v>0</v>
      </c>
      <c r="DO316" s="612">
        <f t="shared" si="418"/>
        <v>0</v>
      </c>
      <c r="DP316" s="607">
        <f t="shared" si="419"/>
        <v>0</v>
      </c>
      <c r="DQ316" s="606">
        <f t="shared" si="420"/>
        <v>0</v>
      </c>
      <c r="DR316" s="607">
        <f t="shared" si="421"/>
        <v>0</v>
      </c>
      <c r="DS316" s="606">
        <f t="shared" si="422"/>
        <v>0</v>
      </c>
      <c r="DT316" s="607">
        <f t="shared" si="423"/>
        <v>0</v>
      </c>
      <c r="DU316" s="606">
        <f t="shared" si="424"/>
        <v>0</v>
      </c>
      <c r="DV316" s="607">
        <f t="shared" si="425"/>
        <v>0</v>
      </c>
      <c r="DW316" s="608">
        <f t="shared" si="426"/>
        <v>3931501</v>
      </c>
      <c r="DX316" s="607">
        <f t="shared" si="427"/>
        <v>3570877.4400000004</v>
      </c>
      <c r="DY316" s="608">
        <f t="shared" si="428"/>
        <v>0</v>
      </c>
      <c r="DZ316" s="607">
        <f t="shared" si="429"/>
        <v>3570877.4400000004</v>
      </c>
      <c r="EA316" s="608">
        <f t="shared" si="430"/>
        <v>3931501</v>
      </c>
    </row>
    <row r="317" spans="1:131" x14ac:dyDescent="0.2">
      <c r="A317" s="393" t="s">
        <v>40</v>
      </c>
      <c r="B317" s="397" t="s">
        <v>635</v>
      </c>
      <c r="C317" s="572"/>
      <c r="D317" s="398">
        <v>198330</v>
      </c>
      <c r="E317" s="399">
        <v>9</v>
      </c>
      <c r="F317" s="598"/>
      <c r="G317" s="599"/>
      <c r="H317" s="600"/>
      <c r="I317" s="601"/>
      <c r="J317" s="600"/>
      <c r="K317" s="599"/>
      <c r="L317" s="600"/>
      <c r="M317" s="601"/>
      <c r="N317" s="600"/>
      <c r="O317" s="599"/>
      <c r="P317" s="600"/>
      <c r="Q317" s="601"/>
      <c r="R317" s="600"/>
      <c r="S317" s="599"/>
      <c r="T317" s="600"/>
      <c r="U317" s="601"/>
      <c r="V317" s="600"/>
      <c r="W317" s="599"/>
      <c r="X317" s="600"/>
      <c r="Y317" s="601"/>
      <c r="Z317" s="600"/>
      <c r="AA317" s="599"/>
      <c r="AB317" s="600"/>
      <c r="AC317" s="601"/>
      <c r="AD317" s="600"/>
      <c r="AE317" s="599"/>
      <c r="AF317" s="600"/>
      <c r="AG317" s="601"/>
      <c r="AH317" s="600"/>
      <c r="AI317" s="599"/>
      <c r="AJ317" s="600"/>
      <c r="AK317" s="601"/>
      <c r="AL317" s="600"/>
      <c r="AM317" s="599">
        <v>135</v>
      </c>
      <c r="AN317" s="600"/>
      <c r="AO317" s="601">
        <v>7</v>
      </c>
      <c r="AP317" s="600"/>
      <c r="AQ317" s="599"/>
      <c r="AR317" s="600"/>
      <c r="AS317" s="601"/>
      <c r="AT317" s="600">
        <v>131</v>
      </c>
      <c r="AU317" s="599"/>
      <c r="AV317" s="600"/>
      <c r="AW317" s="601"/>
      <c r="AX317" s="600"/>
      <c r="AY317" s="599"/>
      <c r="AZ317" s="600"/>
      <c r="BA317" s="601"/>
      <c r="BB317" s="602">
        <v>0</v>
      </c>
      <c r="BC317" s="599"/>
      <c r="BD317" s="600">
        <v>0</v>
      </c>
      <c r="BE317" s="599"/>
      <c r="BF317" s="600">
        <v>0</v>
      </c>
      <c r="BG317" s="599"/>
      <c r="BH317" s="600">
        <v>0</v>
      </c>
      <c r="BI317" s="599"/>
      <c r="BJ317" s="600">
        <v>0</v>
      </c>
      <c r="BK317" s="615">
        <v>6568354</v>
      </c>
      <c r="BL317" s="600">
        <v>5560788.8699999992</v>
      </c>
      <c r="BM317" s="604"/>
      <c r="BN317" s="605">
        <f t="shared" si="365"/>
        <v>0</v>
      </c>
      <c r="BO317" s="606">
        <f t="shared" si="366"/>
        <v>0</v>
      </c>
      <c r="BP317" s="607">
        <f t="shared" si="367"/>
        <v>0</v>
      </c>
      <c r="BQ317" s="606">
        <f t="shared" si="368"/>
        <v>0</v>
      </c>
      <c r="BR317" s="607">
        <f t="shared" si="369"/>
        <v>0</v>
      </c>
      <c r="BS317" s="606">
        <f t="shared" si="370"/>
        <v>0</v>
      </c>
      <c r="BT317" s="607">
        <f t="shared" si="371"/>
        <v>0</v>
      </c>
      <c r="BU317" s="606">
        <f t="shared" si="372"/>
        <v>0</v>
      </c>
      <c r="BV317" s="607">
        <f t="shared" si="373"/>
        <v>0</v>
      </c>
      <c r="BW317" s="608">
        <f t="shared" si="374"/>
        <v>1285</v>
      </c>
      <c r="BX317" s="607">
        <f t="shared" si="375"/>
        <v>1179</v>
      </c>
      <c r="BY317" s="608">
        <f t="shared" si="376"/>
        <v>0</v>
      </c>
      <c r="BZ317" s="607">
        <f t="shared" si="377"/>
        <v>0</v>
      </c>
      <c r="CA317" s="608">
        <f t="shared" si="378"/>
        <v>0</v>
      </c>
      <c r="CB317" s="607">
        <f t="shared" si="379"/>
        <v>0</v>
      </c>
      <c r="CC317" s="608">
        <f t="shared" si="380"/>
        <v>0</v>
      </c>
      <c r="CD317" s="607">
        <f t="shared" si="381"/>
        <v>0</v>
      </c>
      <c r="CE317" s="608">
        <f t="shared" si="382"/>
        <v>0</v>
      </c>
      <c r="CF317" s="607">
        <f t="shared" si="383"/>
        <v>0</v>
      </c>
      <c r="CG317" s="608">
        <f t="shared" si="384"/>
        <v>0</v>
      </c>
      <c r="CH317" s="607">
        <f t="shared" si="385"/>
        <v>0</v>
      </c>
      <c r="CI317" s="608">
        <f t="shared" si="386"/>
        <v>5111.5595330739297</v>
      </c>
      <c r="CJ317" s="607">
        <f t="shared" si="387"/>
        <v>4716.53</v>
      </c>
      <c r="CK317" s="608">
        <f t="shared" si="388"/>
        <v>0</v>
      </c>
      <c r="CL317" s="609">
        <f t="shared" si="389"/>
        <v>0</v>
      </c>
      <c r="CM317" s="608">
        <f t="shared" si="390"/>
        <v>0</v>
      </c>
      <c r="CN317" s="610">
        <f t="shared" si="391"/>
        <v>0</v>
      </c>
      <c r="CO317" s="606">
        <f t="shared" si="392"/>
        <v>0</v>
      </c>
      <c r="CP317" s="607">
        <f t="shared" si="393"/>
        <v>0</v>
      </c>
      <c r="CQ317" s="606">
        <f t="shared" si="394"/>
        <v>0</v>
      </c>
      <c r="CR317" s="607">
        <f t="shared" si="395"/>
        <v>0</v>
      </c>
      <c r="CS317" s="606">
        <f t="shared" si="396"/>
        <v>0</v>
      </c>
      <c r="CT317" s="607">
        <f t="shared" si="397"/>
        <v>0</v>
      </c>
      <c r="CU317" s="608">
        <f t="shared" si="398"/>
        <v>46004.035797665369</v>
      </c>
      <c r="CV317" s="610">
        <f t="shared" si="399"/>
        <v>42448.77</v>
      </c>
      <c r="CW317" s="608">
        <f t="shared" si="400"/>
        <v>0</v>
      </c>
      <c r="CX317" s="610">
        <f t="shared" si="401"/>
        <v>42448.77</v>
      </c>
      <c r="CY317" s="611">
        <f t="shared" si="402"/>
        <v>46004.035797665369</v>
      </c>
      <c r="CZ317" s="605">
        <f t="shared" si="403"/>
        <v>0</v>
      </c>
      <c r="DA317" s="612">
        <f t="shared" si="404"/>
        <v>0</v>
      </c>
      <c r="DB317" s="607">
        <f t="shared" si="405"/>
        <v>0</v>
      </c>
      <c r="DC317" s="606">
        <f t="shared" si="406"/>
        <v>0</v>
      </c>
      <c r="DD317" s="607">
        <f t="shared" si="407"/>
        <v>0</v>
      </c>
      <c r="DE317" s="606">
        <f t="shared" si="408"/>
        <v>0</v>
      </c>
      <c r="DF317" s="607">
        <f t="shared" si="409"/>
        <v>0</v>
      </c>
      <c r="DG317" s="606">
        <f t="shared" si="410"/>
        <v>0</v>
      </c>
      <c r="DH317" s="607">
        <f t="shared" si="411"/>
        <v>0</v>
      </c>
      <c r="DI317" s="608">
        <f t="shared" si="412"/>
        <v>142</v>
      </c>
      <c r="DJ317" s="607">
        <f t="shared" si="413"/>
        <v>131</v>
      </c>
      <c r="DK317" s="608">
        <f t="shared" si="414"/>
        <v>0</v>
      </c>
      <c r="DL317" s="607">
        <f t="shared" si="415"/>
        <v>131</v>
      </c>
      <c r="DM317" s="608">
        <f t="shared" si="416"/>
        <v>142</v>
      </c>
      <c r="DN317" s="607">
        <f t="shared" si="417"/>
        <v>0</v>
      </c>
      <c r="DO317" s="612">
        <f t="shared" si="418"/>
        <v>0</v>
      </c>
      <c r="DP317" s="607">
        <f t="shared" si="419"/>
        <v>0</v>
      </c>
      <c r="DQ317" s="606">
        <f t="shared" si="420"/>
        <v>0</v>
      </c>
      <c r="DR317" s="607">
        <f t="shared" si="421"/>
        <v>0</v>
      </c>
      <c r="DS317" s="606">
        <f t="shared" si="422"/>
        <v>0</v>
      </c>
      <c r="DT317" s="607">
        <f t="shared" si="423"/>
        <v>0</v>
      </c>
      <c r="DU317" s="606">
        <f t="shared" si="424"/>
        <v>0</v>
      </c>
      <c r="DV317" s="607">
        <f t="shared" si="425"/>
        <v>0</v>
      </c>
      <c r="DW317" s="608">
        <f t="shared" si="426"/>
        <v>6532573.0832684822</v>
      </c>
      <c r="DX317" s="607">
        <f t="shared" si="427"/>
        <v>5560788.8699999992</v>
      </c>
      <c r="DY317" s="608">
        <f t="shared" si="428"/>
        <v>0</v>
      </c>
      <c r="DZ317" s="607">
        <f t="shared" si="429"/>
        <v>5560788.8699999992</v>
      </c>
      <c r="EA317" s="608">
        <f t="shared" si="430"/>
        <v>6532573.0832684822</v>
      </c>
    </row>
    <row r="318" spans="1:131" x14ac:dyDescent="0.2">
      <c r="A318" s="393" t="s">
        <v>40</v>
      </c>
      <c r="B318" s="391" t="s">
        <v>636</v>
      </c>
      <c r="C318" s="569"/>
      <c r="D318" s="398">
        <v>198367</v>
      </c>
      <c r="E318" s="399">
        <v>9</v>
      </c>
      <c r="F318" s="598"/>
      <c r="G318" s="599"/>
      <c r="H318" s="600"/>
      <c r="I318" s="601"/>
      <c r="J318" s="600"/>
      <c r="K318" s="599"/>
      <c r="L318" s="600"/>
      <c r="M318" s="601"/>
      <c r="N318" s="600"/>
      <c r="O318" s="599"/>
      <c r="P318" s="600"/>
      <c r="Q318" s="601"/>
      <c r="R318" s="600"/>
      <c r="S318" s="599"/>
      <c r="T318" s="600"/>
      <c r="U318" s="601"/>
      <c r="V318" s="600"/>
      <c r="W318" s="599"/>
      <c r="X318" s="600"/>
      <c r="Y318" s="601"/>
      <c r="Z318" s="600"/>
      <c r="AA318" s="599"/>
      <c r="AB318" s="600"/>
      <c r="AC318" s="601"/>
      <c r="AD318" s="600"/>
      <c r="AE318" s="599"/>
      <c r="AF318" s="600"/>
      <c r="AG318" s="601"/>
      <c r="AH318" s="600"/>
      <c r="AI318" s="599"/>
      <c r="AJ318" s="600"/>
      <c r="AK318" s="601">
        <v>65</v>
      </c>
      <c r="AL318" s="600"/>
      <c r="AM318" s="599"/>
      <c r="AN318" s="600"/>
      <c r="AO318" s="601"/>
      <c r="AP318" s="600"/>
      <c r="AQ318" s="599"/>
      <c r="AR318" s="600"/>
      <c r="AS318" s="601"/>
      <c r="AT318" s="600">
        <v>79</v>
      </c>
      <c r="AU318" s="599"/>
      <c r="AV318" s="600"/>
      <c r="AW318" s="601"/>
      <c r="AX318" s="600"/>
      <c r="AY318" s="599"/>
      <c r="AZ318" s="600"/>
      <c r="BA318" s="601"/>
      <c r="BB318" s="602">
        <v>0</v>
      </c>
      <c r="BC318" s="599"/>
      <c r="BD318" s="600">
        <v>0</v>
      </c>
      <c r="BE318" s="599"/>
      <c r="BF318" s="600">
        <v>0</v>
      </c>
      <c r="BG318" s="599"/>
      <c r="BH318" s="600">
        <v>0</v>
      </c>
      <c r="BI318" s="599">
        <v>3390054</v>
      </c>
      <c r="BJ318" s="600">
        <v>0</v>
      </c>
      <c r="BK318" s="615"/>
      <c r="BL318" s="600">
        <v>4089579.5700000003</v>
      </c>
      <c r="BM318" s="604"/>
      <c r="BN318" s="605">
        <f t="shared" si="365"/>
        <v>0</v>
      </c>
      <c r="BO318" s="606">
        <f t="shared" si="366"/>
        <v>0</v>
      </c>
      <c r="BP318" s="607">
        <f t="shared" si="367"/>
        <v>0</v>
      </c>
      <c r="BQ318" s="606">
        <f t="shared" si="368"/>
        <v>0</v>
      </c>
      <c r="BR318" s="607">
        <f t="shared" si="369"/>
        <v>0</v>
      </c>
      <c r="BS318" s="606">
        <f t="shared" si="370"/>
        <v>0</v>
      </c>
      <c r="BT318" s="607">
        <f t="shared" si="371"/>
        <v>0</v>
      </c>
      <c r="BU318" s="606">
        <f t="shared" si="372"/>
        <v>780</v>
      </c>
      <c r="BV318" s="607">
        <f t="shared" si="373"/>
        <v>0</v>
      </c>
      <c r="BW318" s="608">
        <f t="shared" si="374"/>
        <v>0</v>
      </c>
      <c r="BX318" s="607">
        <f t="shared" si="375"/>
        <v>711</v>
      </c>
      <c r="BY318" s="608">
        <f t="shared" si="376"/>
        <v>0</v>
      </c>
      <c r="BZ318" s="607">
        <f t="shared" si="377"/>
        <v>0</v>
      </c>
      <c r="CA318" s="608">
        <f t="shared" si="378"/>
        <v>0</v>
      </c>
      <c r="CB318" s="607">
        <f t="shared" si="379"/>
        <v>0</v>
      </c>
      <c r="CC318" s="608">
        <f t="shared" si="380"/>
        <v>0</v>
      </c>
      <c r="CD318" s="607">
        <f t="shared" si="381"/>
        <v>0</v>
      </c>
      <c r="CE318" s="608">
        <f t="shared" si="382"/>
        <v>0</v>
      </c>
      <c r="CF318" s="607">
        <f t="shared" si="383"/>
        <v>0</v>
      </c>
      <c r="CG318" s="608">
        <f t="shared" si="384"/>
        <v>4346.2230769230773</v>
      </c>
      <c r="CH318" s="607">
        <f t="shared" si="385"/>
        <v>0</v>
      </c>
      <c r="CI318" s="608">
        <f t="shared" si="386"/>
        <v>0</v>
      </c>
      <c r="CJ318" s="607">
        <f t="shared" si="387"/>
        <v>5751.8700000000008</v>
      </c>
      <c r="CK318" s="608">
        <f t="shared" si="388"/>
        <v>0</v>
      </c>
      <c r="CL318" s="609">
        <f t="shared" si="389"/>
        <v>0</v>
      </c>
      <c r="CM318" s="608">
        <f t="shared" si="390"/>
        <v>0</v>
      </c>
      <c r="CN318" s="610">
        <f t="shared" si="391"/>
        <v>0</v>
      </c>
      <c r="CO318" s="606">
        <f t="shared" si="392"/>
        <v>0</v>
      </c>
      <c r="CP318" s="607">
        <f t="shared" si="393"/>
        <v>0</v>
      </c>
      <c r="CQ318" s="606">
        <f t="shared" si="394"/>
        <v>0</v>
      </c>
      <c r="CR318" s="607">
        <f t="shared" si="395"/>
        <v>0</v>
      </c>
      <c r="CS318" s="606">
        <f t="shared" si="396"/>
        <v>39116.007692307699</v>
      </c>
      <c r="CT318" s="607">
        <f t="shared" si="397"/>
        <v>0</v>
      </c>
      <c r="CU318" s="608">
        <f t="shared" si="398"/>
        <v>0</v>
      </c>
      <c r="CV318" s="610">
        <f t="shared" si="399"/>
        <v>51766.830000000009</v>
      </c>
      <c r="CW318" s="608">
        <f t="shared" si="400"/>
        <v>0</v>
      </c>
      <c r="CX318" s="610">
        <f t="shared" si="401"/>
        <v>51766.830000000009</v>
      </c>
      <c r="CY318" s="611">
        <f t="shared" si="402"/>
        <v>39116.007692307699</v>
      </c>
      <c r="CZ318" s="605">
        <f t="shared" si="403"/>
        <v>0</v>
      </c>
      <c r="DA318" s="612">
        <f t="shared" si="404"/>
        <v>0</v>
      </c>
      <c r="DB318" s="607">
        <f t="shared" si="405"/>
        <v>0</v>
      </c>
      <c r="DC318" s="606">
        <f t="shared" si="406"/>
        <v>0</v>
      </c>
      <c r="DD318" s="607">
        <f t="shared" si="407"/>
        <v>0</v>
      </c>
      <c r="DE318" s="606">
        <f t="shared" si="408"/>
        <v>0</v>
      </c>
      <c r="DF318" s="607">
        <f t="shared" si="409"/>
        <v>0</v>
      </c>
      <c r="DG318" s="606">
        <f t="shared" si="410"/>
        <v>65</v>
      </c>
      <c r="DH318" s="607">
        <f t="shared" si="411"/>
        <v>0</v>
      </c>
      <c r="DI318" s="608">
        <f t="shared" si="412"/>
        <v>0</v>
      </c>
      <c r="DJ318" s="607">
        <f t="shared" si="413"/>
        <v>79</v>
      </c>
      <c r="DK318" s="608">
        <f t="shared" si="414"/>
        <v>0</v>
      </c>
      <c r="DL318" s="607">
        <f t="shared" si="415"/>
        <v>79</v>
      </c>
      <c r="DM318" s="608">
        <f t="shared" si="416"/>
        <v>65</v>
      </c>
      <c r="DN318" s="607">
        <f t="shared" si="417"/>
        <v>0</v>
      </c>
      <c r="DO318" s="612">
        <f t="shared" si="418"/>
        <v>0</v>
      </c>
      <c r="DP318" s="607">
        <f t="shared" si="419"/>
        <v>0</v>
      </c>
      <c r="DQ318" s="606">
        <f t="shared" si="420"/>
        <v>0</v>
      </c>
      <c r="DR318" s="607">
        <f t="shared" si="421"/>
        <v>0</v>
      </c>
      <c r="DS318" s="606">
        <f t="shared" si="422"/>
        <v>0</v>
      </c>
      <c r="DT318" s="607">
        <f t="shared" si="423"/>
        <v>0</v>
      </c>
      <c r="DU318" s="606">
        <f t="shared" si="424"/>
        <v>2542540.5000000005</v>
      </c>
      <c r="DV318" s="607">
        <f t="shared" si="425"/>
        <v>0</v>
      </c>
      <c r="DW318" s="608">
        <f t="shared" si="426"/>
        <v>0</v>
      </c>
      <c r="DX318" s="607">
        <f t="shared" si="427"/>
        <v>4089579.5700000008</v>
      </c>
      <c r="DY318" s="608">
        <f t="shared" si="428"/>
        <v>0</v>
      </c>
      <c r="DZ318" s="607">
        <f t="shared" si="429"/>
        <v>4089579.5700000008</v>
      </c>
      <c r="EA318" s="608">
        <f t="shared" si="430"/>
        <v>2542540.5000000005</v>
      </c>
    </row>
    <row r="319" spans="1:131" x14ac:dyDescent="0.2">
      <c r="A319" s="393" t="s">
        <v>40</v>
      </c>
      <c r="B319" s="391" t="s">
        <v>637</v>
      </c>
      <c r="C319" s="569"/>
      <c r="D319" s="398">
        <v>198376</v>
      </c>
      <c r="E319" s="399">
        <v>9</v>
      </c>
      <c r="F319" s="598"/>
      <c r="G319" s="599"/>
      <c r="H319" s="600"/>
      <c r="I319" s="601"/>
      <c r="J319" s="600"/>
      <c r="K319" s="599"/>
      <c r="L319" s="600"/>
      <c r="M319" s="601"/>
      <c r="N319" s="600"/>
      <c r="O319" s="599"/>
      <c r="P319" s="600"/>
      <c r="Q319" s="601"/>
      <c r="R319" s="600"/>
      <c r="S319" s="599"/>
      <c r="T319" s="600"/>
      <c r="U319" s="601"/>
      <c r="V319" s="600"/>
      <c r="W319" s="599"/>
      <c r="X319" s="600"/>
      <c r="Y319" s="601"/>
      <c r="Z319" s="600"/>
      <c r="AA319" s="599"/>
      <c r="AB319" s="600"/>
      <c r="AC319" s="601"/>
      <c r="AD319" s="600"/>
      <c r="AE319" s="599">
        <v>96</v>
      </c>
      <c r="AF319" s="600"/>
      <c r="AG319" s="601"/>
      <c r="AH319" s="600"/>
      <c r="AI319" s="599"/>
      <c r="AJ319" s="600"/>
      <c r="AK319" s="601"/>
      <c r="AL319" s="600"/>
      <c r="AM319" s="599"/>
      <c r="AN319" s="600"/>
      <c r="AO319" s="601"/>
      <c r="AP319" s="600"/>
      <c r="AQ319" s="599"/>
      <c r="AR319" s="600"/>
      <c r="AS319" s="601"/>
      <c r="AT319" s="600">
        <v>89</v>
      </c>
      <c r="AU319" s="599"/>
      <c r="AV319" s="600"/>
      <c r="AW319" s="601"/>
      <c r="AX319" s="600"/>
      <c r="AY319" s="599"/>
      <c r="AZ319" s="600"/>
      <c r="BA319" s="601"/>
      <c r="BB319" s="602">
        <v>0</v>
      </c>
      <c r="BC319" s="599"/>
      <c r="BD319" s="600">
        <v>0</v>
      </c>
      <c r="BE319" s="599"/>
      <c r="BF319" s="600">
        <v>0</v>
      </c>
      <c r="BG319" s="599"/>
      <c r="BH319" s="600">
        <v>0</v>
      </c>
      <c r="BI319" s="599">
        <v>4631580</v>
      </c>
      <c r="BJ319" s="600">
        <v>0</v>
      </c>
      <c r="BK319" s="615"/>
      <c r="BL319" s="600">
        <v>4183598.97</v>
      </c>
      <c r="BM319" s="604"/>
      <c r="BN319" s="605">
        <f t="shared" si="365"/>
        <v>0</v>
      </c>
      <c r="BO319" s="606">
        <f t="shared" si="366"/>
        <v>0</v>
      </c>
      <c r="BP319" s="607">
        <f t="shared" si="367"/>
        <v>0</v>
      </c>
      <c r="BQ319" s="606">
        <f t="shared" si="368"/>
        <v>0</v>
      </c>
      <c r="BR319" s="607">
        <f t="shared" si="369"/>
        <v>0</v>
      </c>
      <c r="BS319" s="606">
        <f t="shared" si="370"/>
        <v>0</v>
      </c>
      <c r="BT319" s="607">
        <f t="shared" si="371"/>
        <v>0</v>
      </c>
      <c r="BU319" s="606">
        <f t="shared" si="372"/>
        <v>864</v>
      </c>
      <c r="BV319" s="607">
        <f t="shared" si="373"/>
        <v>0</v>
      </c>
      <c r="BW319" s="608">
        <f t="shared" si="374"/>
        <v>0</v>
      </c>
      <c r="BX319" s="607">
        <f t="shared" si="375"/>
        <v>801</v>
      </c>
      <c r="BY319" s="608">
        <f t="shared" si="376"/>
        <v>0</v>
      </c>
      <c r="BZ319" s="607">
        <f t="shared" si="377"/>
        <v>0</v>
      </c>
      <c r="CA319" s="608">
        <f t="shared" si="378"/>
        <v>0</v>
      </c>
      <c r="CB319" s="607">
        <f t="shared" si="379"/>
        <v>0</v>
      </c>
      <c r="CC319" s="608">
        <f t="shared" si="380"/>
        <v>0</v>
      </c>
      <c r="CD319" s="607">
        <f t="shared" si="381"/>
        <v>0</v>
      </c>
      <c r="CE319" s="608">
        <f t="shared" si="382"/>
        <v>0</v>
      </c>
      <c r="CF319" s="607">
        <f t="shared" si="383"/>
        <v>0</v>
      </c>
      <c r="CG319" s="608">
        <f t="shared" si="384"/>
        <v>5360.625</v>
      </c>
      <c r="CH319" s="607">
        <f t="shared" si="385"/>
        <v>0</v>
      </c>
      <c r="CI319" s="608">
        <f t="shared" si="386"/>
        <v>0</v>
      </c>
      <c r="CJ319" s="607">
        <f t="shared" si="387"/>
        <v>5222.97</v>
      </c>
      <c r="CK319" s="608">
        <f t="shared" si="388"/>
        <v>0</v>
      </c>
      <c r="CL319" s="609">
        <f t="shared" si="389"/>
        <v>0</v>
      </c>
      <c r="CM319" s="608">
        <f t="shared" si="390"/>
        <v>0</v>
      </c>
      <c r="CN319" s="610">
        <f t="shared" si="391"/>
        <v>0</v>
      </c>
      <c r="CO319" s="606">
        <f t="shared" si="392"/>
        <v>0</v>
      </c>
      <c r="CP319" s="607">
        <f t="shared" si="393"/>
        <v>0</v>
      </c>
      <c r="CQ319" s="606">
        <f t="shared" si="394"/>
        <v>0</v>
      </c>
      <c r="CR319" s="607">
        <f t="shared" si="395"/>
        <v>0</v>
      </c>
      <c r="CS319" s="606">
        <f t="shared" si="396"/>
        <v>48245.625</v>
      </c>
      <c r="CT319" s="607">
        <f t="shared" si="397"/>
        <v>0</v>
      </c>
      <c r="CU319" s="608">
        <f t="shared" si="398"/>
        <v>0</v>
      </c>
      <c r="CV319" s="610">
        <f t="shared" si="399"/>
        <v>47006.73</v>
      </c>
      <c r="CW319" s="608">
        <f t="shared" si="400"/>
        <v>0</v>
      </c>
      <c r="CX319" s="610">
        <f t="shared" si="401"/>
        <v>47006.73</v>
      </c>
      <c r="CY319" s="611">
        <f t="shared" si="402"/>
        <v>48245.625</v>
      </c>
      <c r="CZ319" s="605">
        <f t="shared" si="403"/>
        <v>0</v>
      </c>
      <c r="DA319" s="612">
        <f t="shared" si="404"/>
        <v>0</v>
      </c>
      <c r="DB319" s="607">
        <f t="shared" si="405"/>
        <v>0</v>
      </c>
      <c r="DC319" s="606">
        <f t="shared" si="406"/>
        <v>0</v>
      </c>
      <c r="DD319" s="607">
        <f t="shared" si="407"/>
        <v>0</v>
      </c>
      <c r="DE319" s="606">
        <f t="shared" si="408"/>
        <v>0</v>
      </c>
      <c r="DF319" s="607">
        <f t="shared" si="409"/>
        <v>0</v>
      </c>
      <c r="DG319" s="606">
        <f t="shared" si="410"/>
        <v>96</v>
      </c>
      <c r="DH319" s="607">
        <f t="shared" si="411"/>
        <v>0</v>
      </c>
      <c r="DI319" s="608">
        <f t="shared" si="412"/>
        <v>0</v>
      </c>
      <c r="DJ319" s="607">
        <f t="shared" si="413"/>
        <v>89</v>
      </c>
      <c r="DK319" s="608">
        <f t="shared" si="414"/>
        <v>0</v>
      </c>
      <c r="DL319" s="607">
        <f t="shared" si="415"/>
        <v>89</v>
      </c>
      <c r="DM319" s="608">
        <f t="shared" si="416"/>
        <v>96</v>
      </c>
      <c r="DN319" s="607">
        <f t="shared" si="417"/>
        <v>0</v>
      </c>
      <c r="DO319" s="612">
        <f t="shared" si="418"/>
        <v>0</v>
      </c>
      <c r="DP319" s="607">
        <f t="shared" si="419"/>
        <v>0</v>
      </c>
      <c r="DQ319" s="606">
        <f t="shared" si="420"/>
        <v>0</v>
      </c>
      <c r="DR319" s="607">
        <f t="shared" si="421"/>
        <v>0</v>
      </c>
      <c r="DS319" s="606">
        <f t="shared" si="422"/>
        <v>0</v>
      </c>
      <c r="DT319" s="607">
        <f t="shared" si="423"/>
        <v>0</v>
      </c>
      <c r="DU319" s="606">
        <f t="shared" si="424"/>
        <v>4631580</v>
      </c>
      <c r="DV319" s="607">
        <f t="shared" si="425"/>
        <v>0</v>
      </c>
      <c r="DW319" s="608">
        <f t="shared" si="426"/>
        <v>0</v>
      </c>
      <c r="DX319" s="607">
        <f t="shared" si="427"/>
        <v>4183598.97</v>
      </c>
      <c r="DY319" s="608">
        <f t="shared" si="428"/>
        <v>0</v>
      </c>
      <c r="DZ319" s="607">
        <f t="shared" si="429"/>
        <v>4183598.97</v>
      </c>
      <c r="EA319" s="608">
        <f t="shared" si="430"/>
        <v>4631580</v>
      </c>
    </row>
    <row r="320" spans="1:131" x14ac:dyDescent="0.2">
      <c r="A320" s="395" t="s">
        <v>40</v>
      </c>
      <c r="B320" s="394" t="s">
        <v>638</v>
      </c>
      <c r="C320" s="570"/>
      <c r="D320" s="401">
        <v>198455</v>
      </c>
      <c r="E320" s="392">
        <v>9</v>
      </c>
      <c r="F320" s="598"/>
      <c r="G320" s="599"/>
      <c r="H320" s="600"/>
      <c r="I320" s="601"/>
      <c r="J320" s="600"/>
      <c r="K320" s="599"/>
      <c r="L320" s="600"/>
      <c r="M320" s="601"/>
      <c r="N320" s="600"/>
      <c r="O320" s="599"/>
      <c r="P320" s="600"/>
      <c r="Q320" s="601"/>
      <c r="R320" s="600"/>
      <c r="S320" s="599"/>
      <c r="T320" s="600"/>
      <c r="U320" s="601"/>
      <c r="V320" s="600"/>
      <c r="W320" s="599"/>
      <c r="X320" s="600"/>
      <c r="Y320" s="601"/>
      <c r="Z320" s="600"/>
      <c r="AA320" s="599"/>
      <c r="AB320" s="600"/>
      <c r="AC320" s="601"/>
      <c r="AD320" s="600"/>
      <c r="AE320" s="599"/>
      <c r="AF320" s="600"/>
      <c r="AG320" s="601"/>
      <c r="AH320" s="600"/>
      <c r="AI320" s="599"/>
      <c r="AJ320" s="600"/>
      <c r="AK320" s="601"/>
      <c r="AL320" s="600"/>
      <c r="AM320" s="599"/>
      <c r="AN320" s="600"/>
      <c r="AO320" s="601"/>
      <c r="AP320" s="600"/>
      <c r="AQ320" s="599"/>
      <c r="AR320" s="600"/>
      <c r="AS320" s="601"/>
      <c r="AT320" s="600">
        <v>149</v>
      </c>
      <c r="AU320" s="599"/>
      <c r="AV320" s="600"/>
      <c r="AW320" s="601"/>
      <c r="AX320" s="600"/>
      <c r="AY320" s="599"/>
      <c r="AZ320" s="600"/>
      <c r="BA320" s="601"/>
      <c r="BB320" s="602">
        <v>0</v>
      </c>
      <c r="BC320" s="599"/>
      <c r="BD320" s="600">
        <v>0</v>
      </c>
      <c r="BE320" s="599"/>
      <c r="BF320" s="600">
        <v>0</v>
      </c>
      <c r="BG320" s="599"/>
      <c r="BH320" s="600">
        <v>0</v>
      </c>
      <c r="BI320" s="599"/>
      <c r="BJ320" s="600">
        <v>0</v>
      </c>
      <c r="BK320" s="615"/>
      <c r="BL320" s="600">
        <v>7627192.29</v>
      </c>
      <c r="BM320" s="604"/>
      <c r="BN320" s="605">
        <f t="shared" si="365"/>
        <v>0</v>
      </c>
      <c r="BO320" s="606">
        <f t="shared" si="366"/>
        <v>0</v>
      </c>
      <c r="BP320" s="607">
        <f t="shared" si="367"/>
        <v>0</v>
      </c>
      <c r="BQ320" s="606">
        <f t="shared" si="368"/>
        <v>0</v>
      </c>
      <c r="BR320" s="607">
        <f t="shared" si="369"/>
        <v>0</v>
      </c>
      <c r="BS320" s="606">
        <f t="shared" si="370"/>
        <v>0</v>
      </c>
      <c r="BT320" s="607">
        <f t="shared" si="371"/>
        <v>0</v>
      </c>
      <c r="BU320" s="606">
        <f t="shared" si="372"/>
        <v>0</v>
      </c>
      <c r="BV320" s="607">
        <f t="shared" si="373"/>
        <v>0</v>
      </c>
      <c r="BW320" s="608">
        <f t="shared" si="374"/>
        <v>0</v>
      </c>
      <c r="BX320" s="607">
        <f t="shared" si="375"/>
        <v>1341</v>
      </c>
      <c r="BY320" s="608">
        <f t="shared" si="376"/>
        <v>0</v>
      </c>
      <c r="BZ320" s="607">
        <f t="shared" si="377"/>
        <v>0</v>
      </c>
      <c r="CA320" s="608">
        <f t="shared" si="378"/>
        <v>0</v>
      </c>
      <c r="CB320" s="607">
        <f t="shared" si="379"/>
        <v>0</v>
      </c>
      <c r="CC320" s="608">
        <f t="shared" si="380"/>
        <v>0</v>
      </c>
      <c r="CD320" s="607">
        <f t="shared" si="381"/>
        <v>0</v>
      </c>
      <c r="CE320" s="608">
        <f t="shared" si="382"/>
        <v>0</v>
      </c>
      <c r="CF320" s="607">
        <f t="shared" si="383"/>
        <v>0</v>
      </c>
      <c r="CG320" s="608">
        <f t="shared" si="384"/>
        <v>0</v>
      </c>
      <c r="CH320" s="607">
        <f t="shared" si="385"/>
        <v>0</v>
      </c>
      <c r="CI320" s="608">
        <f t="shared" si="386"/>
        <v>0</v>
      </c>
      <c r="CJ320" s="607">
        <f t="shared" si="387"/>
        <v>5687.69</v>
      </c>
      <c r="CK320" s="608">
        <f t="shared" si="388"/>
        <v>0</v>
      </c>
      <c r="CL320" s="609">
        <f t="shared" si="389"/>
        <v>0</v>
      </c>
      <c r="CM320" s="608">
        <f t="shared" si="390"/>
        <v>0</v>
      </c>
      <c r="CN320" s="610">
        <f t="shared" si="391"/>
        <v>0</v>
      </c>
      <c r="CO320" s="606">
        <f t="shared" si="392"/>
        <v>0</v>
      </c>
      <c r="CP320" s="607">
        <f t="shared" si="393"/>
        <v>0</v>
      </c>
      <c r="CQ320" s="606">
        <f t="shared" si="394"/>
        <v>0</v>
      </c>
      <c r="CR320" s="607">
        <f t="shared" si="395"/>
        <v>0</v>
      </c>
      <c r="CS320" s="606">
        <f t="shared" si="396"/>
        <v>0</v>
      </c>
      <c r="CT320" s="607">
        <f t="shared" si="397"/>
        <v>0</v>
      </c>
      <c r="CU320" s="608">
        <f t="shared" si="398"/>
        <v>0</v>
      </c>
      <c r="CV320" s="610">
        <f t="shared" si="399"/>
        <v>51189.21</v>
      </c>
      <c r="CW320" s="608">
        <f t="shared" si="400"/>
        <v>0</v>
      </c>
      <c r="CX320" s="610">
        <f t="shared" si="401"/>
        <v>51189.21</v>
      </c>
      <c r="CY320" s="611">
        <f t="shared" si="402"/>
        <v>0</v>
      </c>
      <c r="CZ320" s="605">
        <f t="shared" si="403"/>
        <v>0</v>
      </c>
      <c r="DA320" s="612">
        <f t="shared" si="404"/>
        <v>0</v>
      </c>
      <c r="DB320" s="607">
        <f t="shared" si="405"/>
        <v>0</v>
      </c>
      <c r="DC320" s="606">
        <f t="shared" si="406"/>
        <v>0</v>
      </c>
      <c r="DD320" s="607">
        <f t="shared" si="407"/>
        <v>0</v>
      </c>
      <c r="DE320" s="606">
        <f t="shared" si="408"/>
        <v>0</v>
      </c>
      <c r="DF320" s="607">
        <f t="shared" si="409"/>
        <v>0</v>
      </c>
      <c r="DG320" s="606">
        <f t="shared" si="410"/>
        <v>0</v>
      </c>
      <c r="DH320" s="607">
        <f t="shared" si="411"/>
        <v>0</v>
      </c>
      <c r="DI320" s="608">
        <f t="shared" si="412"/>
        <v>0</v>
      </c>
      <c r="DJ320" s="607">
        <f t="shared" si="413"/>
        <v>149</v>
      </c>
      <c r="DK320" s="608">
        <f t="shared" si="414"/>
        <v>0</v>
      </c>
      <c r="DL320" s="607">
        <f t="shared" si="415"/>
        <v>149</v>
      </c>
      <c r="DM320" s="608">
        <f t="shared" si="416"/>
        <v>0</v>
      </c>
      <c r="DN320" s="607">
        <f t="shared" si="417"/>
        <v>0</v>
      </c>
      <c r="DO320" s="612">
        <f t="shared" si="418"/>
        <v>0</v>
      </c>
      <c r="DP320" s="607">
        <f t="shared" si="419"/>
        <v>0</v>
      </c>
      <c r="DQ320" s="606">
        <f t="shared" si="420"/>
        <v>0</v>
      </c>
      <c r="DR320" s="607">
        <f t="shared" si="421"/>
        <v>0</v>
      </c>
      <c r="DS320" s="606">
        <f t="shared" si="422"/>
        <v>0</v>
      </c>
      <c r="DT320" s="607">
        <f t="shared" si="423"/>
        <v>0</v>
      </c>
      <c r="DU320" s="606">
        <f t="shared" si="424"/>
        <v>0</v>
      </c>
      <c r="DV320" s="607">
        <f t="shared" si="425"/>
        <v>0</v>
      </c>
      <c r="DW320" s="608">
        <f t="shared" si="426"/>
        <v>0</v>
      </c>
      <c r="DX320" s="607">
        <f t="shared" si="427"/>
        <v>7627192.29</v>
      </c>
      <c r="DY320" s="608">
        <f t="shared" si="428"/>
        <v>0</v>
      </c>
      <c r="DZ320" s="607">
        <f t="shared" si="429"/>
        <v>7627192.29</v>
      </c>
      <c r="EA320" s="608">
        <f t="shared" si="430"/>
        <v>0</v>
      </c>
    </row>
    <row r="321" spans="1:131" x14ac:dyDescent="0.2">
      <c r="A321" s="393" t="s">
        <v>40</v>
      </c>
      <c r="B321" s="391" t="s">
        <v>639</v>
      </c>
      <c r="C321" s="569"/>
      <c r="D321" s="398">
        <v>198491</v>
      </c>
      <c r="E321" s="399">
        <v>9</v>
      </c>
      <c r="F321" s="598"/>
      <c r="G321" s="599"/>
      <c r="H321" s="600"/>
      <c r="I321" s="601"/>
      <c r="J321" s="600"/>
      <c r="K321" s="599"/>
      <c r="L321" s="600"/>
      <c r="M321" s="601"/>
      <c r="N321" s="600"/>
      <c r="O321" s="599"/>
      <c r="P321" s="600"/>
      <c r="Q321" s="601"/>
      <c r="R321" s="600"/>
      <c r="S321" s="599"/>
      <c r="T321" s="600"/>
      <c r="U321" s="601"/>
      <c r="V321" s="600"/>
      <c r="W321" s="599"/>
      <c r="X321" s="600"/>
      <c r="Y321" s="601"/>
      <c r="Z321" s="600"/>
      <c r="AA321" s="599"/>
      <c r="AB321" s="600"/>
      <c r="AC321" s="601"/>
      <c r="AD321" s="600"/>
      <c r="AE321" s="599">
        <v>49</v>
      </c>
      <c r="AF321" s="600"/>
      <c r="AG321" s="601"/>
      <c r="AH321" s="600"/>
      <c r="AI321" s="599"/>
      <c r="AJ321" s="600"/>
      <c r="AK321" s="601"/>
      <c r="AL321" s="600"/>
      <c r="AM321" s="599">
        <v>12</v>
      </c>
      <c r="AN321" s="600"/>
      <c r="AO321" s="601"/>
      <c r="AP321" s="600"/>
      <c r="AQ321" s="599"/>
      <c r="AR321" s="600"/>
      <c r="AS321" s="601"/>
      <c r="AT321" s="600">
        <v>75</v>
      </c>
      <c r="AU321" s="599"/>
      <c r="AV321" s="600"/>
      <c r="AW321" s="601"/>
      <c r="AX321" s="600"/>
      <c r="AY321" s="599"/>
      <c r="AZ321" s="600"/>
      <c r="BA321" s="601"/>
      <c r="BB321" s="602">
        <v>0</v>
      </c>
      <c r="BC321" s="599"/>
      <c r="BD321" s="600">
        <v>0</v>
      </c>
      <c r="BE321" s="599"/>
      <c r="BF321" s="600">
        <v>0</v>
      </c>
      <c r="BG321" s="599"/>
      <c r="BH321" s="600">
        <v>0</v>
      </c>
      <c r="BI321" s="599">
        <v>2273874</v>
      </c>
      <c r="BJ321" s="600">
        <v>0</v>
      </c>
      <c r="BK321" s="615">
        <v>546570</v>
      </c>
      <c r="BL321" s="600">
        <v>3423147.75</v>
      </c>
      <c r="BM321" s="604"/>
      <c r="BN321" s="605">
        <f t="shared" si="365"/>
        <v>0</v>
      </c>
      <c r="BO321" s="606">
        <f t="shared" si="366"/>
        <v>0</v>
      </c>
      <c r="BP321" s="607">
        <f t="shared" si="367"/>
        <v>0</v>
      </c>
      <c r="BQ321" s="606">
        <f t="shared" si="368"/>
        <v>0</v>
      </c>
      <c r="BR321" s="607">
        <f t="shared" si="369"/>
        <v>0</v>
      </c>
      <c r="BS321" s="606">
        <f t="shared" si="370"/>
        <v>0</v>
      </c>
      <c r="BT321" s="607">
        <f t="shared" si="371"/>
        <v>0</v>
      </c>
      <c r="BU321" s="606">
        <f t="shared" si="372"/>
        <v>441</v>
      </c>
      <c r="BV321" s="607">
        <f t="shared" si="373"/>
        <v>0</v>
      </c>
      <c r="BW321" s="608">
        <f t="shared" si="374"/>
        <v>108</v>
      </c>
      <c r="BX321" s="607">
        <f t="shared" si="375"/>
        <v>675</v>
      </c>
      <c r="BY321" s="608">
        <f t="shared" si="376"/>
        <v>0</v>
      </c>
      <c r="BZ321" s="607">
        <f t="shared" si="377"/>
        <v>0</v>
      </c>
      <c r="CA321" s="608">
        <f t="shared" si="378"/>
        <v>0</v>
      </c>
      <c r="CB321" s="607">
        <f t="shared" si="379"/>
        <v>0</v>
      </c>
      <c r="CC321" s="608">
        <f t="shared" si="380"/>
        <v>0</v>
      </c>
      <c r="CD321" s="607">
        <f t="shared" si="381"/>
        <v>0</v>
      </c>
      <c r="CE321" s="608">
        <f t="shared" si="382"/>
        <v>0</v>
      </c>
      <c r="CF321" s="607">
        <f t="shared" si="383"/>
        <v>0</v>
      </c>
      <c r="CG321" s="608">
        <f t="shared" si="384"/>
        <v>5156.1768707482997</v>
      </c>
      <c r="CH321" s="607">
        <f t="shared" si="385"/>
        <v>0</v>
      </c>
      <c r="CI321" s="608">
        <f t="shared" si="386"/>
        <v>5060.833333333333</v>
      </c>
      <c r="CJ321" s="607">
        <f t="shared" si="387"/>
        <v>5071.33</v>
      </c>
      <c r="CK321" s="608">
        <f t="shared" si="388"/>
        <v>0</v>
      </c>
      <c r="CL321" s="609">
        <f t="shared" si="389"/>
        <v>0</v>
      </c>
      <c r="CM321" s="608">
        <f t="shared" si="390"/>
        <v>0</v>
      </c>
      <c r="CN321" s="610">
        <f t="shared" si="391"/>
        <v>0</v>
      </c>
      <c r="CO321" s="606">
        <f t="shared" si="392"/>
        <v>0</v>
      </c>
      <c r="CP321" s="607">
        <f t="shared" si="393"/>
        <v>0</v>
      </c>
      <c r="CQ321" s="606">
        <f t="shared" si="394"/>
        <v>0</v>
      </c>
      <c r="CR321" s="607">
        <f t="shared" si="395"/>
        <v>0</v>
      </c>
      <c r="CS321" s="606">
        <f t="shared" si="396"/>
        <v>46405.591836734697</v>
      </c>
      <c r="CT321" s="607">
        <f t="shared" si="397"/>
        <v>0</v>
      </c>
      <c r="CU321" s="608">
        <f t="shared" si="398"/>
        <v>45547.5</v>
      </c>
      <c r="CV321" s="610">
        <f t="shared" si="399"/>
        <v>45641.97</v>
      </c>
      <c r="CW321" s="608">
        <f t="shared" si="400"/>
        <v>0</v>
      </c>
      <c r="CX321" s="610">
        <f t="shared" si="401"/>
        <v>45641.97</v>
      </c>
      <c r="CY321" s="611">
        <f t="shared" si="402"/>
        <v>46236.7868852459</v>
      </c>
      <c r="CZ321" s="605">
        <f t="shared" si="403"/>
        <v>0</v>
      </c>
      <c r="DA321" s="612">
        <f t="shared" si="404"/>
        <v>0</v>
      </c>
      <c r="DB321" s="607">
        <f t="shared" si="405"/>
        <v>0</v>
      </c>
      <c r="DC321" s="606">
        <f t="shared" si="406"/>
        <v>0</v>
      </c>
      <c r="DD321" s="607">
        <f t="shared" si="407"/>
        <v>0</v>
      </c>
      <c r="DE321" s="606">
        <f t="shared" si="408"/>
        <v>0</v>
      </c>
      <c r="DF321" s="607">
        <f t="shared" si="409"/>
        <v>0</v>
      </c>
      <c r="DG321" s="606">
        <f t="shared" si="410"/>
        <v>49</v>
      </c>
      <c r="DH321" s="607">
        <f t="shared" si="411"/>
        <v>0</v>
      </c>
      <c r="DI321" s="608">
        <f t="shared" si="412"/>
        <v>12</v>
      </c>
      <c r="DJ321" s="607">
        <f t="shared" si="413"/>
        <v>75</v>
      </c>
      <c r="DK321" s="608">
        <f t="shared" si="414"/>
        <v>0</v>
      </c>
      <c r="DL321" s="607">
        <f t="shared" si="415"/>
        <v>75</v>
      </c>
      <c r="DM321" s="608">
        <f t="shared" si="416"/>
        <v>61</v>
      </c>
      <c r="DN321" s="607">
        <f t="shared" si="417"/>
        <v>0</v>
      </c>
      <c r="DO321" s="612">
        <f t="shared" si="418"/>
        <v>0</v>
      </c>
      <c r="DP321" s="607">
        <f t="shared" si="419"/>
        <v>0</v>
      </c>
      <c r="DQ321" s="606">
        <f t="shared" si="420"/>
        <v>0</v>
      </c>
      <c r="DR321" s="607">
        <f t="shared" si="421"/>
        <v>0</v>
      </c>
      <c r="DS321" s="606">
        <f t="shared" si="422"/>
        <v>0</v>
      </c>
      <c r="DT321" s="607">
        <f t="shared" si="423"/>
        <v>0</v>
      </c>
      <c r="DU321" s="606">
        <f t="shared" si="424"/>
        <v>2273874</v>
      </c>
      <c r="DV321" s="607">
        <f t="shared" si="425"/>
        <v>0</v>
      </c>
      <c r="DW321" s="608">
        <f t="shared" si="426"/>
        <v>546570</v>
      </c>
      <c r="DX321" s="607">
        <f t="shared" si="427"/>
        <v>3423147.75</v>
      </c>
      <c r="DY321" s="608">
        <f t="shared" si="428"/>
        <v>0</v>
      </c>
      <c r="DZ321" s="607">
        <f t="shared" si="429"/>
        <v>3423147.75</v>
      </c>
      <c r="EA321" s="608">
        <f t="shared" si="430"/>
        <v>2820444</v>
      </c>
    </row>
    <row r="322" spans="1:131" x14ac:dyDescent="0.2">
      <c r="A322" s="393" t="s">
        <v>40</v>
      </c>
      <c r="B322" s="391" t="s">
        <v>640</v>
      </c>
      <c r="C322" s="570" t="s">
        <v>679</v>
      </c>
      <c r="D322" s="398">
        <v>198668</v>
      </c>
      <c r="E322" s="399">
        <v>9</v>
      </c>
      <c r="F322" s="598"/>
      <c r="G322" s="599"/>
      <c r="H322" s="600"/>
      <c r="I322" s="601"/>
      <c r="J322" s="600"/>
      <c r="K322" s="599"/>
      <c r="L322" s="600"/>
      <c r="M322" s="601"/>
      <c r="N322" s="600"/>
      <c r="O322" s="599"/>
      <c r="P322" s="600"/>
      <c r="Q322" s="601"/>
      <c r="R322" s="600"/>
      <c r="S322" s="599"/>
      <c r="T322" s="600"/>
      <c r="U322" s="601"/>
      <c r="V322" s="600"/>
      <c r="W322" s="599"/>
      <c r="X322" s="600"/>
      <c r="Y322" s="601"/>
      <c r="Z322" s="600"/>
      <c r="AA322" s="599"/>
      <c r="AB322" s="600"/>
      <c r="AC322" s="601"/>
      <c r="AD322" s="600"/>
      <c r="AE322" s="599"/>
      <c r="AF322" s="600"/>
      <c r="AG322" s="601"/>
      <c r="AH322" s="600"/>
      <c r="AI322" s="599"/>
      <c r="AJ322" s="600"/>
      <c r="AK322" s="601"/>
      <c r="AL322" s="600"/>
      <c r="AM322" s="599">
        <v>68</v>
      </c>
      <c r="AN322" s="600"/>
      <c r="AO322" s="601"/>
      <c r="AP322" s="600"/>
      <c r="AQ322" s="599"/>
      <c r="AR322" s="600"/>
      <c r="AS322" s="601">
        <v>1</v>
      </c>
      <c r="AT322" s="600">
        <v>81</v>
      </c>
      <c r="AU322" s="599"/>
      <c r="AV322" s="600"/>
      <c r="AW322" s="601"/>
      <c r="AX322" s="600"/>
      <c r="AY322" s="599"/>
      <c r="AZ322" s="600"/>
      <c r="BA322" s="601"/>
      <c r="BB322" s="602">
        <v>0</v>
      </c>
      <c r="BC322" s="599"/>
      <c r="BD322" s="600">
        <v>0</v>
      </c>
      <c r="BE322" s="599"/>
      <c r="BF322" s="600">
        <v>0</v>
      </c>
      <c r="BG322" s="599"/>
      <c r="BH322" s="600">
        <v>0</v>
      </c>
      <c r="BI322" s="599"/>
      <c r="BJ322" s="600">
        <v>0</v>
      </c>
      <c r="BK322" s="615">
        <v>3257761</v>
      </c>
      <c r="BL322" s="600">
        <v>3805307.1</v>
      </c>
      <c r="BM322" s="604"/>
      <c r="BN322" s="605">
        <f t="shared" si="365"/>
        <v>0</v>
      </c>
      <c r="BO322" s="606">
        <f t="shared" si="366"/>
        <v>0</v>
      </c>
      <c r="BP322" s="607">
        <f t="shared" si="367"/>
        <v>0</v>
      </c>
      <c r="BQ322" s="606">
        <f t="shared" si="368"/>
        <v>0</v>
      </c>
      <c r="BR322" s="607">
        <f t="shared" si="369"/>
        <v>0</v>
      </c>
      <c r="BS322" s="606">
        <f t="shared" si="370"/>
        <v>0</v>
      </c>
      <c r="BT322" s="607">
        <f t="shared" si="371"/>
        <v>0</v>
      </c>
      <c r="BU322" s="606">
        <f t="shared" si="372"/>
        <v>0</v>
      </c>
      <c r="BV322" s="607">
        <f t="shared" si="373"/>
        <v>0</v>
      </c>
      <c r="BW322" s="608">
        <f t="shared" si="374"/>
        <v>624</v>
      </c>
      <c r="BX322" s="607">
        <f t="shared" si="375"/>
        <v>729</v>
      </c>
      <c r="BY322" s="608">
        <f t="shared" si="376"/>
        <v>0</v>
      </c>
      <c r="BZ322" s="607">
        <f t="shared" si="377"/>
        <v>0</v>
      </c>
      <c r="CA322" s="608">
        <f t="shared" si="378"/>
        <v>0</v>
      </c>
      <c r="CB322" s="607">
        <f t="shared" si="379"/>
        <v>0</v>
      </c>
      <c r="CC322" s="608">
        <f t="shared" si="380"/>
        <v>0</v>
      </c>
      <c r="CD322" s="607">
        <f t="shared" si="381"/>
        <v>0</v>
      </c>
      <c r="CE322" s="608">
        <f t="shared" si="382"/>
        <v>0</v>
      </c>
      <c r="CF322" s="607">
        <f t="shared" si="383"/>
        <v>0</v>
      </c>
      <c r="CG322" s="608">
        <f t="shared" si="384"/>
        <v>0</v>
      </c>
      <c r="CH322" s="607">
        <f t="shared" si="385"/>
        <v>0</v>
      </c>
      <c r="CI322" s="608">
        <f t="shared" si="386"/>
        <v>5220.770833333333</v>
      </c>
      <c r="CJ322" s="607">
        <f t="shared" si="387"/>
        <v>5219.9000000000005</v>
      </c>
      <c r="CK322" s="608">
        <f t="shared" si="388"/>
        <v>0</v>
      </c>
      <c r="CL322" s="609">
        <f t="shared" si="389"/>
        <v>0</v>
      </c>
      <c r="CM322" s="608">
        <f t="shared" si="390"/>
        <v>0</v>
      </c>
      <c r="CN322" s="610">
        <f t="shared" si="391"/>
        <v>0</v>
      </c>
      <c r="CO322" s="606">
        <f t="shared" si="392"/>
        <v>0</v>
      </c>
      <c r="CP322" s="607">
        <f t="shared" si="393"/>
        <v>0</v>
      </c>
      <c r="CQ322" s="606">
        <f t="shared" si="394"/>
        <v>0</v>
      </c>
      <c r="CR322" s="607">
        <f t="shared" si="395"/>
        <v>0</v>
      </c>
      <c r="CS322" s="606">
        <f t="shared" si="396"/>
        <v>0</v>
      </c>
      <c r="CT322" s="607">
        <f t="shared" si="397"/>
        <v>0</v>
      </c>
      <c r="CU322" s="608">
        <f t="shared" si="398"/>
        <v>46986.9375</v>
      </c>
      <c r="CV322" s="610">
        <f t="shared" si="399"/>
        <v>46979.100000000006</v>
      </c>
      <c r="CW322" s="608">
        <f t="shared" si="400"/>
        <v>0</v>
      </c>
      <c r="CX322" s="610">
        <f t="shared" si="401"/>
        <v>46979.100000000006</v>
      </c>
      <c r="CY322" s="611">
        <f t="shared" si="402"/>
        <v>46986.9375</v>
      </c>
      <c r="CZ322" s="605">
        <f t="shared" si="403"/>
        <v>0</v>
      </c>
      <c r="DA322" s="612">
        <f t="shared" si="404"/>
        <v>0</v>
      </c>
      <c r="DB322" s="607">
        <f t="shared" si="405"/>
        <v>0</v>
      </c>
      <c r="DC322" s="606">
        <f t="shared" si="406"/>
        <v>0</v>
      </c>
      <c r="DD322" s="607">
        <f t="shared" si="407"/>
        <v>0</v>
      </c>
      <c r="DE322" s="606">
        <f t="shared" si="408"/>
        <v>0</v>
      </c>
      <c r="DF322" s="607">
        <f t="shared" si="409"/>
        <v>0</v>
      </c>
      <c r="DG322" s="606">
        <f t="shared" si="410"/>
        <v>0</v>
      </c>
      <c r="DH322" s="607">
        <f t="shared" si="411"/>
        <v>0</v>
      </c>
      <c r="DI322" s="608">
        <f t="shared" si="412"/>
        <v>69</v>
      </c>
      <c r="DJ322" s="607">
        <f t="shared" si="413"/>
        <v>81</v>
      </c>
      <c r="DK322" s="608">
        <f t="shared" si="414"/>
        <v>0</v>
      </c>
      <c r="DL322" s="607">
        <f t="shared" si="415"/>
        <v>81</v>
      </c>
      <c r="DM322" s="608">
        <f t="shared" si="416"/>
        <v>69</v>
      </c>
      <c r="DN322" s="607">
        <f t="shared" si="417"/>
        <v>0</v>
      </c>
      <c r="DO322" s="612">
        <f t="shared" si="418"/>
        <v>0</v>
      </c>
      <c r="DP322" s="607">
        <f t="shared" si="419"/>
        <v>0</v>
      </c>
      <c r="DQ322" s="606">
        <f t="shared" si="420"/>
        <v>0</v>
      </c>
      <c r="DR322" s="607">
        <f t="shared" si="421"/>
        <v>0</v>
      </c>
      <c r="DS322" s="606">
        <f t="shared" si="422"/>
        <v>0</v>
      </c>
      <c r="DT322" s="607">
        <f t="shared" si="423"/>
        <v>0</v>
      </c>
      <c r="DU322" s="606">
        <f t="shared" si="424"/>
        <v>0</v>
      </c>
      <c r="DV322" s="607">
        <f t="shared" si="425"/>
        <v>0</v>
      </c>
      <c r="DW322" s="608">
        <f t="shared" si="426"/>
        <v>3242098.6875</v>
      </c>
      <c r="DX322" s="607">
        <f t="shared" si="427"/>
        <v>3805307.1000000006</v>
      </c>
      <c r="DY322" s="608">
        <f t="shared" si="428"/>
        <v>0</v>
      </c>
      <c r="DZ322" s="607">
        <f t="shared" si="429"/>
        <v>3805307.1000000006</v>
      </c>
      <c r="EA322" s="608">
        <f t="shared" si="430"/>
        <v>3242098.6875</v>
      </c>
    </row>
    <row r="323" spans="1:131" x14ac:dyDescent="0.2">
      <c r="A323" s="393" t="s">
        <v>40</v>
      </c>
      <c r="B323" s="391" t="s">
        <v>641</v>
      </c>
      <c r="C323" s="569" t="s">
        <v>388</v>
      </c>
      <c r="D323" s="398">
        <v>198710</v>
      </c>
      <c r="E323" s="399">
        <v>9</v>
      </c>
      <c r="F323" s="598"/>
      <c r="G323" s="599"/>
      <c r="H323" s="600"/>
      <c r="I323" s="601"/>
      <c r="J323" s="600"/>
      <c r="K323" s="599"/>
      <c r="L323" s="600"/>
      <c r="M323" s="601"/>
      <c r="N323" s="600"/>
      <c r="O323" s="599"/>
      <c r="P323" s="600"/>
      <c r="Q323" s="601"/>
      <c r="R323" s="600"/>
      <c r="S323" s="599"/>
      <c r="T323" s="600"/>
      <c r="U323" s="601"/>
      <c r="V323" s="600"/>
      <c r="W323" s="599"/>
      <c r="X323" s="600"/>
      <c r="Y323" s="601"/>
      <c r="Z323" s="600"/>
      <c r="AA323" s="599"/>
      <c r="AB323" s="600"/>
      <c r="AC323" s="601"/>
      <c r="AD323" s="600"/>
      <c r="AE323" s="599"/>
      <c r="AF323" s="600"/>
      <c r="AG323" s="601"/>
      <c r="AH323" s="600"/>
      <c r="AI323" s="599"/>
      <c r="AJ323" s="600"/>
      <c r="AK323" s="601"/>
      <c r="AL323" s="600"/>
      <c r="AM323" s="599">
        <v>66</v>
      </c>
      <c r="AN323" s="600"/>
      <c r="AO323" s="601"/>
      <c r="AP323" s="600"/>
      <c r="AQ323" s="599"/>
      <c r="AR323" s="600"/>
      <c r="AS323" s="601"/>
      <c r="AT323" s="600">
        <v>68</v>
      </c>
      <c r="AU323" s="599"/>
      <c r="AV323" s="600"/>
      <c r="AW323" s="601"/>
      <c r="AX323" s="600"/>
      <c r="AY323" s="599"/>
      <c r="AZ323" s="600"/>
      <c r="BA323" s="601"/>
      <c r="BB323" s="602">
        <v>0</v>
      </c>
      <c r="BC323" s="599"/>
      <c r="BD323" s="600">
        <v>0</v>
      </c>
      <c r="BE323" s="599"/>
      <c r="BF323" s="600">
        <v>0</v>
      </c>
      <c r="BG323" s="599"/>
      <c r="BH323" s="600">
        <v>0</v>
      </c>
      <c r="BI323" s="599"/>
      <c r="BJ323" s="600">
        <v>0</v>
      </c>
      <c r="BK323" s="615">
        <v>3360249</v>
      </c>
      <c r="BL323" s="600">
        <v>3485774.52</v>
      </c>
      <c r="BM323" s="604"/>
      <c r="BN323" s="605">
        <f t="shared" si="365"/>
        <v>0</v>
      </c>
      <c r="BO323" s="606">
        <f t="shared" si="366"/>
        <v>0</v>
      </c>
      <c r="BP323" s="607">
        <f t="shared" si="367"/>
        <v>0</v>
      </c>
      <c r="BQ323" s="606">
        <f t="shared" si="368"/>
        <v>0</v>
      </c>
      <c r="BR323" s="607">
        <f t="shared" si="369"/>
        <v>0</v>
      </c>
      <c r="BS323" s="606">
        <f t="shared" si="370"/>
        <v>0</v>
      </c>
      <c r="BT323" s="607">
        <f t="shared" si="371"/>
        <v>0</v>
      </c>
      <c r="BU323" s="606">
        <f t="shared" si="372"/>
        <v>0</v>
      </c>
      <c r="BV323" s="607">
        <f t="shared" si="373"/>
        <v>0</v>
      </c>
      <c r="BW323" s="608">
        <f t="shared" si="374"/>
        <v>594</v>
      </c>
      <c r="BX323" s="607">
        <f t="shared" si="375"/>
        <v>612</v>
      </c>
      <c r="BY323" s="608">
        <f t="shared" si="376"/>
        <v>0</v>
      </c>
      <c r="BZ323" s="607">
        <f t="shared" si="377"/>
        <v>0</v>
      </c>
      <c r="CA323" s="608">
        <f t="shared" si="378"/>
        <v>0</v>
      </c>
      <c r="CB323" s="607">
        <f t="shared" si="379"/>
        <v>0</v>
      </c>
      <c r="CC323" s="608">
        <f t="shared" si="380"/>
        <v>0</v>
      </c>
      <c r="CD323" s="607">
        <f t="shared" si="381"/>
        <v>0</v>
      </c>
      <c r="CE323" s="608">
        <f t="shared" si="382"/>
        <v>0</v>
      </c>
      <c r="CF323" s="607">
        <f t="shared" si="383"/>
        <v>0</v>
      </c>
      <c r="CG323" s="608">
        <f t="shared" si="384"/>
        <v>0</v>
      </c>
      <c r="CH323" s="607">
        <f t="shared" si="385"/>
        <v>0</v>
      </c>
      <c r="CI323" s="608">
        <f t="shared" si="386"/>
        <v>5656.984848484848</v>
      </c>
      <c r="CJ323" s="607">
        <f t="shared" si="387"/>
        <v>5695.71</v>
      </c>
      <c r="CK323" s="608">
        <f t="shared" si="388"/>
        <v>0</v>
      </c>
      <c r="CL323" s="609">
        <f t="shared" si="389"/>
        <v>0</v>
      </c>
      <c r="CM323" s="608">
        <f t="shared" si="390"/>
        <v>0</v>
      </c>
      <c r="CN323" s="610">
        <f t="shared" si="391"/>
        <v>0</v>
      </c>
      <c r="CO323" s="606">
        <f t="shared" si="392"/>
        <v>0</v>
      </c>
      <c r="CP323" s="607">
        <f t="shared" si="393"/>
        <v>0</v>
      </c>
      <c r="CQ323" s="606">
        <f t="shared" si="394"/>
        <v>0</v>
      </c>
      <c r="CR323" s="607">
        <f t="shared" si="395"/>
        <v>0</v>
      </c>
      <c r="CS323" s="606">
        <f t="shared" si="396"/>
        <v>0</v>
      </c>
      <c r="CT323" s="607">
        <f t="shared" si="397"/>
        <v>0</v>
      </c>
      <c r="CU323" s="608">
        <f t="shared" si="398"/>
        <v>50912.863636363632</v>
      </c>
      <c r="CV323" s="610">
        <f t="shared" si="399"/>
        <v>51261.39</v>
      </c>
      <c r="CW323" s="608">
        <f t="shared" si="400"/>
        <v>0</v>
      </c>
      <c r="CX323" s="610">
        <f t="shared" si="401"/>
        <v>51261.39</v>
      </c>
      <c r="CY323" s="611">
        <f t="shared" si="402"/>
        <v>50912.863636363632</v>
      </c>
      <c r="CZ323" s="605">
        <f t="shared" si="403"/>
        <v>0</v>
      </c>
      <c r="DA323" s="612">
        <f t="shared" si="404"/>
        <v>0</v>
      </c>
      <c r="DB323" s="607">
        <f t="shared" si="405"/>
        <v>0</v>
      </c>
      <c r="DC323" s="606">
        <f t="shared" si="406"/>
        <v>0</v>
      </c>
      <c r="DD323" s="607">
        <f t="shared" si="407"/>
        <v>0</v>
      </c>
      <c r="DE323" s="606">
        <f t="shared" si="408"/>
        <v>0</v>
      </c>
      <c r="DF323" s="607">
        <f t="shared" si="409"/>
        <v>0</v>
      </c>
      <c r="DG323" s="606">
        <f t="shared" si="410"/>
        <v>0</v>
      </c>
      <c r="DH323" s="607">
        <f t="shared" si="411"/>
        <v>0</v>
      </c>
      <c r="DI323" s="608">
        <f t="shared" si="412"/>
        <v>66</v>
      </c>
      <c r="DJ323" s="607">
        <f t="shared" si="413"/>
        <v>68</v>
      </c>
      <c r="DK323" s="608">
        <f t="shared" si="414"/>
        <v>0</v>
      </c>
      <c r="DL323" s="607">
        <f t="shared" si="415"/>
        <v>68</v>
      </c>
      <c r="DM323" s="608">
        <f t="shared" si="416"/>
        <v>66</v>
      </c>
      <c r="DN323" s="607">
        <f t="shared" si="417"/>
        <v>0</v>
      </c>
      <c r="DO323" s="612">
        <f t="shared" si="418"/>
        <v>0</v>
      </c>
      <c r="DP323" s="607">
        <f t="shared" si="419"/>
        <v>0</v>
      </c>
      <c r="DQ323" s="606">
        <f t="shared" si="420"/>
        <v>0</v>
      </c>
      <c r="DR323" s="607">
        <f t="shared" si="421"/>
        <v>0</v>
      </c>
      <c r="DS323" s="606">
        <f t="shared" si="422"/>
        <v>0</v>
      </c>
      <c r="DT323" s="607">
        <f t="shared" si="423"/>
        <v>0</v>
      </c>
      <c r="DU323" s="606">
        <f t="shared" si="424"/>
        <v>0</v>
      </c>
      <c r="DV323" s="607">
        <f t="shared" si="425"/>
        <v>0</v>
      </c>
      <c r="DW323" s="608">
        <f t="shared" si="426"/>
        <v>3360248.9999999995</v>
      </c>
      <c r="DX323" s="607">
        <f t="shared" si="427"/>
        <v>3485774.52</v>
      </c>
      <c r="DY323" s="608">
        <f t="shared" si="428"/>
        <v>0</v>
      </c>
      <c r="DZ323" s="607">
        <f t="shared" si="429"/>
        <v>3485774.52</v>
      </c>
      <c r="EA323" s="608">
        <f t="shared" si="430"/>
        <v>3360248.9999999995</v>
      </c>
    </row>
    <row r="324" spans="1:131" x14ac:dyDescent="0.2">
      <c r="A324" s="393" t="s">
        <v>40</v>
      </c>
      <c r="B324" s="391" t="s">
        <v>642</v>
      </c>
      <c r="C324" s="569"/>
      <c r="D324" s="398">
        <v>198774</v>
      </c>
      <c r="E324" s="399">
        <v>9</v>
      </c>
      <c r="F324" s="598"/>
      <c r="G324" s="599"/>
      <c r="H324" s="600"/>
      <c r="I324" s="601"/>
      <c r="J324" s="600"/>
      <c r="K324" s="599"/>
      <c r="L324" s="600"/>
      <c r="M324" s="601"/>
      <c r="N324" s="600"/>
      <c r="O324" s="599"/>
      <c r="P324" s="600"/>
      <c r="Q324" s="601"/>
      <c r="R324" s="600"/>
      <c r="S324" s="599"/>
      <c r="T324" s="600"/>
      <c r="U324" s="601"/>
      <c r="V324" s="600"/>
      <c r="W324" s="599"/>
      <c r="X324" s="600"/>
      <c r="Y324" s="601"/>
      <c r="Z324" s="600"/>
      <c r="AA324" s="599"/>
      <c r="AB324" s="600"/>
      <c r="AC324" s="601"/>
      <c r="AD324" s="600"/>
      <c r="AE324" s="599">
        <v>138</v>
      </c>
      <c r="AF324" s="600"/>
      <c r="AG324" s="601"/>
      <c r="AH324" s="600"/>
      <c r="AI324" s="599"/>
      <c r="AJ324" s="600"/>
      <c r="AK324" s="601"/>
      <c r="AL324" s="600"/>
      <c r="AM324" s="599"/>
      <c r="AN324" s="600"/>
      <c r="AO324" s="601"/>
      <c r="AP324" s="600"/>
      <c r="AQ324" s="599"/>
      <c r="AR324" s="600"/>
      <c r="AS324" s="601"/>
      <c r="AT324" s="600">
        <v>110</v>
      </c>
      <c r="AU324" s="599"/>
      <c r="AV324" s="600"/>
      <c r="AW324" s="601"/>
      <c r="AX324" s="600"/>
      <c r="AY324" s="599"/>
      <c r="AZ324" s="600"/>
      <c r="BA324" s="601"/>
      <c r="BB324" s="602">
        <v>0</v>
      </c>
      <c r="BC324" s="599"/>
      <c r="BD324" s="600">
        <v>0</v>
      </c>
      <c r="BE324" s="599"/>
      <c r="BF324" s="600">
        <v>0</v>
      </c>
      <c r="BG324" s="599"/>
      <c r="BH324" s="600">
        <v>0</v>
      </c>
      <c r="BI324" s="599">
        <v>4412392</v>
      </c>
      <c r="BJ324" s="600">
        <v>0</v>
      </c>
      <c r="BK324" s="615"/>
      <c r="BL324" s="600">
        <v>6033941.1000000006</v>
      </c>
      <c r="BM324" s="604"/>
      <c r="BN324" s="605">
        <f t="shared" si="365"/>
        <v>0</v>
      </c>
      <c r="BO324" s="606">
        <f t="shared" si="366"/>
        <v>0</v>
      </c>
      <c r="BP324" s="607">
        <f t="shared" si="367"/>
        <v>0</v>
      </c>
      <c r="BQ324" s="606">
        <f t="shared" si="368"/>
        <v>0</v>
      </c>
      <c r="BR324" s="607">
        <f t="shared" si="369"/>
        <v>0</v>
      </c>
      <c r="BS324" s="606">
        <f t="shared" si="370"/>
        <v>0</v>
      </c>
      <c r="BT324" s="607">
        <f t="shared" si="371"/>
        <v>0</v>
      </c>
      <c r="BU324" s="606">
        <f t="shared" si="372"/>
        <v>1242</v>
      </c>
      <c r="BV324" s="607">
        <f t="shared" si="373"/>
        <v>0</v>
      </c>
      <c r="BW324" s="608">
        <f t="shared" si="374"/>
        <v>0</v>
      </c>
      <c r="BX324" s="607">
        <f t="shared" si="375"/>
        <v>990</v>
      </c>
      <c r="BY324" s="608">
        <f t="shared" si="376"/>
        <v>0</v>
      </c>
      <c r="BZ324" s="607">
        <f t="shared" si="377"/>
        <v>0</v>
      </c>
      <c r="CA324" s="608">
        <f t="shared" si="378"/>
        <v>0</v>
      </c>
      <c r="CB324" s="607">
        <f t="shared" si="379"/>
        <v>0</v>
      </c>
      <c r="CC324" s="608">
        <f t="shared" si="380"/>
        <v>0</v>
      </c>
      <c r="CD324" s="607">
        <f t="shared" si="381"/>
        <v>0</v>
      </c>
      <c r="CE324" s="608">
        <f t="shared" si="382"/>
        <v>0</v>
      </c>
      <c r="CF324" s="607">
        <f t="shared" si="383"/>
        <v>0</v>
      </c>
      <c r="CG324" s="608">
        <f t="shared" si="384"/>
        <v>3552.6505636070851</v>
      </c>
      <c r="CH324" s="607">
        <f t="shared" si="385"/>
        <v>0</v>
      </c>
      <c r="CI324" s="608">
        <f t="shared" si="386"/>
        <v>0</v>
      </c>
      <c r="CJ324" s="607">
        <f t="shared" si="387"/>
        <v>6094.89</v>
      </c>
      <c r="CK324" s="608">
        <f t="shared" si="388"/>
        <v>0</v>
      </c>
      <c r="CL324" s="609">
        <f t="shared" si="389"/>
        <v>0</v>
      </c>
      <c r="CM324" s="608">
        <f t="shared" si="390"/>
        <v>0</v>
      </c>
      <c r="CN324" s="610">
        <f t="shared" si="391"/>
        <v>0</v>
      </c>
      <c r="CO324" s="606">
        <f t="shared" si="392"/>
        <v>0</v>
      </c>
      <c r="CP324" s="607">
        <f t="shared" si="393"/>
        <v>0</v>
      </c>
      <c r="CQ324" s="606">
        <f t="shared" si="394"/>
        <v>0</v>
      </c>
      <c r="CR324" s="607">
        <f t="shared" si="395"/>
        <v>0</v>
      </c>
      <c r="CS324" s="606">
        <f t="shared" si="396"/>
        <v>31973.855072463768</v>
      </c>
      <c r="CT324" s="607">
        <f t="shared" si="397"/>
        <v>0</v>
      </c>
      <c r="CU324" s="608">
        <f t="shared" si="398"/>
        <v>0</v>
      </c>
      <c r="CV324" s="610">
        <f t="shared" si="399"/>
        <v>54854.01</v>
      </c>
      <c r="CW324" s="608">
        <f t="shared" si="400"/>
        <v>0</v>
      </c>
      <c r="CX324" s="610">
        <f t="shared" si="401"/>
        <v>54854.01</v>
      </c>
      <c r="CY324" s="611">
        <f t="shared" si="402"/>
        <v>31973.855072463768</v>
      </c>
      <c r="CZ324" s="605">
        <f t="shared" si="403"/>
        <v>0</v>
      </c>
      <c r="DA324" s="612">
        <f t="shared" si="404"/>
        <v>0</v>
      </c>
      <c r="DB324" s="607">
        <f t="shared" si="405"/>
        <v>0</v>
      </c>
      <c r="DC324" s="606">
        <f t="shared" si="406"/>
        <v>0</v>
      </c>
      <c r="DD324" s="607">
        <f t="shared" si="407"/>
        <v>0</v>
      </c>
      <c r="DE324" s="606">
        <f t="shared" si="408"/>
        <v>0</v>
      </c>
      <c r="DF324" s="607">
        <f t="shared" si="409"/>
        <v>0</v>
      </c>
      <c r="DG324" s="606">
        <f t="shared" si="410"/>
        <v>138</v>
      </c>
      <c r="DH324" s="607">
        <f t="shared" si="411"/>
        <v>0</v>
      </c>
      <c r="DI324" s="608">
        <f t="shared" si="412"/>
        <v>0</v>
      </c>
      <c r="DJ324" s="607">
        <f t="shared" si="413"/>
        <v>110</v>
      </c>
      <c r="DK324" s="608">
        <f t="shared" si="414"/>
        <v>0</v>
      </c>
      <c r="DL324" s="607">
        <f t="shared" si="415"/>
        <v>110</v>
      </c>
      <c r="DM324" s="608">
        <f t="shared" si="416"/>
        <v>138</v>
      </c>
      <c r="DN324" s="607">
        <f t="shared" si="417"/>
        <v>0</v>
      </c>
      <c r="DO324" s="612">
        <f t="shared" si="418"/>
        <v>0</v>
      </c>
      <c r="DP324" s="607">
        <f t="shared" si="419"/>
        <v>0</v>
      </c>
      <c r="DQ324" s="606">
        <f t="shared" si="420"/>
        <v>0</v>
      </c>
      <c r="DR324" s="607">
        <f t="shared" si="421"/>
        <v>0</v>
      </c>
      <c r="DS324" s="606">
        <f t="shared" si="422"/>
        <v>0</v>
      </c>
      <c r="DT324" s="607">
        <f t="shared" si="423"/>
        <v>0</v>
      </c>
      <c r="DU324" s="606">
        <f t="shared" si="424"/>
        <v>4412392</v>
      </c>
      <c r="DV324" s="607">
        <f t="shared" si="425"/>
        <v>0</v>
      </c>
      <c r="DW324" s="608">
        <f t="shared" si="426"/>
        <v>0</v>
      </c>
      <c r="DX324" s="607">
        <f t="shared" si="427"/>
        <v>6033941.1000000006</v>
      </c>
      <c r="DY324" s="608">
        <f t="shared" si="428"/>
        <v>0</v>
      </c>
      <c r="DZ324" s="607">
        <f t="shared" si="429"/>
        <v>6033941.1000000006</v>
      </c>
      <c r="EA324" s="608">
        <f t="shared" si="430"/>
        <v>4412392</v>
      </c>
    </row>
    <row r="325" spans="1:131" x14ac:dyDescent="0.2">
      <c r="A325" s="393" t="s">
        <v>40</v>
      </c>
      <c r="B325" s="391" t="s">
        <v>643</v>
      </c>
      <c r="C325" s="569"/>
      <c r="D325" s="398">
        <v>198817</v>
      </c>
      <c r="E325" s="399">
        <v>9</v>
      </c>
      <c r="F325" s="598"/>
      <c r="G325" s="599"/>
      <c r="H325" s="600"/>
      <c r="I325" s="601"/>
      <c r="J325" s="600"/>
      <c r="K325" s="599"/>
      <c r="L325" s="600"/>
      <c r="M325" s="601"/>
      <c r="N325" s="600"/>
      <c r="O325" s="599"/>
      <c r="P325" s="600"/>
      <c r="Q325" s="601"/>
      <c r="R325" s="600"/>
      <c r="S325" s="599"/>
      <c r="T325" s="600"/>
      <c r="U325" s="601"/>
      <c r="V325" s="600"/>
      <c r="W325" s="599"/>
      <c r="X325" s="600"/>
      <c r="Y325" s="601"/>
      <c r="Z325" s="600"/>
      <c r="AA325" s="599"/>
      <c r="AB325" s="600"/>
      <c r="AC325" s="601"/>
      <c r="AD325" s="600"/>
      <c r="AE325" s="599"/>
      <c r="AF325" s="600"/>
      <c r="AG325" s="601"/>
      <c r="AH325" s="600"/>
      <c r="AI325" s="599"/>
      <c r="AJ325" s="600"/>
      <c r="AK325" s="601"/>
      <c r="AL325" s="600"/>
      <c r="AM325" s="599">
        <v>108</v>
      </c>
      <c r="AN325" s="600"/>
      <c r="AO325" s="601"/>
      <c r="AP325" s="600"/>
      <c r="AQ325" s="599"/>
      <c r="AR325" s="600"/>
      <c r="AS325" s="601"/>
      <c r="AT325" s="600">
        <v>91</v>
      </c>
      <c r="AU325" s="599"/>
      <c r="AV325" s="600"/>
      <c r="AW325" s="601"/>
      <c r="AX325" s="600"/>
      <c r="AY325" s="599"/>
      <c r="AZ325" s="600"/>
      <c r="BA325" s="601"/>
      <c r="BB325" s="602">
        <v>0</v>
      </c>
      <c r="BC325" s="599"/>
      <c r="BD325" s="600">
        <v>0</v>
      </c>
      <c r="BE325" s="599"/>
      <c r="BF325" s="600">
        <v>0</v>
      </c>
      <c r="BG325" s="599"/>
      <c r="BH325" s="600">
        <v>0</v>
      </c>
      <c r="BI325" s="599"/>
      <c r="BJ325" s="600">
        <v>0</v>
      </c>
      <c r="BK325" s="615">
        <v>4581414</v>
      </c>
      <c r="BL325" s="600">
        <v>4071470.1300000008</v>
      </c>
      <c r="BM325" s="604"/>
      <c r="BN325" s="605">
        <f t="shared" si="365"/>
        <v>0</v>
      </c>
      <c r="BO325" s="606">
        <f t="shared" si="366"/>
        <v>0</v>
      </c>
      <c r="BP325" s="607">
        <f t="shared" si="367"/>
        <v>0</v>
      </c>
      <c r="BQ325" s="606">
        <f t="shared" si="368"/>
        <v>0</v>
      </c>
      <c r="BR325" s="607">
        <f t="shared" si="369"/>
        <v>0</v>
      </c>
      <c r="BS325" s="606">
        <f t="shared" si="370"/>
        <v>0</v>
      </c>
      <c r="BT325" s="607">
        <f t="shared" si="371"/>
        <v>0</v>
      </c>
      <c r="BU325" s="606">
        <f t="shared" si="372"/>
        <v>0</v>
      </c>
      <c r="BV325" s="607">
        <f t="shared" si="373"/>
        <v>0</v>
      </c>
      <c r="BW325" s="608">
        <f t="shared" si="374"/>
        <v>972</v>
      </c>
      <c r="BX325" s="607">
        <f t="shared" si="375"/>
        <v>819</v>
      </c>
      <c r="BY325" s="608">
        <f t="shared" si="376"/>
        <v>0</v>
      </c>
      <c r="BZ325" s="607">
        <f t="shared" si="377"/>
        <v>0</v>
      </c>
      <c r="CA325" s="608">
        <f t="shared" si="378"/>
        <v>0</v>
      </c>
      <c r="CB325" s="607">
        <f t="shared" si="379"/>
        <v>0</v>
      </c>
      <c r="CC325" s="608">
        <f t="shared" si="380"/>
        <v>0</v>
      </c>
      <c r="CD325" s="607">
        <f t="shared" si="381"/>
        <v>0</v>
      </c>
      <c r="CE325" s="608">
        <f t="shared" si="382"/>
        <v>0</v>
      </c>
      <c r="CF325" s="607">
        <f t="shared" si="383"/>
        <v>0</v>
      </c>
      <c r="CG325" s="608">
        <f t="shared" si="384"/>
        <v>0</v>
      </c>
      <c r="CH325" s="607">
        <f t="shared" si="385"/>
        <v>0</v>
      </c>
      <c r="CI325" s="608">
        <f t="shared" si="386"/>
        <v>4713.3888888888887</v>
      </c>
      <c r="CJ325" s="607">
        <f t="shared" si="387"/>
        <v>4971.2700000000013</v>
      </c>
      <c r="CK325" s="608">
        <f t="shared" si="388"/>
        <v>0</v>
      </c>
      <c r="CL325" s="609">
        <f t="shared" si="389"/>
        <v>0</v>
      </c>
      <c r="CM325" s="608">
        <f t="shared" si="390"/>
        <v>0</v>
      </c>
      <c r="CN325" s="610">
        <f t="shared" si="391"/>
        <v>0</v>
      </c>
      <c r="CO325" s="606">
        <f t="shared" si="392"/>
        <v>0</v>
      </c>
      <c r="CP325" s="607">
        <f t="shared" si="393"/>
        <v>0</v>
      </c>
      <c r="CQ325" s="606">
        <f t="shared" si="394"/>
        <v>0</v>
      </c>
      <c r="CR325" s="607">
        <f t="shared" si="395"/>
        <v>0</v>
      </c>
      <c r="CS325" s="606">
        <f t="shared" si="396"/>
        <v>0</v>
      </c>
      <c r="CT325" s="607">
        <f t="shared" si="397"/>
        <v>0</v>
      </c>
      <c r="CU325" s="608">
        <f t="shared" si="398"/>
        <v>42420.5</v>
      </c>
      <c r="CV325" s="610">
        <f t="shared" si="399"/>
        <v>44741.430000000015</v>
      </c>
      <c r="CW325" s="608">
        <f t="shared" si="400"/>
        <v>0</v>
      </c>
      <c r="CX325" s="610">
        <f t="shared" si="401"/>
        <v>44741.430000000015</v>
      </c>
      <c r="CY325" s="611">
        <f t="shared" si="402"/>
        <v>42420.5</v>
      </c>
      <c r="CZ325" s="605">
        <f t="shared" si="403"/>
        <v>0</v>
      </c>
      <c r="DA325" s="612">
        <f t="shared" si="404"/>
        <v>0</v>
      </c>
      <c r="DB325" s="607">
        <f t="shared" si="405"/>
        <v>0</v>
      </c>
      <c r="DC325" s="606">
        <f t="shared" si="406"/>
        <v>0</v>
      </c>
      <c r="DD325" s="607">
        <f t="shared" si="407"/>
        <v>0</v>
      </c>
      <c r="DE325" s="606">
        <f t="shared" si="408"/>
        <v>0</v>
      </c>
      <c r="DF325" s="607">
        <f t="shared" si="409"/>
        <v>0</v>
      </c>
      <c r="DG325" s="606">
        <f t="shared" si="410"/>
        <v>0</v>
      </c>
      <c r="DH325" s="607">
        <f t="shared" si="411"/>
        <v>0</v>
      </c>
      <c r="DI325" s="608">
        <f t="shared" si="412"/>
        <v>108</v>
      </c>
      <c r="DJ325" s="607">
        <f t="shared" si="413"/>
        <v>91</v>
      </c>
      <c r="DK325" s="608">
        <f t="shared" si="414"/>
        <v>0</v>
      </c>
      <c r="DL325" s="607">
        <f t="shared" si="415"/>
        <v>91</v>
      </c>
      <c r="DM325" s="608">
        <f t="shared" si="416"/>
        <v>108</v>
      </c>
      <c r="DN325" s="607">
        <f t="shared" si="417"/>
        <v>0</v>
      </c>
      <c r="DO325" s="612">
        <f t="shared" si="418"/>
        <v>0</v>
      </c>
      <c r="DP325" s="607">
        <f t="shared" si="419"/>
        <v>0</v>
      </c>
      <c r="DQ325" s="606">
        <f t="shared" si="420"/>
        <v>0</v>
      </c>
      <c r="DR325" s="607">
        <f t="shared" si="421"/>
        <v>0</v>
      </c>
      <c r="DS325" s="606">
        <f t="shared" si="422"/>
        <v>0</v>
      </c>
      <c r="DT325" s="607">
        <f t="shared" si="423"/>
        <v>0</v>
      </c>
      <c r="DU325" s="606">
        <f t="shared" si="424"/>
        <v>0</v>
      </c>
      <c r="DV325" s="607">
        <f t="shared" si="425"/>
        <v>0</v>
      </c>
      <c r="DW325" s="608">
        <f t="shared" si="426"/>
        <v>4581414</v>
      </c>
      <c r="DX325" s="607">
        <f t="shared" si="427"/>
        <v>4071470.1300000013</v>
      </c>
      <c r="DY325" s="608">
        <f t="shared" si="428"/>
        <v>0</v>
      </c>
      <c r="DZ325" s="607">
        <f t="shared" si="429"/>
        <v>4071470.1300000013</v>
      </c>
      <c r="EA325" s="608">
        <f t="shared" si="430"/>
        <v>4581414</v>
      </c>
    </row>
    <row r="326" spans="1:131" x14ac:dyDescent="0.2">
      <c r="A326" s="393" t="s">
        <v>40</v>
      </c>
      <c r="B326" s="391" t="s">
        <v>644</v>
      </c>
      <c r="C326" s="569"/>
      <c r="D326" s="398">
        <v>198987</v>
      </c>
      <c r="E326" s="399">
        <v>9</v>
      </c>
      <c r="F326" s="598"/>
      <c r="G326" s="599"/>
      <c r="H326" s="600"/>
      <c r="I326" s="601"/>
      <c r="J326" s="600"/>
      <c r="K326" s="599"/>
      <c r="L326" s="600"/>
      <c r="M326" s="601"/>
      <c r="N326" s="600"/>
      <c r="O326" s="599"/>
      <c r="P326" s="600"/>
      <c r="Q326" s="601"/>
      <c r="R326" s="600"/>
      <c r="S326" s="599"/>
      <c r="T326" s="600"/>
      <c r="U326" s="601"/>
      <c r="V326" s="600"/>
      <c r="W326" s="599"/>
      <c r="X326" s="600"/>
      <c r="Y326" s="601"/>
      <c r="Z326" s="600"/>
      <c r="AA326" s="599"/>
      <c r="AB326" s="600"/>
      <c r="AC326" s="601"/>
      <c r="AD326" s="600"/>
      <c r="AE326" s="599">
        <v>97</v>
      </c>
      <c r="AF326" s="600"/>
      <c r="AG326" s="601"/>
      <c r="AH326" s="600"/>
      <c r="AI326" s="599"/>
      <c r="AJ326" s="600"/>
      <c r="AK326" s="601"/>
      <c r="AL326" s="600"/>
      <c r="AM326" s="599"/>
      <c r="AN326" s="600"/>
      <c r="AO326" s="601"/>
      <c r="AP326" s="600"/>
      <c r="AQ326" s="599"/>
      <c r="AR326" s="600"/>
      <c r="AS326" s="601"/>
      <c r="AT326" s="600">
        <v>91</v>
      </c>
      <c r="AU326" s="599"/>
      <c r="AV326" s="600"/>
      <c r="AW326" s="601"/>
      <c r="AX326" s="600"/>
      <c r="AY326" s="599"/>
      <c r="AZ326" s="600"/>
      <c r="BA326" s="601"/>
      <c r="BB326" s="602">
        <v>0</v>
      </c>
      <c r="BC326" s="599"/>
      <c r="BD326" s="600">
        <v>0</v>
      </c>
      <c r="BE326" s="599"/>
      <c r="BF326" s="600">
        <v>0</v>
      </c>
      <c r="BG326" s="599"/>
      <c r="BH326" s="600">
        <v>0</v>
      </c>
      <c r="BI326" s="599">
        <v>4949394</v>
      </c>
      <c r="BJ326" s="600">
        <v>0</v>
      </c>
      <c r="BK326" s="615"/>
      <c r="BL326" s="600">
        <v>4181994.18</v>
      </c>
      <c r="BM326" s="604"/>
      <c r="BN326" s="605">
        <f t="shared" si="365"/>
        <v>0</v>
      </c>
      <c r="BO326" s="606">
        <f t="shared" si="366"/>
        <v>0</v>
      </c>
      <c r="BP326" s="607">
        <f t="shared" si="367"/>
        <v>0</v>
      </c>
      <c r="BQ326" s="606">
        <f t="shared" si="368"/>
        <v>0</v>
      </c>
      <c r="BR326" s="607">
        <f t="shared" si="369"/>
        <v>0</v>
      </c>
      <c r="BS326" s="606">
        <f t="shared" si="370"/>
        <v>0</v>
      </c>
      <c r="BT326" s="607">
        <f t="shared" si="371"/>
        <v>0</v>
      </c>
      <c r="BU326" s="606">
        <f t="shared" si="372"/>
        <v>873</v>
      </c>
      <c r="BV326" s="607">
        <f t="shared" si="373"/>
        <v>0</v>
      </c>
      <c r="BW326" s="608">
        <f t="shared" si="374"/>
        <v>0</v>
      </c>
      <c r="BX326" s="607">
        <f t="shared" si="375"/>
        <v>819</v>
      </c>
      <c r="BY326" s="608">
        <f t="shared" si="376"/>
        <v>0</v>
      </c>
      <c r="BZ326" s="607">
        <f t="shared" si="377"/>
        <v>0</v>
      </c>
      <c r="CA326" s="608">
        <f t="shared" si="378"/>
        <v>0</v>
      </c>
      <c r="CB326" s="607">
        <f t="shared" si="379"/>
        <v>0</v>
      </c>
      <c r="CC326" s="608">
        <f t="shared" si="380"/>
        <v>0</v>
      </c>
      <c r="CD326" s="607">
        <f t="shared" si="381"/>
        <v>0</v>
      </c>
      <c r="CE326" s="608">
        <f t="shared" si="382"/>
        <v>0</v>
      </c>
      <c r="CF326" s="607">
        <f t="shared" si="383"/>
        <v>0</v>
      </c>
      <c r="CG326" s="608">
        <f t="shared" si="384"/>
        <v>5669.4089347079034</v>
      </c>
      <c r="CH326" s="607">
        <f t="shared" si="385"/>
        <v>0</v>
      </c>
      <c r="CI326" s="608">
        <f t="shared" si="386"/>
        <v>0</v>
      </c>
      <c r="CJ326" s="607">
        <f t="shared" si="387"/>
        <v>5106.22</v>
      </c>
      <c r="CK326" s="608">
        <f t="shared" si="388"/>
        <v>0</v>
      </c>
      <c r="CL326" s="609">
        <f t="shared" si="389"/>
        <v>0</v>
      </c>
      <c r="CM326" s="608">
        <f t="shared" si="390"/>
        <v>0</v>
      </c>
      <c r="CN326" s="610">
        <f t="shared" si="391"/>
        <v>0</v>
      </c>
      <c r="CO326" s="606">
        <f t="shared" si="392"/>
        <v>0</v>
      </c>
      <c r="CP326" s="607">
        <f t="shared" si="393"/>
        <v>0</v>
      </c>
      <c r="CQ326" s="606">
        <f t="shared" si="394"/>
        <v>0</v>
      </c>
      <c r="CR326" s="607">
        <f t="shared" si="395"/>
        <v>0</v>
      </c>
      <c r="CS326" s="606">
        <f t="shared" si="396"/>
        <v>51024.680412371134</v>
      </c>
      <c r="CT326" s="607">
        <f t="shared" si="397"/>
        <v>0</v>
      </c>
      <c r="CU326" s="608">
        <f t="shared" si="398"/>
        <v>0</v>
      </c>
      <c r="CV326" s="610">
        <f t="shared" si="399"/>
        <v>45955.98</v>
      </c>
      <c r="CW326" s="608">
        <f t="shared" si="400"/>
        <v>0</v>
      </c>
      <c r="CX326" s="610">
        <f t="shared" si="401"/>
        <v>45955.98</v>
      </c>
      <c r="CY326" s="611">
        <f t="shared" si="402"/>
        <v>51024.680412371134</v>
      </c>
      <c r="CZ326" s="605">
        <f t="shared" si="403"/>
        <v>0</v>
      </c>
      <c r="DA326" s="612">
        <f t="shared" si="404"/>
        <v>0</v>
      </c>
      <c r="DB326" s="607">
        <f t="shared" si="405"/>
        <v>0</v>
      </c>
      <c r="DC326" s="606">
        <f t="shared" si="406"/>
        <v>0</v>
      </c>
      <c r="DD326" s="607">
        <f t="shared" si="407"/>
        <v>0</v>
      </c>
      <c r="DE326" s="606">
        <f t="shared" si="408"/>
        <v>0</v>
      </c>
      <c r="DF326" s="607">
        <f t="shared" si="409"/>
        <v>0</v>
      </c>
      <c r="DG326" s="606">
        <f t="shared" si="410"/>
        <v>97</v>
      </c>
      <c r="DH326" s="607">
        <f t="shared" si="411"/>
        <v>0</v>
      </c>
      <c r="DI326" s="608">
        <f t="shared" si="412"/>
        <v>0</v>
      </c>
      <c r="DJ326" s="607">
        <f t="shared" si="413"/>
        <v>91</v>
      </c>
      <c r="DK326" s="608">
        <f t="shared" si="414"/>
        <v>0</v>
      </c>
      <c r="DL326" s="607">
        <f t="shared" si="415"/>
        <v>91</v>
      </c>
      <c r="DM326" s="608">
        <f t="shared" si="416"/>
        <v>97</v>
      </c>
      <c r="DN326" s="607">
        <f t="shared" si="417"/>
        <v>0</v>
      </c>
      <c r="DO326" s="612">
        <f t="shared" si="418"/>
        <v>0</v>
      </c>
      <c r="DP326" s="607">
        <f t="shared" si="419"/>
        <v>0</v>
      </c>
      <c r="DQ326" s="606">
        <f t="shared" si="420"/>
        <v>0</v>
      </c>
      <c r="DR326" s="607">
        <f t="shared" si="421"/>
        <v>0</v>
      </c>
      <c r="DS326" s="606">
        <f t="shared" si="422"/>
        <v>0</v>
      </c>
      <c r="DT326" s="607">
        <f t="shared" si="423"/>
        <v>0</v>
      </c>
      <c r="DU326" s="606">
        <f t="shared" si="424"/>
        <v>4949394</v>
      </c>
      <c r="DV326" s="607">
        <f t="shared" si="425"/>
        <v>0</v>
      </c>
      <c r="DW326" s="608">
        <f t="shared" si="426"/>
        <v>0</v>
      </c>
      <c r="DX326" s="607">
        <f t="shared" si="427"/>
        <v>4181994.18</v>
      </c>
      <c r="DY326" s="608">
        <f t="shared" si="428"/>
        <v>0</v>
      </c>
      <c r="DZ326" s="607">
        <f t="shared" si="429"/>
        <v>4181994.18</v>
      </c>
      <c r="EA326" s="608">
        <f t="shared" si="430"/>
        <v>4949394</v>
      </c>
    </row>
    <row r="327" spans="1:131" x14ac:dyDescent="0.2">
      <c r="A327" s="393" t="s">
        <v>40</v>
      </c>
      <c r="B327" s="391" t="s">
        <v>645</v>
      </c>
      <c r="C327" s="569"/>
      <c r="D327" s="398">
        <v>199087</v>
      </c>
      <c r="E327" s="399">
        <v>9</v>
      </c>
      <c r="F327" s="598"/>
      <c r="G327" s="599"/>
      <c r="H327" s="600"/>
      <c r="I327" s="601"/>
      <c r="J327" s="600"/>
      <c r="K327" s="599"/>
      <c r="L327" s="600"/>
      <c r="M327" s="601"/>
      <c r="N327" s="600"/>
      <c r="O327" s="599"/>
      <c r="P327" s="600"/>
      <c r="Q327" s="601"/>
      <c r="R327" s="600"/>
      <c r="S327" s="599"/>
      <c r="T327" s="600"/>
      <c r="U327" s="601"/>
      <c r="V327" s="600"/>
      <c r="W327" s="599"/>
      <c r="X327" s="600"/>
      <c r="Y327" s="601"/>
      <c r="Z327" s="600"/>
      <c r="AA327" s="599"/>
      <c r="AB327" s="600"/>
      <c r="AC327" s="601"/>
      <c r="AD327" s="600"/>
      <c r="AE327" s="599">
        <v>83</v>
      </c>
      <c r="AF327" s="600"/>
      <c r="AG327" s="601"/>
      <c r="AH327" s="600"/>
      <c r="AI327" s="599"/>
      <c r="AJ327" s="600"/>
      <c r="AK327" s="601"/>
      <c r="AL327" s="600"/>
      <c r="AM327" s="599"/>
      <c r="AN327" s="600"/>
      <c r="AO327" s="601"/>
      <c r="AP327" s="600"/>
      <c r="AQ327" s="599"/>
      <c r="AR327" s="600"/>
      <c r="AS327" s="601"/>
      <c r="AT327" s="600">
        <v>88</v>
      </c>
      <c r="AU327" s="599"/>
      <c r="AV327" s="600"/>
      <c r="AW327" s="601"/>
      <c r="AX327" s="600"/>
      <c r="AY327" s="599"/>
      <c r="AZ327" s="600"/>
      <c r="BA327" s="601"/>
      <c r="BB327" s="602">
        <v>0</v>
      </c>
      <c r="BC327" s="599"/>
      <c r="BD327" s="600">
        <v>0</v>
      </c>
      <c r="BE327" s="599"/>
      <c r="BF327" s="600">
        <v>0</v>
      </c>
      <c r="BG327" s="599"/>
      <c r="BH327" s="600">
        <v>0</v>
      </c>
      <c r="BI327" s="599">
        <v>3816600</v>
      </c>
      <c r="BJ327" s="600">
        <v>0</v>
      </c>
      <c r="BK327" s="615"/>
      <c r="BL327" s="600">
        <v>4099542.48</v>
      </c>
      <c r="BM327" s="604"/>
      <c r="BN327" s="605">
        <f t="shared" si="365"/>
        <v>0</v>
      </c>
      <c r="BO327" s="606">
        <f t="shared" si="366"/>
        <v>0</v>
      </c>
      <c r="BP327" s="607">
        <f t="shared" si="367"/>
        <v>0</v>
      </c>
      <c r="BQ327" s="606">
        <f t="shared" si="368"/>
        <v>0</v>
      </c>
      <c r="BR327" s="607">
        <f t="shared" si="369"/>
        <v>0</v>
      </c>
      <c r="BS327" s="606">
        <f t="shared" si="370"/>
        <v>0</v>
      </c>
      <c r="BT327" s="607">
        <f t="shared" si="371"/>
        <v>0</v>
      </c>
      <c r="BU327" s="606">
        <f t="shared" si="372"/>
        <v>747</v>
      </c>
      <c r="BV327" s="607">
        <f t="shared" si="373"/>
        <v>0</v>
      </c>
      <c r="BW327" s="608">
        <f t="shared" si="374"/>
        <v>0</v>
      </c>
      <c r="BX327" s="607">
        <f t="shared" si="375"/>
        <v>792</v>
      </c>
      <c r="BY327" s="608">
        <f t="shared" si="376"/>
        <v>0</v>
      </c>
      <c r="BZ327" s="607">
        <f t="shared" si="377"/>
        <v>0</v>
      </c>
      <c r="CA327" s="608">
        <f t="shared" si="378"/>
        <v>0</v>
      </c>
      <c r="CB327" s="607">
        <f t="shared" si="379"/>
        <v>0</v>
      </c>
      <c r="CC327" s="608">
        <f t="shared" si="380"/>
        <v>0</v>
      </c>
      <c r="CD327" s="607">
        <f t="shared" si="381"/>
        <v>0</v>
      </c>
      <c r="CE327" s="608">
        <f t="shared" si="382"/>
        <v>0</v>
      </c>
      <c r="CF327" s="607">
        <f t="shared" si="383"/>
        <v>0</v>
      </c>
      <c r="CG327" s="608">
        <f t="shared" si="384"/>
        <v>5109.2369477911643</v>
      </c>
      <c r="CH327" s="607">
        <f t="shared" si="385"/>
        <v>0</v>
      </c>
      <c r="CI327" s="608">
        <f t="shared" si="386"/>
        <v>0</v>
      </c>
      <c r="CJ327" s="607">
        <f t="shared" si="387"/>
        <v>5176.1899999999996</v>
      </c>
      <c r="CK327" s="608">
        <f t="shared" si="388"/>
        <v>0</v>
      </c>
      <c r="CL327" s="609">
        <f t="shared" si="389"/>
        <v>0</v>
      </c>
      <c r="CM327" s="608">
        <f t="shared" si="390"/>
        <v>0</v>
      </c>
      <c r="CN327" s="610">
        <f t="shared" si="391"/>
        <v>0</v>
      </c>
      <c r="CO327" s="606">
        <f t="shared" si="392"/>
        <v>0</v>
      </c>
      <c r="CP327" s="607">
        <f t="shared" si="393"/>
        <v>0</v>
      </c>
      <c r="CQ327" s="606">
        <f t="shared" si="394"/>
        <v>0</v>
      </c>
      <c r="CR327" s="607">
        <f t="shared" si="395"/>
        <v>0</v>
      </c>
      <c r="CS327" s="606">
        <f t="shared" si="396"/>
        <v>45983.132530120478</v>
      </c>
      <c r="CT327" s="607">
        <f t="shared" si="397"/>
        <v>0</v>
      </c>
      <c r="CU327" s="608">
        <f t="shared" si="398"/>
        <v>0</v>
      </c>
      <c r="CV327" s="610">
        <f t="shared" si="399"/>
        <v>46585.71</v>
      </c>
      <c r="CW327" s="608">
        <f t="shared" si="400"/>
        <v>0</v>
      </c>
      <c r="CX327" s="610">
        <f t="shared" si="401"/>
        <v>46585.71</v>
      </c>
      <c r="CY327" s="611">
        <f t="shared" si="402"/>
        <v>45983.132530120478</v>
      </c>
      <c r="CZ327" s="605">
        <f t="shared" si="403"/>
        <v>0</v>
      </c>
      <c r="DA327" s="612">
        <f t="shared" si="404"/>
        <v>0</v>
      </c>
      <c r="DB327" s="607">
        <f t="shared" si="405"/>
        <v>0</v>
      </c>
      <c r="DC327" s="606">
        <f t="shared" si="406"/>
        <v>0</v>
      </c>
      <c r="DD327" s="607">
        <f t="shared" si="407"/>
        <v>0</v>
      </c>
      <c r="DE327" s="606">
        <f t="shared" si="408"/>
        <v>0</v>
      </c>
      <c r="DF327" s="607">
        <f t="shared" si="409"/>
        <v>0</v>
      </c>
      <c r="DG327" s="606">
        <f t="shared" si="410"/>
        <v>83</v>
      </c>
      <c r="DH327" s="607">
        <f t="shared" si="411"/>
        <v>0</v>
      </c>
      <c r="DI327" s="608">
        <f t="shared" si="412"/>
        <v>0</v>
      </c>
      <c r="DJ327" s="607">
        <f t="shared" si="413"/>
        <v>88</v>
      </c>
      <c r="DK327" s="608">
        <f t="shared" si="414"/>
        <v>0</v>
      </c>
      <c r="DL327" s="607">
        <f t="shared" si="415"/>
        <v>88</v>
      </c>
      <c r="DM327" s="608">
        <f t="shared" si="416"/>
        <v>83</v>
      </c>
      <c r="DN327" s="607">
        <f t="shared" si="417"/>
        <v>0</v>
      </c>
      <c r="DO327" s="612">
        <f t="shared" si="418"/>
        <v>0</v>
      </c>
      <c r="DP327" s="607">
        <f t="shared" si="419"/>
        <v>0</v>
      </c>
      <c r="DQ327" s="606">
        <f t="shared" si="420"/>
        <v>0</v>
      </c>
      <c r="DR327" s="607">
        <f t="shared" si="421"/>
        <v>0</v>
      </c>
      <c r="DS327" s="606">
        <f t="shared" si="422"/>
        <v>0</v>
      </c>
      <c r="DT327" s="607">
        <f t="shared" si="423"/>
        <v>0</v>
      </c>
      <c r="DU327" s="606">
        <f t="shared" si="424"/>
        <v>3816599.9999999995</v>
      </c>
      <c r="DV327" s="607">
        <f t="shared" si="425"/>
        <v>0</v>
      </c>
      <c r="DW327" s="608">
        <f t="shared" si="426"/>
        <v>0</v>
      </c>
      <c r="DX327" s="607">
        <f t="shared" si="427"/>
        <v>4099542.48</v>
      </c>
      <c r="DY327" s="608">
        <f t="shared" si="428"/>
        <v>0</v>
      </c>
      <c r="DZ327" s="607">
        <f t="shared" si="429"/>
        <v>4099542.48</v>
      </c>
      <c r="EA327" s="608">
        <f t="shared" si="430"/>
        <v>3816599.9999999995</v>
      </c>
    </row>
    <row r="328" spans="1:131" x14ac:dyDescent="0.2">
      <c r="A328" s="393" t="s">
        <v>40</v>
      </c>
      <c r="B328" s="391" t="s">
        <v>646</v>
      </c>
      <c r="C328" s="569"/>
      <c r="D328" s="398">
        <v>199421</v>
      </c>
      <c r="E328" s="399">
        <v>9</v>
      </c>
      <c r="F328" s="598"/>
      <c r="G328" s="599"/>
      <c r="H328" s="600"/>
      <c r="I328" s="601"/>
      <c r="J328" s="600"/>
      <c r="K328" s="599"/>
      <c r="L328" s="600"/>
      <c r="M328" s="601"/>
      <c r="N328" s="600"/>
      <c r="O328" s="599"/>
      <c r="P328" s="600"/>
      <c r="Q328" s="601"/>
      <c r="R328" s="600"/>
      <c r="S328" s="599"/>
      <c r="T328" s="600"/>
      <c r="U328" s="601"/>
      <c r="V328" s="600"/>
      <c r="W328" s="599"/>
      <c r="X328" s="600"/>
      <c r="Y328" s="601"/>
      <c r="Z328" s="600"/>
      <c r="AA328" s="599"/>
      <c r="AB328" s="600"/>
      <c r="AC328" s="601"/>
      <c r="AD328" s="600"/>
      <c r="AE328" s="599">
        <v>25</v>
      </c>
      <c r="AF328" s="600"/>
      <c r="AG328" s="601">
        <v>18</v>
      </c>
      <c r="AH328" s="600"/>
      <c r="AI328" s="599"/>
      <c r="AJ328" s="600"/>
      <c r="AK328" s="601">
        <v>39</v>
      </c>
      <c r="AL328" s="600"/>
      <c r="AM328" s="599"/>
      <c r="AN328" s="600"/>
      <c r="AO328" s="601"/>
      <c r="AP328" s="600"/>
      <c r="AQ328" s="599"/>
      <c r="AR328" s="600"/>
      <c r="AS328" s="601"/>
      <c r="AT328" s="600">
        <v>84</v>
      </c>
      <c r="AU328" s="599"/>
      <c r="AV328" s="600"/>
      <c r="AW328" s="601"/>
      <c r="AX328" s="600"/>
      <c r="AY328" s="599"/>
      <c r="AZ328" s="600"/>
      <c r="BA328" s="601"/>
      <c r="BB328" s="602">
        <v>0</v>
      </c>
      <c r="BC328" s="599"/>
      <c r="BD328" s="600">
        <v>0</v>
      </c>
      <c r="BE328" s="599"/>
      <c r="BF328" s="600">
        <v>0</v>
      </c>
      <c r="BG328" s="599"/>
      <c r="BH328" s="600">
        <v>0</v>
      </c>
      <c r="BI328" s="599">
        <v>4299322</v>
      </c>
      <c r="BJ328" s="600">
        <v>0</v>
      </c>
      <c r="BK328" s="615"/>
      <c r="BL328" s="600">
        <v>4305971.879999999</v>
      </c>
      <c r="BM328" s="604"/>
      <c r="BN328" s="605">
        <f t="shared" si="365"/>
        <v>0</v>
      </c>
      <c r="BO328" s="606">
        <f t="shared" si="366"/>
        <v>0</v>
      </c>
      <c r="BP328" s="607">
        <f t="shared" si="367"/>
        <v>0</v>
      </c>
      <c r="BQ328" s="606">
        <f t="shared" si="368"/>
        <v>0</v>
      </c>
      <c r="BR328" s="607">
        <f t="shared" si="369"/>
        <v>0</v>
      </c>
      <c r="BS328" s="606">
        <f t="shared" si="370"/>
        <v>0</v>
      </c>
      <c r="BT328" s="607">
        <f t="shared" si="371"/>
        <v>0</v>
      </c>
      <c r="BU328" s="606">
        <f t="shared" si="372"/>
        <v>873</v>
      </c>
      <c r="BV328" s="607">
        <f t="shared" si="373"/>
        <v>0</v>
      </c>
      <c r="BW328" s="608">
        <f t="shared" si="374"/>
        <v>0</v>
      </c>
      <c r="BX328" s="607">
        <f t="shared" si="375"/>
        <v>756</v>
      </c>
      <c r="BY328" s="608">
        <f t="shared" si="376"/>
        <v>0</v>
      </c>
      <c r="BZ328" s="607">
        <f t="shared" si="377"/>
        <v>0</v>
      </c>
      <c r="CA328" s="608">
        <f t="shared" si="378"/>
        <v>0</v>
      </c>
      <c r="CB328" s="607">
        <f t="shared" si="379"/>
        <v>0</v>
      </c>
      <c r="CC328" s="608">
        <f t="shared" si="380"/>
        <v>0</v>
      </c>
      <c r="CD328" s="607">
        <f t="shared" si="381"/>
        <v>0</v>
      </c>
      <c r="CE328" s="608">
        <f t="shared" si="382"/>
        <v>0</v>
      </c>
      <c r="CF328" s="607">
        <f t="shared" si="383"/>
        <v>0</v>
      </c>
      <c r="CG328" s="608">
        <f t="shared" si="384"/>
        <v>4924.7674684994272</v>
      </c>
      <c r="CH328" s="607">
        <f t="shared" si="385"/>
        <v>0</v>
      </c>
      <c r="CI328" s="608">
        <f t="shared" si="386"/>
        <v>0</v>
      </c>
      <c r="CJ328" s="607">
        <f t="shared" si="387"/>
        <v>5695.7299999999987</v>
      </c>
      <c r="CK328" s="608">
        <f t="shared" si="388"/>
        <v>0</v>
      </c>
      <c r="CL328" s="609">
        <f t="shared" si="389"/>
        <v>0</v>
      </c>
      <c r="CM328" s="608">
        <f t="shared" si="390"/>
        <v>0</v>
      </c>
      <c r="CN328" s="610">
        <f t="shared" si="391"/>
        <v>0</v>
      </c>
      <c r="CO328" s="606">
        <f t="shared" si="392"/>
        <v>0</v>
      </c>
      <c r="CP328" s="607">
        <f t="shared" si="393"/>
        <v>0</v>
      </c>
      <c r="CQ328" s="606">
        <f t="shared" si="394"/>
        <v>0</v>
      </c>
      <c r="CR328" s="607">
        <f t="shared" si="395"/>
        <v>0</v>
      </c>
      <c r="CS328" s="606">
        <f t="shared" si="396"/>
        <v>44322.907216494845</v>
      </c>
      <c r="CT328" s="607">
        <f t="shared" si="397"/>
        <v>0</v>
      </c>
      <c r="CU328" s="608">
        <f t="shared" si="398"/>
        <v>0</v>
      </c>
      <c r="CV328" s="610">
        <f t="shared" si="399"/>
        <v>51261.569999999985</v>
      </c>
      <c r="CW328" s="608">
        <f t="shared" si="400"/>
        <v>0</v>
      </c>
      <c r="CX328" s="610">
        <f t="shared" si="401"/>
        <v>51261.569999999985</v>
      </c>
      <c r="CY328" s="611">
        <f t="shared" si="402"/>
        <v>44322.907216494845</v>
      </c>
      <c r="CZ328" s="605">
        <f t="shared" si="403"/>
        <v>0</v>
      </c>
      <c r="DA328" s="612">
        <f t="shared" si="404"/>
        <v>0</v>
      </c>
      <c r="DB328" s="607">
        <f t="shared" si="405"/>
        <v>0</v>
      </c>
      <c r="DC328" s="606">
        <f t="shared" si="406"/>
        <v>0</v>
      </c>
      <c r="DD328" s="607">
        <f t="shared" si="407"/>
        <v>0</v>
      </c>
      <c r="DE328" s="606">
        <f t="shared" si="408"/>
        <v>0</v>
      </c>
      <c r="DF328" s="607">
        <f t="shared" si="409"/>
        <v>0</v>
      </c>
      <c r="DG328" s="606">
        <f t="shared" si="410"/>
        <v>82</v>
      </c>
      <c r="DH328" s="607">
        <f t="shared" si="411"/>
        <v>0</v>
      </c>
      <c r="DI328" s="608">
        <f t="shared" si="412"/>
        <v>0</v>
      </c>
      <c r="DJ328" s="607">
        <f t="shared" si="413"/>
        <v>84</v>
      </c>
      <c r="DK328" s="608">
        <f t="shared" si="414"/>
        <v>0</v>
      </c>
      <c r="DL328" s="607">
        <f t="shared" si="415"/>
        <v>84</v>
      </c>
      <c r="DM328" s="608">
        <f t="shared" si="416"/>
        <v>82</v>
      </c>
      <c r="DN328" s="607">
        <f t="shared" si="417"/>
        <v>0</v>
      </c>
      <c r="DO328" s="612">
        <f t="shared" si="418"/>
        <v>0</v>
      </c>
      <c r="DP328" s="607">
        <f t="shared" si="419"/>
        <v>0</v>
      </c>
      <c r="DQ328" s="606">
        <f t="shared" si="420"/>
        <v>0</v>
      </c>
      <c r="DR328" s="607">
        <f t="shared" si="421"/>
        <v>0</v>
      </c>
      <c r="DS328" s="606">
        <f t="shared" si="422"/>
        <v>0</v>
      </c>
      <c r="DT328" s="607">
        <f t="shared" si="423"/>
        <v>0</v>
      </c>
      <c r="DU328" s="606">
        <f t="shared" si="424"/>
        <v>3634478.3917525774</v>
      </c>
      <c r="DV328" s="607">
        <f t="shared" si="425"/>
        <v>0</v>
      </c>
      <c r="DW328" s="608">
        <f t="shared" si="426"/>
        <v>0</v>
      </c>
      <c r="DX328" s="607">
        <f t="shared" si="427"/>
        <v>4305971.879999999</v>
      </c>
      <c r="DY328" s="608">
        <f t="shared" si="428"/>
        <v>0</v>
      </c>
      <c r="DZ328" s="607">
        <f t="shared" si="429"/>
        <v>4305971.879999999</v>
      </c>
      <c r="EA328" s="608">
        <f t="shared" si="430"/>
        <v>3634478.3917525774</v>
      </c>
    </row>
    <row r="329" spans="1:131" x14ac:dyDescent="0.2">
      <c r="A329" s="393" t="s">
        <v>40</v>
      </c>
      <c r="B329" s="391" t="s">
        <v>647</v>
      </c>
      <c r="C329" s="569"/>
      <c r="D329" s="398">
        <v>199476</v>
      </c>
      <c r="E329" s="399">
        <v>9</v>
      </c>
      <c r="F329" s="598"/>
      <c r="G329" s="599"/>
      <c r="H329" s="600"/>
      <c r="I329" s="601"/>
      <c r="J329" s="600"/>
      <c r="K329" s="599"/>
      <c r="L329" s="600"/>
      <c r="M329" s="601"/>
      <c r="N329" s="600"/>
      <c r="O329" s="599"/>
      <c r="P329" s="600"/>
      <c r="Q329" s="601"/>
      <c r="R329" s="600"/>
      <c r="S329" s="599"/>
      <c r="T329" s="600"/>
      <c r="U329" s="601"/>
      <c r="V329" s="600"/>
      <c r="W329" s="599"/>
      <c r="X329" s="600"/>
      <c r="Y329" s="601"/>
      <c r="Z329" s="600"/>
      <c r="AA329" s="599"/>
      <c r="AB329" s="600"/>
      <c r="AC329" s="601"/>
      <c r="AD329" s="600"/>
      <c r="AE329" s="599"/>
      <c r="AF329" s="600"/>
      <c r="AG329" s="601"/>
      <c r="AH329" s="600"/>
      <c r="AI329" s="599"/>
      <c r="AJ329" s="600"/>
      <c r="AK329" s="601"/>
      <c r="AL329" s="600"/>
      <c r="AM329" s="599">
        <v>48</v>
      </c>
      <c r="AN329" s="600"/>
      <c r="AO329" s="601"/>
      <c r="AP329" s="600"/>
      <c r="AQ329" s="599"/>
      <c r="AR329" s="600"/>
      <c r="AS329" s="601">
        <v>45</v>
      </c>
      <c r="AT329" s="600">
        <v>74</v>
      </c>
      <c r="AU329" s="599"/>
      <c r="AV329" s="600"/>
      <c r="AW329" s="601"/>
      <c r="AX329" s="600"/>
      <c r="AY329" s="599"/>
      <c r="AZ329" s="600"/>
      <c r="BA329" s="601"/>
      <c r="BB329" s="602">
        <v>0</v>
      </c>
      <c r="BC329" s="599"/>
      <c r="BD329" s="600">
        <v>0</v>
      </c>
      <c r="BE329" s="599"/>
      <c r="BF329" s="600">
        <v>0</v>
      </c>
      <c r="BG329" s="599"/>
      <c r="BH329" s="600">
        <v>0</v>
      </c>
      <c r="BI329" s="599"/>
      <c r="BJ329" s="600">
        <v>0</v>
      </c>
      <c r="BK329" s="615">
        <v>5403882</v>
      </c>
      <c r="BL329" s="600">
        <v>3701594.6999999997</v>
      </c>
      <c r="BM329" s="604"/>
      <c r="BN329" s="605">
        <f t="shared" ref="BN329:BN392" si="431">((F329*9)+(H329*10)+(J329*11)+(L329*12))</f>
        <v>0</v>
      </c>
      <c r="BO329" s="606">
        <f t="shared" ref="BO329:BO392" si="432">((G329*9)+(I329*10)+(K329*11)+(M329*12))</f>
        <v>0</v>
      </c>
      <c r="BP329" s="607">
        <f t="shared" ref="BP329:BP392" si="433">((N329*9)+(P329*10)+(R329*11)+(T329*12))</f>
        <v>0</v>
      </c>
      <c r="BQ329" s="606">
        <f t="shared" ref="BQ329:BQ392" si="434">((O329*9)+(Q329*10)+(S329*11)+(U329*12))</f>
        <v>0</v>
      </c>
      <c r="BR329" s="607">
        <f t="shared" ref="BR329:BR392" si="435">((V329*9)+(X329*10)+(Z329*11)+(AB329*12))</f>
        <v>0</v>
      </c>
      <c r="BS329" s="606">
        <f t="shared" ref="BS329:BS392" si="436">((W329*9)+(Y329*10)+(AA329*11)+(AC329*12))</f>
        <v>0</v>
      </c>
      <c r="BT329" s="607">
        <f t="shared" ref="BT329:BT392" si="437">((AD329*9)+(AF329*10)+(AH329*11)+(AJ329*12))</f>
        <v>0</v>
      </c>
      <c r="BU329" s="606">
        <f t="shared" ref="BU329:BU392" si="438">((AE329*9)+(AG329*10)+(AI329*11)+(AK329*12))</f>
        <v>0</v>
      </c>
      <c r="BV329" s="607">
        <f t="shared" ref="BV329:BV392" si="439">((AL329*9)+(AN329*10)+(AP329*11)+(AR329*12))</f>
        <v>0</v>
      </c>
      <c r="BW329" s="608">
        <f t="shared" ref="BW329:BW392" si="440">((AM329*9)+(AO329*10)+(AQ329*11)+(AS329*12))</f>
        <v>972</v>
      </c>
      <c r="BX329" s="607">
        <f t="shared" ref="BX329:BX392" si="441">((AT329*9)+(AV329*10)+(AX329*11)+(AZ329*12))</f>
        <v>666</v>
      </c>
      <c r="BY329" s="608">
        <f t="shared" ref="BY329:BY392" si="442">((AU329*9)+(AW329*10)+(AY329*11)+(BA329*12))</f>
        <v>0</v>
      </c>
      <c r="BZ329" s="607">
        <f t="shared" ref="BZ329:BZ392" si="443">IF(BN329&gt;0,BB329/BN329,)</f>
        <v>0</v>
      </c>
      <c r="CA329" s="608">
        <f t="shared" ref="CA329:CA392" si="444">IF(BO329&gt;0,BC329/BO329,)</f>
        <v>0</v>
      </c>
      <c r="CB329" s="607">
        <f t="shared" ref="CB329:CB392" si="445">IF(BP329&gt;0,BD329/BP329,)</f>
        <v>0</v>
      </c>
      <c r="CC329" s="608">
        <f t="shared" ref="CC329:CC392" si="446">IF(BQ329&gt;0,BE329/BQ329,)</f>
        <v>0</v>
      </c>
      <c r="CD329" s="607">
        <f t="shared" ref="CD329:CD392" si="447">IF(BR329&gt;0,BF329/BR329,)</f>
        <v>0</v>
      </c>
      <c r="CE329" s="608">
        <f t="shared" ref="CE329:CE392" si="448">IF(BS329&gt;0,BG329/BS329,)</f>
        <v>0</v>
      </c>
      <c r="CF329" s="607">
        <f t="shared" ref="CF329:CF392" si="449">IF(BT329&gt;0,BH329/BT329,)</f>
        <v>0</v>
      </c>
      <c r="CG329" s="608">
        <f t="shared" ref="CG329:CG392" si="450">IF(BU329&gt;0,BI329/BU329,)</f>
        <v>0</v>
      </c>
      <c r="CH329" s="607">
        <f t="shared" ref="CH329:CH392" si="451">IF(BV329&gt;0,BJ329/BV329,)</f>
        <v>0</v>
      </c>
      <c r="CI329" s="608">
        <f t="shared" ref="CI329:CI392" si="452">IF(BW329&gt;0,BK329/BW329,)</f>
        <v>5559.549382716049</v>
      </c>
      <c r="CJ329" s="607">
        <f t="shared" ref="CJ329:CJ392" si="453">IF(BX329&gt;0,BL329/BX329,)</f>
        <v>5557.95</v>
      </c>
      <c r="CK329" s="608">
        <f t="shared" ref="CK329:CK392" si="454">IF(BY329&gt;0,BM329/BY329,)</f>
        <v>0</v>
      </c>
      <c r="CL329" s="609">
        <f t="shared" ref="CL329:CL392" si="455">+BZ329*9</f>
        <v>0</v>
      </c>
      <c r="CM329" s="608">
        <f t="shared" ref="CM329:CM392" si="456">+CA329*9</f>
        <v>0</v>
      </c>
      <c r="CN329" s="610">
        <f t="shared" ref="CN329:CN392" si="457">+CB329*9</f>
        <v>0</v>
      </c>
      <c r="CO329" s="606">
        <f t="shared" ref="CO329:CO392" si="458">+CC329*9</f>
        <v>0</v>
      </c>
      <c r="CP329" s="607">
        <f t="shared" ref="CP329:CP392" si="459">+CD329*9</f>
        <v>0</v>
      </c>
      <c r="CQ329" s="606">
        <f t="shared" ref="CQ329:CQ392" si="460">+CE329*9</f>
        <v>0</v>
      </c>
      <c r="CR329" s="607">
        <f t="shared" ref="CR329:CR392" si="461">+CF329*9</f>
        <v>0</v>
      </c>
      <c r="CS329" s="606">
        <f t="shared" ref="CS329:CS392" si="462">+CG329*9</f>
        <v>0</v>
      </c>
      <c r="CT329" s="607">
        <f t="shared" ref="CT329:CT392" si="463">+CH329*9</f>
        <v>0</v>
      </c>
      <c r="CU329" s="608">
        <f t="shared" ref="CU329:CU392" si="464">+CI329*9</f>
        <v>50035.944444444438</v>
      </c>
      <c r="CV329" s="610">
        <f t="shared" ref="CV329:CV392" si="465">+CJ329*9</f>
        <v>50021.549999999996</v>
      </c>
      <c r="CW329" s="608">
        <f t="shared" ref="CW329:CW392" si="466">+CK329*9</f>
        <v>0</v>
      </c>
      <c r="CX329" s="610">
        <f t="shared" ref="CX329:CX392" si="467">IF(DL329&gt;0,((CL329*CZ329)+(CN329*DB329)+(CP329*DD329)+(CR329*DF329)+(CT329*DH329)+(CV329*DJ329))/DL329,)</f>
        <v>50021.549999999996</v>
      </c>
      <c r="CY329" s="611">
        <f t="shared" ref="CY329:CY392" si="468">IF(DM329&gt;0,((CM329*DA329)+(CO329*DC329)+(CQ329*DE329)+(CS329*DG329)+(CU329*DI329)+(CW329*DK329))/DM329,)</f>
        <v>50035.944444444438</v>
      </c>
      <c r="CZ329" s="605">
        <f t="shared" ref="CZ329:CZ392" si="469">+F329+H329+J329+L329</f>
        <v>0</v>
      </c>
      <c r="DA329" s="612">
        <f t="shared" ref="DA329:DA392" si="470">+G329+I329+K329+M329</f>
        <v>0</v>
      </c>
      <c r="DB329" s="607">
        <f t="shared" ref="DB329:DB392" si="471">+N329+P329+R329+T329</f>
        <v>0</v>
      </c>
      <c r="DC329" s="606">
        <f t="shared" ref="DC329:DC392" si="472">+O329+Q329+S329+U329</f>
        <v>0</v>
      </c>
      <c r="DD329" s="607">
        <f t="shared" ref="DD329:DD392" si="473">+V329+X329+Z329+AB329</f>
        <v>0</v>
      </c>
      <c r="DE329" s="606">
        <f t="shared" ref="DE329:DE392" si="474">+W329+Y329+AA329+AC329</f>
        <v>0</v>
      </c>
      <c r="DF329" s="607">
        <f t="shared" ref="DF329:DF392" si="475">+AD329+AF329+AH329+AJ329</f>
        <v>0</v>
      </c>
      <c r="DG329" s="606">
        <f t="shared" ref="DG329:DG392" si="476">+AE329+AG329+AI329+AK329</f>
        <v>0</v>
      </c>
      <c r="DH329" s="607">
        <f t="shared" ref="DH329:DH392" si="477">+AL329+AN329+AP329+AR329</f>
        <v>0</v>
      </c>
      <c r="DI329" s="608">
        <f t="shared" ref="DI329:DI392" si="478">+AM329+AO329+AQ329+AS329</f>
        <v>93</v>
      </c>
      <c r="DJ329" s="607">
        <f t="shared" ref="DJ329:DJ392" si="479">+AT329+AV329+AX329+AZ329</f>
        <v>74</v>
      </c>
      <c r="DK329" s="608">
        <f t="shared" ref="DK329:DK392" si="480">+AU329+AW329+AY329+BA329</f>
        <v>0</v>
      </c>
      <c r="DL329" s="607">
        <f t="shared" ref="DL329:DL392" si="481">+CZ329+DB329+DD329+DF329+DH329+DJ329</f>
        <v>74</v>
      </c>
      <c r="DM329" s="608">
        <f t="shared" ref="DM329:DM392" si="482">+DA329+DC329+DE329+DG329+DI329+DK329</f>
        <v>93</v>
      </c>
      <c r="DN329" s="607">
        <f t="shared" ref="DN329:DN392" si="483">+CZ329*CL329</f>
        <v>0</v>
      </c>
      <c r="DO329" s="612">
        <f t="shared" ref="DO329:DO392" si="484">+DA329*CM329</f>
        <v>0</v>
      </c>
      <c r="DP329" s="607">
        <f t="shared" ref="DP329:DP392" si="485">+DB329*CN329</f>
        <v>0</v>
      </c>
      <c r="DQ329" s="606">
        <f t="shared" ref="DQ329:DQ392" si="486">+DC329*CO329</f>
        <v>0</v>
      </c>
      <c r="DR329" s="607">
        <f t="shared" ref="DR329:DR392" si="487">+DD329*CP329</f>
        <v>0</v>
      </c>
      <c r="DS329" s="606">
        <f t="shared" ref="DS329:DS392" si="488">+DE329*CQ329</f>
        <v>0</v>
      </c>
      <c r="DT329" s="607">
        <f t="shared" ref="DT329:DT392" si="489">+DF329*CR329</f>
        <v>0</v>
      </c>
      <c r="DU329" s="606">
        <f t="shared" ref="DU329:DU392" si="490">+DG329*CS329</f>
        <v>0</v>
      </c>
      <c r="DV329" s="607">
        <f t="shared" ref="DV329:DV392" si="491">+DH329*CT329</f>
        <v>0</v>
      </c>
      <c r="DW329" s="608">
        <f t="shared" ref="DW329:DW392" si="492">+DI329*CU329</f>
        <v>4653342.833333333</v>
      </c>
      <c r="DX329" s="607">
        <f t="shared" ref="DX329:DX392" si="493">+DJ329*CV329</f>
        <v>3701594.6999999997</v>
      </c>
      <c r="DY329" s="608">
        <f t="shared" ref="DY329:DY392" si="494">+DK329*CW329</f>
        <v>0</v>
      </c>
      <c r="DZ329" s="607">
        <f t="shared" ref="DZ329:DZ392" si="495">+DL329*CX329</f>
        <v>3701594.6999999997</v>
      </c>
      <c r="EA329" s="608">
        <f t="shared" ref="EA329:EA392" si="496">+DM329*CY329</f>
        <v>4653342.833333333</v>
      </c>
    </row>
    <row r="330" spans="1:131" x14ac:dyDescent="0.2">
      <c r="A330" s="393" t="s">
        <v>40</v>
      </c>
      <c r="B330" s="391" t="s">
        <v>648</v>
      </c>
      <c r="C330" s="569"/>
      <c r="D330" s="398">
        <v>199634</v>
      </c>
      <c r="E330" s="399">
        <v>9</v>
      </c>
      <c r="F330" s="598"/>
      <c r="G330" s="599"/>
      <c r="H330" s="600"/>
      <c r="I330" s="601"/>
      <c r="J330" s="600"/>
      <c r="K330" s="599"/>
      <c r="L330" s="600"/>
      <c r="M330" s="601"/>
      <c r="N330" s="600"/>
      <c r="O330" s="599"/>
      <c r="P330" s="600"/>
      <c r="Q330" s="601"/>
      <c r="R330" s="600"/>
      <c r="S330" s="599"/>
      <c r="T330" s="600"/>
      <c r="U330" s="601"/>
      <c r="V330" s="600"/>
      <c r="W330" s="599"/>
      <c r="X330" s="600"/>
      <c r="Y330" s="601"/>
      <c r="Z330" s="600"/>
      <c r="AA330" s="599"/>
      <c r="AB330" s="600"/>
      <c r="AC330" s="601"/>
      <c r="AD330" s="600"/>
      <c r="AE330" s="599"/>
      <c r="AF330" s="600"/>
      <c r="AG330" s="601"/>
      <c r="AH330" s="600"/>
      <c r="AI330" s="599"/>
      <c r="AJ330" s="600"/>
      <c r="AK330" s="601"/>
      <c r="AL330" s="600"/>
      <c r="AM330" s="599">
        <v>134</v>
      </c>
      <c r="AN330" s="600"/>
      <c r="AO330" s="601"/>
      <c r="AP330" s="600"/>
      <c r="AQ330" s="599"/>
      <c r="AR330" s="600"/>
      <c r="AS330" s="601"/>
      <c r="AT330" s="600">
        <v>116</v>
      </c>
      <c r="AU330" s="599"/>
      <c r="AV330" s="600"/>
      <c r="AW330" s="601"/>
      <c r="AX330" s="600"/>
      <c r="AY330" s="599"/>
      <c r="AZ330" s="600"/>
      <c r="BA330" s="601"/>
      <c r="BB330" s="602">
        <v>0</v>
      </c>
      <c r="BC330" s="599"/>
      <c r="BD330" s="600">
        <v>0</v>
      </c>
      <c r="BE330" s="599"/>
      <c r="BF330" s="600">
        <v>0</v>
      </c>
      <c r="BG330" s="599"/>
      <c r="BH330" s="600">
        <v>0</v>
      </c>
      <c r="BI330" s="599"/>
      <c r="BJ330" s="600">
        <v>0</v>
      </c>
      <c r="BK330" s="615">
        <v>6516340</v>
      </c>
      <c r="BL330" s="600">
        <v>5737771.7999999998</v>
      </c>
      <c r="BM330" s="604"/>
      <c r="BN330" s="605">
        <f t="shared" si="431"/>
        <v>0</v>
      </c>
      <c r="BO330" s="606">
        <f t="shared" si="432"/>
        <v>0</v>
      </c>
      <c r="BP330" s="607">
        <f t="shared" si="433"/>
        <v>0</v>
      </c>
      <c r="BQ330" s="606">
        <f t="shared" si="434"/>
        <v>0</v>
      </c>
      <c r="BR330" s="607">
        <f t="shared" si="435"/>
        <v>0</v>
      </c>
      <c r="BS330" s="606">
        <f t="shared" si="436"/>
        <v>0</v>
      </c>
      <c r="BT330" s="607">
        <f t="shared" si="437"/>
        <v>0</v>
      </c>
      <c r="BU330" s="606">
        <f t="shared" si="438"/>
        <v>0</v>
      </c>
      <c r="BV330" s="607">
        <f t="shared" si="439"/>
        <v>0</v>
      </c>
      <c r="BW330" s="608">
        <f t="shared" si="440"/>
        <v>1206</v>
      </c>
      <c r="BX330" s="607">
        <f t="shared" si="441"/>
        <v>1044</v>
      </c>
      <c r="BY330" s="608">
        <f t="shared" si="442"/>
        <v>0</v>
      </c>
      <c r="BZ330" s="607">
        <f t="shared" si="443"/>
        <v>0</v>
      </c>
      <c r="CA330" s="608">
        <f t="shared" si="444"/>
        <v>0</v>
      </c>
      <c r="CB330" s="607">
        <f t="shared" si="445"/>
        <v>0</v>
      </c>
      <c r="CC330" s="608">
        <f t="shared" si="446"/>
        <v>0</v>
      </c>
      <c r="CD330" s="607">
        <f t="shared" si="447"/>
        <v>0</v>
      </c>
      <c r="CE330" s="608">
        <f t="shared" si="448"/>
        <v>0</v>
      </c>
      <c r="CF330" s="607">
        <f t="shared" si="449"/>
        <v>0</v>
      </c>
      <c r="CG330" s="608">
        <f t="shared" si="450"/>
        <v>0</v>
      </c>
      <c r="CH330" s="607">
        <f t="shared" si="451"/>
        <v>0</v>
      </c>
      <c r="CI330" s="608">
        <f t="shared" si="452"/>
        <v>5403.2669983416254</v>
      </c>
      <c r="CJ330" s="607">
        <f t="shared" si="453"/>
        <v>5495.95</v>
      </c>
      <c r="CK330" s="608">
        <f t="shared" si="454"/>
        <v>0</v>
      </c>
      <c r="CL330" s="609">
        <f t="shared" si="455"/>
        <v>0</v>
      </c>
      <c r="CM330" s="608">
        <f t="shared" si="456"/>
        <v>0</v>
      </c>
      <c r="CN330" s="610">
        <f t="shared" si="457"/>
        <v>0</v>
      </c>
      <c r="CO330" s="606">
        <f t="shared" si="458"/>
        <v>0</v>
      </c>
      <c r="CP330" s="607">
        <f t="shared" si="459"/>
        <v>0</v>
      </c>
      <c r="CQ330" s="606">
        <f t="shared" si="460"/>
        <v>0</v>
      </c>
      <c r="CR330" s="607">
        <f t="shared" si="461"/>
        <v>0</v>
      </c>
      <c r="CS330" s="606">
        <f t="shared" si="462"/>
        <v>0</v>
      </c>
      <c r="CT330" s="607">
        <f t="shared" si="463"/>
        <v>0</v>
      </c>
      <c r="CU330" s="608">
        <f t="shared" si="464"/>
        <v>48629.40298507463</v>
      </c>
      <c r="CV330" s="610">
        <f t="shared" si="465"/>
        <v>49463.549999999996</v>
      </c>
      <c r="CW330" s="608">
        <f t="shared" si="466"/>
        <v>0</v>
      </c>
      <c r="CX330" s="610">
        <f t="shared" si="467"/>
        <v>49463.549999999996</v>
      </c>
      <c r="CY330" s="611">
        <f t="shared" si="468"/>
        <v>48629.40298507463</v>
      </c>
      <c r="CZ330" s="605">
        <f t="shared" si="469"/>
        <v>0</v>
      </c>
      <c r="DA330" s="612">
        <f t="shared" si="470"/>
        <v>0</v>
      </c>
      <c r="DB330" s="607">
        <f t="shared" si="471"/>
        <v>0</v>
      </c>
      <c r="DC330" s="606">
        <f t="shared" si="472"/>
        <v>0</v>
      </c>
      <c r="DD330" s="607">
        <f t="shared" si="473"/>
        <v>0</v>
      </c>
      <c r="DE330" s="606">
        <f t="shared" si="474"/>
        <v>0</v>
      </c>
      <c r="DF330" s="607">
        <f t="shared" si="475"/>
        <v>0</v>
      </c>
      <c r="DG330" s="606">
        <f t="shared" si="476"/>
        <v>0</v>
      </c>
      <c r="DH330" s="607">
        <f t="shared" si="477"/>
        <v>0</v>
      </c>
      <c r="DI330" s="608">
        <f t="shared" si="478"/>
        <v>134</v>
      </c>
      <c r="DJ330" s="607">
        <f t="shared" si="479"/>
        <v>116</v>
      </c>
      <c r="DK330" s="608">
        <f t="shared" si="480"/>
        <v>0</v>
      </c>
      <c r="DL330" s="607">
        <f t="shared" si="481"/>
        <v>116</v>
      </c>
      <c r="DM330" s="608">
        <f t="shared" si="482"/>
        <v>134</v>
      </c>
      <c r="DN330" s="607">
        <f t="shared" si="483"/>
        <v>0</v>
      </c>
      <c r="DO330" s="612">
        <f t="shared" si="484"/>
        <v>0</v>
      </c>
      <c r="DP330" s="607">
        <f t="shared" si="485"/>
        <v>0</v>
      </c>
      <c r="DQ330" s="606">
        <f t="shared" si="486"/>
        <v>0</v>
      </c>
      <c r="DR330" s="607">
        <f t="shared" si="487"/>
        <v>0</v>
      </c>
      <c r="DS330" s="606">
        <f t="shared" si="488"/>
        <v>0</v>
      </c>
      <c r="DT330" s="607">
        <f t="shared" si="489"/>
        <v>0</v>
      </c>
      <c r="DU330" s="606">
        <f t="shared" si="490"/>
        <v>0</v>
      </c>
      <c r="DV330" s="607">
        <f t="shared" si="491"/>
        <v>0</v>
      </c>
      <c r="DW330" s="608">
        <f t="shared" si="492"/>
        <v>6516340</v>
      </c>
      <c r="DX330" s="607">
        <f t="shared" si="493"/>
        <v>5737771.7999999998</v>
      </c>
      <c r="DY330" s="608">
        <f t="shared" si="494"/>
        <v>0</v>
      </c>
      <c r="DZ330" s="607">
        <f t="shared" si="495"/>
        <v>5737771.7999999998</v>
      </c>
      <c r="EA330" s="608">
        <f t="shared" si="496"/>
        <v>6516340</v>
      </c>
    </row>
    <row r="331" spans="1:131" x14ac:dyDescent="0.2">
      <c r="A331" s="393" t="s">
        <v>40</v>
      </c>
      <c r="B331" s="391" t="s">
        <v>649</v>
      </c>
      <c r="C331" s="569"/>
      <c r="D331" s="398">
        <v>199740</v>
      </c>
      <c r="E331" s="399">
        <v>9</v>
      </c>
      <c r="F331" s="598"/>
      <c r="G331" s="599"/>
      <c r="H331" s="600"/>
      <c r="I331" s="601"/>
      <c r="J331" s="600"/>
      <c r="K331" s="599"/>
      <c r="L331" s="600"/>
      <c r="M331" s="601"/>
      <c r="N331" s="600"/>
      <c r="O331" s="599"/>
      <c r="P331" s="600"/>
      <c r="Q331" s="601"/>
      <c r="R331" s="600"/>
      <c r="S331" s="599"/>
      <c r="T331" s="600"/>
      <c r="U331" s="601"/>
      <c r="V331" s="600"/>
      <c r="W331" s="599"/>
      <c r="X331" s="600"/>
      <c r="Y331" s="601"/>
      <c r="Z331" s="600"/>
      <c r="AA331" s="599"/>
      <c r="AB331" s="600"/>
      <c r="AC331" s="601"/>
      <c r="AD331" s="600"/>
      <c r="AE331" s="599"/>
      <c r="AF331" s="600"/>
      <c r="AG331" s="601"/>
      <c r="AH331" s="600"/>
      <c r="AI331" s="599"/>
      <c r="AJ331" s="600"/>
      <c r="AK331" s="601"/>
      <c r="AL331" s="600"/>
      <c r="AM331" s="599">
        <v>94</v>
      </c>
      <c r="AN331" s="600"/>
      <c r="AO331" s="601"/>
      <c r="AP331" s="600"/>
      <c r="AQ331" s="599"/>
      <c r="AR331" s="600"/>
      <c r="AS331" s="601"/>
      <c r="AT331" s="600">
        <v>81</v>
      </c>
      <c r="AU331" s="599"/>
      <c r="AV331" s="600"/>
      <c r="AW331" s="601"/>
      <c r="AX331" s="600"/>
      <c r="AY331" s="599"/>
      <c r="AZ331" s="600"/>
      <c r="BA331" s="601"/>
      <c r="BB331" s="602">
        <v>0</v>
      </c>
      <c r="BC331" s="599"/>
      <c r="BD331" s="600">
        <v>0</v>
      </c>
      <c r="BE331" s="599"/>
      <c r="BF331" s="600">
        <v>0</v>
      </c>
      <c r="BG331" s="599"/>
      <c r="BH331" s="600">
        <v>0</v>
      </c>
      <c r="BI331" s="599"/>
      <c r="BJ331" s="600">
        <v>0</v>
      </c>
      <c r="BK331" s="615">
        <v>3832083</v>
      </c>
      <c r="BL331" s="600">
        <v>3616714.8</v>
      </c>
      <c r="BM331" s="604"/>
      <c r="BN331" s="605">
        <f t="shared" si="431"/>
        <v>0</v>
      </c>
      <c r="BO331" s="606">
        <f t="shared" si="432"/>
        <v>0</v>
      </c>
      <c r="BP331" s="607">
        <f t="shared" si="433"/>
        <v>0</v>
      </c>
      <c r="BQ331" s="606">
        <f t="shared" si="434"/>
        <v>0</v>
      </c>
      <c r="BR331" s="607">
        <f t="shared" si="435"/>
        <v>0</v>
      </c>
      <c r="BS331" s="606">
        <f t="shared" si="436"/>
        <v>0</v>
      </c>
      <c r="BT331" s="607">
        <f t="shared" si="437"/>
        <v>0</v>
      </c>
      <c r="BU331" s="606">
        <f t="shared" si="438"/>
        <v>0</v>
      </c>
      <c r="BV331" s="607">
        <f t="shared" si="439"/>
        <v>0</v>
      </c>
      <c r="BW331" s="608">
        <f t="shared" si="440"/>
        <v>846</v>
      </c>
      <c r="BX331" s="607">
        <f t="shared" si="441"/>
        <v>729</v>
      </c>
      <c r="BY331" s="608">
        <f t="shared" si="442"/>
        <v>0</v>
      </c>
      <c r="BZ331" s="607">
        <f t="shared" si="443"/>
        <v>0</v>
      </c>
      <c r="CA331" s="608">
        <f t="shared" si="444"/>
        <v>0</v>
      </c>
      <c r="CB331" s="607">
        <f t="shared" si="445"/>
        <v>0</v>
      </c>
      <c r="CC331" s="608">
        <f t="shared" si="446"/>
        <v>0</v>
      </c>
      <c r="CD331" s="607">
        <f t="shared" si="447"/>
        <v>0</v>
      </c>
      <c r="CE331" s="608">
        <f t="shared" si="448"/>
        <v>0</v>
      </c>
      <c r="CF331" s="607">
        <f t="shared" si="449"/>
        <v>0</v>
      </c>
      <c r="CG331" s="608">
        <f t="shared" si="450"/>
        <v>0</v>
      </c>
      <c r="CH331" s="607">
        <f t="shared" si="451"/>
        <v>0</v>
      </c>
      <c r="CI331" s="608">
        <f t="shared" si="452"/>
        <v>4529.6489361702124</v>
      </c>
      <c r="CJ331" s="607">
        <f t="shared" si="453"/>
        <v>4961.2</v>
      </c>
      <c r="CK331" s="608">
        <f t="shared" si="454"/>
        <v>0</v>
      </c>
      <c r="CL331" s="609">
        <f t="shared" si="455"/>
        <v>0</v>
      </c>
      <c r="CM331" s="608">
        <f t="shared" si="456"/>
        <v>0</v>
      </c>
      <c r="CN331" s="610">
        <f t="shared" si="457"/>
        <v>0</v>
      </c>
      <c r="CO331" s="606">
        <f t="shared" si="458"/>
        <v>0</v>
      </c>
      <c r="CP331" s="607">
        <f t="shared" si="459"/>
        <v>0</v>
      </c>
      <c r="CQ331" s="606">
        <f t="shared" si="460"/>
        <v>0</v>
      </c>
      <c r="CR331" s="607">
        <f t="shared" si="461"/>
        <v>0</v>
      </c>
      <c r="CS331" s="606">
        <f t="shared" si="462"/>
        <v>0</v>
      </c>
      <c r="CT331" s="607">
        <f t="shared" si="463"/>
        <v>0</v>
      </c>
      <c r="CU331" s="608">
        <f t="shared" si="464"/>
        <v>40766.840425531911</v>
      </c>
      <c r="CV331" s="610">
        <f t="shared" si="465"/>
        <v>44650.799999999996</v>
      </c>
      <c r="CW331" s="608">
        <f t="shared" si="466"/>
        <v>0</v>
      </c>
      <c r="CX331" s="610">
        <f t="shared" si="467"/>
        <v>44650.799999999996</v>
      </c>
      <c r="CY331" s="611">
        <f t="shared" si="468"/>
        <v>40766.840425531911</v>
      </c>
      <c r="CZ331" s="605">
        <f t="shared" si="469"/>
        <v>0</v>
      </c>
      <c r="DA331" s="612">
        <f t="shared" si="470"/>
        <v>0</v>
      </c>
      <c r="DB331" s="607">
        <f t="shared" si="471"/>
        <v>0</v>
      </c>
      <c r="DC331" s="606">
        <f t="shared" si="472"/>
        <v>0</v>
      </c>
      <c r="DD331" s="607">
        <f t="shared" si="473"/>
        <v>0</v>
      </c>
      <c r="DE331" s="606">
        <f t="shared" si="474"/>
        <v>0</v>
      </c>
      <c r="DF331" s="607">
        <f t="shared" si="475"/>
        <v>0</v>
      </c>
      <c r="DG331" s="606">
        <f t="shared" si="476"/>
        <v>0</v>
      </c>
      <c r="DH331" s="607">
        <f t="shared" si="477"/>
        <v>0</v>
      </c>
      <c r="DI331" s="608">
        <f t="shared" si="478"/>
        <v>94</v>
      </c>
      <c r="DJ331" s="607">
        <f t="shared" si="479"/>
        <v>81</v>
      </c>
      <c r="DK331" s="608">
        <f t="shared" si="480"/>
        <v>0</v>
      </c>
      <c r="DL331" s="607">
        <f t="shared" si="481"/>
        <v>81</v>
      </c>
      <c r="DM331" s="608">
        <f t="shared" si="482"/>
        <v>94</v>
      </c>
      <c r="DN331" s="607">
        <f t="shared" si="483"/>
        <v>0</v>
      </c>
      <c r="DO331" s="612">
        <f t="shared" si="484"/>
        <v>0</v>
      </c>
      <c r="DP331" s="607">
        <f t="shared" si="485"/>
        <v>0</v>
      </c>
      <c r="DQ331" s="606">
        <f t="shared" si="486"/>
        <v>0</v>
      </c>
      <c r="DR331" s="607">
        <f t="shared" si="487"/>
        <v>0</v>
      </c>
      <c r="DS331" s="606">
        <f t="shared" si="488"/>
        <v>0</v>
      </c>
      <c r="DT331" s="607">
        <f t="shared" si="489"/>
        <v>0</v>
      </c>
      <c r="DU331" s="606">
        <f t="shared" si="490"/>
        <v>0</v>
      </c>
      <c r="DV331" s="607">
        <f t="shared" si="491"/>
        <v>0</v>
      </c>
      <c r="DW331" s="608">
        <f t="shared" si="492"/>
        <v>3832082.9999999995</v>
      </c>
      <c r="DX331" s="607">
        <f t="shared" si="493"/>
        <v>3616714.8</v>
      </c>
      <c r="DY331" s="608">
        <f t="shared" si="494"/>
        <v>0</v>
      </c>
      <c r="DZ331" s="607">
        <f t="shared" si="495"/>
        <v>3616714.8</v>
      </c>
      <c r="EA331" s="608">
        <f t="shared" si="496"/>
        <v>3832082.9999999995</v>
      </c>
    </row>
    <row r="332" spans="1:131" x14ac:dyDescent="0.2">
      <c r="A332" s="393" t="s">
        <v>40</v>
      </c>
      <c r="B332" s="391" t="s">
        <v>650</v>
      </c>
      <c r="C332" s="569"/>
      <c r="D332" s="398">
        <v>199768</v>
      </c>
      <c r="E332" s="399">
        <v>9</v>
      </c>
      <c r="F332" s="598"/>
      <c r="G332" s="599"/>
      <c r="H332" s="600"/>
      <c r="I332" s="601"/>
      <c r="J332" s="600"/>
      <c r="K332" s="599"/>
      <c r="L332" s="600"/>
      <c r="M332" s="601"/>
      <c r="N332" s="600"/>
      <c r="O332" s="599"/>
      <c r="P332" s="600"/>
      <c r="Q332" s="601"/>
      <c r="R332" s="600"/>
      <c r="S332" s="599"/>
      <c r="T332" s="600"/>
      <c r="U332" s="601"/>
      <c r="V332" s="600"/>
      <c r="W332" s="599"/>
      <c r="X332" s="600"/>
      <c r="Y332" s="601"/>
      <c r="Z332" s="600"/>
      <c r="AA332" s="599"/>
      <c r="AB332" s="600"/>
      <c r="AC332" s="601"/>
      <c r="AD332" s="600"/>
      <c r="AE332" s="599"/>
      <c r="AF332" s="600"/>
      <c r="AG332" s="601"/>
      <c r="AH332" s="600"/>
      <c r="AI332" s="599"/>
      <c r="AJ332" s="600"/>
      <c r="AK332" s="601"/>
      <c r="AL332" s="600"/>
      <c r="AM332" s="599">
        <v>90</v>
      </c>
      <c r="AN332" s="600"/>
      <c r="AO332" s="601"/>
      <c r="AP332" s="600"/>
      <c r="AQ332" s="599"/>
      <c r="AR332" s="600"/>
      <c r="AS332" s="601">
        <v>13</v>
      </c>
      <c r="AT332" s="600">
        <v>92</v>
      </c>
      <c r="AU332" s="599"/>
      <c r="AV332" s="600"/>
      <c r="AW332" s="601"/>
      <c r="AX332" s="600"/>
      <c r="AY332" s="599"/>
      <c r="AZ332" s="600"/>
      <c r="BA332" s="601"/>
      <c r="BB332" s="602">
        <v>0</v>
      </c>
      <c r="BC332" s="599"/>
      <c r="BD332" s="600">
        <v>0</v>
      </c>
      <c r="BE332" s="599"/>
      <c r="BF332" s="600">
        <v>0</v>
      </c>
      <c r="BG332" s="599"/>
      <c r="BH332" s="600">
        <v>0</v>
      </c>
      <c r="BI332" s="599"/>
      <c r="BJ332" s="600">
        <v>0</v>
      </c>
      <c r="BK332" s="615">
        <v>4989403</v>
      </c>
      <c r="BL332" s="600">
        <v>4274831.5199999996</v>
      </c>
      <c r="BM332" s="604"/>
      <c r="BN332" s="605">
        <f t="shared" si="431"/>
        <v>0</v>
      </c>
      <c r="BO332" s="606">
        <f t="shared" si="432"/>
        <v>0</v>
      </c>
      <c r="BP332" s="607">
        <f t="shared" si="433"/>
        <v>0</v>
      </c>
      <c r="BQ332" s="606">
        <f t="shared" si="434"/>
        <v>0</v>
      </c>
      <c r="BR332" s="607">
        <f t="shared" si="435"/>
        <v>0</v>
      </c>
      <c r="BS332" s="606">
        <f t="shared" si="436"/>
        <v>0</v>
      </c>
      <c r="BT332" s="607">
        <f t="shared" si="437"/>
        <v>0</v>
      </c>
      <c r="BU332" s="606">
        <f t="shared" si="438"/>
        <v>0</v>
      </c>
      <c r="BV332" s="607">
        <f t="shared" si="439"/>
        <v>0</v>
      </c>
      <c r="BW332" s="608">
        <f t="shared" si="440"/>
        <v>966</v>
      </c>
      <c r="BX332" s="607">
        <f t="shared" si="441"/>
        <v>828</v>
      </c>
      <c r="BY332" s="608">
        <f t="shared" si="442"/>
        <v>0</v>
      </c>
      <c r="BZ332" s="607">
        <f t="shared" si="443"/>
        <v>0</v>
      </c>
      <c r="CA332" s="608">
        <f t="shared" si="444"/>
        <v>0</v>
      </c>
      <c r="CB332" s="607">
        <f t="shared" si="445"/>
        <v>0</v>
      </c>
      <c r="CC332" s="608">
        <f t="shared" si="446"/>
        <v>0</v>
      </c>
      <c r="CD332" s="607">
        <f t="shared" si="447"/>
        <v>0</v>
      </c>
      <c r="CE332" s="608">
        <f t="shared" si="448"/>
        <v>0</v>
      </c>
      <c r="CF332" s="607">
        <f t="shared" si="449"/>
        <v>0</v>
      </c>
      <c r="CG332" s="608">
        <f t="shared" si="450"/>
        <v>0</v>
      </c>
      <c r="CH332" s="607">
        <f t="shared" si="451"/>
        <v>0</v>
      </c>
      <c r="CI332" s="608">
        <f t="shared" si="452"/>
        <v>5165.0134575569355</v>
      </c>
      <c r="CJ332" s="607">
        <f t="shared" si="453"/>
        <v>5162.8399999999992</v>
      </c>
      <c r="CK332" s="608">
        <f t="shared" si="454"/>
        <v>0</v>
      </c>
      <c r="CL332" s="609">
        <f t="shared" si="455"/>
        <v>0</v>
      </c>
      <c r="CM332" s="608">
        <f t="shared" si="456"/>
        <v>0</v>
      </c>
      <c r="CN332" s="610">
        <f t="shared" si="457"/>
        <v>0</v>
      </c>
      <c r="CO332" s="606">
        <f t="shared" si="458"/>
        <v>0</v>
      </c>
      <c r="CP332" s="607">
        <f t="shared" si="459"/>
        <v>0</v>
      </c>
      <c r="CQ332" s="606">
        <f t="shared" si="460"/>
        <v>0</v>
      </c>
      <c r="CR332" s="607">
        <f t="shared" si="461"/>
        <v>0</v>
      </c>
      <c r="CS332" s="606">
        <f t="shared" si="462"/>
        <v>0</v>
      </c>
      <c r="CT332" s="607">
        <f t="shared" si="463"/>
        <v>0</v>
      </c>
      <c r="CU332" s="608">
        <f t="shared" si="464"/>
        <v>46485.121118012423</v>
      </c>
      <c r="CV332" s="610">
        <f t="shared" si="465"/>
        <v>46465.55999999999</v>
      </c>
      <c r="CW332" s="608">
        <f t="shared" si="466"/>
        <v>0</v>
      </c>
      <c r="CX332" s="610">
        <f t="shared" si="467"/>
        <v>46465.56</v>
      </c>
      <c r="CY332" s="611">
        <f t="shared" si="468"/>
        <v>46485.12111801243</v>
      </c>
      <c r="CZ332" s="605">
        <f t="shared" si="469"/>
        <v>0</v>
      </c>
      <c r="DA332" s="612">
        <f t="shared" si="470"/>
        <v>0</v>
      </c>
      <c r="DB332" s="607">
        <f t="shared" si="471"/>
        <v>0</v>
      </c>
      <c r="DC332" s="606">
        <f t="shared" si="472"/>
        <v>0</v>
      </c>
      <c r="DD332" s="607">
        <f t="shared" si="473"/>
        <v>0</v>
      </c>
      <c r="DE332" s="606">
        <f t="shared" si="474"/>
        <v>0</v>
      </c>
      <c r="DF332" s="607">
        <f t="shared" si="475"/>
        <v>0</v>
      </c>
      <c r="DG332" s="606">
        <f t="shared" si="476"/>
        <v>0</v>
      </c>
      <c r="DH332" s="607">
        <f t="shared" si="477"/>
        <v>0</v>
      </c>
      <c r="DI332" s="608">
        <f t="shared" si="478"/>
        <v>103</v>
      </c>
      <c r="DJ332" s="607">
        <f t="shared" si="479"/>
        <v>92</v>
      </c>
      <c r="DK332" s="608">
        <f t="shared" si="480"/>
        <v>0</v>
      </c>
      <c r="DL332" s="607">
        <f t="shared" si="481"/>
        <v>92</v>
      </c>
      <c r="DM332" s="608">
        <f t="shared" si="482"/>
        <v>103</v>
      </c>
      <c r="DN332" s="607">
        <f t="shared" si="483"/>
        <v>0</v>
      </c>
      <c r="DO332" s="612">
        <f t="shared" si="484"/>
        <v>0</v>
      </c>
      <c r="DP332" s="607">
        <f t="shared" si="485"/>
        <v>0</v>
      </c>
      <c r="DQ332" s="606">
        <f t="shared" si="486"/>
        <v>0</v>
      </c>
      <c r="DR332" s="607">
        <f t="shared" si="487"/>
        <v>0</v>
      </c>
      <c r="DS332" s="606">
        <f t="shared" si="488"/>
        <v>0</v>
      </c>
      <c r="DT332" s="607">
        <f t="shared" si="489"/>
        <v>0</v>
      </c>
      <c r="DU332" s="606">
        <f t="shared" si="490"/>
        <v>0</v>
      </c>
      <c r="DV332" s="607">
        <f t="shared" si="491"/>
        <v>0</v>
      </c>
      <c r="DW332" s="608">
        <f t="shared" si="492"/>
        <v>4787967.47515528</v>
      </c>
      <c r="DX332" s="607">
        <f t="shared" si="493"/>
        <v>4274831.5199999996</v>
      </c>
      <c r="DY332" s="608">
        <f t="shared" si="494"/>
        <v>0</v>
      </c>
      <c r="DZ332" s="607">
        <f t="shared" si="495"/>
        <v>4274831.5199999996</v>
      </c>
      <c r="EA332" s="608">
        <f t="shared" si="496"/>
        <v>4787967.47515528</v>
      </c>
    </row>
    <row r="333" spans="1:131" x14ac:dyDescent="0.2">
      <c r="A333" s="393" t="s">
        <v>40</v>
      </c>
      <c r="B333" s="391" t="s">
        <v>651</v>
      </c>
      <c r="C333" s="569"/>
      <c r="D333" s="398">
        <v>199838</v>
      </c>
      <c r="E333" s="399">
        <v>9</v>
      </c>
      <c r="F333" s="598"/>
      <c r="G333" s="599"/>
      <c r="H333" s="600"/>
      <c r="I333" s="601"/>
      <c r="J333" s="600"/>
      <c r="K333" s="599"/>
      <c r="L333" s="600"/>
      <c r="M333" s="601"/>
      <c r="N333" s="600"/>
      <c r="O333" s="599"/>
      <c r="P333" s="600"/>
      <c r="Q333" s="601"/>
      <c r="R333" s="600"/>
      <c r="S333" s="599"/>
      <c r="T333" s="600"/>
      <c r="U333" s="601"/>
      <c r="V333" s="600"/>
      <c r="W333" s="599"/>
      <c r="X333" s="600"/>
      <c r="Y333" s="601"/>
      <c r="Z333" s="600"/>
      <c r="AA333" s="599"/>
      <c r="AB333" s="600"/>
      <c r="AC333" s="601"/>
      <c r="AD333" s="600"/>
      <c r="AE333" s="599"/>
      <c r="AF333" s="600"/>
      <c r="AG333" s="601"/>
      <c r="AH333" s="600"/>
      <c r="AI333" s="599"/>
      <c r="AJ333" s="600"/>
      <c r="AK333" s="601"/>
      <c r="AL333" s="600"/>
      <c r="AM333" s="599">
        <v>62</v>
      </c>
      <c r="AN333" s="600"/>
      <c r="AO333" s="601">
        <v>6</v>
      </c>
      <c r="AP333" s="600"/>
      <c r="AQ333" s="599">
        <v>7</v>
      </c>
      <c r="AR333" s="600"/>
      <c r="AS333" s="601">
        <v>44</v>
      </c>
      <c r="AT333" s="600">
        <v>114</v>
      </c>
      <c r="AU333" s="599"/>
      <c r="AV333" s="600"/>
      <c r="AW333" s="601"/>
      <c r="AX333" s="600"/>
      <c r="AY333" s="599"/>
      <c r="AZ333" s="600"/>
      <c r="BA333" s="601"/>
      <c r="BB333" s="602">
        <v>0</v>
      </c>
      <c r="BC333" s="599"/>
      <c r="BD333" s="600">
        <v>0</v>
      </c>
      <c r="BE333" s="599"/>
      <c r="BF333" s="600">
        <v>0</v>
      </c>
      <c r="BG333" s="599"/>
      <c r="BH333" s="600">
        <v>0</v>
      </c>
      <c r="BI333" s="599"/>
      <c r="BJ333" s="600">
        <v>0</v>
      </c>
      <c r="BK333" s="615">
        <v>6005718</v>
      </c>
      <c r="BL333" s="600">
        <v>5102062.0200000005</v>
      </c>
      <c r="BM333" s="604"/>
      <c r="BN333" s="605">
        <f t="shared" si="431"/>
        <v>0</v>
      </c>
      <c r="BO333" s="606">
        <f t="shared" si="432"/>
        <v>0</v>
      </c>
      <c r="BP333" s="607">
        <f t="shared" si="433"/>
        <v>0</v>
      </c>
      <c r="BQ333" s="606">
        <f t="shared" si="434"/>
        <v>0</v>
      </c>
      <c r="BR333" s="607">
        <f t="shared" si="435"/>
        <v>0</v>
      </c>
      <c r="BS333" s="606">
        <f t="shared" si="436"/>
        <v>0</v>
      </c>
      <c r="BT333" s="607">
        <f t="shared" si="437"/>
        <v>0</v>
      </c>
      <c r="BU333" s="606">
        <f t="shared" si="438"/>
        <v>0</v>
      </c>
      <c r="BV333" s="607">
        <f t="shared" si="439"/>
        <v>0</v>
      </c>
      <c r="BW333" s="608">
        <f t="shared" si="440"/>
        <v>1223</v>
      </c>
      <c r="BX333" s="607">
        <f t="shared" si="441"/>
        <v>1026</v>
      </c>
      <c r="BY333" s="608">
        <f t="shared" si="442"/>
        <v>0</v>
      </c>
      <c r="BZ333" s="607">
        <f t="shared" si="443"/>
        <v>0</v>
      </c>
      <c r="CA333" s="608">
        <f t="shared" si="444"/>
        <v>0</v>
      </c>
      <c r="CB333" s="607">
        <f t="shared" si="445"/>
        <v>0</v>
      </c>
      <c r="CC333" s="608">
        <f t="shared" si="446"/>
        <v>0</v>
      </c>
      <c r="CD333" s="607">
        <f t="shared" si="447"/>
        <v>0</v>
      </c>
      <c r="CE333" s="608">
        <f t="shared" si="448"/>
        <v>0</v>
      </c>
      <c r="CF333" s="607">
        <f t="shared" si="449"/>
        <v>0</v>
      </c>
      <c r="CG333" s="608">
        <f t="shared" si="450"/>
        <v>0</v>
      </c>
      <c r="CH333" s="607">
        <f t="shared" si="451"/>
        <v>0</v>
      </c>
      <c r="CI333" s="608">
        <f t="shared" si="452"/>
        <v>4910.6443172526569</v>
      </c>
      <c r="CJ333" s="607">
        <f t="shared" si="453"/>
        <v>4972.7700000000004</v>
      </c>
      <c r="CK333" s="608">
        <f t="shared" si="454"/>
        <v>0</v>
      </c>
      <c r="CL333" s="609">
        <f t="shared" si="455"/>
        <v>0</v>
      </c>
      <c r="CM333" s="608">
        <f t="shared" si="456"/>
        <v>0</v>
      </c>
      <c r="CN333" s="610">
        <f t="shared" si="457"/>
        <v>0</v>
      </c>
      <c r="CO333" s="606">
        <f t="shared" si="458"/>
        <v>0</v>
      </c>
      <c r="CP333" s="607">
        <f t="shared" si="459"/>
        <v>0</v>
      </c>
      <c r="CQ333" s="606">
        <f t="shared" si="460"/>
        <v>0</v>
      </c>
      <c r="CR333" s="607">
        <f t="shared" si="461"/>
        <v>0</v>
      </c>
      <c r="CS333" s="606">
        <f t="shared" si="462"/>
        <v>0</v>
      </c>
      <c r="CT333" s="607">
        <f t="shared" si="463"/>
        <v>0</v>
      </c>
      <c r="CU333" s="608">
        <f t="shared" si="464"/>
        <v>44195.798855273912</v>
      </c>
      <c r="CV333" s="610">
        <f t="shared" si="465"/>
        <v>44754.930000000008</v>
      </c>
      <c r="CW333" s="608">
        <f t="shared" si="466"/>
        <v>0</v>
      </c>
      <c r="CX333" s="610">
        <f t="shared" si="467"/>
        <v>44754.930000000008</v>
      </c>
      <c r="CY333" s="611">
        <f t="shared" si="468"/>
        <v>44195.798855273912</v>
      </c>
      <c r="CZ333" s="605">
        <f t="shared" si="469"/>
        <v>0</v>
      </c>
      <c r="DA333" s="612">
        <f t="shared" si="470"/>
        <v>0</v>
      </c>
      <c r="DB333" s="607">
        <f t="shared" si="471"/>
        <v>0</v>
      </c>
      <c r="DC333" s="606">
        <f t="shared" si="472"/>
        <v>0</v>
      </c>
      <c r="DD333" s="607">
        <f t="shared" si="473"/>
        <v>0</v>
      </c>
      <c r="DE333" s="606">
        <f t="shared" si="474"/>
        <v>0</v>
      </c>
      <c r="DF333" s="607">
        <f t="shared" si="475"/>
        <v>0</v>
      </c>
      <c r="DG333" s="606">
        <f t="shared" si="476"/>
        <v>0</v>
      </c>
      <c r="DH333" s="607">
        <f t="shared" si="477"/>
        <v>0</v>
      </c>
      <c r="DI333" s="608">
        <f t="shared" si="478"/>
        <v>119</v>
      </c>
      <c r="DJ333" s="607">
        <f t="shared" si="479"/>
        <v>114</v>
      </c>
      <c r="DK333" s="608">
        <f t="shared" si="480"/>
        <v>0</v>
      </c>
      <c r="DL333" s="607">
        <f t="shared" si="481"/>
        <v>114</v>
      </c>
      <c r="DM333" s="608">
        <f t="shared" si="482"/>
        <v>119</v>
      </c>
      <c r="DN333" s="607">
        <f t="shared" si="483"/>
        <v>0</v>
      </c>
      <c r="DO333" s="612">
        <f t="shared" si="484"/>
        <v>0</v>
      </c>
      <c r="DP333" s="607">
        <f t="shared" si="485"/>
        <v>0</v>
      </c>
      <c r="DQ333" s="606">
        <f t="shared" si="486"/>
        <v>0</v>
      </c>
      <c r="DR333" s="607">
        <f t="shared" si="487"/>
        <v>0</v>
      </c>
      <c r="DS333" s="606">
        <f t="shared" si="488"/>
        <v>0</v>
      </c>
      <c r="DT333" s="607">
        <f t="shared" si="489"/>
        <v>0</v>
      </c>
      <c r="DU333" s="606">
        <f t="shared" si="490"/>
        <v>0</v>
      </c>
      <c r="DV333" s="607">
        <f t="shared" si="491"/>
        <v>0</v>
      </c>
      <c r="DW333" s="608">
        <f t="shared" si="492"/>
        <v>5259300.0637775958</v>
      </c>
      <c r="DX333" s="607">
        <f t="shared" si="493"/>
        <v>5102062.0200000005</v>
      </c>
      <c r="DY333" s="608">
        <f t="shared" si="494"/>
        <v>0</v>
      </c>
      <c r="DZ333" s="607">
        <f t="shared" si="495"/>
        <v>5102062.0200000005</v>
      </c>
      <c r="EA333" s="608">
        <f t="shared" si="496"/>
        <v>5259300.0637775958</v>
      </c>
    </row>
    <row r="334" spans="1:131" x14ac:dyDescent="0.2">
      <c r="A334" s="393" t="s">
        <v>40</v>
      </c>
      <c r="B334" s="391" t="s">
        <v>652</v>
      </c>
      <c r="C334" s="569"/>
      <c r="D334" s="398">
        <v>199892</v>
      </c>
      <c r="E334" s="399">
        <v>9</v>
      </c>
      <c r="F334" s="598"/>
      <c r="G334" s="599"/>
      <c r="H334" s="600"/>
      <c r="I334" s="601"/>
      <c r="J334" s="600"/>
      <c r="K334" s="599"/>
      <c r="L334" s="600"/>
      <c r="M334" s="601"/>
      <c r="N334" s="600"/>
      <c r="O334" s="599"/>
      <c r="P334" s="600"/>
      <c r="Q334" s="601"/>
      <c r="R334" s="600"/>
      <c r="S334" s="599"/>
      <c r="T334" s="600"/>
      <c r="U334" s="601"/>
      <c r="V334" s="600"/>
      <c r="W334" s="599"/>
      <c r="X334" s="600"/>
      <c r="Y334" s="601"/>
      <c r="Z334" s="600"/>
      <c r="AA334" s="599"/>
      <c r="AB334" s="600"/>
      <c r="AC334" s="601"/>
      <c r="AD334" s="600"/>
      <c r="AE334" s="599"/>
      <c r="AF334" s="600"/>
      <c r="AG334" s="601"/>
      <c r="AH334" s="600"/>
      <c r="AI334" s="599"/>
      <c r="AJ334" s="600"/>
      <c r="AK334" s="601">
        <v>2</v>
      </c>
      <c r="AL334" s="600"/>
      <c r="AM334" s="599">
        <v>48</v>
      </c>
      <c r="AN334" s="600"/>
      <c r="AO334" s="601">
        <v>2</v>
      </c>
      <c r="AP334" s="600"/>
      <c r="AQ334" s="599"/>
      <c r="AR334" s="600"/>
      <c r="AS334" s="601">
        <v>85</v>
      </c>
      <c r="AT334" s="600">
        <v>114</v>
      </c>
      <c r="AU334" s="599"/>
      <c r="AV334" s="600"/>
      <c r="AW334" s="601"/>
      <c r="AX334" s="600"/>
      <c r="AY334" s="599"/>
      <c r="AZ334" s="600"/>
      <c r="BA334" s="601"/>
      <c r="BB334" s="602">
        <v>0</v>
      </c>
      <c r="BC334" s="599"/>
      <c r="BD334" s="600">
        <v>0</v>
      </c>
      <c r="BE334" s="599"/>
      <c r="BF334" s="600">
        <v>0</v>
      </c>
      <c r="BG334" s="599"/>
      <c r="BH334" s="600">
        <v>0</v>
      </c>
      <c r="BI334" s="599">
        <v>106320</v>
      </c>
      <c r="BJ334" s="600">
        <v>0</v>
      </c>
      <c r="BK334" s="615">
        <v>6903422</v>
      </c>
      <c r="BL334" s="600">
        <v>5058682.7399999993</v>
      </c>
      <c r="BM334" s="604"/>
      <c r="BN334" s="605">
        <f t="shared" si="431"/>
        <v>0</v>
      </c>
      <c r="BO334" s="606">
        <f t="shared" si="432"/>
        <v>0</v>
      </c>
      <c r="BP334" s="607">
        <f t="shared" si="433"/>
        <v>0</v>
      </c>
      <c r="BQ334" s="606">
        <f t="shared" si="434"/>
        <v>0</v>
      </c>
      <c r="BR334" s="607">
        <f t="shared" si="435"/>
        <v>0</v>
      </c>
      <c r="BS334" s="606">
        <f t="shared" si="436"/>
        <v>0</v>
      </c>
      <c r="BT334" s="607">
        <f t="shared" si="437"/>
        <v>0</v>
      </c>
      <c r="BU334" s="606">
        <f t="shared" si="438"/>
        <v>24</v>
      </c>
      <c r="BV334" s="607">
        <f t="shared" si="439"/>
        <v>0</v>
      </c>
      <c r="BW334" s="608">
        <f t="shared" si="440"/>
        <v>1472</v>
      </c>
      <c r="BX334" s="607">
        <f t="shared" si="441"/>
        <v>1026</v>
      </c>
      <c r="BY334" s="608">
        <f t="shared" si="442"/>
        <v>0</v>
      </c>
      <c r="BZ334" s="607">
        <f t="shared" si="443"/>
        <v>0</v>
      </c>
      <c r="CA334" s="608">
        <f t="shared" si="444"/>
        <v>0</v>
      </c>
      <c r="CB334" s="607">
        <f t="shared" si="445"/>
        <v>0</v>
      </c>
      <c r="CC334" s="608">
        <f t="shared" si="446"/>
        <v>0</v>
      </c>
      <c r="CD334" s="607">
        <f t="shared" si="447"/>
        <v>0</v>
      </c>
      <c r="CE334" s="608">
        <f t="shared" si="448"/>
        <v>0</v>
      </c>
      <c r="CF334" s="607">
        <f t="shared" si="449"/>
        <v>0</v>
      </c>
      <c r="CG334" s="608">
        <f t="shared" si="450"/>
        <v>4430</v>
      </c>
      <c r="CH334" s="607">
        <f t="shared" si="451"/>
        <v>0</v>
      </c>
      <c r="CI334" s="608">
        <f t="shared" si="452"/>
        <v>4689.82472826087</v>
      </c>
      <c r="CJ334" s="607">
        <f t="shared" si="453"/>
        <v>4930.4899999999989</v>
      </c>
      <c r="CK334" s="608">
        <f t="shared" si="454"/>
        <v>0</v>
      </c>
      <c r="CL334" s="609">
        <f t="shared" si="455"/>
        <v>0</v>
      </c>
      <c r="CM334" s="608">
        <f t="shared" si="456"/>
        <v>0</v>
      </c>
      <c r="CN334" s="610">
        <f t="shared" si="457"/>
        <v>0</v>
      </c>
      <c r="CO334" s="606">
        <f t="shared" si="458"/>
        <v>0</v>
      </c>
      <c r="CP334" s="607">
        <f t="shared" si="459"/>
        <v>0</v>
      </c>
      <c r="CQ334" s="606">
        <f t="shared" si="460"/>
        <v>0</v>
      </c>
      <c r="CR334" s="607">
        <f t="shared" si="461"/>
        <v>0</v>
      </c>
      <c r="CS334" s="606">
        <f t="shared" si="462"/>
        <v>39870</v>
      </c>
      <c r="CT334" s="607">
        <f t="shared" si="463"/>
        <v>0</v>
      </c>
      <c r="CU334" s="608">
        <f t="shared" si="464"/>
        <v>42208.422554347831</v>
      </c>
      <c r="CV334" s="610">
        <f t="shared" si="465"/>
        <v>44374.409999999989</v>
      </c>
      <c r="CW334" s="608">
        <f t="shared" si="466"/>
        <v>0</v>
      </c>
      <c r="CX334" s="610">
        <f t="shared" si="467"/>
        <v>44374.409999999989</v>
      </c>
      <c r="CY334" s="611">
        <f t="shared" si="468"/>
        <v>42174.284998809904</v>
      </c>
      <c r="CZ334" s="605">
        <f t="shared" si="469"/>
        <v>0</v>
      </c>
      <c r="DA334" s="612">
        <f t="shared" si="470"/>
        <v>0</v>
      </c>
      <c r="DB334" s="607">
        <f t="shared" si="471"/>
        <v>0</v>
      </c>
      <c r="DC334" s="606">
        <f t="shared" si="472"/>
        <v>0</v>
      </c>
      <c r="DD334" s="607">
        <f t="shared" si="473"/>
        <v>0</v>
      </c>
      <c r="DE334" s="606">
        <f t="shared" si="474"/>
        <v>0</v>
      </c>
      <c r="DF334" s="607">
        <f t="shared" si="475"/>
        <v>0</v>
      </c>
      <c r="DG334" s="606">
        <f t="shared" si="476"/>
        <v>2</v>
      </c>
      <c r="DH334" s="607">
        <f t="shared" si="477"/>
        <v>0</v>
      </c>
      <c r="DI334" s="608">
        <f t="shared" si="478"/>
        <v>135</v>
      </c>
      <c r="DJ334" s="607">
        <f t="shared" si="479"/>
        <v>114</v>
      </c>
      <c r="DK334" s="608">
        <f t="shared" si="480"/>
        <v>0</v>
      </c>
      <c r="DL334" s="607">
        <f t="shared" si="481"/>
        <v>114</v>
      </c>
      <c r="DM334" s="608">
        <f t="shared" si="482"/>
        <v>137</v>
      </c>
      <c r="DN334" s="607">
        <f t="shared" si="483"/>
        <v>0</v>
      </c>
      <c r="DO334" s="612">
        <f t="shared" si="484"/>
        <v>0</v>
      </c>
      <c r="DP334" s="607">
        <f t="shared" si="485"/>
        <v>0</v>
      </c>
      <c r="DQ334" s="606">
        <f t="shared" si="486"/>
        <v>0</v>
      </c>
      <c r="DR334" s="607">
        <f t="shared" si="487"/>
        <v>0</v>
      </c>
      <c r="DS334" s="606">
        <f t="shared" si="488"/>
        <v>0</v>
      </c>
      <c r="DT334" s="607">
        <f t="shared" si="489"/>
        <v>0</v>
      </c>
      <c r="DU334" s="606">
        <f t="shared" si="490"/>
        <v>79740</v>
      </c>
      <c r="DV334" s="607">
        <f t="shared" si="491"/>
        <v>0</v>
      </c>
      <c r="DW334" s="608">
        <f t="shared" si="492"/>
        <v>5698137.044836957</v>
      </c>
      <c r="DX334" s="607">
        <f t="shared" si="493"/>
        <v>5058682.7399999984</v>
      </c>
      <c r="DY334" s="608">
        <f t="shared" si="494"/>
        <v>0</v>
      </c>
      <c r="DZ334" s="607">
        <f t="shared" si="495"/>
        <v>5058682.7399999984</v>
      </c>
      <c r="EA334" s="608">
        <f t="shared" si="496"/>
        <v>5777877.044836957</v>
      </c>
    </row>
    <row r="335" spans="1:131" x14ac:dyDescent="0.2">
      <c r="A335" s="393" t="s">
        <v>40</v>
      </c>
      <c r="B335" s="391" t="s">
        <v>653</v>
      </c>
      <c r="C335" s="569"/>
      <c r="D335" s="398">
        <v>199908</v>
      </c>
      <c r="E335" s="399">
        <v>9</v>
      </c>
      <c r="F335" s="598"/>
      <c r="G335" s="599"/>
      <c r="H335" s="600"/>
      <c r="I335" s="601"/>
      <c r="J335" s="600"/>
      <c r="K335" s="599"/>
      <c r="L335" s="600"/>
      <c r="M335" s="601"/>
      <c r="N335" s="600"/>
      <c r="O335" s="599"/>
      <c r="P335" s="600"/>
      <c r="Q335" s="601"/>
      <c r="R335" s="600"/>
      <c r="S335" s="599"/>
      <c r="T335" s="600"/>
      <c r="U335" s="601"/>
      <c r="V335" s="600"/>
      <c r="W335" s="599"/>
      <c r="X335" s="600"/>
      <c r="Y335" s="601"/>
      <c r="Z335" s="600"/>
      <c r="AA335" s="599"/>
      <c r="AB335" s="600"/>
      <c r="AC335" s="601"/>
      <c r="AD335" s="600"/>
      <c r="AE335" s="599"/>
      <c r="AF335" s="600"/>
      <c r="AG335" s="601"/>
      <c r="AH335" s="600"/>
      <c r="AI335" s="599"/>
      <c r="AJ335" s="600"/>
      <c r="AK335" s="601"/>
      <c r="AL335" s="600"/>
      <c r="AM335" s="599">
        <v>79</v>
      </c>
      <c r="AN335" s="600"/>
      <c r="AO335" s="601"/>
      <c r="AP335" s="600"/>
      <c r="AQ335" s="599"/>
      <c r="AR335" s="600"/>
      <c r="AS335" s="601"/>
      <c r="AT335" s="600">
        <v>85</v>
      </c>
      <c r="AU335" s="599"/>
      <c r="AV335" s="600"/>
      <c r="AW335" s="601"/>
      <c r="AX335" s="600"/>
      <c r="AY335" s="599"/>
      <c r="AZ335" s="600"/>
      <c r="BA335" s="601"/>
      <c r="BB335" s="602">
        <v>0</v>
      </c>
      <c r="BC335" s="599"/>
      <c r="BD335" s="600">
        <v>0</v>
      </c>
      <c r="BE335" s="599"/>
      <c r="BF335" s="600">
        <v>0</v>
      </c>
      <c r="BG335" s="599"/>
      <c r="BH335" s="600">
        <v>0</v>
      </c>
      <c r="BI335" s="599"/>
      <c r="BJ335" s="600">
        <v>0</v>
      </c>
      <c r="BK335" s="615">
        <v>3872205</v>
      </c>
      <c r="BL335" s="600">
        <v>4167567.0000000005</v>
      </c>
      <c r="BM335" s="604"/>
      <c r="BN335" s="605">
        <f t="shared" si="431"/>
        <v>0</v>
      </c>
      <c r="BO335" s="606">
        <f t="shared" si="432"/>
        <v>0</v>
      </c>
      <c r="BP335" s="607">
        <f t="shared" si="433"/>
        <v>0</v>
      </c>
      <c r="BQ335" s="606">
        <f t="shared" si="434"/>
        <v>0</v>
      </c>
      <c r="BR335" s="607">
        <f t="shared" si="435"/>
        <v>0</v>
      </c>
      <c r="BS335" s="606">
        <f t="shared" si="436"/>
        <v>0</v>
      </c>
      <c r="BT335" s="607">
        <f t="shared" si="437"/>
        <v>0</v>
      </c>
      <c r="BU335" s="606">
        <f t="shared" si="438"/>
        <v>0</v>
      </c>
      <c r="BV335" s="607">
        <f t="shared" si="439"/>
        <v>0</v>
      </c>
      <c r="BW335" s="608">
        <f t="shared" si="440"/>
        <v>711</v>
      </c>
      <c r="BX335" s="607">
        <f t="shared" si="441"/>
        <v>765</v>
      </c>
      <c r="BY335" s="608">
        <f t="shared" si="442"/>
        <v>0</v>
      </c>
      <c r="BZ335" s="607">
        <f t="shared" si="443"/>
        <v>0</v>
      </c>
      <c r="CA335" s="608">
        <f t="shared" si="444"/>
        <v>0</v>
      </c>
      <c r="CB335" s="607">
        <f t="shared" si="445"/>
        <v>0</v>
      </c>
      <c r="CC335" s="608">
        <f t="shared" si="446"/>
        <v>0</v>
      </c>
      <c r="CD335" s="607">
        <f t="shared" si="447"/>
        <v>0</v>
      </c>
      <c r="CE335" s="608">
        <f t="shared" si="448"/>
        <v>0</v>
      </c>
      <c r="CF335" s="607">
        <f t="shared" si="449"/>
        <v>0</v>
      </c>
      <c r="CG335" s="608">
        <f t="shared" si="450"/>
        <v>0</v>
      </c>
      <c r="CH335" s="607">
        <f t="shared" si="451"/>
        <v>0</v>
      </c>
      <c r="CI335" s="608">
        <f t="shared" si="452"/>
        <v>5446.1392405063289</v>
      </c>
      <c r="CJ335" s="607">
        <f t="shared" si="453"/>
        <v>5447.8</v>
      </c>
      <c r="CK335" s="608">
        <f t="shared" si="454"/>
        <v>0</v>
      </c>
      <c r="CL335" s="609">
        <f t="shared" si="455"/>
        <v>0</v>
      </c>
      <c r="CM335" s="608">
        <f t="shared" si="456"/>
        <v>0</v>
      </c>
      <c r="CN335" s="610">
        <f t="shared" si="457"/>
        <v>0</v>
      </c>
      <c r="CO335" s="606">
        <f t="shared" si="458"/>
        <v>0</v>
      </c>
      <c r="CP335" s="607">
        <f t="shared" si="459"/>
        <v>0</v>
      </c>
      <c r="CQ335" s="606">
        <f t="shared" si="460"/>
        <v>0</v>
      </c>
      <c r="CR335" s="607">
        <f t="shared" si="461"/>
        <v>0</v>
      </c>
      <c r="CS335" s="606">
        <f t="shared" si="462"/>
        <v>0</v>
      </c>
      <c r="CT335" s="607">
        <f t="shared" si="463"/>
        <v>0</v>
      </c>
      <c r="CU335" s="608">
        <f t="shared" si="464"/>
        <v>49015.253164556962</v>
      </c>
      <c r="CV335" s="610">
        <f t="shared" si="465"/>
        <v>49030.200000000004</v>
      </c>
      <c r="CW335" s="608">
        <f t="shared" si="466"/>
        <v>0</v>
      </c>
      <c r="CX335" s="610">
        <f t="shared" si="467"/>
        <v>49030.200000000004</v>
      </c>
      <c r="CY335" s="611">
        <f t="shared" si="468"/>
        <v>49015.253164556962</v>
      </c>
      <c r="CZ335" s="605">
        <f t="shared" si="469"/>
        <v>0</v>
      </c>
      <c r="DA335" s="612">
        <f t="shared" si="470"/>
        <v>0</v>
      </c>
      <c r="DB335" s="607">
        <f t="shared" si="471"/>
        <v>0</v>
      </c>
      <c r="DC335" s="606">
        <f t="shared" si="472"/>
        <v>0</v>
      </c>
      <c r="DD335" s="607">
        <f t="shared" si="473"/>
        <v>0</v>
      </c>
      <c r="DE335" s="606">
        <f t="shared" si="474"/>
        <v>0</v>
      </c>
      <c r="DF335" s="607">
        <f t="shared" si="475"/>
        <v>0</v>
      </c>
      <c r="DG335" s="606">
        <f t="shared" si="476"/>
        <v>0</v>
      </c>
      <c r="DH335" s="607">
        <f t="shared" si="477"/>
        <v>0</v>
      </c>
      <c r="DI335" s="608">
        <f t="shared" si="478"/>
        <v>79</v>
      </c>
      <c r="DJ335" s="607">
        <f t="shared" si="479"/>
        <v>85</v>
      </c>
      <c r="DK335" s="608">
        <f t="shared" si="480"/>
        <v>0</v>
      </c>
      <c r="DL335" s="607">
        <f t="shared" si="481"/>
        <v>85</v>
      </c>
      <c r="DM335" s="608">
        <f t="shared" si="482"/>
        <v>79</v>
      </c>
      <c r="DN335" s="607">
        <f t="shared" si="483"/>
        <v>0</v>
      </c>
      <c r="DO335" s="612">
        <f t="shared" si="484"/>
        <v>0</v>
      </c>
      <c r="DP335" s="607">
        <f t="shared" si="485"/>
        <v>0</v>
      </c>
      <c r="DQ335" s="606">
        <f t="shared" si="486"/>
        <v>0</v>
      </c>
      <c r="DR335" s="607">
        <f t="shared" si="487"/>
        <v>0</v>
      </c>
      <c r="DS335" s="606">
        <f t="shared" si="488"/>
        <v>0</v>
      </c>
      <c r="DT335" s="607">
        <f t="shared" si="489"/>
        <v>0</v>
      </c>
      <c r="DU335" s="606">
        <f t="shared" si="490"/>
        <v>0</v>
      </c>
      <c r="DV335" s="607">
        <f t="shared" si="491"/>
        <v>0</v>
      </c>
      <c r="DW335" s="608">
        <f t="shared" si="492"/>
        <v>3872205</v>
      </c>
      <c r="DX335" s="607">
        <f t="shared" si="493"/>
        <v>4167567.0000000005</v>
      </c>
      <c r="DY335" s="608">
        <f t="shared" si="494"/>
        <v>0</v>
      </c>
      <c r="DZ335" s="607">
        <f t="shared" si="495"/>
        <v>4167567.0000000005</v>
      </c>
      <c r="EA335" s="608">
        <f t="shared" si="496"/>
        <v>3872205</v>
      </c>
    </row>
    <row r="336" spans="1:131" x14ac:dyDescent="0.2">
      <c r="A336" s="393" t="s">
        <v>40</v>
      </c>
      <c r="B336" s="391" t="s">
        <v>654</v>
      </c>
      <c r="C336" s="569"/>
      <c r="D336" s="398">
        <v>199926</v>
      </c>
      <c r="E336" s="399">
        <v>9</v>
      </c>
      <c r="F336" s="598"/>
      <c r="G336" s="599"/>
      <c r="H336" s="600"/>
      <c r="I336" s="601"/>
      <c r="J336" s="600"/>
      <c r="K336" s="599"/>
      <c r="L336" s="600"/>
      <c r="M336" s="601"/>
      <c r="N336" s="600"/>
      <c r="O336" s="599"/>
      <c r="P336" s="600"/>
      <c r="Q336" s="601"/>
      <c r="R336" s="600"/>
      <c r="S336" s="599"/>
      <c r="T336" s="600"/>
      <c r="U336" s="601"/>
      <c r="V336" s="600"/>
      <c r="W336" s="599"/>
      <c r="X336" s="600"/>
      <c r="Y336" s="601"/>
      <c r="Z336" s="600"/>
      <c r="AA336" s="599"/>
      <c r="AB336" s="600"/>
      <c r="AC336" s="601"/>
      <c r="AD336" s="600"/>
      <c r="AE336" s="599">
        <v>84</v>
      </c>
      <c r="AF336" s="600"/>
      <c r="AG336" s="601"/>
      <c r="AH336" s="600"/>
      <c r="AI336" s="599"/>
      <c r="AJ336" s="600"/>
      <c r="AK336" s="601"/>
      <c r="AL336" s="600"/>
      <c r="AM336" s="599"/>
      <c r="AN336" s="600"/>
      <c r="AO336" s="601"/>
      <c r="AP336" s="600"/>
      <c r="AQ336" s="599"/>
      <c r="AR336" s="600"/>
      <c r="AS336" s="601"/>
      <c r="AT336" s="600">
        <v>78</v>
      </c>
      <c r="AU336" s="599"/>
      <c r="AV336" s="600"/>
      <c r="AW336" s="601"/>
      <c r="AX336" s="600"/>
      <c r="AY336" s="599"/>
      <c r="AZ336" s="600"/>
      <c r="BA336" s="601"/>
      <c r="BB336" s="602">
        <v>0</v>
      </c>
      <c r="BC336" s="599"/>
      <c r="BD336" s="600">
        <v>0</v>
      </c>
      <c r="BE336" s="599"/>
      <c r="BF336" s="600">
        <v>0</v>
      </c>
      <c r="BG336" s="599"/>
      <c r="BH336" s="600">
        <v>0</v>
      </c>
      <c r="BI336" s="599">
        <v>3825927</v>
      </c>
      <c r="BJ336" s="600">
        <v>0</v>
      </c>
      <c r="BK336" s="615"/>
      <c r="BL336" s="600">
        <v>3625794.8999999994</v>
      </c>
      <c r="BM336" s="604"/>
      <c r="BN336" s="605">
        <f t="shared" si="431"/>
        <v>0</v>
      </c>
      <c r="BO336" s="606">
        <f t="shared" si="432"/>
        <v>0</v>
      </c>
      <c r="BP336" s="607">
        <f t="shared" si="433"/>
        <v>0</v>
      </c>
      <c r="BQ336" s="606">
        <f t="shared" si="434"/>
        <v>0</v>
      </c>
      <c r="BR336" s="607">
        <f t="shared" si="435"/>
        <v>0</v>
      </c>
      <c r="BS336" s="606">
        <f t="shared" si="436"/>
        <v>0</v>
      </c>
      <c r="BT336" s="607">
        <f t="shared" si="437"/>
        <v>0</v>
      </c>
      <c r="BU336" s="606">
        <f t="shared" si="438"/>
        <v>756</v>
      </c>
      <c r="BV336" s="607">
        <f t="shared" si="439"/>
        <v>0</v>
      </c>
      <c r="BW336" s="608">
        <f t="shared" si="440"/>
        <v>0</v>
      </c>
      <c r="BX336" s="607">
        <f t="shared" si="441"/>
        <v>702</v>
      </c>
      <c r="BY336" s="608">
        <f t="shared" si="442"/>
        <v>0</v>
      </c>
      <c r="BZ336" s="607">
        <f t="shared" si="443"/>
        <v>0</v>
      </c>
      <c r="CA336" s="608">
        <f t="shared" si="444"/>
        <v>0</v>
      </c>
      <c r="CB336" s="607">
        <f t="shared" si="445"/>
        <v>0</v>
      </c>
      <c r="CC336" s="608">
        <f t="shared" si="446"/>
        <v>0</v>
      </c>
      <c r="CD336" s="607">
        <f t="shared" si="447"/>
        <v>0</v>
      </c>
      <c r="CE336" s="608">
        <f t="shared" si="448"/>
        <v>0</v>
      </c>
      <c r="CF336" s="607">
        <f t="shared" si="449"/>
        <v>0</v>
      </c>
      <c r="CG336" s="608">
        <f t="shared" si="450"/>
        <v>5060.75</v>
      </c>
      <c r="CH336" s="607">
        <f t="shared" si="451"/>
        <v>0</v>
      </c>
      <c r="CI336" s="608">
        <f t="shared" si="452"/>
        <v>0</v>
      </c>
      <c r="CJ336" s="607">
        <f t="shared" si="453"/>
        <v>5164.9499999999989</v>
      </c>
      <c r="CK336" s="608">
        <f t="shared" si="454"/>
        <v>0</v>
      </c>
      <c r="CL336" s="609">
        <f t="shared" si="455"/>
        <v>0</v>
      </c>
      <c r="CM336" s="608">
        <f t="shared" si="456"/>
        <v>0</v>
      </c>
      <c r="CN336" s="610">
        <f t="shared" si="457"/>
        <v>0</v>
      </c>
      <c r="CO336" s="606">
        <f t="shared" si="458"/>
        <v>0</v>
      </c>
      <c r="CP336" s="607">
        <f t="shared" si="459"/>
        <v>0</v>
      </c>
      <c r="CQ336" s="606">
        <f t="shared" si="460"/>
        <v>0</v>
      </c>
      <c r="CR336" s="607">
        <f t="shared" si="461"/>
        <v>0</v>
      </c>
      <c r="CS336" s="606">
        <f t="shared" si="462"/>
        <v>45546.75</v>
      </c>
      <c r="CT336" s="607">
        <f t="shared" si="463"/>
        <v>0</v>
      </c>
      <c r="CU336" s="608">
        <f t="shared" si="464"/>
        <v>0</v>
      </c>
      <c r="CV336" s="610">
        <f t="shared" si="465"/>
        <v>46484.549999999988</v>
      </c>
      <c r="CW336" s="608">
        <f t="shared" si="466"/>
        <v>0</v>
      </c>
      <c r="CX336" s="610">
        <f t="shared" si="467"/>
        <v>46484.549999999988</v>
      </c>
      <c r="CY336" s="611">
        <f t="shared" si="468"/>
        <v>45546.75</v>
      </c>
      <c r="CZ336" s="605">
        <f t="shared" si="469"/>
        <v>0</v>
      </c>
      <c r="DA336" s="612">
        <f t="shared" si="470"/>
        <v>0</v>
      </c>
      <c r="DB336" s="607">
        <f t="shared" si="471"/>
        <v>0</v>
      </c>
      <c r="DC336" s="606">
        <f t="shared" si="472"/>
        <v>0</v>
      </c>
      <c r="DD336" s="607">
        <f t="shared" si="473"/>
        <v>0</v>
      </c>
      <c r="DE336" s="606">
        <f t="shared" si="474"/>
        <v>0</v>
      </c>
      <c r="DF336" s="607">
        <f t="shared" si="475"/>
        <v>0</v>
      </c>
      <c r="DG336" s="606">
        <f t="shared" si="476"/>
        <v>84</v>
      </c>
      <c r="DH336" s="607">
        <f t="shared" si="477"/>
        <v>0</v>
      </c>
      <c r="DI336" s="608">
        <f t="shared" si="478"/>
        <v>0</v>
      </c>
      <c r="DJ336" s="607">
        <f t="shared" si="479"/>
        <v>78</v>
      </c>
      <c r="DK336" s="608">
        <f t="shared" si="480"/>
        <v>0</v>
      </c>
      <c r="DL336" s="607">
        <f t="shared" si="481"/>
        <v>78</v>
      </c>
      <c r="DM336" s="608">
        <f t="shared" si="482"/>
        <v>84</v>
      </c>
      <c r="DN336" s="607">
        <f t="shared" si="483"/>
        <v>0</v>
      </c>
      <c r="DO336" s="612">
        <f t="shared" si="484"/>
        <v>0</v>
      </c>
      <c r="DP336" s="607">
        <f t="shared" si="485"/>
        <v>0</v>
      </c>
      <c r="DQ336" s="606">
        <f t="shared" si="486"/>
        <v>0</v>
      </c>
      <c r="DR336" s="607">
        <f t="shared" si="487"/>
        <v>0</v>
      </c>
      <c r="DS336" s="606">
        <f t="shared" si="488"/>
        <v>0</v>
      </c>
      <c r="DT336" s="607">
        <f t="shared" si="489"/>
        <v>0</v>
      </c>
      <c r="DU336" s="606">
        <f t="shared" si="490"/>
        <v>3825927</v>
      </c>
      <c r="DV336" s="607">
        <f t="shared" si="491"/>
        <v>0</v>
      </c>
      <c r="DW336" s="608">
        <f t="shared" si="492"/>
        <v>0</v>
      </c>
      <c r="DX336" s="607">
        <f t="shared" si="493"/>
        <v>3625794.899999999</v>
      </c>
      <c r="DY336" s="608">
        <f t="shared" si="494"/>
        <v>0</v>
      </c>
      <c r="DZ336" s="607">
        <f t="shared" si="495"/>
        <v>3625794.899999999</v>
      </c>
      <c r="EA336" s="608">
        <f t="shared" si="496"/>
        <v>3825927</v>
      </c>
    </row>
    <row r="337" spans="1:131" x14ac:dyDescent="0.2">
      <c r="A337" s="395" t="s">
        <v>40</v>
      </c>
      <c r="B337" s="391" t="s">
        <v>655</v>
      </c>
      <c r="C337" s="570"/>
      <c r="D337" s="398">
        <v>197966</v>
      </c>
      <c r="E337" s="399">
        <v>10</v>
      </c>
      <c r="F337" s="598"/>
      <c r="G337" s="599"/>
      <c r="H337" s="600"/>
      <c r="I337" s="601"/>
      <c r="J337" s="600"/>
      <c r="K337" s="599"/>
      <c r="L337" s="600"/>
      <c r="M337" s="601"/>
      <c r="N337" s="600"/>
      <c r="O337" s="599"/>
      <c r="P337" s="600"/>
      <c r="Q337" s="601"/>
      <c r="R337" s="600"/>
      <c r="S337" s="599"/>
      <c r="T337" s="600"/>
      <c r="U337" s="601"/>
      <c r="V337" s="600"/>
      <c r="W337" s="599"/>
      <c r="X337" s="600"/>
      <c r="Y337" s="601"/>
      <c r="Z337" s="600"/>
      <c r="AA337" s="599"/>
      <c r="AB337" s="600"/>
      <c r="AC337" s="601"/>
      <c r="AD337" s="600"/>
      <c r="AE337" s="599">
        <v>37</v>
      </c>
      <c r="AF337" s="600"/>
      <c r="AG337" s="601"/>
      <c r="AH337" s="600"/>
      <c r="AI337" s="599">
        <v>24</v>
      </c>
      <c r="AJ337" s="600"/>
      <c r="AK337" s="601">
        <v>5</v>
      </c>
      <c r="AL337" s="600"/>
      <c r="AM337" s="599"/>
      <c r="AN337" s="600"/>
      <c r="AO337" s="601"/>
      <c r="AP337" s="600"/>
      <c r="AQ337" s="599"/>
      <c r="AR337" s="600"/>
      <c r="AS337" s="601"/>
      <c r="AT337" s="600">
        <v>58</v>
      </c>
      <c r="AU337" s="599"/>
      <c r="AV337" s="600"/>
      <c r="AW337" s="601"/>
      <c r="AX337" s="600"/>
      <c r="AY337" s="599"/>
      <c r="AZ337" s="600"/>
      <c r="BA337" s="601"/>
      <c r="BB337" s="602">
        <v>0</v>
      </c>
      <c r="BC337" s="599"/>
      <c r="BD337" s="600">
        <v>0</v>
      </c>
      <c r="BE337" s="599"/>
      <c r="BF337" s="600">
        <v>0</v>
      </c>
      <c r="BG337" s="599"/>
      <c r="BH337" s="600">
        <v>0</v>
      </c>
      <c r="BI337" s="599">
        <v>3298955</v>
      </c>
      <c r="BJ337" s="600">
        <v>0</v>
      </c>
      <c r="BK337" s="615"/>
      <c r="BL337" s="600">
        <v>2652443.8199999998</v>
      </c>
      <c r="BM337" s="604"/>
      <c r="BN337" s="605">
        <f t="shared" si="431"/>
        <v>0</v>
      </c>
      <c r="BO337" s="606">
        <f t="shared" si="432"/>
        <v>0</v>
      </c>
      <c r="BP337" s="607">
        <f t="shared" si="433"/>
        <v>0</v>
      </c>
      <c r="BQ337" s="606">
        <f t="shared" si="434"/>
        <v>0</v>
      </c>
      <c r="BR337" s="607">
        <f t="shared" si="435"/>
        <v>0</v>
      </c>
      <c r="BS337" s="606">
        <f t="shared" si="436"/>
        <v>0</v>
      </c>
      <c r="BT337" s="607">
        <f t="shared" si="437"/>
        <v>0</v>
      </c>
      <c r="BU337" s="606">
        <f t="shared" si="438"/>
        <v>657</v>
      </c>
      <c r="BV337" s="607">
        <f t="shared" si="439"/>
        <v>0</v>
      </c>
      <c r="BW337" s="608">
        <f t="shared" si="440"/>
        <v>0</v>
      </c>
      <c r="BX337" s="607">
        <f t="shared" si="441"/>
        <v>522</v>
      </c>
      <c r="BY337" s="608">
        <f t="shared" si="442"/>
        <v>0</v>
      </c>
      <c r="BZ337" s="607">
        <f t="shared" si="443"/>
        <v>0</v>
      </c>
      <c r="CA337" s="608">
        <f t="shared" si="444"/>
        <v>0</v>
      </c>
      <c r="CB337" s="607">
        <f t="shared" si="445"/>
        <v>0</v>
      </c>
      <c r="CC337" s="608">
        <f t="shared" si="446"/>
        <v>0</v>
      </c>
      <c r="CD337" s="607">
        <f t="shared" si="447"/>
        <v>0</v>
      </c>
      <c r="CE337" s="608">
        <f t="shared" si="448"/>
        <v>0</v>
      </c>
      <c r="CF337" s="607">
        <f t="shared" si="449"/>
        <v>0</v>
      </c>
      <c r="CG337" s="608">
        <f t="shared" si="450"/>
        <v>5021.240487062405</v>
      </c>
      <c r="CH337" s="607">
        <f t="shared" si="451"/>
        <v>0</v>
      </c>
      <c r="CI337" s="608">
        <f t="shared" si="452"/>
        <v>0</v>
      </c>
      <c r="CJ337" s="607">
        <f t="shared" si="453"/>
        <v>5081.3099999999995</v>
      </c>
      <c r="CK337" s="608">
        <f t="shared" si="454"/>
        <v>0</v>
      </c>
      <c r="CL337" s="609">
        <f t="shared" si="455"/>
        <v>0</v>
      </c>
      <c r="CM337" s="608">
        <f t="shared" si="456"/>
        <v>0</v>
      </c>
      <c r="CN337" s="610">
        <f t="shared" si="457"/>
        <v>0</v>
      </c>
      <c r="CO337" s="606">
        <f t="shared" si="458"/>
        <v>0</v>
      </c>
      <c r="CP337" s="607">
        <f t="shared" si="459"/>
        <v>0</v>
      </c>
      <c r="CQ337" s="606">
        <f t="shared" si="460"/>
        <v>0</v>
      </c>
      <c r="CR337" s="607">
        <f t="shared" si="461"/>
        <v>0</v>
      </c>
      <c r="CS337" s="606">
        <f t="shared" si="462"/>
        <v>45191.164383561641</v>
      </c>
      <c r="CT337" s="607">
        <f t="shared" si="463"/>
        <v>0</v>
      </c>
      <c r="CU337" s="608">
        <f t="shared" si="464"/>
        <v>0</v>
      </c>
      <c r="CV337" s="610">
        <f t="shared" si="465"/>
        <v>45731.789999999994</v>
      </c>
      <c r="CW337" s="608">
        <f t="shared" si="466"/>
        <v>0</v>
      </c>
      <c r="CX337" s="610">
        <f t="shared" si="467"/>
        <v>45731.789999999994</v>
      </c>
      <c r="CY337" s="611">
        <f t="shared" si="468"/>
        <v>45191.164383561641</v>
      </c>
      <c r="CZ337" s="605">
        <f t="shared" si="469"/>
        <v>0</v>
      </c>
      <c r="DA337" s="612">
        <f t="shared" si="470"/>
        <v>0</v>
      </c>
      <c r="DB337" s="607">
        <f t="shared" si="471"/>
        <v>0</v>
      </c>
      <c r="DC337" s="606">
        <f t="shared" si="472"/>
        <v>0</v>
      </c>
      <c r="DD337" s="607">
        <f t="shared" si="473"/>
        <v>0</v>
      </c>
      <c r="DE337" s="606">
        <f t="shared" si="474"/>
        <v>0</v>
      </c>
      <c r="DF337" s="607">
        <f t="shared" si="475"/>
        <v>0</v>
      </c>
      <c r="DG337" s="606">
        <f t="shared" si="476"/>
        <v>66</v>
      </c>
      <c r="DH337" s="607">
        <f t="shared" si="477"/>
        <v>0</v>
      </c>
      <c r="DI337" s="608">
        <f t="shared" si="478"/>
        <v>0</v>
      </c>
      <c r="DJ337" s="607">
        <f t="shared" si="479"/>
        <v>58</v>
      </c>
      <c r="DK337" s="608">
        <f t="shared" si="480"/>
        <v>0</v>
      </c>
      <c r="DL337" s="607">
        <f t="shared" si="481"/>
        <v>58</v>
      </c>
      <c r="DM337" s="608">
        <f t="shared" si="482"/>
        <v>66</v>
      </c>
      <c r="DN337" s="607">
        <f t="shared" si="483"/>
        <v>0</v>
      </c>
      <c r="DO337" s="612">
        <f t="shared" si="484"/>
        <v>0</v>
      </c>
      <c r="DP337" s="607">
        <f t="shared" si="485"/>
        <v>0</v>
      </c>
      <c r="DQ337" s="606">
        <f t="shared" si="486"/>
        <v>0</v>
      </c>
      <c r="DR337" s="607">
        <f t="shared" si="487"/>
        <v>0</v>
      </c>
      <c r="DS337" s="606">
        <f t="shared" si="488"/>
        <v>0</v>
      </c>
      <c r="DT337" s="607">
        <f t="shared" si="489"/>
        <v>0</v>
      </c>
      <c r="DU337" s="606">
        <f t="shared" si="490"/>
        <v>2982616.8493150682</v>
      </c>
      <c r="DV337" s="607">
        <f t="shared" si="491"/>
        <v>0</v>
      </c>
      <c r="DW337" s="608">
        <f t="shared" si="492"/>
        <v>0</v>
      </c>
      <c r="DX337" s="607">
        <f t="shared" si="493"/>
        <v>2652443.8199999998</v>
      </c>
      <c r="DY337" s="608">
        <f t="shared" si="494"/>
        <v>0</v>
      </c>
      <c r="DZ337" s="607">
        <f t="shared" si="495"/>
        <v>2652443.8199999998</v>
      </c>
      <c r="EA337" s="608">
        <f t="shared" si="496"/>
        <v>2982616.8493150682</v>
      </c>
    </row>
    <row r="338" spans="1:131" x14ac:dyDescent="0.2">
      <c r="A338" s="393" t="s">
        <v>40</v>
      </c>
      <c r="B338" s="391" t="s">
        <v>656</v>
      </c>
      <c r="C338" s="570"/>
      <c r="D338" s="398">
        <v>198011</v>
      </c>
      <c r="E338" s="399">
        <v>10</v>
      </c>
      <c r="F338" s="598"/>
      <c r="G338" s="599"/>
      <c r="H338" s="600"/>
      <c r="I338" s="601"/>
      <c r="J338" s="600"/>
      <c r="K338" s="599"/>
      <c r="L338" s="600"/>
      <c r="M338" s="601"/>
      <c r="N338" s="600"/>
      <c r="O338" s="599"/>
      <c r="P338" s="600"/>
      <c r="Q338" s="601"/>
      <c r="R338" s="600"/>
      <c r="S338" s="599"/>
      <c r="T338" s="600"/>
      <c r="U338" s="601"/>
      <c r="V338" s="600"/>
      <c r="W338" s="599"/>
      <c r="X338" s="600"/>
      <c r="Y338" s="601"/>
      <c r="Z338" s="600"/>
      <c r="AA338" s="599"/>
      <c r="AB338" s="600"/>
      <c r="AC338" s="601"/>
      <c r="AD338" s="600"/>
      <c r="AE338" s="599"/>
      <c r="AF338" s="600"/>
      <c r="AG338" s="601"/>
      <c r="AH338" s="600"/>
      <c r="AI338" s="599"/>
      <c r="AJ338" s="600"/>
      <c r="AK338" s="601"/>
      <c r="AL338" s="600"/>
      <c r="AM338" s="599"/>
      <c r="AN338" s="600"/>
      <c r="AO338" s="601">
        <v>55</v>
      </c>
      <c r="AP338" s="600"/>
      <c r="AQ338" s="599"/>
      <c r="AR338" s="600"/>
      <c r="AS338" s="601"/>
      <c r="AT338" s="600">
        <v>54</v>
      </c>
      <c r="AU338" s="599"/>
      <c r="AV338" s="600"/>
      <c r="AW338" s="601"/>
      <c r="AX338" s="600"/>
      <c r="AY338" s="599"/>
      <c r="AZ338" s="600"/>
      <c r="BA338" s="601"/>
      <c r="BB338" s="602">
        <v>0</v>
      </c>
      <c r="BC338" s="599"/>
      <c r="BD338" s="600">
        <v>0</v>
      </c>
      <c r="BE338" s="599"/>
      <c r="BF338" s="600">
        <v>0</v>
      </c>
      <c r="BG338" s="599"/>
      <c r="BH338" s="600">
        <v>0</v>
      </c>
      <c r="BI338" s="599"/>
      <c r="BJ338" s="600">
        <v>0</v>
      </c>
      <c r="BK338" s="615">
        <v>3095522</v>
      </c>
      <c r="BL338" s="600">
        <v>2828374.1999999997</v>
      </c>
      <c r="BM338" s="604"/>
      <c r="BN338" s="605">
        <f t="shared" si="431"/>
        <v>0</v>
      </c>
      <c r="BO338" s="606">
        <f t="shared" si="432"/>
        <v>0</v>
      </c>
      <c r="BP338" s="607">
        <f t="shared" si="433"/>
        <v>0</v>
      </c>
      <c r="BQ338" s="606">
        <f t="shared" si="434"/>
        <v>0</v>
      </c>
      <c r="BR338" s="607">
        <f t="shared" si="435"/>
        <v>0</v>
      </c>
      <c r="BS338" s="606">
        <f t="shared" si="436"/>
        <v>0</v>
      </c>
      <c r="BT338" s="607">
        <f t="shared" si="437"/>
        <v>0</v>
      </c>
      <c r="BU338" s="606">
        <f t="shared" si="438"/>
        <v>0</v>
      </c>
      <c r="BV338" s="607">
        <f t="shared" si="439"/>
        <v>0</v>
      </c>
      <c r="BW338" s="608">
        <f t="shared" si="440"/>
        <v>550</v>
      </c>
      <c r="BX338" s="607">
        <f t="shared" si="441"/>
        <v>486</v>
      </c>
      <c r="BY338" s="608">
        <f t="shared" si="442"/>
        <v>0</v>
      </c>
      <c r="BZ338" s="607">
        <f t="shared" si="443"/>
        <v>0</v>
      </c>
      <c r="CA338" s="608">
        <f t="shared" si="444"/>
        <v>0</v>
      </c>
      <c r="CB338" s="607">
        <f t="shared" si="445"/>
        <v>0</v>
      </c>
      <c r="CC338" s="608">
        <f t="shared" si="446"/>
        <v>0</v>
      </c>
      <c r="CD338" s="607">
        <f t="shared" si="447"/>
        <v>0</v>
      </c>
      <c r="CE338" s="608">
        <f t="shared" si="448"/>
        <v>0</v>
      </c>
      <c r="CF338" s="607">
        <f t="shared" si="449"/>
        <v>0</v>
      </c>
      <c r="CG338" s="608">
        <f t="shared" si="450"/>
        <v>0</v>
      </c>
      <c r="CH338" s="607">
        <f t="shared" si="451"/>
        <v>0</v>
      </c>
      <c r="CI338" s="608">
        <f t="shared" si="452"/>
        <v>5628.221818181818</v>
      </c>
      <c r="CJ338" s="607">
        <f t="shared" si="453"/>
        <v>5819.7</v>
      </c>
      <c r="CK338" s="608">
        <f t="shared" si="454"/>
        <v>0</v>
      </c>
      <c r="CL338" s="609">
        <f t="shared" si="455"/>
        <v>0</v>
      </c>
      <c r="CM338" s="608">
        <f t="shared" si="456"/>
        <v>0</v>
      </c>
      <c r="CN338" s="610">
        <f t="shared" si="457"/>
        <v>0</v>
      </c>
      <c r="CO338" s="606">
        <f t="shared" si="458"/>
        <v>0</v>
      </c>
      <c r="CP338" s="607">
        <f t="shared" si="459"/>
        <v>0</v>
      </c>
      <c r="CQ338" s="606">
        <f t="shared" si="460"/>
        <v>0</v>
      </c>
      <c r="CR338" s="607">
        <f t="shared" si="461"/>
        <v>0</v>
      </c>
      <c r="CS338" s="606">
        <f t="shared" si="462"/>
        <v>0</v>
      </c>
      <c r="CT338" s="607">
        <f t="shared" si="463"/>
        <v>0</v>
      </c>
      <c r="CU338" s="608">
        <f t="shared" si="464"/>
        <v>50653.996363636361</v>
      </c>
      <c r="CV338" s="610">
        <f t="shared" si="465"/>
        <v>52377.299999999996</v>
      </c>
      <c r="CW338" s="608">
        <f t="shared" si="466"/>
        <v>0</v>
      </c>
      <c r="CX338" s="610">
        <f t="shared" si="467"/>
        <v>52377.299999999996</v>
      </c>
      <c r="CY338" s="611">
        <f t="shared" si="468"/>
        <v>50653.996363636361</v>
      </c>
      <c r="CZ338" s="605">
        <f t="shared" si="469"/>
        <v>0</v>
      </c>
      <c r="DA338" s="612">
        <f t="shared" si="470"/>
        <v>0</v>
      </c>
      <c r="DB338" s="607">
        <f t="shared" si="471"/>
        <v>0</v>
      </c>
      <c r="DC338" s="606">
        <f t="shared" si="472"/>
        <v>0</v>
      </c>
      <c r="DD338" s="607">
        <f t="shared" si="473"/>
        <v>0</v>
      </c>
      <c r="DE338" s="606">
        <f t="shared" si="474"/>
        <v>0</v>
      </c>
      <c r="DF338" s="607">
        <f t="shared" si="475"/>
        <v>0</v>
      </c>
      <c r="DG338" s="606">
        <f t="shared" si="476"/>
        <v>0</v>
      </c>
      <c r="DH338" s="607">
        <f t="shared" si="477"/>
        <v>0</v>
      </c>
      <c r="DI338" s="608">
        <f t="shared" si="478"/>
        <v>55</v>
      </c>
      <c r="DJ338" s="607">
        <f t="shared" si="479"/>
        <v>54</v>
      </c>
      <c r="DK338" s="608">
        <f t="shared" si="480"/>
        <v>0</v>
      </c>
      <c r="DL338" s="607">
        <f t="shared" si="481"/>
        <v>54</v>
      </c>
      <c r="DM338" s="608">
        <f t="shared" si="482"/>
        <v>55</v>
      </c>
      <c r="DN338" s="607">
        <f t="shared" si="483"/>
        <v>0</v>
      </c>
      <c r="DO338" s="612">
        <f t="shared" si="484"/>
        <v>0</v>
      </c>
      <c r="DP338" s="607">
        <f t="shared" si="485"/>
        <v>0</v>
      </c>
      <c r="DQ338" s="606">
        <f t="shared" si="486"/>
        <v>0</v>
      </c>
      <c r="DR338" s="607">
        <f t="shared" si="487"/>
        <v>0</v>
      </c>
      <c r="DS338" s="606">
        <f t="shared" si="488"/>
        <v>0</v>
      </c>
      <c r="DT338" s="607">
        <f t="shared" si="489"/>
        <v>0</v>
      </c>
      <c r="DU338" s="606">
        <f t="shared" si="490"/>
        <v>0</v>
      </c>
      <c r="DV338" s="607">
        <f t="shared" si="491"/>
        <v>0</v>
      </c>
      <c r="DW338" s="608">
        <f t="shared" si="492"/>
        <v>2785969.8</v>
      </c>
      <c r="DX338" s="607">
        <f t="shared" si="493"/>
        <v>2828374.1999999997</v>
      </c>
      <c r="DY338" s="608">
        <f t="shared" si="494"/>
        <v>0</v>
      </c>
      <c r="DZ338" s="607">
        <f t="shared" si="495"/>
        <v>2828374.1999999997</v>
      </c>
      <c r="EA338" s="608">
        <f t="shared" si="496"/>
        <v>2785969.8</v>
      </c>
    </row>
    <row r="339" spans="1:131" x14ac:dyDescent="0.2">
      <c r="A339" s="393" t="s">
        <v>40</v>
      </c>
      <c r="B339" s="394" t="s">
        <v>657</v>
      </c>
      <c r="C339" s="570"/>
      <c r="D339" s="400">
        <v>198039</v>
      </c>
      <c r="E339" s="392">
        <v>10</v>
      </c>
      <c r="F339" s="598"/>
      <c r="G339" s="599"/>
      <c r="H339" s="600"/>
      <c r="I339" s="601"/>
      <c r="J339" s="600"/>
      <c r="K339" s="599"/>
      <c r="L339" s="600"/>
      <c r="M339" s="601"/>
      <c r="N339" s="600"/>
      <c r="O339" s="599"/>
      <c r="P339" s="600"/>
      <c r="Q339" s="601"/>
      <c r="R339" s="600"/>
      <c r="S339" s="599"/>
      <c r="T339" s="600"/>
      <c r="U339" s="601"/>
      <c r="V339" s="600"/>
      <c r="W339" s="599"/>
      <c r="X339" s="600"/>
      <c r="Y339" s="601"/>
      <c r="Z339" s="600"/>
      <c r="AA339" s="599"/>
      <c r="AB339" s="600"/>
      <c r="AC339" s="601"/>
      <c r="AD339" s="600"/>
      <c r="AE339" s="599"/>
      <c r="AF339" s="600"/>
      <c r="AG339" s="601"/>
      <c r="AH339" s="600"/>
      <c r="AI339" s="599"/>
      <c r="AJ339" s="600"/>
      <c r="AK339" s="601"/>
      <c r="AL339" s="600"/>
      <c r="AM339" s="599">
        <v>55</v>
      </c>
      <c r="AN339" s="600"/>
      <c r="AO339" s="601"/>
      <c r="AP339" s="600"/>
      <c r="AQ339" s="599"/>
      <c r="AR339" s="600"/>
      <c r="AS339" s="601">
        <v>10</v>
      </c>
      <c r="AT339" s="600">
        <v>63</v>
      </c>
      <c r="AU339" s="599"/>
      <c r="AV339" s="600"/>
      <c r="AW339" s="601"/>
      <c r="AX339" s="600"/>
      <c r="AY339" s="599"/>
      <c r="AZ339" s="600"/>
      <c r="BA339" s="601"/>
      <c r="BB339" s="602">
        <v>0</v>
      </c>
      <c r="BC339" s="599"/>
      <c r="BD339" s="600">
        <v>0</v>
      </c>
      <c r="BE339" s="599"/>
      <c r="BF339" s="600">
        <v>0</v>
      </c>
      <c r="BG339" s="599"/>
      <c r="BH339" s="600">
        <v>0</v>
      </c>
      <c r="BI339" s="599"/>
      <c r="BJ339" s="600">
        <v>0</v>
      </c>
      <c r="BK339" s="615">
        <v>3168734</v>
      </c>
      <c r="BL339" s="600">
        <v>2814865.8299999996</v>
      </c>
      <c r="BM339" s="604"/>
      <c r="BN339" s="605">
        <f t="shared" si="431"/>
        <v>0</v>
      </c>
      <c r="BO339" s="606">
        <f t="shared" si="432"/>
        <v>0</v>
      </c>
      <c r="BP339" s="607">
        <f t="shared" si="433"/>
        <v>0</v>
      </c>
      <c r="BQ339" s="606">
        <f t="shared" si="434"/>
        <v>0</v>
      </c>
      <c r="BR339" s="607">
        <f t="shared" si="435"/>
        <v>0</v>
      </c>
      <c r="BS339" s="606">
        <f t="shared" si="436"/>
        <v>0</v>
      </c>
      <c r="BT339" s="607">
        <f t="shared" si="437"/>
        <v>0</v>
      </c>
      <c r="BU339" s="606">
        <f t="shared" si="438"/>
        <v>0</v>
      </c>
      <c r="BV339" s="607">
        <f t="shared" si="439"/>
        <v>0</v>
      </c>
      <c r="BW339" s="608">
        <f t="shared" si="440"/>
        <v>615</v>
      </c>
      <c r="BX339" s="607">
        <f t="shared" si="441"/>
        <v>567</v>
      </c>
      <c r="BY339" s="608">
        <f t="shared" si="442"/>
        <v>0</v>
      </c>
      <c r="BZ339" s="607">
        <f t="shared" si="443"/>
        <v>0</v>
      </c>
      <c r="CA339" s="608">
        <f t="shared" si="444"/>
        <v>0</v>
      </c>
      <c r="CB339" s="607">
        <f t="shared" si="445"/>
        <v>0</v>
      </c>
      <c r="CC339" s="608">
        <f t="shared" si="446"/>
        <v>0</v>
      </c>
      <c r="CD339" s="607">
        <f t="shared" si="447"/>
        <v>0</v>
      </c>
      <c r="CE339" s="608">
        <f t="shared" si="448"/>
        <v>0</v>
      </c>
      <c r="CF339" s="607">
        <f t="shared" si="449"/>
        <v>0</v>
      </c>
      <c r="CG339" s="608">
        <f t="shared" si="450"/>
        <v>0</v>
      </c>
      <c r="CH339" s="607">
        <f t="shared" si="451"/>
        <v>0</v>
      </c>
      <c r="CI339" s="608">
        <f t="shared" si="452"/>
        <v>5152.4130081300809</v>
      </c>
      <c r="CJ339" s="607">
        <f t="shared" si="453"/>
        <v>4964.4899999999989</v>
      </c>
      <c r="CK339" s="608">
        <f t="shared" si="454"/>
        <v>0</v>
      </c>
      <c r="CL339" s="609">
        <f t="shared" si="455"/>
        <v>0</v>
      </c>
      <c r="CM339" s="608">
        <f t="shared" si="456"/>
        <v>0</v>
      </c>
      <c r="CN339" s="610">
        <f t="shared" si="457"/>
        <v>0</v>
      </c>
      <c r="CO339" s="606">
        <f t="shared" si="458"/>
        <v>0</v>
      </c>
      <c r="CP339" s="607">
        <f t="shared" si="459"/>
        <v>0</v>
      </c>
      <c r="CQ339" s="606">
        <f t="shared" si="460"/>
        <v>0</v>
      </c>
      <c r="CR339" s="607">
        <f t="shared" si="461"/>
        <v>0</v>
      </c>
      <c r="CS339" s="606">
        <f t="shared" si="462"/>
        <v>0</v>
      </c>
      <c r="CT339" s="607">
        <f t="shared" si="463"/>
        <v>0</v>
      </c>
      <c r="CU339" s="608">
        <f t="shared" si="464"/>
        <v>46371.71707317073</v>
      </c>
      <c r="CV339" s="610">
        <f t="shared" si="465"/>
        <v>44680.409999999989</v>
      </c>
      <c r="CW339" s="608">
        <f t="shared" si="466"/>
        <v>0</v>
      </c>
      <c r="CX339" s="610">
        <f t="shared" si="467"/>
        <v>44680.409999999989</v>
      </c>
      <c r="CY339" s="611">
        <f t="shared" si="468"/>
        <v>46371.71707317073</v>
      </c>
      <c r="CZ339" s="605">
        <f t="shared" si="469"/>
        <v>0</v>
      </c>
      <c r="DA339" s="612">
        <f t="shared" si="470"/>
        <v>0</v>
      </c>
      <c r="DB339" s="607">
        <f t="shared" si="471"/>
        <v>0</v>
      </c>
      <c r="DC339" s="606">
        <f t="shared" si="472"/>
        <v>0</v>
      </c>
      <c r="DD339" s="607">
        <f t="shared" si="473"/>
        <v>0</v>
      </c>
      <c r="DE339" s="606">
        <f t="shared" si="474"/>
        <v>0</v>
      </c>
      <c r="DF339" s="607">
        <f t="shared" si="475"/>
        <v>0</v>
      </c>
      <c r="DG339" s="606">
        <f t="shared" si="476"/>
        <v>0</v>
      </c>
      <c r="DH339" s="607">
        <f t="shared" si="477"/>
        <v>0</v>
      </c>
      <c r="DI339" s="608">
        <f t="shared" si="478"/>
        <v>65</v>
      </c>
      <c r="DJ339" s="607">
        <f t="shared" si="479"/>
        <v>63</v>
      </c>
      <c r="DK339" s="608">
        <f t="shared" si="480"/>
        <v>0</v>
      </c>
      <c r="DL339" s="607">
        <f t="shared" si="481"/>
        <v>63</v>
      </c>
      <c r="DM339" s="608">
        <f t="shared" si="482"/>
        <v>65</v>
      </c>
      <c r="DN339" s="607">
        <f t="shared" si="483"/>
        <v>0</v>
      </c>
      <c r="DO339" s="612">
        <f t="shared" si="484"/>
        <v>0</v>
      </c>
      <c r="DP339" s="607">
        <f t="shared" si="485"/>
        <v>0</v>
      </c>
      <c r="DQ339" s="606">
        <f t="shared" si="486"/>
        <v>0</v>
      </c>
      <c r="DR339" s="607">
        <f t="shared" si="487"/>
        <v>0</v>
      </c>
      <c r="DS339" s="606">
        <f t="shared" si="488"/>
        <v>0</v>
      </c>
      <c r="DT339" s="607">
        <f t="shared" si="489"/>
        <v>0</v>
      </c>
      <c r="DU339" s="606">
        <f t="shared" si="490"/>
        <v>0</v>
      </c>
      <c r="DV339" s="607">
        <f t="shared" si="491"/>
        <v>0</v>
      </c>
      <c r="DW339" s="608">
        <f t="shared" si="492"/>
        <v>3014161.6097560977</v>
      </c>
      <c r="DX339" s="607">
        <f t="shared" si="493"/>
        <v>2814865.8299999991</v>
      </c>
      <c r="DY339" s="608">
        <f t="shared" si="494"/>
        <v>0</v>
      </c>
      <c r="DZ339" s="607">
        <f t="shared" si="495"/>
        <v>2814865.8299999991</v>
      </c>
      <c r="EA339" s="608">
        <f t="shared" si="496"/>
        <v>3014161.6097560977</v>
      </c>
    </row>
    <row r="340" spans="1:131" x14ac:dyDescent="0.2">
      <c r="A340" s="393" t="s">
        <v>40</v>
      </c>
      <c r="B340" s="391" t="s">
        <v>658</v>
      </c>
      <c r="C340" s="570"/>
      <c r="D340" s="398">
        <v>198084</v>
      </c>
      <c r="E340" s="399">
        <v>10</v>
      </c>
      <c r="F340" s="598"/>
      <c r="G340" s="599"/>
      <c r="H340" s="600"/>
      <c r="I340" s="601"/>
      <c r="J340" s="600"/>
      <c r="K340" s="599"/>
      <c r="L340" s="600"/>
      <c r="M340" s="601"/>
      <c r="N340" s="600"/>
      <c r="O340" s="599"/>
      <c r="P340" s="600"/>
      <c r="Q340" s="601"/>
      <c r="R340" s="600"/>
      <c r="S340" s="599"/>
      <c r="T340" s="600"/>
      <c r="U340" s="601"/>
      <c r="V340" s="600"/>
      <c r="W340" s="599"/>
      <c r="X340" s="600"/>
      <c r="Y340" s="601"/>
      <c r="Z340" s="600"/>
      <c r="AA340" s="599"/>
      <c r="AB340" s="600"/>
      <c r="AC340" s="601"/>
      <c r="AD340" s="600"/>
      <c r="AE340" s="599">
        <v>16</v>
      </c>
      <c r="AF340" s="600"/>
      <c r="AG340" s="601">
        <v>4</v>
      </c>
      <c r="AH340" s="600"/>
      <c r="AI340" s="599">
        <v>1</v>
      </c>
      <c r="AJ340" s="600"/>
      <c r="AK340" s="601">
        <v>18</v>
      </c>
      <c r="AL340" s="600"/>
      <c r="AM340" s="599"/>
      <c r="AN340" s="600"/>
      <c r="AO340" s="601"/>
      <c r="AP340" s="600"/>
      <c r="AQ340" s="599"/>
      <c r="AR340" s="600"/>
      <c r="AS340" s="601"/>
      <c r="AT340" s="600">
        <v>43</v>
      </c>
      <c r="AU340" s="599"/>
      <c r="AV340" s="600"/>
      <c r="AW340" s="601"/>
      <c r="AX340" s="600"/>
      <c r="AY340" s="599"/>
      <c r="AZ340" s="600"/>
      <c r="BA340" s="601"/>
      <c r="BB340" s="602">
        <v>0</v>
      </c>
      <c r="BC340" s="599"/>
      <c r="BD340" s="600">
        <v>0</v>
      </c>
      <c r="BE340" s="599"/>
      <c r="BF340" s="600">
        <v>0</v>
      </c>
      <c r="BG340" s="599"/>
      <c r="BH340" s="600">
        <v>0</v>
      </c>
      <c r="BI340" s="599">
        <v>2016840</v>
      </c>
      <c r="BJ340" s="600">
        <v>0</v>
      </c>
      <c r="BK340" s="615"/>
      <c r="BL340" s="600">
        <v>1877302.1700000002</v>
      </c>
      <c r="BM340" s="604"/>
      <c r="BN340" s="605">
        <f t="shared" si="431"/>
        <v>0</v>
      </c>
      <c r="BO340" s="606">
        <f t="shared" si="432"/>
        <v>0</v>
      </c>
      <c r="BP340" s="607">
        <f t="shared" si="433"/>
        <v>0</v>
      </c>
      <c r="BQ340" s="606">
        <f t="shared" si="434"/>
        <v>0</v>
      </c>
      <c r="BR340" s="607">
        <f t="shared" si="435"/>
        <v>0</v>
      </c>
      <c r="BS340" s="606">
        <f t="shared" si="436"/>
        <v>0</v>
      </c>
      <c r="BT340" s="607">
        <f t="shared" si="437"/>
        <v>0</v>
      </c>
      <c r="BU340" s="606">
        <f t="shared" si="438"/>
        <v>411</v>
      </c>
      <c r="BV340" s="607">
        <f t="shared" si="439"/>
        <v>0</v>
      </c>
      <c r="BW340" s="608">
        <f t="shared" si="440"/>
        <v>0</v>
      </c>
      <c r="BX340" s="607">
        <f t="shared" si="441"/>
        <v>387</v>
      </c>
      <c r="BY340" s="608">
        <f t="shared" si="442"/>
        <v>0</v>
      </c>
      <c r="BZ340" s="607">
        <f t="shared" si="443"/>
        <v>0</v>
      </c>
      <c r="CA340" s="608">
        <f t="shared" si="444"/>
        <v>0</v>
      </c>
      <c r="CB340" s="607">
        <f t="shared" si="445"/>
        <v>0</v>
      </c>
      <c r="CC340" s="608">
        <f t="shared" si="446"/>
        <v>0</v>
      </c>
      <c r="CD340" s="607">
        <f t="shared" si="447"/>
        <v>0</v>
      </c>
      <c r="CE340" s="608">
        <f t="shared" si="448"/>
        <v>0</v>
      </c>
      <c r="CF340" s="607">
        <f t="shared" si="449"/>
        <v>0</v>
      </c>
      <c r="CG340" s="608">
        <f t="shared" si="450"/>
        <v>4907.1532846715327</v>
      </c>
      <c r="CH340" s="607">
        <f t="shared" si="451"/>
        <v>0</v>
      </c>
      <c r="CI340" s="608">
        <f t="shared" si="452"/>
        <v>0</v>
      </c>
      <c r="CJ340" s="607">
        <f t="shared" si="453"/>
        <v>4850.9100000000008</v>
      </c>
      <c r="CK340" s="608">
        <f t="shared" si="454"/>
        <v>0</v>
      </c>
      <c r="CL340" s="609">
        <f t="shared" si="455"/>
        <v>0</v>
      </c>
      <c r="CM340" s="608">
        <f t="shared" si="456"/>
        <v>0</v>
      </c>
      <c r="CN340" s="610">
        <f t="shared" si="457"/>
        <v>0</v>
      </c>
      <c r="CO340" s="606">
        <f t="shared" si="458"/>
        <v>0</v>
      </c>
      <c r="CP340" s="607">
        <f t="shared" si="459"/>
        <v>0</v>
      </c>
      <c r="CQ340" s="606">
        <f t="shared" si="460"/>
        <v>0</v>
      </c>
      <c r="CR340" s="607">
        <f t="shared" si="461"/>
        <v>0</v>
      </c>
      <c r="CS340" s="606">
        <f t="shared" si="462"/>
        <v>44164.379562043796</v>
      </c>
      <c r="CT340" s="607">
        <f t="shared" si="463"/>
        <v>0</v>
      </c>
      <c r="CU340" s="608">
        <f t="shared" si="464"/>
        <v>0</v>
      </c>
      <c r="CV340" s="610">
        <f t="shared" si="465"/>
        <v>43658.19000000001</v>
      </c>
      <c r="CW340" s="608">
        <f t="shared" si="466"/>
        <v>0</v>
      </c>
      <c r="CX340" s="610">
        <f t="shared" si="467"/>
        <v>43658.19000000001</v>
      </c>
      <c r="CY340" s="611">
        <f t="shared" si="468"/>
        <v>44164.379562043796</v>
      </c>
      <c r="CZ340" s="605">
        <f t="shared" si="469"/>
        <v>0</v>
      </c>
      <c r="DA340" s="612">
        <f t="shared" si="470"/>
        <v>0</v>
      </c>
      <c r="DB340" s="607">
        <f t="shared" si="471"/>
        <v>0</v>
      </c>
      <c r="DC340" s="606">
        <f t="shared" si="472"/>
        <v>0</v>
      </c>
      <c r="DD340" s="607">
        <f t="shared" si="473"/>
        <v>0</v>
      </c>
      <c r="DE340" s="606">
        <f t="shared" si="474"/>
        <v>0</v>
      </c>
      <c r="DF340" s="607">
        <f t="shared" si="475"/>
        <v>0</v>
      </c>
      <c r="DG340" s="606">
        <f t="shared" si="476"/>
        <v>39</v>
      </c>
      <c r="DH340" s="607">
        <f t="shared" si="477"/>
        <v>0</v>
      </c>
      <c r="DI340" s="608">
        <f t="shared" si="478"/>
        <v>0</v>
      </c>
      <c r="DJ340" s="607">
        <f t="shared" si="479"/>
        <v>43</v>
      </c>
      <c r="DK340" s="608">
        <f t="shared" si="480"/>
        <v>0</v>
      </c>
      <c r="DL340" s="607">
        <f t="shared" si="481"/>
        <v>43</v>
      </c>
      <c r="DM340" s="608">
        <f t="shared" si="482"/>
        <v>39</v>
      </c>
      <c r="DN340" s="607">
        <f t="shared" si="483"/>
        <v>0</v>
      </c>
      <c r="DO340" s="612">
        <f t="shared" si="484"/>
        <v>0</v>
      </c>
      <c r="DP340" s="607">
        <f t="shared" si="485"/>
        <v>0</v>
      </c>
      <c r="DQ340" s="606">
        <f t="shared" si="486"/>
        <v>0</v>
      </c>
      <c r="DR340" s="607">
        <f t="shared" si="487"/>
        <v>0</v>
      </c>
      <c r="DS340" s="606">
        <f t="shared" si="488"/>
        <v>0</v>
      </c>
      <c r="DT340" s="607">
        <f t="shared" si="489"/>
        <v>0</v>
      </c>
      <c r="DU340" s="606">
        <f t="shared" si="490"/>
        <v>1722410.802919708</v>
      </c>
      <c r="DV340" s="607">
        <f t="shared" si="491"/>
        <v>0</v>
      </c>
      <c r="DW340" s="608">
        <f t="shared" si="492"/>
        <v>0</v>
      </c>
      <c r="DX340" s="607">
        <f t="shared" si="493"/>
        <v>1877302.1700000004</v>
      </c>
      <c r="DY340" s="608">
        <f t="shared" si="494"/>
        <v>0</v>
      </c>
      <c r="DZ340" s="607">
        <f t="shared" si="495"/>
        <v>1877302.1700000004</v>
      </c>
      <c r="EA340" s="608">
        <f t="shared" si="496"/>
        <v>1722410.802919708</v>
      </c>
    </row>
    <row r="341" spans="1:131" x14ac:dyDescent="0.2">
      <c r="A341" s="393" t="s">
        <v>40</v>
      </c>
      <c r="B341" s="391" t="s">
        <v>659</v>
      </c>
      <c r="C341" s="570"/>
      <c r="D341" s="398">
        <v>198206</v>
      </c>
      <c r="E341" s="399">
        <v>10</v>
      </c>
      <c r="F341" s="598"/>
      <c r="G341" s="599"/>
      <c r="H341" s="600"/>
      <c r="I341" s="601"/>
      <c r="J341" s="600"/>
      <c r="K341" s="599"/>
      <c r="L341" s="600"/>
      <c r="M341" s="601"/>
      <c r="N341" s="600"/>
      <c r="O341" s="599"/>
      <c r="P341" s="600"/>
      <c r="Q341" s="601"/>
      <c r="R341" s="600"/>
      <c r="S341" s="599"/>
      <c r="T341" s="600"/>
      <c r="U341" s="601"/>
      <c r="V341" s="600"/>
      <c r="W341" s="599"/>
      <c r="X341" s="600"/>
      <c r="Y341" s="601"/>
      <c r="Z341" s="600"/>
      <c r="AA341" s="599"/>
      <c r="AB341" s="600"/>
      <c r="AC341" s="601"/>
      <c r="AD341" s="600"/>
      <c r="AE341" s="599"/>
      <c r="AF341" s="600"/>
      <c r="AG341" s="601"/>
      <c r="AH341" s="600"/>
      <c r="AI341" s="599"/>
      <c r="AJ341" s="600"/>
      <c r="AK341" s="601"/>
      <c r="AL341" s="600"/>
      <c r="AM341" s="599"/>
      <c r="AN341" s="600"/>
      <c r="AO341" s="601"/>
      <c r="AP341" s="600"/>
      <c r="AQ341" s="599"/>
      <c r="AR341" s="600"/>
      <c r="AS341" s="601"/>
      <c r="AT341" s="600">
        <v>58</v>
      </c>
      <c r="AU341" s="599"/>
      <c r="AV341" s="600"/>
      <c r="AW341" s="601"/>
      <c r="AX341" s="600"/>
      <c r="AY341" s="599"/>
      <c r="AZ341" s="600"/>
      <c r="BA341" s="601"/>
      <c r="BB341" s="602">
        <v>0</v>
      </c>
      <c r="BC341" s="599"/>
      <c r="BD341" s="600">
        <v>0</v>
      </c>
      <c r="BE341" s="599"/>
      <c r="BF341" s="600">
        <v>0</v>
      </c>
      <c r="BG341" s="599"/>
      <c r="BH341" s="600">
        <v>0</v>
      </c>
      <c r="BI341" s="599"/>
      <c r="BJ341" s="600">
        <v>0</v>
      </c>
      <c r="BK341" s="615"/>
      <c r="BL341" s="600">
        <v>2652130.62</v>
      </c>
      <c r="BM341" s="604"/>
      <c r="BN341" s="605">
        <f t="shared" si="431"/>
        <v>0</v>
      </c>
      <c r="BO341" s="606">
        <f t="shared" si="432"/>
        <v>0</v>
      </c>
      <c r="BP341" s="607">
        <f t="shared" si="433"/>
        <v>0</v>
      </c>
      <c r="BQ341" s="606">
        <f t="shared" si="434"/>
        <v>0</v>
      </c>
      <c r="BR341" s="607">
        <f t="shared" si="435"/>
        <v>0</v>
      </c>
      <c r="BS341" s="606">
        <f t="shared" si="436"/>
        <v>0</v>
      </c>
      <c r="BT341" s="607">
        <f t="shared" si="437"/>
        <v>0</v>
      </c>
      <c r="BU341" s="606">
        <f t="shared" si="438"/>
        <v>0</v>
      </c>
      <c r="BV341" s="607">
        <f t="shared" si="439"/>
        <v>0</v>
      </c>
      <c r="BW341" s="608">
        <f t="shared" si="440"/>
        <v>0</v>
      </c>
      <c r="BX341" s="607">
        <f t="shared" si="441"/>
        <v>522</v>
      </c>
      <c r="BY341" s="608">
        <f t="shared" si="442"/>
        <v>0</v>
      </c>
      <c r="BZ341" s="607">
        <f t="shared" si="443"/>
        <v>0</v>
      </c>
      <c r="CA341" s="608">
        <f t="shared" si="444"/>
        <v>0</v>
      </c>
      <c r="CB341" s="607">
        <f t="shared" si="445"/>
        <v>0</v>
      </c>
      <c r="CC341" s="608">
        <f t="shared" si="446"/>
        <v>0</v>
      </c>
      <c r="CD341" s="607">
        <f t="shared" si="447"/>
        <v>0</v>
      </c>
      <c r="CE341" s="608">
        <f t="shared" si="448"/>
        <v>0</v>
      </c>
      <c r="CF341" s="607">
        <f t="shared" si="449"/>
        <v>0</v>
      </c>
      <c r="CG341" s="608">
        <f t="shared" si="450"/>
        <v>0</v>
      </c>
      <c r="CH341" s="607">
        <f t="shared" si="451"/>
        <v>0</v>
      </c>
      <c r="CI341" s="608">
        <f t="shared" si="452"/>
        <v>0</v>
      </c>
      <c r="CJ341" s="607">
        <f t="shared" si="453"/>
        <v>5080.71</v>
      </c>
      <c r="CK341" s="608">
        <f t="shared" si="454"/>
        <v>0</v>
      </c>
      <c r="CL341" s="609">
        <f t="shared" si="455"/>
        <v>0</v>
      </c>
      <c r="CM341" s="608">
        <f t="shared" si="456"/>
        <v>0</v>
      </c>
      <c r="CN341" s="610">
        <f t="shared" si="457"/>
        <v>0</v>
      </c>
      <c r="CO341" s="606">
        <f t="shared" si="458"/>
        <v>0</v>
      </c>
      <c r="CP341" s="607">
        <f t="shared" si="459"/>
        <v>0</v>
      </c>
      <c r="CQ341" s="606">
        <f t="shared" si="460"/>
        <v>0</v>
      </c>
      <c r="CR341" s="607">
        <f t="shared" si="461"/>
        <v>0</v>
      </c>
      <c r="CS341" s="606">
        <f t="shared" si="462"/>
        <v>0</v>
      </c>
      <c r="CT341" s="607">
        <f t="shared" si="463"/>
        <v>0</v>
      </c>
      <c r="CU341" s="608">
        <f t="shared" si="464"/>
        <v>0</v>
      </c>
      <c r="CV341" s="610">
        <f t="shared" si="465"/>
        <v>45726.39</v>
      </c>
      <c r="CW341" s="608">
        <f t="shared" si="466"/>
        <v>0</v>
      </c>
      <c r="CX341" s="610">
        <f t="shared" si="467"/>
        <v>45726.39</v>
      </c>
      <c r="CY341" s="611">
        <f t="shared" si="468"/>
        <v>0</v>
      </c>
      <c r="CZ341" s="605">
        <f t="shared" si="469"/>
        <v>0</v>
      </c>
      <c r="DA341" s="612">
        <f t="shared" si="470"/>
        <v>0</v>
      </c>
      <c r="DB341" s="607">
        <f t="shared" si="471"/>
        <v>0</v>
      </c>
      <c r="DC341" s="606">
        <f t="shared" si="472"/>
        <v>0</v>
      </c>
      <c r="DD341" s="607">
        <f t="shared" si="473"/>
        <v>0</v>
      </c>
      <c r="DE341" s="606">
        <f t="shared" si="474"/>
        <v>0</v>
      </c>
      <c r="DF341" s="607">
        <f t="shared" si="475"/>
        <v>0</v>
      </c>
      <c r="DG341" s="606">
        <f t="shared" si="476"/>
        <v>0</v>
      </c>
      <c r="DH341" s="607">
        <f t="shared" si="477"/>
        <v>0</v>
      </c>
      <c r="DI341" s="608">
        <f t="shared" si="478"/>
        <v>0</v>
      </c>
      <c r="DJ341" s="607">
        <f t="shared" si="479"/>
        <v>58</v>
      </c>
      <c r="DK341" s="608">
        <f t="shared" si="480"/>
        <v>0</v>
      </c>
      <c r="DL341" s="607">
        <f t="shared" si="481"/>
        <v>58</v>
      </c>
      <c r="DM341" s="608">
        <f t="shared" si="482"/>
        <v>0</v>
      </c>
      <c r="DN341" s="607">
        <f t="shared" si="483"/>
        <v>0</v>
      </c>
      <c r="DO341" s="612">
        <f t="shared" si="484"/>
        <v>0</v>
      </c>
      <c r="DP341" s="607">
        <f t="shared" si="485"/>
        <v>0</v>
      </c>
      <c r="DQ341" s="606">
        <f t="shared" si="486"/>
        <v>0</v>
      </c>
      <c r="DR341" s="607">
        <f t="shared" si="487"/>
        <v>0</v>
      </c>
      <c r="DS341" s="606">
        <f t="shared" si="488"/>
        <v>0</v>
      </c>
      <c r="DT341" s="607">
        <f t="shared" si="489"/>
        <v>0</v>
      </c>
      <c r="DU341" s="606">
        <f t="shared" si="490"/>
        <v>0</v>
      </c>
      <c r="DV341" s="607">
        <f t="shared" si="491"/>
        <v>0</v>
      </c>
      <c r="DW341" s="608">
        <f t="shared" si="492"/>
        <v>0</v>
      </c>
      <c r="DX341" s="607">
        <f t="shared" si="493"/>
        <v>2652130.62</v>
      </c>
      <c r="DY341" s="608">
        <f t="shared" si="494"/>
        <v>0</v>
      </c>
      <c r="DZ341" s="607">
        <f t="shared" si="495"/>
        <v>2652130.62</v>
      </c>
      <c r="EA341" s="608">
        <f t="shared" si="496"/>
        <v>0</v>
      </c>
    </row>
    <row r="342" spans="1:131" x14ac:dyDescent="0.2">
      <c r="A342" s="393" t="s">
        <v>40</v>
      </c>
      <c r="B342" s="394" t="s">
        <v>660</v>
      </c>
      <c r="C342" s="570" t="s">
        <v>680</v>
      </c>
      <c r="D342" s="400">
        <v>197814</v>
      </c>
      <c r="E342" s="392">
        <v>10</v>
      </c>
      <c r="F342" s="598"/>
      <c r="G342" s="599"/>
      <c r="H342" s="600"/>
      <c r="I342" s="601"/>
      <c r="J342" s="600"/>
      <c r="K342" s="599"/>
      <c r="L342" s="600"/>
      <c r="M342" s="601"/>
      <c r="N342" s="600"/>
      <c r="O342" s="599"/>
      <c r="P342" s="600"/>
      <c r="Q342" s="601"/>
      <c r="R342" s="600"/>
      <c r="S342" s="599"/>
      <c r="T342" s="600"/>
      <c r="U342" s="601"/>
      <c r="V342" s="600"/>
      <c r="W342" s="599"/>
      <c r="X342" s="600"/>
      <c r="Y342" s="601"/>
      <c r="Z342" s="600"/>
      <c r="AA342" s="599"/>
      <c r="AB342" s="600"/>
      <c r="AC342" s="601"/>
      <c r="AD342" s="600"/>
      <c r="AE342" s="599"/>
      <c r="AF342" s="600"/>
      <c r="AG342" s="601"/>
      <c r="AH342" s="600"/>
      <c r="AI342" s="599"/>
      <c r="AJ342" s="600"/>
      <c r="AK342" s="601"/>
      <c r="AL342" s="600"/>
      <c r="AM342" s="599">
        <v>75</v>
      </c>
      <c r="AN342" s="600"/>
      <c r="AO342" s="601"/>
      <c r="AP342" s="600"/>
      <c r="AQ342" s="599"/>
      <c r="AR342" s="600"/>
      <c r="AS342" s="601">
        <v>5</v>
      </c>
      <c r="AT342" s="600">
        <v>76</v>
      </c>
      <c r="AU342" s="599"/>
      <c r="AV342" s="600"/>
      <c r="AW342" s="601"/>
      <c r="AX342" s="600"/>
      <c r="AY342" s="599"/>
      <c r="AZ342" s="600"/>
      <c r="BA342" s="601"/>
      <c r="BB342" s="602">
        <v>0</v>
      </c>
      <c r="BC342" s="599"/>
      <c r="BD342" s="600">
        <v>0</v>
      </c>
      <c r="BE342" s="599"/>
      <c r="BF342" s="600">
        <v>0</v>
      </c>
      <c r="BG342" s="599"/>
      <c r="BH342" s="600">
        <v>0</v>
      </c>
      <c r="BI342" s="599"/>
      <c r="BJ342" s="600">
        <v>0</v>
      </c>
      <c r="BK342" s="615">
        <v>3684942</v>
      </c>
      <c r="BL342" s="600">
        <v>3331770.8400000003</v>
      </c>
      <c r="BM342" s="604"/>
      <c r="BN342" s="605">
        <f t="shared" si="431"/>
        <v>0</v>
      </c>
      <c r="BO342" s="606">
        <f t="shared" si="432"/>
        <v>0</v>
      </c>
      <c r="BP342" s="607">
        <f t="shared" si="433"/>
        <v>0</v>
      </c>
      <c r="BQ342" s="606">
        <f t="shared" si="434"/>
        <v>0</v>
      </c>
      <c r="BR342" s="607">
        <f t="shared" si="435"/>
        <v>0</v>
      </c>
      <c r="BS342" s="606">
        <f t="shared" si="436"/>
        <v>0</v>
      </c>
      <c r="BT342" s="607">
        <f t="shared" si="437"/>
        <v>0</v>
      </c>
      <c r="BU342" s="606">
        <f t="shared" si="438"/>
        <v>0</v>
      </c>
      <c r="BV342" s="607">
        <f t="shared" si="439"/>
        <v>0</v>
      </c>
      <c r="BW342" s="608">
        <f t="shared" si="440"/>
        <v>735</v>
      </c>
      <c r="BX342" s="607">
        <f t="shared" si="441"/>
        <v>684</v>
      </c>
      <c r="BY342" s="608">
        <f t="shared" si="442"/>
        <v>0</v>
      </c>
      <c r="BZ342" s="607">
        <f t="shared" si="443"/>
        <v>0</v>
      </c>
      <c r="CA342" s="608">
        <f t="shared" si="444"/>
        <v>0</v>
      </c>
      <c r="CB342" s="607">
        <f t="shared" si="445"/>
        <v>0</v>
      </c>
      <c r="CC342" s="608">
        <f t="shared" si="446"/>
        <v>0</v>
      </c>
      <c r="CD342" s="607">
        <f t="shared" si="447"/>
        <v>0</v>
      </c>
      <c r="CE342" s="608">
        <f t="shared" si="448"/>
        <v>0</v>
      </c>
      <c r="CF342" s="607">
        <f t="shared" si="449"/>
        <v>0</v>
      </c>
      <c r="CG342" s="608">
        <f t="shared" si="450"/>
        <v>0</v>
      </c>
      <c r="CH342" s="607">
        <f t="shared" si="451"/>
        <v>0</v>
      </c>
      <c r="CI342" s="608">
        <f t="shared" si="452"/>
        <v>5013.5265306122446</v>
      </c>
      <c r="CJ342" s="607">
        <f t="shared" si="453"/>
        <v>4871.01</v>
      </c>
      <c r="CK342" s="608">
        <f t="shared" si="454"/>
        <v>0</v>
      </c>
      <c r="CL342" s="609">
        <f t="shared" si="455"/>
        <v>0</v>
      </c>
      <c r="CM342" s="608">
        <f t="shared" si="456"/>
        <v>0</v>
      </c>
      <c r="CN342" s="610">
        <f t="shared" si="457"/>
        <v>0</v>
      </c>
      <c r="CO342" s="606">
        <f t="shared" si="458"/>
        <v>0</v>
      </c>
      <c r="CP342" s="607">
        <f t="shared" si="459"/>
        <v>0</v>
      </c>
      <c r="CQ342" s="606">
        <f t="shared" si="460"/>
        <v>0</v>
      </c>
      <c r="CR342" s="607">
        <f t="shared" si="461"/>
        <v>0</v>
      </c>
      <c r="CS342" s="606">
        <f t="shared" si="462"/>
        <v>0</v>
      </c>
      <c r="CT342" s="607">
        <f t="shared" si="463"/>
        <v>0</v>
      </c>
      <c r="CU342" s="608">
        <f t="shared" si="464"/>
        <v>45121.738775510203</v>
      </c>
      <c r="CV342" s="610">
        <f t="shared" si="465"/>
        <v>43839.090000000004</v>
      </c>
      <c r="CW342" s="608">
        <f t="shared" si="466"/>
        <v>0</v>
      </c>
      <c r="CX342" s="610">
        <f t="shared" si="467"/>
        <v>43839.090000000004</v>
      </c>
      <c r="CY342" s="611">
        <f t="shared" si="468"/>
        <v>45121.738775510203</v>
      </c>
      <c r="CZ342" s="605">
        <f t="shared" si="469"/>
        <v>0</v>
      </c>
      <c r="DA342" s="612">
        <f t="shared" si="470"/>
        <v>0</v>
      </c>
      <c r="DB342" s="607">
        <f t="shared" si="471"/>
        <v>0</v>
      </c>
      <c r="DC342" s="606">
        <f t="shared" si="472"/>
        <v>0</v>
      </c>
      <c r="DD342" s="607">
        <f t="shared" si="473"/>
        <v>0</v>
      </c>
      <c r="DE342" s="606">
        <f t="shared" si="474"/>
        <v>0</v>
      </c>
      <c r="DF342" s="607">
        <f t="shared" si="475"/>
        <v>0</v>
      </c>
      <c r="DG342" s="606">
        <f t="shared" si="476"/>
        <v>0</v>
      </c>
      <c r="DH342" s="607">
        <f t="shared" si="477"/>
        <v>0</v>
      </c>
      <c r="DI342" s="608">
        <f t="shared" si="478"/>
        <v>80</v>
      </c>
      <c r="DJ342" s="607">
        <f t="shared" si="479"/>
        <v>76</v>
      </c>
      <c r="DK342" s="608">
        <f t="shared" si="480"/>
        <v>0</v>
      </c>
      <c r="DL342" s="607">
        <f t="shared" si="481"/>
        <v>76</v>
      </c>
      <c r="DM342" s="608">
        <f t="shared" si="482"/>
        <v>80</v>
      </c>
      <c r="DN342" s="607">
        <f t="shared" si="483"/>
        <v>0</v>
      </c>
      <c r="DO342" s="612">
        <f t="shared" si="484"/>
        <v>0</v>
      </c>
      <c r="DP342" s="607">
        <f t="shared" si="485"/>
        <v>0</v>
      </c>
      <c r="DQ342" s="606">
        <f t="shared" si="486"/>
        <v>0</v>
      </c>
      <c r="DR342" s="607">
        <f t="shared" si="487"/>
        <v>0</v>
      </c>
      <c r="DS342" s="606">
        <f t="shared" si="488"/>
        <v>0</v>
      </c>
      <c r="DT342" s="607">
        <f t="shared" si="489"/>
        <v>0</v>
      </c>
      <c r="DU342" s="606">
        <f t="shared" si="490"/>
        <v>0</v>
      </c>
      <c r="DV342" s="607">
        <f t="shared" si="491"/>
        <v>0</v>
      </c>
      <c r="DW342" s="608">
        <f t="shared" si="492"/>
        <v>3609739.1020408161</v>
      </c>
      <c r="DX342" s="607">
        <f t="shared" si="493"/>
        <v>3331770.8400000003</v>
      </c>
      <c r="DY342" s="608">
        <f t="shared" si="494"/>
        <v>0</v>
      </c>
      <c r="DZ342" s="607">
        <f t="shared" si="495"/>
        <v>3331770.8400000003</v>
      </c>
      <c r="EA342" s="608">
        <f t="shared" si="496"/>
        <v>3609739.1020408161</v>
      </c>
    </row>
    <row r="343" spans="1:131" x14ac:dyDescent="0.2">
      <c r="A343" s="393" t="s">
        <v>40</v>
      </c>
      <c r="B343" s="391" t="s">
        <v>661</v>
      </c>
      <c r="C343" s="569"/>
      <c r="D343" s="398">
        <v>198640</v>
      </c>
      <c r="E343" s="399">
        <v>10</v>
      </c>
      <c r="F343" s="598"/>
      <c r="G343" s="599"/>
      <c r="H343" s="600"/>
      <c r="I343" s="601"/>
      <c r="J343" s="600"/>
      <c r="K343" s="599"/>
      <c r="L343" s="600"/>
      <c r="M343" s="601"/>
      <c r="N343" s="600"/>
      <c r="O343" s="599"/>
      <c r="P343" s="600"/>
      <c r="Q343" s="601"/>
      <c r="R343" s="600"/>
      <c r="S343" s="599"/>
      <c r="T343" s="600"/>
      <c r="U343" s="601"/>
      <c r="V343" s="600"/>
      <c r="W343" s="599"/>
      <c r="X343" s="600"/>
      <c r="Y343" s="601"/>
      <c r="Z343" s="600"/>
      <c r="AA343" s="599"/>
      <c r="AB343" s="600"/>
      <c r="AC343" s="601"/>
      <c r="AD343" s="600"/>
      <c r="AE343" s="599"/>
      <c r="AF343" s="600"/>
      <c r="AG343" s="601"/>
      <c r="AH343" s="600"/>
      <c r="AI343" s="599"/>
      <c r="AJ343" s="600"/>
      <c r="AK343" s="601"/>
      <c r="AL343" s="600"/>
      <c r="AM343" s="599"/>
      <c r="AN343" s="600"/>
      <c r="AO343" s="601">
        <v>16</v>
      </c>
      <c r="AP343" s="600"/>
      <c r="AQ343" s="599"/>
      <c r="AR343" s="600"/>
      <c r="AS343" s="601">
        <v>1</v>
      </c>
      <c r="AT343" s="600">
        <v>55</v>
      </c>
      <c r="AU343" s="599"/>
      <c r="AV343" s="600"/>
      <c r="AW343" s="601"/>
      <c r="AX343" s="600"/>
      <c r="AY343" s="599"/>
      <c r="AZ343" s="600"/>
      <c r="BA343" s="601"/>
      <c r="BB343" s="602">
        <v>0</v>
      </c>
      <c r="BC343" s="599"/>
      <c r="BD343" s="600">
        <v>0</v>
      </c>
      <c r="BE343" s="599"/>
      <c r="BF343" s="600">
        <v>0</v>
      </c>
      <c r="BG343" s="599"/>
      <c r="BH343" s="600">
        <v>0</v>
      </c>
      <c r="BI343" s="599"/>
      <c r="BJ343" s="600">
        <v>0</v>
      </c>
      <c r="BK343" s="615">
        <v>822325</v>
      </c>
      <c r="BL343" s="600">
        <v>2393839.7999999998</v>
      </c>
      <c r="BM343" s="604"/>
      <c r="BN343" s="605">
        <f t="shared" si="431"/>
        <v>0</v>
      </c>
      <c r="BO343" s="606">
        <f t="shared" si="432"/>
        <v>0</v>
      </c>
      <c r="BP343" s="607">
        <f t="shared" si="433"/>
        <v>0</v>
      </c>
      <c r="BQ343" s="606">
        <f t="shared" si="434"/>
        <v>0</v>
      </c>
      <c r="BR343" s="607">
        <f t="shared" si="435"/>
        <v>0</v>
      </c>
      <c r="BS343" s="606">
        <f t="shared" si="436"/>
        <v>0</v>
      </c>
      <c r="BT343" s="607">
        <f t="shared" si="437"/>
        <v>0</v>
      </c>
      <c r="BU343" s="606">
        <f t="shared" si="438"/>
        <v>0</v>
      </c>
      <c r="BV343" s="607">
        <f t="shared" si="439"/>
        <v>0</v>
      </c>
      <c r="BW343" s="608">
        <f t="shared" si="440"/>
        <v>172</v>
      </c>
      <c r="BX343" s="607">
        <f t="shared" si="441"/>
        <v>495</v>
      </c>
      <c r="BY343" s="608">
        <f t="shared" si="442"/>
        <v>0</v>
      </c>
      <c r="BZ343" s="607">
        <f t="shared" si="443"/>
        <v>0</v>
      </c>
      <c r="CA343" s="608">
        <f t="shared" si="444"/>
        <v>0</v>
      </c>
      <c r="CB343" s="607">
        <f t="shared" si="445"/>
        <v>0</v>
      </c>
      <c r="CC343" s="608">
        <f t="shared" si="446"/>
        <v>0</v>
      </c>
      <c r="CD343" s="607">
        <f t="shared" si="447"/>
        <v>0</v>
      </c>
      <c r="CE343" s="608">
        <f t="shared" si="448"/>
        <v>0</v>
      </c>
      <c r="CF343" s="607">
        <f t="shared" si="449"/>
        <v>0</v>
      </c>
      <c r="CG343" s="608">
        <f t="shared" si="450"/>
        <v>0</v>
      </c>
      <c r="CH343" s="607">
        <f t="shared" si="451"/>
        <v>0</v>
      </c>
      <c r="CI343" s="608">
        <f t="shared" si="452"/>
        <v>4780.9593023255811</v>
      </c>
      <c r="CJ343" s="607">
        <f t="shared" si="453"/>
        <v>4836.04</v>
      </c>
      <c r="CK343" s="608">
        <f t="shared" si="454"/>
        <v>0</v>
      </c>
      <c r="CL343" s="609">
        <f t="shared" si="455"/>
        <v>0</v>
      </c>
      <c r="CM343" s="608">
        <f t="shared" si="456"/>
        <v>0</v>
      </c>
      <c r="CN343" s="610">
        <f t="shared" si="457"/>
        <v>0</v>
      </c>
      <c r="CO343" s="606">
        <f t="shared" si="458"/>
        <v>0</v>
      </c>
      <c r="CP343" s="607">
        <f t="shared" si="459"/>
        <v>0</v>
      </c>
      <c r="CQ343" s="606">
        <f t="shared" si="460"/>
        <v>0</v>
      </c>
      <c r="CR343" s="607">
        <f t="shared" si="461"/>
        <v>0</v>
      </c>
      <c r="CS343" s="606">
        <f t="shared" si="462"/>
        <v>0</v>
      </c>
      <c r="CT343" s="607">
        <f t="shared" si="463"/>
        <v>0</v>
      </c>
      <c r="CU343" s="608">
        <f t="shared" si="464"/>
        <v>43028.633720930229</v>
      </c>
      <c r="CV343" s="610">
        <f t="shared" si="465"/>
        <v>43524.36</v>
      </c>
      <c r="CW343" s="608">
        <f t="shared" si="466"/>
        <v>0</v>
      </c>
      <c r="CX343" s="610">
        <f t="shared" si="467"/>
        <v>43524.359999999993</v>
      </c>
      <c r="CY343" s="611">
        <f t="shared" si="468"/>
        <v>43028.633720930229</v>
      </c>
      <c r="CZ343" s="605">
        <f t="shared" si="469"/>
        <v>0</v>
      </c>
      <c r="DA343" s="612">
        <f t="shared" si="470"/>
        <v>0</v>
      </c>
      <c r="DB343" s="607">
        <f t="shared" si="471"/>
        <v>0</v>
      </c>
      <c r="DC343" s="606">
        <f t="shared" si="472"/>
        <v>0</v>
      </c>
      <c r="DD343" s="607">
        <f t="shared" si="473"/>
        <v>0</v>
      </c>
      <c r="DE343" s="606">
        <f t="shared" si="474"/>
        <v>0</v>
      </c>
      <c r="DF343" s="607">
        <f t="shared" si="475"/>
        <v>0</v>
      </c>
      <c r="DG343" s="606">
        <f t="shared" si="476"/>
        <v>0</v>
      </c>
      <c r="DH343" s="607">
        <f t="shared" si="477"/>
        <v>0</v>
      </c>
      <c r="DI343" s="608">
        <f t="shared" si="478"/>
        <v>17</v>
      </c>
      <c r="DJ343" s="607">
        <f t="shared" si="479"/>
        <v>55</v>
      </c>
      <c r="DK343" s="608">
        <f t="shared" si="480"/>
        <v>0</v>
      </c>
      <c r="DL343" s="607">
        <f t="shared" si="481"/>
        <v>55</v>
      </c>
      <c r="DM343" s="608">
        <f t="shared" si="482"/>
        <v>17</v>
      </c>
      <c r="DN343" s="607">
        <f t="shared" si="483"/>
        <v>0</v>
      </c>
      <c r="DO343" s="612">
        <f t="shared" si="484"/>
        <v>0</v>
      </c>
      <c r="DP343" s="607">
        <f t="shared" si="485"/>
        <v>0</v>
      </c>
      <c r="DQ343" s="606">
        <f t="shared" si="486"/>
        <v>0</v>
      </c>
      <c r="DR343" s="607">
        <f t="shared" si="487"/>
        <v>0</v>
      </c>
      <c r="DS343" s="606">
        <f t="shared" si="488"/>
        <v>0</v>
      </c>
      <c r="DT343" s="607">
        <f t="shared" si="489"/>
        <v>0</v>
      </c>
      <c r="DU343" s="606">
        <f t="shared" si="490"/>
        <v>0</v>
      </c>
      <c r="DV343" s="607">
        <f t="shared" si="491"/>
        <v>0</v>
      </c>
      <c r="DW343" s="608">
        <f t="shared" si="492"/>
        <v>731486.77325581387</v>
      </c>
      <c r="DX343" s="607">
        <f t="shared" si="493"/>
        <v>2393839.7999999998</v>
      </c>
      <c r="DY343" s="608">
        <f t="shared" si="494"/>
        <v>0</v>
      </c>
      <c r="DZ343" s="607">
        <f t="shared" si="495"/>
        <v>2393839.7999999998</v>
      </c>
      <c r="EA343" s="608">
        <f t="shared" si="496"/>
        <v>731486.77325581387</v>
      </c>
    </row>
    <row r="344" spans="1:131" x14ac:dyDescent="0.2">
      <c r="A344" s="393" t="s">
        <v>40</v>
      </c>
      <c r="B344" s="391" t="s">
        <v>662</v>
      </c>
      <c r="C344" s="569"/>
      <c r="D344" s="398">
        <v>198729</v>
      </c>
      <c r="E344" s="399">
        <v>10</v>
      </c>
      <c r="F344" s="598"/>
      <c r="G344" s="599"/>
      <c r="H344" s="600"/>
      <c r="I344" s="601"/>
      <c r="J344" s="600"/>
      <c r="K344" s="599"/>
      <c r="L344" s="600"/>
      <c r="M344" s="601"/>
      <c r="N344" s="600"/>
      <c r="O344" s="599"/>
      <c r="P344" s="600"/>
      <c r="Q344" s="601"/>
      <c r="R344" s="600"/>
      <c r="S344" s="599"/>
      <c r="T344" s="600"/>
      <c r="U344" s="601"/>
      <c r="V344" s="600"/>
      <c r="W344" s="599"/>
      <c r="X344" s="600"/>
      <c r="Y344" s="601"/>
      <c r="Z344" s="600"/>
      <c r="AA344" s="599"/>
      <c r="AB344" s="600"/>
      <c r="AC344" s="601"/>
      <c r="AD344" s="600"/>
      <c r="AE344" s="599"/>
      <c r="AF344" s="600"/>
      <c r="AG344" s="601"/>
      <c r="AH344" s="600"/>
      <c r="AI344" s="599"/>
      <c r="AJ344" s="600"/>
      <c r="AK344" s="601"/>
      <c r="AL344" s="600"/>
      <c r="AM344" s="599">
        <v>4</v>
      </c>
      <c r="AN344" s="600"/>
      <c r="AO344" s="601"/>
      <c r="AP344" s="600"/>
      <c r="AQ344" s="599"/>
      <c r="AR344" s="600"/>
      <c r="AS344" s="601">
        <v>36</v>
      </c>
      <c r="AT344" s="600">
        <v>46</v>
      </c>
      <c r="AU344" s="599"/>
      <c r="AV344" s="600"/>
      <c r="AW344" s="601"/>
      <c r="AX344" s="600"/>
      <c r="AY344" s="599"/>
      <c r="AZ344" s="600"/>
      <c r="BA344" s="601"/>
      <c r="BB344" s="602">
        <v>0</v>
      </c>
      <c r="BC344" s="599"/>
      <c r="BD344" s="600">
        <v>0</v>
      </c>
      <c r="BE344" s="599"/>
      <c r="BF344" s="600">
        <v>0</v>
      </c>
      <c r="BG344" s="599"/>
      <c r="BH344" s="600">
        <v>0</v>
      </c>
      <c r="BI344" s="599"/>
      <c r="BJ344" s="600">
        <v>0</v>
      </c>
      <c r="BK344" s="615">
        <v>1890435</v>
      </c>
      <c r="BL344" s="600">
        <v>2038184.0999999999</v>
      </c>
      <c r="BM344" s="604"/>
      <c r="BN344" s="605">
        <f t="shared" si="431"/>
        <v>0</v>
      </c>
      <c r="BO344" s="606">
        <f t="shared" si="432"/>
        <v>0</v>
      </c>
      <c r="BP344" s="607">
        <f t="shared" si="433"/>
        <v>0</v>
      </c>
      <c r="BQ344" s="606">
        <f t="shared" si="434"/>
        <v>0</v>
      </c>
      <c r="BR344" s="607">
        <f t="shared" si="435"/>
        <v>0</v>
      </c>
      <c r="BS344" s="606">
        <f t="shared" si="436"/>
        <v>0</v>
      </c>
      <c r="BT344" s="607">
        <f t="shared" si="437"/>
        <v>0</v>
      </c>
      <c r="BU344" s="606">
        <f t="shared" si="438"/>
        <v>0</v>
      </c>
      <c r="BV344" s="607">
        <f t="shared" si="439"/>
        <v>0</v>
      </c>
      <c r="BW344" s="608">
        <f t="shared" si="440"/>
        <v>468</v>
      </c>
      <c r="BX344" s="607">
        <f t="shared" si="441"/>
        <v>414</v>
      </c>
      <c r="BY344" s="608">
        <f t="shared" si="442"/>
        <v>0</v>
      </c>
      <c r="BZ344" s="607">
        <f t="shared" si="443"/>
        <v>0</v>
      </c>
      <c r="CA344" s="608">
        <f t="shared" si="444"/>
        <v>0</v>
      </c>
      <c r="CB344" s="607">
        <f t="shared" si="445"/>
        <v>0</v>
      </c>
      <c r="CC344" s="608">
        <f t="shared" si="446"/>
        <v>0</v>
      </c>
      <c r="CD344" s="607">
        <f t="shared" si="447"/>
        <v>0</v>
      </c>
      <c r="CE344" s="608">
        <f t="shared" si="448"/>
        <v>0</v>
      </c>
      <c r="CF344" s="607">
        <f t="shared" si="449"/>
        <v>0</v>
      </c>
      <c r="CG344" s="608">
        <f t="shared" si="450"/>
        <v>0</v>
      </c>
      <c r="CH344" s="607">
        <f t="shared" si="451"/>
        <v>0</v>
      </c>
      <c r="CI344" s="608">
        <f t="shared" si="452"/>
        <v>4039.3910256410259</v>
      </c>
      <c r="CJ344" s="607">
        <f t="shared" si="453"/>
        <v>4923.1499999999996</v>
      </c>
      <c r="CK344" s="608">
        <f t="shared" si="454"/>
        <v>0</v>
      </c>
      <c r="CL344" s="609">
        <f t="shared" si="455"/>
        <v>0</v>
      </c>
      <c r="CM344" s="608">
        <f t="shared" si="456"/>
        <v>0</v>
      </c>
      <c r="CN344" s="610">
        <f t="shared" si="457"/>
        <v>0</v>
      </c>
      <c r="CO344" s="606">
        <f t="shared" si="458"/>
        <v>0</v>
      </c>
      <c r="CP344" s="607">
        <f t="shared" si="459"/>
        <v>0</v>
      </c>
      <c r="CQ344" s="606">
        <f t="shared" si="460"/>
        <v>0</v>
      </c>
      <c r="CR344" s="607">
        <f t="shared" si="461"/>
        <v>0</v>
      </c>
      <c r="CS344" s="606">
        <f t="shared" si="462"/>
        <v>0</v>
      </c>
      <c r="CT344" s="607">
        <f t="shared" si="463"/>
        <v>0</v>
      </c>
      <c r="CU344" s="608">
        <f t="shared" si="464"/>
        <v>36354.519230769234</v>
      </c>
      <c r="CV344" s="610">
        <f t="shared" si="465"/>
        <v>44308.35</v>
      </c>
      <c r="CW344" s="608">
        <f t="shared" si="466"/>
        <v>0</v>
      </c>
      <c r="CX344" s="610">
        <f t="shared" si="467"/>
        <v>44308.35</v>
      </c>
      <c r="CY344" s="611">
        <f t="shared" si="468"/>
        <v>36354.519230769234</v>
      </c>
      <c r="CZ344" s="605">
        <f t="shared" si="469"/>
        <v>0</v>
      </c>
      <c r="DA344" s="612">
        <f t="shared" si="470"/>
        <v>0</v>
      </c>
      <c r="DB344" s="607">
        <f t="shared" si="471"/>
        <v>0</v>
      </c>
      <c r="DC344" s="606">
        <f t="shared" si="472"/>
        <v>0</v>
      </c>
      <c r="DD344" s="607">
        <f t="shared" si="473"/>
        <v>0</v>
      </c>
      <c r="DE344" s="606">
        <f t="shared" si="474"/>
        <v>0</v>
      </c>
      <c r="DF344" s="607">
        <f t="shared" si="475"/>
        <v>0</v>
      </c>
      <c r="DG344" s="606">
        <f t="shared" si="476"/>
        <v>0</v>
      </c>
      <c r="DH344" s="607">
        <f t="shared" si="477"/>
        <v>0</v>
      </c>
      <c r="DI344" s="608">
        <f t="shared" si="478"/>
        <v>40</v>
      </c>
      <c r="DJ344" s="607">
        <f t="shared" si="479"/>
        <v>46</v>
      </c>
      <c r="DK344" s="608">
        <f t="shared" si="480"/>
        <v>0</v>
      </c>
      <c r="DL344" s="607">
        <f t="shared" si="481"/>
        <v>46</v>
      </c>
      <c r="DM344" s="608">
        <f t="shared" si="482"/>
        <v>40</v>
      </c>
      <c r="DN344" s="607">
        <f t="shared" si="483"/>
        <v>0</v>
      </c>
      <c r="DO344" s="612">
        <f t="shared" si="484"/>
        <v>0</v>
      </c>
      <c r="DP344" s="607">
        <f t="shared" si="485"/>
        <v>0</v>
      </c>
      <c r="DQ344" s="606">
        <f t="shared" si="486"/>
        <v>0</v>
      </c>
      <c r="DR344" s="607">
        <f t="shared" si="487"/>
        <v>0</v>
      </c>
      <c r="DS344" s="606">
        <f t="shared" si="488"/>
        <v>0</v>
      </c>
      <c r="DT344" s="607">
        <f t="shared" si="489"/>
        <v>0</v>
      </c>
      <c r="DU344" s="606">
        <f t="shared" si="490"/>
        <v>0</v>
      </c>
      <c r="DV344" s="607">
        <f t="shared" si="491"/>
        <v>0</v>
      </c>
      <c r="DW344" s="608">
        <f t="shared" si="492"/>
        <v>1454180.7692307695</v>
      </c>
      <c r="DX344" s="607">
        <f t="shared" si="493"/>
        <v>2038184.0999999999</v>
      </c>
      <c r="DY344" s="608">
        <f t="shared" si="494"/>
        <v>0</v>
      </c>
      <c r="DZ344" s="607">
        <f t="shared" si="495"/>
        <v>2038184.0999999999</v>
      </c>
      <c r="EA344" s="608">
        <f t="shared" si="496"/>
        <v>1454180.7692307695</v>
      </c>
    </row>
    <row r="345" spans="1:131" x14ac:dyDescent="0.2">
      <c r="A345" s="393" t="s">
        <v>40</v>
      </c>
      <c r="B345" s="391" t="s">
        <v>663</v>
      </c>
      <c r="C345" s="569"/>
      <c r="D345" s="398">
        <v>198905</v>
      </c>
      <c r="E345" s="399">
        <v>10</v>
      </c>
      <c r="F345" s="598"/>
      <c r="G345" s="599"/>
      <c r="H345" s="600"/>
      <c r="I345" s="601"/>
      <c r="J345" s="600"/>
      <c r="K345" s="599"/>
      <c r="L345" s="600"/>
      <c r="M345" s="601"/>
      <c r="N345" s="600"/>
      <c r="O345" s="599"/>
      <c r="P345" s="600"/>
      <c r="Q345" s="601"/>
      <c r="R345" s="600"/>
      <c r="S345" s="599"/>
      <c r="T345" s="600"/>
      <c r="U345" s="601"/>
      <c r="V345" s="600"/>
      <c r="W345" s="599"/>
      <c r="X345" s="600"/>
      <c r="Y345" s="601"/>
      <c r="Z345" s="600"/>
      <c r="AA345" s="599"/>
      <c r="AB345" s="600"/>
      <c r="AC345" s="601"/>
      <c r="AD345" s="600"/>
      <c r="AE345" s="599"/>
      <c r="AF345" s="600"/>
      <c r="AG345" s="601"/>
      <c r="AH345" s="600"/>
      <c r="AI345" s="599"/>
      <c r="AJ345" s="600"/>
      <c r="AK345" s="601"/>
      <c r="AL345" s="600"/>
      <c r="AM345" s="599">
        <v>15</v>
      </c>
      <c r="AN345" s="600"/>
      <c r="AO345" s="601"/>
      <c r="AP345" s="600"/>
      <c r="AQ345" s="599"/>
      <c r="AR345" s="600"/>
      <c r="AS345" s="601">
        <v>1</v>
      </c>
      <c r="AT345" s="600">
        <v>22</v>
      </c>
      <c r="AU345" s="599"/>
      <c r="AV345" s="600"/>
      <c r="AW345" s="601"/>
      <c r="AX345" s="600"/>
      <c r="AY345" s="599"/>
      <c r="AZ345" s="600"/>
      <c r="BA345" s="601"/>
      <c r="BB345" s="602">
        <v>0</v>
      </c>
      <c r="BC345" s="599"/>
      <c r="BD345" s="600">
        <v>0</v>
      </c>
      <c r="BE345" s="599"/>
      <c r="BF345" s="600">
        <v>0</v>
      </c>
      <c r="BG345" s="599"/>
      <c r="BH345" s="600">
        <v>0</v>
      </c>
      <c r="BI345" s="599"/>
      <c r="BJ345" s="600">
        <v>0</v>
      </c>
      <c r="BK345" s="615">
        <v>700209</v>
      </c>
      <c r="BL345" s="600">
        <v>965366.82</v>
      </c>
      <c r="BM345" s="604"/>
      <c r="BN345" s="605">
        <f t="shared" si="431"/>
        <v>0</v>
      </c>
      <c r="BO345" s="606">
        <f t="shared" si="432"/>
        <v>0</v>
      </c>
      <c r="BP345" s="607">
        <f t="shared" si="433"/>
        <v>0</v>
      </c>
      <c r="BQ345" s="606">
        <f t="shared" si="434"/>
        <v>0</v>
      </c>
      <c r="BR345" s="607">
        <f t="shared" si="435"/>
        <v>0</v>
      </c>
      <c r="BS345" s="606">
        <f t="shared" si="436"/>
        <v>0</v>
      </c>
      <c r="BT345" s="607">
        <f t="shared" si="437"/>
        <v>0</v>
      </c>
      <c r="BU345" s="606">
        <f t="shared" si="438"/>
        <v>0</v>
      </c>
      <c r="BV345" s="607">
        <f t="shared" si="439"/>
        <v>0</v>
      </c>
      <c r="BW345" s="608">
        <f t="shared" si="440"/>
        <v>147</v>
      </c>
      <c r="BX345" s="607">
        <f t="shared" si="441"/>
        <v>198</v>
      </c>
      <c r="BY345" s="608">
        <f t="shared" si="442"/>
        <v>0</v>
      </c>
      <c r="BZ345" s="607">
        <f t="shared" si="443"/>
        <v>0</v>
      </c>
      <c r="CA345" s="608">
        <f t="shared" si="444"/>
        <v>0</v>
      </c>
      <c r="CB345" s="607">
        <f t="shared" si="445"/>
        <v>0</v>
      </c>
      <c r="CC345" s="608">
        <f t="shared" si="446"/>
        <v>0</v>
      </c>
      <c r="CD345" s="607">
        <f t="shared" si="447"/>
        <v>0</v>
      </c>
      <c r="CE345" s="608">
        <f t="shared" si="448"/>
        <v>0</v>
      </c>
      <c r="CF345" s="607">
        <f t="shared" si="449"/>
        <v>0</v>
      </c>
      <c r="CG345" s="608">
        <f t="shared" si="450"/>
        <v>0</v>
      </c>
      <c r="CH345" s="607">
        <f t="shared" si="451"/>
        <v>0</v>
      </c>
      <c r="CI345" s="608">
        <f t="shared" si="452"/>
        <v>4763.3265306122448</v>
      </c>
      <c r="CJ345" s="607">
        <f t="shared" si="453"/>
        <v>4875.59</v>
      </c>
      <c r="CK345" s="608">
        <f t="shared" si="454"/>
        <v>0</v>
      </c>
      <c r="CL345" s="609">
        <f t="shared" si="455"/>
        <v>0</v>
      </c>
      <c r="CM345" s="608">
        <f t="shared" si="456"/>
        <v>0</v>
      </c>
      <c r="CN345" s="610">
        <f t="shared" si="457"/>
        <v>0</v>
      </c>
      <c r="CO345" s="606">
        <f t="shared" si="458"/>
        <v>0</v>
      </c>
      <c r="CP345" s="607">
        <f t="shared" si="459"/>
        <v>0</v>
      </c>
      <c r="CQ345" s="606">
        <f t="shared" si="460"/>
        <v>0</v>
      </c>
      <c r="CR345" s="607">
        <f t="shared" si="461"/>
        <v>0</v>
      </c>
      <c r="CS345" s="606">
        <f t="shared" si="462"/>
        <v>0</v>
      </c>
      <c r="CT345" s="607">
        <f t="shared" si="463"/>
        <v>0</v>
      </c>
      <c r="CU345" s="608">
        <f t="shared" si="464"/>
        <v>42869.938775510207</v>
      </c>
      <c r="CV345" s="610">
        <f t="shared" si="465"/>
        <v>43880.31</v>
      </c>
      <c r="CW345" s="608">
        <f t="shared" si="466"/>
        <v>0</v>
      </c>
      <c r="CX345" s="610">
        <f t="shared" si="467"/>
        <v>43880.31</v>
      </c>
      <c r="CY345" s="611">
        <f t="shared" si="468"/>
        <v>42869.938775510207</v>
      </c>
      <c r="CZ345" s="605">
        <f t="shared" si="469"/>
        <v>0</v>
      </c>
      <c r="DA345" s="612">
        <f t="shared" si="470"/>
        <v>0</v>
      </c>
      <c r="DB345" s="607">
        <f t="shared" si="471"/>
        <v>0</v>
      </c>
      <c r="DC345" s="606">
        <f t="shared" si="472"/>
        <v>0</v>
      </c>
      <c r="DD345" s="607">
        <f t="shared" si="473"/>
        <v>0</v>
      </c>
      <c r="DE345" s="606">
        <f t="shared" si="474"/>
        <v>0</v>
      </c>
      <c r="DF345" s="607">
        <f t="shared" si="475"/>
        <v>0</v>
      </c>
      <c r="DG345" s="606">
        <f t="shared" si="476"/>
        <v>0</v>
      </c>
      <c r="DH345" s="607">
        <f t="shared" si="477"/>
        <v>0</v>
      </c>
      <c r="DI345" s="608">
        <f t="shared" si="478"/>
        <v>16</v>
      </c>
      <c r="DJ345" s="607">
        <f t="shared" si="479"/>
        <v>22</v>
      </c>
      <c r="DK345" s="608">
        <f t="shared" si="480"/>
        <v>0</v>
      </c>
      <c r="DL345" s="607">
        <f t="shared" si="481"/>
        <v>22</v>
      </c>
      <c r="DM345" s="608">
        <f t="shared" si="482"/>
        <v>16</v>
      </c>
      <c r="DN345" s="607">
        <f t="shared" si="483"/>
        <v>0</v>
      </c>
      <c r="DO345" s="612">
        <f t="shared" si="484"/>
        <v>0</v>
      </c>
      <c r="DP345" s="607">
        <f t="shared" si="485"/>
        <v>0</v>
      </c>
      <c r="DQ345" s="606">
        <f t="shared" si="486"/>
        <v>0</v>
      </c>
      <c r="DR345" s="607">
        <f t="shared" si="487"/>
        <v>0</v>
      </c>
      <c r="DS345" s="606">
        <f t="shared" si="488"/>
        <v>0</v>
      </c>
      <c r="DT345" s="607">
        <f t="shared" si="489"/>
        <v>0</v>
      </c>
      <c r="DU345" s="606">
        <f t="shared" si="490"/>
        <v>0</v>
      </c>
      <c r="DV345" s="607">
        <f t="shared" si="491"/>
        <v>0</v>
      </c>
      <c r="DW345" s="608">
        <f t="shared" si="492"/>
        <v>685919.02040816331</v>
      </c>
      <c r="DX345" s="607">
        <f t="shared" si="493"/>
        <v>965366.82</v>
      </c>
      <c r="DY345" s="608">
        <f t="shared" si="494"/>
        <v>0</v>
      </c>
      <c r="DZ345" s="607">
        <f t="shared" si="495"/>
        <v>965366.82</v>
      </c>
      <c r="EA345" s="608">
        <f t="shared" si="496"/>
        <v>685919.02040816331</v>
      </c>
    </row>
    <row r="346" spans="1:131" x14ac:dyDescent="0.2">
      <c r="A346" s="395" t="s">
        <v>40</v>
      </c>
      <c r="B346" s="394" t="s">
        <v>664</v>
      </c>
      <c r="C346" s="570"/>
      <c r="D346" s="400">
        <v>198914</v>
      </c>
      <c r="E346" s="392">
        <v>10</v>
      </c>
      <c r="F346" s="598"/>
      <c r="G346" s="599"/>
      <c r="H346" s="600"/>
      <c r="I346" s="601"/>
      <c r="J346" s="600"/>
      <c r="K346" s="599"/>
      <c r="L346" s="600"/>
      <c r="M346" s="601"/>
      <c r="N346" s="600"/>
      <c r="O346" s="599"/>
      <c r="P346" s="600"/>
      <c r="Q346" s="601"/>
      <c r="R346" s="600"/>
      <c r="S346" s="599"/>
      <c r="T346" s="600"/>
      <c r="U346" s="601"/>
      <c r="V346" s="600"/>
      <c r="W346" s="599"/>
      <c r="X346" s="600"/>
      <c r="Y346" s="601"/>
      <c r="Z346" s="600"/>
      <c r="AA346" s="599"/>
      <c r="AB346" s="600"/>
      <c r="AC346" s="601"/>
      <c r="AD346" s="600"/>
      <c r="AE346" s="599">
        <v>35</v>
      </c>
      <c r="AF346" s="600"/>
      <c r="AG346" s="601"/>
      <c r="AH346" s="600"/>
      <c r="AI346" s="599"/>
      <c r="AJ346" s="600"/>
      <c r="AK346" s="601">
        <v>8</v>
      </c>
      <c r="AL346" s="600"/>
      <c r="AM346" s="599"/>
      <c r="AN346" s="600"/>
      <c r="AO346" s="601"/>
      <c r="AP346" s="600"/>
      <c r="AQ346" s="599"/>
      <c r="AR346" s="600"/>
      <c r="AS346" s="601"/>
      <c r="AT346" s="600">
        <v>39</v>
      </c>
      <c r="AU346" s="599"/>
      <c r="AV346" s="600"/>
      <c r="AW346" s="601"/>
      <c r="AX346" s="600"/>
      <c r="AY346" s="599"/>
      <c r="AZ346" s="600"/>
      <c r="BA346" s="601"/>
      <c r="BB346" s="602">
        <v>0</v>
      </c>
      <c r="BC346" s="599"/>
      <c r="BD346" s="600">
        <v>0</v>
      </c>
      <c r="BE346" s="599"/>
      <c r="BF346" s="600">
        <v>0</v>
      </c>
      <c r="BG346" s="599"/>
      <c r="BH346" s="600">
        <v>0</v>
      </c>
      <c r="BI346" s="599">
        <v>2222652</v>
      </c>
      <c r="BJ346" s="600">
        <v>0</v>
      </c>
      <c r="BK346" s="615"/>
      <c r="BL346" s="600">
        <v>1711430.37</v>
      </c>
      <c r="BM346" s="604"/>
      <c r="BN346" s="605">
        <f t="shared" si="431"/>
        <v>0</v>
      </c>
      <c r="BO346" s="606">
        <f t="shared" si="432"/>
        <v>0</v>
      </c>
      <c r="BP346" s="607">
        <f t="shared" si="433"/>
        <v>0</v>
      </c>
      <c r="BQ346" s="606">
        <f t="shared" si="434"/>
        <v>0</v>
      </c>
      <c r="BR346" s="607">
        <f t="shared" si="435"/>
        <v>0</v>
      </c>
      <c r="BS346" s="606">
        <f t="shared" si="436"/>
        <v>0</v>
      </c>
      <c r="BT346" s="607">
        <f t="shared" si="437"/>
        <v>0</v>
      </c>
      <c r="BU346" s="606">
        <f t="shared" si="438"/>
        <v>411</v>
      </c>
      <c r="BV346" s="607">
        <f t="shared" si="439"/>
        <v>0</v>
      </c>
      <c r="BW346" s="608">
        <f t="shared" si="440"/>
        <v>0</v>
      </c>
      <c r="BX346" s="607">
        <f t="shared" si="441"/>
        <v>351</v>
      </c>
      <c r="BY346" s="608">
        <f t="shared" si="442"/>
        <v>0</v>
      </c>
      <c r="BZ346" s="607">
        <f t="shared" si="443"/>
        <v>0</v>
      </c>
      <c r="CA346" s="608">
        <f t="shared" si="444"/>
        <v>0</v>
      </c>
      <c r="CB346" s="607">
        <f t="shared" si="445"/>
        <v>0</v>
      </c>
      <c r="CC346" s="608">
        <f t="shared" si="446"/>
        <v>0</v>
      </c>
      <c r="CD346" s="607">
        <f t="shared" si="447"/>
        <v>0</v>
      </c>
      <c r="CE346" s="608">
        <f t="shared" si="448"/>
        <v>0</v>
      </c>
      <c r="CF346" s="607">
        <f t="shared" si="449"/>
        <v>0</v>
      </c>
      <c r="CG346" s="608">
        <f t="shared" si="450"/>
        <v>5407.9124087591244</v>
      </c>
      <c r="CH346" s="607">
        <f t="shared" si="451"/>
        <v>0</v>
      </c>
      <c r="CI346" s="608">
        <f t="shared" si="452"/>
        <v>0</v>
      </c>
      <c r="CJ346" s="607">
        <f t="shared" si="453"/>
        <v>4875.87</v>
      </c>
      <c r="CK346" s="608">
        <f t="shared" si="454"/>
        <v>0</v>
      </c>
      <c r="CL346" s="609">
        <f t="shared" si="455"/>
        <v>0</v>
      </c>
      <c r="CM346" s="608">
        <f t="shared" si="456"/>
        <v>0</v>
      </c>
      <c r="CN346" s="610">
        <f t="shared" si="457"/>
        <v>0</v>
      </c>
      <c r="CO346" s="606">
        <f t="shared" si="458"/>
        <v>0</v>
      </c>
      <c r="CP346" s="607">
        <f t="shared" si="459"/>
        <v>0</v>
      </c>
      <c r="CQ346" s="606">
        <f t="shared" si="460"/>
        <v>0</v>
      </c>
      <c r="CR346" s="607">
        <f t="shared" si="461"/>
        <v>0</v>
      </c>
      <c r="CS346" s="606">
        <f t="shared" si="462"/>
        <v>48671.211678832122</v>
      </c>
      <c r="CT346" s="607">
        <f t="shared" si="463"/>
        <v>0</v>
      </c>
      <c r="CU346" s="608">
        <f t="shared" si="464"/>
        <v>0</v>
      </c>
      <c r="CV346" s="610">
        <f t="shared" si="465"/>
        <v>43882.83</v>
      </c>
      <c r="CW346" s="608">
        <f t="shared" si="466"/>
        <v>0</v>
      </c>
      <c r="CX346" s="610">
        <f t="shared" si="467"/>
        <v>43882.83</v>
      </c>
      <c r="CY346" s="611">
        <f t="shared" si="468"/>
        <v>48671.211678832122</v>
      </c>
      <c r="CZ346" s="605">
        <f t="shared" si="469"/>
        <v>0</v>
      </c>
      <c r="DA346" s="612">
        <f t="shared" si="470"/>
        <v>0</v>
      </c>
      <c r="DB346" s="607">
        <f t="shared" si="471"/>
        <v>0</v>
      </c>
      <c r="DC346" s="606">
        <f t="shared" si="472"/>
        <v>0</v>
      </c>
      <c r="DD346" s="607">
        <f t="shared" si="473"/>
        <v>0</v>
      </c>
      <c r="DE346" s="606">
        <f t="shared" si="474"/>
        <v>0</v>
      </c>
      <c r="DF346" s="607">
        <f t="shared" si="475"/>
        <v>0</v>
      </c>
      <c r="DG346" s="606">
        <f t="shared" si="476"/>
        <v>43</v>
      </c>
      <c r="DH346" s="607">
        <f t="shared" si="477"/>
        <v>0</v>
      </c>
      <c r="DI346" s="608">
        <f t="shared" si="478"/>
        <v>0</v>
      </c>
      <c r="DJ346" s="607">
        <f t="shared" si="479"/>
        <v>39</v>
      </c>
      <c r="DK346" s="608">
        <f t="shared" si="480"/>
        <v>0</v>
      </c>
      <c r="DL346" s="607">
        <f t="shared" si="481"/>
        <v>39</v>
      </c>
      <c r="DM346" s="608">
        <f t="shared" si="482"/>
        <v>43</v>
      </c>
      <c r="DN346" s="607">
        <f t="shared" si="483"/>
        <v>0</v>
      </c>
      <c r="DO346" s="612">
        <f t="shared" si="484"/>
        <v>0</v>
      </c>
      <c r="DP346" s="607">
        <f t="shared" si="485"/>
        <v>0</v>
      </c>
      <c r="DQ346" s="606">
        <f t="shared" si="486"/>
        <v>0</v>
      </c>
      <c r="DR346" s="607">
        <f t="shared" si="487"/>
        <v>0</v>
      </c>
      <c r="DS346" s="606">
        <f t="shared" si="488"/>
        <v>0</v>
      </c>
      <c r="DT346" s="607">
        <f t="shared" si="489"/>
        <v>0</v>
      </c>
      <c r="DU346" s="606">
        <f t="shared" si="490"/>
        <v>2092862.1021897811</v>
      </c>
      <c r="DV346" s="607">
        <f t="shared" si="491"/>
        <v>0</v>
      </c>
      <c r="DW346" s="608">
        <f t="shared" si="492"/>
        <v>0</v>
      </c>
      <c r="DX346" s="607">
        <f t="shared" si="493"/>
        <v>1711430.37</v>
      </c>
      <c r="DY346" s="608">
        <f t="shared" si="494"/>
        <v>0</v>
      </c>
      <c r="DZ346" s="607">
        <f t="shared" si="495"/>
        <v>1711430.37</v>
      </c>
      <c r="EA346" s="608">
        <f t="shared" si="496"/>
        <v>2092862.1021897811</v>
      </c>
    </row>
    <row r="347" spans="1:131" x14ac:dyDescent="0.2">
      <c r="A347" s="393" t="s">
        <v>40</v>
      </c>
      <c r="B347" s="391" t="s">
        <v>665</v>
      </c>
      <c r="C347" s="569"/>
      <c r="D347" s="398">
        <v>198923</v>
      </c>
      <c r="E347" s="399">
        <v>10</v>
      </c>
      <c r="F347" s="598"/>
      <c r="G347" s="599"/>
      <c r="H347" s="600"/>
      <c r="I347" s="601"/>
      <c r="J347" s="600"/>
      <c r="K347" s="599"/>
      <c r="L347" s="600"/>
      <c r="M347" s="601"/>
      <c r="N347" s="600"/>
      <c r="O347" s="599"/>
      <c r="P347" s="600"/>
      <c r="Q347" s="601"/>
      <c r="R347" s="600"/>
      <c r="S347" s="599"/>
      <c r="T347" s="600"/>
      <c r="U347" s="601"/>
      <c r="V347" s="600"/>
      <c r="W347" s="599"/>
      <c r="X347" s="600"/>
      <c r="Y347" s="601"/>
      <c r="Z347" s="600"/>
      <c r="AA347" s="599"/>
      <c r="AB347" s="600"/>
      <c r="AC347" s="601"/>
      <c r="AD347" s="600"/>
      <c r="AE347" s="599">
        <v>48</v>
      </c>
      <c r="AF347" s="600"/>
      <c r="AG347" s="601"/>
      <c r="AH347" s="600"/>
      <c r="AI347" s="599"/>
      <c r="AJ347" s="600"/>
      <c r="AK347" s="601"/>
      <c r="AL347" s="600"/>
      <c r="AM347" s="599"/>
      <c r="AN347" s="600"/>
      <c r="AO347" s="601"/>
      <c r="AP347" s="600"/>
      <c r="AQ347" s="599"/>
      <c r="AR347" s="600"/>
      <c r="AS347" s="601"/>
      <c r="AT347" s="600">
        <v>45</v>
      </c>
      <c r="AU347" s="599"/>
      <c r="AV347" s="600"/>
      <c r="AW347" s="601"/>
      <c r="AX347" s="600"/>
      <c r="AY347" s="599"/>
      <c r="AZ347" s="600"/>
      <c r="BA347" s="601"/>
      <c r="BB347" s="602">
        <v>0</v>
      </c>
      <c r="BC347" s="599"/>
      <c r="BD347" s="600">
        <v>0</v>
      </c>
      <c r="BE347" s="599"/>
      <c r="BF347" s="600">
        <v>0</v>
      </c>
      <c r="BG347" s="599"/>
      <c r="BH347" s="600">
        <v>0</v>
      </c>
      <c r="BI347" s="599">
        <v>2133692</v>
      </c>
      <c r="BJ347" s="600">
        <v>0</v>
      </c>
      <c r="BK347" s="615"/>
      <c r="BL347" s="600">
        <v>2115549.9</v>
      </c>
      <c r="BM347" s="604"/>
      <c r="BN347" s="605">
        <f t="shared" si="431"/>
        <v>0</v>
      </c>
      <c r="BO347" s="606">
        <f t="shared" si="432"/>
        <v>0</v>
      </c>
      <c r="BP347" s="607">
        <f t="shared" si="433"/>
        <v>0</v>
      </c>
      <c r="BQ347" s="606">
        <f t="shared" si="434"/>
        <v>0</v>
      </c>
      <c r="BR347" s="607">
        <f t="shared" si="435"/>
        <v>0</v>
      </c>
      <c r="BS347" s="606">
        <f t="shared" si="436"/>
        <v>0</v>
      </c>
      <c r="BT347" s="607">
        <f t="shared" si="437"/>
        <v>0</v>
      </c>
      <c r="BU347" s="606">
        <f t="shared" si="438"/>
        <v>432</v>
      </c>
      <c r="BV347" s="607">
        <f t="shared" si="439"/>
        <v>0</v>
      </c>
      <c r="BW347" s="608">
        <f t="shared" si="440"/>
        <v>0</v>
      </c>
      <c r="BX347" s="607">
        <f t="shared" si="441"/>
        <v>405</v>
      </c>
      <c r="BY347" s="608">
        <f t="shared" si="442"/>
        <v>0</v>
      </c>
      <c r="BZ347" s="607">
        <f t="shared" si="443"/>
        <v>0</v>
      </c>
      <c r="CA347" s="608">
        <f t="shared" si="444"/>
        <v>0</v>
      </c>
      <c r="CB347" s="607">
        <f t="shared" si="445"/>
        <v>0</v>
      </c>
      <c r="CC347" s="608">
        <f t="shared" si="446"/>
        <v>0</v>
      </c>
      <c r="CD347" s="607">
        <f t="shared" si="447"/>
        <v>0</v>
      </c>
      <c r="CE347" s="608">
        <f t="shared" si="448"/>
        <v>0</v>
      </c>
      <c r="CF347" s="607">
        <f t="shared" si="449"/>
        <v>0</v>
      </c>
      <c r="CG347" s="608">
        <f t="shared" si="450"/>
        <v>4939.1018518518522</v>
      </c>
      <c r="CH347" s="607">
        <f t="shared" si="451"/>
        <v>0</v>
      </c>
      <c r="CI347" s="608">
        <f t="shared" si="452"/>
        <v>0</v>
      </c>
      <c r="CJ347" s="607">
        <f t="shared" si="453"/>
        <v>5223.58</v>
      </c>
      <c r="CK347" s="608">
        <f t="shared" si="454"/>
        <v>0</v>
      </c>
      <c r="CL347" s="609">
        <f t="shared" si="455"/>
        <v>0</v>
      </c>
      <c r="CM347" s="608">
        <f t="shared" si="456"/>
        <v>0</v>
      </c>
      <c r="CN347" s="610">
        <f t="shared" si="457"/>
        <v>0</v>
      </c>
      <c r="CO347" s="606">
        <f t="shared" si="458"/>
        <v>0</v>
      </c>
      <c r="CP347" s="607">
        <f t="shared" si="459"/>
        <v>0</v>
      </c>
      <c r="CQ347" s="606">
        <f t="shared" si="460"/>
        <v>0</v>
      </c>
      <c r="CR347" s="607">
        <f t="shared" si="461"/>
        <v>0</v>
      </c>
      <c r="CS347" s="606">
        <f t="shared" si="462"/>
        <v>44451.916666666672</v>
      </c>
      <c r="CT347" s="607">
        <f t="shared" si="463"/>
        <v>0</v>
      </c>
      <c r="CU347" s="608">
        <f t="shared" si="464"/>
        <v>0</v>
      </c>
      <c r="CV347" s="610">
        <f t="shared" si="465"/>
        <v>47012.22</v>
      </c>
      <c r="CW347" s="608">
        <f t="shared" si="466"/>
        <v>0</v>
      </c>
      <c r="CX347" s="610">
        <f t="shared" si="467"/>
        <v>47012.22</v>
      </c>
      <c r="CY347" s="611">
        <f t="shared" si="468"/>
        <v>44451.916666666664</v>
      </c>
      <c r="CZ347" s="605">
        <f t="shared" si="469"/>
        <v>0</v>
      </c>
      <c r="DA347" s="612">
        <f t="shared" si="470"/>
        <v>0</v>
      </c>
      <c r="DB347" s="607">
        <f t="shared" si="471"/>
        <v>0</v>
      </c>
      <c r="DC347" s="606">
        <f t="shared" si="472"/>
        <v>0</v>
      </c>
      <c r="DD347" s="607">
        <f t="shared" si="473"/>
        <v>0</v>
      </c>
      <c r="DE347" s="606">
        <f t="shared" si="474"/>
        <v>0</v>
      </c>
      <c r="DF347" s="607">
        <f t="shared" si="475"/>
        <v>0</v>
      </c>
      <c r="DG347" s="606">
        <f t="shared" si="476"/>
        <v>48</v>
      </c>
      <c r="DH347" s="607">
        <f t="shared" si="477"/>
        <v>0</v>
      </c>
      <c r="DI347" s="608">
        <f t="shared" si="478"/>
        <v>0</v>
      </c>
      <c r="DJ347" s="607">
        <f t="shared" si="479"/>
        <v>45</v>
      </c>
      <c r="DK347" s="608">
        <f t="shared" si="480"/>
        <v>0</v>
      </c>
      <c r="DL347" s="607">
        <f t="shared" si="481"/>
        <v>45</v>
      </c>
      <c r="DM347" s="608">
        <f t="shared" si="482"/>
        <v>48</v>
      </c>
      <c r="DN347" s="607">
        <f t="shared" si="483"/>
        <v>0</v>
      </c>
      <c r="DO347" s="612">
        <f t="shared" si="484"/>
        <v>0</v>
      </c>
      <c r="DP347" s="607">
        <f t="shared" si="485"/>
        <v>0</v>
      </c>
      <c r="DQ347" s="606">
        <f t="shared" si="486"/>
        <v>0</v>
      </c>
      <c r="DR347" s="607">
        <f t="shared" si="487"/>
        <v>0</v>
      </c>
      <c r="DS347" s="606">
        <f t="shared" si="488"/>
        <v>0</v>
      </c>
      <c r="DT347" s="607">
        <f t="shared" si="489"/>
        <v>0</v>
      </c>
      <c r="DU347" s="606">
        <f t="shared" si="490"/>
        <v>2133692</v>
      </c>
      <c r="DV347" s="607">
        <f t="shared" si="491"/>
        <v>0</v>
      </c>
      <c r="DW347" s="608">
        <f t="shared" si="492"/>
        <v>0</v>
      </c>
      <c r="DX347" s="607">
        <f t="shared" si="493"/>
        <v>2115549.9</v>
      </c>
      <c r="DY347" s="608">
        <f t="shared" si="494"/>
        <v>0</v>
      </c>
      <c r="DZ347" s="607">
        <f t="shared" si="495"/>
        <v>2115549.9</v>
      </c>
      <c r="EA347" s="608">
        <f t="shared" si="496"/>
        <v>2133692</v>
      </c>
    </row>
    <row r="348" spans="1:131" x14ac:dyDescent="0.2">
      <c r="A348" s="393" t="s">
        <v>40</v>
      </c>
      <c r="B348" s="391" t="s">
        <v>666</v>
      </c>
      <c r="C348" s="569"/>
      <c r="D348" s="398">
        <v>199023</v>
      </c>
      <c r="E348" s="399">
        <v>10</v>
      </c>
      <c r="F348" s="598"/>
      <c r="G348" s="599"/>
      <c r="H348" s="600"/>
      <c r="I348" s="601"/>
      <c r="J348" s="600"/>
      <c r="K348" s="599"/>
      <c r="L348" s="600"/>
      <c r="M348" s="601"/>
      <c r="N348" s="600"/>
      <c r="O348" s="599"/>
      <c r="P348" s="600"/>
      <c r="Q348" s="601"/>
      <c r="R348" s="600"/>
      <c r="S348" s="599"/>
      <c r="T348" s="600"/>
      <c r="U348" s="601"/>
      <c r="V348" s="600"/>
      <c r="W348" s="599"/>
      <c r="X348" s="600"/>
      <c r="Y348" s="601"/>
      <c r="Z348" s="600"/>
      <c r="AA348" s="599"/>
      <c r="AB348" s="600"/>
      <c r="AC348" s="601"/>
      <c r="AD348" s="600"/>
      <c r="AE348" s="599"/>
      <c r="AF348" s="600"/>
      <c r="AG348" s="601"/>
      <c r="AH348" s="600"/>
      <c r="AI348" s="599"/>
      <c r="AJ348" s="600"/>
      <c r="AK348" s="601"/>
      <c r="AL348" s="600"/>
      <c r="AM348" s="599">
        <v>10</v>
      </c>
      <c r="AN348" s="600"/>
      <c r="AO348" s="601">
        <v>10</v>
      </c>
      <c r="AP348" s="600"/>
      <c r="AQ348" s="599"/>
      <c r="AR348" s="600"/>
      <c r="AS348" s="601">
        <v>18</v>
      </c>
      <c r="AT348" s="600">
        <v>34</v>
      </c>
      <c r="AU348" s="599"/>
      <c r="AV348" s="600"/>
      <c r="AW348" s="601"/>
      <c r="AX348" s="600"/>
      <c r="AY348" s="599"/>
      <c r="AZ348" s="600"/>
      <c r="BA348" s="601"/>
      <c r="BB348" s="602">
        <v>0</v>
      </c>
      <c r="BC348" s="599"/>
      <c r="BD348" s="600">
        <v>0</v>
      </c>
      <c r="BE348" s="599"/>
      <c r="BF348" s="600">
        <v>0</v>
      </c>
      <c r="BG348" s="599"/>
      <c r="BH348" s="600">
        <v>0</v>
      </c>
      <c r="BI348" s="599"/>
      <c r="BJ348" s="600">
        <v>0</v>
      </c>
      <c r="BK348" s="615">
        <v>1892018</v>
      </c>
      <c r="BL348" s="600">
        <v>1433628.36</v>
      </c>
      <c r="BM348" s="604"/>
      <c r="BN348" s="605">
        <f t="shared" si="431"/>
        <v>0</v>
      </c>
      <c r="BO348" s="606">
        <f t="shared" si="432"/>
        <v>0</v>
      </c>
      <c r="BP348" s="607">
        <f t="shared" si="433"/>
        <v>0</v>
      </c>
      <c r="BQ348" s="606">
        <f t="shared" si="434"/>
        <v>0</v>
      </c>
      <c r="BR348" s="607">
        <f t="shared" si="435"/>
        <v>0</v>
      </c>
      <c r="BS348" s="606">
        <f t="shared" si="436"/>
        <v>0</v>
      </c>
      <c r="BT348" s="607">
        <f t="shared" si="437"/>
        <v>0</v>
      </c>
      <c r="BU348" s="606">
        <f t="shared" si="438"/>
        <v>0</v>
      </c>
      <c r="BV348" s="607">
        <f t="shared" si="439"/>
        <v>0</v>
      </c>
      <c r="BW348" s="608">
        <f t="shared" si="440"/>
        <v>406</v>
      </c>
      <c r="BX348" s="607">
        <f t="shared" si="441"/>
        <v>306</v>
      </c>
      <c r="BY348" s="608">
        <f t="shared" si="442"/>
        <v>0</v>
      </c>
      <c r="BZ348" s="607">
        <f t="shared" si="443"/>
        <v>0</v>
      </c>
      <c r="CA348" s="608">
        <f t="shared" si="444"/>
        <v>0</v>
      </c>
      <c r="CB348" s="607">
        <f t="shared" si="445"/>
        <v>0</v>
      </c>
      <c r="CC348" s="608">
        <f t="shared" si="446"/>
        <v>0</v>
      </c>
      <c r="CD348" s="607">
        <f t="shared" si="447"/>
        <v>0</v>
      </c>
      <c r="CE348" s="608">
        <f t="shared" si="448"/>
        <v>0</v>
      </c>
      <c r="CF348" s="607">
        <f t="shared" si="449"/>
        <v>0</v>
      </c>
      <c r="CG348" s="608">
        <f t="shared" si="450"/>
        <v>0</v>
      </c>
      <c r="CH348" s="607">
        <f t="shared" si="451"/>
        <v>0</v>
      </c>
      <c r="CI348" s="608">
        <f t="shared" si="452"/>
        <v>4660.1428571428569</v>
      </c>
      <c r="CJ348" s="607">
        <f t="shared" si="453"/>
        <v>4685.0600000000004</v>
      </c>
      <c r="CK348" s="608">
        <f t="shared" si="454"/>
        <v>0</v>
      </c>
      <c r="CL348" s="609">
        <f t="shared" si="455"/>
        <v>0</v>
      </c>
      <c r="CM348" s="608">
        <f t="shared" si="456"/>
        <v>0</v>
      </c>
      <c r="CN348" s="610">
        <f t="shared" si="457"/>
        <v>0</v>
      </c>
      <c r="CO348" s="606">
        <f t="shared" si="458"/>
        <v>0</v>
      </c>
      <c r="CP348" s="607">
        <f t="shared" si="459"/>
        <v>0</v>
      </c>
      <c r="CQ348" s="606">
        <f t="shared" si="460"/>
        <v>0</v>
      </c>
      <c r="CR348" s="607">
        <f t="shared" si="461"/>
        <v>0</v>
      </c>
      <c r="CS348" s="606">
        <f t="shared" si="462"/>
        <v>0</v>
      </c>
      <c r="CT348" s="607">
        <f t="shared" si="463"/>
        <v>0</v>
      </c>
      <c r="CU348" s="608">
        <f t="shared" si="464"/>
        <v>41941.28571428571</v>
      </c>
      <c r="CV348" s="610">
        <f t="shared" si="465"/>
        <v>42165.54</v>
      </c>
      <c r="CW348" s="608">
        <f t="shared" si="466"/>
        <v>0</v>
      </c>
      <c r="CX348" s="610">
        <f t="shared" si="467"/>
        <v>42165.54</v>
      </c>
      <c r="CY348" s="611">
        <f t="shared" si="468"/>
        <v>41941.28571428571</v>
      </c>
      <c r="CZ348" s="605">
        <f t="shared" si="469"/>
        <v>0</v>
      </c>
      <c r="DA348" s="612">
        <f t="shared" si="470"/>
        <v>0</v>
      </c>
      <c r="DB348" s="607">
        <f t="shared" si="471"/>
        <v>0</v>
      </c>
      <c r="DC348" s="606">
        <f t="shared" si="472"/>
        <v>0</v>
      </c>
      <c r="DD348" s="607">
        <f t="shared" si="473"/>
        <v>0</v>
      </c>
      <c r="DE348" s="606">
        <f t="shared" si="474"/>
        <v>0</v>
      </c>
      <c r="DF348" s="607">
        <f t="shared" si="475"/>
        <v>0</v>
      </c>
      <c r="DG348" s="606">
        <f t="shared" si="476"/>
        <v>0</v>
      </c>
      <c r="DH348" s="607">
        <f t="shared" si="477"/>
        <v>0</v>
      </c>
      <c r="DI348" s="608">
        <f t="shared" si="478"/>
        <v>38</v>
      </c>
      <c r="DJ348" s="607">
        <f t="shared" si="479"/>
        <v>34</v>
      </c>
      <c r="DK348" s="608">
        <f t="shared" si="480"/>
        <v>0</v>
      </c>
      <c r="DL348" s="607">
        <f t="shared" si="481"/>
        <v>34</v>
      </c>
      <c r="DM348" s="608">
        <f t="shared" si="482"/>
        <v>38</v>
      </c>
      <c r="DN348" s="607">
        <f t="shared" si="483"/>
        <v>0</v>
      </c>
      <c r="DO348" s="612">
        <f t="shared" si="484"/>
        <v>0</v>
      </c>
      <c r="DP348" s="607">
        <f t="shared" si="485"/>
        <v>0</v>
      </c>
      <c r="DQ348" s="606">
        <f t="shared" si="486"/>
        <v>0</v>
      </c>
      <c r="DR348" s="607">
        <f t="shared" si="487"/>
        <v>0</v>
      </c>
      <c r="DS348" s="606">
        <f t="shared" si="488"/>
        <v>0</v>
      </c>
      <c r="DT348" s="607">
        <f t="shared" si="489"/>
        <v>0</v>
      </c>
      <c r="DU348" s="606">
        <f t="shared" si="490"/>
        <v>0</v>
      </c>
      <c r="DV348" s="607">
        <f t="shared" si="491"/>
        <v>0</v>
      </c>
      <c r="DW348" s="608">
        <f t="shared" si="492"/>
        <v>1593768.857142857</v>
      </c>
      <c r="DX348" s="607">
        <f t="shared" si="493"/>
        <v>1433628.36</v>
      </c>
      <c r="DY348" s="608">
        <f t="shared" si="494"/>
        <v>0</v>
      </c>
      <c r="DZ348" s="607">
        <f t="shared" si="495"/>
        <v>1433628.36</v>
      </c>
      <c r="EA348" s="608">
        <f t="shared" si="496"/>
        <v>1593768.857142857</v>
      </c>
    </row>
    <row r="349" spans="1:131" x14ac:dyDescent="0.2">
      <c r="A349" s="393" t="s">
        <v>40</v>
      </c>
      <c r="B349" s="391" t="s">
        <v>667</v>
      </c>
      <c r="C349" s="569"/>
      <c r="D349" s="398">
        <v>199263</v>
      </c>
      <c r="E349" s="399">
        <v>10</v>
      </c>
      <c r="F349" s="598"/>
      <c r="G349" s="599"/>
      <c r="H349" s="600"/>
      <c r="I349" s="601"/>
      <c r="J349" s="600"/>
      <c r="K349" s="599"/>
      <c r="L349" s="600"/>
      <c r="M349" s="601"/>
      <c r="N349" s="600"/>
      <c r="O349" s="599"/>
      <c r="P349" s="600"/>
      <c r="Q349" s="601"/>
      <c r="R349" s="600"/>
      <c r="S349" s="599"/>
      <c r="T349" s="600"/>
      <c r="U349" s="601"/>
      <c r="V349" s="600"/>
      <c r="W349" s="599"/>
      <c r="X349" s="600"/>
      <c r="Y349" s="601"/>
      <c r="Z349" s="600"/>
      <c r="AA349" s="599"/>
      <c r="AB349" s="600"/>
      <c r="AC349" s="601"/>
      <c r="AD349" s="600"/>
      <c r="AE349" s="599">
        <v>10</v>
      </c>
      <c r="AF349" s="600"/>
      <c r="AG349" s="601"/>
      <c r="AH349" s="600"/>
      <c r="AI349" s="599">
        <v>5</v>
      </c>
      <c r="AJ349" s="600"/>
      <c r="AK349" s="601">
        <v>13</v>
      </c>
      <c r="AL349" s="600"/>
      <c r="AM349" s="599"/>
      <c r="AN349" s="600"/>
      <c r="AO349" s="601"/>
      <c r="AP349" s="600"/>
      <c r="AQ349" s="599"/>
      <c r="AR349" s="600"/>
      <c r="AS349" s="601"/>
      <c r="AT349" s="600">
        <v>18</v>
      </c>
      <c r="AU349" s="599"/>
      <c r="AV349" s="600"/>
      <c r="AW349" s="601"/>
      <c r="AX349" s="600"/>
      <c r="AY349" s="599"/>
      <c r="AZ349" s="600"/>
      <c r="BA349" s="601"/>
      <c r="BB349" s="602">
        <v>0</v>
      </c>
      <c r="BC349" s="599"/>
      <c r="BD349" s="600">
        <v>0</v>
      </c>
      <c r="BE349" s="599"/>
      <c r="BF349" s="600">
        <v>0</v>
      </c>
      <c r="BG349" s="599"/>
      <c r="BH349" s="600">
        <v>0</v>
      </c>
      <c r="BI349" s="599">
        <v>1431971</v>
      </c>
      <c r="BJ349" s="600">
        <v>0</v>
      </c>
      <c r="BK349" s="615"/>
      <c r="BL349" s="600">
        <v>817056.72</v>
      </c>
      <c r="BM349" s="604"/>
      <c r="BN349" s="605">
        <f t="shared" si="431"/>
        <v>0</v>
      </c>
      <c r="BO349" s="606">
        <f t="shared" si="432"/>
        <v>0</v>
      </c>
      <c r="BP349" s="607">
        <f t="shared" si="433"/>
        <v>0</v>
      </c>
      <c r="BQ349" s="606">
        <f t="shared" si="434"/>
        <v>0</v>
      </c>
      <c r="BR349" s="607">
        <f t="shared" si="435"/>
        <v>0</v>
      </c>
      <c r="BS349" s="606">
        <f t="shared" si="436"/>
        <v>0</v>
      </c>
      <c r="BT349" s="607">
        <f t="shared" si="437"/>
        <v>0</v>
      </c>
      <c r="BU349" s="606">
        <f t="shared" si="438"/>
        <v>301</v>
      </c>
      <c r="BV349" s="607">
        <f t="shared" si="439"/>
        <v>0</v>
      </c>
      <c r="BW349" s="608">
        <f t="shared" si="440"/>
        <v>0</v>
      </c>
      <c r="BX349" s="607">
        <f t="shared" si="441"/>
        <v>162</v>
      </c>
      <c r="BY349" s="608">
        <f t="shared" si="442"/>
        <v>0</v>
      </c>
      <c r="BZ349" s="607">
        <f t="shared" si="443"/>
        <v>0</v>
      </c>
      <c r="CA349" s="608">
        <f t="shared" si="444"/>
        <v>0</v>
      </c>
      <c r="CB349" s="607">
        <f t="shared" si="445"/>
        <v>0</v>
      </c>
      <c r="CC349" s="608">
        <f t="shared" si="446"/>
        <v>0</v>
      </c>
      <c r="CD349" s="607">
        <f t="shared" si="447"/>
        <v>0</v>
      </c>
      <c r="CE349" s="608">
        <f t="shared" si="448"/>
        <v>0</v>
      </c>
      <c r="CF349" s="607">
        <f t="shared" si="449"/>
        <v>0</v>
      </c>
      <c r="CG349" s="608">
        <f t="shared" si="450"/>
        <v>4757.3787375415286</v>
      </c>
      <c r="CH349" s="607">
        <f t="shared" si="451"/>
        <v>0</v>
      </c>
      <c r="CI349" s="608">
        <f t="shared" si="452"/>
        <v>0</v>
      </c>
      <c r="CJ349" s="607">
        <f t="shared" si="453"/>
        <v>5043.5599999999995</v>
      </c>
      <c r="CK349" s="608">
        <f t="shared" si="454"/>
        <v>0</v>
      </c>
      <c r="CL349" s="609">
        <f t="shared" si="455"/>
        <v>0</v>
      </c>
      <c r="CM349" s="608">
        <f t="shared" si="456"/>
        <v>0</v>
      </c>
      <c r="CN349" s="610">
        <f t="shared" si="457"/>
        <v>0</v>
      </c>
      <c r="CO349" s="606">
        <f t="shared" si="458"/>
        <v>0</v>
      </c>
      <c r="CP349" s="607">
        <f t="shared" si="459"/>
        <v>0</v>
      </c>
      <c r="CQ349" s="606">
        <f t="shared" si="460"/>
        <v>0</v>
      </c>
      <c r="CR349" s="607">
        <f t="shared" si="461"/>
        <v>0</v>
      </c>
      <c r="CS349" s="606">
        <f t="shared" si="462"/>
        <v>42816.408637873756</v>
      </c>
      <c r="CT349" s="607">
        <f t="shared" si="463"/>
        <v>0</v>
      </c>
      <c r="CU349" s="608">
        <f t="shared" si="464"/>
        <v>0</v>
      </c>
      <c r="CV349" s="610">
        <f t="shared" si="465"/>
        <v>45392.039999999994</v>
      </c>
      <c r="CW349" s="608">
        <f t="shared" si="466"/>
        <v>0</v>
      </c>
      <c r="CX349" s="610">
        <f t="shared" si="467"/>
        <v>45392.039999999994</v>
      </c>
      <c r="CY349" s="611">
        <f t="shared" si="468"/>
        <v>42816.408637873756</v>
      </c>
      <c r="CZ349" s="605">
        <f t="shared" si="469"/>
        <v>0</v>
      </c>
      <c r="DA349" s="612">
        <f t="shared" si="470"/>
        <v>0</v>
      </c>
      <c r="DB349" s="607">
        <f t="shared" si="471"/>
        <v>0</v>
      </c>
      <c r="DC349" s="606">
        <f t="shared" si="472"/>
        <v>0</v>
      </c>
      <c r="DD349" s="607">
        <f t="shared" si="473"/>
        <v>0</v>
      </c>
      <c r="DE349" s="606">
        <f t="shared" si="474"/>
        <v>0</v>
      </c>
      <c r="DF349" s="607">
        <f t="shared" si="475"/>
        <v>0</v>
      </c>
      <c r="DG349" s="606">
        <f t="shared" si="476"/>
        <v>28</v>
      </c>
      <c r="DH349" s="607">
        <f t="shared" si="477"/>
        <v>0</v>
      </c>
      <c r="DI349" s="608">
        <f t="shared" si="478"/>
        <v>0</v>
      </c>
      <c r="DJ349" s="607">
        <f t="shared" si="479"/>
        <v>18</v>
      </c>
      <c r="DK349" s="608">
        <f t="shared" si="480"/>
        <v>0</v>
      </c>
      <c r="DL349" s="607">
        <f t="shared" si="481"/>
        <v>18</v>
      </c>
      <c r="DM349" s="608">
        <f t="shared" si="482"/>
        <v>28</v>
      </c>
      <c r="DN349" s="607">
        <f t="shared" si="483"/>
        <v>0</v>
      </c>
      <c r="DO349" s="612">
        <f t="shared" si="484"/>
        <v>0</v>
      </c>
      <c r="DP349" s="607">
        <f t="shared" si="485"/>
        <v>0</v>
      </c>
      <c r="DQ349" s="606">
        <f t="shared" si="486"/>
        <v>0</v>
      </c>
      <c r="DR349" s="607">
        <f t="shared" si="487"/>
        <v>0</v>
      </c>
      <c r="DS349" s="606">
        <f t="shared" si="488"/>
        <v>0</v>
      </c>
      <c r="DT349" s="607">
        <f t="shared" si="489"/>
        <v>0</v>
      </c>
      <c r="DU349" s="606">
        <f t="shared" si="490"/>
        <v>1198859.4418604651</v>
      </c>
      <c r="DV349" s="607">
        <f t="shared" si="491"/>
        <v>0</v>
      </c>
      <c r="DW349" s="608">
        <f t="shared" si="492"/>
        <v>0</v>
      </c>
      <c r="DX349" s="607">
        <f t="shared" si="493"/>
        <v>817056.71999999986</v>
      </c>
      <c r="DY349" s="608">
        <f t="shared" si="494"/>
        <v>0</v>
      </c>
      <c r="DZ349" s="607">
        <f t="shared" si="495"/>
        <v>817056.71999999986</v>
      </c>
      <c r="EA349" s="608">
        <f t="shared" si="496"/>
        <v>1198859.4418604651</v>
      </c>
    </row>
    <row r="350" spans="1:131" x14ac:dyDescent="0.2">
      <c r="A350" s="393" t="s">
        <v>40</v>
      </c>
      <c r="B350" s="394" t="s">
        <v>668</v>
      </c>
      <c r="C350" s="570"/>
      <c r="D350" s="400">
        <v>199324</v>
      </c>
      <c r="E350" s="392">
        <v>10</v>
      </c>
      <c r="F350" s="598"/>
      <c r="G350" s="599"/>
      <c r="H350" s="600"/>
      <c r="I350" s="601"/>
      <c r="J350" s="600"/>
      <c r="K350" s="599"/>
      <c r="L350" s="600"/>
      <c r="M350" s="601"/>
      <c r="N350" s="600"/>
      <c r="O350" s="599"/>
      <c r="P350" s="600"/>
      <c r="Q350" s="601"/>
      <c r="R350" s="600"/>
      <c r="S350" s="599"/>
      <c r="T350" s="600"/>
      <c r="U350" s="601"/>
      <c r="V350" s="600"/>
      <c r="W350" s="599"/>
      <c r="X350" s="600"/>
      <c r="Y350" s="601"/>
      <c r="Z350" s="600"/>
      <c r="AA350" s="599"/>
      <c r="AB350" s="600"/>
      <c r="AC350" s="601"/>
      <c r="AD350" s="600"/>
      <c r="AE350" s="599"/>
      <c r="AF350" s="600"/>
      <c r="AG350" s="601"/>
      <c r="AH350" s="600"/>
      <c r="AI350" s="599"/>
      <c r="AJ350" s="600"/>
      <c r="AK350" s="601"/>
      <c r="AL350" s="600"/>
      <c r="AM350" s="599">
        <v>81</v>
      </c>
      <c r="AN350" s="600"/>
      <c r="AO350" s="601">
        <v>2</v>
      </c>
      <c r="AP350" s="600"/>
      <c r="AQ350" s="599"/>
      <c r="AR350" s="600"/>
      <c r="AS350" s="601">
        <v>3</v>
      </c>
      <c r="AT350" s="600">
        <v>71</v>
      </c>
      <c r="AU350" s="599"/>
      <c r="AV350" s="600"/>
      <c r="AW350" s="601"/>
      <c r="AX350" s="600"/>
      <c r="AY350" s="599"/>
      <c r="AZ350" s="600"/>
      <c r="BA350" s="601"/>
      <c r="BB350" s="602">
        <v>0</v>
      </c>
      <c r="BC350" s="599"/>
      <c r="BD350" s="600">
        <v>0</v>
      </c>
      <c r="BE350" s="599"/>
      <c r="BF350" s="600">
        <v>0</v>
      </c>
      <c r="BG350" s="599"/>
      <c r="BH350" s="600">
        <v>0</v>
      </c>
      <c r="BI350" s="599"/>
      <c r="BJ350" s="600">
        <v>0</v>
      </c>
      <c r="BK350" s="615">
        <v>3960626</v>
      </c>
      <c r="BL350" s="600">
        <v>3364373.34</v>
      </c>
      <c r="BM350" s="604"/>
      <c r="BN350" s="605">
        <f t="shared" si="431"/>
        <v>0</v>
      </c>
      <c r="BO350" s="606">
        <f t="shared" si="432"/>
        <v>0</v>
      </c>
      <c r="BP350" s="607">
        <f t="shared" si="433"/>
        <v>0</v>
      </c>
      <c r="BQ350" s="606">
        <f t="shared" si="434"/>
        <v>0</v>
      </c>
      <c r="BR350" s="607">
        <f t="shared" si="435"/>
        <v>0</v>
      </c>
      <c r="BS350" s="606">
        <f t="shared" si="436"/>
        <v>0</v>
      </c>
      <c r="BT350" s="607">
        <f t="shared" si="437"/>
        <v>0</v>
      </c>
      <c r="BU350" s="606">
        <f t="shared" si="438"/>
        <v>0</v>
      </c>
      <c r="BV350" s="607">
        <f t="shared" si="439"/>
        <v>0</v>
      </c>
      <c r="BW350" s="608">
        <f t="shared" si="440"/>
        <v>785</v>
      </c>
      <c r="BX350" s="607">
        <f t="shared" si="441"/>
        <v>639</v>
      </c>
      <c r="BY350" s="608">
        <f t="shared" si="442"/>
        <v>0</v>
      </c>
      <c r="BZ350" s="607">
        <f t="shared" si="443"/>
        <v>0</v>
      </c>
      <c r="CA350" s="608">
        <f t="shared" si="444"/>
        <v>0</v>
      </c>
      <c r="CB350" s="607">
        <f t="shared" si="445"/>
        <v>0</v>
      </c>
      <c r="CC350" s="608">
        <f t="shared" si="446"/>
        <v>0</v>
      </c>
      <c r="CD350" s="607">
        <f t="shared" si="447"/>
        <v>0</v>
      </c>
      <c r="CE350" s="608">
        <f t="shared" si="448"/>
        <v>0</v>
      </c>
      <c r="CF350" s="607">
        <f t="shared" si="449"/>
        <v>0</v>
      </c>
      <c r="CG350" s="608">
        <f t="shared" si="450"/>
        <v>0</v>
      </c>
      <c r="CH350" s="607">
        <f t="shared" si="451"/>
        <v>0</v>
      </c>
      <c r="CI350" s="608">
        <f t="shared" si="452"/>
        <v>5045.3834394904461</v>
      </c>
      <c r="CJ350" s="607">
        <f t="shared" si="453"/>
        <v>5265.0599999999995</v>
      </c>
      <c r="CK350" s="608">
        <f t="shared" si="454"/>
        <v>0</v>
      </c>
      <c r="CL350" s="609">
        <f t="shared" si="455"/>
        <v>0</v>
      </c>
      <c r="CM350" s="608">
        <f t="shared" si="456"/>
        <v>0</v>
      </c>
      <c r="CN350" s="610">
        <f t="shared" si="457"/>
        <v>0</v>
      </c>
      <c r="CO350" s="606">
        <f t="shared" si="458"/>
        <v>0</v>
      </c>
      <c r="CP350" s="607">
        <f t="shared" si="459"/>
        <v>0</v>
      </c>
      <c r="CQ350" s="606">
        <f t="shared" si="460"/>
        <v>0</v>
      </c>
      <c r="CR350" s="607">
        <f t="shared" si="461"/>
        <v>0</v>
      </c>
      <c r="CS350" s="606">
        <f t="shared" si="462"/>
        <v>0</v>
      </c>
      <c r="CT350" s="607">
        <f t="shared" si="463"/>
        <v>0</v>
      </c>
      <c r="CU350" s="608">
        <f t="shared" si="464"/>
        <v>45408.450955414017</v>
      </c>
      <c r="CV350" s="610">
        <f t="shared" si="465"/>
        <v>47385.539999999994</v>
      </c>
      <c r="CW350" s="608">
        <f t="shared" si="466"/>
        <v>0</v>
      </c>
      <c r="CX350" s="610">
        <f t="shared" si="467"/>
        <v>47385.539999999994</v>
      </c>
      <c r="CY350" s="611">
        <f t="shared" si="468"/>
        <v>45408.450955414017</v>
      </c>
      <c r="CZ350" s="605">
        <f t="shared" si="469"/>
        <v>0</v>
      </c>
      <c r="DA350" s="612">
        <f t="shared" si="470"/>
        <v>0</v>
      </c>
      <c r="DB350" s="607">
        <f t="shared" si="471"/>
        <v>0</v>
      </c>
      <c r="DC350" s="606">
        <f t="shared" si="472"/>
        <v>0</v>
      </c>
      <c r="DD350" s="607">
        <f t="shared" si="473"/>
        <v>0</v>
      </c>
      <c r="DE350" s="606">
        <f t="shared" si="474"/>
        <v>0</v>
      </c>
      <c r="DF350" s="607">
        <f t="shared" si="475"/>
        <v>0</v>
      </c>
      <c r="DG350" s="606">
        <f t="shared" si="476"/>
        <v>0</v>
      </c>
      <c r="DH350" s="607">
        <f t="shared" si="477"/>
        <v>0</v>
      </c>
      <c r="DI350" s="608">
        <f t="shared" si="478"/>
        <v>86</v>
      </c>
      <c r="DJ350" s="607">
        <f t="shared" si="479"/>
        <v>71</v>
      </c>
      <c r="DK350" s="608">
        <f t="shared" si="480"/>
        <v>0</v>
      </c>
      <c r="DL350" s="607">
        <f t="shared" si="481"/>
        <v>71</v>
      </c>
      <c r="DM350" s="608">
        <f t="shared" si="482"/>
        <v>86</v>
      </c>
      <c r="DN350" s="607">
        <f t="shared" si="483"/>
        <v>0</v>
      </c>
      <c r="DO350" s="612">
        <f t="shared" si="484"/>
        <v>0</v>
      </c>
      <c r="DP350" s="607">
        <f t="shared" si="485"/>
        <v>0</v>
      </c>
      <c r="DQ350" s="606">
        <f t="shared" si="486"/>
        <v>0</v>
      </c>
      <c r="DR350" s="607">
        <f t="shared" si="487"/>
        <v>0</v>
      </c>
      <c r="DS350" s="606">
        <f t="shared" si="488"/>
        <v>0</v>
      </c>
      <c r="DT350" s="607">
        <f t="shared" si="489"/>
        <v>0</v>
      </c>
      <c r="DU350" s="606">
        <f t="shared" si="490"/>
        <v>0</v>
      </c>
      <c r="DV350" s="607">
        <f t="shared" si="491"/>
        <v>0</v>
      </c>
      <c r="DW350" s="608">
        <f t="shared" si="492"/>
        <v>3905126.7821656056</v>
      </c>
      <c r="DX350" s="607">
        <f t="shared" si="493"/>
        <v>3364373.3399999994</v>
      </c>
      <c r="DY350" s="608">
        <f t="shared" si="494"/>
        <v>0</v>
      </c>
      <c r="DZ350" s="607">
        <f t="shared" si="495"/>
        <v>3364373.3399999994</v>
      </c>
      <c r="EA350" s="608">
        <f t="shared" si="496"/>
        <v>3905126.7821656056</v>
      </c>
    </row>
    <row r="351" spans="1:131" x14ac:dyDescent="0.2">
      <c r="A351" s="393" t="s">
        <v>40</v>
      </c>
      <c r="B351" s="394" t="s">
        <v>669</v>
      </c>
      <c r="C351" s="570" t="s">
        <v>680</v>
      </c>
      <c r="D351" s="400">
        <v>199449</v>
      </c>
      <c r="E351" s="392">
        <v>10</v>
      </c>
      <c r="F351" s="598"/>
      <c r="G351" s="599"/>
      <c r="H351" s="600"/>
      <c r="I351" s="601"/>
      <c r="J351" s="600"/>
      <c r="K351" s="599"/>
      <c r="L351" s="600"/>
      <c r="M351" s="601"/>
      <c r="N351" s="600"/>
      <c r="O351" s="599"/>
      <c r="P351" s="600"/>
      <c r="Q351" s="601"/>
      <c r="R351" s="600"/>
      <c r="S351" s="599"/>
      <c r="T351" s="600"/>
      <c r="U351" s="601"/>
      <c r="V351" s="600"/>
      <c r="W351" s="599"/>
      <c r="X351" s="600"/>
      <c r="Y351" s="601"/>
      <c r="Z351" s="600"/>
      <c r="AA351" s="599"/>
      <c r="AB351" s="600"/>
      <c r="AC351" s="601"/>
      <c r="AD351" s="600"/>
      <c r="AE351" s="599"/>
      <c r="AF351" s="600"/>
      <c r="AG351" s="601"/>
      <c r="AH351" s="600"/>
      <c r="AI351" s="599"/>
      <c r="AJ351" s="600"/>
      <c r="AK351" s="601"/>
      <c r="AL351" s="600"/>
      <c r="AM351" s="599">
        <v>56</v>
      </c>
      <c r="AN351" s="600"/>
      <c r="AO351" s="601"/>
      <c r="AP351" s="600"/>
      <c r="AQ351" s="599"/>
      <c r="AR351" s="600"/>
      <c r="AS351" s="601">
        <v>21</v>
      </c>
      <c r="AT351" s="600">
        <v>62</v>
      </c>
      <c r="AU351" s="599"/>
      <c r="AV351" s="600"/>
      <c r="AW351" s="601"/>
      <c r="AX351" s="600"/>
      <c r="AY351" s="599"/>
      <c r="AZ351" s="600"/>
      <c r="BA351" s="601"/>
      <c r="BB351" s="602">
        <v>0</v>
      </c>
      <c r="BC351" s="599"/>
      <c r="BD351" s="600">
        <v>0</v>
      </c>
      <c r="BE351" s="599"/>
      <c r="BF351" s="600">
        <v>0</v>
      </c>
      <c r="BG351" s="599"/>
      <c r="BH351" s="600">
        <v>0</v>
      </c>
      <c r="BI351" s="599"/>
      <c r="BJ351" s="600">
        <v>0</v>
      </c>
      <c r="BK351" s="615">
        <v>4356434</v>
      </c>
      <c r="BL351" s="600">
        <v>3285682.56</v>
      </c>
      <c r="BM351" s="604"/>
      <c r="BN351" s="605">
        <f t="shared" si="431"/>
        <v>0</v>
      </c>
      <c r="BO351" s="606">
        <f t="shared" si="432"/>
        <v>0</v>
      </c>
      <c r="BP351" s="607">
        <f t="shared" si="433"/>
        <v>0</v>
      </c>
      <c r="BQ351" s="606">
        <f t="shared" si="434"/>
        <v>0</v>
      </c>
      <c r="BR351" s="607">
        <f t="shared" si="435"/>
        <v>0</v>
      </c>
      <c r="BS351" s="606">
        <f t="shared" si="436"/>
        <v>0</v>
      </c>
      <c r="BT351" s="607">
        <f t="shared" si="437"/>
        <v>0</v>
      </c>
      <c r="BU351" s="606">
        <f t="shared" si="438"/>
        <v>0</v>
      </c>
      <c r="BV351" s="607">
        <f t="shared" si="439"/>
        <v>0</v>
      </c>
      <c r="BW351" s="608">
        <f t="shared" si="440"/>
        <v>756</v>
      </c>
      <c r="BX351" s="607">
        <f t="shared" si="441"/>
        <v>558</v>
      </c>
      <c r="BY351" s="608">
        <f t="shared" si="442"/>
        <v>0</v>
      </c>
      <c r="BZ351" s="607">
        <f t="shared" si="443"/>
        <v>0</v>
      </c>
      <c r="CA351" s="608">
        <f t="shared" si="444"/>
        <v>0</v>
      </c>
      <c r="CB351" s="607">
        <f t="shared" si="445"/>
        <v>0</v>
      </c>
      <c r="CC351" s="608">
        <f t="shared" si="446"/>
        <v>0</v>
      </c>
      <c r="CD351" s="607">
        <f t="shared" si="447"/>
        <v>0</v>
      </c>
      <c r="CE351" s="608">
        <f t="shared" si="448"/>
        <v>0</v>
      </c>
      <c r="CF351" s="607">
        <f t="shared" si="449"/>
        <v>0</v>
      </c>
      <c r="CG351" s="608">
        <f t="shared" si="450"/>
        <v>0</v>
      </c>
      <c r="CH351" s="607">
        <f t="shared" si="451"/>
        <v>0</v>
      </c>
      <c r="CI351" s="608">
        <f t="shared" si="452"/>
        <v>5762.4788359788363</v>
      </c>
      <c r="CJ351" s="607">
        <f t="shared" si="453"/>
        <v>5888.32</v>
      </c>
      <c r="CK351" s="608">
        <f t="shared" si="454"/>
        <v>0</v>
      </c>
      <c r="CL351" s="609">
        <f t="shared" si="455"/>
        <v>0</v>
      </c>
      <c r="CM351" s="608">
        <f t="shared" si="456"/>
        <v>0</v>
      </c>
      <c r="CN351" s="610">
        <f t="shared" si="457"/>
        <v>0</v>
      </c>
      <c r="CO351" s="606">
        <f t="shared" si="458"/>
        <v>0</v>
      </c>
      <c r="CP351" s="607">
        <f t="shared" si="459"/>
        <v>0</v>
      </c>
      <c r="CQ351" s="606">
        <f t="shared" si="460"/>
        <v>0</v>
      </c>
      <c r="CR351" s="607">
        <f t="shared" si="461"/>
        <v>0</v>
      </c>
      <c r="CS351" s="606">
        <f t="shared" si="462"/>
        <v>0</v>
      </c>
      <c r="CT351" s="607">
        <f t="shared" si="463"/>
        <v>0</v>
      </c>
      <c r="CU351" s="608">
        <f t="shared" si="464"/>
        <v>51862.309523809527</v>
      </c>
      <c r="CV351" s="610">
        <f t="shared" si="465"/>
        <v>52994.879999999997</v>
      </c>
      <c r="CW351" s="608">
        <f t="shared" si="466"/>
        <v>0</v>
      </c>
      <c r="CX351" s="610">
        <f t="shared" si="467"/>
        <v>52994.879999999997</v>
      </c>
      <c r="CY351" s="611">
        <f t="shared" si="468"/>
        <v>51862.309523809527</v>
      </c>
      <c r="CZ351" s="605">
        <f t="shared" si="469"/>
        <v>0</v>
      </c>
      <c r="DA351" s="612">
        <f t="shared" si="470"/>
        <v>0</v>
      </c>
      <c r="DB351" s="607">
        <f t="shared" si="471"/>
        <v>0</v>
      </c>
      <c r="DC351" s="606">
        <f t="shared" si="472"/>
        <v>0</v>
      </c>
      <c r="DD351" s="607">
        <f t="shared" si="473"/>
        <v>0</v>
      </c>
      <c r="DE351" s="606">
        <f t="shared" si="474"/>
        <v>0</v>
      </c>
      <c r="DF351" s="607">
        <f t="shared" si="475"/>
        <v>0</v>
      </c>
      <c r="DG351" s="606">
        <f t="shared" si="476"/>
        <v>0</v>
      </c>
      <c r="DH351" s="607">
        <f t="shared" si="477"/>
        <v>0</v>
      </c>
      <c r="DI351" s="608">
        <f t="shared" si="478"/>
        <v>77</v>
      </c>
      <c r="DJ351" s="607">
        <f t="shared" si="479"/>
        <v>62</v>
      </c>
      <c r="DK351" s="608">
        <f t="shared" si="480"/>
        <v>0</v>
      </c>
      <c r="DL351" s="607">
        <f t="shared" si="481"/>
        <v>62</v>
      </c>
      <c r="DM351" s="608">
        <f t="shared" si="482"/>
        <v>77</v>
      </c>
      <c r="DN351" s="607">
        <f t="shared" si="483"/>
        <v>0</v>
      </c>
      <c r="DO351" s="612">
        <f t="shared" si="484"/>
        <v>0</v>
      </c>
      <c r="DP351" s="607">
        <f t="shared" si="485"/>
        <v>0</v>
      </c>
      <c r="DQ351" s="606">
        <f t="shared" si="486"/>
        <v>0</v>
      </c>
      <c r="DR351" s="607">
        <f t="shared" si="487"/>
        <v>0</v>
      </c>
      <c r="DS351" s="606">
        <f t="shared" si="488"/>
        <v>0</v>
      </c>
      <c r="DT351" s="607">
        <f t="shared" si="489"/>
        <v>0</v>
      </c>
      <c r="DU351" s="606">
        <f t="shared" si="490"/>
        <v>0</v>
      </c>
      <c r="DV351" s="607">
        <f t="shared" si="491"/>
        <v>0</v>
      </c>
      <c r="DW351" s="608">
        <f t="shared" si="492"/>
        <v>3993397.8333333335</v>
      </c>
      <c r="DX351" s="607">
        <f t="shared" si="493"/>
        <v>3285682.56</v>
      </c>
      <c r="DY351" s="608">
        <f t="shared" si="494"/>
        <v>0</v>
      </c>
      <c r="DZ351" s="607">
        <f t="shared" si="495"/>
        <v>3285682.56</v>
      </c>
      <c r="EA351" s="608">
        <f t="shared" si="496"/>
        <v>3993397.8333333335</v>
      </c>
    </row>
    <row r="352" spans="1:131" x14ac:dyDescent="0.2">
      <c r="A352" s="393" t="s">
        <v>40</v>
      </c>
      <c r="B352" s="391" t="s">
        <v>670</v>
      </c>
      <c r="C352" s="569"/>
      <c r="D352" s="398">
        <v>199467</v>
      </c>
      <c r="E352" s="399">
        <v>10</v>
      </c>
      <c r="F352" s="598"/>
      <c r="G352" s="599"/>
      <c r="H352" s="600"/>
      <c r="I352" s="601"/>
      <c r="J352" s="600"/>
      <c r="K352" s="599"/>
      <c r="L352" s="600"/>
      <c r="M352" s="601"/>
      <c r="N352" s="600"/>
      <c r="O352" s="599"/>
      <c r="P352" s="600"/>
      <c r="Q352" s="601"/>
      <c r="R352" s="600"/>
      <c r="S352" s="599"/>
      <c r="T352" s="600"/>
      <c r="U352" s="601"/>
      <c r="V352" s="600"/>
      <c r="W352" s="599"/>
      <c r="X352" s="600"/>
      <c r="Y352" s="601"/>
      <c r="Z352" s="600"/>
      <c r="AA352" s="599"/>
      <c r="AB352" s="600"/>
      <c r="AC352" s="601"/>
      <c r="AD352" s="600"/>
      <c r="AE352" s="599"/>
      <c r="AF352" s="600"/>
      <c r="AG352" s="601"/>
      <c r="AH352" s="600"/>
      <c r="AI352" s="599"/>
      <c r="AJ352" s="600"/>
      <c r="AK352" s="601"/>
      <c r="AL352" s="600"/>
      <c r="AM352" s="599"/>
      <c r="AN352" s="600"/>
      <c r="AO352" s="601"/>
      <c r="AP352" s="600"/>
      <c r="AQ352" s="599"/>
      <c r="AR352" s="600"/>
      <c r="AS352" s="601">
        <v>31</v>
      </c>
      <c r="AT352" s="600">
        <v>33</v>
      </c>
      <c r="AU352" s="599"/>
      <c r="AV352" s="600"/>
      <c r="AW352" s="601"/>
      <c r="AX352" s="600"/>
      <c r="AY352" s="599"/>
      <c r="AZ352" s="600"/>
      <c r="BA352" s="601"/>
      <c r="BB352" s="602">
        <v>0</v>
      </c>
      <c r="BC352" s="599"/>
      <c r="BD352" s="600">
        <v>0</v>
      </c>
      <c r="BE352" s="599"/>
      <c r="BF352" s="600">
        <v>0</v>
      </c>
      <c r="BG352" s="599"/>
      <c r="BH352" s="600">
        <v>0</v>
      </c>
      <c r="BI352" s="599"/>
      <c r="BJ352" s="600">
        <v>0</v>
      </c>
      <c r="BK352" s="615">
        <v>1620856</v>
      </c>
      <c r="BL352" s="600">
        <v>1674126.6300000001</v>
      </c>
      <c r="BM352" s="604"/>
      <c r="BN352" s="605">
        <f t="shared" si="431"/>
        <v>0</v>
      </c>
      <c r="BO352" s="606">
        <f t="shared" si="432"/>
        <v>0</v>
      </c>
      <c r="BP352" s="607">
        <f t="shared" si="433"/>
        <v>0</v>
      </c>
      <c r="BQ352" s="606">
        <f t="shared" si="434"/>
        <v>0</v>
      </c>
      <c r="BR352" s="607">
        <f t="shared" si="435"/>
        <v>0</v>
      </c>
      <c r="BS352" s="606">
        <f t="shared" si="436"/>
        <v>0</v>
      </c>
      <c r="BT352" s="607">
        <f t="shared" si="437"/>
        <v>0</v>
      </c>
      <c r="BU352" s="606">
        <f t="shared" si="438"/>
        <v>0</v>
      </c>
      <c r="BV352" s="607">
        <f t="shared" si="439"/>
        <v>0</v>
      </c>
      <c r="BW352" s="608">
        <f t="shared" si="440"/>
        <v>372</v>
      </c>
      <c r="BX352" s="607">
        <f t="shared" si="441"/>
        <v>297</v>
      </c>
      <c r="BY352" s="608">
        <f t="shared" si="442"/>
        <v>0</v>
      </c>
      <c r="BZ352" s="607">
        <f t="shared" si="443"/>
        <v>0</v>
      </c>
      <c r="CA352" s="608">
        <f t="shared" si="444"/>
        <v>0</v>
      </c>
      <c r="CB352" s="607">
        <f t="shared" si="445"/>
        <v>0</v>
      </c>
      <c r="CC352" s="608">
        <f t="shared" si="446"/>
        <v>0</v>
      </c>
      <c r="CD352" s="607">
        <f t="shared" si="447"/>
        <v>0</v>
      </c>
      <c r="CE352" s="608">
        <f t="shared" si="448"/>
        <v>0</v>
      </c>
      <c r="CF352" s="607">
        <f t="shared" si="449"/>
        <v>0</v>
      </c>
      <c r="CG352" s="608">
        <f t="shared" si="450"/>
        <v>0</v>
      </c>
      <c r="CH352" s="607">
        <f t="shared" si="451"/>
        <v>0</v>
      </c>
      <c r="CI352" s="608">
        <f t="shared" si="452"/>
        <v>4357.1397849462364</v>
      </c>
      <c r="CJ352" s="607">
        <f t="shared" si="453"/>
        <v>5636.79</v>
      </c>
      <c r="CK352" s="608">
        <f t="shared" si="454"/>
        <v>0</v>
      </c>
      <c r="CL352" s="609">
        <f t="shared" si="455"/>
        <v>0</v>
      </c>
      <c r="CM352" s="608">
        <f t="shared" si="456"/>
        <v>0</v>
      </c>
      <c r="CN352" s="610">
        <f t="shared" si="457"/>
        <v>0</v>
      </c>
      <c r="CO352" s="606">
        <f t="shared" si="458"/>
        <v>0</v>
      </c>
      <c r="CP352" s="607">
        <f t="shared" si="459"/>
        <v>0</v>
      </c>
      <c r="CQ352" s="606">
        <f t="shared" si="460"/>
        <v>0</v>
      </c>
      <c r="CR352" s="607">
        <f t="shared" si="461"/>
        <v>0</v>
      </c>
      <c r="CS352" s="606">
        <f t="shared" si="462"/>
        <v>0</v>
      </c>
      <c r="CT352" s="607">
        <f t="shared" si="463"/>
        <v>0</v>
      </c>
      <c r="CU352" s="608">
        <f t="shared" si="464"/>
        <v>39214.258064516129</v>
      </c>
      <c r="CV352" s="610">
        <f t="shared" si="465"/>
        <v>50731.11</v>
      </c>
      <c r="CW352" s="608">
        <f t="shared" si="466"/>
        <v>0</v>
      </c>
      <c r="CX352" s="610">
        <f t="shared" si="467"/>
        <v>50731.11</v>
      </c>
      <c r="CY352" s="611">
        <f t="shared" si="468"/>
        <v>39214.258064516129</v>
      </c>
      <c r="CZ352" s="605">
        <f t="shared" si="469"/>
        <v>0</v>
      </c>
      <c r="DA352" s="612">
        <f t="shared" si="470"/>
        <v>0</v>
      </c>
      <c r="DB352" s="607">
        <f t="shared" si="471"/>
        <v>0</v>
      </c>
      <c r="DC352" s="606">
        <f t="shared" si="472"/>
        <v>0</v>
      </c>
      <c r="DD352" s="607">
        <f t="shared" si="473"/>
        <v>0</v>
      </c>
      <c r="DE352" s="606">
        <f t="shared" si="474"/>
        <v>0</v>
      </c>
      <c r="DF352" s="607">
        <f t="shared" si="475"/>
        <v>0</v>
      </c>
      <c r="DG352" s="606">
        <f t="shared" si="476"/>
        <v>0</v>
      </c>
      <c r="DH352" s="607">
        <f t="shared" si="477"/>
        <v>0</v>
      </c>
      <c r="DI352" s="608">
        <f t="shared" si="478"/>
        <v>31</v>
      </c>
      <c r="DJ352" s="607">
        <f t="shared" si="479"/>
        <v>33</v>
      </c>
      <c r="DK352" s="608">
        <f t="shared" si="480"/>
        <v>0</v>
      </c>
      <c r="DL352" s="607">
        <f t="shared" si="481"/>
        <v>33</v>
      </c>
      <c r="DM352" s="608">
        <f t="shared" si="482"/>
        <v>31</v>
      </c>
      <c r="DN352" s="607">
        <f t="shared" si="483"/>
        <v>0</v>
      </c>
      <c r="DO352" s="612">
        <f t="shared" si="484"/>
        <v>0</v>
      </c>
      <c r="DP352" s="607">
        <f t="shared" si="485"/>
        <v>0</v>
      </c>
      <c r="DQ352" s="606">
        <f t="shared" si="486"/>
        <v>0</v>
      </c>
      <c r="DR352" s="607">
        <f t="shared" si="487"/>
        <v>0</v>
      </c>
      <c r="DS352" s="606">
        <f t="shared" si="488"/>
        <v>0</v>
      </c>
      <c r="DT352" s="607">
        <f t="shared" si="489"/>
        <v>0</v>
      </c>
      <c r="DU352" s="606">
        <f t="shared" si="490"/>
        <v>0</v>
      </c>
      <c r="DV352" s="607">
        <f t="shared" si="491"/>
        <v>0</v>
      </c>
      <c r="DW352" s="608">
        <f t="shared" si="492"/>
        <v>1215642</v>
      </c>
      <c r="DX352" s="607">
        <f t="shared" si="493"/>
        <v>1674126.6300000001</v>
      </c>
      <c r="DY352" s="608">
        <f t="shared" si="494"/>
        <v>0</v>
      </c>
      <c r="DZ352" s="607">
        <f t="shared" si="495"/>
        <v>1674126.6300000001</v>
      </c>
      <c r="EA352" s="608">
        <f t="shared" si="496"/>
        <v>1215642</v>
      </c>
    </row>
    <row r="353" spans="1:131" x14ac:dyDescent="0.2">
      <c r="A353" s="393" t="s">
        <v>40</v>
      </c>
      <c r="B353" s="394" t="s">
        <v>671</v>
      </c>
      <c r="C353" s="570"/>
      <c r="D353" s="400">
        <v>199485</v>
      </c>
      <c r="E353" s="392">
        <v>10</v>
      </c>
      <c r="F353" s="598"/>
      <c r="G353" s="599"/>
      <c r="H353" s="600"/>
      <c r="I353" s="601"/>
      <c r="J353" s="600"/>
      <c r="K353" s="599"/>
      <c r="L353" s="600"/>
      <c r="M353" s="601"/>
      <c r="N353" s="600"/>
      <c r="O353" s="599"/>
      <c r="P353" s="600"/>
      <c r="Q353" s="601"/>
      <c r="R353" s="600"/>
      <c r="S353" s="599"/>
      <c r="T353" s="600"/>
      <c r="U353" s="601"/>
      <c r="V353" s="600"/>
      <c r="W353" s="599"/>
      <c r="X353" s="600"/>
      <c r="Y353" s="601"/>
      <c r="Z353" s="600"/>
      <c r="AA353" s="599"/>
      <c r="AB353" s="600"/>
      <c r="AC353" s="601"/>
      <c r="AD353" s="600"/>
      <c r="AE353" s="599"/>
      <c r="AF353" s="600"/>
      <c r="AG353" s="601"/>
      <c r="AH353" s="600"/>
      <c r="AI353" s="599"/>
      <c r="AJ353" s="600"/>
      <c r="AK353" s="601"/>
      <c r="AL353" s="600"/>
      <c r="AM353" s="599">
        <v>59</v>
      </c>
      <c r="AN353" s="600"/>
      <c r="AO353" s="601"/>
      <c r="AP353" s="600"/>
      <c r="AQ353" s="599"/>
      <c r="AR353" s="600"/>
      <c r="AS353" s="601">
        <v>2</v>
      </c>
      <c r="AT353" s="600">
        <v>66</v>
      </c>
      <c r="AU353" s="599"/>
      <c r="AV353" s="600"/>
      <c r="AW353" s="601"/>
      <c r="AX353" s="600"/>
      <c r="AY353" s="599"/>
      <c r="AZ353" s="600"/>
      <c r="BA353" s="601"/>
      <c r="BB353" s="602">
        <v>0</v>
      </c>
      <c r="BC353" s="599"/>
      <c r="BD353" s="600">
        <v>0</v>
      </c>
      <c r="BE353" s="599"/>
      <c r="BF353" s="600">
        <v>0</v>
      </c>
      <c r="BG353" s="599"/>
      <c r="BH353" s="600">
        <v>0</v>
      </c>
      <c r="BI353" s="599"/>
      <c r="BJ353" s="600">
        <v>0</v>
      </c>
      <c r="BK353" s="615">
        <v>3122844</v>
      </c>
      <c r="BL353" s="600">
        <v>2964861.9</v>
      </c>
      <c r="BM353" s="604"/>
      <c r="BN353" s="605">
        <f t="shared" si="431"/>
        <v>0</v>
      </c>
      <c r="BO353" s="606">
        <f t="shared" si="432"/>
        <v>0</v>
      </c>
      <c r="BP353" s="607">
        <f t="shared" si="433"/>
        <v>0</v>
      </c>
      <c r="BQ353" s="606">
        <f t="shared" si="434"/>
        <v>0</v>
      </c>
      <c r="BR353" s="607">
        <f t="shared" si="435"/>
        <v>0</v>
      </c>
      <c r="BS353" s="606">
        <f t="shared" si="436"/>
        <v>0</v>
      </c>
      <c r="BT353" s="607">
        <f t="shared" si="437"/>
        <v>0</v>
      </c>
      <c r="BU353" s="606">
        <f t="shared" si="438"/>
        <v>0</v>
      </c>
      <c r="BV353" s="607">
        <f t="shared" si="439"/>
        <v>0</v>
      </c>
      <c r="BW353" s="608">
        <f t="shared" si="440"/>
        <v>555</v>
      </c>
      <c r="BX353" s="607">
        <f t="shared" si="441"/>
        <v>594</v>
      </c>
      <c r="BY353" s="608">
        <f t="shared" si="442"/>
        <v>0</v>
      </c>
      <c r="BZ353" s="607">
        <f t="shared" si="443"/>
        <v>0</v>
      </c>
      <c r="CA353" s="608">
        <f t="shared" si="444"/>
        <v>0</v>
      </c>
      <c r="CB353" s="607">
        <f t="shared" si="445"/>
        <v>0</v>
      </c>
      <c r="CC353" s="608">
        <f t="shared" si="446"/>
        <v>0</v>
      </c>
      <c r="CD353" s="607">
        <f t="shared" si="447"/>
        <v>0</v>
      </c>
      <c r="CE353" s="608">
        <f t="shared" si="448"/>
        <v>0</v>
      </c>
      <c r="CF353" s="607">
        <f t="shared" si="449"/>
        <v>0</v>
      </c>
      <c r="CG353" s="608">
        <f t="shared" si="450"/>
        <v>0</v>
      </c>
      <c r="CH353" s="607">
        <f t="shared" si="451"/>
        <v>0</v>
      </c>
      <c r="CI353" s="608">
        <f t="shared" si="452"/>
        <v>5626.745945945946</v>
      </c>
      <c r="CJ353" s="607">
        <f t="shared" si="453"/>
        <v>4991.3499999999995</v>
      </c>
      <c r="CK353" s="608">
        <f t="shared" si="454"/>
        <v>0</v>
      </c>
      <c r="CL353" s="609">
        <f t="shared" si="455"/>
        <v>0</v>
      </c>
      <c r="CM353" s="608">
        <f t="shared" si="456"/>
        <v>0</v>
      </c>
      <c r="CN353" s="610">
        <f t="shared" si="457"/>
        <v>0</v>
      </c>
      <c r="CO353" s="606">
        <f t="shared" si="458"/>
        <v>0</v>
      </c>
      <c r="CP353" s="607">
        <f t="shared" si="459"/>
        <v>0</v>
      </c>
      <c r="CQ353" s="606">
        <f t="shared" si="460"/>
        <v>0</v>
      </c>
      <c r="CR353" s="607">
        <f t="shared" si="461"/>
        <v>0</v>
      </c>
      <c r="CS353" s="606">
        <f t="shared" si="462"/>
        <v>0</v>
      </c>
      <c r="CT353" s="607">
        <f t="shared" si="463"/>
        <v>0</v>
      </c>
      <c r="CU353" s="608">
        <f t="shared" si="464"/>
        <v>50640.713513513518</v>
      </c>
      <c r="CV353" s="610">
        <f t="shared" si="465"/>
        <v>44922.149999999994</v>
      </c>
      <c r="CW353" s="608">
        <f t="shared" si="466"/>
        <v>0</v>
      </c>
      <c r="CX353" s="610">
        <f t="shared" si="467"/>
        <v>44922.149999999994</v>
      </c>
      <c r="CY353" s="611">
        <f t="shared" si="468"/>
        <v>50640.713513513518</v>
      </c>
      <c r="CZ353" s="605">
        <f t="shared" si="469"/>
        <v>0</v>
      </c>
      <c r="DA353" s="612">
        <f t="shared" si="470"/>
        <v>0</v>
      </c>
      <c r="DB353" s="607">
        <f t="shared" si="471"/>
        <v>0</v>
      </c>
      <c r="DC353" s="606">
        <f t="shared" si="472"/>
        <v>0</v>
      </c>
      <c r="DD353" s="607">
        <f t="shared" si="473"/>
        <v>0</v>
      </c>
      <c r="DE353" s="606">
        <f t="shared" si="474"/>
        <v>0</v>
      </c>
      <c r="DF353" s="607">
        <f t="shared" si="475"/>
        <v>0</v>
      </c>
      <c r="DG353" s="606">
        <f t="shared" si="476"/>
        <v>0</v>
      </c>
      <c r="DH353" s="607">
        <f t="shared" si="477"/>
        <v>0</v>
      </c>
      <c r="DI353" s="608">
        <f t="shared" si="478"/>
        <v>61</v>
      </c>
      <c r="DJ353" s="607">
        <f t="shared" si="479"/>
        <v>66</v>
      </c>
      <c r="DK353" s="608">
        <f t="shared" si="480"/>
        <v>0</v>
      </c>
      <c r="DL353" s="607">
        <f t="shared" si="481"/>
        <v>66</v>
      </c>
      <c r="DM353" s="608">
        <f t="shared" si="482"/>
        <v>61</v>
      </c>
      <c r="DN353" s="607">
        <f t="shared" si="483"/>
        <v>0</v>
      </c>
      <c r="DO353" s="612">
        <f t="shared" si="484"/>
        <v>0</v>
      </c>
      <c r="DP353" s="607">
        <f t="shared" si="485"/>
        <v>0</v>
      </c>
      <c r="DQ353" s="606">
        <f t="shared" si="486"/>
        <v>0</v>
      </c>
      <c r="DR353" s="607">
        <f t="shared" si="487"/>
        <v>0</v>
      </c>
      <c r="DS353" s="606">
        <f t="shared" si="488"/>
        <v>0</v>
      </c>
      <c r="DT353" s="607">
        <f t="shared" si="489"/>
        <v>0</v>
      </c>
      <c r="DU353" s="606">
        <f t="shared" si="490"/>
        <v>0</v>
      </c>
      <c r="DV353" s="607">
        <f t="shared" si="491"/>
        <v>0</v>
      </c>
      <c r="DW353" s="608">
        <f t="shared" si="492"/>
        <v>3089083.5243243244</v>
      </c>
      <c r="DX353" s="607">
        <f t="shared" si="493"/>
        <v>2964861.8999999994</v>
      </c>
      <c r="DY353" s="608">
        <f t="shared" si="494"/>
        <v>0</v>
      </c>
      <c r="DZ353" s="607">
        <f t="shared" si="495"/>
        <v>2964861.8999999994</v>
      </c>
      <c r="EA353" s="608">
        <f t="shared" si="496"/>
        <v>3089083.5243243244</v>
      </c>
    </row>
    <row r="354" spans="1:131" x14ac:dyDescent="0.2">
      <c r="A354" s="393" t="s">
        <v>40</v>
      </c>
      <c r="B354" s="391" t="s">
        <v>672</v>
      </c>
      <c r="C354" s="570"/>
      <c r="D354" s="398">
        <v>199625</v>
      </c>
      <c r="E354" s="399">
        <v>10</v>
      </c>
      <c r="F354" s="598"/>
      <c r="G354" s="599"/>
      <c r="H354" s="600"/>
      <c r="I354" s="601"/>
      <c r="J354" s="600"/>
      <c r="K354" s="599"/>
      <c r="L354" s="600"/>
      <c r="M354" s="601"/>
      <c r="N354" s="600"/>
      <c r="O354" s="599"/>
      <c r="P354" s="600"/>
      <c r="Q354" s="601"/>
      <c r="R354" s="600"/>
      <c r="S354" s="599"/>
      <c r="T354" s="600"/>
      <c r="U354" s="601"/>
      <c r="V354" s="600"/>
      <c r="W354" s="599"/>
      <c r="X354" s="600"/>
      <c r="Y354" s="601"/>
      <c r="Z354" s="600"/>
      <c r="AA354" s="599"/>
      <c r="AB354" s="600"/>
      <c r="AC354" s="601"/>
      <c r="AD354" s="600"/>
      <c r="AE354" s="599"/>
      <c r="AF354" s="600"/>
      <c r="AG354" s="601"/>
      <c r="AH354" s="600"/>
      <c r="AI354" s="599"/>
      <c r="AJ354" s="600"/>
      <c r="AK354" s="601"/>
      <c r="AL354" s="600"/>
      <c r="AM354" s="599">
        <v>24</v>
      </c>
      <c r="AN354" s="600"/>
      <c r="AO354" s="601"/>
      <c r="AP354" s="600"/>
      <c r="AQ354" s="599">
        <v>5</v>
      </c>
      <c r="AR354" s="600"/>
      <c r="AS354" s="601">
        <v>37</v>
      </c>
      <c r="AT354" s="600">
        <v>52</v>
      </c>
      <c r="AU354" s="599"/>
      <c r="AV354" s="600"/>
      <c r="AW354" s="601"/>
      <c r="AX354" s="600"/>
      <c r="AY354" s="599"/>
      <c r="AZ354" s="600"/>
      <c r="BA354" s="601"/>
      <c r="BB354" s="602">
        <v>0</v>
      </c>
      <c r="BC354" s="599"/>
      <c r="BD354" s="600">
        <v>0</v>
      </c>
      <c r="BE354" s="599"/>
      <c r="BF354" s="600">
        <v>0</v>
      </c>
      <c r="BG354" s="599"/>
      <c r="BH354" s="600">
        <v>0</v>
      </c>
      <c r="BI354" s="599"/>
      <c r="BJ354" s="600">
        <v>0</v>
      </c>
      <c r="BK354" s="615">
        <v>3448907</v>
      </c>
      <c r="BL354" s="600">
        <v>2380599</v>
      </c>
      <c r="BM354" s="604"/>
      <c r="BN354" s="605">
        <f t="shared" si="431"/>
        <v>0</v>
      </c>
      <c r="BO354" s="606">
        <f t="shared" si="432"/>
        <v>0</v>
      </c>
      <c r="BP354" s="607">
        <f t="shared" si="433"/>
        <v>0</v>
      </c>
      <c r="BQ354" s="606">
        <f t="shared" si="434"/>
        <v>0</v>
      </c>
      <c r="BR354" s="607">
        <f t="shared" si="435"/>
        <v>0</v>
      </c>
      <c r="BS354" s="606">
        <f t="shared" si="436"/>
        <v>0</v>
      </c>
      <c r="BT354" s="607">
        <f t="shared" si="437"/>
        <v>0</v>
      </c>
      <c r="BU354" s="606">
        <f t="shared" si="438"/>
        <v>0</v>
      </c>
      <c r="BV354" s="607">
        <f t="shared" si="439"/>
        <v>0</v>
      </c>
      <c r="BW354" s="608">
        <f t="shared" si="440"/>
        <v>715</v>
      </c>
      <c r="BX354" s="607">
        <f t="shared" si="441"/>
        <v>468</v>
      </c>
      <c r="BY354" s="608">
        <f t="shared" si="442"/>
        <v>0</v>
      </c>
      <c r="BZ354" s="607">
        <f t="shared" si="443"/>
        <v>0</v>
      </c>
      <c r="CA354" s="608">
        <f t="shared" si="444"/>
        <v>0</v>
      </c>
      <c r="CB354" s="607">
        <f t="shared" si="445"/>
        <v>0</v>
      </c>
      <c r="CC354" s="608">
        <f t="shared" si="446"/>
        <v>0</v>
      </c>
      <c r="CD354" s="607">
        <f t="shared" si="447"/>
        <v>0</v>
      </c>
      <c r="CE354" s="608">
        <f t="shared" si="448"/>
        <v>0</v>
      </c>
      <c r="CF354" s="607">
        <f t="shared" si="449"/>
        <v>0</v>
      </c>
      <c r="CG354" s="608">
        <f t="shared" si="450"/>
        <v>0</v>
      </c>
      <c r="CH354" s="607">
        <f t="shared" si="451"/>
        <v>0</v>
      </c>
      <c r="CI354" s="608">
        <f t="shared" si="452"/>
        <v>4823.6461538461535</v>
      </c>
      <c r="CJ354" s="607">
        <f t="shared" si="453"/>
        <v>5086.75</v>
      </c>
      <c r="CK354" s="608">
        <f t="shared" si="454"/>
        <v>0</v>
      </c>
      <c r="CL354" s="609">
        <f t="shared" si="455"/>
        <v>0</v>
      </c>
      <c r="CM354" s="608">
        <f t="shared" si="456"/>
        <v>0</v>
      </c>
      <c r="CN354" s="610">
        <f t="shared" si="457"/>
        <v>0</v>
      </c>
      <c r="CO354" s="606">
        <f t="shared" si="458"/>
        <v>0</v>
      </c>
      <c r="CP354" s="607">
        <f t="shared" si="459"/>
        <v>0</v>
      </c>
      <c r="CQ354" s="606">
        <f t="shared" si="460"/>
        <v>0</v>
      </c>
      <c r="CR354" s="607">
        <f t="shared" si="461"/>
        <v>0</v>
      </c>
      <c r="CS354" s="606">
        <f t="shared" si="462"/>
        <v>0</v>
      </c>
      <c r="CT354" s="607">
        <f t="shared" si="463"/>
        <v>0</v>
      </c>
      <c r="CU354" s="608">
        <f t="shared" si="464"/>
        <v>43412.81538461538</v>
      </c>
      <c r="CV354" s="610">
        <f t="shared" si="465"/>
        <v>45780.75</v>
      </c>
      <c r="CW354" s="608">
        <f t="shared" si="466"/>
        <v>0</v>
      </c>
      <c r="CX354" s="610">
        <f t="shared" si="467"/>
        <v>45780.75</v>
      </c>
      <c r="CY354" s="611">
        <f t="shared" si="468"/>
        <v>43412.81538461538</v>
      </c>
      <c r="CZ354" s="605">
        <f t="shared" si="469"/>
        <v>0</v>
      </c>
      <c r="DA354" s="612">
        <f t="shared" si="470"/>
        <v>0</v>
      </c>
      <c r="DB354" s="607">
        <f t="shared" si="471"/>
        <v>0</v>
      </c>
      <c r="DC354" s="606">
        <f t="shared" si="472"/>
        <v>0</v>
      </c>
      <c r="DD354" s="607">
        <f t="shared" si="473"/>
        <v>0</v>
      </c>
      <c r="DE354" s="606">
        <f t="shared" si="474"/>
        <v>0</v>
      </c>
      <c r="DF354" s="607">
        <f t="shared" si="475"/>
        <v>0</v>
      </c>
      <c r="DG354" s="606">
        <f t="shared" si="476"/>
        <v>0</v>
      </c>
      <c r="DH354" s="607">
        <f t="shared" si="477"/>
        <v>0</v>
      </c>
      <c r="DI354" s="608">
        <f t="shared" si="478"/>
        <v>66</v>
      </c>
      <c r="DJ354" s="607">
        <f t="shared" si="479"/>
        <v>52</v>
      </c>
      <c r="DK354" s="608">
        <f t="shared" si="480"/>
        <v>0</v>
      </c>
      <c r="DL354" s="607">
        <f t="shared" si="481"/>
        <v>52</v>
      </c>
      <c r="DM354" s="608">
        <f t="shared" si="482"/>
        <v>66</v>
      </c>
      <c r="DN354" s="607">
        <f t="shared" si="483"/>
        <v>0</v>
      </c>
      <c r="DO354" s="612">
        <f t="shared" si="484"/>
        <v>0</v>
      </c>
      <c r="DP354" s="607">
        <f t="shared" si="485"/>
        <v>0</v>
      </c>
      <c r="DQ354" s="606">
        <f t="shared" si="486"/>
        <v>0</v>
      </c>
      <c r="DR354" s="607">
        <f t="shared" si="487"/>
        <v>0</v>
      </c>
      <c r="DS354" s="606">
        <f t="shared" si="488"/>
        <v>0</v>
      </c>
      <c r="DT354" s="607">
        <f t="shared" si="489"/>
        <v>0</v>
      </c>
      <c r="DU354" s="606">
        <f t="shared" si="490"/>
        <v>0</v>
      </c>
      <c r="DV354" s="607">
        <f t="shared" si="491"/>
        <v>0</v>
      </c>
      <c r="DW354" s="608">
        <f t="shared" si="492"/>
        <v>2865245.8153846152</v>
      </c>
      <c r="DX354" s="607">
        <f t="shared" si="493"/>
        <v>2380599</v>
      </c>
      <c r="DY354" s="608">
        <f t="shared" si="494"/>
        <v>0</v>
      </c>
      <c r="DZ354" s="607">
        <f t="shared" si="495"/>
        <v>2380599</v>
      </c>
      <c r="EA354" s="608">
        <f t="shared" si="496"/>
        <v>2865245.8153846152</v>
      </c>
    </row>
    <row r="355" spans="1:131" x14ac:dyDescent="0.2">
      <c r="A355" s="393" t="s">
        <v>40</v>
      </c>
      <c r="B355" s="394" t="s">
        <v>673</v>
      </c>
      <c r="C355" s="570" t="s">
        <v>680</v>
      </c>
      <c r="D355" s="400">
        <v>197850</v>
      </c>
      <c r="E355" s="392">
        <v>10</v>
      </c>
      <c r="F355" s="598"/>
      <c r="G355" s="599"/>
      <c r="H355" s="600"/>
      <c r="I355" s="601"/>
      <c r="J355" s="600"/>
      <c r="K355" s="599"/>
      <c r="L355" s="600"/>
      <c r="M355" s="601"/>
      <c r="N355" s="600"/>
      <c r="O355" s="599"/>
      <c r="P355" s="600"/>
      <c r="Q355" s="601"/>
      <c r="R355" s="600"/>
      <c r="S355" s="599"/>
      <c r="T355" s="600"/>
      <c r="U355" s="601"/>
      <c r="V355" s="600"/>
      <c r="W355" s="599"/>
      <c r="X355" s="600"/>
      <c r="Y355" s="601"/>
      <c r="Z355" s="600"/>
      <c r="AA355" s="599"/>
      <c r="AB355" s="600"/>
      <c r="AC355" s="601"/>
      <c r="AD355" s="600"/>
      <c r="AE355" s="599"/>
      <c r="AF355" s="600"/>
      <c r="AG355" s="601"/>
      <c r="AH355" s="600"/>
      <c r="AI355" s="599"/>
      <c r="AJ355" s="600"/>
      <c r="AK355" s="601"/>
      <c r="AL355" s="600"/>
      <c r="AM355" s="599">
        <v>49</v>
      </c>
      <c r="AN355" s="600"/>
      <c r="AO355" s="601"/>
      <c r="AP355" s="600"/>
      <c r="AQ355" s="599"/>
      <c r="AR355" s="600"/>
      <c r="AS355" s="601">
        <v>36</v>
      </c>
      <c r="AT355" s="600">
        <v>56</v>
      </c>
      <c r="AU355" s="599"/>
      <c r="AV355" s="600"/>
      <c r="AW355" s="601"/>
      <c r="AX355" s="600"/>
      <c r="AY355" s="599"/>
      <c r="AZ355" s="600"/>
      <c r="BA355" s="601"/>
      <c r="BB355" s="602">
        <v>0</v>
      </c>
      <c r="BC355" s="599"/>
      <c r="BD355" s="600">
        <v>0</v>
      </c>
      <c r="BE355" s="599"/>
      <c r="BF355" s="600">
        <v>0</v>
      </c>
      <c r="BG355" s="599"/>
      <c r="BH355" s="600">
        <v>0</v>
      </c>
      <c r="BI355" s="599"/>
      <c r="BJ355" s="600">
        <v>0</v>
      </c>
      <c r="BK355" s="615">
        <v>3925368</v>
      </c>
      <c r="BL355" s="600">
        <v>2991376.0800000005</v>
      </c>
      <c r="BM355" s="604"/>
      <c r="BN355" s="605">
        <f t="shared" si="431"/>
        <v>0</v>
      </c>
      <c r="BO355" s="606">
        <f t="shared" si="432"/>
        <v>0</v>
      </c>
      <c r="BP355" s="607">
        <f t="shared" si="433"/>
        <v>0</v>
      </c>
      <c r="BQ355" s="606">
        <f t="shared" si="434"/>
        <v>0</v>
      </c>
      <c r="BR355" s="607">
        <f t="shared" si="435"/>
        <v>0</v>
      </c>
      <c r="BS355" s="606">
        <f t="shared" si="436"/>
        <v>0</v>
      </c>
      <c r="BT355" s="607">
        <f t="shared" si="437"/>
        <v>0</v>
      </c>
      <c r="BU355" s="606">
        <f t="shared" si="438"/>
        <v>0</v>
      </c>
      <c r="BV355" s="607">
        <f t="shared" si="439"/>
        <v>0</v>
      </c>
      <c r="BW355" s="608">
        <f t="shared" si="440"/>
        <v>873</v>
      </c>
      <c r="BX355" s="607">
        <f t="shared" si="441"/>
        <v>504</v>
      </c>
      <c r="BY355" s="608">
        <f t="shared" si="442"/>
        <v>0</v>
      </c>
      <c r="BZ355" s="607">
        <f t="shared" si="443"/>
        <v>0</v>
      </c>
      <c r="CA355" s="608">
        <f t="shared" si="444"/>
        <v>0</v>
      </c>
      <c r="CB355" s="607">
        <f t="shared" si="445"/>
        <v>0</v>
      </c>
      <c r="CC355" s="608">
        <f t="shared" si="446"/>
        <v>0</v>
      </c>
      <c r="CD355" s="607">
        <f t="shared" si="447"/>
        <v>0</v>
      </c>
      <c r="CE355" s="608">
        <f t="shared" si="448"/>
        <v>0</v>
      </c>
      <c r="CF355" s="607">
        <f t="shared" si="449"/>
        <v>0</v>
      </c>
      <c r="CG355" s="608">
        <f t="shared" si="450"/>
        <v>0</v>
      </c>
      <c r="CH355" s="607">
        <f t="shared" si="451"/>
        <v>0</v>
      </c>
      <c r="CI355" s="608">
        <f t="shared" si="452"/>
        <v>4496.4123711340208</v>
      </c>
      <c r="CJ355" s="607">
        <f t="shared" si="453"/>
        <v>5935.2700000000013</v>
      </c>
      <c r="CK355" s="608">
        <f t="shared" si="454"/>
        <v>0</v>
      </c>
      <c r="CL355" s="609">
        <f t="shared" si="455"/>
        <v>0</v>
      </c>
      <c r="CM355" s="608">
        <f t="shared" si="456"/>
        <v>0</v>
      </c>
      <c r="CN355" s="610">
        <f t="shared" si="457"/>
        <v>0</v>
      </c>
      <c r="CO355" s="606">
        <f t="shared" si="458"/>
        <v>0</v>
      </c>
      <c r="CP355" s="607">
        <f t="shared" si="459"/>
        <v>0</v>
      </c>
      <c r="CQ355" s="606">
        <f t="shared" si="460"/>
        <v>0</v>
      </c>
      <c r="CR355" s="607">
        <f t="shared" si="461"/>
        <v>0</v>
      </c>
      <c r="CS355" s="606">
        <f t="shared" si="462"/>
        <v>0</v>
      </c>
      <c r="CT355" s="607">
        <f t="shared" si="463"/>
        <v>0</v>
      </c>
      <c r="CU355" s="608">
        <f t="shared" si="464"/>
        <v>40467.711340206188</v>
      </c>
      <c r="CV355" s="610">
        <f t="shared" si="465"/>
        <v>53417.430000000015</v>
      </c>
      <c r="CW355" s="608">
        <f t="shared" si="466"/>
        <v>0</v>
      </c>
      <c r="CX355" s="610">
        <f t="shared" si="467"/>
        <v>53417.430000000015</v>
      </c>
      <c r="CY355" s="611">
        <f t="shared" si="468"/>
        <v>40467.711340206188</v>
      </c>
      <c r="CZ355" s="605">
        <f t="shared" si="469"/>
        <v>0</v>
      </c>
      <c r="DA355" s="612">
        <f t="shared" si="470"/>
        <v>0</v>
      </c>
      <c r="DB355" s="607">
        <f t="shared" si="471"/>
        <v>0</v>
      </c>
      <c r="DC355" s="606">
        <f t="shared" si="472"/>
        <v>0</v>
      </c>
      <c r="DD355" s="607">
        <f t="shared" si="473"/>
        <v>0</v>
      </c>
      <c r="DE355" s="606">
        <f t="shared" si="474"/>
        <v>0</v>
      </c>
      <c r="DF355" s="607">
        <f t="shared" si="475"/>
        <v>0</v>
      </c>
      <c r="DG355" s="606">
        <f t="shared" si="476"/>
        <v>0</v>
      </c>
      <c r="DH355" s="607">
        <f t="shared" si="477"/>
        <v>0</v>
      </c>
      <c r="DI355" s="608">
        <f t="shared" si="478"/>
        <v>85</v>
      </c>
      <c r="DJ355" s="607">
        <f t="shared" si="479"/>
        <v>56</v>
      </c>
      <c r="DK355" s="608">
        <f t="shared" si="480"/>
        <v>0</v>
      </c>
      <c r="DL355" s="607">
        <f t="shared" si="481"/>
        <v>56</v>
      </c>
      <c r="DM355" s="608">
        <f t="shared" si="482"/>
        <v>85</v>
      </c>
      <c r="DN355" s="607">
        <f t="shared" si="483"/>
        <v>0</v>
      </c>
      <c r="DO355" s="612">
        <f t="shared" si="484"/>
        <v>0</v>
      </c>
      <c r="DP355" s="607">
        <f t="shared" si="485"/>
        <v>0</v>
      </c>
      <c r="DQ355" s="606">
        <f t="shared" si="486"/>
        <v>0</v>
      </c>
      <c r="DR355" s="607">
        <f t="shared" si="487"/>
        <v>0</v>
      </c>
      <c r="DS355" s="606">
        <f t="shared" si="488"/>
        <v>0</v>
      </c>
      <c r="DT355" s="607">
        <f t="shared" si="489"/>
        <v>0</v>
      </c>
      <c r="DU355" s="606">
        <f t="shared" si="490"/>
        <v>0</v>
      </c>
      <c r="DV355" s="607">
        <f t="shared" si="491"/>
        <v>0</v>
      </c>
      <c r="DW355" s="608">
        <f t="shared" si="492"/>
        <v>3439755.463917526</v>
      </c>
      <c r="DX355" s="607">
        <f t="shared" si="493"/>
        <v>2991376.080000001</v>
      </c>
      <c r="DY355" s="608">
        <f t="shared" si="494"/>
        <v>0</v>
      </c>
      <c r="DZ355" s="607">
        <f t="shared" si="495"/>
        <v>2991376.080000001</v>
      </c>
      <c r="EA355" s="608">
        <f t="shared" si="496"/>
        <v>3439755.463917526</v>
      </c>
    </row>
    <row r="356" spans="1:131" x14ac:dyDescent="0.2">
      <c r="A356" s="393" t="s">
        <v>40</v>
      </c>
      <c r="B356" s="394" t="s">
        <v>674</v>
      </c>
      <c r="C356" s="570" t="s">
        <v>680</v>
      </c>
      <c r="D356" s="400">
        <v>199722</v>
      </c>
      <c r="E356" s="392">
        <v>10</v>
      </c>
      <c r="F356" s="598"/>
      <c r="G356" s="599"/>
      <c r="H356" s="600"/>
      <c r="I356" s="601"/>
      <c r="J356" s="600"/>
      <c r="K356" s="599"/>
      <c r="L356" s="600"/>
      <c r="M356" s="601"/>
      <c r="N356" s="600"/>
      <c r="O356" s="599"/>
      <c r="P356" s="600"/>
      <c r="Q356" s="601"/>
      <c r="R356" s="600"/>
      <c r="S356" s="599"/>
      <c r="T356" s="600"/>
      <c r="U356" s="601"/>
      <c r="V356" s="600"/>
      <c r="W356" s="599"/>
      <c r="X356" s="600"/>
      <c r="Y356" s="601"/>
      <c r="Z356" s="600"/>
      <c r="AA356" s="599"/>
      <c r="AB356" s="600"/>
      <c r="AC356" s="601"/>
      <c r="AD356" s="600"/>
      <c r="AE356" s="599">
        <v>52</v>
      </c>
      <c r="AF356" s="600"/>
      <c r="AG356" s="601"/>
      <c r="AH356" s="600"/>
      <c r="AI356" s="599"/>
      <c r="AJ356" s="600"/>
      <c r="AK356" s="601">
        <v>5</v>
      </c>
      <c r="AL356" s="600"/>
      <c r="AM356" s="599">
        <v>8</v>
      </c>
      <c r="AN356" s="600"/>
      <c r="AO356" s="601"/>
      <c r="AP356" s="600"/>
      <c r="AQ356" s="599"/>
      <c r="AR356" s="600"/>
      <c r="AS356" s="601">
        <v>1</v>
      </c>
      <c r="AT356" s="600">
        <v>57</v>
      </c>
      <c r="AU356" s="599"/>
      <c r="AV356" s="600"/>
      <c r="AW356" s="601"/>
      <c r="AX356" s="600"/>
      <c r="AY356" s="599"/>
      <c r="AZ356" s="600"/>
      <c r="BA356" s="601"/>
      <c r="BB356" s="602">
        <v>0</v>
      </c>
      <c r="BC356" s="599"/>
      <c r="BD356" s="600">
        <v>0</v>
      </c>
      <c r="BE356" s="599"/>
      <c r="BF356" s="600">
        <v>0</v>
      </c>
      <c r="BG356" s="599"/>
      <c r="BH356" s="600">
        <v>0</v>
      </c>
      <c r="BI356" s="599">
        <v>2992209</v>
      </c>
      <c r="BJ356" s="600">
        <v>0</v>
      </c>
      <c r="BK356" s="615">
        <v>517881</v>
      </c>
      <c r="BL356" s="600">
        <v>2562219.54</v>
      </c>
      <c r="BM356" s="604"/>
      <c r="BN356" s="605">
        <f t="shared" si="431"/>
        <v>0</v>
      </c>
      <c r="BO356" s="606">
        <f t="shared" si="432"/>
        <v>0</v>
      </c>
      <c r="BP356" s="607">
        <f t="shared" si="433"/>
        <v>0</v>
      </c>
      <c r="BQ356" s="606">
        <f t="shared" si="434"/>
        <v>0</v>
      </c>
      <c r="BR356" s="607">
        <f t="shared" si="435"/>
        <v>0</v>
      </c>
      <c r="BS356" s="606">
        <f t="shared" si="436"/>
        <v>0</v>
      </c>
      <c r="BT356" s="607">
        <f t="shared" si="437"/>
        <v>0</v>
      </c>
      <c r="BU356" s="606">
        <f t="shared" si="438"/>
        <v>528</v>
      </c>
      <c r="BV356" s="607">
        <f t="shared" si="439"/>
        <v>0</v>
      </c>
      <c r="BW356" s="608">
        <f t="shared" si="440"/>
        <v>84</v>
      </c>
      <c r="BX356" s="607">
        <f t="shared" si="441"/>
        <v>513</v>
      </c>
      <c r="BY356" s="608">
        <f t="shared" si="442"/>
        <v>0</v>
      </c>
      <c r="BZ356" s="607">
        <f t="shared" si="443"/>
        <v>0</v>
      </c>
      <c r="CA356" s="608">
        <f t="shared" si="444"/>
        <v>0</v>
      </c>
      <c r="CB356" s="607">
        <f t="shared" si="445"/>
        <v>0</v>
      </c>
      <c r="CC356" s="608">
        <f t="shared" si="446"/>
        <v>0</v>
      </c>
      <c r="CD356" s="607">
        <f t="shared" si="447"/>
        <v>0</v>
      </c>
      <c r="CE356" s="608">
        <f t="shared" si="448"/>
        <v>0</v>
      </c>
      <c r="CF356" s="607">
        <f t="shared" si="449"/>
        <v>0</v>
      </c>
      <c r="CG356" s="608">
        <f t="shared" si="450"/>
        <v>5667.0625</v>
      </c>
      <c r="CH356" s="607">
        <f t="shared" si="451"/>
        <v>0</v>
      </c>
      <c r="CI356" s="608">
        <f t="shared" si="452"/>
        <v>6165.25</v>
      </c>
      <c r="CJ356" s="607">
        <f t="shared" si="453"/>
        <v>4994.58</v>
      </c>
      <c r="CK356" s="608">
        <f t="shared" si="454"/>
        <v>0</v>
      </c>
      <c r="CL356" s="609">
        <f t="shared" si="455"/>
        <v>0</v>
      </c>
      <c r="CM356" s="608">
        <f t="shared" si="456"/>
        <v>0</v>
      </c>
      <c r="CN356" s="610">
        <f t="shared" si="457"/>
        <v>0</v>
      </c>
      <c r="CO356" s="606">
        <f t="shared" si="458"/>
        <v>0</v>
      </c>
      <c r="CP356" s="607">
        <f t="shared" si="459"/>
        <v>0</v>
      </c>
      <c r="CQ356" s="606">
        <f t="shared" si="460"/>
        <v>0</v>
      </c>
      <c r="CR356" s="607">
        <f t="shared" si="461"/>
        <v>0</v>
      </c>
      <c r="CS356" s="606">
        <f t="shared" si="462"/>
        <v>51003.5625</v>
      </c>
      <c r="CT356" s="607">
        <f t="shared" si="463"/>
        <v>0</v>
      </c>
      <c r="CU356" s="608">
        <f t="shared" si="464"/>
        <v>55487.25</v>
      </c>
      <c r="CV356" s="610">
        <f t="shared" si="465"/>
        <v>44951.22</v>
      </c>
      <c r="CW356" s="608">
        <f t="shared" si="466"/>
        <v>0</v>
      </c>
      <c r="CX356" s="610">
        <f t="shared" si="467"/>
        <v>44951.22</v>
      </c>
      <c r="CY356" s="611">
        <f t="shared" si="468"/>
        <v>51614.974431818184</v>
      </c>
      <c r="CZ356" s="605">
        <f t="shared" si="469"/>
        <v>0</v>
      </c>
      <c r="DA356" s="612">
        <f t="shared" si="470"/>
        <v>0</v>
      </c>
      <c r="DB356" s="607">
        <f t="shared" si="471"/>
        <v>0</v>
      </c>
      <c r="DC356" s="606">
        <f t="shared" si="472"/>
        <v>0</v>
      </c>
      <c r="DD356" s="607">
        <f t="shared" si="473"/>
        <v>0</v>
      </c>
      <c r="DE356" s="606">
        <f t="shared" si="474"/>
        <v>0</v>
      </c>
      <c r="DF356" s="607">
        <f t="shared" si="475"/>
        <v>0</v>
      </c>
      <c r="DG356" s="606">
        <f t="shared" si="476"/>
        <v>57</v>
      </c>
      <c r="DH356" s="607">
        <f t="shared" si="477"/>
        <v>0</v>
      </c>
      <c r="DI356" s="608">
        <f t="shared" si="478"/>
        <v>9</v>
      </c>
      <c r="DJ356" s="607">
        <f t="shared" si="479"/>
        <v>57</v>
      </c>
      <c r="DK356" s="608">
        <f t="shared" si="480"/>
        <v>0</v>
      </c>
      <c r="DL356" s="607">
        <f t="shared" si="481"/>
        <v>57</v>
      </c>
      <c r="DM356" s="608">
        <f t="shared" si="482"/>
        <v>66</v>
      </c>
      <c r="DN356" s="607">
        <f t="shared" si="483"/>
        <v>0</v>
      </c>
      <c r="DO356" s="612">
        <f t="shared" si="484"/>
        <v>0</v>
      </c>
      <c r="DP356" s="607">
        <f t="shared" si="485"/>
        <v>0</v>
      </c>
      <c r="DQ356" s="606">
        <f t="shared" si="486"/>
        <v>0</v>
      </c>
      <c r="DR356" s="607">
        <f t="shared" si="487"/>
        <v>0</v>
      </c>
      <c r="DS356" s="606">
        <f t="shared" si="488"/>
        <v>0</v>
      </c>
      <c r="DT356" s="607">
        <f t="shared" si="489"/>
        <v>0</v>
      </c>
      <c r="DU356" s="606">
        <f t="shared" si="490"/>
        <v>2907203.0625</v>
      </c>
      <c r="DV356" s="607">
        <f t="shared" si="491"/>
        <v>0</v>
      </c>
      <c r="DW356" s="608">
        <f t="shared" si="492"/>
        <v>499385.25</v>
      </c>
      <c r="DX356" s="607">
        <f t="shared" si="493"/>
        <v>2562219.54</v>
      </c>
      <c r="DY356" s="608">
        <f t="shared" si="494"/>
        <v>0</v>
      </c>
      <c r="DZ356" s="607">
        <f t="shared" si="495"/>
        <v>2562219.54</v>
      </c>
      <c r="EA356" s="608">
        <f t="shared" si="496"/>
        <v>3406588.3125</v>
      </c>
    </row>
    <row r="357" spans="1:131" x14ac:dyDescent="0.2">
      <c r="A357" s="393" t="s">
        <v>40</v>
      </c>
      <c r="B357" s="394" t="s">
        <v>675</v>
      </c>
      <c r="C357" s="570" t="s">
        <v>680</v>
      </c>
      <c r="D357" s="400">
        <v>199731</v>
      </c>
      <c r="E357" s="392">
        <v>10</v>
      </c>
      <c r="F357" s="598"/>
      <c r="G357" s="599"/>
      <c r="H357" s="600"/>
      <c r="I357" s="601"/>
      <c r="J357" s="600"/>
      <c r="K357" s="599"/>
      <c r="L357" s="600"/>
      <c r="M357" s="601"/>
      <c r="N357" s="600"/>
      <c r="O357" s="599"/>
      <c r="P357" s="600"/>
      <c r="Q357" s="601"/>
      <c r="R357" s="600"/>
      <c r="S357" s="599"/>
      <c r="T357" s="600"/>
      <c r="U357" s="601"/>
      <c r="V357" s="600"/>
      <c r="W357" s="599"/>
      <c r="X357" s="600"/>
      <c r="Y357" s="601"/>
      <c r="Z357" s="600"/>
      <c r="AA357" s="599"/>
      <c r="AB357" s="600"/>
      <c r="AC357" s="601"/>
      <c r="AD357" s="600"/>
      <c r="AE357" s="599"/>
      <c r="AF357" s="600"/>
      <c r="AG357" s="601"/>
      <c r="AH357" s="600"/>
      <c r="AI357" s="599"/>
      <c r="AJ357" s="600"/>
      <c r="AK357" s="601"/>
      <c r="AL357" s="600"/>
      <c r="AM357" s="599">
        <v>68</v>
      </c>
      <c r="AN357" s="600"/>
      <c r="AO357" s="601">
        <v>3</v>
      </c>
      <c r="AP357" s="600"/>
      <c r="AQ357" s="599"/>
      <c r="AR357" s="600"/>
      <c r="AS357" s="601">
        <v>12</v>
      </c>
      <c r="AT357" s="600">
        <v>72</v>
      </c>
      <c r="AU357" s="599"/>
      <c r="AV357" s="600"/>
      <c r="AW357" s="601"/>
      <c r="AX357" s="600"/>
      <c r="AY357" s="599"/>
      <c r="AZ357" s="600"/>
      <c r="BA357" s="601"/>
      <c r="BB357" s="602">
        <v>0</v>
      </c>
      <c r="BC357" s="599"/>
      <c r="BD357" s="600">
        <v>0</v>
      </c>
      <c r="BE357" s="599"/>
      <c r="BF357" s="600">
        <v>0</v>
      </c>
      <c r="BG357" s="599"/>
      <c r="BH357" s="600">
        <v>0</v>
      </c>
      <c r="BI357" s="599"/>
      <c r="BJ357" s="600">
        <v>0</v>
      </c>
      <c r="BK357" s="615">
        <v>3905940</v>
      </c>
      <c r="BL357" s="600">
        <v>3343965.12</v>
      </c>
      <c r="BM357" s="604"/>
      <c r="BN357" s="605">
        <f t="shared" si="431"/>
        <v>0</v>
      </c>
      <c r="BO357" s="606">
        <f t="shared" si="432"/>
        <v>0</v>
      </c>
      <c r="BP357" s="607">
        <f t="shared" si="433"/>
        <v>0</v>
      </c>
      <c r="BQ357" s="606">
        <f t="shared" si="434"/>
        <v>0</v>
      </c>
      <c r="BR357" s="607">
        <f t="shared" si="435"/>
        <v>0</v>
      </c>
      <c r="BS357" s="606">
        <f t="shared" si="436"/>
        <v>0</v>
      </c>
      <c r="BT357" s="607">
        <f t="shared" si="437"/>
        <v>0</v>
      </c>
      <c r="BU357" s="606">
        <f t="shared" si="438"/>
        <v>0</v>
      </c>
      <c r="BV357" s="607">
        <f t="shared" si="439"/>
        <v>0</v>
      </c>
      <c r="BW357" s="608">
        <f t="shared" si="440"/>
        <v>786</v>
      </c>
      <c r="BX357" s="607">
        <f t="shared" si="441"/>
        <v>648</v>
      </c>
      <c r="BY357" s="608">
        <f t="shared" si="442"/>
        <v>0</v>
      </c>
      <c r="BZ357" s="607">
        <f t="shared" si="443"/>
        <v>0</v>
      </c>
      <c r="CA357" s="608">
        <f t="shared" si="444"/>
        <v>0</v>
      </c>
      <c r="CB357" s="607">
        <f t="shared" si="445"/>
        <v>0</v>
      </c>
      <c r="CC357" s="608">
        <f t="shared" si="446"/>
        <v>0</v>
      </c>
      <c r="CD357" s="607">
        <f t="shared" si="447"/>
        <v>0</v>
      </c>
      <c r="CE357" s="608">
        <f t="shared" si="448"/>
        <v>0</v>
      </c>
      <c r="CF357" s="607">
        <f t="shared" si="449"/>
        <v>0</v>
      </c>
      <c r="CG357" s="608">
        <f t="shared" si="450"/>
        <v>0</v>
      </c>
      <c r="CH357" s="607">
        <f t="shared" si="451"/>
        <v>0</v>
      </c>
      <c r="CI357" s="608">
        <f t="shared" si="452"/>
        <v>4969.3893129770995</v>
      </c>
      <c r="CJ357" s="607">
        <f t="shared" si="453"/>
        <v>5160.4400000000005</v>
      </c>
      <c r="CK357" s="608">
        <f t="shared" si="454"/>
        <v>0</v>
      </c>
      <c r="CL357" s="609">
        <f t="shared" si="455"/>
        <v>0</v>
      </c>
      <c r="CM357" s="608">
        <f t="shared" si="456"/>
        <v>0</v>
      </c>
      <c r="CN357" s="610">
        <f t="shared" si="457"/>
        <v>0</v>
      </c>
      <c r="CO357" s="606">
        <f t="shared" si="458"/>
        <v>0</v>
      </c>
      <c r="CP357" s="607">
        <f t="shared" si="459"/>
        <v>0</v>
      </c>
      <c r="CQ357" s="606">
        <f t="shared" si="460"/>
        <v>0</v>
      </c>
      <c r="CR357" s="607">
        <f t="shared" si="461"/>
        <v>0</v>
      </c>
      <c r="CS357" s="606">
        <f t="shared" si="462"/>
        <v>0</v>
      </c>
      <c r="CT357" s="607">
        <f t="shared" si="463"/>
        <v>0</v>
      </c>
      <c r="CU357" s="608">
        <f t="shared" si="464"/>
        <v>44724.503816793898</v>
      </c>
      <c r="CV357" s="610">
        <f t="shared" si="465"/>
        <v>46443.960000000006</v>
      </c>
      <c r="CW357" s="608">
        <f t="shared" si="466"/>
        <v>0</v>
      </c>
      <c r="CX357" s="610">
        <f t="shared" si="467"/>
        <v>46443.960000000006</v>
      </c>
      <c r="CY357" s="611">
        <f t="shared" si="468"/>
        <v>44724.503816793898</v>
      </c>
      <c r="CZ357" s="605">
        <f t="shared" si="469"/>
        <v>0</v>
      </c>
      <c r="DA357" s="612">
        <f t="shared" si="470"/>
        <v>0</v>
      </c>
      <c r="DB357" s="607">
        <f t="shared" si="471"/>
        <v>0</v>
      </c>
      <c r="DC357" s="606">
        <f t="shared" si="472"/>
        <v>0</v>
      </c>
      <c r="DD357" s="607">
        <f t="shared" si="473"/>
        <v>0</v>
      </c>
      <c r="DE357" s="606">
        <f t="shared" si="474"/>
        <v>0</v>
      </c>
      <c r="DF357" s="607">
        <f t="shared" si="475"/>
        <v>0</v>
      </c>
      <c r="DG357" s="606">
        <f t="shared" si="476"/>
        <v>0</v>
      </c>
      <c r="DH357" s="607">
        <f t="shared" si="477"/>
        <v>0</v>
      </c>
      <c r="DI357" s="608">
        <f t="shared" si="478"/>
        <v>83</v>
      </c>
      <c r="DJ357" s="607">
        <f t="shared" si="479"/>
        <v>72</v>
      </c>
      <c r="DK357" s="608">
        <f t="shared" si="480"/>
        <v>0</v>
      </c>
      <c r="DL357" s="607">
        <f t="shared" si="481"/>
        <v>72</v>
      </c>
      <c r="DM357" s="608">
        <f t="shared" si="482"/>
        <v>83</v>
      </c>
      <c r="DN357" s="607">
        <f t="shared" si="483"/>
        <v>0</v>
      </c>
      <c r="DO357" s="612">
        <f t="shared" si="484"/>
        <v>0</v>
      </c>
      <c r="DP357" s="607">
        <f t="shared" si="485"/>
        <v>0</v>
      </c>
      <c r="DQ357" s="606">
        <f t="shared" si="486"/>
        <v>0</v>
      </c>
      <c r="DR357" s="607">
        <f t="shared" si="487"/>
        <v>0</v>
      </c>
      <c r="DS357" s="606">
        <f t="shared" si="488"/>
        <v>0</v>
      </c>
      <c r="DT357" s="607">
        <f t="shared" si="489"/>
        <v>0</v>
      </c>
      <c r="DU357" s="606">
        <f t="shared" si="490"/>
        <v>0</v>
      </c>
      <c r="DV357" s="607">
        <f t="shared" si="491"/>
        <v>0</v>
      </c>
      <c r="DW357" s="608">
        <f t="shared" si="492"/>
        <v>3712133.8167938935</v>
      </c>
      <c r="DX357" s="607">
        <f t="shared" si="493"/>
        <v>3343965.1200000006</v>
      </c>
      <c r="DY357" s="608">
        <f t="shared" si="494"/>
        <v>0</v>
      </c>
      <c r="DZ357" s="607">
        <f t="shared" si="495"/>
        <v>3343965.1200000006</v>
      </c>
      <c r="EA357" s="608">
        <f t="shared" si="496"/>
        <v>3712133.8167938935</v>
      </c>
    </row>
    <row r="358" spans="1:131" x14ac:dyDescent="0.2">
      <c r="A358" s="393" t="s">
        <v>40</v>
      </c>
      <c r="B358" s="391" t="s">
        <v>676</v>
      </c>
      <c r="C358" s="569"/>
      <c r="D358" s="398">
        <v>199795</v>
      </c>
      <c r="E358" s="399">
        <v>10</v>
      </c>
      <c r="F358" s="598"/>
      <c r="G358" s="599"/>
      <c r="H358" s="600"/>
      <c r="I358" s="601"/>
      <c r="J358" s="600"/>
      <c r="K358" s="599"/>
      <c r="L358" s="600"/>
      <c r="M358" s="601"/>
      <c r="N358" s="600"/>
      <c r="O358" s="599"/>
      <c r="P358" s="600"/>
      <c r="Q358" s="601"/>
      <c r="R358" s="600"/>
      <c r="S358" s="599"/>
      <c r="T358" s="600"/>
      <c r="U358" s="601"/>
      <c r="V358" s="600"/>
      <c r="W358" s="599"/>
      <c r="X358" s="600"/>
      <c r="Y358" s="601"/>
      <c r="Z358" s="600"/>
      <c r="AA358" s="599"/>
      <c r="AB358" s="600"/>
      <c r="AC358" s="601"/>
      <c r="AD358" s="600"/>
      <c r="AE358" s="599">
        <v>4</v>
      </c>
      <c r="AF358" s="600"/>
      <c r="AG358" s="601">
        <v>26</v>
      </c>
      <c r="AH358" s="600"/>
      <c r="AI358" s="599"/>
      <c r="AJ358" s="600"/>
      <c r="AK358" s="601"/>
      <c r="AL358" s="600"/>
      <c r="AM358" s="599"/>
      <c r="AN358" s="600"/>
      <c r="AO358" s="601"/>
      <c r="AP358" s="600"/>
      <c r="AQ358" s="599"/>
      <c r="AR358" s="600"/>
      <c r="AS358" s="601"/>
      <c r="AT358" s="600">
        <v>28</v>
      </c>
      <c r="AU358" s="599"/>
      <c r="AV358" s="600"/>
      <c r="AW358" s="601"/>
      <c r="AX358" s="600"/>
      <c r="AY358" s="599"/>
      <c r="AZ358" s="600"/>
      <c r="BA358" s="601"/>
      <c r="BB358" s="602">
        <v>0</v>
      </c>
      <c r="BC358" s="599"/>
      <c r="BD358" s="600">
        <v>0</v>
      </c>
      <c r="BE358" s="599"/>
      <c r="BF358" s="600">
        <v>0</v>
      </c>
      <c r="BG358" s="599"/>
      <c r="BH358" s="600">
        <v>0</v>
      </c>
      <c r="BI358" s="599">
        <v>1571738</v>
      </c>
      <c r="BJ358" s="600">
        <v>0</v>
      </c>
      <c r="BK358" s="615"/>
      <c r="BL358" s="600">
        <v>1270384.92</v>
      </c>
      <c r="BM358" s="604"/>
      <c r="BN358" s="605">
        <f t="shared" si="431"/>
        <v>0</v>
      </c>
      <c r="BO358" s="606">
        <f t="shared" si="432"/>
        <v>0</v>
      </c>
      <c r="BP358" s="607">
        <f t="shared" si="433"/>
        <v>0</v>
      </c>
      <c r="BQ358" s="606">
        <f t="shared" si="434"/>
        <v>0</v>
      </c>
      <c r="BR358" s="607">
        <f t="shared" si="435"/>
        <v>0</v>
      </c>
      <c r="BS358" s="606">
        <f t="shared" si="436"/>
        <v>0</v>
      </c>
      <c r="BT358" s="607">
        <f t="shared" si="437"/>
        <v>0</v>
      </c>
      <c r="BU358" s="606">
        <f t="shared" si="438"/>
        <v>296</v>
      </c>
      <c r="BV358" s="607">
        <f t="shared" si="439"/>
        <v>0</v>
      </c>
      <c r="BW358" s="608">
        <f t="shared" si="440"/>
        <v>0</v>
      </c>
      <c r="BX358" s="607">
        <f t="shared" si="441"/>
        <v>252</v>
      </c>
      <c r="BY358" s="608">
        <f t="shared" si="442"/>
        <v>0</v>
      </c>
      <c r="BZ358" s="607">
        <f t="shared" si="443"/>
        <v>0</v>
      </c>
      <c r="CA358" s="608">
        <f t="shared" si="444"/>
        <v>0</v>
      </c>
      <c r="CB358" s="607">
        <f t="shared" si="445"/>
        <v>0</v>
      </c>
      <c r="CC358" s="608">
        <f t="shared" si="446"/>
        <v>0</v>
      </c>
      <c r="CD358" s="607">
        <f t="shared" si="447"/>
        <v>0</v>
      </c>
      <c r="CE358" s="608">
        <f t="shared" si="448"/>
        <v>0</v>
      </c>
      <c r="CF358" s="607">
        <f t="shared" si="449"/>
        <v>0</v>
      </c>
      <c r="CG358" s="608">
        <f t="shared" si="450"/>
        <v>5309.9256756756758</v>
      </c>
      <c r="CH358" s="607">
        <f t="shared" si="451"/>
        <v>0</v>
      </c>
      <c r="CI358" s="608">
        <f t="shared" si="452"/>
        <v>0</v>
      </c>
      <c r="CJ358" s="607">
        <f t="shared" si="453"/>
        <v>5041.21</v>
      </c>
      <c r="CK358" s="608">
        <f t="shared" si="454"/>
        <v>0</v>
      </c>
      <c r="CL358" s="609">
        <f t="shared" si="455"/>
        <v>0</v>
      </c>
      <c r="CM358" s="608">
        <f t="shared" si="456"/>
        <v>0</v>
      </c>
      <c r="CN358" s="610">
        <f t="shared" si="457"/>
        <v>0</v>
      </c>
      <c r="CO358" s="606">
        <f t="shared" si="458"/>
        <v>0</v>
      </c>
      <c r="CP358" s="607">
        <f t="shared" si="459"/>
        <v>0</v>
      </c>
      <c r="CQ358" s="606">
        <f t="shared" si="460"/>
        <v>0</v>
      </c>
      <c r="CR358" s="607">
        <f t="shared" si="461"/>
        <v>0</v>
      </c>
      <c r="CS358" s="606">
        <f t="shared" si="462"/>
        <v>47789.33108108108</v>
      </c>
      <c r="CT358" s="607">
        <f t="shared" si="463"/>
        <v>0</v>
      </c>
      <c r="CU358" s="608">
        <f t="shared" si="464"/>
        <v>0</v>
      </c>
      <c r="CV358" s="610">
        <f t="shared" si="465"/>
        <v>45370.89</v>
      </c>
      <c r="CW358" s="608">
        <f t="shared" si="466"/>
        <v>0</v>
      </c>
      <c r="CX358" s="610">
        <f t="shared" si="467"/>
        <v>45370.89</v>
      </c>
      <c r="CY358" s="611">
        <f t="shared" si="468"/>
        <v>47789.33108108108</v>
      </c>
      <c r="CZ358" s="605">
        <f t="shared" si="469"/>
        <v>0</v>
      </c>
      <c r="DA358" s="612">
        <f t="shared" si="470"/>
        <v>0</v>
      </c>
      <c r="DB358" s="607">
        <f t="shared" si="471"/>
        <v>0</v>
      </c>
      <c r="DC358" s="606">
        <f t="shared" si="472"/>
        <v>0</v>
      </c>
      <c r="DD358" s="607">
        <f t="shared" si="473"/>
        <v>0</v>
      </c>
      <c r="DE358" s="606">
        <f t="shared" si="474"/>
        <v>0</v>
      </c>
      <c r="DF358" s="607">
        <f t="shared" si="475"/>
        <v>0</v>
      </c>
      <c r="DG358" s="606">
        <f t="shared" si="476"/>
        <v>30</v>
      </c>
      <c r="DH358" s="607">
        <f t="shared" si="477"/>
        <v>0</v>
      </c>
      <c r="DI358" s="608">
        <f t="shared" si="478"/>
        <v>0</v>
      </c>
      <c r="DJ358" s="607">
        <f t="shared" si="479"/>
        <v>28</v>
      </c>
      <c r="DK358" s="608">
        <f t="shared" si="480"/>
        <v>0</v>
      </c>
      <c r="DL358" s="607">
        <f t="shared" si="481"/>
        <v>28</v>
      </c>
      <c r="DM358" s="608">
        <f t="shared" si="482"/>
        <v>30</v>
      </c>
      <c r="DN358" s="607">
        <f t="shared" si="483"/>
        <v>0</v>
      </c>
      <c r="DO358" s="612">
        <f t="shared" si="484"/>
        <v>0</v>
      </c>
      <c r="DP358" s="607">
        <f t="shared" si="485"/>
        <v>0</v>
      </c>
      <c r="DQ358" s="606">
        <f t="shared" si="486"/>
        <v>0</v>
      </c>
      <c r="DR358" s="607">
        <f t="shared" si="487"/>
        <v>0</v>
      </c>
      <c r="DS358" s="606">
        <f t="shared" si="488"/>
        <v>0</v>
      </c>
      <c r="DT358" s="607">
        <f t="shared" si="489"/>
        <v>0</v>
      </c>
      <c r="DU358" s="606">
        <f t="shared" si="490"/>
        <v>1433679.9324324324</v>
      </c>
      <c r="DV358" s="607">
        <f t="shared" si="491"/>
        <v>0</v>
      </c>
      <c r="DW358" s="608">
        <f t="shared" si="492"/>
        <v>0</v>
      </c>
      <c r="DX358" s="607">
        <f t="shared" si="493"/>
        <v>1270384.92</v>
      </c>
      <c r="DY358" s="608">
        <f t="shared" si="494"/>
        <v>0</v>
      </c>
      <c r="DZ358" s="607">
        <f t="shared" si="495"/>
        <v>1270384.92</v>
      </c>
      <c r="EA358" s="608">
        <f t="shared" si="496"/>
        <v>1433679.9324324324</v>
      </c>
    </row>
    <row r="359" spans="1:131" x14ac:dyDescent="0.2">
      <c r="A359" s="393" t="s">
        <v>40</v>
      </c>
      <c r="B359" s="394" t="s">
        <v>677</v>
      </c>
      <c r="C359" s="570"/>
      <c r="D359" s="400">
        <v>199953</v>
      </c>
      <c r="E359" s="392">
        <v>10</v>
      </c>
      <c r="F359" s="598"/>
      <c r="G359" s="599"/>
      <c r="H359" s="600"/>
      <c r="I359" s="601"/>
      <c r="J359" s="600"/>
      <c r="K359" s="599"/>
      <c r="L359" s="600"/>
      <c r="M359" s="601"/>
      <c r="N359" s="600"/>
      <c r="O359" s="599"/>
      <c r="P359" s="600"/>
      <c r="Q359" s="601"/>
      <c r="R359" s="600"/>
      <c r="S359" s="599"/>
      <c r="T359" s="600"/>
      <c r="U359" s="601"/>
      <c r="V359" s="600"/>
      <c r="W359" s="599"/>
      <c r="X359" s="600"/>
      <c r="Y359" s="601"/>
      <c r="Z359" s="600"/>
      <c r="AA359" s="599"/>
      <c r="AB359" s="600"/>
      <c r="AC359" s="601"/>
      <c r="AD359" s="600"/>
      <c r="AE359" s="599"/>
      <c r="AF359" s="600"/>
      <c r="AG359" s="601"/>
      <c r="AH359" s="600"/>
      <c r="AI359" s="599"/>
      <c r="AJ359" s="600"/>
      <c r="AK359" s="601"/>
      <c r="AL359" s="600"/>
      <c r="AM359" s="599">
        <v>52</v>
      </c>
      <c r="AN359" s="600"/>
      <c r="AO359" s="601"/>
      <c r="AP359" s="600"/>
      <c r="AQ359" s="599"/>
      <c r="AR359" s="600"/>
      <c r="AS359" s="601"/>
      <c r="AT359" s="600">
        <v>50</v>
      </c>
      <c r="AU359" s="599"/>
      <c r="AV359" s="600"/>
      <c r="AW359" s="601"/>
      <c r="AX359" s="600"/>
      <c r="AY359" s="599"/>
      <c r="AZ359" s="600"/>
      <c r="BA359" s="601"/>
      <c r="BB359" s="602">
        <v>0</v>
      </c>
      <c r="BC359" s="599"/>
      <c r="BD359" s="600">
        <v>0</v>
      </c>
      <c r="BE359" s="599"/>
      <c r="BF359" s="600">
        <v>0</v>
      </c>
      <c r="BG359" s="599"/>
      <c r="BH359" s="600">
        <v>0</v>
      </c>
      <c r="BI359" s="599"/>
      <c r="BJ359" s="600">
        <v>0</v>
      </c>
      <c r="BK359" s="615">
        <v>2448369</v>
      </c>
      <c r="BL359" s="600">
        <v>2372615.9999999995</v>
      </c>
      <c r="BM359" s="604"/>
      <c r="BN359" s="605">
        <f t="shared" si="431"/>
        <v>0</v>
      </c>
      <c r="BO359" s="606">
        <f t="shared" si="432"/>
        <v>0</v>
      </c>
      <c r="BP359" s="607">
        <f t="shared" si="433"/>
        <v>0</v>
      </c>
      <c r="BQ359" s="606">
        <f t="shared" si="434"/>
        <v>0</v>
      </c>
      <c r="BR359" s="607">
        <f t="shared" si="435"/>
        <v>0</v>
      </c>
      <c r="BS359" s="606">
        <f t="shared" si="436"/>
        <v>0</v>
      </c>
      <c r="BT359" s="607">
        <f t="shared" si="437"/>
        <v>0</v>
      </c>
      <c r="BU359" s="606">
        <f t="shared" si="438"/>
        <v>0</v>
      </c>
      <c r="BV359" s="607">
        <f t="shared" si="439"/>
        <v>0</v>
      </c>
      <c r="BW359" s="608">
        <f t="shared" si="440"/>
        <v>468</v>
      </c>
      <c r="BX359" s="607">
        <f t="shared" si="441"/>
        <v>450</v>
      </c>
      <c r="BY359" s="608">
        <f t="shared" si="442"/>
        <v>0</v>
      </c>
      <c r="BZ359" s="607">
        <f t="shared" si="443"/>
        <v>0</v>
      </c>
      <c r="CA359" s="608">
        <f t="shared" si="444"/>
        <v>0</v>
      </c>
      <c r="CB359" s="607">
        <f t="shared" si="445"/>
        <v>0</v>
      </c>
      <c r="CC359" s="608">
        <f t="shared" si="446"/>
        <v>0</v>
      </c>
      <c r="CD359" s="607">
        <f t="shared" si="447"/>
        <v>0</v>
      </c>
      <c r="CE359" s="608">
        <f t="shared" si="448"/>
        <v>0</v>
      </c>
      <c r="CF359" s="607">
        <f t="shared" si="449"/>
        <v>0</v>
      </c>
      <c r="CG359" s="608">
        <f t="shared" si="450"/>
        <v>0</v>
      </c>
      <c r="CH359" s="607">
        <f t="shared" si="451"/>
        <v>0</v>
      </c>
      <c r="CI359" s="608">
        <f t="shared" si="452"/>
        <v>5231.5576923076924</v>
      </c>
      <c r="CJ359" s="607">
        <f t="shared" si="453"/>
        <v>5272.4799999999987</v>
      </c>
      <c r="CK359" s="608">
        <f t="shared" si="454"/>
        <v>0</v>
      </c>
      <c r="CL359" s="609">
        <f t="shared" si="455"/>
        <v>0</v>
      </c>
      <c r="CM359" s="608">
        <f t="shared" si="456"/>
        <v>0</v>
      </c>
      <c r="CN359" s="610">
        <f t="shared" si="457"/>
        <v>0</v>
      </c>
      <c r="CO359" s="606">
        <f t="shared" si="458"/>
        <v>0</v>
      </c>
      <c r="CP359" s="607">
        <f t="shared" si="459"/>
        <v>0</v>
      </c>
      <c r="CQ359" s="606">
        <f t="shared" si="460"/>
        <v>0</v>
      </c>
      <c r="CR359" s="607">
        <f t="shared" si="461"/>
        <v>0</v>
      </c>
      <c r="CS359" s="606">
        <f t="shared" si="462"/>
        <v>0</v>
      </c>
      <c r="CT359" s="607">
        <f t="shared" si="463"/>
        <v>0</v>
      </c>
      <c r="CU359" s="608">
        <f t="shared" si="464"/>
        <v>47084.019230769234</v>
      </c>
      <c r="CV359" s="610">
        <f t="shared" si="465"/>
        <v>47452.319999999985</v>
      </c>
      <c r="CW359" s="608">
        <f t="shared" si="466"/>
        <v>0</v>
      </c>
      <c r="CX359" s="610">
        <f t="shared" si="467"/>
        <v>47452.319999999978</v>
      </c>
      <c r="CY359" s="611">
        <f t="shared" si="468"/>
        <v>47084.019230769234</v>
      </c>
      <c r="CZ359" s="605">
        <f t="shared" si="469"/>
        <v>0</v>
      </c>
      <c r="DA359" s="612">
        <f t="shared" si="470"/>
        <v>0</v>
      </c>
      <c r="DB359" s="607">
        <f t="shared" si="471"/>
        <v>0</v>
      </c>
      <c r="DC359" s="606">
        <f t="shared" si="472"/>
        <v>0</v>
      </c>
      <c r="DD359" s="607">
        <f t="shared" si="473"/>
        <v>0</v>
      </c>
      <c r="DE359" s="606">
        <f t="shared" si="474"/>
        <v>0</v>
      </c>
      <c r="DF359" s="607">
        <f t="shared" si="475"/>
        <v>0</v>
      </c>
      <c r="DG359" s="606">
        <f t="shared" si="476"/>
        <v>0</v>
      </c>
      <c r="DH359" s="607">
        <f t="shared" si="477"/>
        <v>0</v>
      </c>
      <c r="DI359" s="608">
        <f t="shared" si="478"/>
        <v>52</v>
      </c>
      <c r="DJ359" s="607">
        <f t="shared" si="479"/>
        <v>50</v>
      </c>
      <c r="DK359" s="608">
        <f t="shared" si="480"/>
        <v>0</v>
      </c>
      <c r="DL359" s="607">
        <f t="shared" si="481"/>
        <v>50</v>
      </c>
      <c r="DM359" s="608">
        <f t="shared" si="482"/>
        <v>52</v>
      </c>
      <c r="DN359" s="607">
        <f t="shared" si="483"/>
        <v>0</v>
      </c>
      <c r="DO359" s="612">
        <f t="shared" si="484"/>
        <v>0</v>
      </c>
      <c r="DP359" s="607">
        <f t="shared" si="485"/>
        <v>0</v>
      </c>
      <c r="DQ359" s="606">
        <f t="shared" si="486"/>
        <v>0</v>
      </c>
      <c r="DR359" s="607">
        <f t="shared" si="487"/>
        <v>0</v>
      </c>
      <c r="DS359" s="606">
        <f t="shared" si="488"/>
        <v>0</v>
      </c>
      <c r="DT359" s="607">
        <f t="shared" si="489"/>
        <v>0</v>
      </c>
      <c r="DU359" s="606">
        <f t="shared" si="490"/>
        <v>0</v>
      </c>
      <c r="DV359" s="607">
        <f t="shared" si="491"/>
        <v>0</v>
      </c>
      <c r="DW359" s="608">
        <f t="shared" si="492"/>
        <v>2448369</v>
      </c>
      <c r="DX359" s="607">
        <f t="shared" si="493"/>
        <v>2372615.9999999991</v>
      </c>
      <c r="DY359" s="608">
        <f t="shared" si="494"/>
        <v>0</v>
      </c>
      <c r="DZ359" s="607">
        <f t="shared" si="495"/>
        <v>2372615.9999999991</v>
      </c>
      <c r="EA359" s="608">
        <f t="shared" si="496"/>
        <v>2448369</v>
      </c>
    </row>
    <row r="360" spans="1:131" x14ac:dyDescent="0.2">
      <c r="A360" s="403" t="s">
        <v>41</v>
      </c>
      <c r="B360" s="404" t="s">
        <v>681</v>
      </c>
      <c r="C360" s="552"/>
      <c r="D360" s="408">
        <v>207388</v>
      </c>
      <c r="E360" s="409">
        <v>1</v>
      </c>
      <c r="F360" s="598">
        <v>225</v>
      </c>
      <c r="G360" s="599">
        <v>233</v>
      </c>
      <c r="H360" s="600"/>
      <c r="I360" s="601"/>
      <c r="J360" s="600">
        <v>58</v>
      </c>
      <c r="K360" s="599">
        <v>60</v>
      </c>
      <c r="L360" s="600"/>
      <c r="M360" s="601"/>
      <c r="N360" s="600">
        <v>248</v>
      </c>
      <c r="O360" s="599">
        <v>253</v>
      </c>
      <c r="P360" s="600"/>
      <c r="Q360" s="601"/>
      <c r="R360" s="600">
        <v>31</v>
      </c>
      <c r="S360" s="599">
        <v>30</v>
      </c>
      <c r="T360" s="600"/>
      <c r="U360" s="601"/>
      <c r="V360" s="600">
        <v>198</v>
      </c>
      <c r="W360" s="599">
        <v>188</v>
      </c>
      <c r="X360" s="600"/>
      <c r="Y360" s="601"/>
      <c r="Z360" s="600">
        <v>26</v>
      </c>
      <c r="AA360" s="599">
        <v>23</v>
      </c>
      <c r="AB360" s="600"/>
      <c r="AC360" s="601"/>
      <c r="AD360" s="600">
        <v>65</v>
      </c>
      <c r="AE360" s="599">
        <v>78</v>
      </c>
      <c r="AF360" s="600"/>
      <c r="AG360" s="601"/>
      <c r="AH360" s="600">
        <v>70</v>
      </c>
      <c r="AI360" s="599">
        <v>85</v>
      </c>
      <c r="AJ360" s="600"/>
      <c r="AK360" s="601"/>
      <c r="AL360" s="600"/>
      <c r="AM360" s="599"/>
      <c r="AN360" s="600"/>
      <c r="AO360" s="601"/>
      <c r="AP360" s="600"/>
      <c r="AQ360" s="599"/>
      <c r="AR360" s="600"/>
      <c r="AS360" s="601"/>
      <c r="AT360" s="600"/>
      <c r="AU360" s="599"/>
      <c r="AV360" s="600"/>
      <c r="AW360" s="601"/>
      <c r="AX360" s="600"/>
      <c r="AY360" s="599"/>
      <c r="AZ360" s="600"/>
      <c r="BA360" s="601"/>
      <c r="BB360" s="602">
        <v>32606770</v>
      </c>
      <c r="BC360" s="599">
        <f>25899348+8028780</f>
        <v>33928128</v>
      </c>
      <c r="BD360" s="600">
        <v>21146836</v>
      </c>
      <c r="BE360" s="599">
        <f>19211049+2301930</f>
        <v>21512979</v>
      </c>
      <c r="BF360" s="600">
        <v>15110350</v>
      </c>
      <c r="BG360" s="599">
        <f>12841152+1676930</f>
        <v>14518082</v>
      </c>
      <c r="BH360" s="600">
        <v>6370985</v>
      </c>
      <c r="BI360" s="599">
        <f>3629340+4192880</f>
        <v>7822220</v>
      </c>
      <c r="BJ360" s="600">
        <v>0</v>
      </c>
      <c r="BK360" s="615"/>
      <c r="BL360" s="600">
        <v>0</v>
      </c>
      <c r="BM360" s="604"/>
      <c r="BN360" s="605">
        <f t="shared" si="431"/>
        <v>2663</v>
      </c>
      <c r="BO360" s="606">
        <f t="shared" si="432"/>
        <v>2757</v>
      </c>
      <c r="BP360" s="607">
        <f t="shared" si="433"/>
        <v>2573</v>
      </c>
      <c r="BQ360" s="606">
        <f t="shared" si="434"/>
        <v>2607</v>
      </c>
      <c r="BR360" s="607">
        <f t="shared" si="435"/>
        <v>2068</v>
      </c>
      <c r="BS360" s="606">
        <f t="shared" si="436"/>
        <v>1945</v>
      </c>
      <c r="BT360" s="607">
        <f t="shared" si="437"/>
        <v>1355</v>
      </c>
      <c r="BU360" s="606">
        <f t="shared" si="438"/>
        <v>1637</v>
      </c>
      <c r="BV360" s="607">
        <f t="shared" si="439"/>
        <v>0</v>
      </c>
      <c r="BW360" s="608">
        <f t="shared" si="440"/>
        <v>0</v>
      </c>
      <c r="BX360" s="607">
        <f t="shared" si="441"/>
        <v>0</v>
      </c>
      <c r="BY360" s="608">
        <f t="shared" si="442"/>
        <v>0</v>
      </c>
      <c r="BZ360" s="607">
        <f t="shared" si="443"/>
        <v>12244.374765302291</v>
      </c>
      <c r="CA360" s="608">
        <f t="shared" si="444"/>
        <v>12306.176278563657</v>
      </c>
      <c r="CB360" s="607">
        <f t="shared" si="445"/>
        <v>8218.7469879518067</v>
      </c>
      <c r="CC360" s="608">
        <f t="shared" si="446"/>
        <v>8252.0057537399316</v>
      </c>
      <c r="CD360" s="607">
        <f t="shared" si="447"/>
        <v>7306.7456479690518</v>
      </c>
      <c r="CE360" s="608">
        <f t="shared" si="448"/>
        <v>7464.3095115681235</v>
      </c>
      <c r="CF360" s="607">
        <f t="shared" si="449"/>
        <v>4701.833948339483</v>
      </c>
      <c r="CG360" s="608">
        <f t="shared" si="450"/>
        <v>4778.3872938301774</v>
      </c>
      <c r="CH360" s="607">
        <f t="shared" si="451"/>
        <v>0</v>
      </c>
      <c r="CI360" s="608">
        <f t="shared" si="452"/>
        <v>0</v>
      </c>
      <c r="CJ360" s="607">
        <f t="shared" si="453"/>
        <v>0</v>
      </c>
      <c r="CK360" s="608">
        <f t="shared" si="454"/>
        <v>0</v>
      </c>
      <c r="CL360" s="609">
        <f t="shared" si="455"/>
        <v>110199.37288772062</v>
      </c>
      <c r="CM360" s="608">
        <f t="shared" si="456"/>
        <v>110755.58650707291</v>
      </c>
      <c r="CN360" s="610">
        <f t="shared" si="457"/>
        <v>73968.722891566256</v>
      </c>
      <c r="CO360" s="606">
        <f t="shared" si="458"/>
        <v>74268.051783659379</v>
      </c>
      <c r="CP360" s="607">
        <f t="shared" si="459"/>
        <v>65760.710831721459</v>
      </c>
      <c r="CQ360" s="606">
        <f t="shared" si="460"/>
        <v>67178.785604113116</v>
      </c>
      <c r="CR360" s="607">
        <f t="shared" si="461"/>
        <v>42316.505535055345</v>
      </c>
      <c r="CS360" s="606">
        <f t="shared" si="462"/>
        <v>43005.485644471599</v>
      </c>
      <c r="CT360" s="607">
        <f t="shared" si="463"/>
        <v>0</v>
      </c>
      <c r="CU360" s="608">
        <f t="shared" si="464"/>
        <v>0</v>
      </c>
      <c r="CV360" s="610">
        <f t="shared" si="465"/>
        <v>0</v>
      </c>
      <c r="CW360" s="608">
        <f t="shared" si="466"/>
        <v>0</v>
      </c>
      <c r="CX360" s="610">
        <f t="shared" si="467"/>
        <v>78465.606609674272</v>
      </c>
      <c r="CY360" s="611">
        <f t="shared" si="468"/>
        <v>78583.014130383905</v>
      </c>
      <c r="CZ360" s="605">
        <f t="shared" si="469"/>
        <v>283</v>
      </c>
      <c r="DA360" s="612">
        <f t="shared" si="470"/>
        <v>293</v>
      </c>
      <c r="DB360" s="607">
        <f t="shared" si="471"/>
        <v>279</v>
      </c>
      <c r="DC360" s="606">
        <f t="shared" si="472"/>
        <v>283</v>
      </c>
      <c r="DD360" s="607">
        <f t="shared" si="473"/>
        <v>224</v>
      </c>
      <c r="DE360" s="606">
        <f t="shared" si="474"/>
        <v>211</v>
      </c>
      <c r="DF360" s="607">
        <f t="shared" si="475"/>
        <v>135</v>
      </c>
      <c r="DG360" s="606">
        <f t="shared" si="476"/>
        <v>163</v>
      </c>
      <c r="DH360" s="607">
        <f t="shared" si="477"/>
        <v>0</v>
      </c>
      <c r="DI360" s="608">
        <f t="shared" si="478"/>
        <v>0</v>
      </c>
      <c r="DJ360" s="607">
        <f t="shared" si="479"/>
        <v>0</v>
      </c>
      <c r="DK360" s="608">
        <f t="shared" si="480"/>
        <v>0</v>
      </c>
      <c r="DL360" s="607">
        <f t="shared" si="481"/>
        <v>921</v>
      </c>
      <c r="DM360" s="608">
        <f t="shared" si="482"/>
        <v>950</v>
      </c>
      <c r="DN360" s="607">
        <f t="shared" si="483"/>
        <v>31186422.527224936</v>
      </c>
      <c r="DO360" s="612">
        <f t="shared" si="484"/>
        <v>32451386.846572362</v>
      </c>
      <c r="DP360" s="607">
        <f t="shared" si="485"/>
        <v>20637273.686746985</v>
      </c>
      <c r="DQ360" s="606">
        <f t="shared" si="486"/>
        <v>21017858.654775605</v>
      </c>
      <c r="DR360" s="607">
        <f t="shared" si="487"/>
        <v>14730399.226305608</v>
      </c>
      <c r="DS360" s="606">
        <f t="shared" si="488"/>
        <v>14174723.762467867</v>
      </c>
      <c r="DT360" s="607">
        <f t="shared" si="489"/>
        <v>5712728.2472324716</v>
      </c>
      <c r="DU360" s="606">
        <f t="shared" si="490"/>
        <v>7009894.1600488704</v>
      </c>
      <c r="DV360" s="607">
        <f t="shared" si="491"/>
        <v>0</v>
      </c>
      <c r="DW360" s="608">
        <f t="shared" si="492"/>
        <v>0</v>
      </c>
      <c r="DX360" s="607">
        <f t="shared" si="493"/>
        <v>0</v>
      </c>
      <c r="DY360" s="608">
        <f t="shared" si="494"/>
        <v>0</v>
      </c>
      <c r="DZ360" s="607">
        <f t="shared" si="495"/>
        <v>72266823.687509999</v>
      </c>
      <c r="EA360" s="608">
        <f t="shared" si="496"/>
        <v>74653863.423864707</v>
      </c>
    </row>
    <row r="361" spans="1:131" x14ac:dyDescent="0.2">
      <c r="A361" s="403" t="s">
        <v>41</v>
      </c>
      <c r="B361" s="404" t="s">
        <v>682</v>
      </c>
      <c r="C361" s="552"/>
      <c r="D361" s="408">
        <v>207500</v>
      </c>
      <c r="E361" s="409">
        <v>1</v>
      </c>
      <c r="F361" s="598">
        <v>341</v>
      </c>
      <c r="G361" s="599">
        <v>341</v>
      </c>
      <c r="H361" s="600"/>
      <c r="I361" s="601"/>
      <c r="J361" s="600">
        <v>87</v>
      </c>
      <c r="K361" s="599">
        <v>86</v>
      </c>
      <c r="L361" s="600"/>
      <c r="M361" s="601"/>
      <c r="N361" s="600">
        <v>269</v>
      </c>
      <c r="O361" s="599">
        <v>269</v>
      </c>
      <c r="P361" s="600"/>
      <c r="Q361" s="601"/>
      <c r="R361" s="600">
        <v>27</v>
      </c>
      <c r="S361" s="599">
        <v>36</v>
      </c>
      <c r="T361" s="600"/>
      <c r="U361" s="601"/>
      <c r="V361" s="600">
        <v>249</v>
      </c>
      <c r="W361" s="599">
        <v>232</v>
      </c>
      <c r="X361" s="600"/>
      <c r="Y361" s="601"/>
      <c r="Z361" s="600">
        <v>13</v>
      </c>
      <c r="AA361" s="599">
        <v>13</v>
      </c>
      <c r="AB361" s="600"/>
      <c r="AC361" s="601"/>
      <c r="AD361" s="600">
        <v>143</v>
      </c>
      <c r="AE361" s="599">
        <v>145</v>
      </c>
      <c r="AF361" s="600"/>
      <c r="AG361" s="601"/>
      <c r="AH361" s="600">
        <v>10</v>
      </c>
      <c r="AI361" s="599">
        <v>9</v>
      </c>
      <c r="AJ361" s="600"/>
      <c r="AK361" s="601"/>
      <c r="AL361" s="600"/>
      <c r="AM361" s="599"/>
      <c r="AN361" s="600"/>
      <c r="AO361" s="601"/>
      <c r="AP361" s="600"/>
      <c r="AQ361" s="599"/>
      <c r="AR361" s="600"/>
      <c r="AS361" s="601"/>
      <c r="AT361" s="600"/>
      <c r="AU361" s="599"/>
      <c r="AV361" s="600"/>
      <c r="AW361" s="601"/>
      <c r="AX361" s="600"/>
      <c r="AY361" s="599"/>
      <c r="AZ361" s="600"/>
      <c r="BA361" s="601"/>
      <c r="BB361" s="602">
        <v>50302996</v>
      </c>
      <c r="BC361" s="599">
        <f>36675573+13017476</f>
        <v>49693049</v>
      </c>
      <c r="BD361" s="600">
        <v>21891938</v>
      </c>
      <c r="BE361" s="599">
        <f>19180507+3907188</f>
        <v>23087695</v>
      </c>
      <c r="BF361" s="600">
        <v>17281412</v>
      </c>
      <c r="BG361" s="599">
        <f>15390416+1015950</f>
        <v>16406366</v>
      </c>
      <c r="BH361" s="600">
        <v>6464255</v>
      </c>
      <c r="BI361" s="599">
        <f>5885550+541764</f>
        <v>6427314</v>
      </c>
      <c r="BJ361" s="600">
        <v>0</v>
      </c>
      <c r="BK361" s="615"/>
      <c r="BL361" s="600">
        <v>0</v>
      </c>
      <c r="BM361" s="604"/>
      <c r="BN361" s="605">
        <f t="shared" si="431"/>
        <v>4026</v>
      </c>
      <c r="BO361" s="606">
        <f t="shared" si="432"/>
        <v>4015</v>
      </c>
      <c r="BP361" s="607">
        <f t="shared" si="433"/>
        <v>2718</v>
      </c>
      <c r="BQ361" s="606">
        <f t="shared" si="434"/>
        <v>2817</v>
      </c>
      <c r="BR361" s="607">
        <f t="shared" si="435"/>
        <v>2384</v>
      </c>
      <c r="BS361" s="606">
        <f t="shared" si="436"/>
        <v>2231</v>
      </c>
      <c r="BT361" s="607">
        <f t="shared" si="437"/>
        <v>1397</v>
      </c>
      <c r="BU361" s="606">
        <f t="shared" si="438"/>
        <v>1404</v>
      </c>
      <c r="BV361" s="607">
        <f t="shared" si="439"/>
        <v>0</v>
      </c>
      <c r="BW361" s="608">
        <f t="shared" si="440"/>
        <v>0</v>
      </c>
      <c r="BX361" s="607">
        <f t="shared" si="441"/>
        <v>0</v>
      </c>
      <c r="BY361" s="608">
        <f t="shared" si="442"/>
        <v>0</v>
      </c>
      <c r="BZ361" s="607">
        <f t="shared" si="443"/>
        <v>12494.534525583706</v>
      </c>
      <c r="CA361" s="608">
        <f t="shared" si="444"/>
        <v>12376.849066002491</v>
      </c>
      <c r="CB361" s="607">
        <f t="shared" si="445"/>
        <v>8054.4289919058128</v>
      </c>
      <c r="CC361" s="608">
        <f t="shared" si="446"/>
        <v>8195.8448704295351</v>
      </c>
      <c r="CD361" s="607">
        <f t="shared" si="447"/>
        <v>7248.9144295302012</v>
      </c>
      <c r="CE361" s="608">
        <f t="shared" si="448"/>
        <v>7353.8171223666513</v>
      </c>
      <c r="CF361" s="607">
        <f t="shared" si="449"/>
        <v>4627.2405153901218</v>
      </c>
      <c r="CG361" s="608">
        <f t="shared" si="450"/>
        <v>4577.8589743589746</v>
      </c>
      <c r="CH361" s="607">
        <f t="shared" si="451"/>
        <v>0</v>
      </c>
      <c r="CI361" s="608">
        <f t="shared" si="452"/>
        <v>0</v>
      </c>
      <c r="CJ361" s="607">
        <f t="shared" si="453"/>
        <v>0</v>
      </c>
      <c r="CK361" s="608">
        <f t="shared" si="454"/>
        <v>0</v>
      </c>
      <c r="CL361" s="609">
        <f t="shared" si="455"/>
        <v>112450.81073025335</v>
      </c>
      <c r="CM361" s="608">
        <f t="shared" si="456"/>
        <v>111391.64159402243</v>
      </c>
      <c r="CN361" s="610">
        <f t="shared" si="457"/>
        <v>72489.860927152316</v>
      </c>
      <c r="CO361" s="606">
        <f t="shared" si="458"/>
        <v>73762.603833865811</v>
      </c>
      <c r="CP361" s="607">
        <f t="shared" si="459"/>
        <v>65240.229865771813</v>
      </c>
      <c r="CQ361" s="606">
        <f t="shared" si="460"/>
        <v>66184.354101299861</v>
      </c>
      <c r="CR361" s="607">
        <f t="shared" si="461"/>
        <v>41645.164638511094</v>
      </c>
      <c r="CS361" s="606">
        <f t="shared" si="462"/>
        <v>41200.730769230773</v>
      </c>
      <c r="CT361" s="607">
        <f t="shared" si="463"/>
        <v>0</v>
      </c>
      <c r="CU361" s="608">
        <f t="shared" si="464"/>
        <v>0</v>
      </c>
      <c r="CV361" s="610">
        <f t="shared" si="465"/>
        <v>0</v>
      </c>
      <c r="CW361" s="608">
        <f t="shared" si="466"/>
        <v>0</v>
      </c>
      <c r="CX361" s="610">
        <f t="shared" si="467"/>
        <v>81694.992310368689</v>
      </c>
      <c r="CY361" s="611">
        <f t="shared" si="468"/>
        <v>81893.814697839654</v>
      </c>
      <c r="CZ361" s="605">
        <f t="shared" si="469"/>
        <v>428</v>
      </c>
      <c r="DA361" s="612">
        <f t="shared" si="470"/>
        <v>427</v>
      </c>
      <c r="DB361" s="607">
        <f t="shared" si="471"/>
        <v>296</v>
      </c>
      <c r="DC361" s="606">
        <f t="shared" si="472"/>
        <v>305</v>
      </c>
      <c r="DD361" s="607">
        <f t="shared" si="473"/>
        <v>262</v>
      </c>
      <c r="DE361" s="606">
        <f t="shared" si="474"/>
        <v>245</v>
      </c>
      <c r="DF361" s="607">
        <f t="shared" si="475"/>
        <v>153</v>
      </c>
      <c r="DG361" s="606">
        <f t="shared" si="476"/>
        <v>154</v>
      </c>
      <c r="DH361" s="607">
        <f t="shared" si="477"/>
        <v>0</v>
      </c>
      <c r="DI361" s="608">
        <f t="shared" si="478"/>
        <v>0</v>
      </c>
      <c r="DJ361" s="607">
        <f t="shared" si="479"/>
        <v>0</v>
      </c>
      <c r="DK361" s="608">
        <f t="shared" si="480"/>
        <v>0</v>
      </c>
      <c r="DL361" s="607">
        <f t="shared" si="481"/>
        <v>1139</v>
      </c>
      <c r="DM361" s="608">
        <f t="shared" si="482"/>
        <v>1131</v>
      </c>
      <c r="DN361" s="607">
        <f t="shared" si="483"/>
        <v>48128946.992548436</v>
      </c>
      <c r="DO361" s="612">
        <f t="shared" si="484"/>
        <v>47564230.960647576</v>
      </c>
      <c r="DP361" s="607">
        <f t="shared" si="485"/>
        <v>21456998.834437087</v>
      </c>
      <c r="DQ361" s="606">
        <f t="shared" si="486"/>
        <v>22497594.169329073</v>
      </c>
      <c r="DR361" s="607">
        <f t="shared" si="487"/>
        <v>17092940.224832214</v>
      </c>
      <c r="DS361" s="606">
        <f t="shared" si="488"/>
        <v>16215166.754818466</v>
      </c>
      <c r="DT361" s="607">
        <f t="shared" si="489"/>
        <v>6371710.1896921974</v>
      </c>
      <c r="DU361" s="606">
        <f t="shared" si="490"/>
        <v>6344912.538461539</v>
      </c>
      <c r="DV361" s="607">
        <f t="shared" si="491"/>
        <v>0</v>
      </c>
      <c r="DW361" s="608">
        <f t="shared" si="492"/>
        <v>0</v>
      </c>
      <c r="DX361" s="607">
        <f t="shared" si="493"/>
        <v>0</v>
      </c>
      <c r="DY361" s="608">
        <f t="shared" si="494"/>
        <v>0</v>
      </c>
      <c r="DZ361" s="607">
        <f t="shared" si="495"/>
        <v>93050596.241509929</v>
      </c>
      <c r="EA361" s="608">
        <f t="shared" si="496"/>
        <v>92621904.423256651</v>
      </c>
    </row>
    <row r="362" spans="1:131" x14ac:dyDescent="0.2">
      <c r="A362" s="403" t="s">
        <v>41</v>
      </c>
      <c r="B362" s="404" t="s">
        <v>683</v>
      </c>
      <c r="C362" s="552"/>
      <c r="D362" s="408">
        <v>207263</v>
      </c>
      <c r="E362" s="409">
        <v>3</v>
      </c>
      <c r="F362" s="598">
        <v>56</v>
      </c>
      <c r="G362" s="599">
        <v>59</v>
      </c>
      <c r="H362" s="600"/>
      <c r="I362" s="601"/>
      <c r="J362" s="600">
        <v>10</v>
      </c>
      <c r="K362" s="599">
        <v>11</v>
      </c>
      <c r="L362" s="600"/>
      <c r="M362" s="601"/>
      <c r="N362" s="600">
        <v>67</v>
      </c>
      <c r="O362" s="599">
        <v>58</v>
      </c>
      <c r="P362" s="600"/>
      <c r="Q362" s="601"/>
      <c r="R362" s="600">
        <v>5</v>
      </c>
      <c r="S362" s="599">
        <v>8</v>
      </c>
      <c r="T362" s="600"/>
      <c r="U362" s="601"/>
      <c r="V362" s="600">
        <v>96</v>
      </c>
      <c r="W362" s="599">
        <v>100</v>
      </c>
      <c r="X362" s="600"/>
      <c r="Y362" s="601"/>
      <c r="Z362" s="600">
        <v>10</v>
      </c>
      <c r="AA362" s="599">
        <v>11</v>
      </c>
      <c r="AB362" s="600"/>
      <c r="AC362" s="601"/>
      <c r="AD362" s="600">
        <v>74</v>
      </c>
      <c r="AE362" s="599">
        <v>74</v>
      </c>
      <c r="AF362" s="600"/>
      <c r="AG362" s="601"/>
      <c r="AH362" s="600">
        <v>7</v>
      </c>
      <c r="AI362" s="599">
        <v>5</v>
      </c>
      <c r="AJ362" s="600"/>
      <c r="AK362" s="601"/>
      <c r="AL362" s="600"/>
      <c r="AM362" s="599"/>
      <c r="AN362" s="600"/>
      <c r="AO362" s="601"/>
      <c r="AP362" s="600"/>
      <c r="AQ362" s="599"/>
      <c r="AR362" s="600"/>
      <c r="AS362" s="601"/>
      <c r="AT362" s="600"/>
      <c r="AU362" s="599"/>
      <c r="AV362" s="600"/>
      <c r="AW362" s="601"/>
      <c r="AX362" s="600"/>
      <c r="AY362" s="599"/>
      <c r="AZ362" s="600"/>
      <c r="BA362" s="601"/>
      <c r="BB362" s="602">
        <v>4865982</v>
      </c>
      <c r="BC362" s="599">
        <f>4183572+1143494</f>
        <v>5327066</v>
      </c>
      <c r="BD362" s="600">
        <v>4136575</v>
      </c>
      <c r="BE362" s="599">
        <f>3347934+648360</f>
        <v>3996294</v>
      </c>
      <c r="BF362" s="600">
        <v>5548370</v>
      </c>
      <c r="BG362" s="599">
        <f>5035700+810293</f>
        <v>5845993</v>
      </c>
      <c r="BH362" s="600">
        <v>3156926</v>
      </c>
      <c r="BI362" s="599">
        <f>3130718+325260</f>
        <v>3455978</v>
      </c>
      <c r="BJ362" s="600">
        <v>0</v>
      </c>
      <c r="BK362" s="615"/>
      <c r="BL362" s="600">
        <v>0</v>
      </c>
      <c r="BM362" s="604"/>
      <c r="BN362" s="605">
        <f t="shared" si="431"/>
        <v>614</v>
      </c>
      <c r="BO362" s="606">
        <f t="shared" si="432"/>
        <v>652</v>
      </c>
      <c r="BP362" s="607">
        <f t="shared" si="433"/>
        <v>658</v>
      </c>
      <c r="BQ362" s="606">
        <f t="shared" si="434"/>
        <v>610</v>
      </c>
      <c r="BR362" s="607">
        <f t="shared" si="435"/>
        <v>974</v>
      </c>
      <c r="BS362" s="606">
        <f t="shared" si="436"/>
        <v>1021</v>
      </c>
      <c r="BT362" s="607">
        <f t="shared" si="437"/>
        <v>743</v>
      </c>
      <c r="BU362" s="606">
        <f t="shared" si="438"/>
        <v>721</v>
      </c>
      <c r="BV362" s="607">
        <f t="shared" si="439"/>
        <v>0</v>
      </c>
      <c r="BW362" s="608">
        <f t="shared" si="440"/>
        <v>0</v>
      </c>
      <c r="BX362" s="607">
        <f t="shared" si="441"/>
        <v>0</v>
      </c>
      <c r="BY362" s="608">
        <f t="shared" si="442"/>
        <v>0</v>
      </c>
      <c r="BZ362" s="607">
        <f t="shared" si="443"/>
        <v>7925.0521172638437</v>
      </c>
      <c r="CA362" s="608">
        <f t="shared" si="444"/>
        <v>8170.3466257668715</v>
      </c>
      <c r="CB362" s="607">
        <f t="shared" si="445"/>
        <v>6286.5881458966569</v>
      </c>
      <c r="CC362" s="608">
        <f t="shared" si="446"/>
        <v>6551.3016393442622</v>
      </c>
      <c r="CD362" s="607">
        <f t="shared" si="447"/>
        <v>5696.478439425051</v>
      </c>
      <c r="CE362" s="608">
        <f t="shared" si="448"/>
        <v>5725.7522037218414</v>
      </c>
      <c r="CF362" s="607">
        <f t="shared" si="449"/>
        <v>4248.8909825033643</v>
      </c>
      <c r="CG362" s="608">
        <f t="shared" si="450"/>
        <v>4793.3120665742026</v>
      </c>
      <c r="CH362" s="607">
        <f t="shared" si="451"/>
        <v>0</v>
      </c>
      <c r="CI362" s="608">
        <f t="shared" si="452"/>
        <v>0</v>
      </c>
      <c r="CJ362" s="607">
        <f t="shared" si="453"/>
        <v>0</v>
      </c>
      <c r="CK362" s="608">
        <f t="shared" si="454"/>
        <v>0</v>
      </c>
      <c r="CL362" s="609">
        <f t="shared" si="455"/>
        <v>71325.46905537459</v>
      </c>
      <c r="CM362" s="608">
        <f t="shared" si="456"/>
        <v>73533.119631901849</v>
      </c>
      <c r="CN362" s="610">
        <f t="shared" si="457"/>
        <v>56579.293313069909</v>
      </c>
      <c r="CO362" s="606">
        <f t="shared" si="458"/>
        <v>58961.714754098357</v>
      </c>
      <c r="CP362" s="607">
        <f t="shared" si="459"/>
        <v>51268.305954825461</v>
      </c>
      <c r="CQ362" s="606">
        <f t="shared" si="460"/>
        <v>51531.769833496575</v>
      </c>
      <c r="CR362" s="607">
        <f t="shared" si="461"/>
        <v>38240.018842530277</v>
      </c>
      <c r="CS362" s="606">
        <f t="shared" si="462"/>
        <v>43139.808599167824</v>
      </c>
      <c r="CT362" s="607">
        <f t="shared" si="463"/>
        <v>0</v>
      </c>
      <c r="CU362" s="608">
        <f t="shared" si="464"/>
        <v>0</v>
      </c>
      <c r="CV362" s="610">
        <f t="shared" si="465"/>
        <v>0</v>
      </c>
      <c r="CW362" s="608">
        <f t="shared" si="466"/>
        <v>0</v>
      </c>
      <c r="CX362" s="610">
        <f t="shared" si="467"/>
        <v>53270.990872776027</v>
      </c>
      <c r="CY362" s="611">
        <f t="shared" si="468"/>
        <v>55726.573248024535</v>
      </c>
      <c r="CZ362" s="605">
        <f t="shared" si="469"/>
        <v>66</v>
      </c>
      <c r="DA362" s="612">
        <f t="shared" si="470"/>
        <v>70</v>
      </c>
      <c r="DB362" s="607">
        <f t="shared" si="471"/>
        <v>72</v>
      </c>
      <c r="DC362" s="606">
        <f t="shared" si="472"/>
        <v>66</v>
      </c>
      <c r="DD362" s="607">
        <f t="shared" si="473"/>
        <v>106</v>
      </c>
      <c r="DE362" s="606">
        <f t="shared" si="474"/>
        <v>111</v>
      </c>
      <c r="DF362" s="607">
        <f t="shared" si="475"/>
        <v>81</v>
      </c>
      <c r="DG362" s="606">
        <f t="shared" si="476"/>
        <v>79</v>
      </c>
      <c r="DH362" s="607">
        <f t="shared" si="477"/>
        <v>0</v>
      </c>
      <c r="DI362" s="608">
        <f t="shared" si="478"/>
        <v>0</v>
      </c>
      <c r="DJ362" s="607">
        <f t="shared" si="479"/>
        <v>0</v>
      </c>
      <c r="DK362" s="608">
        <f t="shared" si="480"/>
        <v>0</v>
      </c>
      <c r="DL362" s="607">
        <f t="shared" si="481"/>
        <v>325</v>
      </c>
      <c r="DM362" s="608">
        <f t="shared" si="482"/>
        <v>326</v>
      </c>
      <c r="DN362" s="607">
        <f t="shared" si="483"/>
        <v>4707480.957654723</v>
      </c>
      <c r="DO362" s="612">
        <f t="shared" si="484"/>
        <v>5147318.3742331294</v>
      </c>
      <c r="DP362" s="607">
        <f t="shared" si="485"/>
        <v>4073709.1185410335</v>
      </c>
      <c r="DQ362" s="606">
        <f t="shared" si="486"/>
        <v>3891473.1737704915</v>
      </c>
      <c r="DR362" s="607">
        <f t="shared" si="487"/>
        <v>5434440.4312114986</v>
      </c>
      <c r="DS362" s="606">
        <f t="shared" si="488"/>
        <v>5720026.4515181202</v>
      </c>
      <c r="DT362" s="607">
        <f t="shared" si="489"/>
        <v>3097441.5262449523</v>
      </c>
      <c r="DU362" s="606">
        <f t="shared" si="490"/>
        <v>3408044.8793342579</v>
      </c>
      <c r="DV362" s="607">
        <f t="shared" si="491"/>
        <v>0</v>
      </c>
      <c r="DW362" s="608">
        <f t="shared" si="492"/>
        <v>0</v>
      </c>
      <c r="DX362" s="607">
        <f t="shared" si="493"/>
        <v>0</v>
      </c>
      <c r="DY362" s="608">
        <f t="shared" si="494"/>
        <v>0</v>
      </c>
      <c r="DZ362" s="607">
        <f t="shared" si="495"/>
        <v>17313072.033652209</v>
      </c>
      <c r="EA362" s="608">
        <f t="shared" si="496"/>
        <v>18166862.878856</v>
      </c>
    </row>
    <row r="363" spans="1:131" x14ac:dyDescent="0.2">
      <c r="A363" s="403" t="s">
        <v>41</v>
      </c>
      <c r="B363" s="404" t="s">
        <v>684</v>
      </c>
      <c r="C363" s="552"/>
      <c r="D363" s="408">
        <v>206941</v>
      </c>
      <c r="E363" s="409">
        <v>3</v>
      </c>
      <c r="F363" s="598">
        <v>157</v>
      </c>
      <c r="G363" s="599">
        <v>158</v>
      </c>
      <c r="H363" s="600"/>
      <c r="I363" s="601"/>
      <c r="J363" s="600">
        <v>0</v>
      </c>
      <c r="K363" s="599"/>
      <c r="L363" s="600"/>
      <c r="M363" s="601"/>
      <c r="N363" s="600">
        <v>81</v>
      </c>
      <c r="O363" s="599">
        <v>98</v>
      </c>
      <c r="P363" s="600"/>
      <c r="Q363" s="601"/>
      <c r="R363" s="600">
        <v>0</v>
      </c>
      <c r="S363" s="599"/>
      <c r="T363" s="600"/>
      <c r="U363" s="601"/>
      <c r="V363" s="600">
        <v>114</v>
      </c>
      <c r="W363" s="599">
        <v>113</v>
      </c>
      <c r="X363" s="600"/>
      <c r="Y363" s="601"/>
      <c r="Z363" s="600">
        <v>0</v>
      </c>
      <c r="AA363" s="599"/>
      <c r="AB363" s="600"/>
      <c r="AC363" s="601"/>
      <c r="AD363" s="600">
        <v>98</v>
      </c>
      <c r="AE363" s="599">
        <v>87</v>
      </c>
      <c r="AF363" s="600"/>
      <c r="AG363" s="601"/>
      <c r="AH363" s="600">
        <v>0</v>
      </c>
      <c r="AI363" s="599"/>
      <c r="AJ363" s="600"/>
      <c r="AK363" s="601"/>
      <c r="AL363" s="600"/>
      <c r="AM363" s="599"/>
      <c r="AN363" s="600"/>
      <c r="AO363" s="601"/>
      <c r="AP363" s="600"/>
      <c r="AQ363" s="599"/>
      <c r="AR363" s="600"/>
      <c r="AS363" s="601"/>
      <c r="AT363" s="600"/>
      <c r="AU363" s="599"/>
      <c r="AV363" s="600"/>
      <c r="AW363" s="601"/>
      <c r="AX363" s="600"/>
      <c r="AY363" s="599"/>
      <c r="AZ363" s="600"/>
      <c r="BA363" s="601"/>
      <c r="BB363" s="602">
        <v>12117574</v>
      </c>
      <c r="BC363" s="599">
        <v>12628466</v>
      </c>
      <c r="BD363" s="600">
        <v>5134104</v>
      </c>
      <c r="BE363" s="599">
        <v>6575702</v>
      </c>
      <c r="BF363" s="600">
        <v>6842622</v>
      </c>
      <c r="BG363" s="599">
        <v>6792204</v>
      </c>
      <c r="BH363" s="600">
        <v>4233796</v>
      </c>
      <c r="BI363" s="599">
        <v>3872283</v>
      </c>
      <c r="BJ363" s="600">
        <v>0</v>
      </c>
      <c r="BK363" s="615"/>
      <c r="BL363" s="600">
        <v>0</v>
      </c>
      <c r="BM363" s="604"/>
      <c r="BN363" s="605">
        <f t="shared" si="431"/>
        <v>1413</v>
      </c>
      <c r="BO363" s="606">
        <f t="shared" si="432"/>
        <v>1422</v>
      </c>
      <c r="BP363" s="607">
        <f t="shared" si="433"/>
        <v>729</v>
      </c>
      <c r="BQ363" s="606">
        <f t="shared" si="434"/>
        <v>882</v>
      </c>
      <c r="BR363" s="607">
        <f t="shared" si="435"/>
        <v>1026</v>
      </c>
      <c r="BS363" s="606">
        <f t="shared" si="436"/>
        <v>1017</v>
      </c>
      <c r="BT363" s="607">
        <f t="shared" si="437"/>
        <v>882</v>
      </c>
      <c r="BU363" s="606">
        <f t="shared" si="438"/>
        <v>783</v>
      </c>
      <c r="BV363" s="607">
        <f t="shared" si="439"/>
        <v>0</v>
      </c>
      <c r="BW363" s="608">
        <f t="shared" si="440"/>
        <v>0</v>
      </c>
      <c r="BX363" s="607">
        <f t="shared" si="441"/>
        <v>0</v>
      </c>
      <c r="BY363" s="608">
        <f t="shared" si="442"/>
        <v>0</v>
      </c>
      <c r="BZ363" s="607">
        <f t="shared" si="443"/>
        <v>8575.7777777777774</v>
      </c>
      <c r="CA363" s="608">
        <f t="shared" si="444"/>
        <v>8880.7777777777774</v>
      </c>
      <c r="CB363" s="607">
        <f t="shared" si="445"/>
        <v>7042.666666666667</v>
      </c>
      <c r="CC363" s="608">
        <f t="shared" si="446"/>
        <v>7455.4444444444443</v>
      </c>
      <c r="CD363" s="607">
        <f t="shared" si="447"/>
        <v>6669.2222222222226</v>
      </c>
      <c r="CE363" s="608">
        <f t="shared" si="448"/>
        <v>6678.666666666667</v>
      </c>
      <c r="CF363" s="607">
        <f t="shared" si="449"/>
        <v>4800.2222222222226</v>
      </c>
      <c r="CG363" s="608">
        <f t="shared" si="450"/>
        <v>4945.4444444444443</v>
      </c>
      <c r="CH363" s="607">
        <f t="shared" si="451"/>
        <v>0</v>
      </c>
      <c r="CI363" s="608">
        <f t="shared" si="452"/>
        <v>0</v>
      </c>
      <c r="CJ363" s="607">
        <f t="shared" si="453"/>
        <v>0</v>
      </c>
      <c r="CK363" s="608">
        <f t="shared" si="454"/>
        <v>0</v>
      </c>
      <c r="CL363" s="609">
        <f t="shared" si="455"/>
        <v>77182</v>
      </c>
      <c r="CM363" s="608">
        <f t="shared" si="456"/>
        <v>79927</v>
      </c>
      <c r="CN363" s="610">
        <f t="shared" si="457"/>
        <v>63384</v>
      </c>
      <c r="CO363" s="606">
        <f t="shared" si="458"/>
        <v>67099</v>
      </c>
      <c r="CP363" s="607">
        <f t="shared" si="459"/>
        <v>60023</v>
      </c>
      <c r="CQ363" s="606">
        <f t="shared" si="460"/>
        <v>60108</v>
      </c>
      <c r="CR363" s="607">
        <f t="shared" si="461"/>
        <v>43202</v>
      </c>
      <c r="CS363" s="606">
        <f t="shared" si="462"/>
        <v>44509</v>
      </c>
      <c r="CT363" s="607">
        <f t="shared" si="463"/>
        <v>0</v>
      </c>
      <c r="CU363" s="608">
        <f t="shared" si="464"/>
        <v>0</v>
      </c>
      <c r="CV363" s="610">
        <f t="shared" si="465"/>
        <v>0</v>
      </c>
      <c r="CW363" s="608">
        <f t="shared" si="466"/>
        <v>0</v>
      </c>
      <c r="CX363" s="610">
        <f t="shared" si="467"/>
        <v>62951.324444444443</v>
      </c>
      <c r="CY363" s="611">
        <f t="shared" si="468"/>
        <v>65501.436403508771</v>
      </c>
      <c r="CZ363" s="605">
        <f t="shared" si="469"/>
        <v>157</v>
      </c>
      <c r="DA363" s="612">
        <f t="shared" si="470"/>
        <v>158</v>
      </c>
      <c r="DB363" s="607">
        <f t="shared" si="471"/>
        <v>81</v>
      </c>
      <c r="DC363" s="606">
        <f t="shared" si="472"/>
        <v>98</v>
      </c>
      <c r="DD363" s="607">
        <f t="shared" si="473"/>
        <v>114</v>
      </c>
      <c r="DE363" s="606">
        <f t="shared" si="474"/>
        <v>113</v>
      </c>
      <c r="DF363" s="607">
        <f t="shared" si="475"/>
        <v>98</v>
      </c>
      <c r="DG363" s="606">
        <f t="shared" si="476"/>
        <v>87</v>
      </c>
      <c r="DH363" s="607">
        <f t="shared" si="477"/>
        <v>0</v>
      </c>
      <c r="DI363" s="608">
        <f t="shared" si="478"/>
        <v>0</v>
      </c>
      <c r="DJ363" s="607">
        <f t="shared" si="479"/>
        <v>0</v>
      </c>
      <c r="DK363" s="608">
        <f t="shared" si="480"/>
        <v>0</v>
      </c>
      <c r="DL363" s="607">
        <f t="shared" si="481"/>
        <v>450</v>
      </c>
      <c r="DM363" s="608">
        <f t="shared" si="482"/>
        <v>456</v>
      </c>
      <c r="DN363" s="607">
        <f t="shared" si="483"/>
        <v>12117574</v>
      </c>
      <c r="DO363" s="612">
        <f t="shared" si="484"/>
        <v>12628466</v>
      </c>
      <c r="DP363" s="607">
        <f t="shared" si="485"/>
        <v>5134104</v>
      </c>
      <c r="DQ363" s="606">
        <f t="shared" si="486"/>
        <v>6575702</v>
      </c>
      <c r="DR363" s="607">
        <f t="shared" si="487"/>
        <v>6842622</v>
      </c>
      <c r="DS363" s="606">
        <f t="shared" si="488"/>
        <v>6792204</v>
      </c>
      <c r="DT363" s="607">
        <f t="shared" si="489"/>
        <v>4233796</v>
      </c>
      <c r="DU363" s="606">
        <f t="shared" si="490"/>
        <v>3872283</v>
      </c>
      <c r="DV363" s="607">
        <f t="shared" si="491"/>
        <v>0</v>
      </c>
      <c r="DW363" s="608">
        <f t="shared" si="492"/>
        <v>0</v>
      </c>
      <c r="DX363" s="607">
        <f t="shared" si="493"/>
        <v>0</v>
      </c>
      <c r="DY363" s="608">
        <f t="shared" si="494"/>
        <v>0</v>
      </c>
      <c r="DZ363" s="607">
        <f t="shared" si="495"/>
        <v>28328096</v>
      </c>
      <c r="EA363" s="608">
        <f t="shared" si="496"/>
        <v>29868655</v>
      </c>
    </row>
    <row r="364" spans="1:131" x14ac:dyDescent="0.2">
      <c r="A364" s="403" t="s">
        <v>41</v>
      </c>
      <c r="B364" s="375" t="s">
        <v>689</v>
      </c>
      <c r="C364" s="553" t="s">
        <v>708</v>
      </c>
      <c r="D364" s="408">
        <v>207847</v>
      </c>
      <c r="E364" s="410">
        <v>4</v>
      </c>
      <c r="F364" s="598">
        <v>43</v>
      </c>
      <c r="G364" s="599">
        <v>48</v>
      </c>
      <c r="H364" s="600"/>
      <c r="I364" s="601"/>
      <c r="J364" s="600">
        <v>4</v>
      </c>
      <c r="K364" s="599">
        <v>5</v>
      </c>
      <c r="L364" s="600"/>
      <c r="M364" s="601"/>
      <c r="N364" s="600">
        <v>35</v>
      </c>
      <c r="O364" s="599">
        <v>24</v>
      </c>
      <c r="P364" s="600"/>
      <c r="Q364" s="601"/>
      <c r="R364" s="600">
        <v>0</v>
      </c>
      <c r="S364" s="599">
        <v>1</v>
      </c>
      <c r="T364" s="600"/>
      <c r="U364" s="601"/>
      <c r="V364" s="600">
        <v>28</v>
      </c>
      <c r="W364" s="599">
        <v>28</v>
      </c>
      <c r="X364" s="600"/>
      <c r="Y364" s="601"/>
      <c r="Z364" s="600">
        <v>1</v>
      </c>
      <c r="AA364" s="599">
        <v>5</v>
      </c>
      <c r="AB364" s="600"/>
      <c r="AC364" s="601"/>
      <c r="AD364" s="600">
        <v>12</v>
      </c>
      <c r="AE364" s="599">
        <v>8</v>
      </c>
      <c r="AF364" s="600"/>
      <c r="AG364" s="601"/>
      <c r="AH364" s="600">
        <v>5</v>
      </c>
      <c r="AI364" s="599">
        <v>6</v>
      </c>
      <c r="AJ364" s="600"/>
      <c r="AK364" s="601"/>
      <c r="AL364" s="600"/>
      <c r="AM364" s="599"/>
      <c r="AN364" s="600"/>
      <c r="AO364" s="601"/>
      <c r="AP364" s="600"/>
      <c r="AQ364" s="599"/>
      <c r="AR364" s="600"/>
      <c r="AS364" s="601"/>
      <c r="AT364" s="600"/>
      <c r="AU364" s="599"/>
      <c r="AV364" s="600"/>
      <c r="AW364" s="601"/>
      <c r="AX364" s="600"/>
      <c r="AY364" s="599"/>
      <c r="AZ364" s="600"/>
      <c r="BA364" s="601"/>
      <c r="BB364" s="602">
        <v>3473555</v>
      </c>
      <c r="BC364" s="599">
        <f>3444288+585380</f>
        <v>4029668</v>
      </c>
      <c r="BD364" s="600">
        <v>2146480</v>
      </c>
      <c r="BE364" s="599">
        <f>1455384+73102</f>
        <v>1528486</v>
      </c>
      <c r="BF364" s="600">
        <v>1553288</v>
      </c>
      <c r="BG364" s="599">
        <f>1544508+276170</f>
        <v>1820678</v>
      </c>
      <c r="BH364" s="600">
        <v>763936</v>
      </c>
      <c r="BI364" s="599">
        <f>302464+236988</f>
        <v>539452</v>
      </c>
      <c r="BJ364" s="600">
        <v>0</v>
      </c>
      <c r="BK364" s="615"/>
      <c r="BL364" s="600">
        <v>0</v>
      </c>
      <c r="BM364" s="604"/>
      <c r="BN364" s="605">
        <f t="shared" si="431"/>
        <v>431</v>
      </c>
      <c r="BO364" s="606">
        <f t="shared" si="432"/>
        <v>487</v>
      </c>
      <c r="BP364" s="607">
        <f t="shared" si="433"/>
        <v>315</v>
      </c>
      <c r="BQ364" s="606">
        <f t="shared" si="434"/>
        <v>227</v>
      </c>
      <c r="BR364" s="607">
        <f t="shared" si="435"/>
        <v>263</v>
      </c>
      <c r="BS364" s="606">
        <f t="shared" si="436"/>
        <v>307</v>
      </c>
      <c r="BT364" s="607">
        <f t="shared" si="437"/>
        <v>163</v>
      </c>
      <c r="BU364" s="606">
        <f t="shared" si="438"/>
        <v>138</v>
      </c>
      <c r="BV364" s="607">
        <f t="shared" si="439"/>
        <v>0</v>
      </c>
      <c r="BW364" s="608">
        <f t="shared" si="440"/>
        <v>0</v>
      </c>
      <c r="BX364" s="607">
        <f t="shared" si="441"/>
        <v>0</v>
      </c>
      <c r="BY364" s="608">
        <f t="shared" si="442"/>
        <v>0</v>
      </c>
      <c r="BZ364" s="607">
        <f t="shared" si="443"/>
        <v>8059.2923433874712</v>
      </c>
      <c r="CA364" s="608">
        <f t="shared" si="444"/>
        <v>8274.4722792607809</v>
      </c>
      <c r="CB364" s="607">
        <f t="shared" si="445"/>
        <v>6814.2222222222226</v>
      </c>
      <c r="CC364" s="608">
        <f t="shared" si="446"/>
        <v>6733.4185022026431</v>
      </c>
      <c r="CD364" s="607">
        <f t="shared" si="447"/>
        <v>5906.0380228136883</v>
      </c>
      <c r="CE364" s="608">
        <f t="shared" si="448"/>
        <v>5930.5472312703587</v>
      </c>
      <c r="CF364" s="607">
        <f t="shared" si="449"/>
        <v>4686.7239263803685</v>
      </c>
      <c r="CG364" s="608">
        <f t="shared" si="450"/>
        <v>3909.072463768116</v>
      </c>
      <c r="CH364" s="607">
        <f t="shared" si="451"/>
        <v>0</v>
      </c>
      <c r="CI364" s="608">
        <f t="shared" si="452"/>
        <v>0</v>
      </c>
      <c r="CJ364" s="607">
        <f t="shared" si="453"/>
        <v>0</v>
      </c>
      <c r="CK364" s="608">
        <f t="shared" si="454"/>
        <v>0</v>
      </c>
      <c r="CL364" s="609">
        <f t="shared" si="455"/>
        <v>72533.631090487237</v>
      </c>
      <c r="CM364" s="608">
        <f t="shared" si="456"/>
        <v>74470.250513347026</v>
      </c>
      <c r="CN364" s="610">
        <f t="shared" si="457"/>
        <v>61328</v>
      </c>
      <c r="CO364" s="606">
        <f t="shared" si="458"/>
        <v>60600.766519823788</v>
      </c>
      <c r="CP364" s="607">
        <f t="shared" si="459"/>
        <v>53154.342205323192</v>
      </c>
      <c r="CQ364" s="606">
        <f t="shared" si="460"/>
        <v>53374.925081433226</v>
      </c>
      <c r="CR364" s="607">
        <f t="shared" si="461"/>
        <v>42180.51533742332</v>
      </c>
      <c r="CS364" s="606">
        <f t="shared" si="462"/>
        <v>35181.65217391304</v>
      </c>
      <c r="CT364" s="607">
        <f t="shared" si="463"/>
        <v>0</v>
      </c>
      <c r="CU364" s="608">
        <f t="shared" si="464"/>
        <v>0</v>
      </c>
      <c r="CV364" s="610">
        <f t="shared" si="465"/>
        <v>0</v>
      </c>
      <c r="CW364" s="608">
        <f t="shared" si="466"/>
        <v>0</v>
      </c>
      <c r="CX364" s="610">
        <f t="shared" si="467"/>
        <v>61047.698015183349</v>
      </c>
      <c r="CY364" s="611">
        <f t="shared" si="468"/>
        <v>61726.864786600519</v>
      </c>
      <c r="CZ364" s="605">
        <f t="shared" si="469"/>
        <v>47</v>
      </c>
      <c r="DA364" s="612">
        <f t="shared" si="470"/>
        <v>53</v>
      </c>
      <c r="DB364" s="607">
        <f t="shared" si="471"/>
        <v>35</v>
      </c>
      <c r="DC364" s="606">
        <f t="shared" si="472"/>
        <v>25</v>
      </c>
      <c r="DD364" s="607">
        <f t="shared" si="473"/>
        <v>29</v>
      </c>
      <c r="DE364" s="606">
        <f t="shared" si="474"/>
        <v>33</v>
      </c>
      <c r="DF364" s="607">
        <f t="shared" si="475"/>
        <v>17</v>
      </c>
      <c r="DG364" s="606">
        <f t="shared" si="476"/>
        <v>14</v>
      </c>
      <c r="DH364" s="607">
        <f t="shared" si="477"/>
        <v>0</v>
      </c>
      <c r="DI364" s="608">
        <f t="shared" si="478"/>
        <v>0</v>
      </c>
      <c r="DJ364" s="607">
        <f t="shared" si="479"/>
        <v>0</v>
      </c>
      <c r="DK364" s="608">
        <f t="shared" si="480"/>
        <v>0</v>
      </c>
      <c r="DL364" s="607">
        <f t="shared" si="481"/>
        <v>128</v>
      </c>
      <c r="DM364" s="608">
        <f t="shared" si="482"/>
        <v>125</v>
      </c>
      <c r="DN364" s="607">
        <f t="shared" si="483"/>
        <v>3409080.6612529</v>
      </c>
      <c r="DO364" s="612">
        <f t="shared" si="484"/>
        <v>3946923.2772073923</v>
      </c>
      <c r="DP364" s="607">
        <f t="shared" si="485"/>
        <v>2146480</v>
      </c>
      <c r="DQ364" s="606">
        <f t="shared" si="486"/>
        <v>1515019.1629955948</v>
      </c>
      <c r="DR364" s="607">
        <f t="shared" si="487"/>
        <v>1541475.9239543725</v>
      </c>
      <c r="DS364" s="606">
        <f t="shared" si="488"/>
        <v>1761372.5276872965</v>
      </c>
      <c r="DT364" s="607">
        <f t="shared" si="489"/>
        <v>717068.76073619642</v>
      </c>
      <c r="DU364" s="606">
        <f t="shared" si="490"/>
        <v>492543.13043478259</v>
      </c>
      <c r="DV364" s="607">
        <f t="shared" si="491"/>
        <v>0</v>
      </c>
      <c r="DW364" s="608">
        <f t="shared" si="492"/>
        <v>0</v>
      </c>
      <c r="DX364" s="607">
        <f t="shared" si="493"/>
        <v>0</v>
      </c>
      <c r="DY364" s="608">
        <f t="shared" si="494"/>
        <v>0</v>
      </c>
      <c r="DZ364" s="607">
        <f t="shared" si="495"/>
        <v>7814105.3459434686</v>
      </c>
      <c r="EA364" s="608">
        <f t="shared" si="496"/>
        <v>7715858.0983250653</v>
      </c>
    </row>
    <row r="365" spans="1:131" x14ac:dyDescent="0.2">
      <c r="A365" s="403" t="s">
        <v>41</v>
      </c>
      <c r="B365" s="404" t="s">
        <v>685</v>
      </c>
      <c r="C365" s="552"/>
      <c r="D365" s="408">
        <v>206914</v>
      </c>
      <c r="E365" s="409">
        <v>5</v>
      </c>
      <c r="F365" s="598">
        <v>34</v>
      </c>
      <c r="G365" s="599">
        <v>36</v>
      </c>
      <c r="H365" s="600"/>
      <c r="I365" s="601"/>
      <c r="J365" s="600">
        <v>0</v>
      </c>
      <c r="K365" s="599"/>
      <c r="L365" s="600"/>
      <c r="M365" s="601"/>
      <c r="N365" s="600">
        <v>39</v>
      </c>
      <c r="O365" s="599">
        <v>36</v>
      </c>
      <c r="P365" s="600"/>
      <c r="Q365" s="601"/>
      <c r="R365" s="600">
        <v>2</v>
      </c>
      <c r="S365" s="599">
        <v>2</v>
      </c>
      <c r="T365" s="600"/>
      <c r="U365" s="601"/>
      <c r="V365" s="600">
        <v>56</v>
      </c>
      <c r="W365" s="599">
        <v>61</v>
      </c>
      <c r="X365" s="600"/>
      <c r="Y365" s="601"/>
      <c r="Z365" s="600">
        <v>1</v>
      </c>
      <c r="AA365" s="599">
        <v>1</v>
      </c>
      <c r="AB365" s="600"/>
      <c r="AC365" s="601"/>
      <c r="AD365" s="600">
        <v>45</v>
      </c>
      <c r="AE365" s="599">
        <v>47</v>
      </c>
      <c r="AF365" s="600"/>
      <c r="AG365" s="601"/>
      <c r="AH365" s="600">
        <v>2</v>
      </c>
      <c r="AI365" s="599">
        <v>2</v>
      </c>
      <c r="AJ365" s="600"/>
      <c r="AK365" s="601"/>
      <c r="AL365" s="600"/>
      <c r="AM365" s="599"/>
      <c r="AN365" s="600"/>
      <c r="AO365" s="601"/>
      <c r="AP365" s="600"/>
      <c r="AQ365" s="599"/>
      <c r="AR365" s="600"/>
      <c r="AS365" s="601"/>
      <c r="AT365" s="600"/>
      <c r="AU365" s="599"/>
      <c r="AV365" s="600"/>
      <c r="AW365" s="601"/>
      <c r="AX365" s="600"/>
      <c r="AY365" s="599"/>
      <c r="AZ365" s="600"/>
      <c r="BA365" s="601"/>
      <c r="BB365" s="602">
        <v>2342294</v>
      </c>
      <c r="BC365" s="599">
        <v>2539512</v>
      </c>
      <c r="BD365" s="600">
        <v>2495179</v>
      </c>
      <c r="BE365" s="599">
        <f>2248920+111080</f>
        <v>2360000</v>
      </c>
      <c r="BF365" s="600">
        <v>2995402</v>
      </c>
      <c r="BG365" s="599">
        <f>3170414+47506</f>
        <v>3217920</v>
      </c>
      <c r="BH365" s="600">
        <v>1821075</v>
      </c>
      <c r="BI365" s="599">
        <f>1835961+87360</f>
        <v>1923321</v>
      </c>
      <c r="BJ365" s="600">
        <v>0</v>
      </c>
      <c r="BK365" s="615"/>
      <c r="BL365" s="600">
        <v>0</v>
      </c>
      <c r="BM365" s="604"/>
      <c r="BN365" s="605">
        <f t="shared" si="431"/>
        <v>306</v>
      </c>
      <c r="BO365" s="606">
        <f t="shared" si="432"/>
        <v>324</v>
      </c>
      <c r="BP365" s="607">
        <f t="shared" si="433"/>
        <v>373</v>
      </c>
      <c r="BQ365" s="606">
        <f t="shared" si="434"/>
        <v>346</v>
      </c>
      <c r="BR365" s="607">
        <f t="shared" si="435"/>
        <v>515</v>
      </c>
      <c r="BS365" s="606">
        <f t="shared" si="436"/>
        <v>560</v>
      </c>
      <c r="BT365" s="607">
        <f t="shared" si="437"/>
        <v>427</v>
      </c>
      <c r="BU365" s="606">
        <f t="shared" si="438"/>
        <v>445</v>
      </c>
      <c r="BV365" s="607">
        <f t="shared" si="439"/>
        <v>0</v>
      </c>
      <c r="BW365" s="608">
        <f t="shared" si="440"/>
        <v>0</v>
      </c>
      <c r="BX365" s="607">
        <f t="shared" si="441"/>
        <v>0</v>
      </c>
      <c r="BY365" s="608">
        <f t="shared" si="442"/>
        <v>0</v>
      </c>
      <c r="BZ365" s="607">
        <f t="shared" si="443"/>
        <v>7654.5555555555557</v>
      </c>
      <c r="CA365" s="608">
        <f t="shared" si="444"/>
        <v>7838</v>
      </c>
      <c r="CB365" s="607">
        <f t="shared" si="445"/>
        <v>6689.4879356568363</v>
      </c>
      <c r="CC365" s="608">
        <f t="shared" si="446"/>
        <v>6820.8092485549132</v>
      </c>
      <c r="CD365" s="607">
        <f t="shared" si="447"/>
        <v>5816.3145631067964</v>
      </c>
      <c r="CE365" s="608">
        <f t="shared" si="448"/>
        <v>5746.2857142857147</v>
      </c>
      <c r="CF365" s="607">
        <f t="shared" si="449"/>
        <v>4264.8126463700237</v>
      </c>
      <c r="CG365" s="608">
        <f t="shared" si="450"/>
        <v>4322.069662921348</v>
      </c>
      <c r="CH365" s="607">
        <f t="shared" si="451"/>
        <v>0</v>
      </c>
      <c r="CI365" s="608">
        <f t="shared" si="452"/>
        <v>0</v>
      </c>
      <c r="CJ365" s="607">
        <f t="shared" si="453"/>
        <v>0</v>
      </c>
      <c r="CK365" s="608">
        <f t="shared" si="454"/>
        <v>0</v>
      </c>
      <c r="CL365" s="609">
        <f t="shared" si="455"/>
        <v>68891</v>
      </c>
      <c r="CM365" s="608">
        <f t="shared" si="456"/>
        <v>70542</v>
      </c>
      <c r="CN365" s="610">
        <f t="shared" si="457"/>
        <v>60205.391420911525</v>
      </c>
      <c r="CO365" s="606">
        <f t="shared" si="458"/>
        <v>61387.283236994219</v>
      </c>
      <c r="CP365" s="607">
        <f t="shared" si="459"/>
        <v>52346.831067961168</v>
      </c>
      <c r="CQ365" s="606">
        <f t="shared" si="460"/>
        <v>51716.571428571435</v>
      </c>
      <c r="CR365" s="607">
        <f t="shared" si="461"/>
        <v>38383.313817330214</v>
      </c>
      <c r="CS365" s="606">
        <f t="shared" si="462"/>
        <v>38898.626966292133</v>
      </c>
      <c r="CT365" s="607">
        <f t="shared" si="463"/>
        <v>0</v>
      </c>
      <c r="CU365" s="608">
        <f t="shared" si="464"/>
        <v>0</v>
      </c>
      <c r="CV365" s="610">
        <f t="shared" si="465"/>
        <v>0</v>
      </c>
      <c r="CW365" s="608">
        <f t="shared" si="466"/>
        <v>0</v>
      </c>
      <c r="CX365" s="610">
        <f t="shared" si="467"/>
        <v>53622.905969528925</v>
      </c>
      <c r="CY365" s="611">
        <f t="shared" si="468"/>
        <v>53971.291421219044</v>
      </c>
      <c r="CZ365" s="605">
        <f t="shared" si="469"/>
        <v>34</v>
      </c>
      <c r="DA365" s="612">
        <f t="shared" si="470"/>
        <v>36</v>
      </c>
      <c r="DB365" s="607">
        <f t="shared" si="471"/>
        <v>41</v>
      </c>
      <c r="DC365" s="606">
        <f t="shared" si="472"/>
        <v>38</v>
      </c>
      <c r="DD365" s="607">
        <f t="shared" si="473"/>
        <v>57</v>
      </c>
      <c r="DE365" s="606">
        <f t="shared" si="474"/>
        <v>62</v>
      </c>
      <c r="DF365" s="607">
        <f t="shared" si="475"/>
        <v>47</v>
      </c>
      <c r="DG365" s="606">
        <f t="shared" si="476"/>
        <v>49</v>
      </c>
      <c r="DH365" s="607">
        <f t="shared" si="477"/>
        <v>0</v>
      </c>
      <c r="DI365" s="608">
        <f t="shared" si="478"/>
        <v>0</v>
      </c>
      <c r="DJ365" s="607">
        <f t="shared" si="479"/>
        <v>0</v>
      </c>
      <c r="DK365" s="608">
        <f t="shared" si="480"/>
        <v>0</v>
      </c>
      <c r="DL365" s="607">
        <f t="shared" si="481"/>
        <v>179</v>
      </c>
      <c r="DM365" s="608">
        <f t="shared" si="482"/>
        <v>185</v>
      </c>
      <c r="DN365" s="607">
        <f t="shared" si="483"/>
        <v>2342294</v>
      </c>
      <c r="DO365" s="612">
        <f t="shared" si="484"/>
        <v>2539512</v>
      </c>
      <c r="DP365" s="607">
        <f t="shared" si="485"/>
        <v>2468421.0482573723</v>
      </c>
      <c r="DQ365" s="606">
        <f t="shared" si="486"/>
        <v>2332716.7630057805</v>
      </c>
      <c r="DR365" s="607">
        <f t="shared" si="487"/>
        <v>2983769.3708737865</v>
      </c>
      <c r="DS365" s="606">
        <f t="shared" si="488"/>
        <v>3206427.4285714291</v>
      </c>
      <c r="DT365" s="607">
        <f t="shared" si="489"/>
        <v>1804015.7494145201</v>
      </c>
      <c r="DU365" s="606">
        <f t="shared" si="490"/>
        <v>1906032.7213483145</v>
      </c>
      <c r="DV365" s="607">
        <f t="shared" si="491"/>
        <v>0</v>
      </c>
      <c r="DW365" s="608">
        <f t="shared" si="492"/>
        <v>0</v>
      </c>
      <c r="DX365" s="607">
        <f t="shared" si="493"/>
        <v>0</v>
      </c>
      <c r="DY365" s="608">
        <f t="shared" si="494"/>
        <v>0</v>
      </c>
      <c r="DZ365" s="607">
        <f t="shared" si="495"/>
        <v>9598500.1685456783</v>
      </c>
      <c r="EA365" s="608">
        <f t="shared" si="496"/>
        <v>9984688.9129255228</v>
      </c>
    </row>
    <row r="366" spans="1:131" x14ac:dyDescent="0.2">
      <c r="A366" s="403" t="s">
        <v>41</v>
      </c>
      <c r="B366" s="404" t="s">
        <v>686</v>
      </c>
      <c r="C366" s="552"/>
      <c r="D366" s="408">
        <v>207041</v>
      </c>
      <c r="E366" s="409">
        <v>5</v>
      </c>
      <c r="F366" s="598">
        <v>53</v>
      </c>
      <c r="G366" s="599">
        <v>52</v>
      </c>
      <c r="H366" s="600"/>
      <c r="I366" s="601"/>
      <c r="J366" s="600">
        <v>3</v>
      </c>
      <c r="K366" s="599">
        <v>3</v>
      </c>
      <c r="L366" s="600"/>
      <c r="M366" s="601"/>
      <c r="N366" s="600">
        <v>18</v>
      </c>
      <c r="O366" s="599">
        <v>19</v>
      </c>
      <c r="P366" s="600"/>
      <c r="Q366" s="601"/>
      <c r="R366" s="600">
        <v>1</v>
      </c>
      <c r="S366" s="599">
        <v>1</v>
      </c>
      <c r="T366" s="600"/>
      <c r="U366" s="601"/>
      <c r="V366" s="600">
        <v>45</v>
      </c>
      <c r="W366" s="599">
        <v>41</v>
      </c>
      <c r="X366" s="600"/>
      <c r="Y366" s="601"/>
      <c r="Z366" s="600">
        <v>1</v>
      </c>
      <c r="AA366" s="599">
        <v>0</v>
      </c>
      <c r="AB366" s="600"/>
      <c r="AC366" s="601"/>
      <c r="AD366" s="600">
        <v>44</v>
      </c>
      <c r="AE366" s="599">
        <v>43</v>
      </c>
      <c r="AF366" s="600"/>
      <c r="AG366" s="601"/>
      <c r="AH366" s="600">
        <v>5</v>
      </c>
      <c r="AI366" s="599">
        <v>8</v>
      </c>
      <c r="AJ366" s="600"/>
      <c r="AK366" s="601"/>
      <c r="AL366" s="600"/>
      <c r="AM366" s="599"/>
      <c r="AN366" s="600"/>
      <c r="AO366" s="601"/>
      <c r="AP366" s="600"/>
      <c r="AQ366" s="599"/>
      <c r="AR366" s="600"/>
      <c r="AS366" s="601"/>
      <c r="AT366" s="600"/>
      <c r="AU366" s="599"/>
      <c r="AV366" s="600"/>
      <c r="AW366" s="601"/>
      <c r="AX366" s="600"/>
      <c r="AY366" s="599"/>
      <c r="AZ366" s="600"/>
      <c r="BA366" s="601"/>
      <c r="BB366" s="602">
        <v>3832164</v>
      </c>
      <c r="BC366" s="599">
        <f>3649984+261270</f>
        <v>3911254</v>
      </c>
      <c r="BD366" s="600">
        <v>1069198</v>
      </c>
      <c r="BE366" s="599">
        <f>1067268+69424</f>
        <v>1136692</v>
      </c>
      <c r="BF366" s="600">
        <v>2102677</v>
      </c>
      <c r="BG366" s="599">
        <v>2049426</v>
      </c>
      <c r="BH366" s="600">
        <v>2187730</v>
      </c>
      <c r="BI366" s="599">
        <f>1930098+471016</f>
        <v>2401114</v>
      </c>
      <c r="BJ366" s="600">
        <v>0</v>
      </c>
      <c r="BK366" s="615"/>
      <c r="BL366" s="600">
        <v>0</v>
      </c>
      <c r="BM366" s="604"/>
      <c r="BN366" s="605">
        <f t="shared" si="431"/>
        <v>510</v>
      </c>
      <c r="BO366" s="606">
        <f t="shared" si="432"/>
        <v>501</v>
      </c>
      <c r="BP366" s="607">
        <f t="shared" si="433"/>
        <v>173</v>
      </c>
      <c r="BQ366" s="606">
        <f t="shared" si="434"/>
        <v>182</v>
      </c>
      <c r="BR366" s="607">
        <f t="shared" si="435"/>
        <v>416</v>
      </c>
      <c r="BS366" s="606">
        <f t="shared" si="436"/>
        <v>369</v>
      </c>
      <c r="BT366" s="607">
        <f t="shared" si="437"/>
        <v>451</v>
      </c>
      <c r="BU366" s="606">
        <f t="shared" si="438"/>
        <v>475</v>
      </c>
      <c r="BV366" s="607">
        <f t="shared" si="439"/>
        <v>0</v>
      </c>
      <c r="BW366" s="608">
        <f t="shared" si="440"/>
        <v>0</v>
      </c>
      <c r="BX366" s="607">
        <f t="shared" si="441"/>
        <v>0</v>
      </c>
      <c r="BY366" s="608">
        <f t="shared" si="442"/>
        <v>0</v>
      </c>
      <c r="BZ366" s="607">
        <f t="shared" si="443"/>
        <v>7514.0470588235294</v>
      </c>
      <c r="CA366" s="608">
        <f t="shared" si="444"/>
        <v>7806.8942115768459</v>
      </c>
      <c r="CB366" s="607">
        <f t="shared" si="445"/>
        <v>6180.3352601156066</v>
      </c>
      <c r="CC366" s="608">
        <f t="shared" si="446"/>
        <v>6245.5604395604396</v>
      </c>
      <c r="CD366" s="607">
        <f t="shared" si="447"/>
        <v>5054.5120192307695</v>
      </c>
      <c r="CE366" s="608">
        <f t="shared" si="448"/>
        <v>5554</v>
      </c>
      <c r="CF366" s="607">
        <f t="shared" si="449"/>
        <v>4850.8425720620844</v>
      </c>
      <c r="CG366" s="608">
        <f t="shared" si="450"/>
        <v>5054.9768421052631</v>
      </c>
      <c r="CH366" s="607">
        <f t="shared" si="451"/>
        <v>0</v>
      </c>
      <c r="CI366" s="608">
        <f t="shared" si="452"/>
        <v>0</v>
      </c>
      <c r="CJ366" s="607">
        <f t="shared" si="453"/>
        <v>0</v>
      </c>
      <c r="CK366" s="608">
        <f t="shared" si="454"/>
        <v>0</v>
      </c>
      <c r="CL366" s="609">
        <f t="shared" si="455"/>
        <v>67626.423529411768</v>
      </c>
      <c r="CM366" s="608">
        <f t="shared" si="456"/>
        <v>70262.047904191611</v>
      </c>
      <c r="CN366" s="610">
        <f t="shared" si="457"/>
        <v>55623.01734104046</v>
      </c>
      <c r="CO366" s="606">
        <f t="shared" si="458"/>
        <v>56210.043956043955</v>
      </c>
      <c r="CP366" s="607">
        <f t="shared" si="459"/>
        <v>45490.608173076922</v>
      </c>
      <c r="CQ366" s="606">
        <f t="shared" si="460"/>
        <v>49986</v>
      </c>
      <c r="CR366" s="607">
        <f t="shared" si="461"/>
        <v>43657.583148558762</v>
      </c>
      <c r="CS366" s="606">
        <f t="shared" si="462"/>
        <v>45494.79157894737</v>
      </c>
      <c r="CT366" s="607">
        <f t="shared" si="463"/>
        <v>0</v>
      </c>
      <c r="CU366" s="608">
        <f t="shared" si="464"/>
        <v>0</v>
      </c>
      <c r="CV366" s="610">
        <f t="shared" si="465"/>
        <v>0</v>
      </c>
      <c r="CW366" s="608">
        <f t="shared" si="466"/>
        <v>0</v>
      </c>
      <c r="CX366" s="610">
        <f t="shared" si="467"/>
        <v>53386.509396280853</v>
      </c>
      <c r="CY366" s="611">
        <f t="shared" si="468"/>
        <v>56037.568169926541</v>
      </c>
      <c r="CZ366" s="605">
        <f t="shared" si="469"/>
        <v>56</v>
      </c>
      <c r="DA366" s="612">
        <f t="shared" si="470"/>
        <v>55</v>
      </c>
      <c r="DB366" s="607">
        <f t="shared" si="471"/>
        <v>19</v>
      </c>
      <c r="DC366" s="606">
        <f t="shared" si="472"/>
        <v>20</v>
      </c>
      <c r="DD366" s="607">
        <f t="shared" si="473"/>
        <v>46</v>
      </c>
      <c r="DE366" s="606">
        <f t="shared" si="474"/>
        <v>41</v>
      </c>
      <c r="DF366" s="607">
        <f t="shared" si="475"/>
        <v>49</v>
      </c>
      <c r="DG366" s="606">
        <f t="shared" si="476"/>
        <v>51</v>
      </c>
      <c r="DH366" s="607">
        <f t="shared" si="477"/>
        <v>0</v>
      </c>
      <c r="DI366" s="608">
        <f t="shared" si="478"/>
        <v>0</v>
      </c>
      <c r="DJ366" s="607">
        <f t="shared" si="479"/>
        <v>0</v>
      </c>
      <c r="DK366" s="608">
        <f t="shared" si="480"/>
        <v>0</v>
      </c>
      <c r="DL366" s="607">
        <f t="shared" si="481"/>
        <v>170</v>
      </c>
      <c r="DM366" s="608">
        <f t="shared" si="482"/>
        <v>167</v>
      </c>
      <c r="DN366" s="607">
        <f t="shared" si="483"/>
        <v>3787079.7176470589</v>
      </c>
      <c r="DO366" s="612">
        <f t="shared" si="484"/>
        <v>3864412.6347305388</v>
      </c>
      <c r="DP366" s="607">
        <f t="shared" si="485"/>
        <v>1056837.3294797686</v>
      </c>
      <c r="DQ366" s="606">
        <f t="shared" si="486"/>
        <v>1124200.8791208791</v>
      </c>
      <c r="DR366" s="607">
        <f t="shared" si="487"/>
        <v>2092567.9759615385</v>
      </c>
      <c r="DS366" s="606">
        <f t="shared" si="488"/>
        <v>2049426</v>
      </c>
      <c r="DT366" s="607">
        <f t="shared" si="489"/>
        <v>2139221.5742793796</v>
      </c>
      <c r="DU366" s="606">
        <f t="shared" si="490"/>
        <v>2320234.3705263156</v>
      </c>
      <c r="DV366" s="607">
        <f t="shared" si="491"/>
        <v>0</v>
      </c>
      <c r="DW366" s="608">
        <f t="shared" si="492"/>
        <v>0</v>
      </c>
      <c r="DX366" s="607">
        <f t="shared" si="493"/>
        <v>0</v>
      </c>
      <c r="DY366" s="608">
        <f t="shared" si="494"/>
        <v>0</v>
      </c>
      <c r="DZ366" s="607">
        <f t="shared" si="495"/>
        <v>9075706.5973677449</v>
      </c>
      <c r="EA366" s="608">
        <f t="shared" si="496"/>
        <v>9358273.8843777329</v>
      </c>
    </row>
    <row r="367" spans="1:131" x14ac:dyDescent="0.2">
      <c r="A367" s="403" t="s">
        <v>41</v>
      </c>
      <c r="B367" s="404" t="s">
        <v>687</v>
      </c>
      <c r="C367" s="552"/>
      <c r="D367" s="408">
        <v>207209</v>
      </c>
      <c r="E367" s="409">
        <v>5</v>
      </c>
      <c r="F367" s="598">
        <v>4</v>
      </c>
      <c r="G367" s="599">
        <v>4</v>
      </c>
      <c r="H367" s="600"/>
      <c r="I367" s="601"/>
      <c r="J367" s="600">
        <v>3</v>
      </c>
      <c r="K367" s="599">
        <v>3</v>
      </c>
      <c r="L367" s="600"/>
      <c r="M367" s="601"/>
      <c r="N367" s="600">
        <v>22</v>
      </c>
      <c r="O367" s="599">
        <v>21</v>
      </c>
      <c r="P367" s="600"/>
      <c r="Q367" s="601"/>
      <c r="R367" s="600">
        <v>17</v>
      </c>
      <c r="S367" s="599">
        <v>19</v>
      </c>
      <c r="T367" s="600"/>
      <c r="U367" s="601"/>
      <c r="V367" s="600">
        <v>36</v>
      </c>
      <c r="W367" s="599">
        <v>33</v>
      </c>
      <c r="X367" s="600"/>
      <c r="Y367" s="601"/>
      <c r="Z367" s="600">
        <v>16</v>
      </c>
      <c r="AA367" s="599">
        <v>16</v>
      </c>
      <c r="AB367" s="600"/>
      <c r="AC367" s="601"/>
      <c r="AD367" s="600">
        <v>32</v>
      </c>
      <c r="AE367" s="599">
        <v>29</v>
      </c>
      <c r="AF367" s="600"/>
      <c r="AG367" s="601"/>
      <c r="AH367" s="600">
        <v>10</v>
      </c>
      <c r="AI367" s="599">
        <v>8</v>
      </c>
      <c r="AJ367" s="600"/>
      <c r="AK367" s="601"/>
      <c r="AL367" s="600"/>
      <c r="AM367" s="599"/>
      <c r="AN367" s="600"/>
      <c r="AO367" s="601"/>
      <c r="AP367" s="600"/>
      <c r="AQ367" s="599"/>
      <c r="AR367" s="600"/>
      <c r="AS367" s="601"/>
      <c r="AT367" s="600"/>
      <c r="AU367" s="599"/>
      <c r="AV367" s="600"/>
      <c r="AW367" s="601"/>
      <c r="AX367" s="600"/>
      <c r="AY367" s="599"/>
      <c r="AZ367" s="600"/>
      <c r="BA367" s="601"/>
      <c r="BB367" s="602">
        <v>540924</v>
      </c>
      <c r="BC367" s="599">
        <f>224952+305004</f>
        <v>529956</v>
      </c>
      <c r="BD367" s="600">
        <v>2441695</v>
      </c>
      <c r="BE367" s="599">
        <f>1210335+1297358</f>
        <v>2507693</v>
      </c>
      <c r="BF367" s="600">
        <v>2752288</v>
      </c>
      <c r="BG367" s="599">
        <f>1703823+791588</f>
        <v>2495411</v>
      </c>
      <c r="BH367" s="600">
        <v>1882794</v>
      </c>
      <c r="BI367" s="599">
        <f>1350124+349944</f>
        <v>1700068</v>
      </c>
      <c r="BJ367" s="600">
        <v>0</v>
      </c>
      <c r="BK367" s="615"/>
      <c r="BL367" s="600">
        <v>0</v>
      </c>
      <c r="BM367" s="604"/>
      <c r="BN367" s="605">
        <f t="shared" si="431"/>
        <v>69</v>
      </c>
      <c r="BO367" s="606">
        <f t="shared" si="432"/>
        <v>69</v>
      </c>
      <c r="BP367" s="607">
        <f t="shared" si="433"/>
        <v>385</v>
      </c>
      <c r="BQ367" s="606">
        <f t="shared" si="434"/>
        <v>398</v>
      </c>
      <c r="BR367" s="607">
        <f t="shared" si="435"/>
        <v>500</v>
      </c>
      <c r="BS367" s="606">
        <f t="shared" si="436"/>
        <v>473</v>
      </c>
      <c r="BT367" s="607">
        <f t="shared" si="437"/>
        <v>398</v>
      </c>
      <c r="BU367" s="606">
        <f t="shared" si="438"/>
        <v>349</v>
      </c>
      <c r="BV367" s="607">
        <f t="shared" si="439"/>
        <v>0</v>
      </c>
      <c r="BW367" s="608">
        <f t="shared" si="440"/>
        <v>0</v>
      </c>
      <c r="BX367" s="607">
        <f t="shared" si="441"/>
        <v>0</v>
      </c>
      <c r="BY367" s="608">
        <f t="shared" si="442"/>
        <v>0</v>
      </c>
      <c r="BZ367" s="607">
        <f t="shared" si="443"/>
        <v>7839.478260869565</v>
      </c>
      <c r="CA367" s="608">
        <f t="shared" si="444"/>
        <v>7680.521739130435</v>
      </c>
      <c r="CB367" s="607">
        <f t="shared" si="445"/>
        <v>6342.0649350649346</v>
      </c>
      <c r="CC367" s="608">
        <f t="shared" si="446"/>
        <v>6300.7361809045224</v>
      </c>
      <c r="CD367" s="607">
        <f t="shared" si="447"/>
        <v>5504.576</v>
      </c>
      <c r="CE367" s="608">
        <f t="shared" si="448"/>
        <v>5275.7103594080336</v>
      </c>
      <c r="CF367" s="607">
        <f t="shared" si="449"/>
        <v>4730.6381909547736</v>
      </c>
      <c r="CG367" s="608">
        <f t="shared" si="450"/>
        <v>4871.2550143266471</v>
      </c>
      <c r="CH367" s="607">
        <f t="shared" si="451"/>
        <v>0</v>
      </c>
      <c r="CI367" s="608">
        <f t="shared" si="452"/>
        <v>0</v>
      </c>
      <c r="CJ367" s="607">
        <f t="shared" si="453"/>
        <v>0</v>
      </c>
      <c r="CK367" s="608">
        <f t="shared" si="454"/>
        <v>0</v>
      </c>
      <c r="CL367" s="609">
        <f t="shared" si="455"/>
        <v>70555.304347826081</v>
      </c>
      <c r="CM367" s="608">
        <f t="shared" si="456"/>
        <v>69124.695652173919</v>
      </c>
      <c r="CN367" s="610">
        <f t="shared" si="457"/>
        <v>57078.58441558441</v>
      </c>
      <c r="CO367" s="606">
        <f t="shared" si="458"/>
        <v>56706.625628140704</v>
      </c>
      <c r="CP367" s="607">
        <f t="shared" si="459"/>
        <v>49541.184000000001</v>
      </c>
      <c r="CQ367" s="606">
        <f t="shared" si="460"/>
        <v>47481.393234672301</v>
      </c>
      <c r="CR367" s="607">
        <f t="shared" si="461"/>
        <v>42575.743718592959</v>
      </c>
      <c r="CS367" s="606">
        <f t="shared" si="462"/>
        <v>43841.295128939826</v>
      </c>
      <c r="CT367" s="607">
        <f t="shared" si="463"/>
        <v>0</v>
      </c>
      <c r="CU367" s="608">
        <f t="shared" si="464"/>
        <v>0</v>
      </c>
      <c r="CV367" s="610">
        <f t="shared" si="465"/>
        <v>0</v>
      </c>
      <c r="CW367" s="608">
        <f t="shared" si="466"/>
        <v>0</v>
      </c>
      <c r="CX367" s="610">
        <f t="shared" si="467"/>
        <v>50601.962334453419</v>
      </c>
      <c r="CY367" s="611">
        <f t="shared" si="468"/>
        <v>50382.36152601926</v>
      </c>
      <c r="CZ367" s="605">
        <f t="shared" si="469"/>
        <v>7</v>
      </c>
      <c r="DA367" s="612">
        <f t="shared" si="470"/>
        <v>7</v>
      </c>
      <c r="DB367" s="607">
        <f t="shared" si="471"/>
        <v>39</v>
      </c>
      <c r="DC367" s="606">
        <f t="shared" si="472"/>
        <v>40</v>
      </c>
      <c r="DD367" s="607">
        <f t="shared" si="473"/>
        <v>52</v>
      </c>
      <c r="DE367" s="606">
        <f t="shared" si="474"/>
        <v>49</v>
      </c>
      <c r="DF367" s="607">
        <f t="shared" si="475"/>
        <v>42</v>
      </c>
      <c r="DG367" s="606">
        <f t="shared" si="476"/>
        <v>37</v>
      </c>
      <c r="DH367" s="607">
        <f t="shared" si="477"/>
        <v>0</v>
      </c>
      <c r="DI367" s="608">
        <f t="shared" si="478"/>
        <v>0</v>
      </c>
      <c r="DJ367" s="607">
        <f t="shared" si="479"/>
        <v>0</v>
      </c>
      <c r="DK367" s="608">
        <f t="shared" si="480"/>
        <v>0</v>
      </c>
      <c r="DL367" s="607">
        <f t="shared" si="481"/>
        <v>140</v>
      </c>
      <c r="DM367" s="608">
        <f t="shared" si="482"/>
        <v>133</v>
      </c>
      <c r="DN367" s="607">
        <f t="shared" si="483"/>
        <v>493887.13043478259</v>
      </c>
      <c r="DO367" s="612">
        <f t="shared" si="484"/>
        <v>483872.86956521741</v>
      </c>
      <c r="DP367" s="607">
        <f t="shared" si="485"/>
        <v>2226064.7922077919</v>
      </c>
      <c r="DQ367" s="606">
        <f t="shared" si="486"/>
        <v>2268265.0251256283</v>
      </c>
      <c r="DR367" s="607">
        <f t="shared" si="487"/>
        <v>2576141.568</v>
      </c>
      <c r="DS367" s="606">
        <f t="shared" si="488"/>
        <v>2326588.2684989427</v>
      </c>
      <c r="DT367" s="607">
        <f t="shared" si="489"/>
        <v>1788181.2361809043</v>
      </c>
      <c r="DU367" s="606">
        <f t="shared" si="490"/>
        <v>1622127.9197707735</v>
      </c>
      <c r="DV367" s="607">
        <f t="shared" si="491"/>
        <v>0</v>
      </c>
      <c r="DW367" s="608">
        <f t="shared" si="492"/>
        <v>0</v>
      </c>
      <c r="DX367" s="607">
        <f t="shared" si="493"/>
        <v>0</v>
      </c>
      <c r="DY367" s="608">
        <f t="shared" si="494"/>
        <v>0</v>
      </c>
      <c r="DZ367" s="607">
        <f t="shared" si="495"/>
        <v>7084274.7268234789</v>
      </c>
      <c r="EA367" s="608">
        <f t="shared" si="496"/>
        <v>6700854.0829605618</v>
      </c>
    </row>
    <row r="368" spans="1:131" x14ac:dyDescent="0.2">
      <c r="A368" s="403" t="s">
        <v>41</v>
      </c>
      <c r="B368" s="404" t="s">
        <v>688</v>
      </c>
      <c r="C368" s="552"/>
      <c r="D368" s="408">
        <v>207306</v>
      </c>
      <c r="E368" s="409">
        <v>5</v>
      </c>
      <c r="F368" s="598">
        <v>15</v>
      </c>
      <c r="G368" s="599">
        <v>12</v>
      </c>
      <c r="H368" s="600"/>
      <c r="I368" s="601"/>
      <c r="J368" s="600">
        <v>0</v>
      </c>
      <c r="K368" s="599">
        <v>1</v>
      </c>
      <c r="L368" s="600"/>
      <c r="M368" s="601"/>
      <c r="N368" s="600">
        <v>15</v>
      </c>
      <c r="O368" s="599">
        <v>15</v>
      </c>
      <c r="P368" s="600"/>
      <c r="Q368" s="601"/>
      <c r="R368" s="600">
        <v>2</v>
      </c>
      <c r="S368" s="599">
        <v>1</v>
      </c>
      <c r="T368" s="600"/>
      <c r="U368" s="601"/>
      <c r="V368" s="600">
        <v>17</v>
      </c>
      <c r="W368" s="599">
        <v>22</v>
      </c>
      <c r="X368" s="600"/>
      <c r="Y368" s="601"/>
      <c r="Z368" s="600">
        <v>1</v>
      </c>
      <c r="AA368" s="599">
        <v>1</v>
      </c>
      <c r="AB368" s="600"/>
      <c r="AC368" s="601"/>
      <c r="AD368" s="600">
        <v>31</v>
      </c>
      <c r="AE368" s="599">
        <v>27</v>
      </c>
      <c r="AF368" s="600"/>
      <c r="AG368" s="601"/>
      <c r="AH368" s="600">
        <v>4</v>
      </c>
      <c r="AI368" s="599">
        <v>3</v>
      </c>
      <c r="AJ368" s="600"/>
      <c r="AK368" s="601"/>
      <c r="AL368" s="600"/>
      <c r="AM368" s="599"/>
      <c r="AN368" s="600"/>
      <c r="AO368" s="601"/>
      <c r="AP368" s="600"/>
      <c r="AQ368" s="599"/>
      <c r="AR368" s="600"/>
      <c r="AS368" s="601"/>
      <c r="AT368" s="600"/>
      <c r="AU368" s="599"/>
      <c r="AV368" s="600"/>
      <c r="AW368" s="601"/>
      <c r="AX368" s="600"/>
      <c r="AY368" s="599"/>
      <c r="AZ368" s="600"/>
      <c r="BA368" s="601"/>
      <c r="BB368" s="602">
        <v>983625</v>
      </c>
      <c r="BC368" s="599">
        <f>783444+88000</f>
        <v>871444</v>
      </c>
      <c r="BD368" s="600">
        <v>1019465</v>
      </c>
      <c r="BE368" s="599">
        <f>886830+97850</f>
        <v>984680</v>
      </c>
      <c r="BF368" s="600">
        <v>908574</v>
      </c>
      <c r="BG368" s="599">
        <f>1151546+95000</f>
        <v>1246546</v>
      </c>
      <c r="BH368" s="600">
        <v>1498065</v>
      </c>
      <c r="BI368" s="599">
        <f>1149228+132849</f>
        <v>1282077</v>
      </c>
      <c r="BJ368" s="600">
        <v>0</v>
      </c>
      <c r="BK368" s="615"/>
      <c r="BL368" s="600">
        <v>0</v>
      </c>
      <c r="BM368" s="604"/>
      <c r="BN368" s="605">
        <f t="shared" si="431"/>
        <v>135</v>
      </c>
      <c r="BO368" s="606">
        <f t="shared" si="432"/>
        <v>119</v>
      </c>
      <c r="BP368" s="607">
        <f t="shared" si="433"/>
        <v>157</v>
      </c>
      <c r="BQ368" s="606">
        <f t="shared" si="434"/>
        <v>146</v>
      </c>
      <c r="BR368" s="607">
        <f t="shared" si="435"/>
        <v>164</v>
      </c>
      <c r="BS368" s="606">
        <f t="shared" si="436"/>
        <v>209</v>
      </c>
      <c r="BT368" s="607">
        <f t="shared" si="437"/>
        <v>323</v>
      </c>
      <c r="BU368" s="606">
        <f t="shared" si="438"/>
        <v>276</v>
      </c>
      <c r="BV368" s="607">
        <f t="shared" si="439"/>
        <v>0</v>
      </c>
      <c r="BW368" s="608">
        <f t="shared" si="440"/>
        <v>0</v>
      </c>
      <c r="BX368" s="607">
        <f t="shared" si="441"/>
        <v>0</v>
      </c>
      <c r="BY368" s="608">
        <f t="shared" si="442"/>
        <v>0</v>
      </c>
      <c r="BZ368" s="607">
        <f t="shared" si="443"/>
        <v>7286.1111111111113</v>
      </c>
      <c r="CA368" s="608">
        <f t="shared" si="444"/>
        <v>7323.0588235294117</v>
      </c>
      <c r="CB368" s="607">
        <f t="shared" si="445"/>
        <v>6493.4076433121018</v>
      </c>
      <c r="CC368" s="608">
        <f t="shared" si="446"/>
        <v>6744.3835616438355</v>
      </c>
      <c r="CD368" s="607">
        <f t="shared" si="447"/>
        <v>5540.0853658536589</v>
      </c>
      <c r="CE368" s="608">
        <f t="shared" si="448"/>
        <v>5964.3349282296649</v>
      </c>
      <c r="CF368" s="607">
        <f t="shared" si="449"/>
        <v>4637.9721362229102</v>
      </c>
      <c r="CG368" s="608">
        <f t="shared" si="450"/>
        <v>4645.20652173913</v>
      </c>
      <c r="CH368" s="607">
        <f t="shared" si="451"/>
        <v>0</v>
      </c>
      <c r="CI368" s="608">
        <f t="shared" si="452"/>
        <v>0</v>
      </c>
      <c r="CJ368" s="607">
        <f t="shared" si="453"/>
        <v>0</v>
      </c>
      <c r="CK368" s="608">
        <f t="shared" si="454"/>
        <v>0</v>
      </c>
      <c r="CL368" s="609">
        <f t="shared" si="455"/>
        <v>65575</v>
      </c>
      <c r="CM368" s="608">
        <f t="shared" si="456"/>
        <v>65907.529411764699</v>
      </c>
      <c r="CN368" s="610">
        <f t="shared" si="457"/>
        <v>58440.668789808915</v>
      </c>
      <c r="CO368" s="606">
        <f t="shared" si="458"/>
        <v>60699.452054794521</v>
      </c>
      <c r="CP368" s="607">
        <f t="shared" si="459"/>
        <v>49860.768292682929</v>
      </c>
      <c r="CQ368" s="606">
        <f t="shared" si="460"/>
        <v>53679.014354066981</v>
      </c>
      <c r="CR368" s="607">
        <f t="shared" si="461"/>
        <v>41741.749226006192</v>
      </c>
      <c r="CS368" s="606">
        <f t="shared" si="462"/>
        <v>41806.858695652169</v>
      </c>
      <c r="CT368" s="607">
        <f t="shared" si="463"/>
        <v>0</v>
      </c>
      <c r="CU368" s="608">
        <f t="shared" si="464"/>
        <v>0</v>
      </c>
      <c r="CV368" s="610">
        <f t="shared" si="465"/>
        <v>0</v>
      </c>
      <c r="CW368" s="608">
        <f t="shared" si="466"/>
        <v>0</v>
      </c>
      <c r="CX368" s="610">
        <f t="shared" si="467"/>
        <v>51006.722607120719</v>
      </c>
      <c r="CY368" s="611">
        <f t="shared" si="468"/>
        <v>52644.051295643403</v>
      </c>
      <c r="CZ368" s="605">
        <f t="shared" si="469"/>
        <v>15</v>
      </c>
      <c r="DA368" s="612">
        <f t="shared" si="470"/>
        <v>13</v>
      </c>
      <c r="DB368" s="607">
        <f t="shared" si="471"/>
        <v>17</v>
      </c>
      <c r="DC368" s="606">
        <f t="shared" si="472"/>
        <v>16</v>
      </c>
      <c r="DD368" s="607">
        <f t="shared" si="473"/>
        <v>18</v>
      </c>
      <c r="DE368" s="606">
        <f t="shared" si="474"/>
        <v>23</v>
      </c>
      <c r="DF368" s="607">
        <f t="shared" si="475"/>
        <v>35</v>
      </c>
      <c r="DG368" s="606">
        <f t="shared" si="476"/>
        <v>30</v>
      </c>
      <c r="DH368" s="607">
        <f t="shared" si="477"/>
        <v>0</v>
      </c>
      <c r="DI368" s="608">
        <f t="shared" si="478"/>
        <v>0</v>
      </c>
      <c r="DJ368" s="607">
        <f t="shared" si="479"/>
        <v>0</v>
      </c>
      <c r="DK368" s="608">
        <f t="shared" si="480"/>
        <v>0</v>
      </c>
      <c r="DL368" s="607">
        <f t="shared" si="481"/>
        <v>85</v>
      </c>
      <c r="DM368" s="608">
        <f t="shared" si="482"/>
        <v>82</v>
      </c>
      <c r="DN368" s="607">
        <f t="shared" si="483"/>
        <v>983625</v>
      </c>
      <c r="DO368" s="612">
        <f t="shared" si="484"/>
        <v>856797.88235294109</v>
      </c>
      <c r="DP368" s="607">
        <f t="shared" si="485"/>
        <v>993491.36942675151</v>
      </c>
      <c r="DQ368" s="606">
        <f t="shared" si="486"/>
        <v>971191.23287671234</v>
      </c>
      <c r="DR368" s="607">
        <f t="shared" si="487"/>
        <v>897493.82926829276</v>
      </c>
      <c r="DS368" s="606">
        <f t="shared" si="488"/>
        <v>1234617.3301435406</v>
      </c>
      <c r="DT368" s="607">
        <f t="shared" si="489"/>
        <v>1460961.2229102168</v>
      </c>
      <c r="DU368" s="606">
        <f t="shared" si="490"/>
        <v>1254205.760869565</v>
      </c>
      <c r="DV368" s="607">
        <f t="shared" si="491"/>
        <v>0</v>
      </c>
      <c r="DW368" s="608">
        <f t="shared" si="492"/>
        <v>0</v>
      </c>
      <c r="DX368" s="607">
        <f t="shared" si="493"/>
        <v>0</v>
      </c>
      <c r="DY368" s="608">
        <f t="shared" si="494"/>
        <v>0</v>
      </c>
      <c r="DZ368" s="607">
        <f t="shared" si="495"/>
        <v>4335571.421605261</v>
      </c>
      <c r="EA368" s="608">
        <f t="shared" si="496"/>
        <v>4316812.2062427588</v>
      </c>
    </row>
    <row r="369" spans="1:131" x14ac:dyDescent="0.2">
      <c r="A369" s="403" t="s">
        <v>41</v>
      </c>
      <c r="B369" s="404" t="s">
        <v>690</v>
      </c>
      <c r="C369" s="552"/>
      <c r="D369" s="408">
        <v>207865</v>
      </c>
      <c r="E369" s="409">
        <v>5</v>
      </c>
      <c r="F369" s="598">
        <v>34</v>
      </c>
      <c r="G369" s="599">
        <v>33</v>
      </c>
      <c r="H369" s="600"/>
      <c r="I369" s="601"/>
      <c r="J369" s="600">
        <v>4</v>
      </c>
      <c r="K369" s="599">
        <v>4</v>
      </c>
      <c r="L369" s="600"/>
      <c r="M369" s="601"/>
      <c r="N369" s="600">
        <v>28</v>
      </c>
      <c r="O369" s="599">
        <v>30</v>
      </c>
      <c r="P369" s="600"/>
      <c r="Q369" s="601"/>
      <c r="R369" s="600">
        <v>10</v>
      </c>
      <c r="S369" s="599">
        <v>8</v>
      </c>
      <c r="T369" s="600"/>
      <c r="U369" s="601"/>
      <c r="V369" s="600">
        <v>49</v>
      </c>
      <c r="W369" s="599">
        <v>50</v>
      </c>
      <c r="X369" s="600"/>
      <c r="Y369" s="601"/>
      <c r="Z369" s="600">
        <v>9</v>
      </c>
      <c r="AA369" s="599">
        <v>11</v>
      </c>
      <c r="AB369" s="600"/>
      <c r="AC369" s="601"/>
      <c r="AD369" s="600">
        <v>74</v>
      </c>
      <c r="AE369" s="599">
        <v>76</v>
      </c>
      <c r="AF369" s="600"/>
      <c r="AG369" s="601"/>
      <c r="AH369" s="600">
        <v>3</v>
      </c>
      <c r="AI369" s="599">
        <v>3</v>
      </c>
      <c r="AJ369" s="600"/>
      <c r="AK369" s="601"/>
      <c r="AL369" s="600"/>
      <c r="AM369" s="599"/>
      <c r="AN369" s="600"/>
      <c r="AO369" s="601"/>
      <c r="AP369" s="600"/>
      <c r="AQ369" s="599"/>
      <c r="AR369" s="600"/>
      <c r="AS369" s="601"/>
      <c r="AT369" s="600"/>
      <c r="AU369" s="599"/>
      <c r="AV369" s="600"/>
      <c r="AW369" s="601"/>
      <c r="AX369" s="600"/>
      <c r="AY369" s="599"/>
      <c r="AZ369" s="600"/>
      <c r="BA369" s="601"/>
      <c r="BB369" s="602">
        <v>3005372</v>
      </c>
      <c r="BC369" s="599">
        <f>2464968+517528</f>
        <v>2982496</v>
      </c>
      <c r="BD369" s="600">
        <v>2618280</v>
      </c>
      <c r="BE369" s="599">
        <f>1802910+825312</f>
        <v>2628222</v>
      </c>
      <c r="BF369" s="600">
        <v>3126660</v>
      </c>
      <c r="BG369" s="599">
        <f>2358300+1031008</f>
        <v>3389308</v>
      </c>
      <c r="BH369" s="600">
        <v>3550054</v>
      </c>
      <c r="BI369" s="599">
        <f>3519864+151257</f>
        <v>3671121</v>
      </c>
      <c r="BJ369" s="600">
        <v>0</v>
      </c>
      <c r="BK369" s="615"/>
      <c r="BL369" s="600">
        <v>0</v>
      </c>
      <c r="BM369" s="604"/>
      <c r="BN369" s="605">
        <f t="shared" si="431"/>
        <v>350</v>
      </c>
      <c r="BO369" s="606">
        <f t="shared" si="432"/>
        <v>341</v>
      </c>
      <c r="BP369" s="607">
        <f t="shared" si="433"/>
        <v>362</v>
      </c>
      <c r="BQ369" s="606">
        <f t="shared" si="434"/>
        <v>358</v>
      </c>
      <c r="BR369" s="607">
        <f t="shared" si="435"/>
        <v>540</v>
      </c>
      <c r="BS369" s="606">
        <f t="shared" si="436"/>
        <v>571</v>
      </c>
      <c r="BT369" s="607">
        <f t="shared" si="437"/>
        <v>699</v>
      </c>
      <c r="BU369" s="606">
        <f t="shared" si="438"/>
        <v>717</v>
      </c>
      <c r="BV369" s="607">
        <f t="shared" si="439"/>
        <v>0</v>
      </c>
      <c r="BW369" s="608">
        <f t="shared" si="440"/>
        <v>0</v>
      </c>
      <c r="BX369" s="607">
        <f t="shared" si="441"/>
        <v>0</v>
      </c>
      <c r="BY369" s="608">
        <f t="shared" si="442"/>
        <v>0</v>
      </c>
      <c r="BZ369" s="607">
        <f t="shared" si="443"/>
        <v>8586.7771428571432</v>
      </c>
      <c r="CA369" s="608">
        <f t="shared" si="444"/>
        <v>8746.322580645161</v>
      </c>
      <c r="CB369" s="607">
        <f t="shared" si="445"/>
        <v>7232.8176795580112</v>
      </c>
      <c r="CC369" s="608">
        <f t="shared" si="446"/>
        <v>7341.4022346368711</v>
      </c>
      <c r="CD369" s="607">
        <f t="shared" si="447"/>
        <v>5790.1111111111113</v>
      </c>
      <c r="CE369" s="608">
        <f t="shared" si="448"/>
        <v>5935.7408056042032</v>
      </c>
      <c r="CF369" s="607">
        <f t="shared" si="449"/>
        <v>5078.761087267525</v>
      </c>
      <c r="CG369" s="608">
        <f t="shared" si="450"/>
        <v>5120.1129707112968</v>
      </c>
      <c r="CH369" s="607">
        <f t="shared" si="451"/>
        <v>0</v>
      </c>
      <c r="CI369" s="608">
        <f t="shared" si="452"/>
        <v>0</v>
      </c>
      <c r="CJ369" s="607">
        <f t="shared" si="453"/>
        <v>0</v>
      </c>
      <c r="CK369" s="608">
        <f t="shared" si="454"/>
        <v>0</v>
      </c>
      <c r="CL369" s="609">
        <f t="shared" si="455"/>
        <v>77280.994285714289</v>
      </c>
      <c r="CM369" s="608">
        <f t="shared" si="456"/>
        <v>78716.903225806454</v>
      </c>
      <c r="CN369" s="610">
        <f t="shared" si="457"/>
        <v>65095.359116022097</v>
      </c>
      <c r="CO369" s="606">
        <f t="shared" si="458"/>
        <v>66072.620111731841</v>
      </c>
      <c r="CP369" s="607">
        <f t="shared" si="459"/>
        <v>52111</v>
      </c>
      <c r="CQ369" s="606">
        <f t="shared" si="460"/>
        <v>53421.667250437829</v>
      </c>
      <c r="CR369" s="607">
        <f t="shared" si="461"/>
        <v>45708.849785407729</v>
      </c>
      <c r="CS369" s="606">
        <f t="shared" si="462"/>
        <v>46081.016736401674</v>
      </c>
      <c r="CT369" s="607">
        <f t="shared" si="463"/>
        <v>0</v>
      </c>
      <c r="CU369" s="608">
        <f t="shared" si="464"/>
        <v>0</v>
      </c>
      <c r="CV369" s="610">
        <f t="shared" si="465"/>
        <v>0</v>
      </c>
      <c r="CW369" s="608">
        <f t="shared" si="466"/>
        <v>0</v>
      </c>
      <c r="CX369" s="610">
        <f t="shared" si="467"/>
        <v>56646.07043953734</v>
      </c>
      <c r="CY369" s="611">
        <f t="shared" si="468"/>
        <v>57313.520967688783</v>
      </c>
      <c r="CZ369" s="605">
        <f t="shared" si="469"/>
        <v>38</v>
      </c>
      <c r="DA369" s="612">
        <f t="shared" si="470"/>
        <v>37</v>
      </c>
      <c r="DB369" s="607">
        <f t="shared" si="471"/>
        <v>38</v>
      </c>
      <c r="DC369" s="606">
        <f t="shared" si="472"/>
        <v>38</v>
      </c>
      <c r="DD369" s="607">
        <f t="shared" si="473"/>
        <v>58</v>
      </c>
      <c r="DE369" s="606">
        <f t="shared" si="474"/>
        <v>61</v>
      </c>
      <c r="DF369" s="607">
        <f t="shared" si="475"/>
        <v>77</v>
      </c>
      <c r="DG369" s="606">
        <f t="shared" si="476"/>
        <v>79</v>
      </c>
      <c r="DH369" s="607">
        <f t="shared" si="477"/>
        <v>0</v>
      </c>
      <c r="DI369" s="608">
        <f t="shared" si="478"/>
        <v>0</v>
      </c>
      <c r="DJ369" s="607">
        <f t="shared" si="479"/>
        <v>0</v>
      </c>
      <c r="DK369" s="608">
        <f t="shared" si="480"/>
        <v>0</v>
      </c>
      <c r="DL369" s="607">
        <f t="shared" si="481"/>
        <v>211</v>
      </c>
      <c r="DM369" s="608">
        <f t="shared" si="482"/>
        <v>215</v>
      </c>
      <c r="DN369" s="607">
        <f t="shared" si="483"/>
        <v>2936677.7828571429</v>
      </c>
      <c r="DO369" s="612">
        <f t="shared" si="484"/>
        <v>2912525.4193548388</v>
      </c>
      <c r="DP369" s="607">
        <f t="shared" si="485"/>
        <v>2473623.6464088396</v>
      </c>
      <c r="DQ369" s="606">
        <f t="shared" si="486"/>
        <v>2510759.5642458098</v>
      </c>
      <c r="DR369" s="607">
        <f t="shared" si="487"/>
        <v>3022438</v>
      </c>
      <c r="DS369" s="606">
        <f t="shared" si="488"/>
        <v>3258721.7022767076</v>
      </c>
      <c r="DT369" s="607">
        <f t="shared" si="489"/>
        <v>3519581.433476395</v>
      </c>
      <c r="DU369" s="606">
        <f t="shared" si="490"/>
        <v>3640400.3221757323</v>
      </c>
      <c r="DV369" s="607">
        <f t="shared" si="491"/>
        <v>0</v>
      </c>
      <c r="DW369" s="608">
        <f t="shared" si="492"/>
        <v>0</v>
      </c>
      <c r="DX369" s="607">
        <f t="shared" si="493"/>
        <v>0</v>
      </c>
      <c r="DY369" s="608">
        <f t="shared" si="494"/>
        <v>0</v>
      </c>
      <c r="DZ369" s="607">
        <f t="shared" si="495"/>
        <v>11952320.862742379</v>
      </c>
      <c r="EA369" s="608">
        <f t="shared" si="496"/>
        <v>12322407.008053089</v>
      </c>
    </row>
    <row r="370" spans="1:131" x14ac:dyDescent="0.2">
      <c r="A370" s="403" t="s">
        <v>41</v>
      </c>
      <c r="B370" s="404" t="s">
        <v>691</v>
      </c>
      <c r="C370" s="552"/>
      <c r="D370" s="408">
        <v>207351</v>
      </c>
      <c r="E370" s="409">
        <v>6</v>
      </c>
      <c r="F370" s="598">
        <v>6</v>
      </c>
      <c r="G370" s="599">
        <v>3</v>
      </c>
      <c r="H370" s="600"/>
      <c r="I370" s="601"/>
      <c r="J370" s="600">
        <v>0</v>
      </c>
      <c r="K370" s="599"/>
      <c r="L370" s="600"/>
      <c r="M370" s="601"/>
      <c r="N370" s="600">
        <v>12</v>
      </c>
      <c r="O370" s="599">
        <v>10</v>
      </c>
      <c r="P370" s="600"/>
      <c r="Q370" s="601"/>
      <c r="R370" s="600">
        <v>0</v>
      </c>
      <c r="S370" s="599">
        <v>1</v>
      </c>
      <c r="T370" s="600"/>
      <c r="U370" s="601"/>
      <c r="V370" s="600">
        <v>14</v>
      </c>
      <c r="W370" s="599">
        <v>18</v>
      </c>
      <c r="X370" s="600"/>
      <c r="Y370" s="601"/>
      <c r="Z370" s="600">
        <v>4</v>
      </c>
      <c r="AA370" s="599">
        <v>3</v>
      </c>
      <c r="AB370" s="600"/>
      <c r="AC370" s="601"/>
      <c r="AD370" s="600">
        <v>12</v>
      </c>
      <c r="AE370" s="599">
        <v>13</v>
      </c>
      <c r="AF370" s="600"/>
      <c r="AG370" s="601"/>
      <c r="AH370" s="600">
        <v>4</v>
      </c>
      <c r="AI370" s="599">
        <v>3</v>
      </c>
      <c r="AJ370" s="600"/>
      <c r="AK370" s="601"/>
      <c r="AL370" s="600"/>
      <c r="AM370" s="599"/>
      <c r="AN370" s="600"/>
      <c r="AO370" s="601"/>
      <c r="AP370" s="600"/>
      <c r="AQ370" s="599"/>
      <c r="AR370" s="600"/>
      <c r="AS370" s="601"/>
      <c r="AT370" s="600"/>
      <c r="AU370" s="599"/>
      <c r="AV370" s="600"/>
      <c r="AW370" s="601"/>
      <c r="AX370" s="600"/>
      <c r="AY370" s="599"/>
      <c r="AZ370" s="600"/>
      <c r="BA370" s="601"/>
      <c r="BB370" s="602">
        <v>266892</v>
      </c>
      <c r="BC370" s="599">
        <v>148431</v>
      </c>
      <c r="BD370" s="600">
        <v>596916</v>
      </c>
      <c r="BE370" s="599">
        <f>416000+57000</f>
        <v>473000</v>
      </c>
      <c r="BF370" s="600">
        <v>845658</v>
      </c>
      <c r="BG370" s="599">
        <f>666000+147825</f>
        <v>813825</v>
      </c>
      <c r="BH370" s="600">
        <v>553544</v>
      </c>
      <c r="BI370" s="599">
        <f>456300+78924</f>
        <v>535224</v>
      </c>
      <c r="BJ370" s="600">
        <v>0</v>
      </c>
      <c r="BK370" s="615"/>
      <c r="BL370" s="600">
        <v>0</v>
      </c>
      <c r="BM370" s="604"/>
      <c r="BN370" s="605">
        <f t="shared" si="431"/>
        <v>54</v>
      </c>
      <c r="BO370" s="606">
        <f t="shared" si="432"/>
        <v>27</v>
      </c>
      <c r="BP370" s="607">
        <f t="shared" si="433"/>
        <v>108</v>
      </c>
      <c r="BQ370" s="606">
        <f t="shared" si="434"/>
        <v>101</v>
      </c>
      <c r="BR370" s="607">
        <f t="shared" si="435"/>
        <v>170</v>
      </c>
      <c r="BS370" s="606">
        <f t="shared" si="436"/>
        <v>195</v>
      </c>
      <c r="BT370" s="607">
        <f t="shared" si="437"/>
        <v>152</v>
      </c>
      <c r="BU370" s="606">
        <f t="shared" si="438"/>
        <v>150</v>
      </c>
      <c r="BV370" s="607">
        <f t="shared" si="439"/>
        <v>0</v>
      </c>
      <c r="BW370" s="608">
        <f t="shared" si="440"/>
        <v>0</v>
      </c>
      <c r="BX370" s="607">
        <f t="shared" si="441"/>
        <v>0</v>
      </c>
      <c r="BY370" s="608">
        <f t="shared" si="442"/>
        <v>0</v>
      </c>
      <c r="BZ370" s="607">
        <f t="shared" si="443"/>
        <v>4942.4444444444443</v>
      </c>
      <c r="CA370" s="608">
        <f t="shared" si="444"/>
        <v>5497.4444444444443</v>
      </c>
      <c r="CB370" s="607">
        <f t="shared" si="445"/>
        <v>5527</v>
      </c>
      <c r="CC370" s="608">
        <f t="shared" si="446"/>
        <v>4683.1683168316831</v>
      </c>
      <c r="CD370" s="607">
        <f t="shared" si="447"/>
        <v>4974.4588235294113</v>
      </c>
      <c r="CE370" s="608">
        <f t="shared" si="448"/>
        <v>4173.4615384615381</v>
      </c>
      <c r="CF370" s="607">
        <f t="shared" si="449"/>
        <v>3641.7368421052633</v>
      </c>
      <c r="CG370" s="608">
        <f t="shared" si="450"/>
        <v>3568.16</v>
      </c>
      <c r="CH370" s="607">
        <f t="shared" si="451"/>
        <v>0</v>
      </c>
      <c r="CI370" s="608">
        <f t="shared" si="452"/>
        <v>0</v>
      </c>
      <c r="CJ370" s="607">
        <f t="shared" si="453"/>
        <v>0</v>
      </c>
      <c r="CK370" s="608">
        <f t="shared" si="454"/>
        <v>0</v>
      </c>
      <c r="CL370" s="609">
        <f t="shared" si="455"/>
        <v>44482</v>
      </c>
      <c r="CM370" s="608">
        <f t="shared" si="456"/>
        <v>49477</v>
      </c>
      <c r="CN370" s="610">
        <f t="shared" si="457"/>
        <v>49743</v>
      </c>
      <c r="CO370" s="606">
        <f t="shared" si="458"/>
        <v>42148.514851485146</v>
      </c>
      <c r="CP370" s="607">
        <f t="shared" si="459"/>
        <v>44770.129411764705</v>
      </c>
      <c r="CQ370" s="606">
        <f t="shared" si="460"/>
        <v>37561.153846153844</v>
      </c>
      <c r="CR370" s="607">
        <f t="shared" si="461"/>
        <v>32775.631578947374</v>
      </c>
      <c r="CS370" s="606">
        <f t="shared" si="462"/>
        <v>32113.439999999999</v>
      </c>
      <c r="CT370" s="607">
        <f t="shared" si="463"/>
        <v>0</v>
      </c>
      <c r="CU370" s="608">
        <f t="shared" si="464"/>
        <v>0</v>
      </c>
      <c r="CV370" s="610">
        <f t="shared" si="465"/>
        <v>0</v>
      </c>
      <c r="CW370" s="608">
        <f t="shared" si="466"/>
        <v>0</v>
      </c>
      <c r="CX370" s="610">
        <f t="shared" si="467"/>
        <v>42193.854512979276</v>
      </c>
      <c r="CY370" s="611">
        <f t="shared" si="468"/>
        <v>37542.430081089558</v>
      </c>
      <c r="CZ370" s="605">
        <f t="shared" si="469"/>
        <v>6</v>
      </c>
      <c r="DA370" s="612">
        <f t="shared" si="470"/>
        <v>3</v>
      </c>
      <c r="DB370" s="607">
        <f t="shared" si="471"/>
        <v>12</v>
      </c>
      <c r="DC370" s="606">
        <f t="shared" si="472"/>
        <v>11</v>
      </c>
      <c r="DD370" s="607">
        <f t="shared" si="473"/>
        <v>18</v>
      </c>
      <c r="DE370" s="606">
        <f t="shared" si="474"/>
        <v>21</v>
      </c>
      <c r="DF370" s="607">
        <f t="shared" si="475"/>
        <v>16</v>
      </c>
      <c r="DG370" s="606">
        <f t="shared" si="476"/>
        <v>16</v>
      </c>
      <c r="DH370" s="607">
        <f t="shared" si="477"/>
        <v>0</v>
      </c>
      <c r="DI370" s="608">
        <f t="shared" si="478"/>
        <v>0</v>
      </c>
      <c r="DJ370" s="607">
        <f t="shared" si="479"/>
        <v>0</v>
      </c>
      <c r="DK370" s="608">
        <f t="shared" si="480"/>
        <v>0</v>
      </c>
      <c r="DL370" s="607">
        <f t="shared" si="481"/>
        <v>52</v>
      </c>
      <c r="DM370" s="608">
        <f t="shared" si="482"/>
        <v>51</v>
      </c>
      <c r="DN370" s="607">
        <f t="shared" si="483"/>
        <v>266892</v>
      </c>
      <c r="DO370" s="612">
        <f t="shared" si="484"/>
        <v>148431</v>
      </c>
      <c r="DP370" s="607">
        <f t="shared" si="485"/>
        <v>596916</v>
      </c>
      <c r="DQ370" s="606">
        <f t="shared" si="486"/>
        <v>463633.66336633661</v>
      </c>
      <c r="DR370" s="607">
        <f t="shared" si="487"/>
        <v>805862.32941176463</v>
      </c>
      <c r="DS370" s="606">
        <f t="shared" si="488"/>
        <v>788784.23076923075</v>
      </c>
      <c r="DT370" s="607">
        <f t="shared" si="489"/>
        <v>524410.10526315798</v>
      </c>
      <c r="DU370" s="606">
        <f t="shared" si="490"/>
        <v>513815.03999999998</v>
      </c>
      <c r="DV370" s="607">
        <f t="shared" si="491"/>
        <v>0</v>
      </c>
      <c r="DW370" s="608">
        <f t="shared" si="492"/>
        <v>0</v>
      </c>
      <c r="DX370" s="607">
        <f t="shared" si="493"/>
        <v>0</v>
      </c>
      <c r="DY370" s="608">
        <f t="shared" si="494"/>
        <v>0</v>
      </c>
      <c r="DZ370" s="607">
        <f t="shared" si="495"/>
        <v>2194080.4346749224</v>
      </c>
      <c r="EA370" s="608">
        <f t="shared" si="496"/>
        <v>1914663.9341355674</v>
      </c>
    </row>
    <row r="371" spans="1:131" x14ac:dyDescent="0.2">
      <c r="A371" s="378" t="s">
        <v>41</v>
      </c>
      <c r="B371" s="405" t="s">
        <v>692</v>
      </c>
      <c r="C371" s="573"/>
      <c r="D371" s="380">
        <v>207661</v>
      </c>
      <c r="E371" s="411">
        <v>6</v>
      </c>
      <c r="F371" s="598">
        <v>12</v>
      </c>
      <c r="G371" s="599">
        <v>16</v>
      </c>
      <c r="H371" s="600"/>
      <c r="I371" s="601"/>
      <c r="J371" s="600">
        <v>4</v>
      </c>
      <c r="K371" s="599">
        <v>4</v>
      </c>
      <c r="L371" s="600"/>
      <c r="M371" s="601"/>
      <c r="N371" s="600">
        <v>27</v>
      </c>
      <c r="O371" s="599">
        <v>22</v>
      </c>
      <c r="P371" s="600"/>
      <c r="Q371" s="601"/>
      <c r="R371" s="600">
        <v>4</v>
      </c>
      <c r="S371" s="599">
        <v>3</v>
      </c>
      <c r="T371" s="600"/>
      <c r="U371" s="601"/>
      <c r="V371" s="600">
        <v>26</v>
      </c>
      <c r="W371" s="599">
        <v>27</v>
      </c>
      <c r="X371" s="600"/>
      <c r="Y371" s="601"/>
      <c r="Z371" s="600">
        <v>3</v>
      </c>
      <c r="AA371" s="599">
        <v>2</v>
      </c>
      <c r="AB371" s="600"/>
      <c r="AC371" s="601"/>
      <c r="AD371" s="600">
        <v>25</v>
      </c>
      <c r="AE371" s="599">
        <v>26</v>
      </c>
      <c r="AF371" s="600"/>
      <c r="AG371" s="601"/>
      <c r="AH371" s="600">
        <v>1</v>
      </c>
      <c r="AI371" s="599">
        <v>2</v>
      </c>
      <c r="AJ371" s="600"/>
      <c r="AK371" s="601"/>
      <c r="AL371" s="600"/>
      <c r="AM371" s="599"/>
      <c r="AN371" s="600"/>
      <c r="AO371" s="601"/>
      <c r="AP371" s="600"/>
      <c r="AQ371" s="599"/>
      <c r="AR371" s="600"/>
      <c r="AS371" s="601"/>
      <c r="AT371" s="600"/>
      <c r="AU371" s="599"/>
      <c r="AV371" s="600"/>
      <c r="AW371" s="601"/>
      <c r="AX371" s="600"/>
      <c r="AY371" s="599"/>
      <c r="AZ371" s="600"/>
      <c r="BA371" s="601"/>
      <c r="BB371" s="602">
        <v>1141668</v>
      </c>
      <c r="BC371" s="599">
        <f>1058048+334184</f>
        <v>1392232</v>
      </c>
      <c r="BD371" s="600">
        <v>1843327</v>
      </c>
      <c r="BE371" s="599">
        <f>1213674+249087</f>
        <v>1462761</v>
      </c>
      <c r="BF371" s="600">
        <v>1466946</v>
      </c>
      <c r="BG371" s="599">
        <f>1326915+93912</f>
        <v>1420827</v>
      </c>
      <c r="BH371" s="600">
        <v>1107150</v>
      </c>
      <c r="BI371" s="599">
        <f>1155778+86500</f>
        <v>1242278</v>
      </c>
      <c r="BJ371" s="600">
        <v>0</v>
      </c>
      <c r="BK371" s="615"/>
      <c r="BL371" s="600">
        <v>0</v>
      </c>
      <c r="BM371" s="604"/>
      <c r="BN371" s="605">
        <f t="shared" si="431"/>
        <v>152</v>
      </c>
      <c r="BO371" s="606">
        <f t="shared" si="432"/>
        <v>188</v>
      </c>
      <c r="BP371" s="607">
        <f t="shared" si="433"/>
        <v>287</v>
      </c>
      <c r="BQ371" s="606">
        <f t="shared" si="434"/>
        <v>231</v>
      </c>
      <c r="BR371" s="607">
        <f t="shared" si="435"/>
        <v>267</v>
      </c>
      <c r="BS371" s="606">
        <f t="shared" si="436"/>
        <v>265</v>
      </c>
      <c r="BT371" s="607">
        <f t="shared" si="437"/>
        <v>236</v>
      </c>
      <c r="BU371" s="606">
        <f t="shared" si="438"/>
        <v>256</v>
      </c>
      <c r="BV371" s="607">
        <f t="shared" si="439"/>
        <v>0</v>
      </c>
      <c r="BW371" s="608">
        <f t="shared" si="440"/>
        <v>0</v>
      </c>
      <c r="BX371" s="607">
        <f t="shared" si="441"/>
        <v>0</v>
      </c>
      <c r="BY371" s="608">
        <f t="shared" si="442"/>
        <v>0</v>
      </c>
      <c r="BZ371" s="607">
        <f t="shared" si="443"/>
        <v>7510.9736842105267</v>
      </c>
      <c r="CA371" s="608">
        <f t="shared" si="444"/>
        <v>7405.489361702128</v>
      </c>
      <c r="CB371" s="607">
        <f t="shared" si="445"/>
        <v>6422.7421602787454</v>
      </c>
      <c r="CC371" s="608">
        <f t="shared" si="446"/>
        <v>6332.2987012987014</v>
      </c>
      <c r="CD371" s="607">
        <f t="shared" si="447"/>
        <v>5494.1797752808989</v>
      </c>
      <c r="CE371" s="608">
        <f t="shared" si="448"/>
        <v>5361.6113207547169</v>
      </c>
      <c r="CF371" s="607">
        <f t="shared" si="449"/>
        <v>4691.3135593220341</v>
      </c>
      <c r="CG371" s="608">
        <f t="shared" si="450"/>
        <v>4852.6484375</v>
      </c>
      <c r="CH371" s="607">
        <f t="shared" si="451"/>
        <v>0</v>
      </c>
      <c r="CI371" s="608">
        <f t="shared" si="452"/>
        <v>0</v>
      </c>
      <c r="CJ371" s="607">
        <f t="shared" si="453"/>
        <v>0</v>
      </c>
      <c r="CK371" s="608">
        <f t="shared" si="454"/>
        <v>0</v>
      </c>
      <c r="CL371" s="609">
        <f t="shared" si="455"/>
        <v>67598.763157894748</v>
      </c>
      <c r="CM371" s="608">
        <f t="shared" si="456"/>
        <v>66649.404255319154</v>
      </c>
      <c r="CN371" s="610">
        <f t="shared" si="457"/>
        <v>57804.679442508706</v>
      </c>
      <c r="CO371" s="606">
        <f t="shared" si="458"/>
        <v>56990.688311688311</v>
      </c>
      <c r="CP371" s="607">
        <f t="shared" si="459"/>
        <v>49447.617977528091</v>
      </c>
      <c r="CQ371" s="606">
        <f t="shared" si="460"/>
        <v>48254.501886792452</v>
      </c>
      <c r="CR371" s="607">
        <f t="shared" si="461"/>
        <v>42221.822033898308</v>
      </c>
      <c r="CS371" s="606">
        <f t="shared" si="462"/>
        <v>43673.8359375</v>
      </c>
      <c r="CT371" s="607">
        <f t="shared" si="463"/>
        <v>0</v>
      </c>
      <c r="CU371" s="608">
        <f t="shared" si="464"/>
        <v>0</v>
      </c>
      <c r="CV371" s="610">
        <f t="shared" si="465"/>
        <v>0</v>
      </c>
      <c r="CW371" s="608">
        <f t="shared" si="466"/>
        <v>0</v>
      </c>
      <c r="CX371" s="610">
        <f t="shared" si="467"/>
        <v>52992.878112487808</v>
      </c>
      <c r="CY371" s="611">
        <f t="shared" si="468"/>
        <v>52745.129939858547</v>
      </c>
      <c r="CZ371" s="605">
        <f t="shared" si="469"/>
        <v>16</v>
      </c>
      <c r="DA371" s="612">
        <f t="shared" si="470"/>
        <v>20</v>
      </c>
      <c r="DB371" s="607">
        <f t="shared" si="471"/>
        <v>31</v>
      </c>
      <c r="DC371" s="606">
        <f t="shared" si="472"/>
        <v>25</v>
      </c>
      <c r="DD371" s="607">
        <f t="shared" si="473"/>
        <v>29</v>
      </c>
      <c r="DE371" s="606">
        <f t="shared" si="474"/>
        <v>29</v>
      </c>
      <c r="DF371" s="607">
        <f t="shared" si="475"/>
        <v>26</v>
      </c>
      <c r="DG371" s="606">
        <f t="shared" si="476"/>
        <v>28</v>
      </c>
      <c r="DH371" s="607">
        <f t="shared" si="477"/>
        <v>0</v>
      </c>
      <c r="DI371" s="608">
        <f t="shared" si="478"/>
        <v>0</v>
      </c>
      <c r="DJ371" s="607">
        <f t="shared" si="479"/>
        <v>0</v>
      </c>
      <c r="DK371" s="608">
        <f t="shared" si="480"/>
        <v>0</v>
      </c>
      <c r="DL371" s="607">
        <f t="shared" si="481"/>
        <v>102</v>
      </c>
      <c r="DM371" s="608">
        <f t="shared" si="482"/>
        <v>102</v>
      </c>
      <c r="DN371" s="607">
        <f t="shared" si="483"/>
        <v>1081580.210526316</v>
      </c>
      <c r="DO371" s="612">
        <f t="shared" si="484"/>
        <v>1332988.0851063831</v>
      </c>
      <c r="DP371" s="607">
        <f t="shared" si="485"/>
        <v>1791945.06271777</v>
      </c>
      <c r="DQ371" s="606">
        <f t="shared" si="486"/>
        <v>1424767.2077922078</v>
      </c>
      <c r="DR371" s="607">
        <f t="shared" si="487"/>
        <v>1433980.9213483147</v>
      </c>
      <c r="DS371" s="606">
        <f t="shared" si="488"/>
        <v>1399380.554716981</v>
      </c>
      <c r="DT371" s="607">
        <f t="shared" si="489"/>
        <v>1097767.3728813559</v>
      </c>
      <c r="DU371" s="606">
        <f t="shared" si="490"/>
        <v>1222867.40625</v>
      </c>
      <c r="DV371" s="607">
        <f t="shared" si="491"/>
        <v>0</v>
      </c>
      <c r="DW371" s="608">
        <f t="shared" si="492"/>
        <v>0</v>
      </c>
      <c r="DX371" s="607">
        <f t="shared" si="493"/>
        <v>0</v>
      </c>
      <c r="DY371" s="608">
        <f t="shared" si="494"/>
        <v>0</v>
      </c>
      <c r="DZ371" s="607">
        <f t="shared" si="495"/>
        <v>5405273.5674737561</v>
      </c>
      <c r="EA371" s="608">
        <f t="shared" si="496"/>
        <v>5380003.2538655717</v>
      </c>
    </row>
    <row r="372" spans="1:131" x14ac:dyDescent="0.2">
      <c r="A372" s="403" t="s">
        <v>41</v>
      </c>
      <c r="B372" s="404" t="s">
        <v>693</v>
      </c>
      <c r="C372" s="552"/>
      <c r="D372" s="408">
        <v>207722</v>
      </c>
      <c r="E372" s="409">
        <v>6</v>
      </c>
      <c r="F372" s="598">
        <v>13</v>
      </c>
      <c r="G372" s="599">
        <v>14</v>
      </c>
      <c r="H372" s="600"/>
      <c r="I372" s="601"/>
      <c r="J372" s="600">
        <v>3</v>
      </c>
      <c r="K372" s="599">
        <v>3</v>
      </c>
      <c r="L372" s="600"/>
      <c r="M372" s="601"/>
      <c r="N372" s="600">
        <v>13</v>
      </c>
      <c r="O372" s="599">
        <v>14</v>
      </c>
      <c r="P372" s="600"/>
      <c r="Q372" s="601"/>
      <c r="R372" s="600">
        <v>2</v>
      </c>
      <c r="S372" s="599">
        <v>1</v>
      </c>
      <c r="T372" s="600"/>
      <c r="U372" s="601"/>
      <c r="V372" s="600">
        <v>14</v>
      </c>
      <c r="W372" s="599">
        <v>14</v>
      </c>
      <c r="X372" s="600"/>
      <c r="Y372" s="601"/>
      <c r="Z372" s="600">
        <v>0</v>
      </c>
      <c r="AA372" s="599"/>
      <c r="AB372" s="600"/>
      <c r="AC372" s="601"/>
      <c r="AD372" s="600">
        <v>8</v>
      </c>
      <c r="AE372" s="599">
        <v>7</v>
      </c>
      <c r="AF372" s="600"/>
      <c r="AG372" s="601"/>
      <c r="AH372" s="600">
        <v>0</v>
      </c>
      <c r="AI372" s="599"/>
      <c r="AJ372" s="600"/>
      <c r="AK372" s="601"/>
      <c r="AL372" s="600"/>
      <c r="AM372" s="599"/>
      <c r="AN372" s="600"/>
      <c r="AO372" s="601"/>
      <c r="AP372" s="600"/>
      <c r="AQ372" s="599"/>
      <c r="AR372" s="600"/>
      <c r="AS372" s="601"/>
      <c r="AT372" s="600"/>
      <c r="AU372" s="599"/>
      <c r="AV372" s="600"/>
      <c r="AW372" s="601"/>
      <c r="AX372" s="600"/>
      <c r="AY372" s="599"/>
      <c r="AZ372" s="600"/>
      <c r="BA372" s="601"/>
      <c r="BB372" s="602">
        <v>1023866</v>
      </c>
      <c r="BC372" s="599">
        <f>834274+237576</f>
        <v>1071850</v>
      </c>
      <c r="BD372" s="600">
        <v>784260</v>
      </c>
      <c r="BE372" s="599">
        <f>677670+67590</f>
        <v>745260</v>
      </c>
      <c r="BF372" s="600">
        <v>624106</v>
      </c>
      <c r="BG372" s="599">
        <v>631064</v>
      </c>
      <c r="BH372" s="600">
        <v>327120</v>
      </c>
      <c r="BI372" s="599">
        <v>286020</v>
      </c>
      <c r="BJ372" s="600">
        <v>0</v>
      </c>
      <c r="BK372" s="615"/>
      <c r="BL372" s="600">
        <v>0</v>
      </c>
      <c r="BM372" s="604"/>
      <c r="BN372" s="605">
        <f t="shared" si="431"/>
        <v>150</v>
      </c>
      <c r="BO372" s="606">
        <f t="shared" si="432"/>
        <v>159</v>
      </c>
      <c r="BP372" s="607">
        <f t="shared" si="433"/>
        <v>139</v>
      </c>
      <c r="BQ372" s="606">
        <f t="shared" si="434"/>
        <v>137</v>
      </c>
      <c r="BR372" s="607">
        <f t="shared" si="435"/>
        <v>126</v>
      </c>
      <c r="BS372" s="606">
        <f t="shared" si="436"/>
        <v>126</v>
      </c>
      <c r="BT372" s="607">
        <f t="shared" si="437"/>
        <v>72</v>
      </c>
      <c r="BU372" s="606">
        <f t="shared" si="438"/>
        <v>63</v>
      </c>
      <c r="BV372" s="607">
        <f t="shared" si="439"/>
        <v>0</v>
      </c>
      <c r="BW372" s="608">
        <f t="shared" si="440"/>
        <v>0</v>
      </c>
      <c r="BX372" s="607">
        <f t="shared" si="441"/>
        <v>0</v>
      </c>
      <c r="BY372" s="608">
        <f t="shared" si="442"/>
        <v>0</v>
      </c>
      <c r="BZ372" s="607">
        <f t="shared" si="443"/>
        <v>6825.7733333333335</v>
      </c>
      <c r="CA372" s="608">
        <f t="shared" si="444"/>
        <v>6741.1949685534591</v>
      </c>
      <c r="CB372" s="607">
        <f t="shared" si="445"/>
        <v>5642.1582733812947</v>
      </c>
      <c r="CC372" s="608">
        <f t="shared" si="446"/>
        <v>5439.8540145985398</v>
      </c>
      <c r="CD372" s="607">
        <f t="shared" si="447"/>
        <v>4953.2222222222226</v>
      </c>
      <c r="CE372" s="608">
        <f t="shared" si="448"/>
        <v>5008.4444444444443</v>
      </c>
      <c r="CF372" s="607">
        <f t="shared" si="449"/>
        <v>4543.333333333333</v>
      </c>
      <c r="CG372" s="608">
        <f t="shared" si="450"/>
        <v>4540</v>
      </c>
      <c r="CH372" s="607">
        <f t="shared" si="451"/>
        <v>0</v>
      </c>
      <c r="CI372" s="608">
        <f t="shared" si="452"/>
        <v>0</v>
      </c>
      <c r="CJ372" s="607">
        <f t="shared" si="453"/>
        <v>0</v>
      </c>
      <c r="CK372" s="608">
        <f t="shared" si="454"/>
        <v>0</v>
      </c>
      <c r="CL372" s="609">
        <f t="shared" si="455"/>
        <v>61431.96</v>
      </c>
      <c r="CM372" s="608">
        <f t="shared" si="456"/>
        <v>60670.75471698113</v>
      </c>
      <c r="CN372" s="610">
        <f t="shared" si="457"/>
        <v>50779.424460431655</v>
      </c>
      <c r="CO372" s="606">
        <f t="shared" si="458"/>
        <v>48958.686131386858</v>
      </c>
      <c r="CP372" s="607">
        <f t="shared" si="459"/>
        <v>44579</v>
      </c>
      <c r="CQ372" s="606">
        <f t="shared" si="460"/>
        <v>45076</v>
      </c>
      <c r="CR372" s="607">
        <f t="shared" si="461"/>
        <v>40890</v>
      </c>
      <c r="CS372" s="606">
        <f t="shared" si="462"/>
        <v>40860</v>
      </c>
      <c r="CT372" s="607">
        <f t="shared" si="463"/>
        <v>0</v>
      </c>
      <c r="CU372" s="608">
        <f t="shared" si="464"/>
        <v>0</v>
      </c>
      <c r="CV372" s="610">
        <f t="shared" si="465"/>
        <v>0</v>
      </c>
      <c r="CW372" s="608">
        <f t="shared" si="466"/>
        <v>0</v>
      </c>
      <c r="CX372" s="610">
        <f t="shared" si="467"/>
        <v>50864.692960499524</v>
      </c>
      <c r="CY372" s="611">
        <f t="shared" si="468"/>
        <v>50620.134380367585</v>
      </c>
      <c r="CZ372" s="605">
        <f t="shared" si="469"/>
        <v>16</v>
      </c>
      <c r="DA372" s="612">
        <f t="shared" si="470"/>
        <v>17</v>
      </c>
      <c r="DB372" s="607">
        <f t="shared" si="471"/>
        <v>15</v>
      </c>
      <c r="DC372" s="606">
        <f t="shared" si="472"/>
        <v>15</v>
      </c>
      <c r="DD372" s="607">
        <f t="shared" si="473"/>
        <v>14</v>
      </c>
      <c r="DE372" s="606">
        <f t="shared" si="474"/>
        <v>14</v>
      </c>
      <c r="DF372" s="607">
        <f t="shared" si="475"/>
        <v>8</v>
      </c>
      <c r="DG372" s="606">
        <f t="shared" si="476"/>
        <v>7</v>
      </c>
      <c r="DH372" s="607">
        <f t="shared" si="477"/>
        <v>0</v>
      </c>
      <c r="DI372" s="608">
        <f t="shared" si="478"/>
        <v>0</v>
      </c>
      <c r="DJ372" s="607">
        <f t="shared" si="479"/>
        <v>0</v>
      </c>
      <c r="DK372" s="608">
        <f t="shared" si="480"/>
        <v>0</v>
      </c>
      <c r="DL372" s="607">
        <f t="shared" si="481"/>
        <v>53</v>
      </c>
      <c r="DM372" s="608">
        <f t="shared" si="482"/>
        <v>53</v>
      </c>
      <c r="DN372" s="607">
        <f t="shared" si="483"/>
        <v>982911.36</v>
      </c>
      <c r="DO372" s="612">
        <f t="shared" si="484"/>
        <v>1031402.8301886792</v>
      </c>
      <c r="DP372" s="607">
        <f t="shared" si="485"/>
        <v>761691.36690647481</v>
      </c>
      <c r="DQ372" s="606">
        <f t="shared" si="486"/>
        <v>734380.29197080282</v>
      </c>
      <c r="DR372" s="607">
        <f t="shared" si="487"/>
        <v>624106</v>
      </c>
      <c r="DS372" s="606">
        <f t="shared" si="488"/>
        <v>631064</v>
      </c>
      <c r="DT372" s="607">
        <f t="shared" si="489"/>
        <v>327120</v>
      </c>
      <c r="DU372" s="606">
        <f t="shared" si="490"/>
        <v>286020</v>
      </c>
      <c r="DV372" s="607">
        <f t="shared" si="491"/>
        <v>0</v>
      </c>
      <c r="DW372" s="608">
        <f t="shared" si="492"/>
        <v>0</v>
      </c>
      <c r="DX372" s="607">
        <f t="shared" si="493"/>
        <v>0</v>
      </c>
      <c r="DY372" s="608">
        <f t="shared" si="494"/>
        <v>0</v>
      </c>
      <c r="DZ372" s="607">
        <f t="shared" si="495"/>
        <v>2695828.7269064747</v>
      </c>
      <c r="EA372" s="608">
        <f t="shared" si="496"/>
        <v>2682867.122159482</v>
      </c>
    </row>
    <row r="373" spans="1:131" x14ac:dyDescent="0.2">
      <c r="A373" s="378" t="s">
        <v>41</v>
      </c>
      <c r="B373" s="404" t="s">
        <v>695</v>
      </c>
      <c r="C373" s="552" t="s">
        <v>710</v>
      </c>
      <c r="D373" s="408">
        <v>207564</v>
      </c>
      <c r="E373" s="407">
        <v>7</v>
      </c>
      <c r="F373" s="598"/>
      <c r="G373" s="599"/>
      <c r="H373" s="600"/>
      <c r="I373" s="601"/>
      <c r="J373" s="600"/>
      <c r="K373" s="599"/>
      <c r="L373" s="600"/>
      <c r="M373" s="601"/>
      <c r="N373" s="600"/>
      <c r="O373" s="599"/>
      <c r="P373" s="600"/>
      <c r="Q373" s="601"/>
      <c r="R373" s="600"/>
      <c r="S373" s="599"/>
      <c r="T373" s="600"/>
      <c r="U373" s="601"/>
      <c r="V373" s="600"/>
      <c r="W373" s="599"/>
      <c r="X373" s="600"/>
      <c r="Y373" s="601"/>
      <c r="Z373" s="600"/>
      <c r="AA373" s="599"/>
      <c r="AB373" s="600"/>
      <c r="AC373" s="601"/>
      <c r="AD373" s="600"/>
      <c r="AE373" s="599"/>
      <c r="AF373" s="600"/>
      <c r="AG373" s="601"/>
      <c r="AH373" s="600"/>
      <c r="AI373" s="599"/>
      <c r="AJ373" s="600"/>
      <c r="AK373" s="601"/>
      <c r="AL373" s="600"/>
      <c r="AM373" s="599"/>
      <c r="AN373" s="600"/>
      <c r="AO373" s="601"/>
      <c r="AP373" s="600"/>
      <c r="AQ373" s="599"/>
      <c r="AR373" s="600"/>
      <c r="AS373" s="601"/>
      <c r="AT373" s="600">
        <v>128</v>
      </c>
      <c r="AU373" s="599">
        <v>125</v>
      </c>
      <c r="AV373" s="600"/>
      <c r="AW373" s="601"/>
      <c r="AX373" s="600"/>
      <c r="AY373" s="599"/>
      <c r="AZ373" s="600"/>
      <c r="BA373" s="601"/>
      <c r="BB373" s="602">
        <v>0</v>
      </c>
      <c r="BC373" s="599"/>
      <c r="BD373" s="600">
        <v>0</v>
      </c>
      <c r="BE373" s="599"/>
      <c r="BF373" s="600">
        <v>0</v>
      </c>
      <c r="BG373" s="599"/>
      <c r="BH373" s="600">
        <v>0</v>
      </c>
      <c r="BI373" s="599"/>
      <c r="BJ373" s="600">
        <v>0</v>
      </c>
      <c r="BK373" s="615"/>
      <c r="BL373" s="600">
        <v>7531904</v>
      </c>
      <c r="BM373" s="604">
        <v>6688125</v>
      </c>
      <c r="BN373" s="605">
        <f t="shared" si="431"/>
        <v>0</v>
      </c>
      <c r="BO373" s="606">
        <f t="shared" si="432"/>
        <v>0</v>
      </c>
      <c r="BP373" s="607">
        <f t="shared" si="433"/>
        <v>0</v>
      </c>
      <c r="BQ373" s="606">
        <f t="shared" si="434"/>
        <v>0</v>
      </c>
      <c r="BR373" s="607">
        <f t="shared" si="435"/>
        <v>0</v>
      </c>
      <c r="BS373" s="606">
        <f t="shared" si="436"/>
        <v>0</v>
      </c>
      <c r="BT373" s="607">
        <f t="shared" si="437"/>
        <v>0</v>
      </c>
      <c r="BU373" s="606">
        <f t="shared" si="438"/>
        <v>0</v>
      </c>
      <c r="BV373" s="607">
        <f t="shared" si="439"/>
        <v>0</v>
      </c>
      <c r="BW373" s="608">
        <f t="shared" si="440"/>
        <v>0</v>
      </c>
      <c r="BX373" s="607">
        <f t="shared" si="441"/>
        <v>1152</v>
      </c>
      <c r="BY373" s="608">
        <f t="shared" si="442"/>
        <v>1125</v>
      </c>
      <c r="BZ373" s="607">
        <f t="shared" si="443"/>
        <v>0</v>
      </c>
      <c r="CA373" s="608">
        <f t="shared" si="444"/>
        <v>0</v>
      </c>
      <c r="CB373" s="607">
        <f t="shared" si="445"/>
        <v>0</v>
      </c>
      <c r="CC373" s="608">
        <f t="shared" si="446"/>
        <v>0</v>
      </c>
      <c r="CD373" s="607">
        <f t="shared" si="447"/>
        <v>0</v>
      </c>
      <c r="CE373" s="608">
        <f t="shared" si="448"/>
        <v>0</v>
      </c>
      <c r="CF373" s="607">
        <f t="shared" si="449"/>
        <v>0</v>
      </c>
      <c r="CG373" s="608">
        <f t="shared" si="450"/>
        <v>0</v>
      </c>
      <c r="CH373" s="607">
        <f t="shared" si="451"/>
        <v>0</v>
      </c>
      <c r="CI373" s="608">
        <f t="shared" si="452"/>
        <v>0</v>
      </c>
      <c r="CJ373" s="607">
        <f t="shared" si="453"/>
        <v>6538.1111111111113</v>
      </c>
      <c r="CK373" s="608">
        <f t="shared" si="454"/>
        <v>5945</v>
      </c>
      <c r="CL373" s="609">
        <f t="shared" si="455"/>
        <v>0</v>
      </c>
      <c r="CM373" s="608">
        <f t="shared" si="456"/>
        <v>0</v>
      </c>
      <c r="CN373" s="610">
        <f t="shared" si="457"/>
        <v>0</v>
      </c>
      <c r="CO373" s="606">
        <f t="shared" si="458"/>
        <v>0</v>
      </c>
      <c r="CP373" s="607">
        <f t="shared" si="459"/>
        <v>0</v>
      </c>
      <c r="CQ373" s="606">
        <f t="shared" si="460"/>
        <v>0</v>
      </c>
      <c r="CR373" s="607">
        <f t="shared" si="461"/>
        <v>0</v>
      </c>
      <c r="CS373" s="606">
        <f t="shared" si="462"/>
        <v>0</v>
      </c>
      <c r="CT373" s="607">
        <f t="shared" si="463"/>
        <v>0</v>
      </c>
      <c r="CU373" s="608">
        <f t="shared" si="464"/>
        <v>0</v>
      </c>
      <c r="CV373" s="610">
        <f t="shared" si="465"/>
        <v>58843</v>
      </c>
      <c r="CW373" s="608">
        <f t="shared" si="466"/>
        <v>53505</v>
      </c>
      <c r="CX373" s="610">
        <f t="shared" si="467"/>
        <v>58843</v>
      </c>
      <c r="CY373" s="611">
        <f t="shared" si="468"/>
        <v>53505</v>
      </c>
      <c r="CZ373" s="605">
        <f t="shared" si="469"/>
        <v>0</v>
      </c>
      <c r="DA373" s="612">
        <f t="shared" si="470"/>
        <v>0</v>
      </c>
      <c r="DB373" s="607">
        <f t="shared" si="471"/>
        <v>0</v>
      </c>
      <c r="DC373" s="606">
        <f t="shared" si="472"/>
        <v>0</v>
      </c>
      <c r="DD373" s="607">
        <f t="shared" si="473"/>
        <v>0</v>
      </c>
      <c r="DE373" s="606">
        <f t="shared" si="474"/>
        <v>0</v>
      </c>
      <c r="DF373" s="607">
        <f t="shared" si="475"/>
        <v>0</v>
      </c>
      <c r="DG373" s="606">
        <f t="shared" si="476"/>
        <v>0</v>
      </c>
      <c r="DH373" s="607">
        <f t="shared" si="477"/>
        <v>0</v>
      </c>
      <c r="DI373" s="608">
        <f t="shared" si="478"/>
        <v>0</v>
      </c>
      <c r="DJ373" s="607">
        <f t="shared" si="479"/>
        <v>128</v>
      </c>
      <c r="DK373" s="608">
        <f t="shared" si="480"/>
        <v>125</v>
      </c>
      <c r="DL373" s="607">
        <f t="shared" si="481"/>
        <v>128</v>
      </c>
      <c r="DM373" s="608">
        <f t="shared" si="482"/>
        <v>125</v>
      </c>
      <c r="DN373" s="607">
        <f t="shared" si="483"/>
        <v>0</v>
      </c>
      <c r="DO373" s="612">
        <f t="shared" si="484"/>
        <v>0</v>
      </c>
      <c r="DP373" s="607">
        <f t="shared" si="485"/>
        <v>0</v>
      </c>
      <c r="DQ373" s="606">
        <f t="shared" si="486"/>
        <v>0</v>
      </c>
      <c r="DR373" s="607">
        <f t="shared" si="487"/>
        <v>0</v>
      </c>
      <c r="DS373" s="606">
        <f t="shared" si="488"/>
        <v>0</v>
      </c>
      <c r="DT373" s="607">
        <f t="shared" si="489"/>
        <v>0</v>
      </c>
      <c r="DU373" s="606">
        <f t="shared" si="490"/>
        <v>0</v>
      </c>
      <c r="DV373" s="607">
        <f t="shared" si="491"/>
        <v>0</v>
      </c>
      <c r="DW373" s="608">
        <f t="shared" si="492"/>
        <v>0</v>
      </c>
      <c r="DX373" s="607">
        <f t="shared" si="493"/>
        <v>7531904</v>
      </c>
      <c r="DY373" s="608">
        <f t="shared" si="494"/>
        <v>6688125</v>
      </c>
      <c r="DZ373" s="607">
        <f t="shared" si="495"/>
        <v>7531904</v>
      </c>
      <c r="EA373" s="608">
        <f t="shared" si="496"/>
        <v>6688125</v>
      </c>
    </row>
    <row r="374" spans="1:131" x14ac:dyDescent="0.2">
      <c r="A374" s="403" t="s">
        <v>41</v>
      </c>
      <c r="B374" s="375" t="s">
        <v>694</v>
      </c>
      <c r="C374" s="552" t="s">
        <v>709</v>
      </c>
      <c r="D374" s="408">
        <v>207397</v>
      </c>
      <c r="E374" s="412">
        <v>7</v>
      </c>
      <c r="F374" s="598"/>
      <c r="G374" s="599"/>
      <c r="H374" s="600"/>
      <c r="I374" s="601"/>
      <c r="J374" s="600"/>
      <c r="K374" s="599"/>
      <c r="L374" s="600"/>
      <c r="M374" s="601"/>
      <c r="N374" s="600"/>
      <c r="O374" s="599"/>
      <c r="P374" s="600"/>
      <c r="Q374" s="601"/>
      <c r="R374" s="600"/>
      <c r="S374" s="599"/>
      <c r="T374" s="600"/>
      <c r="U374" s="601"/>
      <c r="V374" s="600"/>
      <c r="W374" s="599"/>
      <c r="X374" s="600"/>
      <c r="Y374" s="601"/>
      <c r="Z374" s="600"/>
      <c r="AA374" s="599"/>
      <c r="AB374" s="600"/>
      <c r="AC374" s="601"/>
      <c r="AD374" s="600"/>
      <c r="AE374" s="599"/>
      <c r="AF374" s="600"/>
      <c r="AG374" s="601"/>
      <c r="AH374" s="600"/>
      <c r="AI374" s="599"/>
      <c r="AJ374" s="600"/>
      <c r="AK374" s="601"/>
      <c r="AL374" s="600"/>
      <c r="AM374" s="599"/>
      <c r="AN374" s="600"/>
      <c r="AO374" s="601"/>
      <c r="AP374" s="600"/>
      <c r="AQ374" s="599"/>
      <c r="AR374" s="600"/>
      <c r="AS374" s="601"/>
      <c r="AT374" s="600">
        <v>84</v>
      </c>
      <c r="AU374" s="599">
        <v>85</v>
      </c>
      <c r="AV374" s="600"/>
      <c r="AW374" s="601"/>
      <c r="AX374" s="600">
        <v>0</v>
      </c>
      <c r="AY374" s="599"/>
      <c r="AZ374" s="600"/>
      <c r="BA374" s="601"/>
      <c r="BB374" s="602">
        <v>0</v>
      </c>
      <c r="BC374" s="599"/>
      <c r="BD374" s="600">
        <v>0</v>
      </c>
      <c r="BE374" s="599"/>
      <c r="BF374" s="600">
        <v>0</v>
      </c>
      <c r="BG374" s="599"/>
      <c r="BH374" s="600">
        <v>0</v>
      </c>
      <c r="BI374" s="599"/>
      <c r="BJ374" s="600">
        <v>0</v>
      </c>
      <c r="BK374" s="615"/>
      <c r="BL374" s="600">
        <v>4301556</v>
      </c>
      <c r="BM374" s="604">
        <f>2676942+2050185</f>
        <v>4727127</v>
      </c>
      <c r="BN374" s="605">
        <f t="shared" si="431"/>
        <v>0</v>
      </c>
      <c r="BO374" s="606">
        <f t="shared" si="432"/>
        <v>0</v>
      </c>
      <c r="BP374" s="607">
        <f t="shared" si="433"/>
        <v>0</v>
      </c>
      <c r="BQ374" s="606">
        <f t="shared" si="434"/>
        <v>0</v>
      </c>
      <c r="BR374" s="607">
        <f t="shared" si="435"/>
        <v>0</v>
      </c>
      <c r="BS374" s="606">
        <f t="shared" si="436"/>
        <v>0</v>
      </c>
      <c r="BT374" s="607">
        <f t="shared" si="437"/>
        <v>0</v>
      </c>
      <c r="BU374" s="606">
        <f t="shared" si="438"/>
        <v>0</v>
      </c>
      <c r="BV374" s="607">
        <f t="shared" si="439"/>
        <v>0</v>
      </c>
      <c r="BW374" s="608">
        <f t="shared" si="440"/>
        <v>0</v>
      </c>
      <c r="BX374" s="607">
        <f t="shared" si="441"/>
        <v>756</v>
      </c>
      <c r="BY374" s="608">
        <f t="shared" si="442"/>
        <v>765</v>
      </c>
      <c r="BZ374" s="607">
        <f t="shared" si="443"/>
        <v>0</v>
      </c>
      <c r="CA374" s="608">
        <f t="shared" si="444"/>
        <v>0</v>
      </c>
      <c r="CB374" s="607">
        <f t="shared" si="445"/>
        <v>0</v>
      </c>
      <c r="CC374" s="608">
        <f t="shared" si="446"/>
        <v>0</v>
      </c>
      <c r="CD374" s="607">
        <f t="shared" si="447"/>
        <v>0</v>
      </c>
      <c r="CE374" s="608">
        <f t="shared" si="448"/>
        <v>0</v>
      </c>
      <c r="CF374" s="607">
        <f t="shared" si="449"/>
        <v>0</v>
      </c>
      <c r="CG374" s="608">
        <f t="shared" si="450"/>
        <v>0</v>
      </c>
      <c r="CH374" s="607">
        <f t="shared" si="451"/>
        <v>0</v>
      </c>
      <c r="CI374" s="608">
        <f t="shared" si="452"/>
        <v>0</v>
      </c>
      <c r="CJ374" s="607">
        <f t="shared" si="453"/>
        <v>5689.8888888888887</v>
      </c>
      <c r="CK374" s="608">
        <f t="shared" si="454"/>
        <v>6179.2509803921566</v>
      </c>
      <c r="CL374" s="609">
        <f t="shared" si="455"/>
        <v>0</v>
      </c>
      <c r="CM374" s="608">
        <f t="shared" si="456"/>
        <v>0</v>
      </c>
      <c r="CN374" s="610">
        <f t="shared" si="457"/>
        <v>0</v>
      </c>
      <c r="CO374" s="606">
        <f t="shared" si="458"/>
        <v>0</v>
      </c>
      <c r="CP374" s="607">
        <f t="shared" si="459"/>
        <v>0</v>
      </c>
      <c r="CQ374" s="606">
        <f t="shared" si="460"/>
        <v>0</v>
      </c>
      <c r="CR374" s="607">
        <f t="shared" si="461"/>
        <v>0</v>
      </c>
      <c r="CS374" s="606">
        <f t="shared" si="462"/>
        <v>0</v>
      </c>
      <c r="CT374" s="607">
        <f t="shared" si="463"/>
        <v>0</v>
      </c>
      <c r="CU374" s="608">
        <f t="shared" si="464"/>
        <v>0</v>
      </c>
      <c r="CV374" s="610">
        <f t="shared" si="465"/>
        <v>51209</v>
      </c>
      <c r="CW374" s="608">
        <f t="shared" si="466"/>
        <v>55613.25882352941</v>
      </c>
      <c r="CX374" s="610">
        <f t="shared" si="467"/>
        <v>51209</v>
      </c>
      <c r="CY374" s="611">
        <f t="shared" si="468"/>
        <v>55613.25882352941</v>
      </c>
      <c r="CZ374" s="605">
        <f t="shared" si="469"/>
        <v>0</v>
      </c>
      <c r="DA374" s="612">
        <f t="shared" si="470"/>
        <v>0</v>
      </c>
      <c r="DB374" s="607">
        <f t="shared" si="471"/>
        <v>0</v>
      </c>
      <c r="DC374" s="606">
        <f t="shared" si="472"/>
        <v>0</v>
      </c>
      <c r="DD374" s="607">
        <f t="shared" si="473"/>
        <v>0</v>
      </c>
      <c r="DE374" s="606">
        <f t="shared" si="474"/>
        <v>0</v>
      </c>
      <c r="DF374" s="607">
        <f t="shared" si="475"/>
        <v>0</v>
      </c>
      <c r="DG374" s="606">
        <f t="shared" si="476"/>
        <v>0</v>
      </c>
      <c r="DH374" s="607">
        <f t="shared" si="477"/>
        <v>0</v>
      </c>
      <c r="DI374" s="608">
        <f t="shared" si="478"/>
        <v>0</v>
      </c>
      <c r="DJ374" s="607">
        <f t="shared" si="479"/>
        <v>84</v>
      </c>
      <c r="DK374" s="608">
        <f t="shared" si="480"/>
        <v>85</v>
      </c>
      <c r="DL374" s="607">
        <f t="shared" si="481"/>
        <v>84</v>
      </c>
      <c r="DM374" s="608">
        <f t="shared" si="482"/>
        <v>85</v>
      </c>
      <c r="DN374" s="607">
        <f t="shared" si="483"/>
        <v>0</v>
      </c>
      <c r="DO374" s="612">
        <f t="shared" si="484"/>
        <v>0</v>
      </c>
      <c r="DP374" s="607">
        <f t="shared" si="485"/>
        <v>0</v>
      </c>
      <c r="DQ374" s="606">
        <f t="shared" si="486"/>
        <v>0</v>
      </c>
      <c r="DR374" s="607">
        <f t="shared" si="487"/>
        <v>0</v>
      </c>
      <c r="DS374" s="606">
        <f t="shared" si="488"/>
        <v>0</v>
      </c>
      <c r="DT374" s="607">
        <f t="shared" si="489"/>
        <v>0</v>
      </c>
      <c r="DU374" s="606">
        <f t="shared" si="490"/>
        <v>0</v>
      </c>
      <c r="DV374" s="607">
        <f t="shared" si="491"/>
        <v>0</v>
      </c>
      <c r="DW374" s="608">
        <f t="shared" si="492"/>
        <v>0</v>
      </c>
      <c r="DX374" s="607">
        <f t="shared" si="493"/>
        <v>4301556</v>
      </c>
      <c r="DY374" s="608">
        <f t="shared" si="494"/>
        <v>4727127</v>
      </c>
      <c r="DZ374" s="607">
        <f t="shared" si="495"/>
        <v>4301556</v>
      </c>
      <c r="EA374" s="608">
        <f t="shared" si="496"/>
        <v>4727127</v>
      </c>
    </row>
    <row r="375" spans="1:131" x14ac:dyDescent="0.2">
      <c r="A375" s="485" t="s">
        <v>41</v>
      </c>
      <c r="B375" s="406" t="s">
        <v>696</v>
      </c>
      <c r="C375" s="552"/>
      <c r="D375" s="408">
        <v>207449</v>
      </c>
      <c r="E375" s="407">
        <v>8</v>
      </c>
      <c r="F375" s="598"/>
      <c r="G375" s="599"/>
      <c r="H375" s="600"/>
      <c r="I375" s="601"/>
      <c r="J375" s="600"/>
      <c r="K375" s="599"/>
      <c r="L375" s="600"/>
      <c r="M375" s="601"/>
      <c r="N375" s="600"/>
      <c r="O375" s="599"/>
      <c r="P375" s="600"/>
      <c r="Q375" s="601"/>
      <c r="R375" s="600"/>
      <c r="S375" s="599"/>
      <c r="T375" s="600"/>
      <c r="U375" s="601"/>
      <c r="V375" s="600"/>
      <c r="W375" s="599"/>
      <c r="X375" s="600"/>
      <c r="Y375" s="601"/>
      <c r="Z375" s="600"/>
      <c r="AA375" s="599"/>
      <c r="AB375" s="600"/>
      <c r="AC375" s="601"/>
      <c r="AD375" s="600"/>
      <c r="AE375" s="599"/>
      <c r="AF375" s="600"/>
      <c r="AG375" s="601"/>
      <c r="AH375" s="600"/>
      <c r="AI375" s="599"/>
      <c r="AJ375" s="600"/>
      <c r="AK375" s="601"/>
      <c r="AL375" s="600"/>
      <c r="AM375" s="599"/>
      <c r="AN375" s="600"/>
      <c r="AO375" s="601"/>
      <c r="AP375" s="600"/>
      <c r="AQ375" s="599"/>
      <c r="AR375" s="600"/>
      <c r="AS375" s="601"/>
      <c r="AT375" s="600">
        <v>144</v>
      </c>
      <c r="AU375" s="599">
        <v>146</v>
      </c>
      <c r="AV375" s="600"/>
      <c r="AW375" s="601"/>
      <c r="AX375" s="600">
        <v>1</v>
      </c>
      <c r="AY375" s="599">
        <v>1</v>
      </c>
      <c r="AZ375" s="600"/>
      <c r="BA375" s="601"/>
      <c r="BB375" s="602">
        <v>0</v>
      </c>
      <c r="BC375" s="599"/>
      <c r="BD375" s="600">
        <v>0</v>
      </c>
      <c r="BE375" s="599"/>
      <c r="BF375" s="600">
        <v>0</v>
      </c>
      <c r="BG375" s="599"/>
      <c r="BH375" s="600">
        <v>0</v>
      </c>
      <c r="BI375" s="599"/>
      <c r="BJ375" s="600">
        <v>0</v>
      </c>
      <c r="BK375" s="615"/>
      <c r="BL375" s="600">
        <v>7056688</v>
      </c>
      <c r="BM375" s="604">
        <f>7227146+91954</f>
        <v>7319100</v>
      </c>
      <c r="BN375" s="605">
        <f t="shared" si="431"/>
        <v>0</v>
      </c>
      <c r="BO375" s="606">
        <f t="shared" si="432"/>
        <v>0</v>
      </c>
      <c r="BP375" s="607">
        <f t="shared" si="433"/>
        <v>0</v>
      </c>
      <c r="BQ375" s="606">
        <f t="shared" si="434"/>
        <v>0</v>
      </c>
      <c r="BR375" s="607">
        <f t="shared" si="435"/>
        <v>0</v>
      </c>
      <c r="BS375" s="606">
        <f t="shared" si="436"/>
        <v>0</v>
      </c>
      <c r="BT375" s="607">
        <f t="shared" si="437"/>
        <v>0</v>
      </c>
      <c r="BU375" s="606">
        <f t="shared" si="438"/>
        <v>0</v>
      </c>
      <c r="BV375" s="607">
        <f t="shared" si="439"/>
        <v>0</v>
      </c>
      <c r="BW375" s="608">
        <f t="shared" si="440"/>
        <v>0</v>
      </c>
      <c r="BX375" s="607">
        <f t="shared" si="441"/>
        <v>1307</v>
      </c>
      <c r="BY375" s="608">
        <f t="shared" si="442"/>
        <v>1325</v>
      </c>
      <c r="BZ375" s="607">
        <f t="shared" si="443"/>
        <v>0</v>
      </c>
      <c r="CA375" s="608">
        <f t="shared" si="444"/>
        <v>0</v>
      </c>
      <c r="CB375" s="607">
        <f t="shared" si="445"/>
        <v>0</v>
      </c>
      <c r="CC375" s="608">
        <f t="shared" si="446"/>
        <v>0</v>
      </c>
      <c r="CD375" s="607">
        <f t="shared" si="447"/>
        <v>0</v>
      </c>
      <c r="CE375" s="608">
        <f t="shared" si="448"/>
        <v>0</v>
      </c>
      <c r="CF375" s="607">
        <f t="shared" si="449"/>
        <v>0</v>
      </c>
      <c r="CG375" s="608">
        <f t="shared" si="450"/>
        <v>0</v>
      </c>
      <c r="CH375" s="607">
        <f t="shared" si="451"/>
        <v>0</v>
      </c>
      <c r="CI375" s="608">
        <f t="shared" si="452"/>
        <v>0</v>
      </c>
      <c r="CJ375" s="607">
        <f t="shared" si="453"/>
        <v>5399.1491966335116</v>
      </c>
      <c r="CK375" s="608">
        <f t="shared" si="454"/>
        <v>5523.8490566037735</v>
      </c>
      <c r="CL375" s="609">
        <f t="shared" si="455"/>
        <v>0</v>
      </c>
      <c r="CM375" s="608">
        <f t="shared" si="456"/>
        <v>0</v>
      </c>
      <c r="CN375" s="610">
        <f t="shared" si="457"/>
        <v>0</v>
      </c>
      <c r="CO375" s="606">
        <f t="shared" si="458"/>
        <v>0</v>
      </c>
      <c r="CP375" s="607">
        <f t="shared" si="459"/>
        <v>0</v>
      </c>
      <c r="CQ375" s="606">
        <f t="shared" si="460"/>
        <v>0</v>
      </c>
      <c r="CR375" s="607">
        <f t="shared" si="461"/>
        <v>0</v>
      </c>
      <c r="CS375" s="606">
        <f t="shared" si="462"/>
        <v>0</v>
      </c>
      <c r="CT375" s="607">
        <f t="shared" si="463"/>
        <v>0</v>
      </c>
      <c r="CU375" s="608">
        <f t="shared" si="464"/>
        <v>0</v>
      </c>
      <c r="CV375" s="610">
        <f t="shared" si="465"/>
        <v>48592.342769701601</v>
      </c>
      <c r="CW375" s="608">
        <f t="shared" si="466"/>
        <v>49714.641509433961</v>
      </c>
      <c r="CX375" s="610">
        <f t="shared" si="467"/>
        <v>48592.342769701601</v>
      </c>
      <c r="CY375" s="611">
        <f t="shared" si="468"/>
        <v>49714.641509433961</v>
      </c>
      <c r="CZ375" s="605">
        <f t="shared" si="469"/>
        <v>0</v>
      </c>
      <c r="DA375" s="612">
        <f t="shared" si="470"/>
        <v>0</v>
      </c>
      <c r="DB375" s="607">
        <f t="shared" si="471"/>
        <v>0</v>
      </c>
      <c r="DC375" s="606">
        <f t="shared" si="472"/>
        <v>0</v>
      </c>
      <c r="DD375" s="607">
        <f t="shared" si="473"/>
        <v>0</v>
      </c>
      <c r="DE375" s="606">
        <f t="shared" si="474"/>
        <v>0</v>
      </c>
      <c r="DF375" s="607">
        <f t="shared" si="475"/>
        <v>0</v>
      </c>
      <c r="DG375" s="606">
        <f t="shared" si="476"/>
        <v>0</v>
      </c>
      <c r="DH375" s="607">
        <f t="shared" si="477"/>
        <v>0</v>
      </c>
      <c r="DI375" s="608">
        <f t="shared" si="478"/>
        <v>0</v>
      </c>
      <c r="DJ375" s="607">
        <f t="shared" si="479"/>
        <v>145</v>
      </c>
      <c r="DK375" s="608">
        <f t="shared" si="480"/>
        <v>147</v>
      </c>
      <c r="DL375" s="607">
        <f t="shared" si="481"/>
        <v>145</v>
      </c>
      <c r="DM375" s="608">
        <f t="shared" si="482"/>
        <v>147</v>
      </c>
      <c r="DN375" s="607">
        <f t="shared" si="483"/>
        <v>0</v>
      </c>
      <c r="DO375" s="612">
        <f t="shared" si="484"/>
        <v>0</v>
      </c>
      <c r="DP375" s="607">
        <f t="shared" si="485"/>
        <v>0</v>
      </c>
      <c r="DQ375" s="606">
        <f t="shared" si="486"/>
        <v>0</v>
      </c>
      <c r="DR375" s="607">
        <f t="shared" si="487"/>
        <v>0</v>
      </c>
      <c r="DS375" s="606">
        <f t="shared" si="488"/>
        <v>0</v>
      </c>
      <c r="DT375" s="607">
        <f t="shared" si="489"/>
        <v>0</v>
      </c>
      <c r="DU375" s="606">
        <f t="shared" si="490"/>
        <v>0</v>
      </c>
      <c r="DV375" s="607">
        <f t="shared" si="491"/>
        <v>0</v>
      </c>
      <c r="DW375" s="608">
        <f t="shared" si="492"/>
        <v>0</v>
      </c>
      <c r="DX375" s="607">
        <f t="shared" si="493"/>
        <v>7045889.7016067319</v>
      </c>
      <c r="DY375" s="608">
        <f t="shared" si="494"/>
        <v>7308052.3018867923</v>
      </c>
      <c r="DZ375" s="607">
        <f t="shared" si="495"/>
        <v>7045889.7016067319</v>
      </c>
      <c r="EA375" s="608">
        <f t="shared" si="496"/>
        <v>7308052.3018867923</v>
      </c>
    </row>
    <row r="376" spans="1:131" ht="15" customHeight="1" x14ac:dyDescent="0.2">
      <c r="A376" s="485" t="s">
        <v>41</v>
      </c>
      <c r="B376" s="375" t="s">
        <v>697</v>
      </c>
      <c r="C376" s="574"/>
      <c r="D376" s="408">
        <v>207670</v>
      </c>
      <c r="E376" s="412">
        <v>8</v>
      </c>
      <c r="F376" s="598"/>
      <c r="G376" s="599"/>
      <c r="H376" s="600"/>
      <c r="I376" s="601"/>
      <c r="J376" s="600"/>
      <c r="K376" s="599"/>
      <c r="L376" s="600"/>
      <c r="M376" s="601"/>
      <c r="N376" s="600"/>
      <c r="O376" s="599"/>
      <c r="P376" s="600"/>
      <c r="Q376" s="601"/>
      <c r="R376" s="600"/>
      <c r="S376" s="599"/>
      <c r="T376" s="600"/>
      <c r="U376" s="601"/>
      <c r="V376" s="600"/>
      <c r="W376" s="599"/>
      <c r="X376" s="600"/>
      <c r="Y376" s="601"/>
      <c r="Z376" s="600"/>
      <c r="AA376" s="599"/>
      <c r="AB376" s="600"/>
      <c r="AC376" s="601"/>
      <c r="AD376" s="600"/>
      <c r="AE376" s="599"/>
      <c r="AF376" s="600"/>
      <c r="AG376" s="601"/>
      <c r="AH376" s="600"/>
      <c r="AI376" s="599"/>
      <c r="AJ376" s="600"/>
      <c r="AK376" s="601"/>
      <c r="AL376" s="600"/>
      <c r="AM376" s="599"/>
      <c r="AN376" s="600"/>
      <c r="AO376" s="601"/>
      <c r="AP376" s="600"/>
      <c r="AQ376" s="599"/>
      <c r="AR376" s="600"/>
      <c r="AS376" s="601"/>
      <c r="AT376" s="600">
        <v>102</v>
      </c>
      <c r="AU376" s="599">
        <v>107</v>
      </c>
      <c r="AV376" s="600"/>
      <c r="AW376" s="601"/>
      <c r="AX376" s="600">
        <v>16</v>
      </c>
      <c r="AY376" s="599">
        <v>15</v>
      </c>
      <c r="AZ376" s="600"/>
      <c r="BA376" s="601"/>
      <c r="BB376" s="602">
        <v>0</v>
      </c>
      <c r="BC376" s="599"/>
      <c r="BD376" s="600">
        <v>0</v>
      </c>
      <c r="BE376" s="599"/>
      <c r="BF376" s="600">
        <v>0</v>
      </c>
      <c r="BG376" s="599"/>
      <c r="BH376" s="600">
        <v>0</v>
      </c>
      <c r="BI376" s="599"/>
      <c r="BJ376" s="600">
        <v>0</v>
      </c>
      <c r="BK376" s="615"/>
      <c r="BL376" s="600">
        <v>5642760</v>
      </c>
      <c r="BM376" s="604">
        <f>4971006+912480</f>
        <v>5883486</v>
      </c>
      <c r="BN376" s="605">
        <f t="shared" si="431"/>
        <v>0</v>
      </c>
      <c r="BO376" s="606">
        <f t="shared" si="432"/>
        <v>0</v>
      </c>
      <c r="BP376" s="607">
        <f t="shared" si="433"/>
        <v>0</v>
      </c>
      <c r="BQ376" s="606">
        <f t="shared" si="434"/>
        <v>0</v>
      </c>
      <c r="BR376" s="607">
        <f t="shared" si="435"/>
        <v>0</v>
      </c>
      <c r="BS376" s="606">
        <f t="shared" si="436"/>
        <v>0</v>
      </c>
      <c r="BT376" s="607">
        <f t="shared" si="437"/>
        <v>0</v>
      </c>
      <c r="BU376" s="606">
        <f t="shared" si="438"/>
        <v>0</v>
      </c>
      <c r="BV376" s="607">
        <f t="shared" si="439"/>
        <v>0</v>
      </c>
      <c r="BW376" s="608">
        <f t="shared" si="440"/>
        <v>0</v>
      </c>
      <c r="BX376" s="607">
        <f t="shared" si="441"/>
        <v>1094</v>
      </c>
      <c r="BY376" s="608">
        <f t="shared" si="442"/>
        <v>1128</v>
      </c>
      <c r="BZ376" s="607">
        <f t="shared" si="443"/>
        <v>0</v>
      </c>
      <c r="CA376" s="608">
        <f t="shared" si="444"/>
        <v>0</v>
      </c>
      <c r="CB376" s="607">
        <f t="shared" si="445"/>
        <v>0</v>
      </c>
      <c r="CC376" s="608">
        <f t="shared" si="446"/>
        <v>0</v>
      </c>
      <c r="CD376" s="607">
        <f t="shared" si="447"/>
        <v>0</v>
      </c>
      <c r="CE376" s="608">
        <f t="shared" si="448"/>
        <v>0</v>
      </c>
      <c r="CF376" s="607">
        <f t="shared" si="449"/>
        <v>0</v>
      </c>
      <c r="CG376" s="608">
        <f t="shared" si="450"/>
        <v>0</v>
      </c>
      <c r="CH376" s="607">
        <f t="shared" si="451"/>
        <v>0</v>
      </c>
      <c r="CI376" s="608">
        <f t="shared" si="452"/>
        <v>0</v>
      </c>
      <c r="CJ376" s="607">
        <f t="shared" si="453"/>
        <v>5157.9159049360151</v>
      </c>
      <c r="CK376" s="608">
        <f t="shared" si="454"/>
        <v>5215.8563829787236</v>
      </c>
      <c r="CL376" s="609">
        <f t="shared" si="455"/>
        <v>0</v>
      </c>
      <c r="CM376" s="608">
        <f t="shared" si="456"/>
        <v>0</v>
      </c>
      <c r="CN376" s="610">
        <f t="shared" si="457"/>
        <v>0</v>
      </c>
      <c r="CO376" s="606">
        <f t="shared" si="458"/>
        <v>0</v>
      </c>
      <c r="CP376" s="607">
        <f t="shared" si="459"/>
        <v>0</v>
      </c>
      <c r="CQ376" s="606">
        <f t="shared" si="460"/>
        <v>0</v>
      </c>
      <c r="CR376" s="607">
        <f t="shared" si="461"/>
        <v>0</v>
      </c>
      <c r="CS376" s="606">
        <f t="shared" si="462"/>
        <v>0</v>
      </c>
      <c r="CT376" s="607">
        <f t="shared" si="463"/>
        <v>0</v>
      </c>
      <c r="CU376" s="608">
        <f t="shared" si="464"/>
        <v>0</v>
      </c>
      <c r="CV376" s="610">
        <f t="shared" si="465"/>
        <v>46421.243144424137</v>
      </c>
      <c r="CW376" s="608">
        <f t="shared" si="466"/>
        <v>46942.707446808512</v>
      </c>
      <c r="CX376" s="610">
        <f t="shared" si="467"/>
        <v>46421.243144424137</v>
      </c>
      <c r="CY376" s="611">
        <f t="shared" si="468"/>
        <v>46942.707446808512</v>
      </c>
      <c r="CZ376" s="605">
        <f t="shared" si="469"/>
        <v>0</v>
      </c>
      <c r="DA376" s="612">
        <f t="shared" si="470"/>
        <v>0</v>
      </c>
      <c r="DB376" s="607">
        <f t="shared" si="471"/>
        <v>0</v>
      </c>
      <c r="DC376" s="606">
        <f t="shared" si="472"/>
        <v>0</v>
      </c>
      <c r="DD376" s="607">
        <f t="shared" si="473"/>
        <v>0</v>
      </c>
      <c r="DE376" s="606">
        <f t="shared" si="474"/>
        <v>0</v>
      </c>
      <c r="DF376" s="607">
        <f t="shared" si="475"/>
        <v>0</v>
      </c>
      <c r="DG376" s="606">
        <f t="shared" si="476"/>
        <v>0</v>
      </c>
      <c r="DH376" s="607">
        <f t="shared" si="477"/>
        <v>0</v>
      </c>
      <c r="DI376" s="608">
        <f t="shared" si="478"/>
        <v>0</v>
      </c>
      <c r="DJ376" s="607">
        <f t="shared" si="479"/>
        <v>118</v>
      </c>
      <c r="DK376" s="608">
        <f t="shared" si="480"/>
        <v>122</v>
      </c>
      <c r="DL376" s="607">
        <f t="shared" si="481"/>
        <v>118</v>
      </c>
      <c r="DM376" s="608">
        <f t="shared" si="482"/>
        <v>122</v>
      </c>
      <c r="DN376" s="607">
        <f t="shared" si="483"/>
        <v>0</v>
      </c>
      <c r="DO376" s="612">
        <f t="shared" si="484"/>
        <v>0</v>
      </c>
      <c r="DP376" s="607">
        <f t="shared" si="485"/>
        <v>0</v>
      </c>
      <c r="DQ376" s="606">
        <f t="shared" si="486"/>
        <v>0</v>
      </c>
      <c r="DR376" s="607">
        <f t="shared" si="487"/>
        <v>0</v>
      </c>
      <c r="DS376" s="606">
        <f t="shared" si="488"/>
        <v>0</v>
      </c>
      <c r="DT376" s="607">
        <f t="shared" si="489"/>
        <v>0</v>
      </c>
      <c r="DU376" s="606">
        <f t="shared" si="490"/>
        <v>0</v>
      </c>
      <c r="DV376" s="607">
        <f t="shared" si="491"/>
        <v>0</v>
      </c>
      <c r="DW376" s="608">
        <f t="shared" si="492"/>
        <v>0</v>
      </c>
      <c r="DX376" s="607">
        <f t="shared" si="493"/>
        <v>5477706.6910420479</v>
      </c>
      <c r="DY376" s="608">
        <f t="shared" si="494"/>
        <v>5727010.3085106388</v>
      </c>
      <c r="DZ376" s="607">
        <f t="shared" si="495"/>
        <v>5477706.6910420479</v>
      </c>
      <c r="EA376" s="608">
        <f t="shared" si="496"/>
        <v>5727010.3085106388</v>
      </c>
    </row>
    <row r="377" spans="1:131" ht="15" customHeight="1" x14ac:dyDescent="0.2">
      <c r="A377" s="485" t="s">
        <v>41</v>
      </c>
      <c r="B377" s="404" t="s">
        <v>698</v>
      </c>
      <c r="C377" s="552"/>
      <c r="D377" s="408">
        <v>207935</v>
      </c>
      <c r="E377" s="407">
        <v>8</v>
      </c>
      <c r="F377" s="598"/>
      <c r="G377" s="599"/>
      <c r="H377" s="600"/>
      <c r="I377" s="601"/>
      <c r="J377" s="600"/>
      <c r="K377" s="599"/>
      <c r="L377" s="600"/>
      <c r="M377" s="601"/>
      <c r="N377" s="600"/>
      <c r="O377" s="599"/>
      <c r="P377" s="600"/>
      <c r="Q377" s="601"/>
      <c r="R377" s="600"/>
      <c r="S377" s="599"/>
      <c r="T377" s="600"/>
      <c r="U377" s="601"/>
      <c r="V377" s="600"/>
      <c r="W377" s="599"/>
      <c r="X377" s="600"/>
      <c r="Y377" s="601"/>
      <c r="Z377" s="600"/>
      <c r="AA377" s="599"/>
      <c r="AB377" s="600"/>
      <c r="AC377" s="601"/>
      <c r="AD377" s="600"/>
      <c r="AE377" s="599"/>
      <c r="AF377" s="600"/>
      <c r="AG377" s="601"/>
      <c r="AH377" s="600"/>
      <c r="AI377" s="599"/>
      <c r="AJ377" s="600"/>
      <c r="AK377" s="601"/>
      <c r="AL377" s="600"/>
      <c r="AM377" s="599"/>
      <c r="AN377" s="600"/>
      <c r="AO377" s="601"/>
      <c r="AP377" s="600"/>
      <c r="AQ377" s="599"/>
      <c r="AR377" s="600"/>
      <c r="AS377" s="601"/>
      <c r="AT377" s="600">
        <v>262</v>
      </c>
      <c r="AU377" s="599">
        <v>260</v>
      </c>
      <c r="AV377" s="600"/>
      <c r="AW377" s="601"/>
      <c r="AX377" s="600">
        <v>45</v>
      </c>
      <c r="AY377" s="599">
        <v>47</v>
      </c>
      <c r="AZ377" s="600"/>
      <c r="BA377" s="601"/>
      <c r="BB377" s="602">
        <v>0</v>
      </c>
      <c r="BC377" s="599"/>
      <c r="BD377" s="600">
        <v>0</v>
      </c>
      <c r="BE377" s="599"/>
      <c r="BF377" s="600">
        <v>0</v>
      </c>
      <c r="BG377" s="599"/>
      <c r="BH377" s="600">
        <v>0</v>
      </c>
      <c r="BI377" s="599"/>
      <c r="BJ377" s="600">
        <v>0</v>
      </c>
      <c r="BK377" s="615"/>
      <c r="BL377" s="600">
        <v>17230215</v>
      </c>
      <c r="BM377" s="604">
        <f>14832740+3014533</f>
        <v>17847273</v>
      </c>
      <c r="BN377" s="605">
        <f t="shared" si="431"/>
        <v>0</v>
      </c>
      <c r="BO377" s="606">
        <f t="shared" si="432"/>
        <v>0</v>
      </c>
      <c r="BP377" s="607">
        <f t="shared" si="433"/>
        <v>0</v>
      </c>
      <c r="BQ377" s="606">
        <f t="shared" si="434"/>
        <v>0</v>
      </c>
      <c r="BR377" s="607">
        <f t="shared" si="435"/>
        <v>0</v>
      </c>
      <c r="BS377" s="606">
        <f t="shared" si="436"/>
        <v>0</v>
      </c>
      <c r="BT377" s="607">
        <f t="shared" si="437"/>
        <v>0</v>
      </c>
      <c r="BU377" s="606">
        <f t="shared" si="438"/>
        <v>0</v>
      </c>
      <c r="BV377" s="607">
        <f t="shared" si="439"/>
        <v>0</v>
      </c>
      <c r="BW377" s="608">
        <f t="shared" si="440"/>
        <v>0</v>
      </c>
      <c r="BX377" s="607">
        <f t="shared" si="441"/>
        <v>2853</v>
      </c>
      <c r="BY377" s="608">
        <f t="shared" si="442"/>
        <v>2857</v>
      </c>
      <c r="BZ377" s="607">
        <f t="shared" si="443"/>
        <v>0</v>
      </c>
      <c r="CA377" s="608">
        <f t="shared" si="444"/>
        <v>0</v>
      </c>
      <c r="CB377" s="607">
        <f t="shared" si="445"/>
        <v>0</v>
      </c>
      <c r="CC377" s="608">
        <f t="shared" si="446"/>
        <v>0</v>
      </c>
      <c r="CD377" s="607">
        <f t="shared" si="447"/>
        <v>0</v>
      </c>
      <c r="CE377" s="608">
        <f t="shared" si="448"/>
        <v>0</v>
      </c>
      <c r="CF377" s="607">
        <f t="shared" si="449"/>
        <v>0</v>
      </c>
      <c r="CG377" s="608">
        <f t="shared" si="450"/>
        <v>0</v>
      </c>
      <c r="CH377" s="607">
        <f t="shared" si="451"/>
        <v>0</v>
      </c>
      <c r="CI377" s="608">
        <f t="shared" si="452"/>
        <v>0</v>
      </c>
      <c r="CJ377" s="607">
        <f t="shared" si="453"/>
        <v>6039.3322818086226</v>
      </c>
      <c r="CK377" s="608">
        <f t="shared" si="454"/>
        <v>6246.8578928946445</v>
      </c>
      <c r="CL377" s="609">
        <f t="shared" si="455"/>
        <v>0</v>
      </c>
      <c r="CM377" s="608">
        <f t="shared" si="456"/>
        <v>0</v>
      </c>
      <c r="CN377" s="610">
        <f t="shared" si="457"/>
        <v>0</v>
      </c>
      <c r="CO377" s="606">
        <f t="shared" si="458"/>
        <v>0</v>
      </c>
      <c r="CP377" s="607">
        <f t="shared" si="459"/>
        <v>0</v>
      </c>
      <c r="CQ377" s="606">
        <f t="shared" si="460"/>
        <v>0</v>
      </c>
      <c r="CR377" s="607">
        <f t="shared" si="461"/>
        <v>0</v>
      </c>
      <c r="CS377" s="606">
        <f t="shared" si="462"/>
        <v>0</v>
      </c>
      <c r="CT377" s="607">
        <f t="shared" si="463"/>
        <v>0</v>
      </c>
      <c r="CU377" s="608">
        <f t="shared" si="464"/>
        <v>0</v>
      </c>
      <c r="CV377" s="610">
        <f t="shared" si="465"/>
        <v>54353.990536277604</v>
      </c>
      <c r="CW377" s="608">
        <f t="shared" si="466"/>
        <v>56221.7210360518</v>
      </c>
      <c r="CX377" s="610">
        <f t="shared" si="467"/>
        <v>54353.990536277604</v>
      </c>
      <c r="CY377" s="611">
        <f t="shared" si="468"/>
        <v>56221.7210360518</v>
      </c>
      <c r="CZ377" s="605">
        <f t="shared" si="469"/>
        <v>0</v>
      </c>
      <c r="DA377" s="612">
        <f t="shared" si="470"/>
        <v>0</v>
      </c>
      <c r="DB377" s="607">
        <f t="shared" si="471"/>
        <v>0</v>
      </c>
      <c r="DC377" s="606">
        <f t="shared" si="472"/>
        <v>0</v>
      </c>
      <c r="DD377" s="607">
        <f t="shared" si="473"/>
        <v>0</v>
      </c>
      <c r="DE377" s="606">
        <f t="shared" si="474"/>
        <v>0</v>
      </c>
      <c r="DF377" s="607">
        <f t="shared" si="475"/>
        <v>0</v>
      </c>
      <c r="DG377" s="606">
        <f t="shared" si="476"/>
        <v>0</v>
      </c>
      <c r="DH377" s="607">
        <f t="shared" si="477"/>
        <v>0</v>
      </c>
      <c r="DI377" s="608">
        <f t="shared" si="478"/>
        <v>0</v>
      </c>
      <c r="DJ377" s="607">
        <f t="shared" si="479"/>
        <v>307</v>
      </c>
      <c r="DK377" s="608">
        <f t="shared" si="480"/>
        <v>307</v>
      </c>
      <c r="DL377" s="607">
        <f t="shared" si="481"/>
        <v>307</v>
      </c>
      <c r="DM377" s="608">
        <f t="shared" si="482"/>
        <v>307</v>
      </c>
      <c r="DN377" s="607">
        <f t="shared" si="483"/>
        <v>0</v>
      </c>
      <c r="DO377" s="612">
        <f t="shared" si="484"/>
        <v>0</v>
      </c>
      <c r="DP377" s="607">
        <f t="shared" si="485"/>
        <v>0</v>
      </c>
      <c r="DQ377" s="606">
        <f t="shared" si="486"/>
        <v>0</v>
      </c>
      <c r="DR377" s="607">
        <f t="shared" si="487"/>
        <v>0</v>
      </c>
      <c r="DS377" s="606">
        <f t="shared" si="488"/>
        <v>0</v>
      </c>
      <c r="DT377" s="607">
        <f t="shared" si="489"/>
        <v>0</v>
      </c>
      <c r="DU377" s="606">
        <f t="shared" si="490"/>
        <v>0</v>
      </c>
      <c r="DV377" s="607">
        <f t="shared" si="491"/>
        <v>0</v>
      </c>
      <c r="DW377" s="608">
        <f t="shared" si="492"/>
        <v>0</v>
      </c>
      <c r="DX377" s="607">
        <f t="shared" si="493"/>
        <v>16686675.094637224</v>
      </c>
      <c r="DY377" s="608">
        <f t="shared" si="494"/>
        <v>17260068.358067904</v>
      </c>
      <c r="DZ377" s="607">
        <f t="shared" si="495"/>
        <v>16686675.094637224</v>
      </c>
      <c r="EA377" s="608">
        <f t="shared" si="496"/>
        <v>17260068.358067904</v>
      </c>
    </row>
    <row r="378" spans="1:131" ht="15" customHeight="1" x14ac:dyDescent="0.2">
      <c r="A378" s="485" t="s">
        <v>41</v>
      </c>
      <c r="B378" s="375" t="s">
        <v>700</v>
      </c>
      <c r="C378" s="553" t="s">
        <v>711</v>
      </c>
      <c r="D378" s="408">
        <v>206923</v>
      </c>
      <c r="E378" s="413">
        <v>9</v>
      </c>
      <c r="F378" s="598"/>
      <c r="G378" s="599"/>
      <c r="H378" s="600"/>
      <c r="I378" s="601"/>
      <c r="J378" s="600"/>
      <c r="K378" s="599"/>
      <c r="L378" s="600"/>
      <c r="M378" s="601"/>
      <c r="N378" s="600"/>
      <c r="O378" s="599"/>
      <c r="P378" s="600"/>
      <c r="Q378" s="601"/>
      <c r="R378" s="600"/>
      <c r="S378" s="599"/>
      <c r="T378" s="600"/>
      <c r="U378" s="601"/>
      <c r="V378" s="600"/>
      <c r="W378" s="599"/>
      <c r="X378" s="600"/>
      <c r="Y378" s="601"/>
      <c r="Z378" s="600"/>
      <c r="AA378" s="599"/>
      <c r="AB378" s="600"/>
      <c r="AC378" s="601"/>
      <c r="AD378" s="600"/>
      <c r="AE378" s="599"/>
      <c r="AF378" s="600"/>
      <c r="AG378" s="601"/>
      <c r="AH378" s="600"/>
      <c r="AI378" s="599"/>
      <c r="AJ378" s="600"/>
      <c r="AK378" s="601"/>
      <c r="AL378" s="600"/>
      <c r="AM378" s="599"/>
      <c r="AN378" s="600"/>
      <c r="AO378" s="601"/>
      <c r="AP378" s="600"/>
      <c r="AQ378" s="599"/>
      <c r="AR378" s="600"/>
      <c r="AS378" s="601"/>
      <c r="AT378" s="600">
        <v>51</v>
      </c>
      <c r="AU378" s="599">
        <v>52</v>
      </c>
      <c r="AV378" s="600"/>
      <c r="AW378" s="601"/>
      <c r="AX378" s="600">
        <v>5</v>
      </c>
      <c r="AY378" s="599">
        <v>4</v>
      </c>
      <c r="AZ378" s="600"/>
      <c r="BA378" s="601"/>
      <c r="BB378" s="602">
        <v>0</v>
      </c>
      <c r="BC378" s="599"/>
      <c r="BD378" s="600">
        <v>0</v>
      </c>
      <c r="BE378" s="599"/>
      <c r="BF378" s="600">
        <v>0</v>
      </c>
      <c r="BG378" s="599"/>
      <c r="BH378" s="600">
        <v>0</v>
      </c>
      <c r="BI378" s="599"/>
      <c r="BJ378" s="600">
        <v>0</v>
      </c>
      <c r="BK378" s="615"/>
      <c r="BL378" s="600">
        <v>2369800</v>
      </c>
      <c r="BM378" s="604">
        <f>2171000+214792</f>
        <v>2385792</v>
      </c>
      <c r="BN378" s="605">
        <f t="shared" si="431"/>
        <v>0</v>
      </c>
      <c r="BO378" s="606">
        <f t="shared" si="432"/>
        <v>0</v>
      </c>
      <c r="BP378" s="607">
        <f t="shared" si="433"/>
        <v>0</v>
      </c>
      <c r="BQ378" s="606">
        <f t="shared" si="434"/>
        <v>0</v>
      </c>
      <c r="BR378" s="607">
        <f t="shared" si="435"/>
        <v>0</v>
      </c>
      <c r="BS378" s="606">
        <f t="shared" si="436"/>
        <v>0</v>
      </c>
      <c r="BT378" s="607">
        <f t="shared" si="437"/>
        <v>0</v>
      </c>
      <c r="BU378" s="606">
        <f t="shared" si="438"/>
        <v>0</v>
      </c>
      <c r="BV378" s="607">
        <f t="shared" si="439"/>
        <v>0</v>
      </c>
      <c r="BW378" s="608">
        <f t="shared" si="440"/>
        <v>0</v>
      </c>
      <c r="BX378" s="607">
        <f t="shared" si="441"/>
        <v>514</v>
      </c>
      <c r="BY378" s="608">
        <f t="shared" si="442"/>
        <v>512</v>
      </c>
      <c r="BZ378" s="607">
        <f t="shared" si="443"/>
        <v>0</v>
      </c>
      <c r="CA378" s="608">
        <f t="shared" si="444"/>
        <v>0</v>
      </c>
      <c r="CB378" s="607">
        <f t="shared" si="445"/>
        <v>0</v>
      </c>
      <c r="CC378" s="608">
        <f t="shared" si="446"/>
        <v>0</v>
      </c>
      <c r="CD378" s="607">
        <f t="shared" si="447"/>
        <v>0</v>
      </c>
      <c r="CE378" s="608">
        <f t="shared" si="448"/>
        <v>0</v>
      </c>
      <c r="CF378" s="607">
        <f t="shared" si="449"/>
        <v>0</v>
      </c>
      <c r="CG378" s="608">
        <f t="shared" si="450"/>
        <v>0</v>
      </c>
      <c r="CH378" s="607">
        <f t="shared" si="451"/>
        <v>0</v>
      </c>
      <c r="CI378" s="608">
        <f t="shared" si="452"/>
        <v>0</v>
      </c>
      <c r="CJ378" s="607">
        <f t="shared" si="453"/>
        <v>4610.505836575875</v>
      </c>
      <c r="CK378" s="608">
        <f t="shared" si="454"/>
        <v>4659.75</v>
      </c>
      <c r="CL378" s="609">
        <f t="shared" si="455"/>
        <v>0</v>
      </c>
      <c r="CM378" s="608">
        <f t="shared" si="456"/>
        <v>0</v>
      </c>
      <c r="CN378" s="610">
        <f t="shared" si="457"/>
        <v>0</v>
      </c>
      <c r="CO378" s="606">
        <f t="shared" si="458"/>
        <v>0</v>
      </c>
      <c r="CP378" s="607">
        <f t="shared" si="459"/>
        <v>0</v>
      </c>
      <c r="CQ378" s="606">
        <f t="shared" si="460"/>
        <v>0</v>
      </c>
      <c r="CR378" s="607">
        <f t="shared" si="461"/>
        <v>0</v>
      </c>
      <c r="CS378" s="606">
        <f t="shared" si="462"/>
        <v>0</v>
      </c>
      <c r="CT378" s="607">
        <f t="shared" si="463"/>
        <v>0</v>
      </c>
      <c r="CU378" s="608">
        <f t="shared" si="464"/>
        <v>0</v>
      </c>
      <c r="CV378" s="610">
        <f t="shared" si="465"/>
        <v>41494.552529182874</v>
      </c>
      <c r="CW378" s="608">
        <f t="shared" si="466"/>
        <v>41937.75</v>
      </c>
      <c r="CX378" s="610">
        <f t="shared" si="467"/>
        <v>41494.552529182874</v>
      </c>
      <c r="CY378" s="611">
        <f t="shared" si="468"/>
        <v>41937.75</v>
      </c>
      <c r="CZ378" s="605">
        <f t="shared" si="469"/>
        <v>0</v>
      </c>
      <c r="DA378" s="612">
        <f t="shared" si="470"/>
        <v>0</v>
      </c>
      <c r="DB378" s="607">
        <f t="shared" si="471"/>
        <v>0</v>
      </c>
      <c r="DC378" s="606">
        <f t="shared" si="472"/>
        <v>0</v>
      </c>
      <c r="DD378" s="607">
        <f t="shared" si="473"/>
        <v>0</v>
      </c>
      <c r="DE378" s="606">
        <f t="shared" si="474"/>
        <v>0</v>
      </c>
      <c r="DF378" s="607">
        <f t="shared" si="475"/>
        <v>0</v>
      </c>
      <c r="DG378" s="606">
        <f t="shared" si="476"/>
        <v>0</v>
      </c>
      <c r="DH378" s="607">
        <f t="shared" si="477"/>
        <v>0</v>
      </c>
      <c r="DI378" s="608">
        <f t="shared" si="478"/>
        <v>0</v>
      </c>
      <c r="DJ378" s="607">
        <f t="shared" si="479"/>
        <v>56</v>
      </c>
      <c r="DK378" s="608">
        <f t="shared" si="480"/>
        <v>56</v>
      </c>
      <c r="DL378" s="607">
        <f t="shared" si="481"/>
        <v>56</v>
      </c>
      <c r="DM378" s="608">
        <f t="shared" si="482"/>
        <v>56</v>
      </c>
      <c r="DN378" s="607">
        <f t="shared" si="483"/>
        <v>0</v>
      </c>
      <c r="DO378" s="612">
        <f t="shared" si="484"/>
        <v>0</v>
      </c>
      <c r="DP378" s="607">
        <f t="shared" si="485"/>
        <v>0</v>
      </c>
      <c r="DQ378" s="606">
        <f t="shared" si="486"/>
        <v>0</v>
      </c>
      <c r="DR378" s="607">
        <f t="shared" si="487"/>
        <v>0</v>
      </c>
      <c r="DS378" s="606">
        <f t="shared" si="488"/>
        <v>0</v>
      </c>
      <c r="DT378" s="607">
        <f t="shared" si="489"/>
        <v>0</v>
      </c>
      <c r="DU378" s="606">
        <f t="shared" si="490"/>
        <v>0</v>
      </c>
      <c r="DV378" s="607">
        <f t="shared" si="491"/>
        <v>0</v>
      </c>
      <c r="DW378" s="608">
        <f t="shared" si="492"/>
        <v>0</v>
      </c>
      <c r="DX378" s="607">
        <f t="shared" si="493"/>
        <v>2323694.941634241</v>
      </c>
      <c r="DY378" s="608">
        <f t="shared" si="494"/>
        <v>2348514</v>
      </c>
      <c r="DZ378" s="607">
        <f t="shared" si="495"/>
        <v>2323694.941634241</v>
      </c>
      <c r="EA378" s="608">
        <f t="shared" si="496"/>
        <v>2348514</v>
      </c>
    </row>
    <row r="379" spans="1:131" ht="15" customHeight="1" x14ac:dyDescent="0.2">
      <c r="A379" s="485" t="s">
        <v>41</v>
      </c>
      <c r="B379" s="406" t="s">
        <v>699</v>
      </c>
      <c r="C379" s="552"/>
      <c r="D379" s="408">
        <v>207281</v>
      </c>
      <c r="E379" s="407">
        <v>9</v>
      </c>
      <c r="F379" s="598"/>
      <c r="G379" s="599"/>
      <c r="H379" s="600"/>
      <c r="I379" s="601"/>
      <c r="J379" s="600"/>
      <c r="K379" s="599"/>
      <c r="L379" s="600"/>
      <c r="M379" s="601"/>
      <c r="N379" s="600"/>
      <c r="O379" s="599"/>
      <c r="P379" s="600"/>
      <c r="Q379" s="601"/>
      <c r="R379" s="600"/>
      <c r="S379" s="599"/>
      <c r="T379" s="600"/>
      <c r="U379" s="601"/>
      <c r="V379" s="600"/>
      <c r="W379" s="599"/>
      <c r="X379" s="600"/>
      <c r="Y379" s="601"/>
      <c r="Z379" s="600"/>
      <c r="AA379" s="599"/>
      <c r="AB379" s="600"/>
      <c r="AC379" s="601"/>
      <c r="AD379" s="600"/>
      <c r="AE379" s="599"/>
      <c r="AF379" s="600"/>
      <c r="AG379" s="601"/>
      <c r="AH379" s="600"/>
      <c r="AI379" s="599"/>
      <c r="AJ379" s="600"/>
      <c r="AK379" s="601"/>
      <c r="AL379" s="600"/>
      <c r="AM379" s="599"/>
      <c r="AN379" s="600"/>
      <c r="AO379" s="601"/>
      <c r="AP379" s="600"/>
      <c r="AQ379" s="599"/>
      <c r="AR379" s="600"/>
      <c r="AS379" s="601"/>
      <c r="AT379" s="600">
        <v>92</v>
      </c>
      <c r="AU379" s="599">
        <v>95</v>
      </c>
      <c r="AV379" s="600"/>
      <c r="AW379" s="601"/>
      <c r="AX379" s="600">
        <v>3</v>
      </c>
      <c r="AY379" s="599">
        <v>3</v>
      </c>
      <c r="AZ379" s="600"/>
      <c r="BA379" s="601"/>
      <c r="BB379" s="602">
        <v>0</v>
      </c>
      <c r="BC379" s="599"/>
      <c r="BD379" s="600">
        <v>0</v>
      </c>
      <c r="BE379" s="599"/>
      <c r="BF379" s="600">
        <v>0</v>
      </c>
      <c r="BG379" s="599"/>
      <c r="BH379" s="600">
        <v>0</v>
      </c>
      <c r="BI379" s="599"/>
      <c r="BJ379" s="600">
        <v>0</v>
      </c>
      <c r="BK379" s="615"/>
      <c r="BL379" s="600">
        <v>4359713</v>
      </c>
      <c r="BM379" s="604">
        <f>4362210+166005</f>
        <v>4528215</v>
      </c>
      <c r="BN379" s="605">
        <f t="shared" si="431"/>
        <v>0</v>
      </c>
      <c r="BO379" s="606">
        <f t="shared" si="432"/>
        <v>0</v>
      </c>
      <c r="BP379" s="607">
        <f t="shared" si="433"/>
        <v>0</v>
      </c>
      <c r="BQ379" s="606">
        <f t="shared" si="434"/>
        <v>0</v>
      </c>
      <c r="BR379" s="607">
        <f t="shared" si="435"/>
        <v>0</v>
      </c>
      <c r="BS379" s="606">
        <f t="shared" si="436"/>
        <v>0</v>
      </c>
      <c r="BT379" s="607">
        <f t="shared" si="437"/>
        <v>0</v>
      </c>
      <c r="BU379" s="606">
        <f t="shared" si="438"/>
        <v>0</v>
      </c>
      <c r="BV379" s="607">
        <f t="shared" si="439"/>
        <v>0</v>
      </c>
      <c r="BW379" s="608">
        <f t="shared" si="440"/>
        <v>0</v>
      </c>
      <c r="BX379" s="607">
        <f t="shared" si="441"/>
        <v>861</v>
      </c>
      <c r="BY379" s="608">
        <f t="shared" si="442"/>
        <v>888</v>
      </c>
      <c r="BZ379" s="607">
        <f t="shared" si="443"/>
        <v>0</v>
      </c>
      <c r="CA379" s="608">
        <f t="shared" si="444"/>
        <v>0</v>
      </c>
      <c r="CB379" s="607">
        <f t="shared" si="445"/>
        <v>0</v>
      </c>
      <c r="CC379" s="608">
        <f t="shared" si="446"/>
        <v>0</v>
      </c>
      <c r="CD379" s="607">
        <f t="shared" si="447"/>
        <v>0</v>
      </c>
      <c r="CE379" s="608">
        <f t="shared" si="448"/>
        <v>0</v>
      </c>
      <c r="CF379" s="607">
        <f t="shared" si="449"/>
        <v>0</v>
      </c>
      <c r="CG379" s="608">
        <f t="shared" si="450"/>
        <v>0</v>
      </c>
      <c r="CH379" s="607">
        <f t="shared" si="451"/>
        <v>0</v>
      </c>
      <c r="CI379" s="608">
        <f t="shared" si="452"/>
        <v>0</v>
      </c>
      <c r="CJ379" s="607">
        <f t="shared" si="453"/>
        <v>5063.5458768873405</v>
      </c>
      <c r="CK379" s="608">
        <f t="shared" si="454"/>
        <v>5099.3412162162158</v>
      </c>
      <c r="CL379" s="609">
        <f t="shared" si="455"/>
        <v>0</v>
      </c>
      <c r="CM379" s="608">
        <f t="shared" si="456"/>
        <v>0</v>
      </c>
      <c r="CN379" s="610">
        <f t="shared" si="457"/>
        <v>0</v>
      </c>
      <c r="CO379" s="606">
        <f t="shared" si="458"/>
        <v>0</v>
      </c>
      <c r="CP379" s="607">
        <f t="shared" si="459"/>
        <v>0</v>
      </c>
      <c r="CQ379" s="606">
        <f t="shared" si="460"/>
        <v>0</v>
      </c>
      <c r="CR379" s="607">
        <f t="shared" si="461"/>
        <v>0</v>
      </c>
      <c r="CS379" s="606">
        <f t="shared" si="462"/>
        <v>0</v>
      </c>
      <c r="CT379" s="607">
        <f t="shared" si="463"/>
        <v>0</v>
      </c>
      <c r="CU379" s="608">
        <f t="shared" si="464"/>
        <v>0</v>
      </c>
      <c r="CV379" s="610">
        <f t="shared" si="465"/>
        <v>45571.912891986067</v>
      </c>
      <c r="CW379" s="608">
        <f t="shared" si="466"/>
        <v>45894.070945945939</v>
      </c>
      <c r="CX379" s="610">
        <f t="shared" si="467"/>
        <v>45571.912891986067</v>
      </c>
      <c r="CY379" s="611">
        <f t="shared" si="468"/>
        <v>45894.070945945939</v>
      </c>
      <c r="CZ379" s="605">
        <f t="shared" si="469"/>
        <v>0</v>
      </c>
      <c r="DA379" s="612">
        <f t="shared" si="470"/>
        <v>0</v>
      </c>
      <c r="DB379" s="607">
        <f t="shared" si="471"/>
        <v>0</v>
      </c>
      <c r="DC379" s="606">
        <f t="shared" si="472"/>
        <v>0</v>
      </c>
      <c r="DD379" s="607">
        <f t="shared" si="473"/>
        <v>0</v>
      </c>
      <c r="DE379" s="606">
        <f t="shared" si="474"/>
        <v>0</v>
      </c>
      <c r="DF379" s="607">
        <f t="shared" si="475"/>
        <v>0</v>
      </c>
      <c r="DG379" s="606">
        <f t="shared" si="476"/>
        <v>0</v>
      </c>
      <c r="DH379" s="607">
        <f t="shared" si="477"/>
        <v>0</v>
      </c>
      <c r="DI379" s="608">
        <f t="shared" si="478"/>
        <v>0</v>
      </c>
      <c r="DJ379" s="607">
        <f t="shared" si="479"/>
        <v>95</v>
      </c>
      <c r="DK379" s="608">
        <f t="shared" si="480"/>
        <v>98</v>
      </c>
      <c r="DL379" s="607">
        <f t="shared" si="481"/>
        <v>95</v>
      </c>
      <c r="DM379" s="608">
        <f t="shared" si="482"/>
        <v>98</v>
      </c>
      <c r="DN379" s="607">
        <f t="shared" si="483"/>
        <v>0</v>
      </c>
      <c r="DO379" s="612">
        <f t="shared" si="484"/>
        <v>0</v>
      </c>
      <c r="DP379" s="607">
        <f t="shared" si="485"/>
        <v>0</v>
      </c>
      <c r="DQ379" s="606">
        <f t="shared" si="486"/>
        <v>0</v>
      </c>
      <c r="DR379" s="607">
        <f t="shared" si="487"/>
        <v>0</v>
      </c>
      <c r="DS379" s="606">
        <f t="shared" si="488"/>
        <v>0</v>
      </c>
      <c r="DT379" s="607">
        <f t="shared" si="489"/>
        <v>0</v>
      </c>
      <c r="DU379" s="606">
        <f t="shared" si="490"/>
        <v>0</v>
      </c>
      <c r="DV379" s="607">
        <f t="shared" si="491"/>
        <v>0</v>
      </c>
      <c r="DW379" s="608">
        <f t="shared" si="492"/>
        <v>0</v>
      </c>
      <c r="DX379" s="607">
        <f t="shared" si="493"/>
        <v>4329331.7247386761</v>
      </c>
      <c r="DY379" s="608">
        <f t="shared" si="494"/>
        <v>4497618.952702702</v>
      </c>
      <c r="DZ379" s="607">
        <f t="shared" si="495"/>
        <v>4329331.7247386761</v>
      </c>
      <c r="EA379" s="608">
        <f t="shared" si="496"/>
        <v>4497618.952702702</v>
      </c>
    </row>
    <row r="380" spans="1:131" ht="15" customHeight="1" x14ac:dyDescent="0.2">
      <c r="A380" s="485" t="s">
        <v>41</v>
      </c>
      <c r="B380" s="404" t="s">
        <v>701</v>
      </c>
      <c r="C380" s="552" t="s">
        <v>710</v>
      </c>
      <c r="D380" s="408">
        <v>206996</v>
      </c>
      <c r="E380" s="407">
        <v>10</v>
      </c>
      <c r="F380" s="598"/>
      <c r="G380" s="599"/>
      <c r="H380" s="600"/>
      <c r="I380" s="601"/>
      <c r="J380" s="600"/>
      <c r="K380" s="599"/>
      <c r="L380" s="600"/>
      <c r="M380" s="601"/>
      <c r="N380" s="600"/>
      <c r="O380" s="599"/>
      <c r="P380" s="600"/>
      <c r="Q380" s="601"/>
      <c r="R380" s="600"/>
      <c r="S380" s="599"/>
      <c r="T380" s="600"/>
      <c r="U380" s="601"/>
      <c r="V380" s="600"/>
      <c r="W380" s="599"/>
      <c r="X380" s="600"/>
      <c r="Y380" s="601"/>
      <c r="Z380" s="600"/>
      <c r="AA380" s="599"/>
      <c r="AB380" s="600"/>
      <c r="AC380" s="601"/>
      <c r="AD380" s="600"/>
      <c r="AE380" s="599"/>
      <c r="AF380" s="600"/>
      <c r="AG380" s="601"/>
      <c r="AH380" s="600"/>
      <c r="AI380" s="599"/>
      <c r="AJ380" s="600"/>
      <c r="AK380" s="601"/>
      <c r="AL380" s="600"/>
      <c r="AM380" s="599"/>
      <c r="AN380" s="600"/>
      <c r="AO380" s="601"/>
      <c r="AP380" s="600"/>
      <c r="AQ380" s="599"/>
      <c r="AR380" s="600"/>
      <c r="AS380" s="601"/>
      <c r="AT380" s="600">
        <v>47</v>
      </c>
      <c r="AU380" s="599">
        <v>44</v>
      </c>
      <c r="AV380" s="600"/>
      <c r="AW380" s="601"/>
      <c r="AX380" s="600">
        <v>3</v>
      </c>
      <c r="AY380" s="599">
        <v>5</v>
      </c>
      <c r="AZ380" s="600"/>
      <c r="BA380" s="601"/>
      <c r="BB380" s="602">
        <v>0</v>
      </c>
      <c r="BC380" s="599"/>
      <c r="BD380" s="600">
        <v>0</v>
      </c>
      <c r="BE380" s="599"/>
      <c r="BF380" s="600">
        <v>0</v>
      </c>
      <c r="BG380" s="599"/>
      <c r="BH380" s="600">
        <v>0</v>
      </c>
      <c r="BI380" s="599"/>
      <c r="BJ380" s="600">
        <v>0</v>
      </c>
      <c r="BK380" s="615"/>
      <c r="BL380" s="600">
        <v>2326112</v>
      </c>
      <c r="BM380" s="604">
        <f>2025056+242650</f>
        <v>2267706</v>
      </c>
      <c r="BN380" s="605">
        <f t="shared" si="431"/>
        <v>0</v>
      </c>
      <c r="BO380" s="606">
        <f t="shared" si="432"/>
        <v>0</v>
      </c>
      <c r="BP380" s="607">
        <f t="shared" si="433"/>
        <v>0</v>
      </c>
      <c r="BQ380" s="606">
        <f t="shared" si="434"/>
        <v>0</v>
      </c>
      <c r="BR380" s="607">
        <f t="shared" si="435"/>
        <v>0</v>
      </c>
      <c r="BS380" s="606">
        <f t="shared" si="436"/>
        <v>0</v>
      </c>
      <c r="BT380" s="607">
        <f t="shared" si="437"/>
        <v>0</v>
      </c>
      <c r="BU380" s="606">
        <f t="shared" si="438"/>
        <v>0</v>
      </c>
      <c r="BV380" s="607">
        <f t="shared" si="439"/>
        <v>0</v>
      </c>
      <c r="BW380" s="608">
        <f t="shared" si="440"/>
        <v>0</v>
      </c>
      <c r="BX380" s="607">
        <f t="shared" si="441"/>
        <v>456</v>
      </c>
      <c r="BY380" s="608">
        <f t="shared" si="442"/>
        <v>451</v>
      </c>
      <c r="BZ380" s="607">
        <f t="shared" si="443"/>
        <v>0</v>
      </c>
      <c r="CA380" s="608">
        <f t="shared" si="444"/>
        <v>0</v>
      </c>
      <c r="CB380" s="607">
        <f t="shared" si="445"/>
        <v>0</v>
      </c>
      <c r="CC380" s="608">
        <f t="shared" si="446"/>
        <v>0</v>
      </c>
      <c r="CD380" s="607">
        <f t="shared" si="447"/>
        <v>0</v>
      </c>
      <c r="CE380" s="608">
        <f t="shared" si="448"/>
        <v>0</v>
      </c>
      <c r="CF380" s="607">
        <f t="shared" si="449"/>
        <v>0</v>
      </c>
      <c r="CG380" s="608">
        <f t="shared" si="450"/>
        <v>0</v>
      </c>
      <c r="CH380" s="607">
        <f t="shared" si="451"/>
        <v>0</v>
      </c>
      <c r="CI380" s="608">
        <f t="shared" si="452"/>
        <v>0</v>
      </c>
      <c r="CJ380" s="607">
        <f t="shared" si="453"/>
        <v>5101.1228070175439</v>
      </c>
      <c r="CK380" s="608">
        <f t="shared" si="454"/>
        <v>5028.1729490022171</v>
      </c>
      <c r="CL380" s="609">
        <f t="shared" si="455"/>
        <v>0</v>
      </c>
      <c r="CM380" s="608">
        <f t="shared" si="456"/>
        <v>0</v>
      </c>
      <c r="CN380" s="610">
        <f t="shared" si="457"/>
        <v>0</v>
      </c>
      <c r="CO380" s="606">
        <f t="shared" si="458"/>
        <v>0</v>
      </c>
      <c r="CP380" s="607">
        <f t="shared" si="459"/>
        <v>0</v>
      </c>
      <c r="CQ380" s="606">
        <f t="shared" si="460"/>
        <v>0</v>
      </c>
      <c r="CR380" s="607">
        <f t="shared" si="461"/>
        <v>0</v>
      </c>
      <c r="CS380" s="606">
        <f t="shared" si="462"/>
        <v>0</v>
      </c>
      <c r="CT380" s="607">
        <f t="shared" si="463"/>
        <v>0</v>
      </c>
      <c r="CU380" s="608">
        <f t="shared" si="464"/>
        <v>0</v>
      </c>
      <c r="CV380" s="610">
        <f t="shared" si="465"/>
        <v>45910.105263157893</v>
      </c>
      <c r="CW380" s="608">
        <f t="shared" si="466"/>
        <v>45253.556541019956</v>
      </c>
      <c r="CX380" s="610">
        <f t="shared" si="467"/>
        <v>45910.105263157893</v>
      </c>
      <c r="CY380" s="611">
        <f t="shared" si="468"/>
        <v>45253.556541019956</v>
      </c>
      <c r="CZ380" s="605">
        <f t="shared" si="469"/>
        <v>0</v>
      </c>
      <c r="DA380" s="612">
        <f t="shared" si="470"/>
        <v>0</v>
      </c>
      <c r="DB380" s="607">
        <f t="shared" si="471"/>
        <v>0</v>
      </c>
      <c r="DC380" s="606">
        <f t="shared" si="472"/>
        <v>0</v>
      </c>
      <c r="DD380" s="607">
        <f t="shared" si="473"/>
        <v>0</v>
      </c>
      <c r="DE380" s="606">
        <f t="shared" si="474"/>
        <v>0</v>
      </c>
      <c r="DF380" s="607">
        <f t="shared" si="475"/>
        <v>0</v>
      </c>
      <c r="DG380" s="606">
        <f t="shared" si="476"/>
        <v>0</v>
      </c>
      <c r="DH380" s="607">
        <f t="shared" si="477"/>
        <v>0</v>
      </c>
      <c r="DI380" s="608">
        <f t="shared" si="478"/>
        <v>0</v>
      </c>
      <c r="DJ380" s="607">
        <f t="shared" si="479"/>
        <v>50</v>
      </c>
      <c r="DK380" s="608">
        <f t="shared" si="480"/>
        <v>49</v>
      </c>
      <c r="DL380" s="607">
        <f t="shared" si="481"/>
        <v>50</v>
      </c>
      <c r="DM380" s="608">
        <f t="shared" si="482"/>
        <v>49</v>
      </c>
      <c r="DN380" s="607">
        <f t="shared" si="483"/>
        <v>0</v>
      </c>
      <c r="DO380" s="612">
        <f t="shared" si="484"/>
        <v>0</v>
      </c>
      <c r="DP380" s="607">
        <f t="shared" si="485"/>
        <v>0</v>
      </c>
      <c r="DQ380" s="606">
        <f t="shared" si="486"/>
        <v>0</v>
      </c>
      <c r="DR380" s="607">
        <f t="shared" si="487"/>
        <v>0</v>
      </c>
      <c r="DS380" s="606">
        <f t="shared" si="488"/>
        <v>0</v>
      </c>
      <c r="DT380" s="607">
        <f t="shared" si="489"/>
        <v>0</v>
      </c>
      <c r="DU380" s="606">
        <f t="shared" si="490"/>
        <v>0</v>
      </c>
      <c r="DV380" s="607">
        <f t="shared" si="491"/>
        <v>0</v>
      </c>
      <c r="DW380" s="608">
        <f t="shared" si="492"/>
        <v>0</v>
      </c>
      <c r="DX380" s="607">
        <f t="shared" si="493"/>
        <v>2295505.2631578948</v>
      </c>
      <c r="DY380" s="608">
        <f t="shared" si="494"/>
        <v>2217424.2705099778</v>
      </c>
      <c r="DZ380" s="607">
        <f t="shared" si="495"/>
        <v>2295505.2631578948</v>
      </c>
      <c r="EA380" s="608">
        <f t="shared" si="496"/>
        <v>2217424.2705099778</v>
      </c>
    </row>
    <row r="381" spans="1:131" ht="15" customHeight="1" x14ac:dyDescent="0.2">
      <c r="A381" s="485" t="s">
        <v>41</v>
      </c>
      <c r="B381" s="404" t="s">
        <v>702</v>
      </c>
      <c r="C381" s="552"/>
      <c r="D381" s="408">
        <v>207050</v>
      </c>
      <c r="E381" s="407">
        <v>10</v>
      </c>
      <c r="F381" s="598"/>
      <c r="G381" s="599"/>
      <c r="H381" s="600"/>
      <c r="I381" s="601"/>
      <c r="J381" s="600"/>
      <c r="K381" s="599"/>
      <c r="L381" s="600"/>
      <c r="M381" s="601"/>
      <c r="N381" s="600"/>
      <c r="O381" s="599"/>
      <c r="P381" s="600"/>
      <c r="Q381" s="601"/>
      <c r="R381" s="600"/>
      <c r="S381" s="599"/>
      <c r="T381" s="600"/>
      <c r="U381" s="601"/>
      <c r="V381" s="600"/>
      <c r="W381" s="599"/>
      <c r="X381" s="600"/>
      <c r="Y381" s="601"/>
      <c r="Z381" s="600"/>
      <c r="AA381" s="599"/>
      <c r="AB381" s="600"/>
      <c r="AC381" s="601"/>
      <c r="AD381" s="600"/>
      <c r="AE381" s="599"/>
      <c r="AF381" s="600"/>
      <c r="AG381" s="601"/>
      <c r="AH381" s="600"/>
      <c r="AI381" s="599"/>
      <c r="AJ381" s="600"/>
      <c r="AK381" s="601"/>
      <c r="AL381" s="600"/>
      <c r="AM381" s="599"/>
      <c r="AN381" s="600"/>
      <c r="AO381" s="601"/>
      <c r="AP381" s="600"/>
      <c r="AQ381" s="599"/>
      <c r="AR381" s="600"/>
      <c r="AS381" s="601"/>
      <c r="AT381" s="600">
        <v>44</v>
      </c>
      <c r="AU381" s="599">
        <v>39</v>
      </c>
      <c r="AV381" s="600"/>
      <c r="AW381" s="601"/>
      <c r="AX381" s="600">
        <v>3</v>
      </c>
      <c r="AY381" s="599">
        <v>1</v>
      </c>
      <c r="AZ381" s="600"/>
      <c r="BA381" s="601"/>
      <c r="BB381" s="602">
        <v>0</v>
      </c>
      <c r="BC381" s="599"/>
      <c r="BD381" s="600">
        <v>0</v>
      </c>
      <c r="BE381" s="599"/>
      <c r="BF381" s="600">
        <v>0</v>
      </c>
      <c r="BG381" s="599"/>
      <c r="BH381" s="600">
        <v>0</v>
      </c>
      <c r="BI381" s="599"/>
      <c r="BJ381" s="600">
        <v>0</v>
      </c>
      <c r="BK381" s="615"/>
      <c r="BL381" s="600">
        <v>2396377</v>
      </c>
      <c r="BM381" s="604">
        <f>1621464+59650</f>
        <v>1681114</v>
      </c>
      <c r="BN381" s="605">
        <f t="shared" si="431"/>
        <v>0</v>
      </c>
      <c r="BO381" s="606">
        <f t="shared" si="432"/>
        <v>0</v>
      </c>
      <c r="BP381" s="607">
        <f t="shared" si="433"/>
        <v>0</v>
      </c>
      <c r="BQ381" s="606">
        <f t="shared" si="434"/>
        <v>0</v>
      </c>
      <c r="BR381" s="607">
        <f t="shared" si="435"/>
        <v>0</v>
      </c>
      <c r="BS381" s="606">
        <f t="shared" si="436"/>
        <v>0</v>
      </c>
      <c r="BT381" s="607">
        <f t="shared" si="437"/>
        <v>0</v>
      </c>
      <c r="BU381" s="606">
        <f t="shared" si="438"/>
        <v>0</v>
      </c>
      <c r="BV381" s="607">
        <f t="shared" si="439"/>
        <v>0</v>
      </c>
      <c r="BW381" s="608">
        <f t="shared" si="440"/>
        <v>0</v>
      </c>
      <c r="BX381" s="607">
        <f t="shared" si="441"/>
        <v>429</v>
      </c>
      <c r="BY381" s="608">
        <f t="shared" si="442"/>
        <v>362</v>
      </c>
      <c r="BZ381" s="607">
        <f t="shared" si="443"/>
        <v>0</v>
      </c>
      <c r="CA381" s="608">
        <f t="shared" si="444"/>
        <v>0</v>
      </c>
      <c r="CB381" s="607">
        <f t="shared" si="445"/>
        <v>0</v>
      </c>
      <c r="CC381" s="608">
        <f t="shared" si="446"/>
        <v>0</v>
      </c>
      <c r="CD381" s="607">
        <f t="shared" si="447"/>
        <v>0</v>
      </c>
      <c r="CE381" s="608">
        <f t="shared" si="448"/>
        <v>0</v>
      </c>
      <c r="CF381" s="607">
        <f t="shared" si="449"/>
        <v>0</v>
      </c>
      <c r="CG381" s="608">
        <f t="shared" si="450"/>
        <v>0</v>
      </c>
      <c r="CH381" s="607">
        <f t="shared" si="451"/>
        <v>0</v>
      </c>
      <c r="CI381" s="608">
        <f t="shared" si="452"/>
        <v>0</v>
      </c>
      <c r="CJ381" s="607">
        <f t="shared" si="453"/>
        <v>5585.9603729603732</v>
      </c>
      <c r="CK381" s="608">
        <f t="shared" si="454"/>
        <v>4643.9613259668504</v>
      </c>
      <c r="CL381" s="609">
        <f t="shared" si="455"/>
        <v>0</v>
      </c>
      <c r="CM381" s="608">
        <f t="shared" si="456"/>
        <v>0</v>
      </c>
      <c r="CN381" s="610">
        <f t="shared" si="457"/>
        <v>0</v>
      </c>
      <c r="CO381" s="606">
        <f t="shared" si="458"/>
        <v>0</v>
      </c>
      <c r="CP381" s="607">
        <f t="shared" si="459"/>
        <v>0</v>
      </c>
      <c r="CQ381" s="606">
        <f t="shared" si="460"/>
        <v>0</v>
      </c>
      <c r="CR381" s="607">
        <f t="shared" si="461"/>
        <v>0</v>
      </c>
      <c r="CS381" s="606">
        <f t="shared" si="462"/>
        <v>0</v>
      </c>
      <c r="CT381" s="607">
        <f t="shared" si="463"/>
        <v>0</v>
      </c>
      <c r="CU381" s="608">
        <f t="shared" si="464"/>
        <v>0</v>
      </c>
      <c r="CV381" s="610">
        <f t="shared" si="465"/>
        <v>50273.643356643355</v>
      </c>
      <c r="CW381" s="608">
        <f t="shared" si="466"/>
        <v>41795.651933701651</v>
      </c>
      <c r="CX381" s="610">
        <f t="shared" si="467"/>
        <v>50273.643356643362</v>
      </c>
      <c r="CY381" s="611">
        <f t="shared" si="468"/>
        <v>41795.651933701651</v>
      </c>
      <c r="CZ381" s="605">
        <f t="shared" si="469"/>
        <v>0</v>
      </c>
      <c r="DA381" s="612">
        <f t="shared" si="470"/>
        <v>0</v>
      </c>
      <c r="DB381" s="607">
        <f t="shared" si="471"/>
        <v>0</v>
      </c>
      <c r="DC381" s="606">
        <f t="shared" si="472"/>
        <v>0</v>
      </c>
      <c r="DD381" s="607">
        <f t="shared" si="473"/>
        <v>0</v>
      </c>
      <c r="DE381" s="606">
        <f t="shared" si="474"/>
        <v>0</v>
      </c>
      <c r="DF381" s="607">
        <f t="shared" si="475"/>
        <v>0</v>
      </c>
      <c r="DG381" s="606">
        <f t="shared" si="476"/>
        <v>0</v>
      </c>
      <c r="DH381" s="607">
        <f t="shared" si="477"/>
        <v>0</v>
      </c>
      <c r="DI381" s="608">
        <f t="shared" si="478"/>
        <v>0</v>
      </c>
      <c r="DJ381" s="607">
        <f t="shared" si="479"/>
        <v>47</v>
      </c>
      <c r="DK381" s="608">
        <f t="shared" si="480"/>
        <v>40</v>
      </c>
      <c r="DL381" s="607">
        <f t="shared" si="481"/>
        <v>47</v>
      </c>
      <c r="DM381" s="608">
        <f t="shared" si="482"/>
        <v>40</v>
      </c>
      <c r="DN381" s="607">
        <f t="shared" si="483"/>
        <v>0</v>
      </c>
      <c r="DO381" s="612">
        <f t="shared" si="484"/>
        <v>0</v>
      </c>
      <c r="DP381" s="607">
        <f t="shared" si="485"/>
        <v>0</v>
      </c>
      <c r="DQ381" s="606">
        <f t="shared" si="486"/>
        <v>0</v>
      </c>
      <c r="DR381" s="607">
        <f t="shared" si="487"/>
        <v>0</v>
      </c>
      <c r="DS381" s="606">
        <f t="shared" si="488"/>
        <v>0</v>
      </c>
      <c r="DT381" s="607">
        <f t="shared" si="489"/>
        <v>0</v>
      </c>
      <c r="DU381" s="606">
        <f t="shared" si="490"/>
        <v>0</v>
      </c>
      <c r="DV381" s="607">
        <f t="shared" si="491"/>
        <v>0</v>
      </c>
      <c r="DW381" s="608">
        <f t="shared" si="492"/>
        <v>0</v>
      </c>
      <c r="DX381" s="607">
        <f t="shared" si="493"/>
        <v>2362861.2377622379</v>
      </c>
      <c r="DY381" s="608">
        <f t="shared" si="494"/>
        <v>1671826.077348066</v>
      </c>
      <c r="DZ381" s="607">
        <f t="shared" si="495"/>
        <v>2362861.2377622379</v>
      </c>
      <c r="EA381" s="608">
        <f t="shared" si="496"/>
        <v>1671826.077348066</v>
      </c>
    </row>
    <row r="382" spans="1:131" ht="15" customHeight="1" x14ac:dyDescent="0.2">
      <c r="A382" s="485" t="s">
        <v>41</v>
      </c>
      <c r="B382" s="375" t="s">
        <v>703</v>
      </c>
      <c r="C382" s="552"/>
      <c r="D382" s="408">
        <v>207236</v>
      </c>
      <c r="E382" s="407">
        <v>10</v>
      </c>
      <c r="F382" s="598"/>
      <c r="G382" s="599"/>
      <c r="H382" s="600"/>
      <c r="I382" s="601"/>
      <c r="J382" s="600"/>
      <c r="K382" s="599"/>
      <c r="L382" s="600"/>
      <c r="M382" s="601"/>
      <c r="N382" s="600"/>
      <c r="O382" s="599"/>
      <c r="P382" s="600"/>
      <c r="Q382" s="601"/>
      <c r="R382" s="600"/>
      <c r="S382" s="599"/>
      <c r="T382" s="600"/>
      <c r="U382" s="601"/>
      <c r="V382" s="600"/>
      <c r="W382" s="599"/>
      <c r="X382" s="600"/>
      <c r="Y382" s="601"/>
      <c r="Z382" s="600"/>
      <c r="AA382" s="599"/>
      <c r="AB382" s="600"/>
      <c r="AC382" s="601"/>
      <c r="AD382" s="600"/>
      <c r="AE382" s="599"/>
      <c r="AF382" s="600"/>
      <c r="AG382" s="601"/>
      <c r="AH382" s="600"/>
      <c r="AI382" s="599"/>
      <c r="AJ382" s="600"/>
      <c r="AK382" s="601"/>
      <c r="AL382" s="600"/>
      <c r="AM382" s="599"/>
      <c r="AN382" s="600"/>
      <c r="AO382" s="601"/>
      <c r="AP382" s="600"/>
      <c r="AQ382" s="599"/>
      <c r="AR382" s="600"/>
      <c r="AS382" s="601"/>
      <c r="AT382" s="600">
        <v>33</v>
      </c>
      <c r="AU382" s="599">
        <v>39</v>
      </c>
      <c r="AV382" s="600"/>
      <c r="AW382" s="601"/>
      <c r="AX382" s="600">
        <v>12</v>
      </c>
      <c r="AY382" s="599">
        <v>7</v>
      </c>
      <c r="AZ382" s="600"/>
      <c r="BA382" s="601"/>
      <c r="BB382" s="602">
        <v>0</v>
      </c>
      <c r="BC382" s="599"/>
      <c r="BD382" s="600">
        <v>0</v>
      </c>
      <c r="BE382" s="599"/>
      <c r="BF382" s="600">
        <v>0</v>
      </c>
      <c r="BG382" s="599"/>
      <c r="BH382" s="600">
        <v>0</v>
      </c>
      <c r="BI382" s="599"/>
      <c r="BJ382" s="600">
        <v>0</v>
      </c>
      <c r="BK382" s="615"/>
      <c r="BL382" s="600">
        <v>2015850</v>
      </c>
      <c r="BM382" s="604">
        <f>1783470+391258</f>
        <v>2174728</v>
      </c>
      <c r="BN382" s="605">
        <f t="shared" si="431"/>
        <v>0</v>
      </c>
      <c r="BO382" s="606">
        <f t="shared" si="432"/>
        <v>0</v>
      </c>
      <c r="BP382" s="607">
        <f t="shared" si="433"/>
        <v>0</v>
      </c>
      <c r="BQ382" s="606">
        <f t="shared" si="434"/>
        <v>0</v>
      </c>
      <c r="BR382" s="607">
        <f t="shared" si="435"/>
        <v>0</v>
      </c>
      <c r="BS382" s="606">
        <f t="shared" si="436"/>
        <v>0</v>
      </c>
      <c r="BT382" s="607">
        <f t="shared" si="437"/>
        <v>0</v>
      </c>
      <c r="BU382" s="606">
        <f t="shared" si="438"/>
        <v>0</v>
      </c>
      <c r="BV382" s="607">
        <f t="shared" si="439"/>
        <v>0</v>
      </c>
      <c r="BW382" s="608">
        <f t="shared" si="440"/>
        <v>0</v>
      </c>
      <c r="BX382" s="607">
        <f t="shared" si="441"/>
        <v>429</v>
      </c>
      <c r="BY382" s="608">
        <f t="shared" si="442"/>
        <v>428</v>
      </c>
      <c r="BZ382" s="607">
        <f t="shared" si="443"/>
        <v>0</v>
      </c>
      <c r="CA382" s="608">
        <f t="shared" si="444"/>
        <v>0</v>
      </c>
      <c r="CB382" s="607">
        <f t="shared" si="445"/>
        <v>0</v>
      </c>
      <c r="CC382" s="608">
        <f t="shared" si="446"/>
        <v>0</v>
      </c>
      <c r="CD382" s="607">
        <f t="shared" si="447"/>
        <v>0</v>
      </c>
      <c r="CE382" s="608">
        <f t="shared" si="448"/>
        <v>0</v>
      </c>
      <c r="CF382" s="607">
        <f t="shared" si="449"/>
        <v>0</v>
      </c>
      <c r="CG382" s="608">
        <f t="shared" si="450"/>
        <v>0</v>
      </c>
      <c r="CH382" s="607">
        <f t="shared" si="451"/>
        <v>0</v>
      </c>
      <c r="CI382" s="608">
        <f t="shared" si="452"/>
        <v>0</v>
      </c>
      <c r="CJ382" s="607">
        <f t="shared" si="453"/>
        <v>4698.9510489510485</v>
      </c>
      <c r="CK382" s="608">
        <f t="shared" si="454"/>
        <v>5081.1401869158881</v>
      </c>
      <c r="CL382" s="609">
        <f t="shared" si="455"/>
        <v>0</v>
      </c>
      <c r="CM382" s="608">
        <f t="shared" si="456"/>
        <v>0</v>
      </c>
      <c r="CN382" s="610">
        <f t="shared" si="457"/>
        <v>0</v>
      </c>
      <c r="CO382" s="606">
        <f t="shared" si="458"/>
        <v>0</v>
      </c>
      <c r="CP382" s="607">
        <f t="shared" si="459"/>
        <v>0</v>
      </c>
      <c r="CQ382" s="606">
        <f t="shared" si="460"/>
        <v>0</v>
      </c>
      <c r="CR382" s="607">
        <f t="shared" si="461"/>
        <v>0</v>
      </c>
      <c r="CS382" s="606">
        <f t="shared" si="462"/>
        <v>0</v>
      </c>
      <c r="CT382" s="607">
        <f t="shared" si="463"/>
        <v>0</v>
      </c>
      <c r="CU382" s="608">
        <f t="shared" si="464"/>
        <v>0</v>
      </c>
      <c r="CV382" s="610">
        <f t="shared" si="465"/>
        <v>42290.559440559438</v>
      </c>
      <c r="CW382" s="608">
        <f t="shared" si="466"/>
        <v>45730.261682242992</v>
      </c>
      <c r="CX382" s="610">
        <f t="shared" si="467"/>
        <v>42290.559440559438</v>
      </c>
      <c r="CY382" s="611">
        <f t="shared" si="468"/>
        <v>45730.261682242992</v>
      </c>
      <c r="CZ382" s="605">
        <f t="shared" si="469"/>
        <v>0</v>
      </c>
      <c r="DA382" s="612">
        <f t="shared" si="470"/>
        <v>0</v>
      </c>
      <c r="DB382" s="607">
        <f t="shared" si="471"/>
        <v>0</v>
      </c>
      <c r="DC382" s="606">
        <f t="shared" si="472"/>
        <v>0</v>
      </c>
      <c r="DD382" s="607">
        <f t="shared" si="473"/>
        <v>0</v>
      </c>
      <c r="DE382" s="606">
        <f t="shared" si="474"/>
        <v>0</v>
      </c>
      <c r="DF382" s="607">
        <f t="shared" si="475"/>
        <v>0</v>
      </c>
      <c r="DG382" s="606">
        <f t="shared" si="476"/>
        <v>0</v>
      </c>
      <c r="DH382" s="607">
        <f t="shared" si="477"/>
        <v>0</v>
      </c>
      <c r="DI382" s="608">
        <f t="shared" si="478"/>
        <v>0</v>
      </c>
      <c r="DJ382" s="607">
        <f t="shared" si="479"/>
        <v>45</v>
      </c>
      <c r="DK382" s="608">
        <f t="shared" si="480"/>
        <v>46</v>
      </c>
      <c r="DL382" s="607">
        <f t="shared" si="481"/>
        <v>45</v>
      </c>
      <c r="DM382" s="608">
        <f t="shared" si="482"/>
        <v>46</v>
      </c>
      <c r="DN382" s="607">
        <f t="shared" si="483"/>
        <v>0</v>
      </c>
      <c r="DO382" s="612">
        <f t="shared" si="484"/>
        <v>0</v>
      </c>
      <c r="DP382" s="607">
        <f t="shared" si="485"/>
        <v>0</v>
      </c>
      <c r="DQ382" s="606">
        <f t="shared" si="486"/>
        <v>0</v>
      </c>
      <c r="DR382" s="607">
        <f t="shared" si="487"/>
        <v>0</v>
      </c>
      <c r="DS382" s="606">
        <f t="shared" si="488"/>
        <v>0</v>
      </c>
      <c r="DT382" s="607">
        <f t="shared" si="489"/>
        <v>0</v>
      </c>
      <c r="DU382" s="606">
        <f t="shared" si="490"/>
        <v>0</v>
      </c>
      <c r="DV382" s="607">
        <f t="shared" si="491"/>
        <v>0</v>
      </c>
      <c r="DW382" s="608">
        <f t="shared" si="492"/>
        <v>0</v>
      </c>
      <c r="DX382" s="607">
        <f t="shared" si="493"/>
        <v>1903075.1748251747</v>
      </c>
      <c r="DY382" s="608">
        <f t="shared" si="494"/>
        <v>2103592.0373831778</v>
      </c>
      <c r="DZ382" s="607">
        <f t="shared" si="495"/>
        <v>1903075.1748251747</v>
      </c>
      <c r="EA382" s="608">
        <f t="shared" si="496"/>
        <v>2103592.0373831778</v>
      </c>
    </row>
    <row r="383" spans="1:131" ht="15" customHeight="1" x14ac:dyDescent="0.2">
      <c r="A383" s="485" t="s">
        <v>41</v>
      </c>
      <c r="B383" s="404" t="s">
        <v>704</v>
      </c>
      <c r="C383" s="552"/>
      <c r="D383" s="408">
        <v>207290</v>
      </c>
      <c r="E383" s="407">
        <v>10</v>
      </c>
      <c r="F383" s="598"/>
      <c r="G383" s="599"/>
      <c r="H383" s="600"/>
      <c r="I383" s="601"/>
      <c r="J383" s="600"/>
      <c r="K383" s="599"/>
      <c r="L383" s="600"/>
      <c r="M383" s="601"/>
      <c r="N383" s="600"/>
      <c r="O383" s="599"/>
      <c r="P383" s="600"/>
      <c r="Q383" s="601"/>
      <c r="R383" s="600"/>
      <c r="S383" s="599"/>
      <c r="T383" s="600"/>
      <c r="U383" s="601"/>
      <c r="V383" s="600"/>
      <c r="W383" s="599"/>
      <c r="X383" s="600"/>
      <c r="Y383" s="601"/>
      <c r="Z383" s="600"/>
      <c r="AA383" s="599"/>
      <c r="AB383" s="600"/>
      <c r="AC383" s="601"/>
      <c r="AD383" s="600"/>
      <c r="AE383" s="599"/>
      <c r="AF383" s="600"/>
      <c r="AG383" s="601"/>
      <c r="AH383" s="600"/>
      <c r="AI383" s="599"/>
      <c r="AJ383" s="600"/>
      <c r="AK383" s="601"/>
      <c r="AL383" s="600"/>
      <c r="AM383" s="599"/>
      <c r="AN383" s="600"/>
      <c r="AO383" s="601"/>
      <c r="AP383" s="600"/>
      <c r="AQ383" s="599"/>
      <c r="AR383" s="600"/>
      <c r="AS383" s="601"/>
      <c r="AT383" s="600">
        <v>59</v>
      </c>
      <c r="AU383" s="599">
        <v>67</v>
      </c>
      <c r="AV383" s="600"/>
      <c r="AW383" s="601"/>
      <c r="AX383" s="600">
        <v>2</v>
      </c>
      <c r="AY383" s="599">
        <v>0</v>
      </c>
      <c r="AZ383" s="600"/>
      <c r="BA383" s="601"/>
      <c r="BB383" s="602">
        <v>0</v>
      </c>
      <c r="BC383" s="599"/>
      <c r="BD383" s="600">
        <v>0</v>
      </c>
      <c r="BE383" s="599"/>
      <c r="BF383" s="600">
        <v>0</v>
      </c>
      <c r="BG383" s="599"/>
      <c r="BH383" s="600">
        <v>0</v>
      </c>
      <c r="BI383" s="599"/>
      <c r="BJ383" s="600">
        <v>0</v>
      </c>
      <c r="BK383" s="615"/>
      <c r="BL383" s="600">
        <v>2653337</v>
      </c>
      <c r="BM383" s="604">
        <v>2922875</v>
      </c>
      <c r="BN383" s="605">
        <f t="shared" si="431"/>
        <v>0</v>
      </c>
      <c r="BO383" s="606">
        <f t="shared" si="432"/>
        <v>0</v>
      </c>
      <c r="BP383" s="607">
        <f t="shared" si="433"/>
        <v>0</v>
      </c>
      <c r="BQ383" s="606">
        <f t="shared" si="434"/>
        <v>0</v>
      </c>
      <c r="BR383" s="607">
        <f t="shared" si="435"/>
        <v>0</v>
      </c>
      <c r="BS383" s="606">
        <f t="shared" si="436"/>
        <v>0</v>
      </c>
      <c r="BT383" s="607">
        <f t="shared" si="437"/>
        <v>0</v>
      </c>
      <c r="BU383" s="606">
        <f t="shared" si="438"/>
        <v>0</v>
      </c>
      <c r="BV383" s="607">
        <f t="shared" si="439"/>
        <v>0</v>
      </c>
      <c r="BW383" s="608">
        <f t="shared" si="440"/>
        <v>0</v>
      </c>
      <c r="BX383" s="607">
        <f t="shared" si="441"/>
        <v>553</v>
      </c>
      <c r="BY383" s="608">
        <f t="shared" si="442"/>
        <v>603</v>
      </c>
      <c r="BZ383" s="607">
        <f t="shared" si="443"/>
        <v>0</v>
      </c>
      <c r="CA383" s="608">
        <f t="shared" si="444"/>
        <v>0</v>
      </c>
      <c r="CB383" s="607">
        <f t="shared" si="445"/>
        <v>0</v>
      </c>
      <c r="CC383" s="608">
        <f t="shared" si="446"/>
        <v>0</v>
      </c>
      <c r="CD383" s="607">
        <f t="shared" si="447"/>
        <v>0</v>
      </c>
      <c r="CE383" s="608">
        <f t="shared" si="448"/>
        <v>0</v>
      </c>
      <c r="CF383" s="607">
        <f t="shared" si="449"/>
        <v>0</v>
      </c>
      <c r="CG383" s="608">
        <f t="shared" si="450"/>
        <v>0</v>
      </c>
      <c r="CH383" s="607">
        <f t="shared" si="451"/>
        <v>0</v>
      </c>
      <c r="CI383" s="608">
        <f t="shared" si="452"/>
        <v>0</v>
      </c>
      <c r="CJ383" s="607">
        <f t="shared" si="453"/>
        <v>4798.0777576853525</v>
      </c>
      <c r="CK383" s="608">
        <f t="shared" si="454"/>
        <v>4847.2222222222226</v>
      </c>
      <c r="CL383" s="609">
        <f t="shared" si="455"/>
        <v>0</v>
      </c>
      <c r="CM383" s="608">
        <f t="shared" si="456"/>
        <v>0</v>
      </c>
      <c r="CN383" s="610">
        <f t="shared" si="457"/>
        <v>0</v>
      </c>
      <c r="CO383" s="606">
        <f t="shared" si="458"/>
        <v>0</v>
      </c>
      <c r="CP383" s="607">
        <f t="shared" si="459"/>
        <v>0</v>
      </c>
      <c r="CQ383" s="606">
        <f t="shared" si="460"/>
        <v>0</v>
      </c>
      <c r="CR383" s="607">
        <f t="shared" si="461"/>
        <v>0</v>
      </c>
      <c r="CS383" s="606">
        <f t="shared" si="462"/>
        <v>0</v>
      </c>
      <c r="CT383" s="607">
        <f t="shared" si="463"/>
        <v>0</v>
      </c>
      <c r="CU383" s="608">
        <f t="shared" si="464"/>
        <v>0</v>
      </c>
      <c r="CV383" s="610">
        <f t="shared" si="465"/>
        <v>43182.699819168171</v>
      </c>
      <c r="CW383" s="608">
        <f t="shared" si="466"/>
        <v>43625</v>
      </c>
      <c r="CX383" s="610">
        <f t="shared" si="467"/>
        <v>43182.699819168171</v>
      </c>
      <c r="CY383" s="611">
        <f t="shared" si="468"/>
        <v>43625</v>
      </c>
      <c r="CZ383" s="605">
        <f t="shared" si="469"/>
        <v>0</v>
      </c>
      <c r="DA383" s="612">
        <f t="shared" si="470"/>
        <v>0</v>
      </c>
      <c r="DB383" s="607">
        <f t="shared" si="471"/>
        <v>0</v>
      </c>
      <c r="DC383" s="606">
        <f t="shared" si="472"/>
        <v>0</v>
      </c>
      <c r="DD383" s="607">
        <f t="shared" si="473"/>
        <v>0</v>
      </c>
      <c r="DE383" s="606">
        <f t="shared" si="474"/>
        <v>0</v>
      </c>
      <c r="DF383" s="607">
        <f t="shared" si="475"/>
        <v>0</v>
      </c>
      <c r="DG383" s="606">
        <f t="shared" si="476"/>
        <v>0</v>
      </c>
      <c r="DH383" s="607">
        <f t="shared" si="477"/>
        <v>0</v>
      </c>
      <c r="DI383" s="608">
        <f t="shared" si="478"/>
        <v>0</v>
      </c>
      <c r="DJ383" s="607">
        <f t="shared" si="479"/>
        <v>61</v>
      </c>
      <c r="DK383" s="608">
        <f t="shared" si="480"/>
        <v>67</v>
      </c>
      <c r="DL383" s="607">
        <f t="shared" si="481"/>
        <v>61</v>
      </c>
      <c r="DM383" s="608">
        <f t="shared" si="482"/>
        <v>67</v>
      </c>
      <c r="DN383" s="607">
        <f t="shared" si="483"/>
        <v>0</v>
      </c>
      <c r="DO383" s="612">
        <f t="shared" si="484"/>
        <v>0</v>
      </c>
      <c r="DP383" s="607">
        <f t="shared" si="485"/>
        <v>0</v>
      </c>
      <c r="DQ383" s="606">
        <f t="shared" si="486"/>
        <v>0</v>
      </c>
      <c r="DR383" s="607">
        <f t="shared" si="487"/>
        <v>0</v>
      </c>
      <c r="DS383" s="606">
        <f t="shared" si="488"/>
        <v>0</v>
      </c>
      <c r="DT383" s="607">
        <f t="shared" si="489"/>
        <v>0</v>
      </c>
      <c r="DU383" s="606">
        <f t="shared" si="490"/>
        <v>0</v>
      </c>
      <c r="DV383" s="607">
        <f t="shared" si="491"/>
        <v>0</v>
      </c>
      <c r="DW383" s="608">
        <f t="shared" si="492"/>
        <v>0</v>
      </c>
      <c r="DX383" s="607">
        <f t="shared" si="493"/>
        <v>2634144.6889692582</v>
      </c>
      <c r="DY383" s="608">
        <f t="shared" si="494"/>
        <v>2922875</v>
      </c>
      <c r="DZ383" s="607">
        <f t="shared" si="495"/>
        <v>2634144.6889692582</v>
      </c>
      <c r="EA383" s="608">
        <f t="shared" si="496"/>
        <v>2922875</v>
      </c>
    </row>
    <row r="384" spans="1:131" ht="15" customHeight="1" x14ac:dyDescent="0.2">
      <c r="A384" s="485" t="s">
        <v>41</v>
      </c>
      <c r="B384" s="404" t="s">
        <v>705</v>
      </c>
      <c r="C384" s="552"/>
      <c r="D384" s="408">
        <v>207069</v>
      </c>
      <c r="E384" s="407">
        <v>10</v>
      </c>
      <c r="F384" s="598"/>
      <c r="G384" s="599"/>
      <c r="H384" s="600"/>
      <c r="I384" s="601"/>
      <c r="J384" s="600"/>
      <c r="K384" s="599"/>
      <c r="L384" s="600"/>
      <c r="M384" s="601"/>
      <c r="N384" s="600"/>
      <c r="O384" s="599"/>
      <c r="P384" s="600"/>
      <c r="Q384" s="601"/>
      <c r="R384" s="600"/>
      <c r="S384" s="599"/>
      <c r="T384" s="600"/>
      <c r="U384" s="601"/>
      <c r="V384" s="600"/>
      <c r="W384" s="599"/>
      <c r="X384" s="600"/>
      <c r="Y384" s="601"/>
      <c r="Z384" s="600"/>
      <c r="AA384" s="599"/>
      <c r="AB384" s="600"/>
      <c r="AC384" s="601"/>
      <c r="AD384" s="600"/>
      <c r="AE384" s="599"/>
      <c r="AF384" s="600"/>
      <c r="AG384" s="601"/>
      <c r="AH384" s="600"/>
      <c r="AI384" s="599"/>
      <c r="AJ384" s="600"/>
      <c r="AK384" s="601"/>
      <c r="AL384" s="600"/>
      <c r="AM384" s="599"/>
      <c r="AN384" s="600"/>
      <c r="AO384" s="601"/>
      <c r="AP384" s="600"/>
      <c r="AQ384" s="599"/>
      <c r="AR384" s="600"/>
      <c r="AS384" s="601"/>
      <c r="AT384" s="600">
        <v>26</v>
      </c>
      <c r="AU384" s="599">
        <v>26</v>
      </c>
      <c r="AV384" s="600"/>
      <c r="AW384" s="601"/>
      <c r="AX384" s="600">
        <v>10</v>
      </c>
      <c r="AY384" s="599">
        <v>9</v>
      </c>
      <c r="AZ384" s="600"/>
      <c r="BA384" s="601"/>
      <c r="BB384" s="602">
        <v>0</v>
      </c>
      <c r="BC384" s="599"/>
      <c r="BD384" s="600">
        <v>0</v>
      </c>
      <c r="BE384" s="599"/>
      <c r="BF384" s="600">
        <v>0</v>
      </c>
      <c r="BG384" s="599"/>
      <c r="BH384" s="600">
        <v>0</v>
      </c>
      <c r="BI384" s="599"/>
      <c r="BJ384" s="600">
        <v>0</v>
      </c>
      <c r="BK384" s="615"/>
      <c r="BL384" s="600">
        <v>1493176</v>
      </c>
      <c r="BM384" s="604">
        <f>1081184+415413</f>
        <v>1496597</v>
      </c>
      <c r="BN384" s="605">
        <f t="shared" si="431"/>
        <v>0</v>
      </c>
      <c r="BO384" s="606">
        <f t="shared" si="432"/>
        <v>0</v>
      </c>
      <c r="BP384" s="607">
        <f t="shared" si="433"/>
        <v>0</v>
      </c>
      <c r="BQ384" s="606">
        <f t="shared" si="434"/>
        <v>0</v>
      </c>
      <c r="BR384" s="607">
        <f t="shared" si="435"/>
        <v>0</v>
      </c>
      <c r="BS384" s="606">
        <f t="shared" si="436"/>
        <v>0</v>
      </c>
      <c r="BT384" s="607">
        <f t="shared" si="437"/>
        <v>0</v>
      </c>
      <c r="BU384" s="606">
        <f t="shared" si="438"/>
        <v>0</v>
      </c>
      <c r="BV384" s="607">
        <f t="shared" si="439"/>
        <v>0</v>
      </c>
      <c r="BW384" s="608">
        <f t="shared" si="440"/>
        <v>0</v>
      </c>
      <c r="BX384" s="607">
        <f t="shared" si="441"/>
        <v>344</v>
      </c>
      <c r="BY384" s="608">
        <f t="shared" si="442"/>
        <v>333</v>
      </c>
      <c r="BZ384" s="607">
        <f t="shared" si="443"/>
        <v>0</v>
      </c>
      <c r="CA384" s="608">
        <f t="shared" si="444"/>
        <v>0</v>
      </c>
      <c r="CB384" s="607">
        <f t="shared" si="445"/>
        <v>0</v>
      </c>
      <c r="CC384" s="608">
        <f t="shared" si="446"/>
        <v>0</v>
      </c>
      <c r="CD384" s="607">
        <f t="shared" si="447"/>
        <v>0</v>
      </c>
      <c r="CE384" s="608">
        <f t="shared" si="448"/>
        <v>0</v>
      </c>
      <c r="CF384" s="607">
        <f t="shared" si="449"/>
        <v>0</v>
      </c>
      <c r="CG384" s="608">
        <f t="shared" si="450"/>
        <v>0</v>
      </c>
      <c r="CH384" s="607">
        <f t="shared" si="451"/>
        <v>0</v>
      </c>
      <c r="CI384" s="608">
        <f t="shared" si="452"/>
        <v>0</v>
      </c>
      <c r="CJ384" s="607">
        <f t="shared" si="453"/>
        <v>4340.6279069767443</v>
      </c>
      <c r="CK384" s="608">
        <f t="shared" si="454"/>
        <v>4494.2852852852857</v>
      </c>
      <c r="CL384" s="609">
        <f t="shared" si="455"/>
        <v>0</v>
      </c>
      <c r="CM384" s="608">
        <f t="shared" si="456"/>
        <v>0</v>
      </c>
      <c r="CN384" s="610">
        <f t="shared" si="457"/>
        <v>0</v>
      </c>
      <c r="CO384" s="606">
        <f t="shared" si="458"/>
        <v>0</v>
      </c>
      <c r="CP384" s="607">
        <f t="shared" si="459"/>
        <v>0</v>
      </c>
      <c r="CQ384" s="606">
        <f t="shared" si="460"/>
        <v>0</v>
      </c>
      <c r="CR384" s="607">
        <f t="shared" si="461"/>
        <v>0</v>
      </c>
      <c r="CS384" s="606">
        <f t="shared" si="462"/>
        <v>0</v>
      </c>
      <c r="CT384" s="607">
        <f t="shared" si="463"/>
        <v>0</v>
      </c>
      <c r="CU384" s="608">
        <f t="shared" si="464"/>
        <v>0</v>
      </c>
      <c r="CV384" s="610">
        <f t="shared" si="465"/>
        <v>39065.651162790702</v>
      </c>
      <c r="CW384" s="608">
        <f t="shared" si="466"/>
        <v>40448.567567567574</v>
      </c>
      <c r="CX384" s="610">
        <f t="shared" si="467"/>
        <v>39065.651162790702</v>
      </c>
      <c r="CY384" s="611">
        <f t="shared" si="468"/>
        <v>40448.567567567574</v>
      </c>
      <c r="CZ384" s="605">
        <f t="shared" si="469"/>
        <v>0</v>
      </c>
      <c r="DA384" s="612">
        <f t="shared" si="470"/>
        <v>0</v>
      </c>
      <c r="DB384" s="607">
        <f t="shared" si="471"/>
        <v>0</v>
      </c>
      <c r="DC384" s="606">
        <f t="shared" si="472"/>
        <v>0</v>
      </c>
      <c r="DD384" s="607">
        <f t="shared" si="473"/>
        <v>0</v>
      </c>
      <c r="DE384" s="606">
        <f t="shared" si="474"/>
        <v>0</v>
      </c>
      <c r="DF384" s="607">
        <f t="shared" si="475"/>
        <v>0</v>
      </c>
      <c r="DG384" s="606">
        <f t="shared" si="476"/>
        <v>0</v>
      </c>
      <c r="DH384" s="607">
        <f t="shared" si="477"/>
        <v>0</v>
      </c>
      <c r="DI384" s="608">
        <f t="shared" si="478"/>
        <v>0</v>
      </c>
      <c r="DJ384" s="607">
        <f t="shared" si="479"/>
        <v>36</v>
      </c>
      <c r="DK384" s="608">
        <f t="shared" si="480"/>
        <v>35</v>
      </c>
      <c r="DL384" s="607">
        <f t="shared" si="481"/>
        <v>36</v>
      </c>
      <c r="DM384" s="608">
        <f t="shared" si="482"/>
        <v>35</v>
      </c>
      <c r="DN384" s="607">
        <f t="shared" si="483"/>
        <v>0</v>
      </c>
      <c r="DO384" s="612">
        <f t="shared" si="484"/>
        <v>0</v>
      </c>
      <c r="DP384" s="607">
        <f t="shared" si="485"/>
        <v>0</v>
      </c>
      <c r="DQ384" s="606">
        <f t="shared" si="486"/>
        <v>0</v>
      </c>
      <c r="DR384" s="607">
        <f t="shared" si="487"/>
        <v>0</v>
      </c>
      <c r="DS384" s="606">
        <f t="shared" si="488"/>
        <v>0</v>
      </c>
      <c r="DT384" s="607">
        <f t="shared" si="489"/>
        <v>0</v>
      </c>
      <c r="DU384" s="606">
        <f t="shared" si="490"/>
        <v>0</v>
      </c>
      <c r="DV384" s="607">
        <f t="shared" si="491"/>
        <v>0</v>
      </c>
      <c r="DW384" s="608">
        <f t="shared" si="492"/>
        <v>0</v>
      </c>
      <c r="DX384" s="607">
        <f t="shared" si="493"/>
        <v>1406363.4418604653</v>
      </c>
      <c r="DY384" s="608">
        <f t="shared" si="494"/>
        <v>1415699.8648648651</v>
      </c>
      <c r="DZ384" s="607">
        <f t="shared" si="495"/>
        <v>1406363.4418604653</v>
      </c>
      <c r="EA384" s="608">
        <f t="shared" si="496"/>
        <v>1415699.8648648651</v>
      </c>
    </row>
    <row r="385" spans="1:131" ht="15" customHeight="1" x14ac:dyDescent="0.2">
      <c r="A385" s="485" t="s">
        <v>41</v>
      </c>
      <c r="B385" s="404" t="s">
        <v>706</v>
      </c>
      <c r="C385" s="552"/>
      <c r="D385" s="408">
        <v>207740</v>
      </c>
      <c r="E385" s="407">
        <v>10</v>
      </c>
      <c r="F385" s="598"/>
      <c r="G385" s="599"/>
      <c r="H385" s="600"/>
      <c r="I385" s="601"/>
      <c r="J385" s="600"/>
      <c r="K385" s="599"/>
      <c r="L385" s="600"/>
      <c r="M385" s="601"/>
      <c r="N385" s="600"/>
      <c r="O385" s="599"/>
      <c r="P385" s="600"/>
      <c r="Q385" s="601"/>
      <c r="R385" s="600"/>
      <c r="S385" s="599"/>
      <c r="T385" s="600"/>
      <c r="U385" s="601"/>
      <c r="V385" s="600"/>
      <c r="W385" s="599"/>
      <c r="X385" s="600"/>
      <c r="Y385" s="601"/>
      <c r="Z385" s="600"/>
      <c r="AA385" s="599"/>
      <c r="AB385" s="600"/>
      <c r="AC385" s="601"/>
      <c r="AD385" s="600"/>
      <c r="AE385" s="599"/>
      <c r="AF385" s="600"/>
      <c r="AG385" s="601"/>
      <c r="AH385" s="600"/>
      <c r="AI385" s="599"/>
      <c r="AJ385" s="600"/>
      <c r="AK385" s="601"/>
      <c r="AL385" s="600"/>
      <c r="AM385" s="599"/>
      <c r="AN385" s="600"/>
      <c r="AO385" s="601"/>
      <c r="AP385" s="600"/>
      <c r="AQ385" s="599"/>
      <c r="AR385" s="600"/>
      <c r="AS385" s="601"/>
      <c r="AT385" s="600">
        <v>39</v>
      </c>
      <c r="AU385" s="599">
        <v>40</v>
      </c>
      <c r="AV385" s="600"/>
      <c r="AW385" s="601"/>
      <c r="AX385" s="600">
        <v>10</v>
      </c>
      <c r="AY385" s="599">
        <v>8</v>
      </c>
      <c r="AZ385" s="600"/>
      <c r="BA385" s="601"/>
      <c r="BB385" s="602">
        <v>0</v>
      </c>
      <c r="BC385" s="599"/>
      <c r="BD385" s="600">
        <v>0</v>
      </c>
      <c r="BE385" s="599"/>
      <c r="BF385" s="600">
        <v>0</v>
      </c>
      <c r="BG385" s="599"/>
      <c r="BH385" s="600">
        <v>0</v>
      </c>
      <c r="BI385" s="599"/>
      <c r="BJ385" s="600">
        <v>0</v>
      </c>
      <c r="BK385" s="615"/>
      <c r="BL385" s="600">
        <v>2190325</v>
      </c>
      <c r="BM385" s="604">
        <f>1735160+392576</f>
        <v>2127736</v>
      </c>
      <c r="BN385" s="605">
        <f t="shared" si="431"/>
        <v>0</v>
      </c>
      <c r="BO385" s="606">
        <f t="shared" si="432"/>
        <v>0</v>
      </c>
      <c r="BP385" s="607">
        <f t="shared" si="433"/>
        <v>0</v>
      </c>
      <c r="BQ385" s="606">
        <f t="shared" si="434"/>
        <v>0</v>
      </c>
      <c r="BR385" s="607">
        <f t="shared" si="435"/>
        <v>0</v>
      </c>
      <c r="BS385" s="606">
        <f t="shared" si="436"/>
        <v>0</v>
      </c>
      <c r="BT385" s="607">
        <f t="shared" si="437"/>
        <v>0</v>
      </c>
      <c r="BU385" s="606">
        <f t="shared" si="438"/>
        <v>0</v>
      </c>
      <c r="BV385" s="607">
        <f t="shared" si="439"/>
        <v>0</v>
      </c>
      <c r="BW385" s="608">
        <f t="shared" si="440"/>
        <v>0</v>
      </c>
      <c r="BX385" s="607">
        <f t="shared" si="441"/>
        <v>461</v>
      </c>
      <c r="BY385" s="608">
        <f t="shared" si="442"/>
        <v>448</v>
      </c>
      <c r="BZ385" s="607">
        <f t="shared" si="443"/>
        <v>0</v>
      </c>
      <c r="CA385" s="608">
        <f t="shared" si="444"/>
        <v>0</v>
      </c>
      <c r="CB385" s="607">
        <f t="shared" si="445"/>
        <v>0</v>
      </c>
      <c r="CC385" s="608">
        <f t="shared" si="446"/>
        <v>0</v>
      </c>
      <c r="CD385" s="607">
        <f t="shared" si="447"/>
        <v>0</v>
      </c>
      <c r="CE385" s="608">
        <f t="shared" si="448"/>
        <v>0</v>
      </c>
      <c r="CF385" s="607">
        <f t="shared" si="449"/>
        <v>0</v>
      </c>
      <c r="CG385" s="608">
        <f t="shared" si="450"/>
        <v>0</v>
      </c>
      <c r="CH385" s="607">
        <f t="shared" si="451"/>
        <v>0</v>
      </c>
      <c r="CI385" s="608">
        <f t="shared" si="452"/>
        <v>0</v>
      </c>
      <c r="CJ385" s="607">
        <f t="shared" si="453"/>
        <v>4751.2472885032539</v>
      </c>
      <c r="CK385" s="608">
        <f t="shared" si="454"/>
        <v>4749.4107142857147</v>
      </c>
      <c r="CL385" s="609">
        <f t="shared" si="455"/>
        <v>0</v>
      </c>
      <c r="CM385" s="608">
        <f t="shared" si="456"/>
        <v>0</v>
      </c>
      <c r="CN385" s="610">
        <f t="shared" si="457"/>
        <v>0</v>
      </c>
      <c r="CO385" s="606">
        <f t="shared" si="458"/>
        <v>0</v>
      </c>
      <c r="CP385" s="607">
        <f t="shared" si="459"/>
        <v>0</v>
      </c>
      <c r="CQ385" s="606">
        <f t="shared" si="460"/>
        <v>0</v>
      </c>
      <c r="CR385" s="607">
        <f t="shared" si="461"/>
        <v>0</v>
      </c>
      <c r="CS385" s="606">
        <f t="shared" si="462"/>
        <v>0</v>
      </c>
      <c r="CT385" s="607">
        <f t="shared" si="463"/>
        <v>0</v>
      </c>
      <c r="CU385" s="608">
        <f t="shared" si="464"/>
        <v>0</v>
      </c>
      <c r="CV385" s="610">
        <f t="shared" si="465"/>
        <v>42761.225596529286</v>
      </c>
      <c r="CW385" s="608">
        <f t="shared" si="466"/>
        <v>42744.696428571435</v>
      </c>
      <c r="CX385" s="610">
        <f t="shared" si="467"/>
        <v>42761.225596529286</v>
      </c>
      <c r="CY385" s="611">
        <f t="shared" si="468"/>
        <v>42744.696428571435</v>
      </c>
      <c r="CZ385" s="605">
        <f t="shared" si="469"/>
        <v>0</v>
      </c>
      <c r="DA385" s="612">
        <f t="shared" si="470"/>
        <v>0</v>
      </c>
      <c r="DB385" s="607">
        <f t="shared" si="471"/>
        <v>0</v>
      </c>
      <c r="DC385" s="606">
        <f t="shared" si="472"/>
        <v>0</v>
      </c>
      <c r="DD385" s="607">
        <f t="shared" si="473"/>
        <v>0</v>
      </c>
      <c r="DE385" s="606">
        <f t="shared" si="474"/>
        <v>0</v>
      </c>
      <c r="DF385" s="607">
        <f t="shared" si="475"/>
        <v>0</v>
      </c>
      <c r="DG385" s="606">
        <f t="shared" si="476"/>
        <v>0</v>
      </c>
      <c r="DH385" s="607">
        <f t="shared" si="477"/>
        <v>0</v>
      </c>
      <c r="DI385" s="608">
        <f t="shared" si="478"/>
        <v>0</v>
      </c>
      <c r="DJ385" s="607">
        <f t="shared" si="479"/>
        <v>49</v>
      </c>
      <c r="DK385" s="608">
        <f t="shared" si="480"/>
        <v>48</v>
      </c>
      <c r="DL385" s="607">
        <f t="shared" si="481"/>
        <v>49</v>
      </c>
      <c r="DM385" s="608">
        <f t="shared" si="482"/>
        <v>48</v>
      </c>
      <c r="DN385" s="607">
        <f t="shared" si="483"/>
        <v>0</v>
      </c>
      <c r="DO385" s="612">
        <f t="shared" si="484"/>
        <v>0</v>
      </c>
      <c r="DP385" s="607">
        <f t="shared" si="485"/>
        <v>0</v>
      </c>
      <c r="DQ385" s="606">
        <f t="shared" si="486"/>
        <v>0</v>
      </c>
      <c r="DR385" s="607">
        <f t="shared" si="487"/>
        <v>0</v>
      </c>
      <c r="DS385" s="606">
        <f t="shared" si="488"/>
        <v>0</v>
      </c>
      <c r="DT385" s="607">
        <f t="shared" si="489"/>
        <v>0</v>
      </c>
      <c r="DU385" s="606">
        <f t="shared" si="490"/>
        <v>0</v>
      </c>
      <c r="DV385" s="607">
        <f t="shared" si="491"/>
        <v>0</v>
      </c>
      <c r="DW385" s="608">
        <f t="shared" si="492"/>
        <v>0</v>
      </c>
      <c r="DX385" s="607">
        <f t="shared" si="493"/>
        <v>2095300.0542299349</v>
      </c>
      <c r="DY385" s="608">
        <f t="shared" si="494"/>
        <v>2051745.4285714289</v>
      </c>
      <c r="DZ385" s="607">
        <f t="shared" si="495"/>
        <v>2095300.0542299349</v>
      </c>
      <c r="EA385" s="608">
        <f t="shared" si="496"/>
        <v>2051745.4285714289</v>
      </c>
    </row>
    <row r="386" spans="1:131" ht="15" customHeight="1" x14ac:dyDescent="0.2">
      <c r="A386" s="485" t="s">
        <v>41</v>
      </c>
      <c r="B386" s="404" t="s">
        <v>707</v>
      </c>
      <c r="C386" s="552" t="s">
        <v>712</v>
      </c>
      <c r="D386" s="408">
        <v>208035</v>
      </c>
      <c r="E386" s="407">
        <v>10</v>
      </c>
      <c r="F386" s="598"/>
      <c r="G386" s="599"/>
      <c r="H386" s="600"/>
      <c r="I386" s="601"/>
      <c r="J386" s="600"/>
      <c r="K386" s="599"/>
      <c r="L386" s="600"/>
      <c r="M386" s="601"/>
      <c r="N386" s="600"/>
      <c r="O386" s="599"/>
      <c r="P386" s="600"/>
      <c r="Q386" s="601"/>
      <c r="R386" s="600"/>
      <c r="S386" s="599"/>
      <c r="T386" s="600"/>
      <c r="U386" s="601"/>
      <c r="V386" s="600"/>
      <c r="W386" s="599"/>
      <c r="X386" s="600"/>
      <c r="Y386" s="601"/>
      <c r="Z386" s="600"/>
      <c r="AA386" s="599"/>
      <c r="AB386" s="600"/>
      <c r="AC386" s="601"/>
      <c r="AD386" s="600"/>
      <c r="AE386" s="599"/>
      <c r="AF386" s="600"/>
      <c r="AG386" s="601"/>
      <c r="AH386" s="600"/>
      <c r="AI386" s="599"/>
      <c r="AJ386" s="600"/>
      <c r="AK386" s="601"/>
      <c r="AL386" s="600"/>
      <c r="AM386" s="599"/>
      <c r="AN386" s="600"/>
      <c r="AO386" s="601"/>
      <c r="AP386" s="600"/>
      <c r="AQ386" s="599"/>
      <c r="AR386" s="600"/>
      <c r="AS386" s="601"/>
      <c r="AT386" s="600">
        <v>37</v>
      </c>
      <c r="AU386" s="599">
        <v>38</v>
      </c>
      <c r="AV386" s="600"/>
      <c r="AW386" s="601"/>
      <c r="AX386" s="600">
        <v>3</v>
      </c>
      <c r="AY386" s="599">
        <v>3</v>
      </c>
      <c r="AZ386" s="600"/>
      <c r="BA386" s="601"/>
      <c r="BB386" s="602">
        <v>0</v>
      </c>
      <c r="BC386" s="599"/>
      <c r="BD386" s="600">
        <v>0</v>
      </c>
      <c r="BE386" s="599"/>
      <c r="BF386" s="600">
        <v>0</v>
      </c>
      <c r="BG386" s="599"/>
      <c r="BH386" s="600">
        <v>0</v>
      </c>
      <c r="BI386" s="599"/>
      <c r="BJ386" s="600">
        <v>0</v>
      </c>
      <c r="BK386" s="615"/>
      <c r="BL386" s="600">
        <v>1785325</v>
      </c>
      <c r="BM386" s="604">
        <f>1721894+169848</f>
        <v>1891742</v>
      </c>
      <c r="BN386" s="605">
        <f t="shared" si="431"/>
        <v>0</v>
      </c>
      <c r="BO386" s="606">
        <f t="shared" si="432"/>
        <v>0</v>
      </c>
      <c r="BP386" s="607">
        <f t="shared" si="433"/>
        <v>0</v>
      </c>
      <c r="BQ386" s="606">
        <f t="shared" si="434"/>
        <v>0</v>
      </c>
      <c r="BR386" s="607">
        <f t="shared" si="435"/>
        <v>0</v>
      </c>
      <c r="BS386" s="606">
        <f t="shared" si="436"/>
        <v>0</v>
      </c>
      <c r="BT386" s="607">
        <f t="shared" si="437"/>
        <v>0</v>
      </c>
      <c r="BU386" s="606">
        <f t="shared" si="438"/>
        <v>0</v>
      </c>
      <c r="BV386" s="607">
        <f t="shared" si="439"/>
        <v>0</v>
      </c>
      <c r="BW386" s="608">
        <f t="shared" si="440"/>
        <v>0</v>
      </c>
      <c r="BX386" s="607">
        <f t="shared" si="441"/>
        <v>366</v>
      </c>
      <c r="BY386" s="608">
        <f t="shared" si="442"/>
        <v>375</v>
      </c>
      <c r="BZ386" s="607">
        <f t="shared" si="443"/>
        <v>0</v>
      </c>
      <c r="CA386" s="608">
        <f t="shared" si="444"/>
        <v>0</v>
      </c>
      <c r="CB386" s="607">
        <f t="shared" si="445"/>
        <v>0</v>
      </c>
      <c r="CC386" s="608">
        <f t="shared" si="446"/>
        <v>0</v>
      </c>
      <c r="CD386" s="607">
        <f t="shared" si="447"/>
        <v>0</v>
      </c>
      <c r="CE386" s="608">
        <f t="shared" si="448"/>
        <v>0</v>
      </c>
      <c r="CF386" s="607">
        <f t="shared" si="449"/>
        <v>0</v>
      </c>
      <c r="CG386" s="608">
        <f t="shared" si="450"/>
        <v>0</v>
      </c>
      <c r="CH386" s="607">
        <f t="shared" si="451"/>
        <v>0</v>
      </c>
      <c r="CI386" s="608">
        <f t="shared" si="452"/>
        <v>0</v>
      </c>
      <c r="CJ386" s="607">
        <f t="shared" si="453"/>
        <v>4877.9371584699456</v>
      </c>
      <c r="CK386" s="608">
        <f t="shared" si="454"/>
        <v>5044.6453333333329</v>
      </c>
      <c r="CL386" s="609">
        <f t="shared" si="455"/>
        <v>0</v>
      </c>
      <c r="CM386" s="608">
        <f t="shared" si="456"/>
        <v>0</v>
      </c>
      <c r="CN386" s="610">
        <f t="shared" si="457"/>
        <v>0</v>
      </c>
      <c r="CO386" s="606">
        <f t="shared" si="458"/>
        <v>0</v>
      </c>
      <c r="CP386" s="607">
        <f t="shared" si="459"/>
        <v>0</v>
      </c>
      <c r="CQ386" s="606">
        <f t="shared" si="460"/>
        <v>0</v>
      </c>
      <c r="CR386" s="607">
        <f t="shared" si="461"/>
        <v>0</v>
      </c>
      <c r="CS386" s="606">
        <f t="shared" si="462"/>
        <v>0</v>
      </c>
      <c r="CT386" s="607">
        <f t="shared" si="463"/>
        <v>0</v>
      </c>
      <c r="CU386" s="608">
        <f t="shared" si="464"/>
        <v>0</v>
      </c>
      <c r="CV386" s="610">
        <f t="shared" si="465"/>
        <v>43901.434426229513</v>
      </c>
      <c r="CW386" s="608">
        <f t="shared" si="466"/>
        <v>45401.807999999997</v>
      </c>
      <c r="CX386" s="610">
        <f t="shared" si="467"/>
        <v>43901.434426229513</v>
      </c>
      <c r="CY386" s="611">
        <f t="shared" si="468"/>
        <v>45401.807999999997</v>
      </c>
      <c r="CZ386" s="605">
        <f t="shared" si="469"/>
        <v>0</v>
      </c>
      <c r="DA386" s="612">
        <f t="shared" si="470"/>
        <v>0</v>
      </c>
      <c r="DB386" s="607">
        <f t="shared" si="471"/>
        <v>0</v>
      </c>
      <c r="DC386" s="606">
        <f t="shared" si="472"/>
        <v>0</v>
      </c>
      <c r="DD386" s="607">
        <f t="shared" si="473"/>
        <v>0</v>
      </c>
      <c r="DE386" s="606">
        <f t="shared" si="474"/>
        <v>0</v>
      </c>
      <c r="DF386" s="607">
        <f t="shared" si="475"/>
        <v>0</v>
      </c>
      <c r="DG386" s="606">
        <f t="shared" si="476"/>
        <v>0</v>
      </c>
      <c r="DH386" s="607">
        <f t="shared" si="477"/>
        <v>0</v>
      </c>
      <c r="DI386" s="608">
        <f t="shared" si="478"/>
        <v>0</v>
      </c>
      <c r="DJ386" s="607">
        <f t="shared" si="479"/>
        <v>40</v>
      </c>
      <c r="DK386" s="608">
        <f t="shared" si="480"/>
        <v>41</v>
      </c>
      <c r="DL386" s="607">
        <f t="shared" si="481"/>
        <v>40</v>
      </c>
      <c r="DM386" s="608">
        <f t="shared" si="482"/>
        <v>41</v>
      </c>
      <c r="DN386" s="607">
        <f t="shared" si="483"/>
        <v>0</v>
      </c>
      <c r="DO386" s="612">
        <f t="shared" si="484"/>
        <v>0</v>
      </c>
      <c r="DP386" s="607">
        <f t="shared" si="485"/>
        <v>0</v>
      </c>
      <c r="DQ386" s="606">
        <f t="shared" si="486"/>
        <v>0</v>
      </c>
      <c r="DR386" s="607">
        <f t="shared" si="487"/>
        <v>0</v>
      </c>
      <c r="DS386" s="606">
        <f t="shared" si="488"/>
        <v>0</v>
      </c>
      <c r="DT386" s="607">
        <f t="shared" si="489"/>
        <v>0</v>
      </c>
      <c r="DU386" s="606">
        <f t="shared" si="490"/>
        <v>0</v>
      </c>
      <c r="DV386" s="607">
        <f t="shared" si="491"/>
        <v>0</v>
      </c>
      <c r="DW386" s="608">
        <f t="shared" si="492"/>
        <v>0</v>
      </c>
      <c r="DX386" s="607">
        <f t="shared" si="493"/>
        <v>1756057.3770491804</v>
      </c>
      <c r="DY386" s="608">
        <f t="shared" si="494"/>
        <v>1861474.1279999998</v>
      </c>
      <c r="DZ386" s="607">
        <f t="shared" si="495"/>
        <v>1756057.3770491804</v>
      </c>
      <c r="EA386" s="608">
        <f t="shared" si="496"/>
        <v>1861474.1279999998</v>
      </c>
    </row>
    <row r="387" spans="1:131" x14ac:dyDescent="0.2">
      <c r="A387" s="343" t="s">
        <v>41</v>
      </c>
      <c r="B387" s="342" t="s">
        <v>390</v>
      </c>
      <c r="C387" s="575"/>
      <c r="D387" s="343">
        <v>365374</v>
      </c>
      <c r="E387" s="344">
        <v>12</v>
      </c>
      <c r="F387" s="598"/>
      <c r="G387" s="599"/>
      <c r="H387" s="600"/>
      <c r="I387" s="601"/>
      <c r="J387" s="600"/>
      <c r="K387" s="599"/>
      <c r="L387" s="600"/>
      <c r="M387" s="601"/>
      <c r="N387" s="600"/>
      <c r="O387" s="599"/>
      <c r="P387" s="600"/>
      <c r="Q387" s="601"/>
      <c r="R387" s="600"/>
      <c r="S387" s="599"/>
      <c r="T387" s="600"/>
      <c r="U387" s="601"/>
      <c r="V387" s="600"/>
      <c r="W387" s="599"/>
      <c r="X387" s="600"/>
      <c r="Y387" s="601"/>
      <c r="Z387" s="600"/>
      <c r="AA387" s="599"/>
      <c r="AB387" s="600"/>
      <c r="AC387" s="601"/>
      <c r="AD387" s="600"/>
      <c r="AE387" s="599"/>
      <c r="AF387" s="600"/>
      <c r="AG387" s="601"/>
      <c r="AH387" s="600"/>
      <c r="AI387" s="599"/>
      <c r="AJ387" s="600"/>
      <c r="AK387" s="601"/>
      <c r="AL387" s="600"/>
      <c r="AM387" s="599"/>
      <c r="AN387" s="600"/>
      <c r="AO387" s="601"/>
      <c r="AP387" s="600"/>
      <c r="AQ387" s="599"/>
      <c r="AR387" s="600"/>
      <c r="AS387" s="601"/>
      <c r="AT387" s="600"/>
      <c r="AU387" s="599"/>
      <c r="AV387" s="600">
        <v>40</v>
      </c>
      <c r="AW387" s="601">
        <v>40</v>
      </c>
      <c r="AX387" s="600">
        <v>12</v>
      </c>
      <c r="AY387" s="599">
        <v>11</v>
      </c>
      <c r="AZ387" s="600">
        <v>3</v>
      </c>
      <c r="BA387" s="601">
        <v>1</v>
      </c>
      <c r="BB387" s="602">
        <v>0</v>
      </c>
      <c r="BC387" s="599"/>
      <c r="BD387" s="600">
        <v>0</v>
      </c>
      <c r="BE387" s="599"/>
      <c r="BF387" s="600">
        <v>0</v>
      </c>
      <c r="BG387" s="599"/>
      <c r="BH387" s="600">
        <v>0</v>
      </c>
      <c r="BI387" s="599"/>
      <c r="BJ387" s="600">
        <v>0</v>
      </c>
      <c r="BK387" s="615"/>
      <c r="BL387" s="600">
        <v>3292930</v>
      </c>
      <c r="BM387" s="604">
        <v>3036559</v>
      </c>
      <c r="BN387" s="605">
        <f t="shared" si="431"/>
        <v>0</v>
      </c>
      <c r="BO387" s="606">
        <f t="shared" si="432"/>
        <v>0</v>
      </c>
      <c r="BP387" s="607">
        <f t="shared" si="433"/>
        <v>0</v>
      </c>
      <c r="BQ387" s="606">
        <f t="shared" si="434"/>
        <v>0</v>
      </c>
      <c r="BR387" s="607">
        <f t="shared" si="435"/>
        <v>0</v>
      </c>
      <c r="BS387" s="606">
        <f t="shared" si="436"/>
        <v>0</v>
      </c>
      <c r="BT387" s="607">
        <f t="shared" si="437"/>
        <v>0</v>
      </c>
      <c r="BU387" s="606">
        <f t="shared" si="438"/>
        <v>0</v>
      </c>
      <c r="BV387" s="607">
        <f t="shared" si="439"/>
        <v>0</v>
      </c>
      <c r="BW387" s="608">
        <f t="shared" si="440"/>
        <v>0</v>
      </c>
      <c r="BX387" s="607">
        <f t="shared" si="441"/>
        <v>568</v>
      </c>
      <c r="BY387" s="608">
        <f t="shared" si="442"/>
        <v>533</v>
      </c>
      <c r="BZ387" s="607">
        <f t="shared" si="443"/>
        <v>0</v>
      </c>
      <c r="CA387" s="608">
        <f t="shared" si="444"/>
        <v>0</v>
      </c>
      <c r="CB387" s="607">
        <f t="shared" si="445"/>
        <v>0</v>
      </c>
      <c r="CC387" s="608">
        <f t="shared" si="446"/>
        <v>0</v>
      </c>
      <c r="CD387" s="607">
        <f t="shared" si="447"/>
        <v>0</v>
      </c>
      <c r="CE387" s="608">
        <f t="shared" si="448"/>
        <v>0</v>
      </c>
      <c r="CF387" s="607">
        <f t="shared" si="449"/>
        <v>0</v>
      </c>
      <c r="CG387" s="608">
        <f t="shared" si="450"/>
        <v>0</v>
      </c>
      <c r="CH387" s="607">
        <f t="shared" si="451"/>
        <v>0</v>
      </c>
      <c r="CI387" s="608">
        <f t="shared" si="452"/>
        <v>0</v>
      </c>
      <c r="CJ387" s="607">
        <f t="shared" si="453"/>
        <v>5797.4119718309857</v>
      </c>
      <c r="CK387" s="608">
        <f t="shared" si="454"/>
        <v>5697.1088180112574</v>
      </c>
      <c r="CL387" s="609">
        <f t="shared" si="455"/>
        <v>0</v>
      </c>
      <c r="CM387" s="608">
        <f t="shared" si="456"/>
        <v>0</v>
      </c>
      <c r="CN387" s="610">
        <f t="shared" si="457"/>
        <v>0</v>
      </c>
      <c r="CO387" s="606">
        <f t="shared" si="458"/>
        <v>0</v>
      </c>
      <c r="CP387" s="607">
        <f t="shared" si="459"/>
        <v>0</v>
      </c>
      <c r="CQ387" s="606">
        <f t="shared" si="460"/>
        <v>0</v>
      </c>
      <c r="CR387" s="607">
        <f t="shared" si="461"/>
        <v>0</v>
      </c>
      <c r="CS387" s="606">
        <f t="shared" si="462"/>
        <v>0</v>
      </c>
      <c r="CT387" s="607">
        <f t="shared" si="463"/>
        <v>0</v>
      </c>
      <c r="CU387" s="608">
        <f t="shared" si="464"/>
        <v>0</v>
      </c>
      <c r="CV387" s="610">
        <f t="shared" si="465"/>
        <v>52176.707746478874</v>
      </c>
      <c r="CW387" s="608">
        <f t="shared" si="466"/>
        <v>51273.979362101316</v>
      </c>
      <c r="CX387" s="610">
        <f t="shared" si="467"/>
        <v>52176.707746478874</v>
      </c>
      <c r="CY387" s="611">
        <f t="shared" si="468"/>
        <v>51273.979362101309</v>
      </c>
      <c r="CZ387" s="605">
        <f t="shared" si="469"/>
        <v>0</v>
      </c>
      <c r="DA387" s="612">
        <f t="shared" si="470"/>
        <v>0</v>
      </c>
      <c r="DB387" s="607">
        <f t="shared" si="471"/>
        <v>0</v>
      </c>
      <c r="DC387" s="606">
        <f t="shared" si="472"/>
        <v>0</v>
      </c>
      <c r="DD387" s="607">
        <f t="shared" si="473"/>
        <v>0</v>
      </c>
      <c r="DE387" s="606">
        <f t="shared" si="474"/>
        <v>0</v>
      </c>
      <c r="DF387" s="607">
        <f t="shared" si="475"/>
        <v>0</v>
      </c>
      <c r="DG387" s="606">
        <f t="shared" si="476"/>
        <v>0</v>
      </c>
      <c r="DH387" s="607">
        <f t="shared" si="477"/>
        <v>0</v>
      </c>
      <c r="DI387" s="608">
        <f t="shared" si="478"/>
        <v>0</v>
      </c>
      <c r="DJ387" s="607">
        <f t="shared" si="479"/>
        <v>55</v>
      </c>
      <c r="DK387" s="608">
        <f t="shared" si="480"/>
        <v>52</v>
      </c>
      <c r="DL387" s="607">
        <f t="shared" si="481"/>
        <v>55</v>
      </c>
      <c r="DM387" s="608">
        <f t="shared" si="482"/>
        <v>52</v>
      </c>
      <c r="DN387" s="607">
        <f t="shared" si="483"/>
        <v>0</v>
      </c>
      <c r="DO387" s="612">
        <f t="shared" si="484"/>
        <v>0</v>
      </c>
      <c r="DP387" s="607">
        <f t="shared" si="485"/>
        <v>0</v>
      </c>
      <c r="DQ387" s="606">
        <f t="shared" si="486"/>
        <v>0</v>
      </c>
      <c r="DR387" s="607">
        <f t="shared" si="487"/>
        <v>0</v>
      </c>
      <c r="DS387" s="606">
        <f t="shared" si="488"/>
        <v>0</v>
      </c>
      <c r="DT387" s="607">
        <f t="shared" si="489"/>
        <v>0</v>
      </c>
      <c r="DU387" s="606">
        <f t="shared" si="490"/>
        <v>0</v>
      </c>
      <c r="DV387" s="607">
        <f t="shared" si="491"/>
        <v>0</v>
      </c>
      <c r="DW387" s="608">
        <f t="shared" si="492"/>
        <v>0</v>
      </c>
      <c r="DX387" s="607">
        <f t="shared" si="493"/>
        <v>2869718.926056338</v>
      </c>
      <c r="DY387" s="608">
        <f t="shared" si="494"/>
        <v>2666246.9268292682</v>
      </c>
      <c r="DZ387" s="607">
        <f t="shared" si="495"/>
        <v>2869718.926056338</v>
      </c>
      <c r="EA387" s="608">
        <f t="shared" si="496"/>
        <v>2666246.9268292682</v>
      </c>
    </row>
    <row r="388" spans="1:131" x14ac:dyDescent="0.2">
      <c r="A388" s="343" t="s">
        <v>41</v>
      </c>
      <c r="B388" s="345" t="s">
        <v>391</v>
      </c>
      <c r="C388" s="576"/>
      <c r="D388" s="343">
        <v>245999</v>
      </c>
      <c r="E388" s="344">
        <v>12</v>
      </c>
      <c r="F388" s="598"/>
      <c r="G388" s="599"/>
      <c r="H388" s="600"/>
      <c r="I388" s="601"/>
      <c r="J388" s="600"/>
      <c r="K388" s="599"/>
      <c r="L388" s="600"/>
      <c r="M388" s="601"/>
      <c r="N388" s="600"/>
      <c r="O388" s="599"/>
      <c r="P388" s="600"/>
      <c r="Q388" s="601"/>
      <c r="R388" s="600"/>
      <c r="S388" s="599"/>
      <c r="T388" s="600"/>
      <c r="U388" s="601"/>
      <c r="V388" s="600"/>
      <c r="W388" s="599"/>
      <c r="X388" s="600"/>
      <c r="Y388" s="601"/>
      <c r="Z388" s="600"/>
      <c r="AA388" s="599"/>
      <c r="AB388" s="600"/>
      <c r="AC388" s="601"/>
      <c r="AD388" s="600"/>
      <c r="AE388" s="599"/>
      <c r="AF388" s="600"/>
      <c r="AG388" s="601"/>
      <c r="AH388" s="600"/>
      <c r="AI388" s="599"/>
      <c r="AJ388" s="600"/>
      <c r="AK388" s="601"/>
      <c r="AL388" s="600"/>
      <c r="AM388" s="599"/>
      <c r="AN388" s="600"/>
      <c r="AO388" s="601"/>
      <c r="AP388" s="600"/>
      <c r="AQ388" s="599"/>
      <c r="AR388" s="600"/>
      <c r="AS388" s="601"/>
      <c r="AT388" s="600"/>
      <c r="AU388" s="599"/>
      <c r="AV388" s="600">
        <v>77</v>
      </c>
      <c r="AW388" s="601">
        <v>76</v>
      </c>
      <c r="AX388" s="600">
        <v>5</v>
      </c>
      <c r="AY388" s="599">
        <v>11</v>
      </c>
      <c r="AZ388" s="600">
        <v>16</v>
      </c>
      <c r="BA388" s="601">
        <v>15</v>
      </c>
      <c r="BB388" s="602">
        <v>0</v>
      </c>
      <c r="BC388" s="599"/>
      <c r="BD388" s="600">
        <v>0</v>
      </c>
      <c r="BE388" s="599"/>
      <c r="BF388" s="600">
        <v>0</v>
      </c>
      <c r="BG388" s="599"/>
      <c r="BH388" s="600">
        <v>0</v>
      </c>
      <c r="BI388" s="599"/>
      <c r="BJ388" s="600">
        <v>0</v>
      </c>
      <c r="BK388" s="615"/>
      <c r="BL388" s="600">
        <v>6152265</v>
      </c>
      <c r="BM388" s="604">
        <v>6542091</v>
      </c>
      <c r="BN388" s="605">
        <f t="shared" si="431"/>
        <v>0</v>
      </c>
      <c r="BO388" s="606">
        <f t="shared" si="432"/>
        <v>0</v>
      </c>
      <c r="BP388" s="607">
        <f t="shared" si="433"/>
        <v>0</v>
      </c>
      <c r="BQ388" s="606">
        <f t="shared" si="434"/>
        <v>0</v>
      </c>
      <c r="BR388" s="607">
        <f t="shared" si="435"/>
        <v>0</v>
      </c>
      <c r="BS388" s="606">
        <f t="shared" si="436"/>
        <v>0</v>
      </c>
      <c r="BT388" s="607">
        <f t="shared" si="437"/>
        <v>0</v>
      </c>
      <c r="BU388" s="606">
        <f t="shared" si="438"/>
        <v>0</v>
      </c>
      <c r="BV388" s="607">
        <f t="shared" si="439"/>
        <v>0</v>
      </c>
      <c r="BW388" s="608">
        <f t="shared" si="440"/>
        <v>0</v>
      </c>
      <c r="BX388" s="607">
        <f t="shared" si="441"/>
        <v>1017</v>
      </c>
      <c r="BY388" s="608">
        <f t="shared" si="442"/>
        <v>1061</v>
      </c>
      <c r="BZ388" s="607">
        <f t="shared" si="443"/>
        <v>0</v>
      </c>
      <c r="CA388" s="608">
        <f t="shared" si="444"/>
        <v>0</v>
      </c>
      <c r="CB388" s="607">
        <f t="shared" si="445"/>
        <v>0</v>
      </c>
      <c r="CC388" s="608">
        <f t="shared" si="446"/>
        <v>0</v>
      </c>
      <c r="CD388" s="607">
        <f t="shared" si="447"/>
        <v>0</v>
      </c>
      <c r="CE388" s="608">
        <f t="shared" si="448"/>
        <v>0</v>
      </c>
      <c r="CF388" s="607">
        <f t="shared" si="449"/>
        <v>0</v>
      </c>
      <c r="CG388" s="608">
        <f t="shared" si="450"/>
        <v>0</v>
      </c>
      <c r="CH388" s="607">
        <f t="shared" si="451"/>
        <v>0</v>
      </c>
      <c r="CI388" s="608">
        <f t="shared" si="452"/>
        <v>0</v>
      </c>
      <c r="CJ388" s="607">
        <f t="shared" si="453"/>
        <v>6049.424778761062</v>
      </c>
      <c r="CK388" s="608">
        <f t="shared" si="454"/>
        <v>6165.9670122525922</v>
      </c>
      <c r="CL388" s="609">
        <f t="shared" si="455"/>
        <v>0</v>
      </c>
      <c r="CM388" s="608">
        <f t="shared" si="456"/>
        <v>0</v>
      </c>
      <c r="CN388" s="610">
        <f t="shared" si="457"/>
        <v>0</v>
      </c>
      <c r="CO388" s="606">
        <f t="shared" si="458"/>
        <v>0</v>
      </c>
      <c r="CP388" s="607">
        <f t="shared" si="459"/>
        <v>0</v>
      </c>
      <c r="CQ388" s="606">
        <f t="shared" si="460"/>
        <v>0</v>
      </c>
      <c r="CR388" s="607">
        <f t="shared" si="461"/>
        <v>0</v>
      </c>
      <c r="CS388" s="606">
        <f t="shared" si="462"/>
        <v>0</v>
      </c>
      <c r="CT388" s="607">
        <f t="shared" si="463"/>
        <v>0</v>
      </c>
      <c r="CU388" s="608">
        <f t="shared" si="464"/>
        <v>0</v>
      </c>
      <c r="CV388" s="610">
        <f t="shared" si="465"/>
        <v>54444.823008849562</v>
      </c>
      <c r="CW388" s="608">
        <f t="shared" si="466"/>
        <v>55493.703110273331</v>
      </c>
      <c r="CX388" s="610">
        <f t="shared" si="467"/>
        <v>54444.823008849562</v>
      </c>
      <c r="CY388" s="611">
        <f t="shared" si="468"/>
        <v>55493.703110273331</v>
      </c>
      <c r="CZ388" s="605">
        <f t="shared" si="469"/>
        <v>0</v>
      </c>
      <c r="DA388" s="612">
        <f t="shared" si="470"/>
        <v>0</v>
      </c>
      <c r="DB388" s="607">
        <f t="shared" si="471"/>
        <v>0</v>
      </c>
      <c r="DC388" s="606">
        <f t="shared" si="472"/>
        <v>0</v>
      </c>
      <c r="DD388" s="607">
        <f t="shared" si="473"/>
        <v>0</v>
      </c>
      <c r="DE388" s="606">
        <f t="shared" si="474"/>
        <v>0</v>
      </c>
      <c r="DF388" s="607">
        <f t="shared" si="475"/>
        <v>0</v>
      </c>
      <c r="DG388" s="606">
        <f t="shared" si="476"/>
        <v>0</v>
      </c>
      <c r="DH388" s="607">
        <f t="shared" si="477"/>
        <v>0</v>
      </c>
      <c r="DI388" s="608">
        <f t="shared" si="478"/>
        <v>0</v>
      </c>
      <c r="DJ388" s="607">
        <f t="shared" si="479"/>
        <v>98</v>
      </c>
      <c r="DK388" s="608">
        <f t="shared" si="480"/>
        <v>102</v>
      </c>
      <c r="DL388" s="607">
        <f t="shared" si="481"/>
        <v>98</v>
      </c>
      <c r="DM388" s="608">
        <f t="shared" si="482"/>
        <v>102</v>
      </c>
      <c r="DN388" s="607">
        <f t="shared" si="483"/>
        <v>0</v>
      </c>
      <c r="DO388" s="612">
        <f t="shared" si="484"/>
        <v>0</v>
      </c>
      <c r="DP388" s="607">
        <f t="shared" si="485"/>
        <v>0</v>
      </c>
      <c r="DQ388" s="606">
        <f t="shared" si="486"/>
        <v>0</v>
      </c>
      <c r="DR388" s="607">
        <f t="shared" si="487"/>
        <v>0</v>
      </c>
      <c r="DS388" s="606">
        <f t="shared" si="488"/>
        <v>0</v>
      </c>
      <c r="DT388" s="607">
        <f t="shared" si="489"/>
        <v>0</v>
      </c>
      <c r="DU388" s="606">
        <f t="shared" si="490"/>
        <v>0</v>
      </c>
      <c r="DV388" s="607">
        <f t="shared" si="491"/>
        <v>0</v>
      </c>
      <c r="DW388" s="608">
        <f t="shared" si="492"/>
        <v>0</v>
      </c>
      <c r="DX388" s="607">
        <f t="shared" si="493"/>
        <v>5335592.654867257</v>
      </c>
      <c r="DY388" s="608">
        <f t="shared" si="494"/>
        <v>5660357.7172478801</v>
      </c>
      <c r="DZ388" s="607">
        <f t="shared" si="495"/>
        <v>5335592.654867257</v>
      </c>
      <c r="EA388" s="608">
        <f t="shared" si="496"/>
        <v>5660357.7172478801</v>
      </c>
    </row>
    <row r="389" spans="1:131" x14ac:dyDescent="0.2">
      <c r="A389" s="343" t="s">
        <v>41</v>
      </c>
      <c r="B389" s="345" t="s">
        <v>392</v>
      </c>
      <c r="C389" s="576"/>
      <c r="D389" s="343">
        <v>363165</v>
      </c>
      <c r="E389" s="344">
        <v>12</v>
      </c>
      <c r="F389" s="598"/>
      <c r="G389" s="599"/>
      <c r="H389" s="600"/>
      <c r="I389" s="601"/>
      <c r="J389" s="600"/>
      <c r="K389" s="599"/>
      <c r="L389" s="600"/>
      <c r="M389" s="601"/>
      <c r="N389" s="600"/>
      <c r="O389" s="599"/>
      <c r="P389" s="600"/>
      <c r="Q389" s="601"/>
      <c r="R389" s="600"/>
      <c r="S389" s="599"/>
      <c r="T389" s="600"/>
      <c r="U389" s="601"/>
      <c r="V389" s="600"/>
      <c r="W389" s="599"/>
      <c r="X389" s="600"/>
      <c r="Y389" s="601"/>
      <c r="Z389" s="600"/>
      <c r="AA389" s="599"/>
      <c r="AB389" s="600"/>
      <c r="AC389" s="601"/>
      <c r="AD389" s="600"/>
      <c r="AE389" s="599"/>
      <c r="AF389" s="600"/>
      <c r="AG389" s="601"/>
      <c r="AH389" s="600"/>
      <c r="AI389" s="599"/>
      <c r="AJ389" s="600"/>
      <c r="AK389" s="601"/>
      <c r="AL389" s="600"/>
      <c r="AM389" s="599"/>
      <c r="AN389" s="600"/>
      <c r="AO389" s="601"/>
      <c r="AP389" s="600"/>
      <c r="AQ389" s="599"/>
      <c r="AR389" s="600"/>
      <c r="AS389" s="601"/>
      <c r="AT389" s="600"/>
      <c r="AU389" s="599"/>
      <c r="AV389" s="600">
        <v>31</v>
      </c>
      <c r="AW389" s="601">
        <v>30</v>
      </c>
      <c r="AX389" s="600">
        <v>7</v>
      </c>
      <c r="AY389" s="599">
        <v>5</v>
      </c>
      <c r="AZ389" s="600">
        <v>24</v>
      </c>
      <c r="BA389" s="601">
        <v>20</v>
      </c>
      <c r="BB389" s="602">
        <v>0</v>
      </c>
      <c r="BC389" s="599"/>
      <c r="BD389" s="600">
        <v>0</v>
      </c>
      <c r="BE389" s="599"/>
      <c r="BF389" s="600">
        <v>0</v>
      </c>
      <c r="BG389" s="599"/>
      <c r="BH389" s="600">
        <v>0</v>
      </c>
      <c r="BI389" s="599"/>
      <c r="BJ389" s="600">
        <v>0</v>
      </c>
      <c r="BK389" s="615"/>
      <c r="BL389" s="600">
        <v>3339723</v>
      </c>
      <c r="BM389" s="604">
        <v>2922870</v>
      </c>
      <c r="BN389" s="605">
        <f t="shared" si="431"/>
        <v>0</v>
      </c>
      <c r="BO389" s="606">
        <f t="shared" si="432"/>
        <v>0</v>
      </c>
      <c r="BP389" s="607">
        <f t="shared" si="433"/>
        <v>0</v>
      </c>
      <c r="BQ389" s="606">
        <f t="shared" si="434"/>
        <v>0</v>
      </c>
      <c r="BR389" s="607">
        <f t="shared" si="435"/>
        <v>0</v>
      </c>
      <c r="BS389" s="606">
        <f t="shared" si="436"/>
        <v>0</v>
      </c>
      <c r="BT389" s="607">
        <f t="shared" si="437"/>
        <v>0</v>
      </c>
      <c r="BU389" s="606">
        <f t="shared" si="438"/>
        <v>0</v>
      </c>
      <c r="BV389" s="607">
        <f t="shared" si="439"/>
        <v>0</v>
      </c>
      <c r="BW389" s="608">
        <f t="shared" si="440"/>
        <v>0</v>
      </c>
      <c r="BX389" s="607">
        <f t="shared" si="441"/>
        <v>675</v>
      </c>
      <c r="BY389" s="608">
        <f t="shared" si="442"/>
        <v>595</v>
      </c>
      <c r="BZ389" s="607">
        <f t="shared" si="443"/>
        <v>0</v>
      </c>
      <c r="CA389" s="608">
        <f t="shared" si="444"/>
        <v>0</v>
      </c>
      <c r="CB389" s="607">
        <f t="shared" si="445"/>
        <v>0</v>
      </c>
      <c r="CC389" s="608">
        <f t="shared" si="446"/>
        <v>0</v>
      </c>
      <c r="CD389" s="607">
        <f t="shared" si="447"/>
        <v>0</v>
      </c>
      <c r="CE389" s="608">
        <f t="shared" si="448"/>
        <v>0</v>
      </c>
      <c r="CF389" s="607">
        <f t="shared" si="449"/>
        <v>0</v>
      </c>
      <c r="CG389" s="608">
        <f t="shared" si="450"/>
        <v>0</v>
      </c>
      <c r="CH389" s="607">
        <f t="shared" si="451"/>
        <v>0</v>
      </c>
      <c r="CI389" s="608">
        <f t="shared" si="452"/>
        <v>0</v>
      </c>
      <c r="CJ389" s="607">
        <f t="shared" si="453"/>
        <v>4947.7377777777774</v>
      </c>
      <c r="CK389" s="608">
        <f t="shared" si="454"/>
        <v>4912.3865546218485</v>
      </c>
      <c r="CL389" s="609">
        <f t="shared" si="455"/>
        <v>0</v>
      </c>
      <c r="CM389" s="608">
        <f t="shared" si="456"/>
        <v>0</v>
      </c>
      <c r="CN389" s="610">
        <f t="shared" si="457"/>
        <v>0</v>
      </c>
      <c r="CO389" s="606">
        <f t="shared" si="458"/>
        <v>0</v>
      </c>
      <c r="CP389" s="607">
        <f t="shared" si="459"/>
        <v>0</v>
      </c>
      <c r="CQ389" s="606">
        <f t="shared" si="460"/>
        <v>0</v>
      </c>
      <c r="CR389" s="607">
        <f t="shared" si="461"/>
        <v>0</v>
      </c>
      <c r="CS389" s="606">
        <f t="shared" si="462"/>
        <v>0</v>
      </c>
      <c r="CT389" s="607">
        <f t="shared" si="463"/>
        <v>0</v>
      </c>
      <c r="CU389" s="608">
        <f t="shared" si="464"/>
        <v>0</v>
      </c>
      <c r="CV389" s="610">
        <f t="shared" si="465"/>
        <v>44529.64</v>
      </c>
      <c r="CW389" s="608">
        <f t="shared" si="466"/>
        <v>44211.478991596639</v>
      </c>
      <c r="CX389" s="610">
        <f t="shared" si="467"/>
        <v>44529.64</v>
      </c>
      <c r="CY389" s="611">
        <f t="shared" si="468"/>
        <v>44211.478991596639</v>
      </c>
      <c r="CZ389" s="605">
        <f t="shared" si="469"/>
        <v>0</v>
      </c>
      <c r="DA389" s="612">
        <f t="shared" si="470"/>
        <v>0</v>
      </c>
      <c r="DB389" s="607">
        <f t="shared" si="471"/>
        <v>0</v>
      </c>
      <c r="DC389" s="606">
        <f t="shared" si="472"/>
        <v>0</v>
      </c>
      <c r="DD389" s="607">
        <f t="shared" si="473"/>
        <v>0</v>
      </c>
      <c r="DE389" s="606">
        <f t="shared" si="474"/>
        <v>0</v>
      </c>
      <c r="DF389" s="607">
        <f t="shared" si="475"/>
        <v>0</v>
      </c>
      <c r="DG389" s="606">
        <f t="shared" si="476"/>
        <v>0</v>
      </c>
      <c r="DH389" s="607">
        <f t="shared" si="477"/>
        <v>0</v>
      </c>
      <c r="DI389" s="608">
        <f t="shared" si="478"/>
        <v>0</v>
      </c>
      <c r="DJ389" s="607">
        <f t="shared" si="479"/>
        <v>62</v>
      </c>
      <c r="DK389" s="608">
        <f t="shared" si="480"/>
        <v>55</v>
      </c>
      <c r="DL389" s="607">
        <f t="shared" si="481"/>
        <v>62</v>
      </c>
      <c r="DM389" s="608">
        <f t="shared" si="482"/>
        <v>55</v>
      </c>
      <c r="DN389" s="607">
        <f t="shared" si="483"/>
        <v>0</v>
      </c>
      <c r="DO389" s="612">
        <f t="shared" si="484"/>
        <v>0</v>
      </c>
      <c r="DP389" s="607">
        <f t="shared" si="485"/>
        <v>0</v>
      </c>
      <c r="DQ389" s="606">
        <f t="shared" si="486"/>
        <v>0</v>
      </c>
      <c r="DR389" s="607">
        <f t="shared" si="487"/>
        <v>0</v>
      </c>
      <c r="DS389" s="606">
        <f t="shared" si="488"/>
        <v>0</v>
      </c>
      <c r="DT389" s="607">
        <f t="shared" si="489"/>
        <v>0</v>
      </c>
      <c r="DU389" s="606">
        <f t="shared" si="490"/>
        <v>0</v>
      </c>
      <c r="DV389" s="607">
        <f t="shared" si="491"/>
        <v>0</v>
      </c>
      <c r="DW389" s="608">
        <f t="shared" si="492"/>
        <v>0</v>
      </c>
      <c r="DX389" s="607">
        <f t="shared" si="493"/>
        <v>2760837.68</v>
      </c>
      <c r="DY389" s="608">
        <f t="shared" si="494"/>
        <v>2431631.3445378151</v>
      </c>
      <c r="DZ389" s="607">
        <f t="shared" si="495"/>
        <v>2760837.68</v>
      </c>
      <c r="EA389" s="608">
        <f t="shared" si="496"/>
        <v>2431631.3445378151</v>
      </c>
    </row>
    <row r="390" spans="1:131" x14ac:dyDescent="0.2">
      <c r="A390" s="343" t="s">
        <v>41</v>
      </c>
      <c r="B390" s="345" t="s">
        <v>393</v>
      </c>
      <c r="C390" s="576"/>
      <c r="D390" s="343">
        <v>365213</v>
      </c>
      <c r="E390" s="344">
        <v>13</v>
      </c>
      <c r="F390" s="598"/>
      <c r="G390" s="599"/>
      <c r="H390" s="600"/>
      <c r="I390" s="601"/>
      <c r="J390" s="600"/>
      <c r="K390" s="599"/>
      <c r="L390" s="600"/>
      <c r="M390" s="601"/>
      <c r="N390" s="600"/>
      <c r="O390" s="599"/>
      <c r="P390" s="600"/>
      <c r="Q390" s="601"/>
      <c r="R390" s="600"/>
      <c r="S390" s="599"/>
      <c r="T390" s="600"/>
      <c r="U390" s="601"/>
      <c r="V390" s="600"/>
      <c r="W390" s="599"/>
      <c r="X390" s="600"/>
      <c r="Y390" s="601"/>
      <c r="Z390" s="600"/>
      <c r="AA390" s="599"/>
      <c r="AB390" s="600"/>
      <c r="AC390" s="601"/>
      <c r="AD390" s="600"/>
      <c r="AE390" s="599"/>
      <c r="AF390" s="600"/>
      <c r="AG390" s="601"/>
      <c r="AH390" s="600"/>
      <c r="AI390" s="599"/>
      <c r="AJ390" s="600"/>
      <c r="AK390" s="601"/>
      <c r="AL390" s="600"/>
      <c r="AM390" s="599"/>
      <c r="AN390" s="600"/>
      <c r="AO390" s="601"/>
      <c r="AP390" s="600"/>
      <c r="AQ390" s="599"/>
      <c r="AR390" s="600"/>
      <c r="AS390" s="601"/>
      <c r="AT390" s="600"/>
      <c r="AU390" s="599"/>
      <c r="AV390" s="600">
        <v>19</v>
      </c>
      <c r="AW390" s="601">
        <v>20</v>
      </c>
      <c r="AX390" s="600">
        <v>2</v>
      </c>
      <c r="AY390" s="599">
        <v>2</v>
      </c>
      <c r="AZ390" s="600">
        <v>11</v>
      </c>
      <c r="BA390" s="601">
        <v>8</v>
      </c>
      <c r="BB390" s="602">
        <v>0</v>
      </c>
      <c r="BC390" s="599"/>
      <c r="BD390" s="600">
        <v>0</v>
      </c>
      <c r="BE390" s="599"/>
      <c r="BF390" s="600">
        <v>0</v>
      </c>
      <c r="BG390" s="599"/>
      <c r="BH390" s="600">
        <v>0</v>
      </c>
      <c r="BI390" s="599"/>
      <c r="BJ390" s="600">
        <v>0</v>
      </c>
      <c r="BK390" s="615"/>
      <c r="BL390" s="600">
        <v>1800610</v>
      </c>
      <c r="BM390" s="604">
        <v>1701652</v>
      </c>
      <c r="BN390" s="605">
        <f t="shared" si="431"/>
        <v>0</v>
      </c>
      <c r="BO390" s="606">
        <f t="shared" si="432"/>
        <v>0</v>
      </c>
      <c r="BP390" s="607">
        <f t="shared" si="433"/>
        <v>0</v>
      </c>
      <c r="BQ390" s="606">
        <f t="shared" si="434"/>
        <v>0</v>
      </c>
      <c r="BR390" s="607">
        <f t="shared" si="435"/>
        <v>0</v>
      </c>
      <c r="BS390" s="606">
        <f t="shared" si="436"/>
        <v>0</v>
      </c>
      <c r="BT390" s="607">
        <f t="shared" si="437"/>
        <v>0</v>
      </c>
      <c r="BU390" s="606">
        <f t="shared" si="438"/>
        <v>0</v>
      </c>
      <c r="BV390" s="607">
        <f t="shared" si="439"/>
        <v>0</v>
      </c>
      <c r="BW390" s="608">
        <f t="shared" si="440"/>
        <v>0</v>
      </c>
      <c r="BX390" s="607">
        <f t="shared" si="441"/>
        <v>344</v>
      </c>
      <c r="BY390" s="608">
        <f t="shared" si="442"/>
        <v>318</v>
      </c>
      <c r="BZ390" s="607">
        <f t="shared" si="443"/>
        <v>0</v>
      </c>
      <c r="CA390" s="608">
        <f t="shared" si="444"/>
        <v>0</v>
      </c>
      <c r="CB390" s="607">
        <f t="shared" si="445"/>
        <v>0</v>
      </c>
      <c r="CC390" s="608">
        <f t="shared" si="446"/>
        <v>0</v>
      </c>
      <c r="CD390" s="607">
        <f t="shared" si="447"/>
        <v>0</v>
      </c>
      <c r="CE390" s="608">
        <f t="shared" si="448"/>
        <v>0</v>
      </c>
      <c r="CF390" s="607">
        <f t="shared" si="449"/>
        <v>0</v>
      </c>
      <c r="CG390" s="608">
        <f t="shared" si="450"/>
        <v>0</v>
      </c>
      <c r="CH390" s="607">
        <f t="shared" si="451"/>
        <v>0</v>
      </c>
      <c r="CI390" s="608">
        <f t="shared" si="452"/>
        <v>0</v>
      </c>
      <c r="CJ390" s="607">
        <f t="shared" si="453"/>
        <v>5234.3313953488368</v>
      </c>
      <c r="CK390" s="608">
        <f t="shared" si="454"/>
        <v>5351.1069182389938</v>
      </c>
      <c r="CL390" s="609">
        <f t="shared" si="455"/>
        <v>0</v>
      </c>
      <c r="CM390" s="608">
        <f t="shared" si="456"/>
        <v>0</v>
      </c>
      <c r="CN390" s="610">
        <f t="shared" si="457"/>
        <v>0</v>
      </c>
      <c r="CO390" s="606">
        <f t="shared" si="458"/>
        <v>0</v>
      </c>
      <c r="CP390" s="607">
        <f t="shared" si="459"/>
        <v>0</v>
      </c>
      <c r="CQ390" s="606">
        <f t="shared" si="460"/>
        <v>0</v>
      </c>
      <c r="CR390" s="607">
        <f t="shared" si="461"/>
        <v>0</v>
      </c>
      <c r="CS390" s="606">
        <f t="shared" si="462"/>
        <v>0</v>
      </c>
      <c r="CT390" s="607">
        <f t="shared" si="463"/>
        <v>0</v>
      </c>
      <c r="CU390" s="608">
        <f t="shared" si="464"/>
        <v>0</v>
      </c>
      <c r="CV390" s="610">
        <f t="shared" si="465"/>
        <v>47108.982558139534</v>
      </c>
      <c r="CW390" s="608">
        <f t="shared" si="466"/>
        <v>48159.962264150941</v>
      </c>
      <c r="CX390" s="610">
        <f t="shared" si="467"/>
        <v>47108.982558139534</v>
      </c>
      <c r="CY390" s="611">
        <f t="shared" si="468"/>
        <v>48159.962264150941</v>
      </c>
      <c r="CZ390" s="605">
        <f t="shared" si="469"/>
        <v>0</v>
      </c>
      <c r="DA390" s="612">
        <f t="shared" si="470"/>
        <v>0</v>
      </c>
      <c r="DB390" s="607">
        <f t="shared" si="471"/>
        <v>0</v>
      </c>
      <c r="DC390" s="606">
        <f t="shared" si="472"/>
        <v>0</v>
      </c>
      <c r="DD390" s="607">
        <f t="shared" si="473"/>
        <v>0</v>
      </c>
      <c r="DE390" s="606">
        <f t="shared" si="474"/>
        <v>0</v>
      </c>
      <c r="DF390" s="607">
        <f t="shared" si="475"/>
        <v>0</v>
      </c>
      <c r="DG390" s="606">
        <f t="shared" si="476"/>
        <v>0</v>
      </c>
      <c r="DH390" s="607">
        <f t="shared" si="477"/>
        <v>0</v>
      </c>
      <c r="DI390" s="608">
        <f t="shared" si="478"/>
        <v>0</v>
      </c>
      <c r="DJ390" s="607">
        <f t="shared" si="479"/>
        <v>32</v>
      </c>
      <c r="DK390" s="608">
        <f t="shared" si="480"/>
        <v>30</v>
      </c>
      <c r="DL390" s="607">
        <f t="shared" si="481"/>
        <v>32</v>
      </c>
      <c r="DM390" s="608">
        <f t="shared" si="482"/>
        <v>30</v>
      </c>
      <c r="DN390" s="607">
        <f t="shared" si="483"/>
        <v>0</v>
      </c>
      <c r="DO390" s="612">
        <f t="shared" si="484"/>
        <v>0</v>
      </c>
      <c r="DP390" s="607">
        <f t="shared" si="485"/>
        <v>0</v>
      </c>
      <c r="DQ390" s="606">
        <f t="shared" si="486"/>
        <v>0</v>
      </c>
      <c r="DR390" s="607">
        <f t="shared" si="487"/>
        <v>0</v>
      </c>
      <c r="DS390" s="606">
        <f t="shared" si="488"/>
        <v>0</v>
      </c>
      <c r="DT390" s="607">
        <f t="shared" si="489"/>
        <v>0</v>
      </c>
      <c r="DU390" s="606">
        <f t="shared" si="490"/>
        <v>0</v>
      </c>
      <c r="DV390" s="607">
        <f t="shared" si="491"/>
        <v>0</v>
      </c>
      <c r="DW390" s="608">
        <f t="shared" si="492"/>
        <v>0</v>
      </c>
      <c r="DX390" s="607">
        <f t="shared" si="493"/>
        <v>1507487.4418604651</v>
      </c>
      <c r="DY390" s="608">
        <f t="shared" si="494"/>
        <v>1444798.8679245282</v>
      </c>
      <c r="DZ390" s="607">
        <f t="shared" si="495"/>
        <v>1507487.4418604651</v>
      </c>
      <c r="EA390" s="608">
        <f t="shared" si="496"/>
        <v>1444798.8679245282</v>
      </c>
    </row>
    <row r="391" spans="1:131" x14ac:dyDescent="0.2">
      <c r="A391" s="343" t="s">
        <v>41</v>
      </c>
      <c r="B391" s="345" t="s">
        <v>394</v>
      </c>
      <c r="C391" s="576"/>
      <c r="D391" s="343">
        <v>364946</v>
      </c>
      <c r="E391" s="344">
        <v>13</v>
      </c>
      <c r="F391" s="598"/>
      <c r="G391" s="599"/>
      <c r="H391" s="600"/>
      <c r="I391" s="601"/>
      <c r="J391" s="600"/>
      <c r="K391" s="599"/>
      <c r="L391" s="600"/>
      <c r="M391" s="601"/>
      <c r="N391" s="600"/>
      <c r="O391" s="599"/>
      <c r="P391" s="600"/>
      <c r="Q391" s="601"/>
      <c r="R391" s="600"/>
      <c r="S391" s="599"/>
      <c r="T391" s="600"/>
      <c r="U391" s="601"/>
      <c r="V391" s="600"/>
      <c r="W391" s="599"/>
      <c r="X391" s="600"/>
      <c r="Y391" s="601"/>
      <c r="Z391" s="600"/>
      <c r="AA391" s="599"/>
      <c r="AB391" s="600"/>
      <c r="AC391" s="601"/>
      <c r="AD391" s="600"/>
      <c r="AE391" s="599"/>
      <c r="AF391" s="600"/>
      <c r="AG391" s="601"/>
      <c r="AH391" s="600"/>
      <c r="AI391" s="599"/>
      <c r="AJ391" s="600"/>
      <c r="AK391" s="601"/>
      <c r="AL391" s="600"/>
      <c r="AM391" s="599"/>
      <c r="AN391" s="600"/>
      <c r="AO391" s="601"/>
      <c r="AP391" s="600"/>
      <c r="AQ391" s="599"/>
      <c r="AR391" s="600"/>
      <c r="AS391" s="601"/>
      <c r="AT391" s="600"/>
      <c r="AU391" s="599"/>
      <c r="AV391" s="600">
        <v>22</v>
      </c>
      <c r="AW391" s="601">
        <v>21</v>
      </c>
      <c r="AX391" s="600">
        <v>8</v>
      </c>
      <c r="AY391" s="599">
        <v>5</v>
      </c>
      <c r="AZ391" s="600">
        <v>1</v>
      </c>
      <c r="BA391" s="601">
        <v>2</v>
      </c>
      <c r="BB391" s="602">
        <v>0</v>
      </c>
      <c r="BC391" s="599"/>
      <c r="BD391" s="600">
        <v>0</v>
      </c>
      <c r="BE391" s="599"/>
      <c r="BF391" s="600">
        <v>0</v>
      </c>
      <c r="BG391" s="599"/>
      <c r="BH391" s="600">
        <v>0</v>
      </c>
      <c r="BI391" s="599"/>
      <c r="BJ391" s="600">
        <v>0</v>
      </c>
      <c r="BK391" s="615"/>
      <c r="BL391" s="600">
        <v>1514250</v>
      </c>
      <c r="BM391" s="604">
        <v>1394771</v>
      </c>
      <c r="BN391" s="605">
        <f t="shared" si="431"/>
        <v>0</v>
      </c>
      <c r="BO391" s="606">
        <f t="shared" si="432"/>
        <v>0</v>
      </c>
      <c r="BP391" s="607">
        <f t="shared" si="433"/>
        <v>0</v>
      </c>
      <c r="BQ391" s="606">
        <f t="shared" si="434"/>
        <v>0</v>
      </c>
      <c r="BR391" s="607">
        <f t="shared" si="435"/>
        <v>0</v>
      </c>
      <c r="BS391" s="606">
        <f t="shared" si="436"/>
        <v>0</v>
      </c>
      <c r="BT391" s="607">
        <f t="shared" si="437"/>
        <v>0</v>
      </c>
      <c r="BU391" s="606">
        <f t="shared" si="438"/>
        <v>0</v>
      </c>
      <c r="BV391" s="607">
        <f t="shared" si="439"/>
        <v>0</v>
      </c>
      <c r="BW391" s="608">
        <f t="shared" si="440"/>
        <v>0</v>
      </c>
      <c r="BX391" s="607">
        <f t="shared" si="441"/>
        <v>320</v>
      </c>
      <c r="BY391" s="608">
        <f t="shared" si="442"/>
        <v>289</v>
      </c>
      <c r="BZ391" s="607">
        <f t="shared" si="443"/>
        <v>0</v>
      </c>
      <c r="CA391" s="608">
        <f t="shared" si="444"/>
        <v>0</v>
      </c>
      <c r="CB391" s="607">
        <f t="shared" si="445"/>
        <v>0</v>
      </c>
      <c r="CC391" s="608">
        <f t="shared" si="446"/>
        <v>0</v>
      </c>
      <c r="CD391" s="607">
        <f t="shared" si="447"/>
        <v>0</v>
      </c>
      <c r="CE391" s="608">
        <f t="shared" si="448"/>
        <v>0</v>
      </c>
      <c r="CF391" s="607">
        <f t="shared" si="449"/>
        <v>0</v>
      </c>
      <c r="CG391" s="608">
        <f t="shared" si="450"/>
        <v>0</v>
      </c>
      <c r="CH391" s="607">
        <f t="shared" si="451"/>
        <v>0</v>
      </c>
      <c r="CI391" s="608">
        <f t="shared" si="452"/>
        <v>0</v>
      </c>
      <c r="CJ391" s="607">
        <f t="shared" si="453"/>
        <v>4732.03125</v>
      </c>
      <c r="CK391" s="608">
        <f t="shared" si="454"/>
        <v>4826.1972318339103</v>
      </c>
      <c r="CL391" s="609">
        <f t="shared" si="455"/>
        <v>0</v>
      </c>
      <c r="CM391" s="608">
        <f t="shared" si="456"/>
        <v>0</v>
      </c>
      <c r="CN391" s="610">
        <f t="shared" si="457"/>
        <v>0</v>
      </c>
      <c r="CO391" s="606">
        <f t="shared" si="458"/>
        <v>0</v>
      </c>
      <c r="CP391" s="607">
        <f t="shared" si="459"/>
        <v>0</v>
      </c>
      <c r="CQ391" s="606">
        <f t="shared" si="460"/>
        <v>0</v>
      </c>
      <c r="CR391" s="607">
        <f t="shared" si="461"/>
        <v>0</v>
      </c>
      <c r="CS391" s="606">
        <f t="shared" si="462"/>
        <v>0</v>
      </c>
      <c r="CT391" s="607">
        <f t="shared" si="463"/>
        <v>0</v>
      </c>
      <c r="CU391" s="608">
        <f t="shared" si="464"/>
        <v>0</v>
      </c>
      <c r="CV391" s="610">
        <f t="shared" si="465"/>
        <v>42588.28125</v>
      </c>
      <c r="CW391" s="608">
        <f t="shared" si="466"/>
        <v>43435.775086505193</v>
      </c>
      <c r="CX391" s="610">
        <f t="shared" si="467"/>
        <v>42588.28125</v>
      </c>
      <c r="CY391" s="611">
        <f t="shared" si="468"/>
        <v>43435.775086505186</v>
      </c>
      <c r="CZ391" s="605">
        <f t="shared" si="469"/>
        <v>0</v>
      </c>
      <c r="DA391" s="612">
        <f t="shared" si="470"/>
        <v>0</v>
      </c>
      <c r="DB391" s="607">
        <f t="shared" si="471"/>
        <v>0</v>
      </c>
      <c r="DC391" s="606">
        <f t="shared" si="472"/>
        <v>0</v>
      </c>
      <c r="DD391" s="607">
        <f t="shared" si="473"/>
        <v>0</v>
      </c>
      <c r="DE391" s="606">
        <f t="shared" si="474"/>
        <v>0</v>
      </c>
      <c r="DF391" s="607">
        <f t="shared" si="475"/>
        <v>0</v>
      </c>
      <c r="DG391" s="606">
        <f t="shared" si="476"/>
        <v>0</v>
      </c>
      <c r="DH391" s="607">
        <f t="shared" si="477"/>
        <v>0</v>
      </c>
      <c r="DI391" s="608">
        <f t="shared" si="478"/>
        <v>0</v>
      </c>
      <c r="DJ391" s="607">
        <f t="shared" si="479"/>
        <v>31</v>
      </c>
      <c r="DK391" s="608">
        <f t="shared" si="480"/>
        <v>28</v>
      </c>
      <c r="DL391" s="607">
        <f t="shared" si="481"/>
        <v>31</v>
      </c>
      <c r="DM391" s="608">
        <f t="shared" si="482"/>
        <v>28</v>
      </c>
      <c r="DN391" s="607">
        <f t="shared" si="483"/>
        <v>0</v>
      </c>
      <c r="DO391" s="612">
        <f t="shared" si="484"/>
        <v>0</v>
      </c>
      <c r="DP391" s="607">
        <f t="shared" si="485"/>
        <v>0</v>
      </c>
      <c r="DQ391" s="606">
        <f t="shared" si="486"/>
        <v>0</v>
      </c>
      <c r="DR391" s="607">
        <f t="shared" si="487"/>
        <v>0</v>
      </c>
      <c r="DS391" s="606">
        <f t="shared" si="488"/>
        <v>0</v>
      </c>
      <c r="DT391" s="607">
        <f t="shared" si="489"/>
        <v>0</v>
      </c>
      <c r="DU391" s="606">
        <f t="shared" si="490"/>
        <v>0</v>
      </c>
      <c r="DV391" s="607">
        <f t="shared" si="491"/>
        <v>0</v>
      </c>
      <c r="DW391" s="608">
        <f t="shared" si="492"/>
        <v>0</v>
      </c>
      <c r="DX391" s="607">
        <f t="shared" si="493"/>
        <v>1320236.71875</v>
      </c>
      <c r="DY391" s="608">
        <f t="shared" si="494"/>
        <v>1216201.7024221453</v>
      </c>
      <c r="DZ391" s="607">
        <f t="shared" si="495"/>
        <v>1320236.71875</v>
      </c>
      <c r="EA391" s="608">
        <f t="shared" si="496"/>
        <v>1216201.7024221453</v>
      </c>
    </row>
    <row r="392" spans="1:131" x14ac:dyDescent="0.2">
      <c r="A392" s="343" t="s">
        <v>41</v>
      </c>
      <c r="B392" s="345" t="s">
        <v>395</v>
      </c>
      <c r="C392" s="576"/>
      <c r="D392" s="343">
        <v>246017</v>
      </c>
      <c r="E392" s="344">
        <v>13</v>
      </c>
      <c r="F392" s="598"/>
      <c r="G392" s="599"/>
      <c r="H392" s="600"/>
      <c r="I392" s="601"/>
      <c r="J392" s="600"/>
      <c r="K392" s="599"/>
      <c r="L392" s="600"/>
      <c r="M392" s="601"/>
      <c r="N392" s="600"/>
      <c r="O392" s="599"/>
      <c r="P392" s="600"/>
      <c r="Q392" s="601"/>
      <c r="R392" s="600"/>
      <c r="S392" s="599"/>
      <c r="T392" s="600"/>
      <c r="U392" s="601"/>
      <c r="V392" s="600"/>
      <c r="W392" s="599"/>
      <c r="X392" s="600"/>
      <c r="Y392" s="601"/>
      <c r="Z392" s="600"/>
      <c r="AA392" s="599"/>
      <c r="AB392" s="600"/>
      <c r="AC392" s="601"/>
      <c r="AD392" s="600"/>
      <c r="AE392" s="599"/>
      <c r="AF392" s="600"/>
      <c r="AG392" s="601"/>
      <c r="AH392" s="600"/>
      <c r="AI392" s="599"/>
      <c r="AJ392" s="600"/>
      <c r="AK392" s="601"/>
      <c r="AL392" s="600"/>
      <c r="AM392" s="599"/>
      <c r="AN392" s="600"/>
      <c r="AO392" s="601"/>
      <c r="AP392" s="600"/>
      <c r="AQ392" s="599"/>
      <c r="AR392" s="600"/>
      <c r="AS392" s="601"/>
      <c r="AT392" s="600"/>
      <c r="AU392" s="599"/>
      <c r="AV392" s="600">
        <v>30</v>
      </c>
      <c r="AW392" s="601">
        <v>28</v>
      </c>
      <c r="AX392" s="600"/>
      <c r="AY392" s="599">
        <v>0</v>
      </c>
      <c r="AZ392" s="600">
        <v>19</v>
      </c>
      <c r="BA392" s="601">
        <v>15</v>
      </c>
      <c r="BB392" s="602">
        <v>0</v>
      </c>
      <c r="BC392" s="599"/>
      <c r="BD392" s="600">
        <v>0</v>
      </c>
      <c r="BE392" s="599"/>
      <c r="BF392" s="600">
        <v>0</v>
      </c>
      <c r="BG392" s="599"/>
      <c r="BH392" s="600">
        <v>0</v>
      </c>
      <c r="BI392" s="599"/>
      <c r="BJ392" s="600">
        <v>0</v>
      </c>
      <c r="BK392" s="615"/>
      <c r="BL392" s="600">
        <v>2620141</v>
      </c>
      <c r="BM392" s="604">
        <v>2257305</v>
      </c>
      <c r="BN392" s="605">
        <f t="shared" si="431"/>
        <v>0</v>
      </c>
      <c r="BO392" s="606">
        <f t="shared" si="432"/>
        <v>0</v>
      </c>
      <c r="BP392" s="607">
        <f t="shared" si="433"/>
        <v>0</v>
      </c>
      <c r="BQ392" s="606">
        <f t="shared" si="434"/>
        <v>0</v>
      </c>
      <c r="BR392" s="607">
        <f t="shared" si="435"/>
        <v>0</v>
      </c>
      <c r="BS392" s="606">
        <f t="shared" si="436"/>
        <v>0</v>
      </c>
      <c r="BT392" s="607">
        <f t="shared" si="437"/>
        <v>0</v>
      </c>
      <c r="BU392" s="606">
        <f t="shared" si="438"/>
        <v>0</v>
      </c>
      <c r="BV392" s="607">
        <f t="shared" si="439"/>
        <v>0</v>
      </c>
      <c r="BW392" s="608">
        <f t="shared" si="440"/>
        <v>0</v>
      </c>
      <c r="BX392" s="607">
        <f t="shared" si="441"/>
        <v>528</v>
      </c>
      <c r="BY392" s="608">
        <f t="shared" si="442"/>
        <v>460</v>
      </c>
      <c r="BZ392" s="607">
        <f t="shared" si="443"/>
        <v>0</v>
      </c>
      <c r="CA392" s="608">
        <f t="shared" si="444"/>
        <v>0</v>
      </c>
      <c r="CB392" s="607">
        <f t="shared" si="445"/>
        <v>0</v>
      </c>
      <c r="CC392" s="608">
        <f t="shared" si="446"/>
        <v>0</v>
      </c>
      <c r="CD392" s="607">
        <f t="shared" si="447"/>
        <v>0</v>
      </c>
      <c r="CE392" s="608">
        <f t="shared" si="448"/>
        <v>0</v>
      </c>
      <c r="CF392" s="607">
        <f t="shared" si="449"/>
        <v>0</v>
      </c>
      <c r="CG392" s="608">
        <f t="shared" si="450"/>
        <v>0</v>
      </c>
      <c r="CH392" s="607">
        <f t="shared" si="451"/>
        <v>0</v>
      </c>
      <c r="CI392" s="608">
        <f t="shared" si="452"/>
        <v>0</v>
      </c>
      <c r="CJ392" s="607">
        <f t="shared" si="453"/>
        <v>4962.388257575758</v>
      </c>
      <c r="CK392" s="608">
        <f t="shared" si="454"/>
        <v>4907.184782608696</v>
      </c>
      <c r="CL392" s="609">
        <f t="shared" si="455"/>
        <v>0</v>
      </c>
      <c r="CM392" s="608">
        <f t="shared" si="456"/>
        <v>0</v>
      </c>
      <c r="CN392" s="610">
        <f t="shared" si="457"/>
        <v>0</v>
      </c>
      <c r="CO392" s="606">
        <f t="shared" si="458"/>
        <v>0</v>
      </c>
      <c r="CP392" s="607">
        <f t="shared" si="459"/>
        <v>0</v>
      </c>
      <c r="CQ392" s="606">
        <f t="shared" si="460"/>
        <v>0</v>
      </c>
      <c r="CR392" s="607">
        <f t="shared" si="461"/>
        <v>0</v>
      </c>
      <c r="CS392" s="606">
        <f t="shared" si="462"/>
        <v>0</v>
      </c>
      <c r="CT392" s="607">
        <f t="shared" si="463"/>
        <v>0</v>
      </c>
      <c r="CU392" s="608">
        <f t="shared" si="464"/>
        <v>0</v>
      </c>
      <c r="CV392" s="610">
        <f t="shared" si="465"/>
        <v>44661.494318181823</v>
      </c>
      <c r="CW392" s="608">
        <f t="shared" si="466"/>
        <v>44164.663043478264</v>
      </c>
      <c r="CX392" s="610">
        <f t="shared" si="467"/>
        <v>44661.494318181823</v>
      </c>
      <c r="CY392" s="611">
        <f t="shared" si="468"/>
        <v>44164.663043478264</v>
      </c>
      <c r="CZ392" s="605">
        <f t="shared" si="469"/>
        <v>0</v>
      </c>
      <c r="DA392" s="612">
        <f t="shared" si="470"/>
        <v>0</v>
      </c>
      <c r="DB392" s="607">
        <f t="shared" si="471"/>
        <v>0</v>
      </c>
      <c r="DC392" s="606">
        <f t="shared" si="472"/>
        <v>0</v>
      </c>
      <c r="DD392" s="607">
        <f t="shared" si="473"/>
        <v>0</v>
      </c>
      <c r="DE392" s="606">
        <f t="shared" si="474"/>
        <v>0</v>
      </c>
      <c r="DF392" s="607">
        <f t="shared" si="475"/>
        <v>0</v>
      </c>
      <c r="DG392" s="606">
        <f t="shared" si="476"/>
        <v>0</v>
      </c>
      <c r="DH392" s="607">
        <f t="shared" si="477"/>
        <v>0</v>
      </c>
      <c r="DI392" s="608">
        <f t="shared" si="478"/>
        <v>0</v>
      </c>
      <c r="DJ392" s="607">
        <f t="shared" si="479"/>
        <v>49</v>
      </c>
      <c r="DK392" s="608">
        <f t="shared" si="480"/>
        <v>43</v>
      </c>
      <c r="DL392" s="607">
        <f t="shared" si="481"/>
        <v>49</v>
      </c>
      <c r="DM392" s="608">
        <f t="shared" si="482"/>
        <v>43</v>
      </c>
      <c r="DN392" s="607">
        <f t="shared" si="483"/>
        <v>0</v>
      </c>
      <c r="DO392" s="612">
        <f t="shared" si="484"/>
        <v>0</v>
      </c>
      <c r="DP392" s="607">
        <f t="shared" si="485"/>
        <v>0</v>
      </c>
      <c r="DQ392" s="606">
        <f t="shared" si="486"/>
        <v>0</v>
      </c>
      <c r="DR392" s="607">
        <f t="shared" si="487"/>
        <v>0</v>
      </c>
      <c r="DS392" s="606">
        <f t="shared" si="488"/>
        <v>0</v>
      </c>
      <c r="DT392" s="607">
        <f t="shared" si="489"/>
        <v>0</v>
      </c>
      <c r="DU392" s="606">
        <f t="shared" si="490"/>
        <v>0</v>
      </c>
      <c r="DV392" s="607">
        <f t="shared" si="491"/>
        <v>0</v>
      </c>
      <c r="DW392" s="608">
        <f t="shared" si="492"/>
        <v>0</v>
      </c>
      <c r="DX392" s="607">
        <f t="shared" si="493"/>
        <v>2188413.2215909092</v>
      </c>
      <c r="DY392" s="608">
        <f t="shared" si="494"/>
        <v>1899080.5108695654</v>
      </c>
      <c r="DZ392" s="607">
        <f t="shared" si="495"/>
        <v>2188413.2215909092</v>
      </c>
      <c r="EA392" s="608">
        <f t="shared" si="496"/>
        <v>1899080.5108695654</v>
      </c>
    </row>
    <row r="393" spans="1:131" x14ac:dyDescent="0.2">
      <c r="A393" s="343" t="s">
        <v>41</v>
      </c>
      <c r="B393" s="345" t="s">
        <v>396</v>
      </c>
      <c r="C393" s="576"/>
      <c r="D393" s="343">
        <v>375656</v>
      </c>
      <c r="E393" s="344">
        <v>13</v>
      </c>
      <c r="F393" s="598"/>
      <c r="G393" s="599"/>
      <c r="H393" s="600"/>
      <c r="I393" s="601"/>
      <c r="J393" s="600"/>
      <c r="K393" s="599"/>
      <c r="L393" s="600"/>
      <c r="M393" s="601"/>
      <c r="N393" s="600"/>
      <c r="O393" s="599"/>
      <c r="P393" s="600"/>
      <c r="Q393" s="601"/>
      <c r="R393" s="600"/>
      <c r="S393" s="599"/>
      <c r="T393" s="600"/>
      <c r="U393" s="601"/>
      <c r="V393" s="600"/>
      <c r="W393" s="599"/>
      <c r="X393" s="600"/>
      <c r="Y393" s="601"/>
      <c r="Z393" s="600"/>
      <c r="AA393" s="599"/>
      <c r="AB393" s="600"/>
      <c r="AC393" s="601"/>
      <c r="AD393" s="600"/>
      <c r="AE393" s="599"/>
      <c r="AF393" s="600"/>
      <c r="AG393" s="601"/>
      <c r="AH393" s="600"/>
      <c r="AI393" s="599"/>
      <c r="AJ393" s="600"/>
      <c r="AK393" s="601"/>
      <c r="AL393" s="600"/>
      <c r="AM393" s="599"/>
      <c r="AN393" s="600"/>
      <c r="AO393" s="601"/>
      <c r="AP393" s="600"/>
      <c r="AQ393" s="599"/>
      <c r="AR393" s="600"/>
      <c r="AS393" s="601"/>
      <c r="AT393" s="600"/>
      <c r="AU393" s="599"/>
      <c r="AV393" s="600">
        <v>5</v>
      </c>
      <c r="AW393" s="601">
        <v>5</v>
      </c>
      <c r="AX393" s="600"/>
      <c r="AY393" s="599"/>
      <c r="AZ393" s="600">
        <v>2</v>
      </c>
      <c r="BA393" s="601">
        <v>2</v>
      </c>
      <c r="BB393" s="602">
        <v>0</v>
      </c>
      <c r="BC393" s="599"/>
      <c r="BD393" s="600">
        <v>0</v>
      </c>
      <c r="BE393" s="599"/>
      <c r="BF393" s="600">
        <v>0</v>
      </c>
      <c r="BG393" s="599"/>
      <c r="BH393" s="600">
        <v>0</v>
      </c>
      <c r="BI393" s="599"/>
      <c r="BJ393" s="600">
        <v>0</v>
      </c>
      <c r="BK393" s="615"/>
      <c r="BL393" s="600">
        <v>318750</v>
      </c>
      <c r="BM393" s="604">
        <v>322900</v>
      </c>
      <c r="BN393" s="605">
        <f t="shared" ref="BN393:BN456" si="497">((F393*9)+(H393*10)+(J393*11)+(L393*12))</f>
        <v>0</v>
      </c>
      <c r="BO393" s="606">
        <f t="shared" ref="BO393:BO456" si="498">((G393*9)+(I393*10)+(K393*11)+(M393*12))</f>
        <v>0</v>
      </c>
      <c r="BP393" s="607">
        <f t="shared" ref="BP393:BP456" si="499">((N393*9)+(P393*10)+(R393*11)+(T393*12))</f>
        <v>0</v>
      </c>
      <c r="BQ393" s="606">
        <f t="shared" ref="BQ393:BQ456" si="500">((O393*9)+(Q393*10)+(S393*11)+(U393*12))</f>
        <v>0</v>
      </c>
      <c r="BR393" s="607">
        <f t="shared" ref="BR393:BR456" si="501">((V393*9)+(X393*10)+(Z393*11)+(AB393*12))</f>
        <v>0</v>
      </c>
      <c r="BS393" s="606">
        <f t="shared" ref="BS393:BS456" si="502">((W393*9)+(Y393*10)+(AA393*11)+(AC393*12))</f>
        <v>0</v>
      </c>
      <c r="BT393" s="607">
        <f t="shared" ref="BT393:BT456" si="503">((AD393*9)+(AF393*10)+(AH393*11)+(AJ393*12))</f>
        <v>0</v>
      </c>
      <c r="BU393" s="606">
        <f t="shared" ref="BU393:BU456" si="504">((AE393*9)+(AG393*10)+(AI393*11)+(AK393*12))</f>
        <v>0</v>
      </c>
      <c r="BV393" s="607">
        <f t="shared" ref="BV393:BV456" si="505">((AL393*9)+(AN393*10)+(AP393*11)+(AR393*12))</f>
        <v>0</v>
      </c>
      <c r="BW393" s="608">
        <f t="shared" ref="BW393:BW456" si="506">((AM393*9)+(AO393*10)+(AQ393*11)+(AS393*12))</f>
        <v>0</v>
      </c>
      <c r="BX393" s="607">
        <f t="shared" ref="BX393:BX456" si="507">((AT393*9)+(AV393*10)+(AX393*11)+(AZ393*12))</f>
        <v>74</v>
      </c>
      <c r="BY393" s="608">
        <f t="shared" ref="BY393:BY456" si="508">((AU393*9)+(AW393*10)+(AY393*11)+(BA393*12))</f>
        <v>74</v>
      </c>
      <c r="BZ393" s="607">
        <f t="shared" ref="BZ393:BZ456" si="509">IF(BN393&gt;0,BB393/BN393,)</f>
        <v>0</v>
      </c>
      <c r="CA393" s="608">
        <f t="shared" ref="CA393:CA456" si="510">IF(BO393&gt;0,BC393/BO393,)</f>
        <v>0</v>
      </c>
      <c r="CB393" s="607">
        <f t="shared" ref="CB393:CB456" si="511">IF(BP393&gt;0,BD393/BP393,)</f>
        <v>0</v>
      </c>
      <c r="CC393" s="608">
        <f t="shared" ref="CC393:CC456" si="512">IF(BQ393&gt;0,BE393/BQ393,)</f>
        <v>0</v>
      </c>
      <c r="CD393" s="607">
        <f t="shared" ref="CD393:CD456" si="513">IF(BR393&gt;0,BF393/BR393,)</f>
        <v>0</v>
      </c>
      <c r="CE393" s="608">
        <f t="shared" ref="CE393:CE456" si="514">IF(BS393&gt;0,BG393/BS393,)</f>
        <v>0</v>
      </c>
      <c r="CF393" s="607">
        <f t="shared" ref="CF393:CF456" si="515">IF(BT393&gt;0,BH393/BT393,)</f>
        <v>0</v>
      </c>
      <c r="CG393" s="608">
        <f t="shared" ref="CG393:CG456" si="516">IF(BU393&gt;0,BI393/BU393,)</f>
        <v>0</v>
      </c>
      <c r="CH393" s="607">
        <f t="shared" ref="CH393:CH456" si="517">IF(BV393&gt;0,BJ393/BV393,)</f>
        <v>0</v>
      </c>
      <c r="CI393" s="608">
        <f t="shared" ref="CI393:CI456" si="518">IF(BW393&gt;0,BK393/BW393,)</f>
        <v>0</v>
      </c>
      <c r="CJ393" s="607">
        <f t="shared" ref="CJ393:CJ456" si="519">IF(BX393&gt;0,BL393/BX393,)</f>
        <v>4307.4324324324325</v>
      </c>
      <c r="CK393" s="608">
        <f t="shared" ref="CK393:CK456" si="520">IF(BY393&gt;0,BM393/BY393,)</f>
        <v>4363.5135135135133</v>
      </c>
      <c r="CL393" s="609">
        <f t="shared" ref="CL393:CL456" si="521">+BZ393*9</f>
        <v>0</v>
      </c>
      <c r="CM393" s="608">
        <f t="shared" ref="CM393:CM456" si="522">+CA393*9</f>
        <v>0</v>
      </c>
      <c r="CN393" s="610">
        <f t="shared" ref="CN393:CN456" si="523">+CB393*9</f>
        <v>0</v>
      </c>
      <c r="CO393" s="606">
        <f t="shared" ref="CO393:CO456" si="524">+CC393*9</f>
        <v>0</v>
      </c>
      <c r="CP393" s="607">
        <f t="shared" ref="CP393:CP456" si="525">+CD393*9</f>
        <v>0</v>
      </c>
      <c r="CQ393" s="606">
        <f t="shared" ref="CQ393:CQ456" si="526">+CE393*9</f>
        <v>0</v>
      </c>
      <c r="CR393" s="607">
        <f t="shared" ref="CR393:CR456" si="527">+CF393*9</f>
        <v>0</v>
      </c>
      <c r="CS393" s="606">
        <f t="shared" ref="CS393:CS456" si="528">+CG393*9</f>
        <v>0</v>
      </c>
      <c r="CT393" s="607">
        <f t="shared" ref="CT393:CT456" si="529">+CH393*9</f>
        <v>0</v>
      </c>
      <c r="CU393" s="608">
        <f t="shared" ref="CU393:CU456" si="530">+CI393*9</f>
        <v>0</v>
      </c>
      <c r="CV393" s="610">
        <f t="shared" ref="CV393:CV456" si="531">+CJ393*9</f>
        <v>38766.891891891893</v>
      </c>
      <c r="CW393" s="608">
        <f t="shared" ref="CW393:CW456" si="532">+CK393*9</f>
        <v>39271.62162162162</v>
      </c>
      <c r="CX393" s="610">
        <f t="shared" ref="CX393:CX456" si="533">IF(DL393&gt;0,((CL393*CZ393)+(CN393*DB393)+(CP393*DD393)+(CR393*DF393)+(CT393*DH393)+(CV393*DJ393))/DL393,)</f>
        <v>38766.891891891893</v>
      </c>
      <c r="CY393" s="611">
        <f t="shared" ref="CY393:CY456" si="534">IF(DM393&gt;0,((CM393*DA393)+(CO393*DC393)+(CQ393*DE393)+(CS393*DG393)+(CU393*DI393)+(CW393*DK393))/DM393,)</f>
        <v>39271.62162162162</v>
      </c>
      <c r="CZ393" s="605">
        <f t="shared" ref="CZ393:CZ456" si="535">+F393+H393+J393+L393</f>
        <v>0</v>
      </c>
      <c r="DA393" s="612">
        <f t="shared" ref="DA393:DA456" si="536">+G393+I393+K393+M393</f>
        <v>0</v>
      </c>
      <c r="DB393" s="607">
        <f t="shared" ref="DB393:DB456" si="537">+N393+P393+R393+T393</f>
        <v>0</v>
      </c>
      <c r="DC393" s="606">
        <f t="shared" ref="DC393:DC456" si="538">+O393+Q393+S393+U393</f>
        <v>0</v>
      </c>
      <c r="DD393" s="607">
        <f t="shared" ref="DD393:DD456" si="539">+V393+X393+Z393+AB393</f>
        <v>0</v>
      </c>
      <c r="DE393" s="606">
        <f t="shared" ref="DE393:DE456" si="540">+W393+Y393+AA393+AC393</f>
        <v>0</v>
      </c>
      <c r="DF393" s="607">
        <f t="shared" ref="DF393:DF456" si="541">+AD393+AF393+AH393+AJ393</f>
        <v>0</v>
      </c>
      <c r="DG393" s="606">
        <f t="shared" ref="DG393:DG456" si="542">+AE393+AG393+AI393+AK393</f>
        <v>0</v>
      </c>
      <c r="DH393" s="607">
        <f t="shared" ref="DH393:DH456" si="543">+AL393+AN393+AP393+AR393</f>
        <v>0</v>
      </c>
      <c r="DI393" s="608">
        <f t="shared" ref="DI393:DI456" si="544">+AM393+AO393+AQ393+AS393</f>
        <v>0</v>
      </c>
      <c r="DJ393" s="607">
        <f t="shared" ref="DJ393:DJ456" si="545">+AT393+AV393+AX393+AZ393</f>
        <v>7</v>
      </c>
      <c r="DK393" s="608">
        <f t="shared" ref="DK393:DK456" si="546">+AU393+AW393+AY393+BA393</f>
        <v>7</v>
      </c>
      <c r="DL393" s="607">
        <f t="shared" ref="DL393:DL456" si="547">+CZ393+DB393+DD393+DF393+DH393+DJ393</f>
        <v>7</v>
      </c>
      <c r="DM393" s="608">
        <f t="shared" ref="DM393:DM456" si="548">+DA393+DC393+DE393+DG393+DI393+DK393</f>
        <v>7</v>
      </c>
      <c r="DN393" s="607">
        <f t="shared" ref="DN393:DN456" si="549">+CZ393*CL393</f>
        <v>0</v>
      </c>
      <c r="DO393" s="612">
        <f t="shared" ref="DO393:DO456" si="550">+DA393*CM393</f>
        <v>0</v>
      </c>
      <c r="DP393" s="607">
        <f t="shared" ref="DP393:DP456" si="551">+DB393*CN393</f>
        <v>0</v>
      </c>
      <c r="DQ393" s="606">
        <f t="shared" ref="DQ393:DQ456" si="552">+DC393*CO393</f>
        <v>0</v>
      </c>
      <c r="DR393" s="607">
        <f t="shared" ref="DR393:DR456" si="553">+DD393*CP393</f>
        <v>0</v>
      </c>
      <c r="DS393" s="606">
        <f t="shared" ref="DS393:DS456" si="554">+DE393*CQ393</f>
        <v>0</v>
      </c>
      <c r="DT393" s="607">
        <f t="shared" ref="DT393:DT456" si="555">+DF393*CR393</f>
        <v>0</v>
      </c>
      <c r="DU393" s="606">
        <f t="shared" ref="DU393:DU456" si="556">+DG393*CS393</f>
        <v>0</v>
      </c>
      <c r="DV393" s="607">
        <f t="shared" ref="DV393:DV456" si="557">+DH393*CT393</f>
        <v>0</v>
      </c>
      <c r="DW393" s="608">
        <f t="shared" ref="DW393:DW456" si="558">+DI393*CU393</f>
        <v>0</v>
      </c>
      <c r="DX393" s="607">
        <f t="shared" ref="DX393:DX456" si="559">+DJ393*CV393</f>
        <v>271368.24324324325</v>
      </c>
      <c r="DY393" s="608">
        <f t="shared" ref="DY393:DY456" si="560">+DK393*CW393</f>
        <v>274901.35135135136</v>
      </c>
      <c r="DZ393" s="607">
        <f t="shared" ref="DZ393:DZ456" si="561">+DL393*CX393</f>
        <v>271368.24324324325</v>
      </c>
      <c r="EA393" s="608">
        <f t="shared" ref="EA393:EA456" si="562">+DM393*CY393</f>
        <v>274901.35135135136</v>
      </c>
    </row>
    <row r="394" spans="1:131" x14ac:dyDescent="0.2">
      <c r="A394" s="343" t="s">
        <v>41</v>
      </c>
      <c r="B394" s="345" t="s">
        <v>397</v>
      </c>
      <c r="C394" s="576"/>
      <c r="D394" s="343">
        <v>418348</v>
      </c>
      <c r="E394" s="344">
        <v>13</v>
      </c>
      <c r="F394" s="598"/>
      <c r="G394" s="599"/>
      <c r="H394" s="600"/>
      <c r="I394" s="601"/>
      <c r="J394" s="600"/>
      <c r="K394" s="599"/>
      <c r="L394" s="600"/>
      <c r="M394" s="601"/>
      <c r="N394" s="600"/>
      <c r="O394" s="599"/>
      <c r="P394" s="600"/>
      <c r="Q394" s="601"/>
      <c r="R394" s="600"/>
      <c r="S394" s="599"/>
      <c r="T394" s="600"/>
      <c r="U394" s="601"/>
      <c r="V394" s="600"/>
      <c r="W394" s="599"/>
      <c r="X394" s="600"/>
      <c r="Y394" s="601"/>
      <c r="Z394" s="600"/>
      <c r="AA394" s="599"/>
      <c r="AB394" s="600"/>
      <c r="AC394" s="601"/>
      <c r="AD394" s="600"/>
      <c r="AE394" s="599"/>
      <c r="AF394" s="600"/>
      <c r="AG394" s="601"/>
      <c r="AH394" s="600"/>
      <c r="AI394" s="599"/>
      <c r="AJ394" s="600"/>
      <c r="AK394" s="601"/>
      <c r="AL394" s="600"/>
      <c r="AM394" s="599"/>
      <c r="AN394" s="600"/>
      <c r="AO394" s="601"/>
      <c r="AP394" s="600"/>
      <c r="AQ394" s="599"/>
      <c r="AR394" s="600"/>
      <c r="AS394" s="601"/>
      <c r="AT394" s="600"/>
      <c r="AU394" s="599"/>
      <c r="AV394" s="600">
        <v>17</v>
      </c>
      <c r="AW394" s="601">
        <v>17</v>
      </c>
      <c r="AX394" s="600"/>
      <c r="AY394" s="599"/>
      <c r="AZ394" s="600">
        <v>2</v>
      </c>
      <c r="BA394" s="601">
        <v>2</v>
      </c>
      <c r="BB394" s="602">
        <v>0</v>
      </c>
      <c r="BC394" s="599"/>
      <c r="BD394" s="600">
        <v>0</v>
      </c>
      <c r="BE394" s="599"/>
      <c r="BF394" s="600">
        <v>0</v>
      </c>
      <c r="BG394" s="599"/>
      <c r="BH394" s="600">
        <v>0</v>
      </c>
      <c r="BI394" s="599"/>
      <c r="BJ394" s="600">
        <v>0</v>
      </c>
      <c r="BK394" s="615"/>
      <c r="BL394" s="600">
        <v>962844</v>
      </c>
      <c r="BM394" s="604">
        <v>958514</v>
      </c>
      <c r="BN394" s="605">
        <f t="shared" si="497"/>
        <v>0</v>
      </c>
      <c r="BO394" s="606">
        <f t="shared" si="498"/>
        <v>0</v>
      </c>
      <c r="BP394" s="607">
        <f t="shared" si="499"/>
        <v>0</v>
      </c>
      <c r="BQ394" s="606">
        <f t="shared" si="500"/>
        <v>0</v>
      </c>
      <c r="BR394" s="607">
        <f t="shared" si="501"/>
        <v>0</v>
      </c>
      <c r="BS394" s="606">
        <f t="shared" si="502"/>
        <v>0</v>
      </c>
      <c r="BT394" s="607">
        <f t="shared" si="503"/>
        <v>0</v>
      </c>
      <c r="BU394" s="606">
        <f t="shared" si="504"/>
        <v>0</v>
      </c>
      <c r="BV394" s="607">
        <f t="shared" si="505"/>
        <v>0</v>
      </c>
      <c r="BW394" s="608">
        <f t="shared" si="506"/>
        <v>0</v>
      </c>
      <c r="BX394" s="607">
        <f t="shared" si="507"/>
        <v>194</v>
      </c>
      <c r="BY394" s="608">
        <f t="shared" si="508"/>
        <v>194</v>
      </c>
      <c r="BZ394" s="607">
        <f t="shared" si="509"/>
        <v>0</v>
      </c>
      <c r="CA394" s="608">
        <f t="shared" si="510"/>
        <v>0</v>
      </c>
      <c r="CB394" s="607">
        <f t="shared" si="511"/>
        <v>0</v>
      </c>
      <c r="CC394" s="608">
        <f t="shared" si="512"/>
        <v>0</v>
      </c>
      <c r="CD394" s="607">
        <f t="shared" si="513"/>
        <v>0</v>
      </c>
      <c r="CE394" s="608">
        <f t="shared" si="514"/>
        <v>0</v>
      </c>
      <c r="CF394" s="607">
        <f t="shared" si="515"/>
        <v>0</v>
      </c>
      <c r="CG394" s="608">
        <f t="shared" si="516"/>
        <v>0</v>
      </c>
      <c r="CH394" s="607">
        <f t="shared" si="517"/>
        <v>0</v>
      </c>
      <c r="CI394" s="608">
        <f t="shared" si="518"/>
        <v>0</v>
      </c>
      <c r="CJ394" s="607">
        <f t="shared" si="519"/>
        <v>4963.1134020618556</v>
      </c>
      <c r="CK394" s="608">
        <f t="shared" si="520"/>
        <v>4940.7938144329901</v>
      </c>
      <c r="CL394" s="609">
        <f t="shared" si="521"/>
        <v>0</v>
      </c>
      <c r="CM394" s="608">
        <f t="shared" si="522"/>
        <v>0</v>
      </c>
      <c r="CN394" s="610">
        <f t="shared" si="523"/>
        <v>0</v>
      </c>
      <c r="CO394" s="606">
        <f t="shared" si="524"/>
        <v>0</v>
      </c>
      <c r="CP394" s="607">
        <f t="shared" si="525"/>
        <v>0</v>
      </c>
      <c r="CQ394" s="606">
        <f t="shared" si="526"/>
        <v>0</v>
      </c>
      <c r="CR394" s="607">
        <f t="shared" si="527"/>
        <v>0</v>
      </c>
      <c r="CS394" s="606">
        <f t="shared" si="528"/>
        <v>0</v>
      </c>
      <c r="CT394" s="607">
        <f t="shared" si="529"/>
        <v>0</v>
      </c>
      <c r="CU394" s="608">
        <f t="shared" si="530"/>
        <v>0</v>
      </c>
      <c r="CV394" s="610">
        <f t="shared" si="531"/>
        <v>44668.0206185567</v>
      </c>
      <c r="CW394" s="608">
        <f t="shared" si="532"/>
        <v>44467.14432989691</v>
      </c>
      <c r="CX394" s="610">
        <f t="shared" si="533"/>
        <v>44668.0206185567</v>
      </c>
      <c r="CY394" s="611">
        <f t="shared" si="534"/>
        <v>44467.14432989691</v>
      </c>
      <c r="CZ394" s="605">
        <f t="shared" si="535"/>
        <v>0</v>
      </c>
      <c r="DA394" s="612">
        <f t="shared" si="536"/>
        <v>0</v>
      </c>
      <c r="DB394" s="607">
        <f t="shared" si="537"/>
        <v>0</v>
      </c>
      <c r="DC394" s="606">
        <f t="shared" si="538"/>
        <v>0</v>
      </c>
      <c r="DD394" s="607">
        <f t="shared" si="539"/>
        <v>0</v>
      </c>
      <c r="DE394" s="606">
        <f t="shared" si="540"/>
        <v>0</v>
      </c>
      <c r="DF394" s="607">
        <f t="shared" si="541"/>
        <v>0</v>
      </c>
      <c r="DG394" s="606">
        <f t="shared" si="542"/>
        <v>0</v>
      </c>
      <c r="DH394" s="607">
        <f t="shared" si="543"/>
        <v>0</v>
      </c>
      <c r="DI394" s="608">
        <f t="shared" si="544"/>
        <v>0</v>
      </c>
      <c r="DJ394" s="607">
        <f t="shared" si="545"/>
        <v>19</v>
      </c>
      <c r="DK394" s="608">
        <f t="shared" si="546"/>
        <v>19</v>
      </c>
      <c r="DL394" s="607">
        <f t="shared" si="547"/>
        <v>19</v>
      </c>
      <c r="DM394" s="608">
        <f t="shared" si="548"/>
        <v>19</v>
      </c>
      <c r="DN394" s="607">
        <f t="shared" si="549"/>
        <v>0</v>
      </c>
      <c r="DO394" s="612">
        <f t="shared" si="550"/>
        <v>0</v>
      </c>
      <c r="DP394" s="607">
        <f t="shared" si="551"/>
        <v>0</v>
      </c>
      <c r="DQ394" s="606">
        <f t="shared" si="552"/>
        <v>0</v>
      </c>
      <c r="DR394" s="607">
        <f t="shared" si="553"/>
        <v>0</v>
      </c>
      <c r="DS394" s="606">
        <f t="shared" si="554"/>
        <v>0</v>
      </c>
      <c r="DT394" s="607">
        <f t="shared" si="555"/>
        <v>0</v>
      </c>
      <c r="DU394" s="606">
        <f t="shared" si="556"/>
        <v>0</v>
      </c>
      <c r="DV394" s="607">
        <f t="shared" si="557"/>
        <v>0</v>
      </c>
      <c r="DW394" s="608">
        <f t="shared" si="558"/>
        <v>0</v>
      </c>
      <c r="DX394" s="607">
        <f t="shared" si="559"/>
        <v>848692.39175257727</v>
      </c>
      <c r="DY394" s="608">
        <f t="shared" si="560"/>
        <v>844875.74226804124</v>
      </c>
      <c r="DZ394" s="607">
        <f t="shared" si="561"/>
        <v>848692.39175257727</v>
      </c>
      <c r="EA394" s="608">
        <f t="shared" si="562"/>
        <v>844875.74226804124</v>
      </c>
    </row>
    <row r="395" spans="1:131" x14ac:dyDescent="0.2">
      <c r="A395" s="343" t="s">
        <v>41</v>
      </c>
      <c r="B395" s="345" t="s">
        <v>398</v>
      </c>
      <c r="C395" s="576"/>
      <c r="D395" s="343">
        <v>375683</v>
      </c>
      <c r="E395" s="344">
        <v>13</v>
      </c>
      <c r="F395" s="598"/>
      <c r="G395" s="599"/>
      <c r="H395" s="600"/>
      <c r="I395" s="601"/>
      <c r="J395" s="600"/>
      <c r="K395" s="599"/>
      <c r="L395" s="600"/>
      <c r="M395" s="601"/>
      <c r="N395" s="600"/>
      <c r="O395" s="599"/>
      <c r="P395" s="600"/>
      <c r="Q395" s="601"/>
      <c r="R395" s="600"/>
      <c r="S395" s="599"/>
      <c r="T395" s="600"/>
      <c r="U395" s="601"/>
      <c r="V395" s="600"/>
      <c r="W395" s="599"/>
      <c r="X395" s="600"/>
      <c r="Y395" s="601"/>
      <c r="Z395" s="600"/>
      <c r="AA395" s="599"/>
      <c r="AB395" s="600"/>
      <c r="AC395" s="601"/>
      <c r="AD395" s="600"/>
      <c r="AE395" s="599"/>
      <c r="AF395" s="600"/>
      <c r="AG395" s="601"/>
      <c r="AH395" s="600"/>
      <c r="AI395" s="599"/>
      <c r="AJ395" s="600"/>
      <c r="AK395" s="601"/>
      <c r="AL395" s="600"/>
      <c r="AM395" s="599"/>
      <c r="AN395" s="600"/>
      <c r="AO395" s="601"/>
      <c r="AP395" s="600"/>
      <c r="AQ395" s="599"/>
      <c r="AR395" s="600"/>
      <c r="AS395" s="601"/>
      <c r="AT395" s="600"/>
      <c r="AU395" s="599"/>
      <c r="AV395" s="600">
        <v>32</v>
      </c>
      <c r="AW395" s="601">
        <v>28</v>
      </c>
      <c r="AX395" s="600"/>
      <c r="AY395" s="599"/>
      <c r="AZ395" s="600">
        <v>7</v>
      </c>
      <c r="BA395" s="601">
        <v>6</v>
      </c>
      <c r="BB395" s="602">
        <v>0</v>
      </c>
      <c r="BC395" s="599"/>
      <c r="BD395" s="600">
        <v>0</v>
      </c>
      <c r="BE395" s="599"/>
      <c r="BF395" s="600">
        <v>0</v>
      </c>
      <c r="BG395" s="599"/>
      <c r="BH395" s="600">
        <v>0</v>
      </c>
      <c r="BI395" s="599"/>
      <c r="BJ395" s="600">
        <v>0</v>
      </c>
      <c r="BK395" s="615"/>
      <c r="BL395" s="600">
        <v>2052811</v>
      </c>
      <c r="BM395" s="604">
        <v>1872641</v>
      </c>
      <c r="BN395" s="605">
        <f t="shared" si="497"/>
        <v>0</v>
      </c>
      <c r="BO395" s="606">
        <f t="shared" si="498"/>
        <v>0</v>
      </c>
      <c r="BP395" s="607">
        <f t="shared" si="499"/>
        <v>0</v>
      </c>
      <c r="BQ395" s="606">
        <f t="shared" si="500"/>
        <v>0</v>
      </c>
      <c r="BR395" s="607">
        <f t="shared" si="501"/>
        <v>0</v>
      </c>
      <c r="BS395" s="606">
        <f t="shared" si="502"/>
        <v>0</v>
      </c>
      <c r="BT395" s="607">
        <f t="shared" si="503"/>
        <v>0</v>
      </c>
      <c r="BU395" s="606">
        <f t="shared" si="504"/>
        <v>0</v>
      </c>
      <c r="BV395" s="607">
        <f t="shared" si="505"/>
        <v>0</v>
      </c>
      <c r="BW395" s="608">
        <f t="shared" si="506"/>
        <v>0</v>
      </c>
      <c r="BX395" s="607">
        <f t="shared" si="507"/>
        <v>404</v>
      </c>
      <c r="BY395" s="608">
        <f t="shared" si="508"/>
        <v>352</v>
      </c>
      <c r="BZ395" s="607">
        <f t="shared" si="509"/>
        <v>0</v>
      </c>
      <c r="CA395" s="608">
        <f t="shared" si="510"/>
        <v>0</v>
      </c>
      <c r="CB395" s="607">
        <f t="shared" si="511"/>
        <v>0</v>
      </c>
      <c r="CC395" s="608">
        <f t="shared" si="512"/>
        <v>0</v>
      </c>
      <c r="CD395" s="607">
        <f t="shared" si="513"/>
        <v>0</v>
      </c>
      <c r="CE395" s="608">
        <f t="shared" si="514"/>
        <v>0</v>
      </c>
      <c r="CF395" s="607">
        <f t="shared" si="515"/>
        <v>0</v>
      </c>
      <c r="CG395" s="608">
        <f t="shared" si="516"/>
        <v>0</v>
      </c>
      <c r="CH395" s="607">
        <f t="shared" si="517"/>
        <v>0</v>
      </c>
      <c r="CI395" s="608">
        <f t="shared" si="518"/>
        <v>0</v>
      </c>
      <c r="CJ395" s="607">
        <f t="shared" si="519"/>
        <v>5081.2153465346537</v>
      </c>
      <c r="CK395" s="608">
        <f t="shared" si="520"/>
        <v>5320.002840909091</v>
      </c>
      <c r="CL395" s="609">
        <f t="shared" si="521"/>
        <v>0</v>
      </c>
      <c r="CM395" s="608">
        <f t="shared" si="522"/>
        <v>0</v>
      </c>
      <c r="CN395" s="610">
        <f t="shared" si="523"/>
        <v>0</v>
      </c>
      <c r="CO395" s="606">
        <f t="shared" si="524"/>
        <v>0</v>
      </c>
      <c r="CP395" s="607">
        <f t="shared" si="525"/>
        <v>0</v>
      </c>
      <c r="CQ395" s="606">
        <f t="shared" si="526"/>
        <v>0</v>
      </c>
      <c r="CR395" s="607">
        <f t="shared" si="527"/>
        <v>0</v>
      </c>
      <c r="CS395" s="606">
        <f t="shared" si="528"/>
        <v>0</v>
      </c>
      <c r="CT395" s="607">
        <f t="shared" si="529"/>
        <v>0</v>
      </c>
      <c r="CU395" s="608">
        <f t="shared" si="530"/>
        <v>0</v>
      </c>
      <c r="CV395" s="610">
        <f t="shared" si="531"/>
        <v>45730.938118811886</v>
      </c>
      <c r="CW395" s="608">
        <f t="shared" si="532"/>
        <v>47880.025568181816</v>
      </c>
      <c r="CX395" s="610">
        <f t="shared" si="533"/>
        <v>45730.938118811886</v>
      </c>
      <c r="CY395" s="611">
        <f t="shared" si="534"/>
        <v>47880.025568181816</v>
      </c>
      <c r="CZ395" s="605">
        <f t="shared" si="535"/>
        <v>0</v>
      </c>
      <c r="DA395" s="612">
        <f t="shared" si="536"/>
        <v>0</v>
      </c>
      <c r="DB395" s="607">
        <f t="shared" si="537"/>
        <v>0</v>
      </c>
      <c r="DC395" s="606">
        <f t="shared" si="538"/>
        <v>0</v>
      </c>
      <c r="DD395" s="607">
        <f t="shared" si="539"/>
        <v>0</v>
      </c>
      <c r="DE395" s="606">
        <f t="shared" si="540"/>
        <v>0</v>
      </c>
      <c r="DF395" s="607">
        <f t="shared" si="541"/>
        <v>0</v>
      </c>
      <c r="DG395" s="606">
        <f t="shared" si="542"/>
        <v>0</v>
      </c>
      <c r="DH395" s="607">
        <f t="shared" si="543"/>
        <v>0</v>
      </c>
      <c r="DI395" s="608">
        <f t="shared" si="544"/>
        <v>0</v>
      </c>
      <c r="DJ395" s="607">
        <f t="shared" si="545"/>
        <v>39</v>
      </c>
      <c r="DK395" s="608">
        <f t="shared" si="546"/>
        <v>34</v>
      </c>
      <c r="DL395" s="607">
        <f t="shared" si="547"/>
        <v>39</v>
      </c>
      <c r="DM395" s="608">
        <f t="shared" si="548"/>
        <v>34</v>
      </c>
      <c r="DN395" s="607">
        <f t="shared" si="549"/>
        <v>0</v>
      </c>
      <c r="DO395" s="612">
        <f t="shared" si="550"/>
        <v>0</v>
      </c>
      <c r="DP395" s="607">
        <f t="shared" si="551"/>
        <v>0</v>
      </c>
      <c r="DQ395" s="606">
        <f t="shared" si="552"/>
        <v>0</v>
      </c>
      <c r="DR395" s="607">
        <f t="shared" si="553"/>
        <v>0</v>
      </c>
      <c r="DS395" s="606">
        <f t="shared" si="554"/>
        <v>0</v>
      </c>
      <c r="DT395" s="607">
        <f t="shared" si="555"/>
        <v>0</v>
      </c>
      <c r="DU395" s="606">
        <f t="shared" si="556"/>
        <v>0</v>
      </c>
      <c r="DV395" s="607">
        <f t="shared" si="557"/>
        <v>0</v>
      </c>
      <c r="DW395" s="608">
        <f t="shared" si="558"/>
        <v>0</v>
      </c>
      <c r="DX395" s="607">
        <f t="shared" si="559"/>
        <v>1783506.5866336636</v>
      </c>
      <c r="DY395" s="608">
        <f t="shared" si="560"/>
        <v>1627920.8693181816</v>
      </c>
      <c r="DZ395" s="607">
        <f t="shared" si="561"/>
        <v>1783506.5866336636</v>
      </c>
      <c r="EA395" s="608">
        <f t="shared" si="562"/>
        <v>1627920.8693181816</v>
      </c>
    </row>
    <row r="396" spans="1:131" x14ac:dyDescent="0.2">
      <c r="A396" s="343" t="s">
        <v>41</v>
      </c>
      <c r="B396" s="345" t="s">
        <v>399</v>
      </c>
      <c r="C396" s="556"/>
      <c r="D396" s="343">
        <v>364548</v>
      </c>
      <c r="E396" s="351">
        <v>13</v>
      </c>
      <c r="F396" s="598"/>
      <c r="G396" s="599"/>
      <c r="H396" s="600"/>
      <c r="I396" s="601"/>
      <c r="J396" s="600"/>
      <c r="K396" s="599"/>
      <c r="L396" s="600"/>
      <c r="M396" s="601"/>
      <c r="N396" s="600"/>
      <c r="O396" s="599"/>
      <c r="P396" s="600"/>
      <c r="Q396" s="601"/>
      <c r="R396" s="600"/>
      <c r="S396" s="599"/>
      <c r="T396" s="600"/>
      <c r="U396" s="601"/>
      <c r="V396" s="600"/>
      <c r="W396" s="599"/>
      <c r="X396" s="600"/>
      <c r="Y396" s="601"/>
      <c r="Z396" s="600"/>
      <c r="AA396" s="599"/>
      <c r="AB396" s="600"/>
      <c r="AC396" s="601"/>
      <c r="AD396" s="600"/>
      <c r="AE396" s="599"/>
      <c r="AF396" s="600"/>
      <c r="AG396" s="601"/>
      <c r="AH396" s="600"/>
      <c r="AI396" s="599"/>
      <c r="AJ396" s="600"/>
      <c r="AK396" s="601"/>
      <c r="AL396" s="600"/>
      <c r="AM396" s="599"/>
      <c r="AN396" s="600"/>
      <c r="AO396" s="601"/>
      <c r="AP396" s="600"/>
      <c r="AQ396" s="599"/>
      <c r="AR396" s="600"/>
      <c r="AS396" s="601"/>
      <c r="AT396" s="600"/>
      <c r="AU396" s="599"/>
      <c r="AV396" s="600">
        <v>30</v>
      </c>
      <c r="AW396" s="601">
        <v>30</v>
      </c>
      <c r="AX396" s="600"/>
      <c r="AY396" s="599"/>
      <c r="AZ396" s="600">
        <v>24</v>
      </c>
      <c r="BA396" s="601">
        <v>18</v>
      </c>
      <c r="BB396" s="602">
        <v>0</v>
      </c>
      <c r="BC396" s="599"/>
      <c r="BD396" s="600">
        <v>0</v>
      </c>
      <c r="BE396" s="599"/>
      <c r="BF396" s="600">
        <v>0</v>
      </c>
      <c r="BG396" s="599"/>
      <c r="BH396" s="600">
        <v>0</v>
      </c>
      <c r="BI396" s="599"/>
      <c r="BJ396" s="600">
        <v>0</v>
      </c>
      <c r="BK396" s="615"/>
      <c r="BL396" s="600">
        <v>2598552</v>
      </c>
      <c r="BM396" s="604">
        <v>2406050</v>
      </c>
      <c r="BN396" s="605">
        <f t="shared" si="497"/>
        <v>0</v>
      </c>
      <c r="BO396" s="606">
        <f t="shared" si="498"/>
        <v>0</v>
      </c>
      <c r="BP396" s="607">
        <f t="shared" si="499"/>
        <v>0</v>
      </c>
      <c r="BQ396" s="606">
        <f t="shared" si="500"/>
        <v>0</v>
      </c>
      <c r="BR396" s="607">
        <f t="shared" si="501"/>
        <v>0</v>
      </c>
      <c r="BS396" s="606">
        <f t="shared" si="502"/>
        <v>0</v>
      </c>
      <c r="BT396" s="607">
        <f t="shared" si="503"/>
        <v>0</v>
      </c>
      <c r="BU396" s="606">
        <f t="shared" si="504"/>
        <v>0</v>
      </c>
      <c r="BV396" s="607">
        <f t="shared" si="505"/>
        <v>0</v>
      </c>
      <c r="BW396" s="608">
        <f t="shared" si="506"/>
        <v>0</v>
      </c>
      <c r="BX396" s="607">
        <f t="shared" si="507"/>
        <v>588</v>
      </c>
      <c r="BY396" s="608">
        <f t="shared" si="508"/>
        <v>516</v>
      </c>
      <c r="BZ396" s="607">
        <f t="shared" si="509"/>
        <v>0</v>
      </c>
      <c r="CA396" s="608">
        <f t="shared" si="510"/>
        <v>0</v>
      </c>
      <c r="CB396" s="607">
        <f t="shared" si="511"/>
        <v>0</v>
      </c>
      <c r="CC396" s="608">
        <f t="shared" si="512"/>
        <v>0</v>
      </c>
      <c r="CD396" s="607">
        <f t="shared" si="513"/>
        <v>0</v>
      </c>
      <c r="CE396" s="608">
        <f t="shared" si="514"/>
        <v>0</v>
      </c>
      <c r="CF396" s="607">
        <f t="shared" si="515"/>
        <v>0</v>
      </c>
      <c r="CG396" s="608">
        <f t="shared" si="516"/>
        <v>0</v>
      </c>
      <c r="CH396" s="607">
        <f t="shared" si="517"/>
        <v>0</v>
      </c>
      <c r="CI396" s="608">
        <f t="shared" si="518"/>
        <v>0</v>
      </c>
      <c r="CJ396" s="607">
        <f t="shared" si="519"/>
        <v>4419.3061224489793</v>
      </c>
      <c r="CK396" s="608">
        <f t="shared" si="520"/>
        <v>4662.8875968992252</v>
      </c>
      <c r="CL396" s="609">
        <f t="shared" si="521"/>
        <v>0</v>
      </c>
      <c r="CM396" s="608">
        <f t="shared" si="522"/>
        <v>0</v>
      </c>
      <c r="CN396" s="610">
        <f t="shared" si="523"/>
        <v>0</v>
      </c>
      <c r="CO396" s="606">
        <f t="shared" si="524"/>
        <v>0</v>
      </c>
      <c r="CP396" s="607">
        <f t="shared" si="525"/>
        <v>0</v>
      </c>
      <c r="CQ396" s="606">
        <f t="shared" si="526"/>
        <v>0</v>
      </c>
      <c r="CR396" s="607">
        <f t="shared" si="527"/>
        <v>0</v>
      </c>
      <c r="CS396" s="606">
        <f t="shared" si="528"/>
        <v>0</v>
      </c>
      <c r="CT396" s="607">
        <f t="shared" si="529"/>
        <v>0</v>
      </c>
      <c r="CU396" s="608">
        <f t="shared" si="530"/>
        <v>0</v>
      </c>
      <c r="CV396" s="610">
        <f t="shared" si="531"/>
        <v>39773.755102040814</v>
      </c>
      <c r="CW396" s="608">
        <f t="shared" si="532"/>
        <v>41965.988372093023</v>
      </c>
      <c r="CX396" s="610">
        <f t="shared" si="533"/>
        <v>39773.755102040814</v>
      </c>
      <c r="CY396" s="611">
        <f t="shared" si="534"/>
        <v>41965.988372093023</v>
      </c>
      <c r="CZ396" s="605">
        <f t="shared" si="535"/>
        <v>0</v>
      </c>
      <c r="DA396" s="612">
        <f t="shared" si="536"/>
        <v>0</v>
      </c>
      <c r="DB396" s="607">
        <f t="shared" si="537"/>
        <v>0</v>
      </c>
      <c r="DC396" s="606">
        <f t="shared" si="538"/>
        <v>0</v>
      </c>
      <c r="DD396" s="607">
        <f t="shared" si="539"/>
        <v>0</v>
      </c>
      <c r="DE396" s="606">
        <f t="shared" si="540"/>
        <v>0</v>
      </c>
      <c r="DF396" s="607">
        <f t="shared" si="541"/>
        <v>0</v>
      </c>
      <c r="DG396" s="606">
        <f t="shared" si="542"/>
        <v>0</v>
      </c>
      <c r="DH396" s="607">
        <f t="shared" si="543"/>
        <v>0</v>
      </c>
      <c r="DI396" s="608">
        <f t="shared" si="544"/>
        <v>0</v>
      </c>
      <c r="DJ396" s="607">
        <f t="shared" si="545"/>
        <v>54</v>
      </c>
      <c r="DK396" s="608">
        <f t="shared" si="546"/>
        <v>48</v>
      </c>
      <c r="DL396" s="607">
        <f t="shared" si="547"/>
        <v>54</v>
      </c>
      <c r="DM396" s="608">
        <f t="shared" si="548"/>
        <v>48</v>
      </c>
      <c r="DN396" s="607">
        <f t="shared" si="549"/>
        <v>0</v>
      </c>
      <c r="DO396" s="612">
        <f t="shared" si="550"/>
        <v>0</v>
      </c>
      <c r="DP396" s="607">
        <f t="shared" si="551"/>
        <v>0</v>
      </c>
      <c r="DQ396" s="606">
        <f t="shared" si="552"/>
        <v>0</v>
      </c>
      <c r="DR396" s="607">
        <f t="shared" si="553"/>
        <v>0</v>
      </c>
      <c r="DS396" s="606">
        <f t="shared" si="554"/>
        <v>0</v>
      </c>
      <c r="DT396" s="607">
        <f t="shared" si="555"/>
        <v>0</v>
      </c>
      <c r="DU396" s="606">
        <f t="shared" si="556"/>
        <v>0</v>
      </c>
      <c r="DV396" s="607">
        <f t="shared" si="557"/>
        <v>0</v>
      </c>
      <c r="DW396" s="608">
        <f t="shared" si="558"/>
        <v>0</v>
      </c>
      <c r="DX396" s="607">
        <f t="shared" si="559"/>
        <v>2147782.775510204</v>
      </c>
      <c r="DY396" s="608">
        <f t="shared" si="560"/>
        <v>2014367.4418604651</v>
      </c>
      <c r="DZ396" s="607">
        <f t="shared" si="561"/>
        <v>2147782.775510204</v>
      </c>
      <c r="EA396" s="608">
        <f t="shared" si="562"/>
        <v>2014367.4418604651</v>
      </c>
    </row>
    <row r="397" spans="1:131" x14ac:dyDescent="0.2">
      <c r="A397" s="343" t="s">
        <v>41</v>
      </c>
      <c r="B397" s="345" t="s">
        <v>400</v>
      </c>
      <c r="C397" s="576"/>
      <c r="D397" s="343">
        <v>428019</v>
      </c>
      <c r="E397" s="344">
        <v>13</v>
      </c>
      <c r="F397" s="598"/>
      <c r="G397" s="599"/>
      <c r="H397" s="600"/>
      <c r="I397" s="601"/>
      <c r="J397" s="600"/>
      <c r="K397" s="599"/>
      <c r="L397" s="600"/>
      <c r="M397" s="601"/>
      <c r="N397" s="600"/>
      <c r="O397" s="599"/>
      <c r="P397" s="600"/>
      <c r="Q397" s="601"/>
      <c r="R397" s="600"/>
      <c r="S397" s="599"/>
      <c r="T397" s="600"/>
      <c r="U397" s="601"/>
      <c r="V397" s="600"/>
      <c r="W397" s="599"/>
      <c r="X397" s="600"/>
      <c r="Y397" s="601"/>
      <c r="Z397" s="600"/>
      <c r="AA397" s="599"/>
      <c r="AB397" s="600"/>
      <c r="AC397" s="601"/>
      <c r="AD397" s="600"/>
      <c r="AE397" s="599"/>
      <c r="AF397" s="600"/>
      <c r="AG397" s="601"/>
      <c r="AH397" s="600"/>
      <c r="AI397" s="599"/>
      <c r="AJ397" s="600"/>
      <c r="AK397" s="601"/>
      <c r="AL397" s="600"/>
      <c r="AM397" s="599"/>
      <c r="AN397" s="600"/>
      <c r="AO397" s="601"/>
      <c r="AP397" s="600"/>
      <c r="AQ397" s="599"/>
      <c r="AR397" s="600"/>
      <c r="AS397" s="601"/>
      <c r="AT397" s="600"/>
      <c r="AU397" s="599"/>
      <c r="AV397" s="600">
        <v>7</v>
      </c>
      <c r="AW397" s="601">
        <v>6</v>
      </c>
      <c r="AX397" s="600"/>
      <c r="AY397" s="599"/>
      <c r="AZ397" s="600">
        <v>5</v>
      </c>
      <c r="BA397" s="601">
        <v>5</v>
      </c>
      <c r="BB397" s="602">
        <v>0</v>
      </c>
      <c r="BC397" s="599"/>
      <c r="BD397" s="600">
        <v>0</v>
      </c>
      <c r="BE397" s="599"/>
      <c r="BF397" s="600">
        <v>0</v>
      </c>
      <c r="BG397" s="599"/>
      <c r="BH397" s="600">
        <v>0</v>
      </c>
      <c r="BI397" s="599"/>
      <c r="BJ397" s="600">
        <v>0</v>
      </c>
      <c r="BK397" s="615"/>
      <c r="BL397" s="600">
        <v>597664</v>
      </c>
      <c r="BM397" s="604">
        <v>538107</v>
      </c>
      <c r="BN397" s="605">
        <f t="shared" si="497"/>
        <v>0</v>
      </c>
      <c r="BO397" s="606">
        <f t="shared" si="498"/>
        <v>0</v>
      </c>
      <c r="BP397" s="607">
        <f t="shared" si="499"/>
        <v>0</v>
      </c>
      <c r="BQ397" s="606">
        <f t="shared" si="500"/>
        <v>0</v>
      </c>
      <c r="BR397" s="607">
        <f t="shared" si="501"/>
        <v>0</v>
      </c>
      <c r="BS397" s="606">
        <f t="shared" si="502"/>
        <v>0</v>
      </c>
      <c r="BT397" s="607">
        <f t="shared" si="503"/>
        <v>0</v>
      </c>
      <c r="BU397" s="606">
        <f t="shared" si="504"/>
        <v>0</v>
      </c>
      <c r="BV397" s="607">
        <f t="shared" si="505"/>
        <v>0</v>
      </c>
      <c r="BW397" s="608">
        <f t="shared" si="506"/>
        <v>0</v>
      </c>
      <c r="BX397" s="607">
        <f t="shared" si="507"/>
        <v>130</v>
      </c>
      <c r="BY397" s="608">
        <f t="shared" si="508"/>
        <v>120</v>
      </c>
      <c r="BZ397" s="607">
        <f t="shared" si="509"/>
        <v>0</v>
      </c>
      <c r="CA397" s="608">
        <f t="shared" si="510"/>
        <v>0</v>
      </c>
      <c r="CB397" s="607">
        <f t="shared" si="511"/>
        <v>0</v>
      </c>
      <c r="CC397" s="608">
        <f t="shared" si="512"/>
        <v>0</v>
      </c>
      <c r="CD397" s="607">
        <f t="shared" si="513"/>
        <v>0</v>
      </c>
      <c r="CE397" s="608">
        <f t="shared" si="514"/>
        <v>0</v>
      </c>
      <c r="CF397" s="607">
        <f t="shared" si="515"/>
        <v>0</v>
      </c>
      <c r="CG397" s="608">
        <f t="shared" si="516"/>
        <v>0</v>
      </c>
      <c r="CH397" s="607">
        <f t="shared" si="517"/>
        <v>0</v>
      </c>
      <c r="CI397" s="608">
        <f t="shared" si="518"/>
        <v>0</v>
      </c>
      <c r="CJ397" s="607">
        <f t="shared" si="519"/>
        <v>4597.4153846153849</v>
      </c>
      <c r="CK397" s="608">
        <f t="shared" si="520"/>
        <v>4484.2250000000004</v>
      </c>
      <c r="CL397" s="609">
        <f t="shared" si="521"/>
        <v>0</v>
      </c>
      <c r="CM397" s="608">
        <f t="shared" si="522"/>
        <v>0</v>
      </c>
      <c r="CN397" s="610">
        <f t="shared" si="523"/>
        <v>0</v>
      </c>
      <c r="CO397" s="606">
        <f t="shared" si="524"/>
        <v>0</v>
      </c>
      <c r="CP397" s="607">
        <f t="shared" si="525"/>
        <v>0</v>
      </c>
      <c r="CQ397" s="606">
        <f t="shared" si="526"/>
        <v>0</v>
      </c>
      <c r="CR397" s="607">
        <f t="shared" si="527"/>
        <v>0</v>
      </c>
      <c r="CS397" s="606">
        <f t="shared" si="528"/>
        <v>0</v>
      </c>
      <c r="CT397" s="607">
        <f t="shared" si="529"/>
        <v>0</v>
      </c>
      <c r="CU397" s="608">
        <f t="shared" si="530"/>
        <v>0</v>
      </c>
      <c r="CV397" s="610">
        <f t="shared" si="531"/>
        <v>41376.738461538465</v>
      </c>
      <c r="CW397" s="608">
        <f t="shared" si="532"/>
        <v>40358.025000000001</v>
      </c>
      <c r="CX397" s="610">
        <f t="shared" si="533"/>
        <v>41376.738461538465</v>
      </c>
      <c r="CY397" s="611">
        <f t="shared" si="534"/>
        <v>40358.025000000001</v>
      </c>
      <c r="CZ397" s="605">
        <f t="shared" si="535"/>
        <v>0</v>
      </c>
      <c r="DA397" s="612">
        <f t="shared" si="536"/>
        <v>0</v>
      </c>
      <c r="DB397" s="607">
        <f t="shared" si="537"/>
        <v>0</v>
      </c>
      <c r="DC397" s="606">
        <f t="shared" si="538"/>
        <v>0</v>
      </c>
      <c r="DD397" s="607">
        <f t="shared" si="539"/>
        <v>0</v>
      </c>
      <c r="DE397" s="606">
        <f t="shared" si="540"/>
        <v>0</v>
      </c>
      <c r="DF397" s="607">
        <f t="shared" si="541"/>
        <v>0</v>
      </c>
      <c r="DG397" s="606">
        <f t="shared" si="542"/>
        <v>0</v>
      </c>
      <c r="DH397" s="607">
        <f t="shared" si="543"/>
        <v>0</v>
      </c>
      <c r="DI397" s="608">
        <f t="shared" si="544"/>
        <v>0</v>
      </c>
      <c r="DJ397" s="607">
        <f t="shared" si="545"/>
        <v>12</v>
      </c>
      <c r="DK397" s="608">
        <f t="shared" si="546"/>
        <v>11</v>
      </c>
      <c r="DL397" s="607">
        <f t="shared" si="547"/>
        <v>12</v>
      </c>
      <c r="DM397" s="608">
        <f t="shared" si="548"/>
        <v>11</v>
      </c>
      <c r="DN397" s="607">
        <f t="shared" si="549"/>
        <v>0</v>
      </c>
      <c r="DO397" s="612">
        <f t="shared" si="550"/>
        <v>0</v>
      </c>
      <c r="DP397" s="607">
        <f t="shared" si="551"/>
        <v>0</v>
      </c>
      <c r="DQ397" s="606">
        <f t="shared" si="552"/>
        <v>0</v>
      </c>
      <c r="DR397" s="607">
        <f t="shared" si="553"/>
        <v>0</v>
      </c>
      <c r="DS397" s="606">
        <f t="shared" si="554"/>
        <v>0</v>
      </c>
      <c r="DT397" s="607">
        <f t="shared" si="555"/>
        <v>0</v>
      </c>
      <c r="DU397" s="606">
        <f t="shared" si="556"/>
        <v>0</v>
      </c>
      <c r="DV397" s="607">
        <f t="shared" si="557"/>
        <v>0</v>
      </c>
      <c r="DW397" s="608">
        <f t="shared" si="558"/>
        <v>0</v>
      </c>
      <c r="DX397" s="607">
        <f t="shared" si="559"/>
        <v>496520.86153846158</v>
      </c>
      <c r="DY397" s="608">
        <f t="shared" si="560"/>
        <v>443938.27500000002</v>
      </c>
      <c r="DZ397" s="607">
        <f t="shared" si="561"/>
        <v>496520.86153846158</v>
      </c>
      <c r="EA397" s="608">
        <f t="shared" si="562"/>
        <v>443938.27500000002</v>
      </c>
    </row>
    <row r="398" spans="1:131" x14ac:dyDescent="0.2">
      <c r="A398" s="343" t="s">
        <v>41</v>
      </c>
      <c r="B398" s="345" t="s">
        <v>401</v>
      </c>
      <c r="C398" s="576"/>
      <c r="D398" s="343">
        <v>208053</v>
      </c>
      <c r="E398" s="344">
        <v>13</v>
      </c>
      <c r="F398" s="598"/>
      <c r="G398" s="599"/>
      <c r="H398" s="600"/>
      <c r="I398" s="601"/>
      <c r="J398" s="600"/>
      <c r="K398" s="599"/>
      <c r="L398" s="600"/>
      <c r="M398" s="601"/>
      <c r="N398" s="600"/>
      <c r="O398" s="599"/>
      <c r="P398" s="600"/>
      <c r="Q398" s="601"/>
      <c r="R398" s="600"/>
      <c r="S398" s="599"/>
      <c r="T398" s="600"/>
      <c r="U398" s="601"/>
      <c r="V398" s="600"/>
      <c r="W398" s="599"/>
      <c r="X398" s="600"/>
      <c r="Y398" s="601"/>
      <c r="Z398" s="600"/>
      <c r="AA398" s="599"/>
      <c r="AB398" s="600"/>
      <c r="AC398" s="601"/>
      <c r="AD398" s="600"/>
      <c r="AE398" s="599"/>
      <c r="AF398" s="600"/>
      <c r="AG398" s="601"/>
      <c r="AH398" s="600"/>
      <c r="AI398" s="599"/>
      <c r="AJ398" s="600"/>
      <c r="AK398" s="601"/>
      <c r="AL398" s="600"/>
      <c r="AM398" s="599"/>
      <c r="AN398" s="600"/>
      <c r="AO398" s="601"/>
      <c r="AP398" s="600"/>
      <c r="AQ398" s="599"/>
      <c r="AR398" s="600"/>
      <c r="AS398" s="601"/>
      <c r="AT398" s="600"/>
      <c r="AU398" s="599"/>
      <c r="AV398" s="600">
        <v>9</v>
      </c>
      <c r="AW398" s="601">
        <v>9</v>
      </c>
      <c r="AX398" s="600">
        <v>1</v>
      </c>
      <c r="AY398" s="599">
        <v>1</v>
      </c>
      <c r="AZ398" s="600">
        <v>4</v>
      </c>
      <c r="BA398" s="601">
        <v>3</v>
      </c>
      <c r="BB398" s="602">
        <v>0</v>
      </c>
      <c r="BC398" s="599"/>
      <c r="BD398" s="600">
        <v>0</v>
      </c>
      <c r="BE398" s="599"/>
      <c r="BF398" s="600">
        <v>0</v>
      </c>
      <c r="BG398" s="599"/>
      <c r="BH398" s="600">
        <v>0</v>
      </c>
      <c r="BI398" s="599"/>
      <c r="BJ398" s="600">
        <v>0</v>
      </c>
      <c r="BK398" s="615"/>
      <c r="BL398" s="600">
        <v>750122</v>
      </c>
      <c r="BM398" s="604">
        <v>693014</v>
      </c>
      <c r="BN398" s="605">
        <f t="shared" si="497"/>
        <v>0</v>
      </c>
      <c r="BO398" s="606">
        <f t="shared" si="498"/>
        <v>0</v>
      </c>
      <c r="BP398" s="607">
        <f t="shared" si="499"/>
        <v>0</v>
      </c>
      <c r="BQ398" s="606">
        <f t="shared" si="500"/>
        <v>0</v>
      </c>
      <c r="BR398" s="607">
        <f t="shared" si="501"/>
        <v>0</v>
      </c>
      <c r="BS398" s="606">
        <f t="shared" si="502"/>
        <v>0</v>
      </c>
      <c r="BT398" s="607">
        <f t="shared" si="503"/>
        <v>0</v>
      </c>
      <c r="BU398" s="606">
        <f t="shared" si="504"/>
        <v>0</v>
      </c>
      <c r="BV398" s="607">
        <f t="shared" si="505"/>
        <v>0</v>
      </c>
      <c r="BW398" s="608">
        <f t="shared" si="506"/>
        <v>0</v>
      </c>
      <c r="BX398" s="607">
        <f t="shared" si="507"/>
        <v>149</v>
      </c>
      <c r="BY398" s="608">
        <f t="shared" si="508"/>
        <v>137</v>
      </c>
      <c r="BZ398" s="607">
        <f t="shared" si="509"/>
        <v>0</v>
      </c>
      <c r="CA398" s="608">
        <f t="shared" si="510"/>
        <v>0</v>
      </c>
      <c r="CB398" s="607">
        <f t="shared" si="511"/>
        <v>0</v>
      </c>
      <c r="CC398" s="608">
        <f t="shared" si="512"/>
        <v>0</v>
      </c>
      <c r="CD398" s="607">
        <f t="shared" si="513"/>
        <v>0</v>
      </c>
      <c r="CE398" s="608">
        <f t="shared" si="514"/>
        <v>0</v>
      </c>
      <c r="CF398" s="607">
        <f t="shared" si="515"/>
        <v>0</v>
      </c>
      <c r="CG398" s="608">
        <f t="shared" si="516"/>
        <v>0</v>
      </c>
      <c r="CH398" s="607">
        <f t="shared" si="517"/>
        <v>0</v>
      </c>
      <c r="CI398" s="608">
        <f t="shared" si="518"/>
        <v>0</v>
      </c>
      <c r="CJ398" s="607">
        <f t="shared" si="519"/>
        <v>5034.3758389261748</v>
      </c>
      <c r="CK398" s="608">
        <f t="shared" si="520"/>
        <v>5058.4963503649633</v>
      </c>
      <c r="CL398" s="609">
        <f t="shared" si="521"/>
        <v>0</v>
      </c>
      <c r="CM398" s="608">
        <f t="shared" si="522"/>
        <v>0</v>
      </c>
      <c r="CN398" s="610">
        <f t="shared" si="523"/>
        <v>0</v>
      </c>
      <c r="CO398" s="606">
        <f t="shared" si="524"/>
        <v>0</v>
      </c>
      <c r="CP398" s="607">
        <f t="shared" si="525"/>
        <v>0</v>
      </c>
      <c r="CQ398" s="606">
        <f t="shared" si="526"/>
        <v>0</v>
      </c>
      <c r="CR398" s="607">
        <f t="shared" si="527"/>
        <v>0</v>
      </c>
      <c r="CS398" s="606">
        <f t="shared" si="528"/>
        <v>0</v>
      </c>
      <c r="CT398" s="607">
        <f t="shared" si="529"/>
        <v>0</v>
      </c>
      <c r="CU398" s="608">
        <f t="shared" si="530"/>
        <v>0</v>
      </c>
      <c r="CV398" s="610">
        <f t="shared" si="531"/>
        <v>45309.382550335577</v>
      </c>
      <c r="CW398" s="608">
        <f t="shared" si="532"/>
        <v>45526.46715328467</v>
      </c>
      <c r="CX398" s="610">
        <f t="shared" si="533"/>
        <v>45309.382550335569</v>
      </c>
      <c r="CY398" s="611">
        <f t="shared" si="534"/>
        <v>45526.46715328467</v>
      </c>
      <c r="CZ398" s="605">
        <f t="shared" si="535"/>
        <v>0</v>
      </c>
      <c r="DA398" s="612">
        <f t="shared" si="536"/>
        <v>0</v>
      </c>
      <c r="DB398" s="607">
        <f t="shared" si="537"/>
        <v>0</v>
      </c>
      <c r="DC398" s="606">
        <f t="shared" si="538"/>
        <v>0</v>
      </c>
      <c r="DD398" s="607">
        <f t="shared" si="539"/>
        <v>0</v>
      </c>
      <c r="DE398" s="606">
        <f t="shared" si="540"/>
        <v>0</v>
      </c>
      <c r="DF398" s="607">
        <f t="shared" si="541"/>
        <v>0</v>
      </c>
      <c r="DG398" s="606">
        <f t="shared" si="542"/>
        <v>0</v>
      </c>
      <c r="DH398" s="607">
        <f t="shared" si="543"/>
        <v>0</v>
      </c>
      <c r="DI398" s="608">
        <f t="shared" si="544"/>
        <v>0</v>
      </c>
      <c r="DJ398" s="607">
        <f t="shared" si="545"/>
        <v>14</v>
      </c>
      <c r="DK398" s="608">
        <f t="shared" si="546"/>
        <v>13</v>
      </c>
      <c r="DL398" s="607">
        <f t="shared" si="547"/>
        <v>14</v>
      </c>
      <c r="DM398" s="608">
        <f t="shared" si="548"/>
        <v>13</v>
      </c>
      <c r="DN398" s="607">
        <f t="shared" si="549"/>
        <v>0</v>
      </c>
      <c r="DO398" s="612">
        <f t="shared" si="550"/>
        <v>0</v>
      </c>
      <c r="DP398" s="607">
        <f t="shared" si="551"/>
        <v>0</v>
      </c>
      <c r="DQ398" s="606">
        <f t="shared" si="552"/>
        <v>0</v>
      </c>
      <c r="DR398" s="607">
        <f t="shared" si="553"/>
        <v>0</v>
      </c>
      <c r="DS398" s="606">
        <f t="shared" si="554"/>
        <v>0</v>
      </c>
      <c r="DT398" s="607">
        <f t="shared" si="555"/>
        <v>0</v>
      </c>
      <c r="DU398" s="606">
        <f t="shared" si="556"/>
        <v>0</v>
      </c>
      <c r="DV398" s="607">
        <f t="shared" si="557"/>
        <v>0</v>
      </c>
      <c r="DW398" s="608">
        <f t="shared" si="558"/>
        <v>0</v>
      </c>
      <c r="DX398" s="607">
        <f t="shared" si="559"/>
        <v>634331.35570469801</v>
      </c>
      <c r="DY398" s="608">
        <f t="shared" si="560"/>
        <v>591844.07299270073</v>
      </c>
      <c r="DZ398" s="607">
        <f t="shared" si="561"/>
        <v>634331.35570469801</v>
      </c>
      <c r="EA398" s="608">
        <f t="shared" si="562"/>
        <v>591844.07299270073</v>
      </c>
    </row>
    <row r="399" spans="1:131" x14ac:dyDescent="0.2">
      <c r="A399" s="343" t="s">
        <v>41</v>
      </c>
      <c r="B399" s="345" t="s">
        <v>402</v>
      </c>
      <c r="C399" s="576"/>
      <c r="D399" s="343">
        <v>418296</v>
      </c>
      <c r="E399" s="344">
        <v>13</v>
      </c>
      <c r="F399" s="598"/>
      <c r="G399" s="599"/>
      <c r="H399" s="600"/>
      <c r="I399" s="601"/>
      <c r="J399" s="600"/>
      <c r="K399" s="599"/>
      <c r="L399" s="600"/>
      <c r="M399" s="601"/>
      <c r="N399" s="600"/>
      <c r="O399" s="599"/>
      <c r="P399" s="600"/>
      <c r="Q399" s="601"/>
      <c r="R399" s="600"/>
      <c r="S399" s="599"/>
      <c r="T399" s="600"/>
      <c r="U399" s="601"/>
      <c r="V399" s="600"/>
      <c r="W399" s="599"/>
      <c r="X399" s="600"/>
      <c r="Y399" s="601"/>
      <c r="Z399" s="600"/>
      <c r="AA399" s="599"/>
      <c r="AB399" s="600"/>
      <c r="AC399" s="601"/>
      <c r="AD399" s="600"/>
      <c r="AE399" s="599"/>
      <c r="AF399" s="600"/>
      <c r="AG399" s="601"/>
      <c r="AH399" s="600"/>
      <c r="AI399" s="599"/>
      <c r="AJ399" s="600"/>
      <c r="AK399" s="601"/>
      <c r="AL399" s="600"/>
      <c r="AM399" s="599"/>
      <c r="AN399" s="600"/>
      <c r="AO399" s="601"/>
      <c r="AP399" s="600"/>
      <c r="AQ399" s="599"/>
      <c r="AR399" s="600"/>
      <c r="AS399" s="601"/>
      <c r="AT399" s="600"/>
      <c r="AU399" s="599"/>
      <c r="AV399" s="600">
        <v>20</v>
      </c>
      <c r="AW399" s="601">
        <v>20</v>
      </c>
      <c r="AX399" s="600">
        <v>1</v>
      </c>
      <c r="AY399" s="599">
        <v>1</v>
      </c>
      <c r="AZ399" s="600">
        <v>6</v>
      </c>
      <c r="BA399" s="601">
        <v>5</v>
      </c>
      <c r="BB399" s="602">
        <v>0</v>
      </c>
      <c r="BC399" s="599"/>
      <c r="BD399" s="600">
        <v>0</v>
      </c>
      <c r="BE399" s="599"/>
      <c r="BF399" s="600">
        <v>0</v>
      </c>
      <c r="BG399" s="599"/>
      <c r="BH399" s="600">
        <v>0</v>
      </c>
      <c r="BI399" s="599"/>
      <c r="BJ399" s="600">
        <v>0</v>
      </c>
      <c r="BK399" s="615"/>
      <c r="BL399" s="600">
        <v>1405200</v>
      </c>
      <c r="BM399" s="604">
        <v>1313818</v>
      </c>
      <c r="BN399" s="605">
        <f t="shared" si="497"/>
        <v>0</v>
      </c>
      <c r="BO399" s="606">
        <f t="shared" si="498"/>
        <v>0</v>
      </c>
      <c r="BP399" s="607">
        <f t="shared" si="499"/>
        <v>0</v>
      </c>
      <c r="BQ399" s="606">
        <f t="shared" si="500"/>
        <v>0</v>
      </c>
      <c r="BR399" s="607">
        <f t="shared" si="501"/>
        <v>0</v>
      </c>
      <c r="BS399" s="606">
        <f t="shared" si="502"/>
        <v>0</v>
      </c>
      <c r="BT399" s="607">
        <f t="shared" si="503"/>
        <v>0</v>
      </c>
      <c r="BU399" s="606">
        <f t="shared" si="504"/>
        <v>0</v>
      </c>
      <c r="BV399" s="607">
        <f t="shared" si="505"/>
        <v>0</v>
      </c>
      <c r="BW399" s="608">
        <f t="shared" si="506"/>
        <v>0</v>
      </c>
      <c r="BX399" s="607">
        <f t="shared" si="507"/>
        <v>283</v>
      </c>
      <c r="BY399" s="608">
        <f t="shared" si="508"/>
        <v>271</v>
      </c>
      <c r="BZ399" s="607">
        <f t="shared" si="509"/>
        <v>0</v>
      </c>
      <c r="CA399" s="608">
        <f t="shared" si="510"/>
        <v>0</v>
      </c>
      <c r="CB399" s="607">
        <f t="shared" si="511"/>
        <v>0</v>
      </c>
      <c r="CC399" s="608">
        <f t="shared" si="512"/>
        <v>0</v>
      </c>
      <c r="CD399" s="607">
        <f t="shared" si="513"/>
        <v>0</v>
      </c>
      <c r="CE399" s="608">
        <f t="shared" si="514"/>
        <v>0</v>
      </c>
      <c r="CF399" s="607">
        <f t="shared" si="515"/>
        <v>0</v>
      </c>
      <c r="CG399" s="608">
        <f t="shared" si="516"/>
        <v>0</v>
      </c>
      <c r="CH399" s="607">
        <f t="shared" si="517"/>
        <v>0</v>
      </c>
      <c r="CI399" s="608">
        <f t="shared" si="518"/>
        <v>0</v>
      </c>
      <c r="CJ399" s="607">
        <f t="shared" si="519"/>
        <v>4965.3710247349827</v>
      </c>
      <c r="CK399" s="608">
        <f t="shared" si="520"/>
        <v>4848.0369003690039</v>
      </c>
      <c r="CL399" s="609">
        <f t="shared" si="521"/>
        <v>0</v>
      </c>
      <c r="CM399" s="608">
        <f t="shared" si="522"/>
        <v>0</v>
      </c>
      <c r="CN399" s="610">
        <f t="shared" si="523"/>
        <v>0</v>
      </c>
      <c r="CO399" s="606">
        <f t="shared" si="524"/>
        <v>0</v>
      </c>
      <c r="CP399" s="607">
        <f t="shared" si="525"/>
        <v>0</v>
      </c>
      <c r="CQ399" s="606">
        <f t="shared" si="526"/>
        <v>0</v>
      </c>
      <c r="CR399" s="607">
        <f t="shared" si="527"/>
        <v>0</v>
      </c>
      <c r="CS399" s="606">
        <f t="shared" si="528"/>
        <v>0</v>
      </c>
      <c r="CT399" s="607">
        <f t="shared" si="529"/>
        <v>0</v>
      </c>
      <c r="CU399" s="608">
        <f t="shared" si="530"/>
        <v>0</v>
      </c>
      <c r="CV399" s="610">
        <f t="shared" si="531"/>
        <v>44688.339222614843</v>
      </c>
      <c r="CW399" s="608">
        <f t="shared" si="532"/>
        <v>43632.332103321038</v>
      </c>
      <c r="CX399" s="610">
        <f t="shared" si="533"/>
        <v>44688.339222614843</v>
      </c>
      <c r="CY399" s="611">
        <f t="shared" si="534"/>
        <v>43632.332103321045</v>
      </c>
      <c r="CZ399" s="605">
        <f t="shared" si="535"/>
        <v>0</v>
      </c>
      <c r="DA399" s="612">
        <f t="shared" si="536"/>
        <v>0</v>
      </c>
      <c r="DB399" s="607">
        <f t="shared" si="537"/>
        <v>0</v>
      </c>
      <c r="DC399" s="606">
        <f t="shared" si="538"/>
        <v>0</v>
      </c>
      <c r="DD399" s="607">
        <f t="shared" si="539"/>
        <v>0</v>
      </c>
      <c r="DE399" s="606">
        <f t="shared" si="540"/>
        <v>0</v>
      </c>
      <c r="DF399" s="607">
        <f t="shared" si="541"/>
        <v>0</v>
      </c>
      <c r="DG399" s="606">
        <f t="shared" si="542"/>
        <v>0</v>
      </c>
      <c r="DH399" s="607">
        <f t="shared" si="543"/>
        <v>0</v>
      </c>
      <c r="DI399" s="608">
        <f t="shared" si="544"/>
        <v>0</v>
      </c>
      <c r="DJ399" s="607">
        <f t="shared" si="545"/>
        <v>27</v>
      </c>
      <c r="DK399" s="608">
        <f t="shared" si="546"/>
        <v>26</v>
      </c>
      <c r="DL399" s="607">
        <f t="shared" si="547"/>
        <v>27</v>
      </c>
      <c r="DM399" s="608">
        <f t="shared" si="548"/>
        <v>26</v>
      </c>
      <c r="DN399" s="607">
        <f t="shared" si="549"/>
        <v>0</v>
      </c>
      <c r="DO399" s="612">
        <f t="shared" si="550"/>
        <v>0</v>
      </c>
      <c r="DP399" s="607">
        <f t="shared" si="551"/>
        <v>0</v>
      </c>
      <c r="DQ399" s="606">
        <f t="shared" si="552"/>
        <v>0</v>
      </c>
      <c r="DR399" s="607">
        <f t="shared" si="553"/>
        <v>0</v>
      </c>
      <c r="DS399" s="606">
        <f t="shared" si="554"/>
        <v>0</v>
      </c>
      <c r="DT399" s="607">
        <f t="shared" si="555"/>
        <v>0</v>
      </c>
      <c r="DU399" s="606">
        <f t="shared" si="556"/>
        <v>0</v>
      </c>
      <c r="DV399" s="607">
        <f t="shared" si="557"/>
        <v>0</v>
      </c>
      <c r="DW399" s="608">
        <f t="shared" si="558"/>
        <v>0</v>
      </c>
      <c r="DX399" s="607">
        <f t="shared" si="559"/>
        <v>1206585.1590106008</v>
      </c>
      <c r="DY399" s="608">
        <f t="shared" si="560"/>
        <v>1134440.6346863471</v>
      </c>
      <c r="DZ399" s="607">
        <f t="shared" si="561"/>
        <v>1206585.1590106008</v>
      </c>
      <c r="EA399" s="608">
        <f t="shared" si="562"/>
        <v>1134440.6346863471</v>
      </c>
    </row>
    <row r="400" spans="1:131" x14ac:dyDescent="0.2">
      <c r="A400" s="343" t="s">
        <v>41</v>
      </c>
      <c r="B400" s="345" t="s">
        <v>403</v>
      </c>
      <c r="C400" s="576"/>
      <c r="D400" s="343">
        <v>421540</v>
      </c>
      <c r="E400" s="344">
        <v>13</v>
      </c>
      <c r="F400" s="598"/>
      <c r="G400" s="599"/>
      <c r="H400" s="600"/>
      <c r="I400" s="601"/>
      <c r="J400" s="600"/>
      <c r="K400" s="599"/>
      <c r="L400" s="600"/>
      <c r="M400" s="601"/>
      <c r="N400" s="600"/>
      <c r="O400" s="599"/>
      <c r="P400" s="600"/>
      <c r="Q400" s="601"/>
      <c r="R400" s="600"/>
      <c r="S400" s="599"/>
      <c r="T400" s="600"/>
      <c r="U400" s="601"/>
      <c r="V400" s="600"/>
      <c r="W400" s="599"/>
      <c r="X400" s="600"/>
      <c r="Y400" s="601"/>
      <c r="Z400" s="600"/>
      <c r="AA400" s="599"/>
      <c r="AB400" s="600"/>
      <c r="AC400" s="601"/>
      <c r="AD400" s="600"/>
      <c r="AE400" s="599"/>
      <c r="AF400" s="600"/>
      <c r="AG400" s="601"/>
      <c r="AH400" s="600"/>
      <c r="AI400" s="599"/>
      <c r="AJ400" s="600"/>
      <c r="AK400" s="601"/>
      <c r="AL400" s="600"/>
      <c r="AM400" s="599"/>
      <c r="AN400" s="600"/>
      <c r="AO400" s="601"/>
      <c r="AP400" s="600"/>
      <c r="AQ400" s="599"/>
      <c r="AR400" s="600"/>
      <c r="AS400" s="601"/>
      <c r="AT400" s="600"/>
      <c r="AU400" s="599"/>
      <c r="AV400" s="600">
        <v>9</v>
      </c>
      <c r="AW400" s="601">
        <v>8</v>
      </c>
      <c r="AX400" s="600"/>
      <c r="AY400" s="599"/>
      <c r="AZ400" s="600">
        <v>2</v>
      </c>
      <c r="BA400" s="601">
        <v>2</v>
      </c>
      <c r="BB400" s="602">
        <v>0</v>
      </c>
      <c r="BC400" s="599"/>
      <c r="BD400" s="600">
        <v>0</v>
      </c>
      <c r="BE400" s="599"/>
      <c r="BF400" s="600">
        <v>0</v>
      </c>
      <c r="BG400" s="599"/>
      <c r="BH400" s="600">
        <v>0</v>
      </c>
      <c r="BI400" s="599"/>
      <c r="BJ400" s="600">
        <v>0</v>
      </c>
      <c r="BK400" s="615"/>
      <c r="BL400" s="600">
        <v>560874</v>
      </c>
      <c r="BM400" s="604">
        <v>516508</v>
      </c>
      <c r="BN400" s="605">
        <f t="shared" si="497"/>
        <v>0</v>
      </c>
      <c r="BO400" s="606">
        <f t="shared" si="498"/>
        <v>0</v>
      </c>
      <c r="BP400" s="607">
        <f t="shared" si="499"/>
        <v>0</v>
      </c>
      <c r="BQ400" s="606">
        <f t="shared" si="500"/>
        <v>0</v>
      </c>
      <c r="BR400" s="607">
        <f t="shared" si="501"/>
        <v>0</v>
      </c>
      <c r="BS400" s="606">
        <f t="shared" si="502"/>
        <v>0</v>
      </c>
      <c r="BT400" s="607">
        <f t="shared" si="503"/>
        <v>0</v>
      </c>
      <c r="BU400" s="606">
        <f t="shared" si="504"/>
        <v>0</v>
      </c>
      <c r="BV400" s="607">
        <f t="shared" si="505"/>
        <v>0</v>
      </c>
      <c r="BW400" s="608">
        <f t="shared" si="506"/>
        <v>0</v>
      </c>
      <c r="BX400" s="607">
        <f t="shared" si="507"/>
        <v>114</v>
      </c>
      <c r="BY400" s="608">
        <f t="shared" si="508"/>
        <v>104</v>
      </c>
      <c r="BZ400" s="607">
        <f t="shared" si="509"/>
        <v>0</v>
      </c>
      <c r="CA400" s="608">
        <f t="shared" si="510"/>
        <v>0</v>
      </c>
      <c r="CB400" s="607">
        <f t="shared" si="511"/>
        <v>0</v>
      </c>
      <c r="CC400" s="608">
        <f t="shared" si="512"/>
        <v>0</v>
      </c>
      <c r="CD400" s="607">
        <f t="shared" si="513"/>
        <v>0</v>
      </c>
      <c r="CE400" s="608">
        <f t="shared" si="514"/>
        <v>0</v>
      </c>
      <c r="CF400" s="607">
        <f t="shared" si="515"/>
        <v>0</v>
      </c>
      <c r="CG400" s="608">
        <f t="shared" si="516"/>
        <v>0</v>
      </c>
      <c r="CH400" s="607">
        <f t="shared" si="517"/>
        <v>0</v>
      </c>
      <c r="CI400" s="608">
        <f t="shared" si="518"/>
        <v>0</v>
      </c>
      <c r="CJ400" s="607">
        <f t="shared" si="519"/>
        <v>4919.9473684210525</v>
      </c>
      <c r="CK400" s="608">
        <f t="shared" si="520"/>
        <v>4966.4230769230771</v>
      </c>
      <c r="CL400" s="609">
        <f t="shared" si="521"/>
        <v>0</v>
      </c>
      <c r="CM400" s="608">
        <f t="shared" si="522"/>
        <v>0</v>
      </c>
      <c r="CN400" s="610">
        <f t="shared" si="523"/>
        <v>0</v>
      </c>
      <c r="CO400" s="606">
        <f t="shared" si="524"/>
        <v>0</v>
      </c>
      <c r="CP400" s="607">
        <f t="shared" si="525"/>
        <v>0</v>
      </c>
      <c r="CQ400" s="606">
        <f t="shared" si="526"/>
        <v>0</v>
      </c>
      <c r="CR400" s="607">
        <f t="shared" si="527"/>
        <v>0</v>
      </c>
      <c r="CS400" s="606">
        <f t="shared" si="528"/>
        <v>0</v>
      </c>
      <c r="CT400" s="607">
        <f t="shared" si="529"/>
        <v>0</v>
      </c>
      <c r="CU400" s="608">
        <f t="shared" si="530"/>
        <v>0</v>
      </c>
      <c r="CV400" s="610">
        <f t="shared" si="531"/>
        <v>44279.526315789473</v>
      </c>
      <c r="CW400" s="608">
        <f t="shared" si="532"/>
        <v>44697.807692307695</v>
      </c>
      <c r="CX400" s="610">
        <f t="shared" si="533"/>
        <v>44279.526315789473</v>
      </c>
      <c r="CY400" s="611">
        <f t="shared" si="534"/>
        <v>44697.807692307695</v>
      </c>
      <c r="CZ400" s="605">
        <f t="shared" si="535"/>
        <v>0</v>
      </c>
      <c r="DA400" s="612">
        <f t="shared" si="536"/>
        <v>0</v>
      </c>
      <c r="DB400" s="607">
        <f t="shared" si="537"/>
        <v>0</v>
      </c>
      <c r="DC400" s="606">
        <f t="shared" si="538"/>
        <v>0</v>
      </c>
      <c r="DD400" s="607">
        <f t="shared" si="539"/>
        <v>0</v>
      </c>
      <c r="DE400" s="606">
        <f t="shared" si="540"/>
        <v>0</v>
      </c>
      <c r="DF400" s="607">
        <f t="shared" si="541"/>
        <v>0</v>
      </c>
      <c r="DG400" s="606">
        <f t="shared" si="542"/>
        <v>0</v>
      </c>
      <c r="DH400" s="607">
        <f t="shared" si="543"/>
        <v>0</v>
      </c>
      <c r="DI400" s="608">
        <f t="shared" si="544"/>
        <v>0</v>
      </c>
      <c r="DJ400" s="607">
        <f t="shared" si="545"/>
        <v>11</v>
      </c>
      <c r="DK400" s="608">
        <f t="shared" si="546"/>
        <v>10</v>
      </c>
      <c r="DL400" s="607">
        <f t="shared" si="547"/>
        <v>11</v>
      </c>
      <c r="DM400" s="608">
        <f t="shared" si="548"/>
        <v>10</v>
      </c>
      <c r="DN400" s="607">
        <f t="shared" si="549"/>
        <v>0</v>
      </c>
      <c r="DO400" s="612">
        <f t="shared" si="550"/>
        <v>0</v>
      </c>
      <c r="DP400" s="607">
        <f t="shared" si="551"/>
        <v>0</v>
      </c>
      <c r="DQ400" s="606">
        <f t="shared" si="552"/>
        <v>0</v>
      </c>
      <c r="DR400" s="607">
        <f t="shared" si="553"/>
        <v>0</v>
      </c>
      <c r="DS400" s="606">
        <f t="shared" si="554"/>
        <v>0</v>
      </c>
      <c r="DT400" s="607">
        <f t="shared" si="555"/>
        <v>0</v>
      </c>
      <c r="DU400" s="606">
        <f t="shared" si="556"/>
        <v>0</v>
      </c>
      <c r="DV400" s="607">
        <f t="shared" si="557"/>
        <v>0</v>
      </c>
      <c r="DW400" s="608">
        <f t="shared" si="558"/>
        <v>0</v>
      </c>
      <c r="DX400" s="607">
        <f t="shared" si="559"/>
        <v>487074.78947368421</v>
      </c>
      <c r="DY400" s="608">
        <f t="shared" si="560"/>
        <v>446978.07692307694</v>
      </c>
      <c r="DZ400" s="607">
        <f t="shared" si="561"/>
        <v>487074.78947368421</v>
      </c>
      <c r="EA400" s="608">
        <f t="shared" si="562"/>
        <v>446978.07692307694</v>
      </c>
    </row>
    <row r="401" spans="1:131" x14ac:dyDescent="0.2">
      <c r="A401" s="343" t="s">
        <v>41</v>
      </c>
      <c r="B401" s="345" t="s">
        <v>404</v>
      </c>
      <c r="C401" s="576"/>
      <c r="D401" s="343">
        <v>421559</v>
      </c>
      <c r="E401" s="344">
        <v>13</v>
      </c>
      <c r="F401" s="598"/>
      <c r="G401" s="599"/>
      <c r="H401" s="600"/>
      <c r="I401" s="601"/>
      <c r="J401" s="600"/>
      <c r="K401" s="599"/>
      <c r="L401" s="600"/>
      <c r="M401" s="601"/>
      <c r="N401" s="600"/>
      <c r="O401" s="599"/>
      <c r="P401" s="600"/>
      <c r="Q401" s="601"/>
      <c r="R401" s="600"/>
      <c r="S401" s="599"/>
      <c r="T401" s="600"/>
      <c r="U401" s="601"/>
      <c r="V401" s="600"/>
      <c r="W401" s="599"/>
      <c r="X401" s="600"/>
      <c r="Y401" s="601"/>
      <c r="Z401" s="600"/>
      <c r="AA401" s="599"/>
      <c r="AB401" s="600"/>
      <c r="AC401" s="601"/>
      <c r="AD401" s="600"/>
      <c r="AE401" s="599"/>
      <c r="AF401" s="600"/>
      <c r="AG401" s="601"/>
      <c r="AH401" s="600"/>
      <c r="AI401" s="599"/>
      <c r="AJ401" s="600"/>
      <c r="AK401" s="601"/>
      <c r="AL401" s="600"/>
      <c r="AM401" s="599"/>
      <c r="AN401" s="600"/>
      <c r="AO401" s="601"/>
      <c r="AP401" s="600"/>
      <c r="AQ401" s="599"/>
      <c r="AR401" s="600"/>
      <c r="AS401" s="601"/>
      <c r="AT401" s="600"/>
      <c r="AU401" s="599"/>
      <c r="AV401" s="600">
        <v>6</v>
      </c>
      <c r="AW401" s="601">
        <v>6</v>
      </c>
      <c r="AX401" s="600"/>
      <c r="AY401" s="599"/>
      <c r="AZ401" s="600">
        <v>2</v>
      </c>
      <c r="BA401" s="601">
        <v>2</v>
      </c>
      <c r="BB401" s="602">
        <v>0</v>
      </c>
      <c r="BC401" s="599"/>
      <c r="BD401" s="600">
        <v>0</v>
      </c>
      <c r="BE401" s="599"/>
      <c r="BF401" s="600">
        <v>0</v>
      </c>
      <c r="BG401" s="599"/>
      <c r="BH401" s="600">
        <v>0</v>
      </c>
      <c r="BI401" s="599"/>
      <c r="BJ401" s="600">
        <v>0</v>
      </c>
      <c r="BK401" s="615"/>
      <c r="BL401" s="600">
        <v>408026</v>
      </c>
      <c r="BM401" s="604">
        <v>408027</v>
      </c>
      <c r="BN401" s="605">
        <f t="shared" si="497"/>
        <v>0</v>
      </c>
      <c r="BO401" s="606">
        <f t="shared" si="498"/>
        <v>0</v>
      </c>
      <c r="BP401" s="607">
        <f t="shared" si="499"/>
        <v>0</v>
      </c>
      <c r="BQ401" s="606">
        <f t="shared" si="500"/>
        <v>0</v>
      </c>
      <c r="BR401" s="607">
        <f t="shared" si="501"/>
        <v>0</v>
      </c>
      <c r="BS401" s="606">
        <f t="shared" si="502"/>
        <v>0</v>
      </c>
      <c r="BT401" s="607">
        <f t="shared" si="503"/>
        <v>0</v>
      </c>
      <c r="BU401" s="606">
        <f t="shared" si="504"/>
        <v>0</v>
      </c>
      <c r="BV401" s="607">
        <f t="shared" si="505"/>
        <v>0</v>
      </c>
      <c r="BW401" s="608">
        <f t="shared" si="506"/>
        <v>0</v>
      </c>
      <c r="BX401" s="607">
        <f t="shared" si="507"/>
        <v>84</v>
      </c>
      <c r="BY401" s="608">
        <f t="shared" si="508"/>
        <v>84</v>
      </c>
      <c r="BZ401" s="607">
        <f t="shared" si="509"/>
        <v>0</v>
      </c>
      <c r="CA401" s="608">
        <f t="shared" si="510"/>
        <v>0</v>
      </c>
      <c r="CB401" s="607">
        <f t="shared" si="511"/>
        <v>0</v>
      </c>
      <c r="CC401" s="608">
        <f t="shared" si="512"/>
        <v>0</v>
      </c>
      <c r="CD401" s="607">
        <f t="shared" si="513"/>
        <v>0</v>
      </c>
      <c r="CE401" s="608">
        <f t="shared" si="514"/>
        <v>0</v>
      </c>
      <c r="CF401" s="607">
        <f t="shared" si="515"/>
        <v>0</v>
      </c>
      <c r="CG401" s="608">
        <f t="shared" si="516"/>
        <v>0</v>
      </c>
      <c r="CH401" s="607">
        <f t="shared" si="517"/>
        <v>0</v>
      </c>
      <c r="CI401" s="608">
        <f t="shared" si="518"/>
        <v>0</v>
      </c>
      <c r="CJ401" s="607">
        <f t="shared" si="519"/>
        <v>4857.4523809523807</v>
      </c>
      <c r="CK401" s="608">
        <f t="shared" si="520"/>
        <v>4857.4642857142853</v>
      </c>
      <c r="CL401" s="609">
        <f t="shared" si="521"/>
        <v>0</v>
      </c>
      <c r="CM401" s="608">
        <f t="shared" si="522"/>
        <v>0</v>
      </c>
      <c r="CN401" s="610">
        <f t="shared" si="523"/>
        <v>0</v>
      </c>
      <c r="CO401" s="606">
        <f t="shared" si="524"/>
        <v>0</v>
      </c>
      <c r="CP401" s="607">
        <f t="shared" si="525"/>
        <v>0</v>
      </c>
      <c r="CQ401" s="606">
        <f t="shared" si="526"/>
        <v>0</v>
      </c>
      <c r="CR401" s="607">
        <f t="shared" si="527"/>
        <v>0</v>
      </c>
      <c r="CS401" s="606">
        <f t="shared" si="528"/>
        <v>0</v>
      </c>
      <c r="CT401" s="607">
        <f t="shared" si="529"/>
        <v>0</v>
      </c>
      <c r="CU401" s="608">
        <f t="shared" si="530"/>
        <v>0</v>
      </c>
      <c r="CV401" s="610">
        <f t="shared" si="531"/>
        <v>43717.071428571428</v>
      </c>
      <c r="CW401" s="608">
        <f t="shared" si="532"/>
        <v>43717.178571428565</v>
      </c>
      <c r="CX401" s="610">
        <f t="shared" si="533"/>
        <v>43717.071428571428</v>
      </c>
      <c r="CY401" s="611">
        <f t="shared" si="534"/>
        <v>43717.178571428565</v>
      </c>
      <c r="CZ401" s="605">
        <f t="shared" si="535"/>
        <v>0</v>
      </c>
      <c r="DA401" s="612">
        <f t="shared" si="536"/>
        <v>0</v>
      </c>
      <c r="DB401" s="607">
        <f t="shared" si="537"/>
        <v>0</v>
      </c>
      <c r="DC401" s="606">
        <f t="shared" si="538"/>
        <v>0</v>
      </c>
      <c r="DD401" s="607">
        <f t="shared" si="539"/>
        <v>0</v>
      </c>
      <c r="DE401" s="606">
        <f t="shared" si="540"/>
        <v>0</v>
      </c>
      <c r="DF401" s="607">
        <f t="shared" si="541"/>
        <v>0</v>
      </c>
      <c r="DG401" s="606">
        <f t="shared" si="542"/>
        <v>0</v>
      </c>
      <c r="DH401" s="607">
        <f t="shared" si="543"/>
        <v>0</v>
      </c>
      <c r="DI401" s="608">
        <f t="shared" si="544"/>
        <v>0</v>
      </c>
      <c r="DJ401" s="607">
        <f t="shared" si="545"/>
        <v>8</v>
      </c>
      <c r="DK401" s="608">
        <f t="shared" si="546"/>
        <v>8</v>
      </c>
      <c r="DL401" s="607">
        <f t="shared" si="547"/>
        <v>8</v>
      </c>
      <c r="DM401" s="608">
        <f t="shared" si="548"/>
        <v>8</v>
      </c>
      <c r="DN401" s="607">
        <f t="shared" si="549"/>
        <v>0</v>
      </c>
      <c r="DO401" s="612">
        <f t="shared" si="550"/>
        <v>0</v>
      </c>
      <c r="DP401" s="607">
        <f t="shared" si="551"/>
        <v>0</v>
      </c>
      <c r="DQ401" s="606">
        <f t="shared" si="552"/>
        <v>0</v>
      </c>
      <c r="DR401" s="607">
        <f t="shared" si="553"/>
        <v>0</v>
      </c>
      <c r="DS401" s="606">
        <f t="shared" si="554"/>
        <v>0</v>
      </c>
      <c r="DT401" s="607">
        <f t="shared" si="555"/>
        <v>0</v>
      </c>
      <c r="DU401" s="606">
        <f t="shared" si="556"/>
        <v>0</v>
      </c>
      <c r="DV401" s="607">
        <f t="shared" si="557"/>
        <v>0</v>
      </c>
      <c r="DW401" s="608">
        <f t="shared" si="558"/>
        <v>0</v>
      </c>
      <c r="DX401" s="607">
        <f t="shared" si="559"/>
        <v>349736.57142857142</v>
      </c>
      <c r="DY401" s="608">
        <f t="shared" si="560"/>
        <v>349737.42857142852</v>
      </c>
      <c r="DZ401" s="607">
        <f t="shared" si="561"/>
        <v>349736.57142857142</v>
      </c>
      <c r="EA401" s="608">
        <f t="shared" si="562"/>
        <v>349737.42857142852</v>
      </c>
    </row>
    <row r="402" spans="1:131" x14ac:dyDescent="0.2">
      <c r="A402" s="343" t="s">
        <v>41</v>
      </c>
      <c r="B402" s="345" t="s">
        <v>405</v>
      </c>
      <c r="C402" s="576"/>
      <c r="D402" s="343">
        <v>208026</v>
      </c>
      <c r="E402" s="344">
        <v>13</v>
      </c>
      <c r="F402" s="598"/>
      <c r="G402" s="599"/>
      <c r="H402" s="600"/>
      <c r="I402" s="601"/>
      <c r="J402" s="600"/>
      <c r="K402" s="599"/>
      <c r="L402" s="600"/>
      <c r="M402" s="601"/>
      <c r="N402" s="600"/>
      <c r="O402" s="599"/>
      <c r="P402" s="600"/>
      <c r="Q402" s="601"/>
      <c r="R402" s="600"/>
      <c r="S402" s="599"/>
      <c r="T402" s="600"/>
      <c r="U402" s="601"/>
      <c r="V402" s="600"/>
      <c r="W402" s="599"/>
      <c r="X402" s="600"/>
      <c r="Y402" s="601"/>
      <c r="Z402" s="600"/>
      <c r="AA402" s="599"/>
      <c r="AB402" s="600"/>
      <c r="AC402" s="601"/>
      <c r="AD402" s="600"/>
      <c r="AE402" s="599"/>
      <c r="AF402" s="600"/>
      <c r="AG402" s="601"/>
      <c r="AH402" s="600"/>
      <c r="AI402" s="599"/>
      <c r="AJ402" s="600"/>
      <c r="AK402" s="601"/>
      <c r="AL402" s="600"/>
      <c r="AM402" s="599"/>
      <c r="AN402" s="600"/>
      <c r="AO402" s="601"/>
      <c r="AP402" s="600"/>
      <c r="AQ402" s="599"/>
      <c r="AR402" s="600"/>
      <c r="AS402" s="601"/>
      <c r="AT402" s="600"/>
      <c r="AU402" s="599"/>
      <c r="AV402" s="600">
        <v>11</v>
      </c>
      <c r="AW402" s="601">
        <v>11</v>
      </c>
      <c r="AX402" s="600"/>
      <c r="AY402" s="599"/>
      <c r="AZ402" s="600">
        <v>3</v>
      </c>
      <c r="BA402" s="601">
        <v>3</v>
      </c>
      <c r="BB402" s="602">
        <v>0</v>
      </c>
      <c r="BC402" s="599"/>
      <c r="BD402" s="600">
        <v>0</v>
      </c>
      <c r="BE402" s="599"/>
      <c r="BF402" s="600">
        <v>0</v>
      </c>
      <c r="BG402" s="599"/>
      <c r="BH402" s="600">
        <v>0</v>
      </c>
      <c r="BI402" s="599"/>
      <c r="BJ402" s="600">
        <v>0</v>
      </c>
      <c r="BK402" s="615"/>
      <c r="BL402" s="600">
        <v>703301</v>
      </c>
      <c r="BM402" s="604">
        <v>698134</v>
      </c>
      <c r="BN402" s="605">
        <f t="shared" si="497"/>
        <v>0</v>
      </c>
      <c r="BO402" s="606">
        <f t="shared" si="498"/>
        <v>0</v>
      </c>
      <c r="BP402" s="607">
        <f t="shared" si="499"/>
        <v>0</v>
      </c>
      <c r="BQ402" s="606">
        <f t="shared" si="500"/>
        <v>0</v>
      </c>
      <c r="BR402" s="607">
        <f t="shared" si="501"/>
        <v>0</v>
      </c>
      <c r="BS402" s="606">
        <f t="shared" si="502"/>
        <v>0</v>
      </c>
      <c r="BT402" s="607">
        <f t="shared" si="503"/>
        <v>0</v>
      </c>
      <c r="BU402" s="606">
        <f t="shared" si="504"/>
        <v>0</v>
      </c>
      <c r="BV402" s="607">
        <f t="shared" si="505"/>
        <v>0</v>
      </c>
      <c r="BW402" s="608">
        <f t="shared" si="506"/>
        <v>0</v>
      </c>
      <c r="BX402" s="607">
        <f t="shared" si="507"/>
        <v>146</v>
      </c>
      <c r="BY402" s="608">
        <f t="shared" si="508"/>
        <v>146</v>
      </c>
      <c r="BZ402" s="607">
        <f t="shared" si="509"/>
        <v>0</v>
      </c>
      <c r="CA402" s="608">
        <f t="shared" si="510"/>
        <v>0</v>
      </c>
      <c r="CB402" s="607">
        <f t="shared" si="511"/>
        <v>0</v>
      </c>
      <c r="CC402" s="608">
        <f t="shared" si="512"/>
        <v>0</v>
      </c>
      <c r="CD402" s="607">
        <f t="shared" si="513"/>
        <v>0</v>
      </c>
      <c r="CE402" s="608">
        <f t="shared" si="514"/>
        <v>0</v>
      </c>
      <c r="CF402" s="607">
        <f t="shared" si="515"/>
        <v>0</v>
      </c>
      <c r="CG402" s="608">
        <f t="shared" si="516"/>
        <v>0</v>
      </c>
      <c r="CH402" s="607">
        <f t="shared" si="517"/>
        <v>0</v>
      </c>
      <c r="CI402" s="608">
        <f t="shared" si="518"/>
        <v>0</v>
      </c>
      <c r="CJ402" s="607">
        <f t="shared" si="519"/>
        <v>4817.1301369863013</v>
      </c>
      <c r="CK402" s="608">
        <f t="shared" si="520"/>
        <v>4781.7397260273974</v>
      </c>
      <c r="CL402" s="609">
        <f t="shared" si="521"/>
        <v>0</v>
      </c>
      <c r="CM402" s="608">
        <f t="shared" si="522"/>
        <v>0</v>
      </c>
      <c r="CN402" s="610">
        <f t="shared" si="523"/>
        <v>0</v>
      </c>
      <c r="CO402" s="606">
        <f t="shared" si="524"/>
        <v>0</v>
      </c>
      <c r="CP402" s="607">
        <f t="shared" si="525"/>
        <v>0</v>
      </c>
      <c r="CQ402" s="606">
        <f t="shared" si="526"/>
        <v>0</v>
      </c>
      <c r="CR402" s="607">
        <f t="shared" si="527"/>
        <v>0</v>
      </c>
      <c r="CS402" s="606">
        <f t="shared" si="528"/>
        <v>0</v>
      </c>
      <c r="CT402" s="607">
        <f t="shared" si="529"/>
        <v>0</v>
      </c>
      <c r="CU402" s="608">
        <f t="shared" si="530"/>
        <v>0</v>
      </c>
      <c r="CV402" s="610">
        <f t="shared" si="531"/>
        <v>43354.17123287671</v>
      </c>
      <c r="CW402" s="608">
        <f t="shared" si="532"/>
        <v>43035.65753424658</v>
      </c>
      <c r="CX402" s="610">
        <f t="shared" si="533"/>
        <v>43354.17123287671</v>
      </c>
      <c r="CY402" s="611">
        <f t="shared" si="534"/>
        <v>43035.65753424658</v>
      </c>
      <c r="CZ402" s="605">
        <f t="shared" si="535"/>
        <v>0</v>
      </c>
      <c r="DA402" s="612">
        <f t="shared" si="536"/>
        <v>0</v>
      </c>
      <c r="DB402" s="607">
        <f t="shared" si="537"/>
        <v>0</v>
      </c>
      <c r="DC402" s="606">
        <f t="shared" si="538"/>
        <v>0</v>
      </c>
      <c r="DD402" s="607">
        <f t="shared" si="539"/>
        <v>0</v>
      </c>
      <c r="DE402" s="606">
        <f t="shared" si="540"/>
        <v>0</v>
      </c>
      <c r="DF402" s="607">
        <f t="shared" si="541"/>
        <v>0</v>
      </c>
      <c r="DG402" s="606">
        <f t="shared" si="542"/>
        <v>0</v>
      </c>
      <c r="DH402" s="607">
        <f t="shared" si="543"/>
        <v>0</v>
      </c>
      <c r="DI402" s="608">
        <f t="shared" si="544"/>
        <v>0</v>
      </c>
      <c r="DJ402" s="607">
        <f t="shared" si="545"/>
        <v>14</v>
      </c>
      <c r="DK402" s="608">
        <f t="shared" si="546"/>
        <v>14</v>
      </c>
      <c r="DL402" s="607">
        <f t="shared" si="547"/>
        <v>14</v>
      </c>
      <c r="DM402" s="608">
        <f t="shared" si="548"/>
        <v>14</v>
      </c>
      <c r="DN402" s="607">
        <f t="shared" si="549"/>
        <v>0</v>
      </c>
      <c r="DO402" s="612">
        <f t="shared" si="550"/>
        <v>0</v>
      </c>
      <c r="DP402" s="607">
        <f t="shared" si="551"/>
        <v>0</v>
      </c>
      <c r="DQ402" s="606">
        <f t="shared" si="552"/>
        <v>0</v>
      </c>
      <c r="DR402" s="607">
        <f t="shared" si="553"/>
        <v>0</v>
      </c>
      <c r="DS402" s="606">
        <f t="shared" si="554"/>
        <v>0</v>
      </c>
      <c r="DT402" s="607">
        <f t="shared" si="555"/>
        <v>0</v>
      </c>
      <c r="DU402" s="606">
        <f t="shared" si="556"/>
        <v>0</v>
      </c>
      <c r="DV402" s="607">
        <f t="shared" si="557"/>
        <v>0</v>
      </c>
      <c r="DW402" s="608">
        <f t="shared" si="558"/>
        <v>0</v>
      </c>
      <c r="DX402" s="607">
        <f t="shared" si="559"/>
        <v>606958.39726027392</v>
      </c>
      <c r="DY402" s="608">
        <f t="shared" si="560"/>
        <v>602499.20547945215</v>
      </c>
      <c r="DZ402" s="607">
        <f t="shared" si="561"/>
        <v>606958.39726027392</v>
      </c>
      <c r="EA402" s="608">
        <f t="shared" si="562"/>
        <v>602499.20547945215</v>
      </c>
    </row>
    <row r="403" spans="1:131" x14ac:dyDescent="0.2">
      <c r="A403" s="343" t="s">
        <v>41</v>
      </c>
      <c r="B403" s="345" t="s">
        <v>406</v>
      </c>
      <c r="C403" s="576"/>
      <c r="D403" s="343">
        <v>375692</v>
      </c>
      <c r="E403" s="344">
        <v>13</v>
      </c>
      <c r="F403" s="598"/>
      <c r="G403" s="599"/>
      <c r="H403" s="600"/>
      <c r="I403" s="601"/>
      <c r="J403" s="600"/>
      <c r="K403" s="599"/>
      <c r="L403" s="600"/>
      <c r="M403" s="601"/>
      <c r="N403" s="600"/>
      <c r="O403" s="599"/>
      <c r="P403" s="600"/>
      <c r="Q403" s="601"/>
      <c r="R403" s="600"/>
      <c r="S403" s="599"/>
      <c r="T403" s="600"/>
      <c r="U403" s="601"/>
      <c r="V403" s="600"/>
      <c r="W403" s="599"/>
      <c r="X403" s="600"/>
      <c r="Y403" s="601"/>
      <c r="Z403" s="600"/>
      <c r="AA403" s="599"/>
      <c r="AB403" s="600"/>
      <c r="AC403" s="601"/>
      <c r="AD403" s="600"/>
      <c r="AE403" s="599"/>
      <c r="AF403" s="600"/>
      <c r="AG403" s="601"/>
      <c r="AH403" s="600"/>
      <c r="AI403" s="599"/>
      <c r="AJ403" s="600"/>
      <c r="AK403" s="601"/>
      <c r="AL403" s="600"/>
      <c r="AM403" s="599"/>
      <c r="AN403" s="600"/>
      <c r="AO403" s="601"/>
      <c r="AP403" s="600"/>
      <c r="AQ403" s="599"/>
      <c r="AR403" s="600"/>
      <c r="AS403" s="601"/>
      <c r="AT403" s="600"/>
      <c r="AU403" s="599"/>
      <c r="AV403" s="600">
        <v>6</v>
      </c>
      <c r="AW403" s="601">
        <v>7</v>
      </c>
      <c r="AX403" s="600"/>
      <c r="AY403" s="599"/>
      <c r="AZ403" s="600">
        <v>1</v>
      </c>
      <c r="BA403" s="601">
        <v>1</v>
      </c>
      <c r="BB403" s="602">
        <v>0</v>
      </c>
      <c r="BC403" s="599"/>
      <c r="BD403" s="600">
        <v>0</v>
      </c>
      <c r="BE403" s="599"/>
      <c r="BF403" s="600">
        <v>0</v>
      </c>
      <c r="BG403" s="599"/>
      <c r="BH403" s="600">
        <v>0</v>
      </c>
      <c r="BI403" s="599"/>
      <c r="BJ403" s="600">
        <v>0</v>
      </c>
      <c r="BK403" s="615"/>
      <c r="BL403" s="600">
        <v>360828</v>
      </c>
      <c r="BM403" s="604">
        <v>410245</v>
      </c>
      <c r="BN403" s="605">
        <f t="shared" si="497"/>
        <v>0</v>
      </c>
      <c r="BO403" s="606">
        <f t="shared" si="498"/>
        <v>0</v>
      </c>
      <c r="BP403" s="607">
        <f t="shared" si="499"/>
        <v>0</v>
      </c>
      <c r="BQ403" s="606">
        <f t="shared" si="500"/>
        <v>0</v>
      </c>
      <c r="BR403" s="607">
        <f t="shared" si="501"/>
        <v>0</v>
      </c>
      <c r="BS403" s="606">
        <f t="shared" si="502"/>
        <v>0</v>
      </c>
      <c r="BT403" s="607">
        <f t="shared" si="503"/>
        <v>0</v>
      </c>
      <c r="BU403" s="606">
        <f t="shared" si="504"/>
        <v>0</v>
      </c>
      <c r="BV403" s="607">
        <f t="shared" si="505"/>
        <v>0</v>
      </c>
      <c r="BW403" s="608">
        <f t="shared" si="506"/>
        <v>0</v>
      </c>
      <c r="BX403" s="607">
        <f t="shared" si="507"/>
        <v>72</v>
      </c>
      <c r="BY403" s="608">
        <f t="shared" si="508"/>
        <v>82</v>
      </c>
      <c r="BZ403" s="607">
        <f t="shared" si="509"/>
        <v>0</v>
      </c>
      <c r="CA403" s="608">
        <f t="shared" si="510"/>
        <v>0</v>
      </c>
      <c r="CB403" s="607">
        <f t="shared" si="511"/>
        <v>0</v>
      </c>
      <c r="CC403" s="608">
        <f t="shared" si="512"/>
        <v>0</v>
      </c>
      <c r="CD403" s="607">
        <f t="shared" si="513"/>
        <v>0</v>
      </c>
      <c r="CE403" s="608">
        <f t="shared" si="514"/>
        <v>0</v>
      </c>
      <c r="CF403" s="607">
        <f t="shared" si="515"/>
        <v>0</v>
      </c>
      <c r="CG403" s="608">
        <f t="shared" si="516"/>
        <v>0</v>
      </c>
      <c r="CH403" s="607">
        <f t="shared" si="517"/>
        <v>0</v>
      </c>
      <c r="CI403" s="608">
        <f t="shared" si="518"/>
        <v>0</v>
      </c>
      <c r="CJ403" s="607">
        <f t="shared" si="519"/>
        <v>5011.5</v>
      </c>
      <c r="CK403" s="608">
        <f t="shared" si="520"/>
        <v>5002.9878048780483</v>
      </c>
      <c r="CL403" s="609">
        <f t="shared" si="521"/>
        <v>0</v>
      </c>
      <c r="CM403" s="608">
        <f t="shared" si="522"/>
        <v>0</v>
      </c>
      <c r="CN403" s="610">
        <f t="shared" si="523"/>
        <v>0</v>
      </c>
      <c r="CO403" s="606">
        <f t="shared" si="524"/>
        <v>0</v>
      </c>
      <c r="CP403" s="607">
        <f t="shared" si="525"/>
        <v>0</v>
      </c>
      <c r="CQ403" s="606">
        <f t="shared" si="526"/>
        <v>0</v>
      </c>
      <c r="CR403" s="607">
        <f t="shared" si="527"/>
        <v>0</v>
      </c>
      <c r="CS403" s="606">
        <f t="shared" si="528"/>
        <v>0</v>
      </c>
      <c r="CT403" s="607">
        <f t="shared" si="529"/>
        <v>0</v>
      </c>
      <c r="CU403" s="608">
        <f t="shared" si="530"/>
        <v>0</v>
      </c>
      <c r="CV403" s="610">
        <f t="shared" si="531"/>
        <v>45103.5</v>
      </c>
      <c r="CW403" s="608">
        <f t="shared" si="532"/>
        <v>45026.890243902439</v>
      </c>
      <c r="CX403" s="610">
        <f t="shared" si="533"/>
        <v>45103.5</v>
      </c>
      <c r="CY403" s="611">
        <f t="shared" si="534"/>
        <v>45026.890243902439</v>
      </c>
      <c r="CZ403" s="605">
        <f t="shared" si="535"/>
        <v>0</v>
      </c>
      <c r="DA403" s="612">
        <f t="shared" si="536"/>
        <v>0</v>
      </c>
      <c r="DB403" s="607">
        <f t="shared" si="537"/>
        <v>0</v>
      </c>
      <c r="DC403" s="606">
        <f t="shared" si="538"/>
        <v>0</v>
      </c>
      <c r="DD403" s="607">
        <f t="shared" si="539"/>
        <v>0</v>
      </c>
      <c r="DE403" s="606">
        <f t="shared" si="540"/>
        <v>0</v>
      </c>
      <c r="DF403" s="607">
        <f t="shared" si="541"/>
        <v>0</v>
      </c>
      <c r="DG403" s="606">
        <f t="shared" si="542"/>
        <v>0</v>
      </c>
      <c r="DH403" s="607">
        <f t="shared" si="543"/>
        <v>0</v>
      </c>
      <c r="DI403" s="608">
        <f t="shared" si="544"/>
        <v>0</v>
      </c>
      <c r="DJ403" s="607">
        <f t="shared" si="545"/>
        <v>7</v>
      </c>
      <c r="DK403" s="608">
        <f t="shared" si="546"/>
        <v>8</v>
      </c>
      <c r="DL403" s="607">
        <f t="shared" si="547"/>
        <v>7</v>
      </c>
      <c r="DM403" s="608">
        <f t="shared" si="548"/>
        <v>8</v>
      </c>
      <c r="DN403" s="607">
        <f t="shared" si="549"/>
        <v>0</v>
      </c>
      <c r="DO403" s="612">
        <f t="shared" si="550"/>
        <v>0</v>
      </c>
      <c r="DP403" s="607">
        <f t="shared" si="551"/>
        <v>0</v>
      </c>
      <c r="DQ403" s="606">
        <f t="shared" si="552"/>
        <v>0</v>
      </c>
      <c r="DR403" s="607">
        <f t="shared" si="553"/>
        <v>0</v>
      </c>
      <c r="DS403" s="606">
        <f t="shared" si="554"/>
        <v>0</v>
      </c>
      <c r="DT403" s="607">
        <f t="shared" si="555"/>
        <v>0</v>
      </c>
      <c r="DU403" s="606">
        <f t="shared" si="556"/>
        <v>0</v>
      </c>
      <c r="DV403" s="607">
        <f t="shared" si="557"/>
        <v>0</v>
      </c>
      <c r="DW403" s="608">
        <f t="shared" si="558"/>
        <v>0</v>
      </c>
      <c r="DX403" s="607">
        <f t="shared" si="559"/>
        <v>315724.5</v>
      </c>
      <c r="DY403" s="608">
        <f t="shared" si="560"/>
        <v>360215.12195121951</v>
      </c>
      <c r="DZ403" s="607">
        <f t="shared" si="561"/>
        <v>315724.5</v>
      </c>
      <c r="EA403" s="608">
        <f t="shared" si="562"/>
        <v>360215.12195121951</v>
      </c>
    </row>
    <row r="404" spans="1:131" x14ac:dyDescent="0.2">
      <c r="A404" s="343" t="s">
        <v>41</v>
      </c>
      <c r="B404" s="345" t="s">
        <v>407</v>
      </c>
      <c r="C404" s="576"/>
      <c r="D404" s="343">
        <v>375708</v>
      </c>
      <c r="E404" s="344">
        <v>13</v>
      </c>
      <c r="F404" s="598"/>
      <c r="G404" s="599"/>
      <c r="H404" s="600"/>
      <c r="I404" s="601"/>
      <c r="J404" s="600"/>
      <c r="K404" s="624"/>
      <c r="L404" s="600"/>
      <c r="M404" s="625"/>
      <c r="N404" s="600"/>
      <c r="O404" s="626"/>
      <c r="P404" s="600"/>
      <c r="Q404" s="601"/>
      <c r="R404" s="600"/>
      <c r="S404" s="624"/>
      <c r="T404" s="600"/>
      <c r="U404" s="625"/>
      <c r="V404" s="600"/>
      <c r="W404" s="626"/>
      <c r="X404" s="600"/>
      <c r="Y404" s="601"/>
      <c r="Z404" s="600"/>
      <c r="AA404" s="624"/>
      <c r="AB404" s="600"/>
      <c r="AC404" s="627"/>
      <c r="AD404" s="600"/>
      <c r="AE404" s="624"/>
      <c r="AF404" s="600"/>
      <c r="AG404" s="601"/>
      <c r="AH404" s="600"/>
      <c r="AI404" s="624"/>
      <c r="AJ404" s="600"/>
      <c r="AK404" s="625"/>
      <c r="AL404" s="600"/>
      <c r="AM404" s="626"/>
      <c r="AN404" s="600"/>
      <c r="AO404" s="601"/>
      <c r="AP404" s="600"/>
      <c r="AQ404" s="624"/>
      <c r="AR404" s="600"/>
      <c r="AS404" s="625"/>
      <c r="AT404" s="600"/>
      <c r="AU404" s="599"/>
      <c r="AV404" s="600">
        <v>7</v>
      </c>
      <c r="AW404" s="601">
        <v>7</v>
      </c>
      <c r="AX404" s="600"/>
      <c r="AY404" s="599"/>
      <c r="AZ404" s="600">
        <v>2</v>
      </c>
      <c r="BA404" s="601">
        <v>2</v>
      </c>
      <c r="BB404" s="602">
        <v>0</v>
      </c>
      <c r="BC404" s="626"/>
      <c r="BD404" s="600">
        <v>0</v>
      </c>
      <c r="BE404" s="599"/>
      <c r="BF404" s="600">
        <v>0</v>
      </c>
      <c r="BG404" s="599"/>
      <c r="BH404" s="600">
        <v>0</v>
      </c>
      <c r="BI404" s="599"/>
      <c r="BJ404" s="600">
        <v>0</v>
      </c>
      <c r="BK404" s="615"/>
      <c r="BL404" s="600">
        <v>500997</v>
      </c>
      <c r="BM404" s="604">
        <v>495557</v>
      </c>
      <c r="BN404" s="605">
        <f t="shared" si="497"/>
        <v>0</v>
      </c>
      <c r="BO404" s="606">
        <f t="shared" si="498"/>
        <v>0</v>
      </c>
      <c r="BP404" s="607">
        <f t="shared" si="499"/>
        <v>0</v>
      </c>
      <c r="BQ404" s="606">
        <f t="shared" si="500"/>
        <v>0</v>
      </c>
      <c r="BR404" s="607">
        <f t="shared" si="501"/>
        <v>0</v>
      </c>
      <c r="BS404" s="606">
        <f t="shared" si="502"/>
        <v>0</v>
      </c>
      <c r="BT404" s="607">
        <f t="shared" si="503"/>
        <v>0</v>
      </c>
      <c r="BU404" s="606">
        <f t="shared" si="504"/>
        <v>0</v>
      </c>
      <c r="BV404" s="607">
        <f t="shared" si="505"/>
        <v>0</v>
      </c>
      <c r="BW404" s="608">
        <f t="shared" si="506"/>
        <v>0</v>
      </c>
      <c r="BX404" s="607">
        <f t="shared" si="507"/>
        <v>94</v>
      </c>
      <c r="BY404" s="608">
        <f t="shared" si="508"/>
        <v>94</v>
      </c>
      <c r="BZ404" s="607">
        <f t="shared" si="509"/>
        <v>0</v>
      </c>
      <c r="CA404" s="608">
        <f t="shared" si="510"/>
        <v>0</v>
      </c>
      <c r="CB404" s="607">
        <f t="shared" si="511"/>
        <v>0</v>
      </c>
      <c r="CC404" s="608">
        <f t="shared" si="512"/>
        <v>0</v>
      </c>
      <c r="CD404" s="607">
        <f t="shared" si="513"/>
        <v>0</v>
      </c>
      <c r="CE404" s="608">
        <f t="shared" si="514"/>
        <v>0</v>
      </c>
      <c r="CF404" s="607">
        <f t="shared" si="515"/>
        <v>0</v>
      </c>
      <c r="CG404" s="608">
        <f t="shared" si="516"/>
        <v>0</v>
      </c>
      <c r="CH404" s="607">
        <f t="shared" si="517"/>
        <v>0</v>
      </c>
      <c r="CI404" s="608">
        <f t="shared" si="518"/>
        <v>0</v>
      </c>
      <c r="CJ404" s="607">
        <f t="shared" si="519"/>
        <v>5329.755319148936</v>
      </c>
      <c r="CK404" s="608">
        <f t="shared" si="520"/>
        <v>5271.8829787234044</v>
      </c>
      <c r="CL404" s="609">
        <f t="shared" si="521"/>
        <v>0</v>
      </c>
      <c r="CM404" s="608">
        <f t="shared" si="522"/>
        <v>0</v>
      </c>
      <c r="CN404" s="610">
        <f t="shared" si="523"/>
        <v>0</v>
      </c>
      <c r="CO404" s="606">
        <f t="shared" si="524"/>
        <v>0</v>
      </c>
      <c r="CP404" s="607">
        <f t="shared" si="525"/>
        <v>0</v>
      </c>
      <c r="CQ404" s="606">
        <f t="shared" si="526"/>
        <v>0</v>
      </c>
      <c r="CR404" s="607">
        <f t="shared" si="527"/>
        <v>0</v>
      </c>
      <c r="CS404" s="606">
        <f t="shared" si="528"/>
        <v>0</v>
      </c>
      <c r="CT404" s="607">
        <f t="shared" si="529"/>
        <v>0</v>
      </c>
      <c r="CU404" s="608">
        <f t="shared" si="530"/>
        <v>0</v>
      </c>
      <c r="CV404" s="610">
        <f t="shared" si="531"/>
        <v>47967.797872340423</v>
      </c>
      <c r="CW404" s="608">
        <f t="shared" si="532"/>
        <v>47446.946808510642</v>
      </c>
      <c r="CX404" s="610">
        <f t="shared" si="533"/>
        <v>47967.797872340423</v>
      </c>
      <c r="CY404" s="611">
        <f t="shared" si="534"/>
        <v>47446.946808510642</v>
      </c>
      <c r="CZ404" s="605">
        <f t="shared" si="535"/>
        <v>0</v>
      </c>
      <c r="DA404" s="612">
        <f t="shared" si="536"/>
        <v>0</v>
      </c>
      <c r="DB404" s="607">
        <f t="shared" si="537"/>
        <v>0</v>
      </c>
      <c r="DC404" s="606">
        <f t="shared" si="538"/>
        <v>0</v>
      </c>
      <c r="DD404" s="607">
        <f t="shared" si="539"/>
        <v>0</v>
      </c>
      <c r="DE404" s="606">
        <f t="shared" si="540"/>
        <v>0</v>
      </c>
      <c r="DF404" s="607">
        <f t="shared" si="541"/>
        <v>0</v>
      </c>
      <c r="DG404" s="606">
        <f t="shared" si="542"/>
        <v>0</v>
      </c>
      <c r="DH404" s="607">
        <f t="shared" si="543"/>
        <v>0</v>
      </c>
      <c r="DI404" s="608">
        <f t="shared" si="544"/>
        <v>0</v>
      </c>
      <c r="DJ404" s="607">
        <f t="shared" si="545"/>
        <v>9</v>
      </c>
      <c r="DK404" s="608">
        <f t="shared" si="546"/>
        <v>9</v>
      </c>
      <c r="DL404" s="607">
        <f t="shared" si="547"/>
        <v>9</v>
      </c>
      <c r="DM404" s="608">
        <f t="shared" si="548"/>
        <v>9</v>
      </c>
      <c r="DN404" s="607">
        <f t="shared" si="549"/>
        <v>0</v>
      </c>
      <c r="DO404" s="612">
        <f t="shared" si="550"/>
        <v>0</v>
      </c>
      <c r="DP404" s="607">
        <f t="shared" si="551"/>
        <v>0</v>
      </c>
      <c r="DQ404" s="606">
        <f t="shared" si="552"/>
        <v>0</v>
      </c>
      <c r="DR404" s="607">
        <f t="shared" si="553"/>
        <v>0</v>
      </c>
      <c r="DS404" s="606">
        <f t="shared" si="554"/>
        <v>0</v>
      </c>
      <c r="DT404" s="607">
        <f t="shared" si="555"/>
        <v>0</v>
      </c>
      <c r="DU404" s="606">
        <f t="shared" si="556"/>
        <v>0</v>
      </c>
      <c r="DV404" s="607">
        <f t="shared" si="557"/>
        <v>0</v>
      </c>
      <c r="DW404" s="608">
        <f t="shared" si="558"/>
        <v>0</v>
      </c>
      <c r="DX404" s="607">
        <f t="shared" si="559"/>
        <v>431710.18085106381</v>
      </c>
      <c r="DY404" s="608">
        <f t="shared" si="560"/>
        <v>427022.52127659577</v>
      </c>
      <c r="DZ404" s="607">
        <f t="shared" si="561"/>
        <v>431710.18085106381</v>
      </c>
      <c r="EA404" s="608">
        <f t="shared" si="562"/>
        <v>427022.52127659577</v>
      </c>
    </row>
    <row r="405" spans="1:131" x14ac:dyDescent="0.2">
      <c r="A405" s="343" t="s">
        <v>41</v>
      </c>
      <c r="B405" s="345" t="s">
        <v>408</v>
      </c>
      <c r="C405" s="576"/>
      <c r="D405" s="343">
        <v>375717</v>
      </c>
      <c r="E405" s="344">
        <v>13</v>
      </c>
      <c r="F405" s="598"/>
      <c r="G405" s="599"/>
      <c r="H405" s="600"/>
      <c r="I405" s="601"/>
      <c r="J405" s="600"/>
      <c r="K405" s="624"/>
      <c r="L405" s="600"/>
      <c r="M405" s="625"/>
      <c r="N405" s="600"/>
      <c r="O405" s="626"/>
      <c r="P405" s="600"/>
      <c r="Q405" s="601"/>
      <c r="R405" s="600"/>
      <c r="S405" s="624"/>
      <c r="T405" s="600"/>
      <c r="U405" s="625"/>
      <c r="V405" s="600"/>
      <c r="W405" s="626"/>
      <c r="X405" s="600"/>
      <c r="Y405" s="601"/>
      <c r="Z405" s="600"/>
      <c r="AA405" s="624"/>
      <c r="AB405" s="600"/>
      <c r="AC405" s="627"/>
      <c r="AD405" s="600"/>
      <c r="AE405" s="624"/>
      <c r="AF405" s="600"/>
      <c r="AG405" s="601"/>
      <c r="AH405" s="600"/>
      <c r="AI405" s="624"/>
      <c r="AJ405" s="600"/>
      <c r="AK405" s="625"/>
      <c r="AL405" s="600"/>
      <c r="AM405" s="626"/>
      <c r="AN405" s="600"/>
      <c r="AO405" s="601"/>
      <c r="AP405" s="600"/>
      <c r="AQ405" s="624"/>
      <c r="AR405" s="600"/>
      <c r="AS405" s="625"/>
      <c r="AT405" s="600"/>
      <c r="AU405" s="599"/>
      <c r="AV405" s="600">
        <v>9</v>
      </c>
      <c r="AW405" s="601">
        <v>9</v>
      </c>
      <c r="AX405" s="600"/>
      <c r="AY405" s="599"/>
      <c r="AZ405" s="600">
        <v>2</v>
      </c>
      <c r="BA405" s="601">
        <v>2</v>
      </c>
      <c r="BB405" s="602">
        <v>0</v>
      </c>
      <c r="BC405" s="626"/>
      <c r="BD405" s="600">
        <v>0</v>
      </c>
      <c r="BE405" s="599"/>
      <c r="BF405" s="600">
        <v>0</v>
      </c>
      <c r="BG405" s="599"/>
      <c r="BH405" s="600">
        <v>0</v>
      </c>
      <c r="BI405" s="599"/>
      <c r="BJ405" s="600">
        <v>0</v>
      </c>
      <c r="BK405" s="615"/>
      <c r="BL405" s="600">
        <v>615279</v>
      </c>
      <c r="BM405" s="604">
        <v>613521</v>
      </c>
      <c r="BN405" s="605">
        <f t="shared" si="497"/>
        <v>0</v>
      </c>
      <c r="BO405" s="606">
        <f t="shared" si="498"/>
        <v>0</v>
      </c>
      <c r="BP405" s="607">
        <f t="shared" si="499"/>
        <v>0</v>
      </c>
      <c r="BQ405" s="606">
        <f t="shared" si="500"/>
        <v>0</v>
      </c>
      <c r="BR405" s="607">
        <f t="shared" si="501"/>
        <v>0</v>
      </c>
      <c r="BS405" s="606">
        <f t="shared" si="502"/>
        <v>0</v>
      </c>
      <c r="BT405" s="607">
        <f t="shared" si="503"/>
        <v>0</v>
      </c>
      <c r="BU405" s="606">
        <f t="shared" si="504"/>
        <v>0</v>
      </c>
      <c r="BV405" s="607">
        <f t="shared" si="505"/>
        <v>0</v>
      </c>
      <c r="BW405" s="608">
        <f t="shared" si="506"/>
        <v>0</v>
      </c>
      <c r="BX405" s="607">
        <f t="shared" si="507"/>
        <v>114</v>
      </c>
      <c r="BY405" s="608">
        <f t="shared" si="508"/>
        <v>114</v>
      </c>
      <c r="BZ405" s="607">
        <f t="shared" si="509"/>
        <v>0</v>
      </c>
      <c r="CA405" s="608">
        <f t="shared" si="510"/>
        <v>0</v>
      </c>
      <c r="CB405" s="607">
        <f t="shared" si="511"/>
        <v>0</v>
      </c>
      <c r="CC405" s="608">
        <f t="shared" si="512"/>
        <v>0</v>
      </c>
      <c r="CD405" s="607">
        <f t="shared" si="513"/>
        <v>0</v>
      </c>
      <c r="CE405" s="608">
        <f t="shared" si="514"/>
        <v>0</v>
      </c>
      <c r="CF405" s="607">
        <f t="shared" si="515"/>
        <v>0</v>
      </c>
      <c r="CG405" s="608">
        <f t="shared" si="516"/>
        <v>0</v>
      </c>
      <c r="CH405" s="607">
        <f t="shared" si="517"/>
        <v>0</v>
      </c>
      <c r="CI405" s="608">
        <f t="shared" si="518"/>
        <v>0</v>
      </c>
      <c r="CJ405" s="607">
        <f t="shared" si="519"/>
        <v>5397.1842105263158</v>
      </c>
      <c r="CK405" s="608">
        <f t="shared" si="520"/>
        <v>5381.7631578947367</v>
      </c>
      <c r="CL405" s="609">
        <f t="shared" si="521"/>
        <v>0</v>
      </c>
      <c r="CM405" s="608">
        <f t="shared" si="522"/>
        <v>0</v>
      </c>
      <c r="CN405" s="610">
        <f t="shared" si="523"/>
        <v>0</v>
      </c>
      <c r="CO405" s="606">
        <f t="shared" si="524"/>
        <v>0</v>
      </c>
      <c r="CP405" s="607">
        <f t="shared" si="525"/>
        <v>0</v>
      </c>
      <c r="CQ405" s="606">
        <f t="shared" si="526"/>
        <v>0</v>
      </c>
      <c r="CR405" s="607">
        <f t="shared" si="527"/>
        <v>0</v>
      </c>
      <c r="CS405" s="606">
        <f t="shared" si="528"/>
        <v>0</v>
      </c>
      <c r="CT405" s="607">
        <f t="shared" si="529"/>
        <v>0</v>
      </c>
      <c r="CU405" s="608">
        <f t="shared" si="530"/>
        <v>0</v>
      </c>
      <c r="CV405" s="610">
        <f t="shared" si="531"/>
        <v>48574.65789473684</v>
      </c>
      <c r="CW405" s="608">
        <f t="shared" si="532"/>
        <v>48435.868421052626</v>
      </c>
      <c r="CX405" s="610">
        <f t="shared" si="533"/>
        <v>48574.657894736847</v>
      </c>
      <c r="CY405" s="611">
        <f t="shared" si="534"/>
        <v>48435.868421052626</v>
      </c>
      <c r="CZ405" s="605">
        <f t="shared" si="535"/>
        <v>0</v>
      </c>
      <c r="DA405" s="612">
        <f t="shared" si="536"/>
        <v>0</v>
      </c>
      <c r="DB405" s="607">
        <f t="shared" si="537"/>
        <v>0</v>
      </c>
      <c r="DC405" s="606">
        <f t="shared" si="538"/>
        <v>0</v>
      </c>
      <c r="DD405" s="607">
        <f t="shared" si="539"/>
        <v>0</v>
      </c>
      <c r="DE405" s="606">
        <f t="shared" si="540"/>
        <v>0</v>
      </c>
      <c r="DF405" s="607">
        <f t="shared" si="541"/>
        <v>0</v>
      </c>
      <c r="DG405" s="606">
        <f t="shared" si="542"/>
        <v>0</v>
      </c>
      <c r="DH405" s="607">
        <f t="shared" si="543"/>
        <v>0</v>
      </c>
      <c r="DI405" s="608">
        <f t="shared" si="544"/>
        <v>0</v>
      </c>
      <c r="DJ405" s="607">
        <f t="shared" si="545"/>
        <v>11</v>
      </c>
      <c r="DK405" s="608">
        <f t="shared" si="546"/>
        <v>11</v>
      </c>
      <c r="DL405" s="607">
        <f t="shared" si="547"/>
        <v>11</v>
      </c>
      <c r="DM405" s="608">
        <f t="shared" si="548"/>
        <v>11</v>
      </c>
      <c r="DN405" s="607">
        <f t="shared" si="549"/>
        <v>0</v>
      </c>
      <c r="DO405" s="612">
        <f t="shared" si="550"/>
        <v>0</v>
      </c>
      <c r="DP405" s="607">
        <f t="shared" si="551"/>
        <v>0</v>
      </c>
      <c r="DQ405" s="606">
        <f t="shared" si="552"/>
        <v>0</v>
      </c>
      <c r="DR405" s="607">
        <f t="shared" si="553"/>
        <v>0</v>
      </c>
      <c r="DS405" s="606">
        <f t="shared" si="554"/>
        <v>0</v>
      </c>
      <c r="DT405" s="607">
        <f t="shared" si="555"/>
        <v>0</v>
      </c>
      <c r="DU405" s="606">
        <f t="shared" si="556"/>
        <v>0</v>
      </c>
      <c r="DV405" s="607">
        <f t="shared" si="557"/>
        <v>0</v>
      </c>
      <c r="DW405" s="608">
        <f t="shared" si="558"/>
        <v>0</v>
      </c>
      <c r="DX405" s="607">
        <f t="shared" si="559"/>
        <v>534321.23684210528</v>
      </c>
      <c r="DY405" s="608">
        <f t="shared" si="560"/>
        <v>532794.55263157887</v>
      </c>
      <c r="DZ405" s="607">
        <f t="shared" si="561"/>
        <v>534321.23684210528</v>
      </c>
      <c r="EA405" s="608">
        <f t="shared" si="562"/>
        <v>532794.55263157887</v>
      </c>
    </row>
    <row r="406" spans="1:131" x14ac:dyDescent="0.2">
      <c r="A406" s="343" t="s">
        <v>41</v>
      </c>
      <c r="B406" s="345" t="s">
        <v>409</v>
      </c>
      <c r="C406" s="576"/>
      <c r="D406" s="343">
        <v>375735</v>
      </c>
      <c r="E406" s="344">
        <v>13</v>
      </c>
      <c r="F406" s="598"/>
      <c r="G406" s="599"/>
      <c r="H406" s="600"/>
      <c r="I406" s="601"/>
      <c r="J406" s="600"/>
      <c r="K406" s="624"/>
      <c r="L406" s="600"/>
      <c r="M406" s="625"/>
      <c r="N406" s="600"/>
      <c r="O406" s="626"/>
      <c r="P406" s="600"/>
      <c r="Q406" s="601"/>
      <c r="R406" s="600"/>
      <c r="S406" s="624"/>
      <c r="T406" s="600"/>
      <c r="U406" s="625"/>
      <c r="V406" s="600"/>
      <c r="W406" s="626"/>
      <c r="X406" s="600"/>
      <c r="Y406" s="601"/>
      <c r="Z406" s="600"/>
      <c r="AA406" s="624"/>
      <c r="AB406" s="600"/>
      <c r="AC406" s="627"/>
      <c r="AD406" s="600"/>
      <c r="AE406" s="624"/>
      <c r="AF406" s="600"/>
      <c r="AG406" s="601"/>
      <c r="AH406" s="600"/>
      <c r="AI406" s="624"/>
      <c r="AJ406" s="600"/>
      <c r="AK406" s="625"/>
      <c r="AL406" s="600"/>
      <c r="AM406" s="626"/>
      <c r="AN406" s="600"/>
      <c r="AO406" s="601"/>
      <c r="AP406" s="600"/>
      <c r="AQ406" s="624"/>
      <c r="AR406" s="600"/>
      <c r="AS406" s="625"/>
      <c r="AT406" s="600"/>
      <c r="AU406" s="599"/>
      <c r="AV406" s="600">
        <v>9</v>
      </c>
      <c r="AW406" s="601">
        <v>10</v>
      </c>
      <c r="AX406" s="600"/>
      <c r="AY406" s="599"/>
      <c r="AZ406" s="600">
        <v>3</v>
      </c>
      <c r="BA406" s="601">
        <v>2</v>
      </c>
      <c r="BB406" s="602">
        <v>0</v>
      </c>
      <c r="BC406" s="626"/>
      <c r="BD406" s="600">
        <v>0</v>
      </c>
      <c r="BE406" s="599"/>
      <c r="BF406" s="600">
        <v>0</v>
      </c>
      <c r="BG406" s="599"/>
      <c r="BH406" s="600">
        <v>0</v>
      </c>
      <c r="BI406" s="599"/>
      <c r="BJ406" s="600">
        <v>0</v>
      </c>
      <c r="BK406" s="615"/>
      <c r="BL406" s="600">
        <v>652440</v>
      </c>
      <c r="BM406" s="604">
        <v>632891</v>
      </c>
      <c r="BN406" s="605">
        <f t="shared" si="497"/>
        <v>0</v>
      </c>
      <c r="BO406" s="606">
        <f t="shared" si="498"/>
        <v>0</v>
      </c>
      <c r="BP406" s="607">
        <f t="shared" si="499"/>
        <v>0</v>
      </c>
      <c r="BQ406" s="606">
        <f t="shared" si="500"/>
        <v>0</v>
      </c>
      <c r="BR406" s="607">
        <f t="shared" si="501"/>
        <v>0</v>
      </c>
      <c r="BS406" s="606">
        <f t="shared" si="502"/>
        <v>0</v>
      </c>
      <c r="BT406" s="607">
        <f t="shared" si="503"/>
        <v>0</v>
      </c>
      <c r="BU406" s="606">
        <f t="shared" si="504"/>
        <v>0</v>
      </c>
      <c r="BV406" s="607">
        <f t="shared" si="505"/>
        <v>0</v>
      </c>
      <c r="BW406" s="608">
        <f t="shared" si="506"/>
        <v>0</v>
      </c>
      <c r="BX406" s="607">
        <f t="shared" si="507"/>
        <v>126</v>
      </c>
      <c r="BY406" s="608">
        <f t="shared" si="508"/>
        <v>124</v>
      </c>
      <c r="BZ406" s="607">
        <f t="shared" si="509"/>
        <v>0</v>
      </c>
      <c r="CA406" s="608">
        <f t="shared" si="510"/>
        <v>0</v>
      </c>
      <c r="CB406" s="607">
        <f t="shared" si="511"/>
        <v>0</v>
      </c>
      <c r="CC406" s="608">
        <f t="shared" si="512"/>
        <v>0</v>
      </c>
      <c r="CD406" s="607">
        <f t="shared" si="513"/>
        <v>0</v>
      </c>
      <c r="CE406" s="608">
        <f t="shared" si="514"/>
        <v>0</v>
      </c>
      <c r="CF406" s="607">
        <f t="shared" si="515"/>
        <v>0</v>
      </c>
      <c r="CG406" s="608">
        <f t="shared" si="516"/>
        <v>0</v>
      </c>
      <c r="CH406" s="607">
        <f t="shared" si="517"/>
        <v>0</v>
      </c>
      <c r="CI406" s="608">
        <f t="shared" si="518"/>
        <v>0</v>
      </c>
      <c r="CJ406" s="607">
        <f t="shared" si="519"/>
        <v>5178.0952380952385</v>
      </c>
      <c r="CK406" s="608">
        <f t="shared" si="520"/>
        <v>5103.9596774193551</v>
      </c>
      <c r="CL406" s="609">
        <f t="shared" si="521"/>
        <v>0</v>
      </c>
      <c r="CM406" s="608">
        <f t="shared" si="522"/>
        <v>0</v>
      </c>
      <c r="CN406" s="610">
        <f t="shared" si="523"/>
        <v>0</v>
      </c>
      <c r="CO406" s="606">
        <f t="shared" si="524"/>
        <v>0</v>
      </c>
      <c r="CP406" s="607">
        <f t="shared" si="525"/>
        <v>0</v>
      </c>
      <c r="CQ406" s="606">
        <f t="shared" si="526"/>
        <v>0</v>
      </c>
      <c r="CR406" s="607">
        <f t="shared" si="527"/>
        <v>0</v>
      </c>
      <c r="CS406" s="606">
        <f t="shared" si="528"/>
        <v>0</v>
      </c>
      <c r="CT406" s="607">
        <f t="shared" si="529"/>
        <v>0</v>
      </c>
      <c r="CU406" s="608">
        <f t="shared" si="530"/>
        <v>0</v>
      </c>
      <c r="CV406" s="610">
        <f t="shared" si="531"/>
        <v>46602.857142857145</v>
      </c>
      <c r="CW406" s="608">
        <f t="shared" si="532"/>
        <v>45935.637096774197</v>
      </c>
      <c r="CX406" s="610">
        <f t="shared" si="533"/>
        <v>46602.857142857138</v>
      </c>
      <c r="CY406" s="611">
        <f t="shared" si="534"/>
        <v>45935.637096774204</v>
      </c>
      <c r="CZ406" s="605">
        <f t="shared" si="535"/>
        <v>0</v>
      </c>
      <c r="DA406" s="612">
        <f t="shared" si="536"/>
        <v>0</v>
      </c>
      <c r="DB406" s="607">
        <f t="shared" si="537"/>
        <v>0</v>
      </c>
      <c r="DC406" s="606">
        <f t="shared" si="538"/>
        <v>0</v>
      </c>
      <c r="DD406" s="607">
        <f t="shared" si="539"/>
        <v>0</v>
      </c>
      <c r="DE406" s="606">
        <f t="shared" si="540"/>
        <v>0</v>
      </c>
      <c r="DF406" s="607">
        <f t="shared" si="541"/>
        <v>0</v>
      </c>
      <c r="DG406" s="606">
        <f t="shared" si="542"/>
        <v>0</v>
      </c>
      <c r="DH406" s="607">
        <f t="shared" si="543"/>
        <v>0</v>
      </c>
      <c r="DI406" s="608">
        <f t="shared" si="544"/>
        <v>0</v>
      </c>
      <c r="DJ406" s="607">
        <f t="shared" si="545"/>
        <v>12</v>
      </c>
      <c r="DK406" s="608">
        <f t="shared" si="546"/>
        <v>12</v>
      </c>
      <c r="DL406" s="607">
        <f t="shared" si="547"/>
        <v>12</v>
      </c>
      <c r="DM406" s="608">
        <f t="shared" si="548"/>
        <v>12</v>
      </c>
      <c r="DN406" s="607">
        <f t="shared" si="549"/>
        <v>0</v>
      </c>
      <c r="DO406" s="612">
        <f t="shared" si="550"/>
        <v>0</v>
      </c>
      <c r="DP406" s="607">
        <f t="shared" si="551"/>
        <v>0</v>
      </c>
      <c r="DQ406" s="606">
        <f t="shared" si="552"/>
        <v>0</v>
      </c>
      <c r="DR406" s="607">
        <f t="shared" si="553"/>
        <v>0</v>
      </c>
      <c r="DS406" s="606">
        <f t="shared" si="554"/>
        <v>0</v>
      </c>
      <c r="DT406" s="607">
        <f t="shared" si="555"/>
        <v>0</v>
      </c>
      <c r="DU406" s="606">
        <f t="shared" si="556"/>
        <v>0</v>
      </c>
      <c r="DV406" s="607">
        <f t="shared" si="557"/>
        <v>0</v>
      </c>
      <c r="DW406" s="608">
        <f t="shared" si="558"/>
        <v>0</v>
      </c>
      <c r="DX406" s="607">
        <f t="shared" si="559"/>
        <v>559234.28571428568</v>
      </c>
      <c r="DY406" s="608">
        <f t="shared" si="560"/>
        <v>551227.64516129042</v>
      </c>
      <c r="DZ406" s="607">
        <f t="shared" si="561"/>
        <v>559234.28571428568</v>
      </c>
      <c r="EA406" s="608">
        <f t="shared" si="562"/>
        <v>551227.64516129042</v>
      </c>
    </row>
    <row r="407" spans="1:131" x14ac:dyDescent="0.2">
      <c r="A407" s="343" t="s">
        <v>41</v>
      </c>
      <c r="B407" s="345" t="s">
        <v>410</v>
      </c>
      <c r="C407" s="576"/>
      <c r="D407" s="343">
        <v>375726</v>
      </c>
      <c r="E407" s="344">
        <v>13</v>
      </c>
      <c r="F407" s="598"/>
      <c r="G407" s="599"/>
      <c r="H407" s="600"/>
      <c r="I407" s="601"/>
      <c r="J407" s="600"/>
      <c r="K407" s="624"/>
      <c r="L407" s="600"/>
      <c r="M407" s="625"/>
      <c r="N407" s="600"/>
      <c r="O407" s="626"/>
      <c r="P407" s="600"/>
      <c r="Q407" s="601"/>
      <c r="R407" s="600"/>
      <c r="S407" s="624"/>
      <c r="T407" s="600"/>
      <c r="U407" s="625"/>
      <c r="V407" s="600"/>
      <c r="W407" s="626"/>
      <c r="X407" s="600"/>
      <c r="Y407" s="601"/>
      <c r="Z407" s="600"/>
      <c r="AA407" s="624"/>
      <c r="AB407" s="600"/>
      <c r="AC407" s="627"/>
      <c r="AD407" s="600"/>
      <c r="AE407" s="624"/>
      <c r="AF407" s="600"/>
      <c r="AG407" s="601"/>
      <c r="AH407" s="600"/>
      <c r="AI407" s="624"/>
      <c r="AJ407" s="600"/>
      <c r="AK407" s="625"/>
      <c r="AL407" s="600"/>
      <c r="AM407" s="626"/>
      <c r="AN407" s="600"/>
      <c r="AO407" s="601"/>
      <c r="AP407" s="600"/>
      <c r="AQ407" s="624"/>
      <c r="AR407" s="600"/>
      <c r="AS407" s="625"/>
      <c r="AT407" s="600"/>
      <c r="AU407" s="599"/>
      <c r="AV407" s="600">
        <v>16</v>
      </c>
      <c r="AW407" s="601">
        <v>16</v>
      </c>
      <c r="AX407" s="600"/>
      <c r="AY407" s="599"/>
      <c r="AZ407" s="600">
        <v>4</v>
      </c>
      <c r="BA407" s="601">
        <v>1</v>
      </c>
      <c r="BB407" s="602">
        <v>0</v>
      </c>
      <c r="BC407" s="626"/>
      <c r="BD407" s="600">
        <v>0</v>
      </c>
      <c r="BE407" s="599"/>
      <c r="BF407" s="600">
        <v>0</v>
      </c>
      <c r="BG407" s="599"/>
      <c r="BH407" s="600">
        <v>0</v>
      </c>
      <c r="BI407" s="599"/>
      <c r="BJ407" s="600">
        <v>0</v>
      </c>
      <c r="BK407" s="615"/>
      <c r="BL407" s="600">
        <v>1079888</v>
      </c>
      <c r="BM407" s="604">
        <v>898813</v>
      </c>
      <c r="BN407" s="605">
        <f t="shared" si="497"/>
        <v>0</v>
      </c>
      <c r="BO407" s="606">
        <f t="shared" si="498"/>
        <v>0</v>
      </c>
      <c r="BP407" s="607">
        <f t="shared" si="499"/>
        <v>0</v>
      </c>
      <c r="BQ407" s="606">
        <f t="shared" si="500"/>
        <v>0</v>
      </c>
      <c r="BR407" s="607">
        <f t="shared" si="501"/>
        <v>0</v>
      </c>
      <c r="BS407" s="606">
        <f t="shared" si="502"/>
        <v>0</v>
      </c>
      <c r="BT407" s="607">
        <f t="shared" si="503"/>
        <v>0</v>
      </c>
      <c r="BU407" s="606">
        <f t="shared" si="504"/>
        <v>0</v>
      </c>
      <c r="BV407" s="607">
        <f t="shared" si="505"/>
        <v>0</v>
      </c>
      <c r="BW407" s="608">
        <f t="shared" si="506"/>
        <v>0</v>
      </c>
      <c r="BX407" s="607">
        <f t="shared" si="507"/>
        <v>208</v>
      </c>
      <c r="BY407" s="608">
        <f t="shared" si="508"/>
        <v>172</v>
      </c>
      <c r="BZ407" s="607">
        <f t="shared" si="509"/>
        <v>0</v>
      </c>
      <c r="CA407" s="608">
        <f t="shared" si="510"/>
        <v>0</v>
      </c>
      <c r="CB407" s="607">
        <f t="shared" si="511"/>
        <v>0</v>
      </c>
      <c r="CC407" s="608">
        <f t="shared" si="512"/>
        <v>0</v>
      </c>
      <c r="CD407" s="607">
        <f t="shared" si="513"/>
        <v>0</v>
      </c>
      <c r="CE407" s="608">
        <f t="shared" si="514"/>
        <v>0</v>
      </c>
      <c r="CF407" s="607">
        <f t="shared" si="515"/>
        <v>0</v>
      </c>
      <c r="CG407" s="608">
        <f t="shared" si="516"/>
        <v>0</v>
      </c>
      <c r="CH407" s="607">
        <f t="shared" si="517"/>
        <v>0</v>
      </c>
      <c r="CI407" s="608">
        <f t="shared" si="518"/>
        <v>0</v>
      </c>
      <c r="CJ407" s="607">
        <f t="shared" si="519"/>
        <v>5191.7692307692305</v>
      </c>
      <c r="CK407" s="608">
        <f t="shared" si="520"/>
        <v>5225.6569767441861</v>
      </c>
      <c r="CL407" s="609">
        <f t="shared" si="521"/>
        <v>0</v>
      </c>
      <c r="CM407" s="608">
        <f t="shared" si="522"/>
        <v>0</v>
      </c>
      <c r="CN407" s="610">
        <f t="shared" si="523"/>
        <v>0</v>
      </c>
      <c r="CO407" s="606">
        <f t="shared" si="524"/>
        <v>0</v>
      </c>
      <c r="CP407" s="607">
        <f t="shared" si="525"/>
        <v>0</v>
      </c>
      <c r="CQ407" s="606">
        <f t="shared" si="526"/>
        <v>0</v>
      </c>
      <c r="CR407" s="607">
        <f t="shared" si="527"/>
        <v>0</v>
      </c>
      <c r="CS407" s="606">
        <f t="shared" si="528"/>
        <v>0</v>
      </c>
      <c r="CT407" s="607">
        <f t="shared" si="529"/>
        <v>0</v>
      </c>
      <c r="CU407" s="608">
        <f t="shared" si="530"/>
        <v>0</v>
      </c>
      <c r="CV407" s="610">
        <f t="shared" si="531"/>
        <v>46725.923076923078</v>
      </c>
      <c r="CW407" s="608">
        <f t="shared" si="532"/>
        <v>47030.912790697672</v>
      </c>
      <c r="CX407" s="610">
        <f t="shared" si="533"/>
        <v>46725.923076923078</v>
      </c>
      <c r="CY407" s="611">
        <f t="shared" si="534"/>
        <v>47030.912790697672</v>
      </c>
      <c r="CZ407" s="605">
        <f t="shared" si="535"/>
        <v>0</v>
      </c>
      <c r="DA407" s="612">
        <f t="shared" si="536"/>
        <v>0</v>
      </c>
      <c r="DB407" s="607">
        <f t="shared" si="537"/>
        <v>0</v>
      </c>
      <c r="DC407" s="606">
        <f t="shared" si="538"/>
        <v>0</v>
      </c>
      <c r="DD407" s="607">
        <f t="shared" si="539"/>
        <v>0</v>
      </c>
      <c r="DE407" s="606">
        <f t="shared" si="540"/>
        <v>0</v>
      </c>
      <c r="DF407" s="607">
        <f t="shared" si="541"/>
        <v>0</v>
      </c>
      <c r="DG407" s="606">
        <f t="shared" si="542"/>
        <v>0</v>
      </c>
      <c r="DH407" s="607">
        <f t="shared" si="543"/>
        <v>0</v>
      </c>
      <c r="DI407" s="608">
        <f t="shared" si="544"/>
        <v>0</v>
      </c>
      <c r="DJ407" s="607">
        <f t="shared" si="545"/>
        <v>20</v>
      </c>
      <c r="DK407" s="608">
        <f t="shared" si="546"/>
        <v>17</v>
      </c>
      <c r="DL407" s="607">
        <f t="shared" si="547"/>
        <v>20</v>
      </c>
      <c r="DM407" s="608">
        <f t="shared" si="548"/>
        <v>17</v>
      </c>
      <c r="DN407" s="607">
        <f t="shared" si="549"/>
        <v>0</v>
      </c>
      <c r="DO407" s="612">
        <f t="shared" si="550"/>
        <v>0</v>
      </c>
      <c r="DP407" s="607">
        <f t="shared" si="551"/>
        <v>0</v>
      </c>
      <c r="DQ407" s="606">
        <f t="shared" si="552"/>
        <v>0</v>
      </c>
      <c r="DR407" s="607">
        <f t="shared" si="553"/>
        <v>0</v>
      </c>
      <c r="DS407" s="606">
        <f t="shared" si="554"/>
        <v>0</v>
      </c>
      <c r="DT407" s="607">
        <f t="shared" si="555"/>
        <v>0</v>
      </c>
      <c r="DU407" s="606">
        <f t="shared" si="556"/>
        <v>0</v>
      </c>
      <c r="DV407" s="607">
        <f t="shared" si="557"/>
        <v>0</v>
      </c>
      <c r="DW407" s="608">
        <f t="shared" si="558"/>
        <v>0</v>
      </c>
      <c r="DX407" s="607">
        <f t="shared" si="559"/>
        <v>934518.4615384615</v>
      </c>
      <c r="DY407" s="608">
        <f t="shared" si="560"/>
        <v>799525.5174418604</v>
      </c>
      <c r="DZ407" s="607">
        <f t="shared" si="561"/>
        <v>934518.4615384615</v>
      </c>
      <c r="EA407" s="608">
        <f t="shared" si="562"/>
        <v>799525.5174418604</v>
      </c>
    </row>
    <row r="408" spans="1:131" x14ac:dyDescent="0.2">
      <c r="A408" s="343" t="s">
        <v>41</v>
      </c>
      <c r="B408" s="345" t="s">
        <v>411</v>
      </c>
      <c r="C408" s="576"/>
      <c r="D408" s="343">
        <v>375744</v>
      </c>
      <c r="E408" s="344">
        <v>13</v>
      </c>
      <c r="F408" s="598"/>
      <c r="G408" s="599"/>
      <c r="H408" s="600"/>
      <c r="I408" s="601"/>
      <c r="J408" s="600"/>
      <c r="K408" s="624"/>
      <c r="L408" s="600"/>
      <c r="M408" s="625"/>
      <c r="N408" s="600"/>
      <c r="O408" s="626"/>
      <c r="P408" s="600"/>
      <c r="Q408" s="601"/>
      <c r="R408" s="600"/>
      <c r="S408" s="624"/>
      <c r="T408" s="600"/>
      <c r="U408" s="625"/>
      <c r="V408" s="600"/>
      <c r="W408" s="626"/>
      <c r="X408" s="600"/>
      <c r="Y408" s="601"/>
      <c r="Z408" s="600"/>
      <c r="AA408" s="624"/>
      <c r="AB408" s="600"/>
      <c r="AC408" s="627"/>
      <c r="AD408" s="600"/>
      <c r="AE408" s="624"/>
      <c r="AF408" s="600"/>
      <c r="AG408" s="601"/>
      <c r="AH408" s="600"/>
      <c r="AI408" s="624"/>
      <c r="AJ408" s="600"/>
      <c r="AK408" s="625"/>
      <c r="AL408" s="600"/>
      <c r="AM408" s="626"/>
      <c r="AN408" s="600"/>
      <c r="AO408" s="601"/>
      <c r="AP408" s="600"/>
      <c r="AQ408" s="624"/>
      <c r="AR408" s="600"/>
      <c r="AS408" s="625"/>
      <c r="AT408" s="600"/>
      <c r="AU408" s="599"/>
      <c r="AV408" s="600">
        <v>10</v>
      </c>
      <c r="AW408" s="601">
        <v>9</v>
      </c>
      <c r="AX408" s="600"/>
      <c r="AY408" s="599"/>
      <c r="AZ408" s="600">
        <v>3</v>
      </c>
      <c r="BA408" s="601">
        <v>4</v>
      </c>
      <c r="BB408" s="602">
        <v>0</v>
      </c>
      <c r="BC408" s="626"/>
      <c r="BD408" s="600">
        <v>0</v>
      </c>
      <c r="BE408" s="599"/>
      <c r="BF408" s="600">
        <v>0</v>
      </c>
      <c r="BG408" s="599"/>
      <c r="BH408" s="600">
        <v>0</v>
      </c>
      <c r="BI408" s="599"/>
      <c r="BJ408" s="600">
        <v>0</v>
      </c>
      <c r="BK408" s="615"/>
      <c r="BL408" s="600">
        <v>688884</v>
      </c>
      <c r="BM408" s="604">
        <v>685470</v>
      </c>
      <c r="BN408" s="605">
        <f t="shared" si="497"/>
        <v>0</v>
      </c>
      <c r="BO408" s="606">
        <f t="shared" si="498"/>
        <v>0</v>
      </c>
      <c r="BP408" s="607">
        <f t="shared" si="499"/>
        <v>0</v>
      </c>
      <c r="BQ408" s="606">
        <f t="shared" si="500"/>
        <v>0</v>
      </c>
      <c r="BR408" s="607">
        <f t="shared" si="501"/>
        <v>0</v>
      </c>
      <c r="BS408" s="606">
        <f t="shared" si="502"/>
        <v>0</v>
      </c>
      <c r="BT408" s="607">
        <f t="shared" si="503"/>
        <v>0</v>
      </c>
      <c r="BU408" s="606">
        <f t="shared" si="504"/>
        <v>0</v>
      </c>
      <c r="BV408" s="607">
        <f t="shared" si="505"/>
        <v>0</v>
      </c>
      <c r="BW408" s="608">
        <f t="shared" si="506"/>
        <v>0</v>
      </c>
      <c r="BX408" s="607">
        <f t="shared" si="507"/>
        <v>136</v>
      </c>
      <c r="BY408" s="608">
        <f t="shared" si="508"/>
        <v>138</v>
      </c>
      <c r="BZ408" s="607">
        <f t="shared" si="509"/>
        <v>0</v>
      </c>
      <c r="CA408" s="608">
        <f t="shared" si="510"/>
        <v>0</v>
      </c>
      <c r="CB408" s="607">
        <f t="shared" si="511"/>
        <v>0</v>
      </c>
      <c r="CC408" s="608">
        <f t="shared" si="512"/>
        <v>0</v>
      </c>
      <c r="CD408" s="607">
        <f t="shared" si="513"/>
        <v>0</v>
      </c>
      <c r="CE408" s="608">
        <f t="shared" si="514"/>
        <v>0</v>
      </c>
      <c r="CF408" s="607">
        <f t="shared" si="515"/>
        <v>0</v>
      </c>
      <c r="CG408" s="608">
        <f t="shared" si="516"/>
        <v>0</v>
      </c>
      <c r="CH408" s="607">
        <f t="shared" si="517"/>
        <v>0</v>
      </c>
      <c r="CI408" s="608">
        <f t="shared" si="518"/>
        <v>0</v>
      </c>
      <c r="CJ408" s="607">
        <f t="shared" si="519"/>
        <v>5065.3235294117649</v>
      </c>
      <c r="CK408" s="608">
        <f t="shared" si="520"/>
        <v>4967.173913043478</v>
      </c>
      <c r="CL408" s="609">
        <f t="shared" si="521"/>
        <v>0</v>
      </c>
      <c r="CM408" s="608">
        <f t="shared" si="522"/>
        <v>0</v>
      </c>
      <c r="CN408" s="610">
        <f t="shared" si="523"/>
        <v>0</v>
      </c>
      <c r="CO408" s="606">
        <f t="shared" si="524"/>
        <v>0</v>
      </c>
      <c r="CP408" s="607">
        <f t="shared" si="525"/>
        <v>0</v>
      </c>
      <c r="CQ408" s="606">
        <f t="shared" si="526"/>
        <v>0</v>
      </c>
      <c r="CR408" s="607">
        <f t="shared" si="527"/>
        <v>0</v>
      </c>
      <c r="CS408" s="606">
        <f t="shared" si="528"/>
        <v>0</v>
      </c>
      <c r="CT408" s="607">
        <f t="shared" si="529"/>
        <v>0</v>
      </c>
      <c r="CU408" s="608">
        <f t="shared" si="530"/>
        <v>0</v>
      </c>
      <c r="CV408" s="610">
        <f t="shared" si="531"/>
        <v>45587.911764705881</v>
      </c>
      <c r="CW408" s="608">
        <f t="shared" si="532"/>
        <v>44704.565217391304</v>
      </c>
      <c r="CX408" s="610">
        <f t="shared" si="533"/>
        <v>45587.911764705888</v>
      </c>
      <c r="CY408" s="611">
        <f t="shared" si="534"/>
        <v>44704.565217391304</v>
      </c>
      <c r="CZ408" s="605">
        <f t="shared" si="535"/>
        <v>0</v>
      </c>
      <c r="DA408" s="612">
        <f t="shared" si="536"/>
        <v>0</v>
      </c>
      <c r="DB408" s="607">
        <f t="shared" si="537"/>
        <v>0</v>
      </c>
      <c r="DC408" s="606">
        <f t="shared" si="538"/>
        <v>0</v>
      </c>
      <c r="DD408" s="607">
        <f t="shared" si="539"/>
        <v>0</v>
      </c>
      <c r="DE408" s="606">
        <f t="shared" si="540"/>
        <v>0</v>
      </c>
      <c r="DF408" s="607">
        <f t="shared" si="541"/>
        <v>0</v>
      </c>
      <c r="DG408" s="606">
        <f t="shared" si="542"/>
        <v>0</v>
      </c>
      <c r="DH408" s="607">
        <f t="shared" si="543"/>
        <v>0</v>
      </c>
      <c r="DI408" s="608">
        <f t="shared" si="544"/>
        <v>0</v>
      </c>
      <c r="DJ408" s="607">
        <f t="shared" si="545"/>
        <v>13</v>
      </c>
      <c r="DK408" s="608">
        <f t="shared" si="546"/>
        <v>13</v>
      </c>
      <c r="DL408" s="607">
        <f t="shared" si="547"/>
        <v>13</v>
      </c>
      <c r="DM408" s="608">
        <f t="shared" si="548"/>
        <v>13</v>
      </c>
      <c r="DN408" s="607">
        <f t="shared" si="549"/>
        <v>0</v>
      </c>
      <c r="DO408" s="612">
        <f t="shared" si="550"/>
        <v>0</v>
      </c>
      <c r="DP408" s="607">
        <f t="shared" si="551"/>
        <v>0</v>
      </c>
      <c r="DQ408" s="606">
        <f t="shared" si="552"/>
        <v>0</v>
      </c>
      <c r="DR408" s="607">
        <f t="shared" si="553"/>
        <v>0</v>
      </c>
      <c r="DS408" s="606">
        <f t="shared" si="554"/>
        <v>0</v>
      </c>
      <c r="DT408" s="607">
        <f t="shared" si="555"/>
        <v>0</v>
      </c>
      <c r="DU408" s="606">
        <f t="shared" si="556"/>
        <v>0</v>
      </c>
      <c r="DV408" s="607">
        <f t="shared" si="557"/>
        <v>0</v>
      </c>
      <c r="DW408" s="608">
        <f t="shared" si="558"/>
        <v>0</v>
      </c>
      <c r="DX408" s="607">
        <f t="shared" si="559"/>
        <v>592642.8529411765</v>
      </c>
      <c r="DY408" s="608">
        <f t="shared" si="560"/>
        <v>581159.34782608692</v>
      </c>
      <c r="DZ408" s="607">
        <f t="shared" si="561"/>
        <v>592642.8529411765</v>
      </c>
      <c r="EA408" s="608">
        <f t="shared" si="562"/>
        <v>581159.34782608692</v>
      </c>
    </row>
    <row r="409" spans="1:131" x14ac:dyDescent="0.2">
      <c r="A409" s="343" t="s">
        <v>41</v>
      </c>
      <c r="B409" s="345" t="s">
        <v>412</v>
      </c>
      <c r="C409" s="576"/>
      <c r="D409" s="343">
        <v>375753</v>
      </c>
      <c r="E409" s="344">
        <v>13</v>
      </c>
      <c r="F409" s="598"/>
      <c r="G409" s="599"/>
      <c r="H409" s="600"/>
      <c r="I409" s="601"/>
      <c r="J409" s="600"/>
      <c r="K409" s="624"/>
      <c r="L409" s="600"/>
      <c r="M409" s="625"/>
      <c r="N409" s="600"/>
      <c r="O409" s="626"/>
      <c r="P409" s="600"/>
      <c r="Q409" s="601"/>
      <c r="R409" s="600"/>
      <c r="S409" s="624"/>
      <c r="T409" s="600"/>
      <c r="U409" s="625"/>
      <c r="V409" s="600"/>
      <c r="W409" s="626"/>
      <c r="X409" s="600"/>
      <c r="Y409" s="601"/>
      <c r="Z409" s="600"/>
      <c r="AA409" s="624"/>
      <c r="AB409" s="600"/>
      <c r="AC409" s="627"/>
      <c r="AD409" s="600"/>
      <c r="AE409" s="624"/>
      <c r="AF409" s="600"/>
      <c r="AG409" s="601"/>
      <c r="AH409" s="600"/>
      <c r="AI409" s="624"/>
      <c r="AJ409" s="600"/>
      <c r="AK409" s="625"/>
      <c r="AL409" s="600"/>
      <c r="AM409" s="626"/>
      <c r="AN409" s="600"/>
      <c r="AO409" s="601"/>
      <c r="AP409" s="600"/>
      <c r="AQ409" s="624"/>
      <c r="AR409" s="600"/>
      <c r="AS409" s="625"/>
      <c r="AT409" s="600"/>
      <c r="AU409" s="599"/>
      <c r="AV409" s="600">
        <v>2</v>
      </c>
      <c r="AW409" s="601">
        <v>2</v>
      </c>
      <c r="AX409" s="600"/>
      <c r="AY409" s="599"/>
      <c r="AZ409" s="600"/>
      <c r="BA409" s="601"/>
      <c r="BB409" s="602">
        <v>0</v>
      </c>
      <c r="BC409" s="626"/>
      <c r="BD409" s="600">
        <v>0</v>
      </c>
      <c r="BE409" s="599"/>
      <c r="BF409" s="600">
        <v>0</v>
      </c>
      <c r="BG409" s="599"/>
      <c r="BH409" s="600">
        <v>0</v>
      </c>
      <c r="BI409" s="599"/>
      <c r="BJ409" s="600">
        <v>0</v>
      </c>
      <c r="BK409" s="615"/>
      <c r="BL409" s="600">
        <v>99250</v>
      </c>
      <c r="BM409" s="604">
        <v>92900</v>
      </c>
      <c r="BN409" s="605">
        <f t="shared" si="497"/>
        <v>0</v>
      </c>
      <c r="BO409" s="606">
        <f t="shared" si="498"/>
        <v>0</v>
      </c>
      <c r="BP409" s="607">
        <f t="shared" si="499"/>
        <v>0</v>
      </c>
      <c r="BQ409" s="606">
        <f t="shared" si="500"/>
        <v>0</v>
      </c>
      <c r="BR409" s="607">
        <f t="shared" si="501"/>
        <v>0</v>
      </c>
      <c r="BS409" s="606">
        <f t="shared" si="502"/>
        <v>0</v>
      </c>
      <c r="BT409" s="607">
        <f t="shared" si="503"/>
        <v>0</v>
      </c>
      <c r="BU409" s="606">
        <f t="shared" si="504"/>
        <v>0</v>
      </c>
      <c r="BV409" s="607">
        <f t="shared" si="505"/>
        <v>0</v>
      </c>
      <c r="BW409" s="608">
        <f t="shared" si="506"/>
        <v>0</v>
      </c>
      <c r="BX409" s="607">
        <f t="shared" si="507"/>
        <v>20</v>
      </c>
      <c r="BY409" s="608">
        <f t="shared" si="508"/>
        <v>20</v>
      </c>
      <c r="BZ409" s="607">
        <f t="shared" si="509"/>
        <v>0</v>
      </c>
      <c r="CA409" s="608">
        <f t="shared" si="510"/>
        <v>0</v>
      </c>
      <c r="CB409" s="607">
        <f t="shared" si="511"/>
        <v>0</v>
      </c>
      <c r="CC409" s="608">
        <f t="shared" si="512"/>
        <v>0</v>
      </c>
      <c r="CD409" s="607">
        <f t="shared" si="513"/>
        <v>0</v>
      </c>
      <c r="CE409" s="608">
        <f t="shared" si="514"/>
        <v>0</v>
      </c>
      <c r="CF409" s="607">
        <f t="shared" si="515"/>
        <v>0</v>
      </c>
      <c r="CG409" s="608">
        <f t="shared" si="516"/>
        <v>0</v>
      </c>
      <c r="CH409" s="607">
        <f t="shared" si="517"/>
        <v>0</v>
      </c>
      <c r="CI409" s="608">
        <f t="shared" si="518"/>
        <v>0</v>
      </c>
      <c r="CJ409" s="607">
        <f t="shared" si="519"/>
        <v>4962.5</v>
      </c>
      <c r="CK409" s="608">
        <f t="shared" si="520"/>
        <v>4645</v>
      </c>
      <c r="CL409" s="609">
        <f t="shared" si="521"/>
        <v>0</v>
      </c>
      <c r="CM409" s="608">
        <f t="shared" si="522"/>
        <v>0</v>
      </c>
      <c r="CN409" s="610">
        <f t="shared" si="523"/>
        <v>0</v>
      </c>
      <c r="CO409" s="606">
        <f t="shared" si="524"/>
        <v>0</v>
      </c>
      <c r="CP409" s="607">
        <f t="shared" si="525"/>
        <v>0</v>
      </c>
      <c r="CQ409" s="606">
        <f t="shared" si="526"/>
        <v>0</v>
      </c>
      <c r="CR409" s="607">
        <f t="shared" si="527"/>
        <v>0</v>
      </c>
      <c r="CS409" s="606">
        <f t="shared" si="528"/>
        <v>0</v>
      </c>
      <c r="CT409" s="607">
        <f t="shared" si="529"/>
        <v>0</v>
      </c>
      <c r="CU409" s="608">
        <f t="shared" si="530"/>
        <v>0</v>
      </c>
      <c r="CV409" s="610">
        <f t="shared" si="531"/>
        <v>44662.5</v>
      </c>
      <c r="CW409" s="608">
        <f t="shared" si="532"/>
        <v>41805</v>
      </c>
      <c r="CX409" s="610">
        <f t="shared" si="533"/>
        <v>44662.5</v>
      </c>
      <c r="CY409" s="611">
        <f t="shared" si="534"/>
        <v>41805</v>
      </c>
      <c r="CZ409" s="605">
        <f t="shared" si="535"/>
        <v>0</v>
      </c>
      <c r="DA409" s="612">
        <f t="shared" si="536"/>
        <v>0</v>
      </c>
      <c r="DB409" s="607">
        <f t="shared" si="537"/>
        <v>0</v>
      </c>
      <c r="DC409" s="606">
        <f t="shared" si="538"/>
        <v>0</v>
      </c>
      <c r="DD409" s="607">
        <f t="shared" si="539"/>
        <v>0</v>
      </c>
      <c r="DE409" s="606">
        <f t="shared" si="540"/>
        <v>0</v>
      </c>
      <c r="DF409" s="607">
        <f t="shared" si="541"/>
        <v>0</v>
      </c>
      <c r="DG409" s="606">
        <f t="shared" si="542"/>
        <v>0</v>
      </c>
      <c r="DH409" s="607">
        <f t="shared" si="543"/>
        <v>0</v>
      </c>
      <c r="DI409" s="608">
        <f t="shared" si="544"/>
        <v>0</v>
      </c>
      <c r="DJ409" s="607">
        <f t="shared" si="545"/>
        <v>2</v>
      </c>
      <c r="DK409" s="608">
        <f t="shared" si="546"/>
        <v>2</v>
      </c>
      <c r="DL409" s="607">
        <f t="shared" si="547"/>
        <v>2</v>
      </c>
      <c r="DM409" s="608">
        <f t="shared" si="548"/>
        <v>2</v>
      </c>
      <c r="DN409" s="607">
        <f t="shared" si="549"/>
        <v>0</v>
      </c>
      <c r="DO409" s="612">
        <f t="shared" si="550"/>
        <v>0</v>
      </c>
      <c r="DP409" s="607">
        <f t="shared" si="551"/>
        <v>0</v>
      </c>
      <c r="DQ409" s="606">
        <f t="shared" si="552"/>
        <v>0</v>
      </c>
      <c r="DR409" s="607">
        <f t="shared" si="553"/>
        <v>0</v>
      </c>
      <c r="DS409" s="606">
        <f t="shared" si="554"/>
        <v>0</v>
      </c>
      <c r="DT409" s="607">
        <f t="shared" si="555"/>
        <v>0</v>
      </c>
      <c r="DU409" s="606">
        <f t="shared" si="556"/>
        <v>0</v>
      </c>
      <c r="DV409" s="607">
        <f t="shared" si="557"/>
        <v>0</v>
      </c>
      <c r="DW409" s="608">
        <f t="shared" si="558"/>
        <v>0</v>
      </c>
      <c r="DX409" s="607">
        <f t="shared" si="559"/>
        <v>89325</v>
      </c>
      <c r="DY409" s="608">
        <f t="shared" si="560"/>
        <v>83610</v>
      </c>
      <c r="DZ409" s="607">
        <f t="shared" si="561"/>
        <v>89325</v>
      </c>
      <c r="EA409" s="608">
        <f t="shared" si="562"/>
        <v>83610</v>
      </c>
    </row>
    <row r="410" spans="1:131" x14ac:dyDescent="0.2">
      <c r="A410" s="343" t="s">
        <v>41</v>
      </c>
      <c r="B410" s="345" t="s">
        <v>413</v>
      </c>
      <c r="C410" s="576"/>
      <c r="D410" s="343">
        <v>405748</v>
      </c>
      <c r="E410" s="344">
        <v>13</v>
      </c>
      <c r="F410" s="598"/>
      <c r="G410" s="599"/>
      <c r="H410" s="600"/>
      <c r="I410" s="601"/>
      <c r="J410" s="600"/>
      <c r="K410" s="624"/>
      <c r="L410" s="600"/>
      <c r="M410" s="625"/>
      <c r="N410" s="600"/>
      <c r="O410" s="626"/>
      <c r="P410" s="600"/>
      <c r="Q410" s="601"/>
      <c r="R410" s="600"/>
      <c r="S410" s="624"/>
      <c r="T410" s="600"/>
      <c r="U410" s="625"/>
      <c r="V410" s="600"/>
      <c r="W410" s="626"/>
      <c r="X410" s="600"/>
      <c r="Y410" s="601"/>
      <c r="Z410" s="600"/>
      <c r="AA410" s="624"/>
      <c r="AB410" s="600"/>
      <c r="AC410" s="627"/>
      <c r="AD410" s="600"/>
      <c r="AE410" s="624"/>
      <c r="AF410" s="600"/>
      <c r="AG410" s="601"/>
      <c r="AH410" s="600"/>
      <c r="AI410" s="624"/>
      <c r="AJ410" s="600"/>
      <c r="AK410" s="625"/>
      <c r="AL410" s="600"/>
      <c r="AM410" s="626"/>
      <c r="AN410" s="600"/>
      <c r="AO410" s="601"/>
      <c r="AP410" s="600"/>
      <c r="AQ410" s="624"/>
      <c r="AR410" s="600"/>
      <c r="AS410" s="625"/>
      <c r="AT410" s="600"/>
      <c r="AU410" s="599"/>
      <c r="AV410" s="600">
        <v>6</v>
      </c>
      <c r="AW410" s="601">
        <v>6</v>
      </c>
      <c r="AX410" s="600"/>
      <c r="AY410" s="599"/>
      <c r="AZ410" s="600"/>
      <c r="BA410" s="601"/>
      <c r="BB410" s="602">
        <v>0</v>
      </c>
      <c r="BC410" s="626"/>
      <c r="BD410" s="600">
        <v>0</v>
      </c>
      <c r="BE410" s="599"/>
      <c r="BF410" s="600">
        <v>0</v>
      </c>
      <c r="BG410" s="599"/>
      <c r="BH410" s="600">
        <v>0</v>
      </c>
      <c r="BI410" s="599"/>
      <c r="BJ410" s="600">
        <v>0</v>
      </c>
      <c r="BK410" s="615"/>
      <c r="BL410" s="600">
        <v>290592</v>
      </c>
      <c r="BM410" s="604">
        <v>292090</v>
      </c>
      <c r="BN410" s="605">
        <f t="shared" si="497"/>
        <v>0</v>
      </c>
      <c r="BO410" s="606">
        <f t="shared" si="498"/>
        <v>0</v>
      </c>
      <c r="BP410" s="607">
        <f t="shared" si="499"/>
        <v>0</v>
      </c>
      <c r="BQ410" s="606">
        <f t="shared" si="500"/>
        <v>0</v>
      </c>
      <c r="BR410" s="607">
        <f t="shared" si="501"/>
        <v>0</v>
      </c>
      <c r="BS410" s="606">
        <f t="shared" si="502"/>
        <v>0</v>
      </c>
      <c r="BT410" s="607">
        <f t="shared" si="503"/>
        <v>0</v>
      </c>
      <c r="BU410" s="606">
        <f t="shared" si="504"/>
        <v>0</v>
      </c>
      <c r="BV410" s="607">
        <f t="shared" si="505"/>
        <v>0</v>
      </c>
      <c r="BW410" s="608">
        <f t="shared" si="506"/>
        <v>0</v>
      </c>
      <c r="BX410" s="607">
        <f t="shared" si="507"/>
        <v>60</v>
      </c>
      <c r="BY410" s="608">
        <f t="shared" si="508"/>
        <v>60</v>
      </c>
      <c r="BZ410" s="607">
        <f t="shared" si="509"/>
        <v>0</v>
      </c>
      <c r="CA410" s="608">
        <f t="shared" si="510"/>
        <v>0</v>
      </c>
      <c r="CB410" s="607">
        <f t="shared" si="511"/>
        <v>0</v>
      </c>
      <c r="CC410" s="608">
        <f t="shared" si="512"/>
        <v>0</v>
      </c>
      <c r="CD410" s="607">
        <f t="shared" si="513"/>
        <v>0</v>
      </c>
      <c r="CE410" s="608">
        <f t="shared" si="514"/>
        <v>0</v>
      </c>
      <c r="CF410" s="607">
        <f t="shared" si="515"/>
        <v>0</v>
      </c>
      <c r="CG410" s="608">
        <f t="shared" si="516"/>
        <v>0</v>
      </c>
      <c r="CH410" s="607">
        <f t="shared" si="517"/>
        <v>0</v>
      </c>
      <c r="CI410" s="608">
        <f t="shared" si="518"/>
        <v>0</v>
      </c>
      <c r="CJ410" s="607">
        <f t="shared" si="519"/>
        <v>4843.2</v>
      </c>
      <c r="CK410" s="608">
        <f t="shared" si="520"/>
        <v>4868.166666666667</v>
      </c>
      <c r="CL410" s="609">
        <f t="shared" si="521"/>
        <v>0</v>
      </c>
      <c r="CM410" s="608">
        <f t="shared" si="522"/>
        <v>0</v>
      </c>
      <c r="CN410" s="610">
        <f t="shared" si="523"/>
        <v>0</v>
      </c>
      <c r="CO410" s="606">
        <f t="shared" si="524"/>
        <v>0</v>
      </c>
      <c r="CP410" s="607">
        <f t="shared" si="525"/>
        <v>0</v>
      </c>
      <c r="CQ410" s="606">
        <f t="shared" si="526"/>
        <v>0</v>
      </c>
      <c r="CR410" s="607">
        <f t="shared" si="527"/>
        <v>0</v>
      </c>
      <c r="CS410" s="606">
        <f t="shared" si="528"/>
        <v>0</v>
      </c>
      <c r="CT410" s="607">
        <f t="shared" si="529"/>
        <v>0</v>
      </c>
      <c r="CU410" s="608">
        <f t="shared" si="530"/>
        <v>0</v>
      </c>
      <c r="CV410" s="610">
        <f t="shared" si="531"/>
        <v>43588.799999999996</v>
      </c>
      <c r="CW410" s="608">
        <f t="shared" si="532"/>
        <v>43813.5</v>
      </c>
      <c r="CX410" s="610">
        <f t="shared" si="533"/>
        <v>43588.799999999996</v>
      </c>
      <c r="CY410" s="611">
        <f t="shared" si="534"/>
        <v>43813.5</v>
      </c>
      <c r="CZ410" s="605">
        <f t="shared" si="535"/>
        <v>0</v>
      </c>
      <c r="DA410" s="612">
        <f t="shared" si="536"/>
        <v>0</v>
      </c>
      <c r="DB410" s="607">
        <f t="shared" si="537"/>
        <v>0</v>
      </c>
      <c r="DC410" s="606">
        <f t="shared" si="538"/>
        <v>0</v>
      </c>
      <c r="DD410" s="607">
        <f t="shared" si="539"/>
        <v>0</v>
      </c>
      <c r="DE410" s="606">
        <f t="shared" si="540"/>
        <v>0</v>
      </c>
      <c r="DF410" s="607">
        <f t="shared" si="541"/>
        <v>0</v>
      </c>
      <c r="DG410" s="606">
        <f t="shared" si="542"/>
        <v>0</v>
      </c>
      <c r="DH410" s="607">
        <f t="shared" si="543"/>
        <v>0</v>
      </c>
      <c r="DI410" s="608">
        <f t="shared" si="544"/>
        <v>0</v>
      </c>
      <c r="DJ410" s="607">
        <f t="shared" si="545"/>
        <v>6</v>
      </c>
      <c r="DK410" s="608">
        <f t="shared" si="546"/>
        <v>6</v>
      </c>
      <c r="DL410" s="607">
        <f t="shared" si="547"/>
        <v>6</v>
      </c>
      <c r="DM410" s="608">
        <f t="shared" si="548"/>
        <v>6</v>
      </c>
      <c r="DN410" s="607">
        <f t="shared" si="549"/>
        <v>0</v>
      </c>
      <c r="DO410" s="612">
        <f t="shared" si="550"/>
        <v>0</v>
      </c>
      <c r="DP410" s="607">
        <f t="shared" si="551"/>
        <v>0</v>
      </c>
      <c r="DQ410" s="606">
        <f t="shared" si="552"/>
        <v>0</v>
      </c>
      <c r="DR410" s="607">
        <f t="shared" si="553"/>
        <v>0</v>
      </c>
      <c r="DS410" s="606">
        <f t="shared" si="554"/>
        <v>0</v>
      </c>
      <c r="DT410" s="607">
        <f t="shared" si="555"/>
        <v>0</v>
      </c>
      <c r="DU410" s="606">
        <f t="shared" si="556"/>
        <v>0</v>
      </c>
      <c r="DV410" s="607">
        <f t="shared" si="557"/>
        <v>0</v>
      </c>
      <c r="DW410" s="608">
        <f t="shared" si="558"/>
        <v>0</v>
      </c>
      <c r="DX410" s="607">
        <f t="shared" si="559"/>
        <v>261532.79999999999</v>
      </c>
      <c r="DY410" s="608">
        <f t="shared" si="560"/>
        <v>262881</v>
      </c>
      <c r="DZ410" s="607">
        <f t="shared" si="561"/>
        <v>261532.79999999999</v>
      </c>
      <c r="EA410" s="608">
        <f t="shared" si="562"/>
        <v>262881</v>
      </c>
    </row>
    <row r="411" spans="1:131" x14ac:dyDescent="0.2">
      <c r="A411" s="343" t="s">
        <v>41</v>
      </c>
      <c r="B411" s="345" t="s">
        <v>414</v>
      </c>
      <c r="C411" s="576"/>
      <c r="D411" s="343">
        <v>375762</v>
      </c>
      <c r="E411" s="344">
        <v>13</v>
      </c>
      <c r="F411" s="598"/>
      <c r="G411" s="599"/>
      <c r="H411" s="600"/>
      <c r="I411" s="601"/>
      <c r="J411" s="600"/>
      <c r="K411" s="624"/>
      <c r="L411" s="600"/>
      <c r="M411" s="625"/>
      <c r="N411" s="600"/>
      <c r="O411" s="626"/>
      <c r="P411" s="600"/>
      <c r="Q411" s="601"/>
      <c r="R411" s="600"/>
      <c r="S411" s="624"/>
      <c r="T411" s="600"/>
      <c r="U411" s="625"/>
      <c r="V411" s="600"/>
      <c r="W411" s="626"/>
      <c r="X411" s="600"/>
      <c r="Y411" s="601"/>
      <c r="Z411" s="600"/>
      <c r="AA411" s="624"/>
      <c r="AB411" s="600"/>
      <c r="AC411" s="627"/>
      <c r="AD411" s="600"/>
      <c r="AE411" s="624"/>
      <c r="AF411" s="600"/>
      <c r="AG411" s="601"/>
      <c r="AH411" s="600"/>
      <c r="AI411" s="624"/>
      <c r="AJ411" s="600"/>
      <c r="AK411" s="625"/>
      <c r="AL411" s="600"/>
      <c r="AM411" s="626"/>
      <c r="AN411" s="600"/>
      <c r="AO411" s="601"/>
      <c r="AP411" s="600"/>
      <c r="AQ411" s="624"/>
      <c r="AR411" s="600"/>
      <c r="AS411" s="625"/>
      <c r="AT411" s="600"/>
      <c r="AU411" s="599"/>
      <c r="AV411" s="600">
        <v>5</v>
      </c>
      <c r="AW411" s="601">
        <v>5</v>
      </c>
      <c r="AX411" s="600"/>
      <c r="AY411" s="599"/>
      <c r="AZ411" s="600"/>
      <c r="BA411" s="601"/>
      <c r="BB411" s="602">
        <v>0</v>
      </c>
      <c r="BC411" s="626"/>
      <c r="BD411" s="600">
        <v>0</v>
      </c>
      <c r="BE411" s="599"/>
      <c r="BF411" s="600">
        <v>0</v>
      </c>
      <c r="BG411" s="599"/>
      <c r="BH411" s="600">
        <v>0</v>
      </c>
      <c r="BI411" s="599"/>
      <c r="BJ411" s="600">
        <v>0</v>
      </c>
      <c r="BK411" s="615"/>
      <c r="BL411" s="600">
        <v>263450</v>
      </c>
      <c r="BM411" s="604">
        <v>249250</v>
      </c>
      <c r="BN411" s="605">
        <f t="shared" si="497"/>
        <v>0</v>
      </c>
      <c r="BO411" s="606">
        <f t="shared" si="498"/>
        <v>0</v>
      </c>
      <c r="BP411" s="607">
        <f t="shared" si="499"/>
        <v>0</v>
      </c>
      <c r="BQ411" s="606">
        <f t="shared" si="500"/>
        <v>0</v>
      </c>
      <c r="BR411" s="607">
        <f t="shared" si="501"/>
        <v>0</v>
      </c>
      <c r="BS411" s="606">
        <f t="shared" si="502"/>
        <v>0</v>
      </c>
      <c r="BT411" s="607">
        <f t="shared" si="503"/>
        <v>0</v>
      </c>
      <c r="BU411" s="606">
        <f t="shared" si="504"/>
        <v>0</v>
      </c>
      <c r="BV411" s="607">
        <f t="shared" si="505"/>
        <v>0</v>
      </c>
      <c r="BW411" s="608">
        <f t="shared" si="506"/>
        <v>0</v>
      </c>
      <c r="BX411" s="607">
        <f t="shared" si="507"/>
        <v>50</v>
      </c>
      <c r="BY411" s="608">
        <f t="shared" si="508"/>
        <v>50</v>
      </c>
      <c r="BZ411" s="607">
        <f t="shared" si="509"/>
        <v>0</v>
      </c>
      <c r="CA411" s="608">
        <f t="shared" si="510"/>
        <v>0</v>
      </c>
      <c r="CB411" s="607">
        <f t="shared" si="511"/>
        <v>0</v>
      </c>
      <c r="CC411" s="608">
        <f t="shared" si="512"/>
        <v>0</v>
      </c>
      <c r="CD411" s="607">
        <f t="shared" si="513"/>
        <v>0</v>
      </c>
      <c r="CE411" s="608">
        <f t="shared" si="514"/>
        <v>0</v>
      </c>
      <c r="CF411" s="607">
        <f t="shared" si="515"/>
        <v>0</v>
      </c>
      <c r="CG411" s="608">
        <f t="shared" si="516"/>
        <v>0</v>
      </c>
      <c r="CH411" s="607">
        <f t="shared" si="517"/>
        <v>0</v>
      </c>
      <c r="CI411" s="608">
        <f t="shared" si="518"/>
        <v>0</v>
      </c>
      <c r="CJ411" s="607">
        <f t="shared" si="519"/>
        <v>5269</v>
      </c>
      <c r="CK411" s="608">
        <f t="shared" si="520"/>
        <v>4985</v>
      </c>
      <c r="CL411" s="609">
        <f t="shared" si="521"/>
        <v>0</v>
      </c>
      <c r="CM411" s="608">
        <f t="shared" si="522"/>
        <v>0</v>
      </c>
      <c r="CN411" s="610">
        <f t="shared" si="523"/>
        <v>0</v>
      </c>
      <c r="CO411" s="606">
        <f t="shared" si="524"/>
        <v>0</v>
      </c>
      <c r="CP411" s="607">
        <f t="shared" si="525"/>
        <v>0</v>
      </c>
      <c r="CQ411" s="606">
        <f t="shared" si="526"/>
        <v>0</v>
      </c>
      <c r="CR411" s="607">
        <f t="shared" si="527"/>
        <v>0</v>
      </c>
      <c r="CS411" s="606">
        <f t="shared" si="528"/>
        <v>0</v>
      </c>
      <c r="CT411" s="607">
        <f t="shared" si="529"/>
        <v>0</v>
      </c>
      <c r="CU411" s="608">
        <f t="shared" si="530"/>
        <v>0</v>
      </c>
      <c r="CV411" s="610">
        <f t="shared" si="531"/>
        <v>47421</v>
      </c>
      <c r="CW411" s="608">
        <f t="shared" si="532"/>
        <v>44865</v>
      </c>
      <c r="CX411" s="610">
        <f t="shared" si="533"/>
        <v>47421</v>
      </c>
      <c r="CY411" s="611">
        <f t="shared" si="534"/>
        <v>44865</v>
      </c>
      <c r="CZ411" s="605">
        <f t="shared" si="535"/>
        <v>0</v>
      </c>
      <c r="DA411" s="612">
        <f t="shared" si="536"/>
        <v>0</v>
      </c>
      <c r="DB411" s="607">
        <f t="shared" si="537"/>
        <v>0</v>
      </c>
      <c r="DC411" s="606">
        <f t="shared" si="538"/>
        <v>0</v>
      </c>
      <c r="DD411" s="607">
        <f t="shared" si="539"/>
        <v>0</v>
      </c>
      <c r="DE411" s="606">
        <f t="shared" si="540"/>
        <v>0</v>
      </c>
      <c r="DF411" s="607">
        <f t="shared" si="541"/>
        <v>0</v>
      </c>
      <c r="DG411" s="606">
        <f t="shared" si="542"/>
        <v>0</v>
      </c>
      <c r="DH411" s="607">
        <f t="shared" si="543"/>
        <v>0</v>
      </c>
      <c r="DI411" s="608">
        <f t="shared" si="544"/>
        <v>0</v>
      </c>
      <c r="DJ411" s="607">
        <f t="shared" si="545"/>
        <v>5</v>
      </c>
      <c r="DK411" s="608">
        <f t="shared" si="546"/>
        <v>5</v>
      </c>
      <c r="DL411" s="607">
        <f t="shared" si="547"/>
        <v>5</v>
      </c>
      <c r="DM411" s="608">
        <f t="shared" si="548"/>
        <v>5</v>
      </c>
      <c r="DN411" s="607">
        <f t="shared" si="549"/>
        <v>0</v>
      </c>
      <c r="DO411" s="612">
        <f t="shared" si="550"/>
        <v>0</v>
      </c>
      <c r="DP411" s="607">
        <f t="shared" si="551"/>
        <v>0</v>
      </c>
      <c r="DQ411" s="606">
        <f t="shared" si="552"/>
        <v>0</v>
      </c>
      <c r="DR411" s="607">
        <f t="shared" si="553"/>
        <v>0</v>
      </c>
      <c r="DS411" s="606">
        <f t="shared" si="554"/>
        <v>0</v>
      </c>
      <c r="DT411" s="607">
        <f t="shared" si="555"/>
        <v>0</v>
      </c>
      <c r="DU411" s="606">
        <f t="shared" si="556"/>
        <v>0</v>
      </c>
      <c r="DV411" s="607">
        <f t="shared" si="557"/>
        <v>0</v>
      </c>
      <c r="DW411" s="608">
        <f t="shared" si="558"/>
        <v>0</v>
      </c>
      <c r="DX411" s="607">
        <f t="shared" si="559"/>
        <v>237105</v>
      </c>
      <c r="DY411" s="608">
        <f t="shared" si="560"/>
        <v>224325</v>
      </c>
      <c r="DZ411" s="607">
        <f t="shared" si="561"/>
        <v>237105</v>
      </c>
      <c r="EA411" s="608">
        <f t="shared" si="562"/>
        <v>224325</v>
      </c>
    </row>
    <row r="412" spans="1:131" x14ac:dyDescent="0.2">
      <c r="A412" s="343" t="s">
        <v>41</v>
      </c>
      <c r="B412" s="345" t="s">
        <v>415</v>
      </c>
      <c r="C412" s="576"/>
      <c r="D412" s="343">
        <v>365480</v>
      </c>
      <c r="E412" s="344">
        <v>13</v>
      </c>
      <c r="F412" s="598"/>
      <c r="G412" s="599"/>
      <c r="H412" s="600"/>
      <c r="I412" s="601"/>
      <c r="J412" s="600"/>
      <c r="K412" s="624"/>
      <c r="L412" s="600"/>
      <c r="M412" s="625"/>
      <c r="N412" s="600"/>
      <c r="O412" s="626"/>
      <c r="P412" s="600"/>
      <c r="Q412" s="601"/>
      <c r="R412" s="600"/>
      <c r="S412" s="624"/>
      <c r="T412" s="600"/>
      <c r="U412" s="625"/>
      <c r="V412" s="600"/>
      <c r="W412" s="626"/>
      <c r="X412" s="600"/>
      <c r="Y412" s="601"/>
      <c r="Z412" s="600"/>
      <c r="AA412" s="624"/>
      <c r="AB412" s="600"/>
      <c r="AC412" s="627"/>
      <c r="AD412" s="600"/>
      <c r="AE412" s="624"/>
      <c r="AF412" s="600"/>
      <c r="AG412" s="601"/>
      <c r="AH412" s="600"/>
      <c r="AI412" s="624"/>
      <c r="AJ412" s="600"/>
      <c r="AK412" s="625"/>
      <c r="AL412" s="600"/>
      <c r="AM412" s="626"/>
      <c r="AN412" s="600"/>
      <c r="AO412" s="601"/>
      <c r="AP412" s="600"/>
      <c r="AQ412" s="624"/>
      <c r="AR412" s="600"/>
      <c r="AS412" s="625"/>
      <c r="AT412" s="600"/>
      <c r="AU412" s="599"/>
      <c r="AV412" s="600">
        <v>27</v>
      </c>
      <c r="AW412" s="601">
        <v>28</v>
      </c>
      <c r="AX412" s="600"/>
      <c r="AY412" s="599"/>
      <c r="AZ412" s="600">
        <v>10</v>
      </c>
      <c r="BA412" s="601">
        <v>9</v>
      </c>
      <c r="BB412" s="602">
        <v>0</v>
      </c>
      <c r="BC412" s="626"/>
      <c r="BD412" s="600">
        <v>0</v>
      </c>
      <c r="BE412" s="599"/>
      <c r="BF412" s="600">
        <v>0</v>
      </c>
      <c r="BG412" s="599"/>
      <c r="BH412" s="600">
        <v>0</v>
      </c>
      <c r="BI412" s="599"/>
      <c r="BJ412" s="600">
        <v>0</v>
      </c>
      <c r="BK412" s="615"/>
      <c r="BL412" s="600">
        <v>1938987</v>
      </c>
      <c r="BM412" s="604">
        <v>1979938</v>
      </c>
      <c r="BN412" s="605">
        <f t="shared" si="497"/>
        <v>0</v>
      </c>
      <c r="BO412" s="606">
        <f t="shared" si="498"/>
        <v>0</v>
      </c>
      <c r="BP412" s="607">
        <f t="shared" si="499"/>
        <v>0</v>
      </c>
      <c r="BQ412" s="606">
        <f t="shared" si="500"/>
        <v>0</v>
      </c>
      <c r="BR412" s="607">
        <f t="shared" si="501"/>
        <v>0</v>
      </c>
      <c r="BS412" s="606">
        <f t="shared" si="502"/>
        <v>0</v>
      </c>
      <c r="BT412" s="607">
        <f t="shared" si="503"/>
        <v>0</v>
      </c>
      <c r="BU412" s="606">
        <f t="shared" si="504"/>
        <v>0</v>
      </c>
      <c r="BV412" s="607">
        <f t="shared" si="505"/>
        <v>0</v>
      </c>
      <c r="BW412" s="608">
        <f t="shared" si="506"/>
        <v>0</v>
      </c>
      <c r="BX412" s="607">
        <f t="shared" si="507"/>
        <v>390</v>
      </c>
      <c r="BY412" s="608">
        <f t="shared" si="508"/>
        <v>388</v>
      </c>
      <c r="BZ412" s="607">
        <f t="shared" si="509"/>
        <v>0</v>
      </c>
      <c r="CA412" s="608">
        <f t="shared" si="510"/>
        <v>0</v>
      </c>
      <c r="CB412" s="607">
        <f t="shared" si="511"/>
        <v>0</v>
      </c>
      <c r="CC412" s="608">
        <f t="shared" si="512"/>
        <v>0</v>
      </c>
      <c r="CD412" s="607">
        <f t="shared" si="513"/>
        <v>0</v>
      </c>
      <c r="CE412" s="608">
        <f t="shared" si="514"/>
        <v>0</v>
      </c>
      <c r="CF412" s="607">
        <f t="shared" si="515"/>
        <v>0</v>
      </c>
      <c r="CG412" s="608">
        <f t="shared" si="516"/>
        <v>0</v>
      </c>
      <c r="CH412" s="607">
        <f t="shared" si="517"/>
        <v>0</v>
      </c>
      <c r="CI412" s="608">
        <f t="shared" si="518"/>
        <v>0</v>
      </c>
      <c r="CJ412" s="607">
        <f t="shared" si="519"/>
        <v>4971.7615384615383</v>
      </c>
      <c r="CK412" s="608">
        <f t="shared" si="520"/>
        <v>5102.932989690722</v>
      </c>
      <c r="CL412" s="609">
        <f t="shared" si="521"/>
        <v>0</v>
      </c>
      <c r="CM412" s="608">
        <f t="shared" si="522"/>
        <v>0</v>
      </c>
      <c r="CN412" s="610">
        <f t="shared" si="523"/>
        <v>0</v>
      </c>
      <c r="CO412" s="606">
        <f t="shared" si="524"/>
        <v>0</v>
      </c>
      <c r="CP412" s="607">
        <f t="shared" si="525"/>
        <v>0</v>
      </c>
      <c r="CQ412" s="606">
        <f t="shared" si="526"/>
        <v>0</v>
      </c>
      <c r="CR412" s="607">
        <f t="shared" si="527"/>
        <v>0</v>
      </c>
      <c r="CS412" s="606">
        <f t="shared" si="528"/>
        <v>0</v>
      </c>
      <c r="CT412" s="607">
        <f t="shared" si="529"/>
        <v>0</v>
      </c>
      <c r="CU412" s="608">
        <f t="shared" si="530"/>
        <v>0</v>
      </c>
      <c r="CV412" s="610">
        <f t="shared" si="531"/>
        <v>44745.853846153841</v>
      </c>
      <c r="CW412" s="608">
        <f t="shared" si="532"/>
        <v>45926.396907216498</v>
      </c>
      <c r="CX412" s="610">
        <f t="shared" si="533"/>
        <v>44745.853846153841</v>
      </c>
      <c r="CY412" s="611">
        <f t="shared" si="534"/>
        <v>45926.396907216498</v>
      </c>
      <c r="CZ412" s="605">
        <f t="shared" si="535"/>
        <v>0</v>
      </c>
      <c r="DA412" s="612">
        <f t="shared" si="536"/>
        <v>0</v>
      </c>
      <c r="DB412" s="607">
        <f t="shared" si="537"/>
        <v>0</v>
      </c>
      <c r="DC412" s="606">
        <f t="shared" si="538"/>
        <v>0</v>
      </c>
      <c r="DD412" s="607">
        <f t="shared" si="539"/>
        <v>0</v>
      </c>
      <c r="DE412" s="606">
        <f t="shared" si="540"/>
        <v>0</v>
      </c>
      <c r="DF412" s="607">
        <f t="shared" si="541"/>
        <v>0</v>
      </c>
      <c r="DG412" s="606">
        <f t="shared" si="542"/>
        <v>0</v>
      </c>
      <c r="DH412" s="607">
        <f t="shared" si="543"/>
        <v>0</v>
      </c>
      <c r="DI412" s="608">
        <f t="shared" si="544"/>
        <v>0</v>
      </c>
      <c r="DJ412" s="607">
        <f t="shared" si="545"/>
        <v>37</v>
      </c>
      <c r="DK412" s="608">
        <f t="shared" si="546"/>
        <v>37</v>
      </c>
      <c r="DL412" s="607">
        <f t="shared" si="547"/>
        <v>37</v>
      </c>
      <c r="DM412" s="608">
        <f t="shared" si="548"/>
        <v>37</v>
      </c>
      <c r="DN412" s="607">
        <f t="shared" si="549"/>
        <v>0</v>
      </c>
      <c r="DO412" s="612">
        <f t="shared" si="550"/>
        <v>0</v>
      </c>
      <c r="DP412" s="607">
        <f t="shared" si="551"/>
        <v>0</v>
      </c>
      <c r="DQ412" s="606">
        <f t="shared" si="552"/>
        <v>0</v>
      </c>
      <c r="DR412" s="607">
        <f t="shared" si="553"/>
        <v>0</v>
      </c>
      <c r="DS412" s="606">
        <f t="shared" si="554"/>
        <v>0</v>
      </c>
      <c r="DT412" s="607">
        <f t="shared" si="555"/>
        <v>0</v>
      </c>
      <c r="DU412" s="606">
        <f t="shared" si="556"/>
        <v>0</v>
      </c>
      <c r="DV412" s="607">
        <f t="shared" si="557"/>
        <v>0</v>
      </c>
      <c r="DW412" s="608">
        <f t="shared" si="558"/>
        <v>0</v>
      </c>
      <c r="DX412" s="607">
        <f t="shared" si="559"/>
        <v>1655596.5923076922</v>
      </c>
      <c r="DY412" s="608">
        <f t="shared" si="560"/>
        <v>1699276.6855670104</v>
      </c>
      <c r="DZ412" s="607">
        <f t="shared" si="561"/>
        <v>1655596.5923076922</v>
      </c>
      <c r="EA412" s="608">
        <f t="shared" si="562"/>
        <v>1699276.6855670104</v>
      </c>
    </row>
    <row r="413" spans="1:131" x14ac:dyDescent="0.2">
      <c r="A413" s="343" t="s">
        <v>41</v>
      </c>
      <c r="B413" s="345" t="s">
        <v>416</v>
      </c>
      <c r="C413" s="576"/>
      <c r="D413" s="343">
        <v>418320</v>
      </c>
      <c r="E413" s="344">
        <v>13</v>
      </c>
      <c r="F413" s="598"/>
      <c r="G413" s="599"/>
      <c r="H413" s="600"/>
      <c r="I413" s="601"/>
      <c r="J413" s="600"/>
      <c r="K413" s="624"/>
      <c r="L413" s="600"/>
      <c r="M413" s="625"/>
      <c r="N413" s="600"/>
      <c r="O413" s="626"/>
      <c r="P413" s="600"/>
      <c r="Q413" s="601"/>
      <c r="R413" s="600"/>
      <c r="S413" s="624"/>
      <c r="T413" s="600"/>
      <c r="U413" s="625"/>
      <c r="V413" s="600"/>
      <c r="W413" s="628"/>
      <c r="X413" s="600"/>
      <c r="Y413" s="601"/>
      <c r="Z413" s="600"/>
      <c r="AA413" s="624"/>
      <c r="AB413" s="600"/>
      <c r="AC413" s="627"/>
      <c r="AD413" s="600"/>
      <c r="AE413" s="624"/>
      <c r="AF413" s="600"/>
      <c r="AG413" s="601"/>
      <c r="AH413" s="600"/>
      <c r="AI413" s="624"/>
      <c r="AJ413" s="600"/>
      <c r="AK413" s="625"/>
      <c r="AL413" s="600"/>
      <c r="AM413" s="626"/>
      <c r="AN413" s="600"/>
      <c r="AO413" s="601"/>
      <c r="AP413" s="600"/>
      <c r="AQ413" s="624"/>
      <c r="AR413" s="600"/>
      <c r="AS413" s="625"/>
      <c r="AT413" s="600"/>
      <c r="AU413" s="599"/>
      <c r="AV413" s="600">
        <v>22</v>
      </c>
      <c r="AW413" s="601">
        <v>22</v>
      </c>
      <c r="AX413" s="600">
        <v>2</v>
      </c>
      <c r="AY413" s="599">
        <v>3</v>
      </c>
      <c r="AZ413" s="600">
        <v>3</v>
      </c>
      <c r="BA413" s="601">
        <v>4</v>
      </c>
      <c r="BB413" s="602">
        <v>0</v>
      </c>
      <c r="BC413" s="626"/>
      <c r="BD413" s="600">
        <v>0</v>
      </c>
      <c r="BE413" s="599"/>
      <c r="BF413" s="600">
        <v>0</v>
      </c>
      <c r="BG413" s="599"/>
      <c r="BH413" s="600">
        <v>0</v>
      </c>
      <c r="BI413" s="599"/>
      <c r="BJ413" s="600">
        <v>0</v>
      </c>
      <c r="BK413" s="615"/>
      <c r="BL413" s="600">
        <v>1410214</v>
      </c>
      <c r="BM413" s="604">
        <v>1512582</v>
      </c>
      <c r="BN413" s="605">
        <f t="shared" si="497"/>
        <v>0</v>
      </c>
      <c r="BO413" s="606">
        <f t="shared" si="498"/>
        <v>0</v>
      </c>
      <c r="BP413" s="607">
        <f t="shared" si="499"/>
        <v>0</v>
      </c>
      <c r="BQ413" s="606">
        <f t="shared" si="500"/>
        <v>0</v>
      </c>
      <c r="BR413" s="607">
        <f t="shared" si="501"/>
        <v>0</v>
      </c>
      <c r="BS413" s="606">
        <f t="shared" si="502"/>
        <v>0</v>
      </c>
      <c r="BT413" s="607">
        <f t="shared" si="503"/>
        <v>0</v>
      </c>
      <c r="BU413" s="606">
        <f t="shared" si="504"/>
        <v>0</v>
      </c>
      <c r="BV413" s="607">
        <f t="shared" si="505"/>
        <v>0</v>
      </c>
      <c r="BW413" s="608">
        <f t="shared" si="506"/>
        <v>0</v>
      </c>
      <c r="BX413" s="607">
        <f t="shared" si="507"/>
        <v>278</v>
      </c>
      <c r="BY413" s="608">
        <f t="shared" si="508"/>
        <v>301</v>
      </c>
      <c r="BZ413" s="607">
        <f t="shared" si="509"/>
        <v>0</v>
      </c>
      <c r="CA413" s="608">
        <f t="shared" si="510"/>
        <v>0</v>
      </c>
      <c r="CB413" s="607">
        <f t="shared" si="511"/>
        <v>0</v>
      </c>
      <c r="CC413" s="608">
        <f t="shared" si="512"/>
        <v>0</v>
      </c>
      <c r="CD413" s="607">
        <f t="shared" si="513"/>
        <v>0</v>
      </c>
      <c r="CE413" s="608">
        <f t="shared" si="514"/>
        <v>0</v>
      </c>
      <c r="CF413" s="607">
        <f t="shared" si="515"/>
        <v>0</v>
      </c>
      <c r="CG413" s="608">
        <f t="shared" si="516"/>
        <v>0</v>
      </c>
      <c r="CH413" s="607">
        <f t="shared" si="517"/>
        <v>0</v>
      </c>
      <c r="CI413" s="608">
        <f t="shared" si="518"/>
        <v>0</v>
      </c>
      <c r="CJ413" s="607">
        <f t="shared" si="519"/>
        <v>5072.7122302158277</v>
      </c>
      <c r="CK413" s="608">
        <f t="shared" si="520"/>
        <v>5025.1893687707643</v>
      </c>
      <c r="CL413" s="609">
        <f t="shared" si="521"/>
        <v>0</v>
      </c>
      <c r="CM413" s="608">
        <f t="shared" si="522"/>
        <v>0</v>
      </c>
      <c r="CN413" s="610">
        <f t="shared" si="523"/>
        <v>0</v>
      </c>
      <c r="CO413" s="606">
        <f t="shared" si="524"/>
        <v>0</v>
      </c>
      <c r="CP413" s="607">
        <f t="shared" si="525"/>
        <v>0</v>
      </c>
      <c r="CQ413" s="606">
        <f t="shared" si="526"/>
        <v>0</v>
      </c>
      <c r="CR413" s="607">
        <f t="shared" si="527"/>
        <v>0</v>
      </c>
      <c r="CS413" s="606">
        <f t="shared" si="528"/>
        <v>0</v>
      </c>
      <c r="CT413" s="607">
        <f t="shared" si="529"/>
        <v>0</v>
      </c>
      <c r="CU413" s="608">
        <f t="shared" si="530"/>
        <v>0</v>
      </c>
      <c r="CV413" s="610">
        <f t="shared" si="531"/>
        <v>45654.410071942446</v>
      </c>
      <c r="CW413" s="608">
        <f t="shared" si="532"/>
        <v>45226.704318936878</v>
      </c>
      <c r="CX413" s="610">
        <f t="shared" si="533"/>
        <v>45654.410071942446</v>
      </c>
      <c r="CY413" s="611">
        <f t="shared" si="534"/>
        <v>45226.704318936871</v>
      </c>
      <c r="CZ413" s="605">
        <f t="shared" si="535"/>
        <v>0</v>
      </c>
      <c r="DA413" s="612">
        <f t="shared" si="536"/>
        <v>0</v>
      </c>
      <c r="DB413" s="607">
        <f t="shared" si="537"/>
        <v>0</v>
      </c>
      <c r="DC413" s="606">
        <f t="shared" si="538"/>
        <v>0</v>
      </c>
      <c r="DD413" s="607">
        <f t="shared" si="539"/>
        <v>0</v>
      </c>
      <c r="DE413" s="606">
        <f t="shared" si="540"/>
        <v>0</v>
      </c>
      <c r="DF413" s="607">
        <f t="shared" si="541"/>
        <v>0</v>
      </c>
      <c r="DG413" s="606">
        <f t="shared" si="542"/>
        <v>0</v>
      </c>
      <c r="DH413" s="607">
        <f t="shared" si="543"/>
        <v>0</v>
      </c>
      <c r="DI413" s="608">
        <f t="shared" si="544"/>
        <v>0</v>
      </c>
      <c r="DJ413" s="607">
        <f t="shared" si="545"/>
        <v>27</v>
      </c>
      <c r="DK413" s="608">
        <f t="shared" si="546"/>
        <v>29</v>
      </c>
      <c r="DL413" s="607">
        <f t="shared" si="547"/>
        <v>27</v>
      </c>
      <c r="DM413" s="608">
        <f t="shared" si="548"/>
        <v>29</v>
      </c>
      <c r="DN413" s="607">
        <f t="shared" si="549"/>
        <v>0</v>
      </c>
      <c r="DO413" s="612">
        <f t="shared" si="550"/>
        <v>0</v>
      </c>
      <c r="DP413" s="607">
        <f t="shared" si="551"/>
        <v>0</v>
      </c>
      <c r="DQ413" s="606">
        <f t="shared" si="552"/>
        <v>0</v>
      </c>
      <c r="DR413" s="607">
        <f t="shared" si="553"/>
        <v>0</v>
      </c>
      <c r="DS413" s="606">
        <f t="shared" si="554"/>
        <v>0</v>
      </c>
      <c r="DT413" s="607">
        <f t="shared" si="555"/>
        <v>0</v>
      </c>
      <c r="DU413" s="606">
        <f t="shared" si="556"/>
        <v>0</v>
      </c>
      <c r="DV413" s="607">
        <f t="shared" si="557"/>
        <v>0</v>
      </c>
      <c r="DW413" s="608">
        <f t="shared" si="558"/>
        <v>0</v>
      </c>
      <c r="DX413" s="607">
        <f t="shared" si="559"/>
        <v>1232669.0719424461</v>
      </c>
      <c r="DY413" s="608">
        <f t="shared" si="560"/>
        <v>1311574.4252491693</v>
      </c>
      <c r="DZ413" s="607">
        <f t="shared" si="561"/>
        <v>1232669.0719424461</v>
      </c>
      <c r="EA413" s="608">
        <f t="shared" si="562"/>
        <v>1311574.4252491693</v>
      </c>
    </row>
    <row r="414" spans="1:131" x14ac:dyDescent="0.2">
      <c r="A414" s="343" t="s">
        <v>41</v>
      </c>
      <c r="B414" s="345" t="s">
        <v>417</v>
      </c>
      <c r="C414" s="576"/>
      <c r="D414" s="343">
        <v>431017</v>
      </c>
      <c r="E414" s="344">
        <v>13</v>
      </c>
      <c r="F414" s="598"/>
      <c r="G414" s="599"/>
      <c r="H414" s="600"/>
      <c r="I414" s="601"/>
      <c r="J414" s="600"/>
      <c r="K414" s="624"/>
      <c r="L414" s="600"/>
      <c r="M414" s="625"/>
      <c r="N414" s="600"/>
      <c r="O414" s="626"/>
      <c r="P414" s="600"/>
      <c r="Q414" s="601"/>
      <c r="R414" s="600"/>
      <c r="S414" s="624"/>
      <c r="T414" s="600"/>
      <c r="U414" s="625"/>
      <c r="V414" s="600"/>
      <c r="W414" s="626"/>
      <c r="X414" s="600"/>
      <c r="Y414" s="601"/>
      <c r="Z414" s="600"/>
      <c r="AA414" s="624"/>
      <c r="AB414" s="600"/>
      <c r="AC414" s="627"/>
      <c r="AD414" s="600"/>
      <c r="AE414" s="624"/>
      <c r="AF414" s="600"/>
      <c r="AG414" s="601"/>
      <c r="AH414" s="600"/>
      <c r="AI414" s="624"/>
      <c r="AJ414" s="600"/>
      <c r="AK414" s="625"/>
      <c r="AL414" s="600"/>
      <c r="AM414" s="626"/>
      <c r="AN414" s="600"/>
      <c r="AO414" s="601"/>
      <c r="AP414" s="600"/>
      <c r="AQ414" s="624"/>
      <c r="AR414" s="600"/>
      <c r="AS414" s="625"/>
      <c r="AT414" s="600"/>
      <c r="AU414" s="599"/>
      <c r="AV414" s="600">
        <v>20</v>
      </c>
      <c r="AW414" s="601">
        <v>19</v>
      </c>
      <c r="AX414" s="600"/>
      <c r="AY414" s="599"/>
      <c r="AZ414" s="600">
        <v>4</v>
      </c>
      <c r="BA414" s="601">
        <v>4</v>
      </c>
      <c r="BB414" s="602">
        <v>0</v>
      </c>
      <c r="BC414" s="626"/>
      <c r="BD414" s="600">
        <v>0</v>
      </c>
      <c r="BE414" s="599"/>
      <c r="BF414" s="600">
        <v>0</v>
      </c>
      <c r="BG414" s="599"/>
      <c r="BH414" s="600">
        <v>0</v>
      </c>
      <c r="BI414" s="599"/>
      <c r="BJ414" s="600">
        <v>0</v>
      </c>
      <c r="BK414" s="615"/>
      <c r="BL414" s="600">
        <v>1206328</v>
      </c>
      <c r="BM414" s="604">
        <v>1157887</v>
      </c>
      <c r="BN414" s="605">
        <f t="shared" si="497"/>
        <v>0</v>
      </c>
      <c r="BO414" s="606">
        <f t="shared" si="498"/>
        <v>0</v>
      </c>
      <c r="BP414" s="607">
        <f t="shared" si="499"/>
        <v>0</v>
      </c>
      <c r="BQ414" s="606">
        <f t="shared" si="500"/>
        <v>0</v>
      </c>
      <c r="BR414" s="607">
        <f t="shared" si="501"/>
        <v>0</v>
      </c>
      <c r="BS414" s="606">
        <f t="shared" si="502"/>
        <v>0</v>
      </c>
      <c r="BT414" s="607">
        <f t="shared" si="503"/>
        <v>0</v>
      </c>
      <c r="BU414" s="606">
        <f t="shared" si="504"/>
        <v>0</v>
      </c>
      <c r="BV414" s="607">
        <f t="shared" si="505"/>
        <v>0</v>
      </c>
      <c r="BW414" s="608">
        <f t="shared" si="506"/>
        <v>0</v>
      </c>
      <c r="BX414" s="607">
        <f t="shared" si="507"/>
        <v>248</v>
      </c>
      <c r="BY414" s="608">
        <f t="shared" si="508"/>
        <v>238</v>
      </c>
      <c r="BZ414" s="607">
        <f t="shared" si="509"/>
        <v>0</v>
      </c>
      <c r="CA414" s="608">
        <f t="shared" si="510"/>
        <v>0</v>
      </c>
      <c r="CB414" s="607">
        <f t="shared" si="511"/>
        <v>0</v>
      </c>
      <c r="CC414" s="608">
        <f t="shared" si="512"/>
        <v>0</v>
      </c>
      <c r="CD414" s="607">
        <f t="shared" si="513"/>
        <v>0</v>
      </c>
      <c r="CE414" s="608">
        <f t="shared" si="514"/>
        <v>0</v>
      </c>
      <c r="CF414" s="607">
        <f t="shared" si="515"/>
        <v>0</v>
      </c>
      <c r="CG414" s="608">
        <f t="shared" si="516"/>
        <v>0</v>
      </c>
      <c r="CH414" s="607">
        <f t="shared" si="517"/>
        <v>0</v>
      </c>
      <c r="CI414" s="608">
        <f t="shared" si="518"/>
        <v>0</v>
      </c>
      <c r="CJ414" s="607">
        <f t="shared" si="519"/>
        <v>4864.2258064516127</v>
      </c>
      <c r="CK414" s="608">
        <f t="shared" si="520"/>
        <v>4865.0714285714284</v>
      </c>
      <c r="CL414" s="609">
        <f t="shared" si="521"/>
        <v>0</v>
      </c>
      <c r="CM414" s="608">
        <f t="shared" si="522"/>
        <v>0</v>
      </c>
      <c r="CN414" s="610">
        <f t="shared" si="523"/>
        <v>0</v>
      </c>
      <c r="CO414" s="606">
        <f t="shared" si="524"/>
        <v>0</v>
      </c>
      <c r="CP414" s="607">
        <f t="shared" si="525"/>
        <v>0</v>
      </c>
      <c r="CQ414" s="606">
        <f t="shared" si="526"/>
        <v>0</v>
      </c>
      <c r="CR414" s="607">
        <f t="shared" si="527"/>
        <v>0</v>
      </c>
      <c r="CS414" s="606">
        <f t="shared" si="528"/>
        <v>0</v>
      </c>
      <c r="CT414" s="607">
        <f t="shared" si="529"/>
        <v>0</v>
      </c>
      <c r="CU414" s="608">
        <f t="shared" si="530"/>
        <v>0</v>
      </c>
      <c r="CV414" s="610">
        <f t="shared" si="531"/>
        <v>43778.032258064515</v>
      </c>
      <c r="CW414" s="608">
        <f t="shared" si="532"/>
        <v>43785.642857142855</v>
      </c>
      <c r="CX414" s="610">
        <f t="shared" si="533"/>
        <v>43778.032258064515</v>
      </c>
      <c r="CY414" s="611">
        <f t="shared" si="534"/>
        <v>43785.642857142855</v>
      </c>
      <c r="CZ414" s="605">
        <f t="shared" si="535"/>
        <v>0</v>
      </c>
      <c r="DA414" s="612">
        <f t="shared" si="536"/>
        <v>0</v>
      </c>
      <c r="DB414" s="607">
        <f t="shared" si="537"/>
        <v>0</v>
      </c>
      <c r="DC414" s="606">
        <f t="shared" si="538"/>
        <v>0</v>
      </c>
      <c r="DD414" s="607">
        <f t="shared" si="539"/>
        <v>0</v>
      </c>
      <c r="DE414" s="606">
        <f t="shared" si="540"/>
        <v>0</v>
      </c>
      <c r="DF414" s="607">
        <f t="shared" si="541"/>
        <v>0</v>
      </c>
      <c r="DG414" s="606">
        <f t="shared" si="542"/>
        <v>0</v>
      </c>
      <c r="DH414" s="607">
        <f t="shared" si="543"/>
        <v>0</v>
      </c>
      <c r="DI414" s="608">
        <f t="shared" si="544"/>
        <v>0</v>
      </c>
      <c r="DJ414" s="607">
        <f t="shared" si="545"/>
        <v>24</v>
      </c>
      <c r="DK414" s="608">
        <f t="shared" si="546"/>
        <v>23</v>
      </c>
      <c r="DL414" s="607">
        <f t="shared" si="547"/>
        <v>24</v>
      </c>
      <c r="DM414" s="608">
        <f t="shared" si="548"/>
        <v>23</v>
      </c>
      <c r="DN414" s="607">
        <f t="shared" si="549"/>
        <v>0</v>
      </c>
      <c r="DO414" s="612">
        <f t="shared" si="550"/>
        <v>0</v>
      </c>
      <c r="DP414" s="607">
        <f t="shared" si="551"/>
        <v>0</v>
      </c>
      <c r="DQ414" s="606">
        <f t="shared" si="552"/>
        <v>0</v>
      </c>
      <c r="DR414" s="607">
        <f t="shared" si="553"/>
        <v>0</v>
      </c>
      <c r="DS414" s="606">
        <f t="shared" si="554"/>
        <v>0</v>
      </c>
      <c r="DT414" s="607">
        <f t="shared" si="555"/>
        <v>0</v>
      </c>
      <c r="DU414" s="606">
        <f t="shared" si="556"/>
        <v>0</v>
      </c>
      <c r="DV414" s="607">
        <f t="shared" si="557"/>
        <v>0</v>
      </c>
      <c r="DW414" s="608">
        <f t="shared" si="558"/>
        <v>0</v>
      </c>
      <c r="DX414" s="607">
        <f t="shared" si="559"/>
        <v>1050672.7741935484</v>
      </c>
      <c r="DY414" s="608">
        <f t="shared" si="560"/>
        <v>1007069.7857142857</v>
      </c>
      <c r="DZ414" s="607">
        <f t="shared" si="561"/>
        <v>1050672.7741935484</v>
      </c>
      <c r="EA414" s="608">
        <f t="shared" si="562"/>
        <v>1007069.7857142857</v>
      </c>
    </row>
    <row r="415" spans="1:131" x14ac:dyDescent="0.2">
      <c r="A415" s="341" t="s">
        <v>41</v>
      </c>
      <c r="B415" s="342" t="s">
        <v>418</v>
      </c>
      <c r="C415" s="575"/>
      <c r="D415" s="343">
        <v>248606</v>
      </c>
      <c r="E415" s="344">
        <v>13</v>
      </c>
      <c r="F415" s="598"/>
      <c r="G415" s="599"/>
      <c r="H415" s="600"/>
      <c r="I415" s="601"/>
      <c r="J415" s="600"/>
      <c r="K415" s="599"/>
      <c r="L415" s="600"/>
      <c r="M415" s="601"/>
      <c r="N415" s="600"/>
      <c r="O415" s="599"/>
      <c r="P415" s="600"/>
      <c r="Q415" s="601"/>
      <c r="R415" s="600"/>
      <c r="S415" s="599"/>
      <c r="T415" s="600"/>
      <c r="U415" s="601"/>
      <c r="V415" s="600"/>
      <c r="W415" s="599"/>
      <c r="X415" s="600"/>
      <c r="Y415" s="601"/>
      <c r="Z415" s="600"/>
      <c r="AA415" s="599"/>
      <c r="AB415" s="600"/>
      <c r="AC415" s="601"/>
      <c r="AD415" s="600"/>
      <c r="AE415" s="599"/>
      <c r="AF415" s="600"/>
      <c r="AG415" s="601"/>
      <c r="AH415" s="600"/>
      <c r="AI415" s="599"/>
      <c r="AJ415" s="600"/>
      <c r="AK415" s="601"/>
      <c r="AL415" s="600"/>
      <c r="AM415" s="599"/>
      <c r="AN415" s="600"/>
      <c r="AO415" s="601"/>
      <c r="AP415" s="600"/>
      <c r="AQ415" s="599"/>
      <c r="AR415" s="600"/>
      <c r="AS415" s="601"/>
      <c r="AT415" s="600"/>
      <c r="AU415" s="599"/>
      <c r="AV415" s="600">
        <v>47</v>
      </c>
      <c r="AW415" s="601">
        <v>46</v>
      </c>
      <c r="AX415" s="600"/>
      <c r="AY415" s="599"/>
      <c r="AZ415" s="600">
        <v>1</v>
      </c>
      <c r="BA415" s="601">
        <v>1</v>
      </c>
      <c r="BB415" s="602">
        <v>0</v>
      </c>
      <c r="BC415" s="599"/>
      <c r="BD415" s="600">
        <v>0</v>
      </c>
      <c r="BE415" s="599"/>
      <c r="BF415" s="600">
        <v>0</v>
      </c>
      <c r="BG415" s="599"/>
      <c r="BH415" s="600">
        <v>0</v>
      </c>
      <c r="BI415" s="599"/>
      <c r="BJ415" s="600">
        <v>0</v>
      </c>
      <c r="BK415" s="615"/>
      <c r="BL415" s="600">
        <v>2772064</v>
      </c>
      <c r="BM415" s="604">
        <v>2755147</v>
      </c>
      <c r="BN415" s="605">
        <f t="shared" si="497"/>
        <v>0</v>
      </c>
      <c r="BO415" s="606">
        <f t="shared" si="498"/>
        <v>0</v>
      </c>
      <c r="BP415" s="607">
        <f t="shared" si="499"/>
        <v>0</v>
      </c>
      <c r="BQ415" s="606">
        <f t="shared" si="500"/>
        <v>0</v>
      </c>
      <c r="BR415" s="607">
        <f t="shared" si="501"/>
        <v>0</v>
      </c>
      <c r="BS415" s="606">
        <f t="shared" si="502"/>
        <v>0</v>
      </c>
      <c r="BT415" s="607">
        <f t="shared" si="503"/>
        <v>0</v>
      </c>
      <c r="BU415" s="606">
        <f t="shared" si="504"/>
        <v>0</v>
      </c>
      <c r="BV415" s="607">
        <f t="shared" si="505"/>
        <v>0</v>
      </c>
      <c r="BW415" s="608">
        <f t="shared" si="506"/>
        <v>0</v>
      </c>
      <c r="BX415" s="607">
        <f t="shared" si="507"/>
        <v>482</v>
      </c>
      <c r="BY415" s="608">
        <f t="shared" si="508"/>
        <v>472</v>
      </c>
      <c r="BZ415" s="607">
        <f t="shared" si="509"/>
        <v>0</v>
      </c>
      <c r="CA415" s="608">
        <f t="shared" si="510"/>
        <v>0</v>
      </c>
      <c r="CB415" s="607">
        <f t="shared" si="511"/>
        <v>0</v>
      </c>
      <c r="CC415" s="608">
        <f t="shared" si="512"/>
        <v>0</v>
      </c>
      <c r="CD415" s="607">
        <f t="shared" si="513"/>
        <v>0</v>
      </c>
      <c r="CE415" s="608">
        <f t="shared" si="514"/>
        <v>0</v>
      </c>
      <c r="CF415" s="607">
        <f t="shared" si="515"/>
        <v>0</v>
      </c>
      <c r="CG415" s="608">
        <f t="shared" si="516"/>
        <v>0</v>
      </c>
      <c r="CH415" s="607">
        <f t="shared" si="517"/>
        <v>0</v>
      </c>
      <c r="CI415" s="608">
        <f t="shared" si="518"/>
        <v>0</v>
      </c>
      <c r="CJ415" s="607">
        <f t="shared" si="519"/>
        <v>5751.1701244813275</v>
      </c>
      <c r="CK415" s="608">
        <f t="shared" si="520"/>
        <v>5837.1758474576272</v>
      </c>
      <c r="CL415" s="609">
        <f t="shared" si="521"/>
        <v>0</v>
      </c>
      <c r="CM415" s="608">
        <f t="shared" si="522"/>
        <v>0</v>
      </c>
      <c r="CN415" s="610">
        <f t="shared" si="523"/>
        <v>0</v>
      </c>
      <c r="CO415" s="606">
        <f t="shared" si="524"/>
        <v>0</v>
      </c>
      <c r="CP415" s="607">
        <f t="shared" si="525"/>
        <v>0</v>
      </c>
      <c r="CQ415" s="606">
        <f t="shared" si="526"/>
        <v>0</v>
      </c>
      <c r="CR415" s="607">
        <f t="shared" si="527"/>
        <v>0</v>
      </c>
      <c r="CS415" s="606">
        <f t="shared" si="528"/>
        <v>0</v>
      </c>
      <c r="CT415" s="607">
        <f t="shared" si="529"/>
        <v>0</v>
      </c>
      <c r="CU415" s="608">
        <f t="shared" si="530"/>
        <v>0</v>
      </c>
      <c r="CV415" s="610">
        <f t="shared" si="531"/>
        <v>51760.531120331951</v>
      </c>
      <c r="CW415" s="608">
        <f t="shared" si="532"/>
        <v>52534.582627118645</v>
      </c>
      <c r="CX415" s="610">
        <f t="shared" si="533"/>
        <v>51760.531120331951</v>
      </c>
      <c r="CY415" s="611">
        <f t="shared" si="534"/>
        <v>52534.582627118645</v>
      </c>
      <c r="CZ415" s="605">
        <f t="shared" si="535"/>
        <v>0</v>
      </c>
      <c r="DA415" s="612">
        <f t="shared" si="536"/>
        <v>0</v>
      </c>
      <c r="DB415" s="607">
        <f t="shared" si="537"/>
        <v>0</v>
      </c>
      <c r="DC415" s="606">
        <f t="shared" si="538"/>
        <v>0</v>
      </c>
      <c r="DD415" s="607">
        <f t="shared" si="539"/>
        <v>0</v>
      </c>
      <c r="DE415" s="606">
        <f t="shared" si="540"/>
        <v>0</v>
      </c>
      <c r="DF415" s="607">
        <f t="shared" si="541"/>
        <v>0</v>
      </c>
      <c r="DG415" s="606">
        <f t="shared" si="542"/>
        <v>0</v>
      </c>
      <c r="DH415" s="607">
        <f t="shared" si="543"/>
        <v>0</v>
      </c>
      <c r="DI415" s="608">
        <f t="shared" si="544"/>
        <v>0</v>
      </c>
      <c r="DJ415" s="607">
        <f t="shared" si="545"/>
        <v>48</v>
      </c>
      <c r="DK415" s="608">
        <f t="shared" si="546"/>
        <v>47</v>
      </c>
      <c r="DL415" s="607">
        <f t="shared" si="547"/>
        <v>48</v>
      </c>
      <c r="DM415" s="608">
        <f t="shared" si="548"/>
        <v>47</v>
      </c>
      <c r="DN415" s="607">
        <f t="shared" si="549"/>
        <v>0</v>
      </c>
      <c r="DO415" s="612">
        <f t="shared" si="550"/>
        <v>0</v>
      </c>
      <c r="DP415" s="607">
        <f t="shared" si="551"/>
        <v>0</v>
      </c>
      <c r="DQ415" s="606">
        <f t="shared" si="552"/>
        <v>0</v>
      </c>
      <c r="DR415" s="607">
        <f t="shared" si="553"/>
        <v>0</v>
      </c>
      <c r="DS415" s="606">
        <f t="shared" si="554"/>
        <v>0</v>
      </c>
      <c r="DT415" s="607">
        <f t="shared" si="555"/>
        <v>0</v>
      </c>
      <c r="DU415" s="606">
        <f t="shared" si="556"/>
        <v>0</v>
      </c>
      <c r="DV415" s="607">
        <f t="shared" si="557"/>
        <v>0</v>
      </c>
      <c r="DW415" s="608">
        <f t="shared" si="558"/>
        <v>0</v>
      </c>
      <c r="DX415" s="607">
        <f t="shared" si="559"/>
        <v>2484505.4937759335</v>
      </c>
      <c r="DY415" s="608">
        <f t="shared" si="560"/>
        <v>2469125.3834745763</v>
      </c>
      <c r="DZ415" s="607">
        <f t="shared" si="561"/>
        <v>2484505.4937759335</v>
      </c>
      <c r="EA415" s="608">
        <f t="shared" si="562"/>
        <v>2469125.3834745763</v>
      </c>
    </row>
    <row r="416" spans="1:131" x14ac:dyDescent="0.2">
      <c r="A416" s="341" t="s">
        <v>41</v>
      </c>
      <c r="B416" s="345" t="s">
        <v>419</v>
      </c>
      <c r="C416" s="576"/>
      <c r="D416" s="343">
        <v>420459</v>
      </c>
      <c r="E416" s="344">
        <v>13</v>
      </c>
      <c r="F416" s="598"/>
      <c r="G416" s="599"/>
      <c r="H416" s="600"/>
      <c r="I416" s="601"/>
      <c r="J416" s="600"/>
      <c r="K416" s="599"/>
      <c r="L416" s="600"/>
      <c r="M416" s="601"/>
      <c r="N416" s="600"/>
      <c r="O416" s="599"/>
      <c r="P416" s="600"/>
      <c r="Q416" s="601"/>
      <c r="R416" s="600"/>
      <c r="S416" s="599"/>
      <c r="T416" s="600"/>
      <c r="U416" s="601"/>
      <c r="V416" s="600"/>
      <c r="W416" s="599"/>
      <c r="X416" s="600"/>
      <c r="Y416" s="601"/>
      <c r="Z416" s="600"/>
      <c r="AA416" s="599"/>
      <c r="AB416" s="600"/>
      <c r="AC416" s="601"/>
      <c r="AD416" s="600"/>
      <c r="AE416" s="599"/>
      <c r="AF416" s="600"/>
      <c r="AG416" s="601"/>
      <c r="AH416" s="600"/>
      <c r="AI416" s="599"/>
      <c r="AJ416" s="600"/>
      <c r="AK416" s="601"/>
      <c r="AL416" s="600"/>
      <c r="AM416" s="599"/>
      <c r="AN416" s="600"/>
      <c r="AO416" s="601"/>
      <c r="AP416" s="600"/>
      <c r="AQ416" s="599"/>
      <c r="AR416" s="600"/>
      <c r="AS416" s="601"/>
      <c r="AT416" s="600"/>
      <c r="AU416" s="599"/>
      <c r="AV416" s="600">
        <v>15</v>
      </c>
      <c r="AW416" s="601">
        <v>14</v>
      </c>
      <c r="AX416" s="600"/>
      <c r="AY416" s="599"/>
      <c r="AZ416" s="600">
        <v>4</v>
      </c>
      <c r="BA416" s="601">
        <v>2</v>
      </c>
      <c r="BB416" s="602">
        <v>0</v>
      </c>
      <c r="BC416" s="599"/>
      <c r="BD416" s="600">
        <v>0</v>
      </c>
      <c r="BE416" s="599"/>
      <c r="BF416" s="600">
        <v>0</v>
      </c>
      <c r="BG416" s="599"/>
      <c r="BH416" s="600">
        <v>0</v>
      </c>
      <c r="BI416" s="599"/>
      <c r="BJ416" s="600">
        <v>0</v>
      </c>
      <c r="BK416" s="615"/>
      <c r="BL416" s="600">
        <v>1081625</v>
      </c>
      <c r="BM416" s="604">
        <v>899938</v>
      </c>
      <c r="BN416" s="605">
        <f t="shared" si="497"/>
        <v>0</v>
      </c>
      <c r="BO416" s="606">
        <f t="shared" si="498"/>
        <v>0</v>
      </c>
      <c r="BP416" s="607">
        <f t="shared" si="499"/>
        <v>0</v>
      </c>
      <c r="BQ416" s="606">
        <f t="shared" si="500"/>
        <v>0</v>
      </c>
      <c r="BR416" s="607">
        <f t="shared" si="501"/>
        <v>0</v>
      </c>
      <c r="BS416" s="606">
        <f t="shared" si="502"/>
        <v>0</v>
      </c>
      <c r="BT416" s="607">
        <f t="shared" si="503"/>
        <v>0</v>
      </c>
      <c r="BU416" s="606">
        <f t="shared" si="504"/>
        <v>0</v>
      </c>
      <c r="BV416" s="607">
        <f t="shared" si="505"/>
        <v>0</v>
      </c>
      <c r="BW416" s="608">
        <f t="shared" si="506"/>
        <v>0</v>
      </c>
      <c r="BX416" s="607">
        <f t="shared" si="507"/>
        <v>198</v>
      </c>
      <c r="BY416" s="608">
        <f t="shared" si="508"/>
        <v>164</v>
      </c>
      <c r="BZ416" s="607">
        <f t="shared" si="509"/>
        <v>0</v>
      </c>
      <c r="CA416" s="608">
        <f t="shared" si="510"/>
        <v>0</v>
      </c>
      <c r="CB416" s="607">
        <f t="shared" si="511"/>
        <v>0</v>
      </c>
      <c r="CC416" s="608">
        <f t="shared" si="512"/>
        <v>0</v>
      </c>
      <c r="CD416" s="607">
        <f t="shared" si="513"/>
        <v>0</v>
      </c>
      <c r="CE416" s="608">
        <f t="shared" si="514"/>
        <v>0</v>
      </c>
      <c r="CF416" s="607">
        <f t="shared" si="515"/>
        <v>0</v>
      </c>
      <c r="CG416" s="608">
        <f t="shared" si="516"/>
        <v>0</v>
      </c>
      <c r="CH416" s="607">
        <f t="shared" si="517"/>
        <v>0</v>
      </c>
      <c r="CI416" s="608">
        <f t="shared" si="518"/>
        <v>0</v>
      </c>
      <c r="CJ416" s="607">
        <f t="shared" si="519"/>
        <v>5462.7525252525256</v>
      </c>
      <c r="CK416" s="608">
        <f t="shared" si="520"/>
        <v>5487.4268292682927</v>
      </c>
      <c r="CL416" s="609">
        <f t="shared" si="521"/>
        <v>0</v>
      </c>
      <c r="CM416" s="608">
        <f t="shared" si="522"/>
        <v>0</v>
      </c>
      <c r="CN416" s="610">
        <f t="shared" si="523"/>
        <v>0</v>
      </c>
      <c r="CO416" s="606">
        <f t="shared" si="524"/>
        <v>0</v>
      </c>
      <c r="CP416" s="607">
        <f t="shared" si="525"/>
        <v>0</v>
      </c>
      <c r="CQ416" s="606">
        <f t="shared" si="526"/>
        <v>0</v>
      </c>
      <c r="CR416" s="607">
        <f t="shared" si="527"/>
        <v>0</v>
      </c>
      <c r="CS416" s="606">
        <f t="shared" si="528"/>
        <v>0</v>
      </c>
      <c r="CT416" s="607">
        <f t="shared" si="529"/>
        <v>0</v>
      </c>
      <c r="CU416" s="608">
        <f t="shared" si="530"/>
        <v>0</v>
      </c>
      <c r="CV416" s="610">
        <f t="shared" si="531"/>
        <v>49164.772727272728</v>
      </c>
      <c r="CW416" s="608">
        <f t="shared" si="532"/>
        <v>49386.841463414632</v>
      </c>
      <c r="CX416" s="610">
        <f t="shared" si="533"/>
        <v>49164.772727272728</v>
      </c>
      <c r="CY416" s="611">
        <f t="shared" si="534"/>
        <v>49386.841463414632</v>
      </c>
      <c r="CZ416" s="605">
        <f t="shared" si="535"/>
        <v>0</v>
      </c>
      <c r="DA416" s="612">
        <f t="shared" si="536"/>
        <v>0</v>
      </c>
      <c r="DB416" s="607">
        <f t="shared" si="537"/>
        <v>0</v>
      </c>
      <c r="DC416" s="606">
        <f t="shared" si="538"/>
        <v>0</v>
      </c>
      <c r="DD416" s="607">
        <f t="shared" si="539"/>
        <v>0</v>
      </c>
      <c r="DE416" s="606">
        <f t="shared" si="540"/>
        <v>0</v>
      </c>
      <c r="DF416" s="607">
        <f t="shared" si="541"/>
        <v>0</v>
      </c>
      <c r="DG416" s="606">
        <f t="shared" si="542"/>
        <v>0</v>
      </c>
      <c r="DH416" s="607">
        <f t="shared" si="543"/>
        <v>0</v>
      </c>
      <c r="DI416" s="608">
        <f t="shared" si="544"/>
        <v>0</v>
      </c>
      <c r="DJ416" s="607">
        <f t="shared" si="545"/>
        <v>19</v>
      </c>
      <c r="DK416" s="608">
        <f t="shared" si="546"/>
        <v>16</v>
      </c>
      <c r="DL416" s="607">
        <f t="shared" si="547"/>
        <v>19</v>
      </c>
      <c r="DM416" s="608">
        <f t="shared" si="548"/>
        <v>16</v>
      </c>
      <c r="DN416" s="607">
        <f t="shared" si="549"/>
        <v>0</v>
      </c>
      <c r="DO416" s="612">
        <f t="shared" si="550"/>
        <v>0</v>
      </c>
      <c r="DP416" s="607">
        <f t="shared" si="551"/>
        <v>0</v>
      </c>
      <c r="DQ416" s="606">
        <f t="shared" si="552"/>
        <v>0</v>
      </c>
      <c r="DR416" s="607">
        <f t="shared" si="553"/>
        <v>0</v>
      </c>
      <c r="DS416" s="606">
        <f t="shared" si="554"/>
        <v>0</v>
      </c>
      <c r="DT416" s="607">
        <f t="shared" si="555"/>
        <v>0</v>
      </c>
      <c r="DU416" s="606">
        <f t="shared" si="556"/>
        <v>0</v>
      </c>
      <c r="DV416" s="607">
        <f t="shared" si="557"/>
        <v>0</v>
      </c>
      <c r="DW416" s="608">
        <f t="shared" si="558"/>
        <v>0</v>
      </c>
      <c r="DX416" s="607">
        <f t="shared" si="559"/>
        <v>934130.68181818188</v>
      </c>
      <c r="DY416" s="608">
        <f t="shared" si="560"/>
        <v>790189.46341463411</v>
      </c>
      <c r="DZ416" s="607">
        <f t="shared" si="561"/>
        <v>934130.68181818188</v>
      </c>
      <c r="EA416" s="608">
        <f t="shared" si="562"/>
        <v>790189.46341463411</v>
      </c>
    </row>
    <row r="417" spans="1:131" x14ac:dyDescent="0.2">
      <c r="A417" s="346" t="s">
        <v>41</v>
      </c>
      <c r="B417" s="347" t="s">
        <v>420</v>
      </c>
      <c r="C417" s="577" t="s">
        <v>421</v>
      </c>
      <c r="D417" s="348">
        <v>456560</v>
      </c>
      <c r="E417" s="352">
        <v>13</v>
      </c>
      <c r="F417" s="598"/>
      <c r="G417" s="599"/>
      <c r="H417" s="600"/>
      <c r="I417" s="601"/>
      <c r="J417" s="600"/>
      <c r="K417" s="599"/>
      <c r="L417" s="600"/>
      <c r="M417" s="601"/>
      <c r="N417" s="600"/>
      <c r="O417" s="599"/>
      <c r="P417" s="600"/>
      <c r="Q417" s="601"/>
      <c r="R417" s="600"/>
      <c r="S417" s="599"/>
      <c r="T417" s="600"/>
      <c r="U417" s="601"/>
      <c r="V417" s="600"/>
      <c r="W417" s="599"/>
      <c r="X417" s="600"/>
      <c r="Y417" s="601"/>
      <c r="Z417" s="600"/>
      <c r="AA417" s="599"/>
      <c r="AB417" s="600"/>
      <c r="AC417" s="601"/>
      <c r="AD417" s="600"/>
      <c r="AE417" s="599"/>
      <c r="AF417" s="600"/>
      <c r="AG417" s="601"/>
      <c r="AH417" s="600"/>
      <c r="AI417" s="599"/>
      <c r="AJ417" s="600"/>
      <c r="AK417" s="601"/>
      <c r="AL417" s="600"/>
      <c r="AM417" s="599"/>
      <c r="AN417" s="600"/>
      <c r="AO417" s="601"/>
      <c r="AP417" s="600"/>
      <c r="AQ417" s="599"/>
      <c r="AR417" s="600"/>
      <c r="AS417" s="601"/>
      <c r="AT417" s="600"/>
      <c r="AU417" s="599"/>
      <c r="AV417" s="600">
        <v>4</v>
      </c>
      <c r="AW417" s="601">
        <v>4</v>
      </c>
      <c r="AX417" s="600"/>
      <c r="AY417" s="599"/>
      <c r="AZ417" s="600">
        <v>2</v>
      </c>
      <c r="BA417" s="601">
        <v>2</v>
      </c>
      <c r="BB417" s="602">
        <v>0</v>
      </c>
      <c r="BC417" s="599"/>
      <c r="BD417" s="600">
        <v>0</v>
      </c>
      <c r="BE417" s="599"/>
      <c r="BF417" s="600">
        <v>0</v>
      </c>
      <c r="BG417" s="599"/>
      <c r="BH417" s="600">
        <v>0</v>
      </c>
      <c r="BI417" s="599"/>
      <c r="BJ417" s="600">
        <v>0</v>
      </c>
      <c r="BK417" s="615"/>
      <c r="BL417" s="600">
        <v>320056</v>
      </c>
      <c r="BM417" s="604">
        <v>326347</v>
      </c>
      <c r="BN417" s="605">
        <f t="shared" si="497"/>
        <v>0</v>
      </c>
      <c r="BO417" s="606">
        <f t="shared" si="498"/>
        <v>0</v>
      </c>
      <c r="BP417" s="607">
        <f t="shared" si="499"/>
        <v>0</v>
      </c>
      <c r="BQ417" s="606">
        <f t="shared" si="500"/>
        <v>0</v>
      </c>
      <c r="BR417" s="607">
        <f t="shared" si="501"/>
        <v>0</v>
      </c>
      <c r="BS417" s="606">
        <f t="shared" si="502"/>
        <v>0</v>
      </c>
      <c r="BT417" s="607">
        <f t="shared" si="503"/>
        <v>0</v>
      </c>
      <c r="BU417" s="606">
        <f t="shared" si="504"/>
        <v>0</v>
      </c>
      <c r="BV417" s="607">
        <f t="shared" si="505"/>
        <v>0</v>
      </c>
      <c r="BW417" s="608">
        <f t="shared" si="506"/>
        <v>0</v>
      </c>
      <c r="BX417" s="607">
        <f t="shared" si="507"/>
        <v>64</v>
      </c>
      <c r="BY417" s="608">
        <f t="shared" si="508"/>
        <v>64</v>
      </c>
      <c r="BZ417" s="607">
        <f t="shared" si="509"/>
        <v>0</v>
      </c>
      <c r="CA417" s="608">
        <f t="shared" si="510"/>
        <v>0</v>
      </c>
      <c r="CB417" s="607">
        <f t="shared" si="511"/>
        <v>0</v>
      </c>
      <c r="CC417" s="608">
        <f t="shared" si="512"/>
        <v>0</v>
      </c>
      <c r="CD417" s="607">
        <f t="shared" si="513"/>
        <v>0</v>
      </c>
      <c r="CE417" s="608">
        <f t="shared" si="514"/>
        <v>0</v>
      </c>
      <c r="CF417" s="607">
        <f t="shared" si="515"/>
        <v>0</v>
      </c>
      <c r="CG417" s="608">
        <f t="shared" si="516"/>
        <v>0</v>
      </c>
      <c r="CH417" s="607">
        <f t="shared" si="517"/>
        <v>0</v>
      </c>
      <c r="CI417" s="608">
        <f t="shared" si="518"/>
        <v>0</v>
      </c>
      <c r="CJ417" s="607">
        <f t="shared" si="519"/>
        <v>5000.875</v>
      </c>
      <c r="CK417" s="608">
        <f t="shared" si="520"/>
        <v>5099.171875</v>
      </c>
      <c r="CL417" s="609">
        <f t="shared" si="521"/>
        <v>0</v>
      </c>
      <c r="CM417" s="608">
        <f t="shared" si="522"/>
        <v>0</v>
      </c>
      <c r="CN417" s="610">
        <f t="shared" si="523"/>
        <v>0</v>
      </c>
      <c r="CO417" s="606">
        <f t="shared" si="524"/>
        <v>0</v>
      </c>
      <c r="CP417" s="607">
        <f t="shared" si="525"/>
        <v>0</v>
      </c>
      <c r="CQ417" s="606">
        <f t="shared" si="526"/>
        <v>0</v>
      </c>
      <c r="CR417" s="607">
        <f t="shared" si="527"/>
        <v>0</v>
      </c>
      <c r="CS417" s="606">
        <f t="shared" si="528"/>
        <v>0</v>
      </c>
      <c r="CT417" s="607">
        <f t="shared" si="529"/>
        <v>0</v>
      </c>
      <c r="CU417" s="608">
        <f t="shared" si="530"/>
        <v>0</v>
      </c>
      <c r="CV417" s="610">
        <f t="shared" si="531"/>
        <v>45007.875</v>
      </c>
      <c r="CW417" s="608">
        <f t="shared" si="532"/>
        <v>45892.546875</v>
      </c>
      <c r="CX417" s="610">
        <f t="shared" si="533"/>
        <v>45007.875</v>
      </c>
      <c r="CY417" s="611">
        <f t="shared" si="534"/>
        <v>45892.546875</v>
      </c>
      <c r="CZ417" s="605">
        <f t="shared" si="535"/>
        <v>0</v>
      </c>
      <c r="DA417" s="612">
        <f t="shared" si="536"/>
        <v>0</v>
      </c>
      <c r="DB417" s="607">
        <f t="shared" si="537"/>
        <v>0</v>
      </c>
      <c r="DC417" s="606">
        <f t="shared" si="538"/>
        <v>0</v>
      </c>
      <c r="DD417" s="607">
        <f t="shared" si="539"/>
        <v>0</v>
      </c>
      <c r="DE417" s="606">
        <f t="shared" si="540"/>
        <v>0</v>
      </c>
      <c r="DF417" s="607">
        <f t="shared" si="541"/>
        <v>0</v>
      </c>
      <c r="DG417" s="606">
        <f t="shared" si="542"/>
        <v>0</v>
      </c>
      <c r="DH417" s="607">
        <f t="shared" si="543"/>
        <v>0</v>
      </c>
      <c r="DI417" s="608">
        <f t="shared" si="544"/>
        <v>0</v>
      </c>
      <c r="DJ417" s="607">
        <f t="shared" si="545"/>
        <v>6</v>
      </c>
      <c r="DK417" s="608">
        <f t="shared" si="546"/>
        <v>6</v>
      </c>
      <c r="DL417" s="607">
        <f t="shared" si="547"/>
        <v>6</v>
      </c>
      <c r="DM417" s="608">
        <f t="shared" si="548"/>
        <v>6</v>
      </c>
      <c r="DN417" s="607">
        <f t="shared" si="549"/>
        <v>0</v>
      </c>
      <c r="DO417" s="612">
        <f t="shared" si="550"/>
        <v>0</v>
      </c>
      <c r="DP417" s="607">
        <f t="shared" si="551"/>
        <v>0</v>
      </c>
      <c r="DQ417" s="606">
        <f t="shared" si="552"/>
        <v>0</v>
      </c>
      <c r="DR417" s="607">
        <f t="shared" si="553"/>
        <v>0</v>
      </c>
      <c r="DS417" s="606">
        <f t="shared" si="554"/>
        <v>0</v>
      </c>
      <c r="DT417" s="607">
        <f t="shared" si="555"/>
        <v>0</v>
      </c>
      <c r="DU417" s="606">
        <f t="shared" si="556"/>
        <v>0</v>
      </c>
      <c r="DV417" s="607">
        <f t="shared" si="557"/>
        <v>0</v>
      </c>
      <c r="DW417" s="608">
        <f t="shared" si="558"/>
        <v>0</v>
      </c>
      <c r="DX417" s="607">
        <f t="shared" si="559"/>
        <v>270047.25</v>
      </c>
      <c r="DY417" s="608">
        <f t="shared" si="560"/>
        <v>275355.28125</v>
      </c>
      <c r="DZ417" s="607">
        <f t="shared" si="561"/>
        <v>270047.25</v>
      </c>
      <c r="EA417" s="608">
        <f t="shared" si="562"/>
        <v>275355.28125</v>
      </c>
    </row>
    <row r="418" spans="1:131" x14ac:dyDescent="0.2">
      <c r="A418" s="341" t="s">
        <v>41</v>
      </c>
      <c r="B418" s="349" t="s">
        <v>422</v>
      </c>
      <c r="C418" s="578"/>
      <c r="D418" s="350">
        <v>432074</v>
      </c>
      <c r="E418" s="344">
        <v>13</v>
      </c>
      <c r="F418" s="598"/>
      <c r="G418" s="599"/>
      <c r="H418" s="600"/>
      <c r="I418" s="601"/>
      <c r="J418" s="600"/>
      <c r="K418" s="599"/>
      <c r="L418" s="600"/>
      <c r="M418" s="601"/>
      <c r="N418" s="600"/>
      <c r="O418" s="599"/>
      <c r="P418" s="600"/>
      <c r="Q418" s="601"/>
      <c r="R418" s="600"/>
      <c r="S418" s="599"/>
      <c r="T418" s="600"/>
      <c r="U418" s="601"/>
      <c r="V418" s="600"/>
      <c r="W418" s="599"/>
      <c r="X418" s="600"/>
      <c r="Y418" s="601"/>
      <c r="Z418" s="600"/>
      <c r="AA418" s="599"/>
      <c r="AB418" s="600"/>
      <c r="AC418" s="601"/>
      <c r="AD418" s="600"/>
      <c r="AE418" s="599"/>
      <c r="AF418" s="600"/>
      <c r="AG418" s="601"/>
      <c r="AH418" s="600"/>
      <c r="AI418" s="599"/>
      <c r="AJ418" s="600"/>
      <c r="AK418" s="601"/>
      <c r="AL418" s="600"/>
      <c r="AM418" s="599"/>
      <c r="AN418" s="600"/>
      <c r="AO418" s="601"/>
      <c r="AP418" s="600"/>
      <c r="AQ418" s="599"/>
      <c r="AR418" s="600"/>
      <c r="AS418" s="601"/>
      <c r="AT418" s="600"/>
      <c r="AU418" s="599"/>
      <c r="AV418" s="600">
        <v>6</v>
      </c>
      <c r="AW418" s="601">
        <v>6</v>
      </c>
      <c r="AX418" s="600"/>
      <c r="AY418" s="599"/>
      <c r="AZ418" s="600">
        <v>3</v>
      </c>
      <c r="BA418" s="601">
        <v>3</v>
      </c>
      <c r="BB418" s="602">
        <v>0</v>
      </c>
      <c r="BC418" s="599"/>
      <c r="BD418" s="600">
        <v>0</v>
      </c>
      <c r="BE418" s="599"/>
      <c r="BF418" s="600">
        <v>0</v>
      </c>
      <c r="BG418" s="599"/>
      <c r="BH418" s="600">
        <v>0</v>
      </c>
      <c r="BI418" s="599"/>
      <c r="BJ418" s="600">
        <v>0</v>
      </c>
      <c r="BK418" s="615"/>
      <c r="BL418" s="600">
        <v>502206</v>
      </c>
      <c r="BM418" s="604">
        <v>508166</v>
      </c>
      <c r="BN418" s="605">
        <f t="shared" si="497"/>
        <v>0</v>
      </c>
      <c r="BO418" s="606">
        <f t="shared" si="498"/>
        <v>0</v>
      </c>
      <c r="BP418" s="607">
        <f t="shared" si="499"/>
        <v>0</v>
      </c>
      <c r="BQ418" s="606">
        <f t="shared" si="500"/>
        <v>0</v>
      </c>
      <c r="BR418" s="607">
        <f t="shared" si="501"/>
        <v>0</v>
      </c>
      <c r="BS418" s="606">
        <f t="shared" si="502"/>
        <v>0</v>
      </c>
      <c r="BT418" s="607">
        <f t="shared" si="503"/>
        <v>0</v>
      </c>
      <c r="BU418" s="606">
        <f t="shared" si="504"/>
        <v>0</v>
      </c>
      <c r="BV418" s="607">
        <f t="shared" si="505"/>
        <v>0</v>
      </c>
      <c r="BW418" s="608">
        <f t="shared" si="506"/>
        <v>0</v>
      </c>
      <c r="BX418" s="607">
        <f t="shared" si="507"/>
        <v>96</v>
      </c>
      <c r="BY418" s="608">
        <f t="shared" si="508"/>
        <v>96</v>
      </c>
      <c r="BZ418" s="607">
        <f t="shared" si="509"/>
        <v>0</v>
      </c>
      <c r="CA418" s="608">
        <f t="shared" si="510"/>
        <v>0</v>
      </c>
      <c r="CB418" s="607">
        <f t="shared" si="511"/>
        <v>0</v>
      </c>
      <c r="CC418" s="608">
        <f t="shared" si="512"/>
        <v>0</v>
      </c>
      <c r="CD418" s="607">
        <f t="shared" si="513"/>
        <v>0</v>
      </c>
      <c r="CE418" s="608">
        <f t="shared" si="514"/>
        <v>0</v>
      </c>
      <c r="CF418" s="607">
        <f t="shared" si="515"/>
        <v>0</v>
      </c>
      <c r="CG418" s="608">
        <f t="shared" si="516"/>
        <v>0</v>
      </c>
      <c r="CH418" s="607">
        <f t="shared" si="517"/>
        <v>0</v>
      </c>
      <c r="CI418" s="608">
        <f t="shared" si="518"/>
        <v>0</v>
      </c>
      <c r="CJ418" s="607">
        <f t="shared" si="519"/>
        <v>5231.3125</v>
      </c>
      <c r="CK418" s="608">
        <f t="shared" si="520"/>
        <v>5293.395833333333</v>
      </c>
      <c r="CL418" s="609">
        <f t="shared" si="521"/>
        <v>0</v>
      </c>
      <c r="CM418" s="608">
        <f t="shared" si="522"/>
        <v>0</v>
      </c>
      <c r="CN418" s="610">
        <f t="shared" si="523"/>
        <v>0</v>
      </c>
      <c r="CO418" s="606">
        <f t="shared" si="524"/>
        <v>0</v>
      </c>
      <c r="CP418" s="607">
        <f t="shared" si="525"/>
        <v>0</v>
      </c>
      <c r="CQ418" s="606">
        <f t="shared" si="526"/>
        <v>0</v>
      </c>
      <c r="CR418" s="607">
        <f t="shared" si="527"/>
        <v>0</v>
      </c>
      <c r="CS418" s="606">
        <f t="shared" si="528"/>
        <v>0</v>
      </c>
      <c r="CT418" s="607">
        <f t="shared" si="529"/>
        <v>0</v>
      </c>
      <c r="CU418" s="608">
        <f t="shared" si="530"/>
        <v>0</v>
      </c>
      <c r="CV418" s="610">
        <f t="shared" si="531"/>
        <v>47081.8125</v>
      </c>
      <c r="CW418" s="608">
        <f t="shared" si="532"/>
        <v>47640.5625</v>
      </c>
      <c r="CX418" s="610">
        <f t="shared" si="533"/>
        <v>47081.8125</v>
      </c>
      <c r="CY418" s="611">
        <f t="shared" si="534"/>
        <v>47640.5625</v>
      </c>
      <c r="CZ418" s="605">
        <f t="shared" si="535"/>
        <v>0</v>
      </c>
      <c r="DA418" s="612">
        <f t="shared" si="536"/>
        <v>0</v>
      </c>
      <c r="DB418" s="607">
        <f t="shared" si="537"/>
        <v>0</v>
      </c>
      <c r="DC418" s="606">
        <f t="shared" si="538"/>
        <v>0</v>
      </c>
      <c r="DD418" s="607">
        <f t="shared" si="539"/>
        <v>0</v>
      </c>
      <c r="DE418" s="606">
        <f t="shared" si="540"/>
        <v>0</v>
      </c>
      <c r="DF418" s="607">
        <f t="shared" si="541"/>
        <v>0</v>
      </c>
      <c r="DG418" s="606">
        <f t="shared" si="542"/>
        <v>0</v>
      </c>
      <c r="DH418" s="607">
        <f t="shared" si="543"/>
        <v>0</v>
      </c>
      <c r="DI418" s="608">
        <f t="shared" si="544"/>
        <v>0</v>
      </c>
      <c r="DJ418" s="607">
        <f t="shared" si="545"/>
        <v>9</v>
      </c>
      <c r="DK418" s="608">
        <f t="shared" si="546"/>
        <v>9</v>
      </c>
      <c r="DL418" s="607">
        <f t="shared" si="547"/>
        <v>9</v>
      </c>
      <c r="DM418" s="608">
        <f t="shared" si="548"/>
        <v>9</v>
      </c>
      <c r="DN418" s="607">
        <f t="shared" si="549"/>
        <v>0</v>
      </c>
      <c r="DO418" s="612">
        <f t="shared" si="550"/>
        <v>0</v>
      </c>
      <c r="DP418" s="607">
        <f t="shared" si="551"/>
        <v>0</v>
      </c>
      <c r="DQ418" s="606">
        <f t="shared" si="552"/>
        <v>0</v>
      </c>
      <c r="DR418" s="607">
        <f t="shared" si="553"/>
        <v>0</v>
      </c>
      <c r="DS418" s="606">
        <f t="shared" si="554"/>
        <v>0</v>
      </c>
      <c r="DT418" s="607">
        <f t="shared" si="555"/>
        <v>0</v>
      </c>
      <c r="DU418" s="606">
        <f t="shared" si="556"/>
        <v>0</v>
      </c>
      <c r="DV418" s="607">
        <f t="shared" si="557"/>
        <v>0</v>
      </c>
      <c r="DW418" s="608">
        <f t="shared" si="558"/>
        <v>0</v>
      </c>
      <c r="DX418" s="607">
        <f t="shared" si="559"/>
        <v>423736.3125</v>
      </c>
      <c r="DY418" s="608">
        <f t="shared" si="560"/>
        <v>428765.0625</v>
      </c>
      <c r="DZ418" s="607">
        <f t="shared" si="561"/>
        <v>423736.3125</v>
      </c>
      <c r="EA418" s="608">
        <f t="shared" si="562"/>
        <v>428765.0625</v>
      </c>
    </row>
    <row r="419" spans="1:131" x14ac:dyDescent="0.2">
      <c r="A419" s="341" t="s">
        <v>41</v>
      </c>
      <c r="B419" s="349" t="s">
        <v>423</v>
      </c>
      <c r="C419" s="578"/>
      <c r="D419" s="350">
        <v>418339</v>
      </c>
      <c r="E419" s="344">
        <v>13</v>
      </c>
      <c r="F419" s="598"/>
      <c r="G419" s="599"/>
      <c r="H419" s="600"/>
      <c r="I419" s="601"/>
      <c r="J419" s="600"/>
      <c r="K419" s="599"/>
      <c r="L419" s="600"/>
      <c r="M419" s="601"/>
      <c r="N419" s="600"/>
      <c r="O419" s="599"/>
      <c r="P419" s="600"/>
      <c r="Q419" s="601"/>
      <c r="R419" s="600"/>
      <c r="S419" s="599"/>
      <c r="T419" s="600"/>
      <c r="U419" s="601"/>
      <c r="V419" s="600"/>
      <c r="W419" s="599"/>
      <c r="X419" s="600"/>
      <c r="Y419" s="601"/>
      <c r="Z419" s="600"/>
      <c r="AA419" s="599"/>
      <c r="AB419" s="600"/>
      <c r="AC419" s="601"/>
      <c r="AD419" s="600"/>
      <c r="AE419" s="599"/>
      <c r="AF419" s="600"/>
      <c r="AG419" s="601"/>
      <c r="AH419" s="600"/>
      <c r="AI419" s="599"/>
      <c r="AJ419" s="600"/>
      <c r="AK419" s="601"/>
      <c r="AL419" s="600"/>
      <c r="AM419" s="599"/>
      <c r="AN419" s="600"/>
      <c r="AO419" s="601"/>
      <c r="AP419" s="600"/>
      <c r="AQ419" s="599"/>
      <c r="AR419" s="600"/>
      <c r="AS419" s="601"/>
      <c r="AT419" s="600"/>
      <c r="AU419" s="599"/>
      <c r="AV419" s="600">
        <v>13</v>
      </c>
      <c r="AW419" s="601">
        <v>13</v>
      </c>
      <c r="AX419" s="600"/>
      <c r="AY419" s="599"/>
      <c r="AZ419" s="600">
        <v>3</v>
      </c>
      <c r="BA419" s="601">
        <v>2</v>
      </c>
      <c r="BB419" s="602">
        <v>0</v>
      </c>
      <c r="BC419" s="599"/>
      <c r="BD419" s="600">
        <v>0</v>
      </c>
      <c r="BE419" s="599"/>
      <c r="BF419" s="600">
        <v>0</v>
      </c>
      <c r="BG419" s="599"/>
      <c r="BH419" s="600">
        <v>0</v>
      </c>
      <c r="BI419" s="599"/>
      <c r="BJ419" s="600">
        <v>0</v>
      </c>
      <c r="BK419" s="615"/>
      <c r="BL419" s="600">
        <v>880182</v>
      </c>
      <c r="BM419" s="604">
        <v>824329</v>
      </c>
      <c r="BN419" s="605">
        <f t="shared" si="497"/>
        <v>0</v>
      </c>
      <c r="BO419" s="606">
        <f t="shared" si="498"/>
        <v>0</v>
      </c>
      <c r="BP419" s="607">
        <f t="shared" si="499"/>
        <v>0</v>
      </c>
      <c r="BQ419" s="606">
        <f t="shared" si="500"/>
        <v>0</v>
      </c>
      <c r="BR419" s="607">
        <f t="shared" si="501"/>
        <v>0</v>
      </c>
      <c r="BS419" s="606">
        <f t="shared" si="502"/>
        <v>0</v>
      </c>
      <c r="BT419" s="607">
        <f t="shared" si="503"/>
        <v>0</v>
      </c>
      <c r="BU419" s="606">
        <f t="shared" si="504"/>
        <v>0</v>
      </c>
      <c r="BV419" s="607">
        <f t="shared" si="505"/>
        <v>0</v>
      </c>
      <c r="BW419" s="608">
        <f t="shared" si="506"/>
        <v>0</v>
      </c>
      <c r="BX419" s="607">
        <f t="shared" si="507"/>
        <v>166</v>
      </c>
      <c r="BY419" s="608">
        <f t="shared" si="508"/>
        <v>154</v>
      </c>
      <c r="BZ419" s="607">
        <f t="shared" si="509"/>
        <v>0</v>
      </c>
      <c r="CA419" s="608">
        <f t="shared" si="510"/>
        <v>0</v>
      </c>
      <c r="CB419" s="607">
        <f t="shared" si="511"/>
        <v>0</v>
      </c>
      <c r="CC419" s="608">
        <f t="shared" si="512"/>
        <v>0</v>
      </c>
      <c r="CD419" s="607">
        <f t="shared" si="513"/>
        <v>0</v>
      </c>
      <c r="CE419" s="608">
        <f t="shared" si="514"/>
        <v>0</v>
      </c>
      <c r="CF419" s="607">
        <f t="shared" si="515"/>
        <v>0</v>
      </c>
      <c r="CG419" s="608">
        <f t="shared" si="516"/>
        <v>0</v>
      </c>
      <c r="CH419" s="607">
        <f t="shared" si="517"/>
        <v>0</v>
      </c>
      <c r="CI419" s="608">
        <f t="shared" si="518"/>
        <v>0</v>
      </c>
      <c r="CJ419" s="607">
        <f t="shared" si="519"/>
        <v>5302.3012048192768</v>
      </c>
      <c r="CK419" s="608">
        <f t="shared" si="520"/>
        <v>5352.7857142857147</v>
      </c>
      <c r="CL419" s="609">
        <f t="shared" si="521"/>
        <v>0</v>
      </c>
      <c r="CM419" s="608">
        <f t="shared" si="522"/>
        <v>0</v>
      </c>
      <c r="CN419" s="610">
        <f t="shared" si="523"/>
        <v>0</v>
      </c>
      <c r="CO419" s="606">
        <f t="shared" si="524"/>
        <v>0</v>
      </c>
      <c r="CP419" s="607">
        <f t="shared" si="525"/>
        <v>0</v>
      </c>
      <c r="CQ419" s="606">
        <f t="shared" si="526"/>
        <v>0</v>
      </c>
      <c r="CR419" s="607">
        <f t="shared" si="527"/>
        <v>0</v>
      </c>
      <c r="CS419" s="606">
        <f t="shared" si="528"/>
        <v>0</v>
      </c>
      <c r="CT419" s="607">
        <f t="shared" si="529"/>
        <v>0</v>
      </c>
      <c r="CU419" s="608">
        <f t="shared" si="530"/>
        <v>0</v>
      </c>
      <c r="CV419" s="610">
        <f t="shared" si="531"/>
        <v>47720.71084337349</v>
      </c>
      <c r="CW419" s="608">
        <f t="shared" si="532"/>
        <v>48175.071428571435</v>
      </c>
      <c r="CX419" s="610">
        <f t="shared" si="533"/>
        <v>47720.71084337349</v>
      </c>
      <c r="CY419" s="611">
        <f t="shared" si="534"/>
        <v>48175.071428571435</v>
      </c>
      <c r="CZ419" s="605">
        <f t="shared" si="535"/>
        <v>0</v>
      </c>
      <c r="DA419" s="612">
        <f t="shared" si="536"/>
        <v>0</v>
      </c>
      <c r="DB419" s="607">
        <f t="shared" si="537"/>
        <v>0</v>
      </c>
      <c r="DC419" s="606">
        <f t="shared" si="538"/>
        <v>0</v>
      </c>
      <c r="DD419" s="607">
        <f t="shared" si="539"/>
        <v>0</v>
      </c>
      <c r="DE419" s="606">
        <f t="shared" si="540"/>
        <v>0</v>
      </c>
      <c r="DF419" s="607">
        <f t="shared" si="541"/>
        <v>0</v>
      </c>
      <c r="DG419" s="606">
        <f t="shared" si="542"/>
        <v>0</v>
      </c>
      <c r="DH419" s="607">
        <f t="shared" si="543"/>
        <v>0</v>
      </c>
      <c r="DI419" s="608">
        <f t="shared" si="544"/>
        <v>0</v>
      </c>
      <c r="DJ419" s="607">
        <f t="shared" si="545"/>
        <v>16</v>
      </c>
      <c r="DK419" s="608">
        <f t="shared" si="546"/>
        <v>15</v>
      </c>
      <c r="DL419" s="607">
        <f t="shared" si="547"/>
        <v>16</v>
      </c>
      <c r="DM419" s="608">
        <f t="shared" si="548"/>
        <v>15</v>
      </c>
      <c r="DN419" s="607">
        <f t="shared" si="549"/>
        <v>0</v>
      </c>
      <c r="DO419" s="612">
        <f t="shared" si="550"/>
        <v>0</v>
      </c>
      <c r="DP419" s="607">
        <f t="shared" si="551"/>
        <v>0</v>
      </c>
      <c r="DQ419" s="606">
        <f t="shared" si="552"/>
        <v>0</v>
      </c>
      <c r="DR419" s="607">
        <f t="shared" si="553"/>
        <v>0</v>
      </c>
      <c r="DS419" s="606">
        <f t="shared" si="554"/>
        <v>0</v>
      </c>
      <c r="DT419" s="607">
        <f t="shared" si="555"/>
        <v>0</v>
      </c>
      <c r="DU419" s="606">
        <f t="shared" si="556"/>
        <v>0</v>
      </c>
      <c r="DV419" s="607">
        <f t="shared" si="557"/>
        <v>0</v>
      </c>
      <c r="DW419" s="608">
        <f t="shared" si="558"/>
        <v>0</v>
      </c>
      <c r="DX419" s="607">
        <f t="shared" si="559"/>
        <v>763531.37349397584</v>
      </c>
      <c r="DY419" s="608">
        <f t="shared" si="560"/>
        <v>722626.07142857148</v>
      </c>
      <c r="DZ419" s="607">
        <f t="shared" si="561"/>
        <v>763531.37349397584</v>
      </c>
      <c r="EA419" s="608">
        <f t="shared" si="562"/>
        <v>722626.07142857148</v>
      </c>
    </row>
    <row r="420" spans="1:131" x14ac:dyDescent="0.2">
      <c r="A420" s="341" t="s">
        <v>41</v>
      </c>
      <c r="B420" s="349" t="s">
        <v>424</v>
      </c>
      <c r="C420" s="578"/>
      <c r="D420" s="350">
        <v>366623</v>
      </c>
      <c r="E420" s="344">
        <v>13</v>
      </c>
      <c r="F420" s="598"/>
      <c r="G420" s="599"/>
      <c r="H420" s="600"/>
      <c r="I420" s="601"/>
      <c r="J420" s="600"/>
      <c r="K420" s="599"/>
      <c r="L420" s="600"/>
      <c r="M420" s="601"/>
      <c r="N420" s="600"/>
      <c r="O420" s="599"/>
      <c r="P420" s="600"/>
      <c r="Q420" s="601"/>
      <c r="R420" s="600"/>
      <c r="S420" s="599"/>
      <c r="T420" s="600"/>
      <c r="U420" s="601"/>
      <c r="V420" s="600"/>
      <c r="W420" s="599"/>
      <c r="X420" s="600"/>
      <c r="Y420" s="601"/>
      <c r="Z420" s="600"/>
      <c r="AA420" s="599"/>
      <c r="AB420" s="600"/>
      <c r="AC420" s="601"/>
      <c r="AD420" s="600"/>
      <c r="AE420" s="599"/>
      <c r="AF420" s="600"/>
      <c r="AG420" s="601"/>
      <c r="AH420" s="600"/>
      <c r="AI420" s="599"/>
      <c r="AJ420" s="600"/>
      <c r="AK420" s="601"/>
      <c r="AL420" s="600"/>
      <c r="AM420" s="599"/>
      <c r="AN420" s="600"/>
      <c r="AO420" s="601"/>
      <c r="AP420" s="600"/>
      <c r="AQ420" s="599"/>
      <c r="AR420" s="600"/>
      <c r="AS420" s="601"/>
      <c r="AT420" s="600">
        <v>1</v>
      </c>
      <c r="AU420" s="599"/>
      <c r="AV420" s="600">
        <v>5</v>
      </c>
      <c r="AW420" s="601">
        <v>6</v>
      </c>
      <c r="AX420" s="600"/>
      <c r="AY420" s="599"/>
      <c r="AZ420" s="600">
        <v>1</v>
      </c>
      <c r="BA420" s="601"/>
      <c r="BB420" s="602">
        <v>0</v>
      </c>
      <c r="BC420" s="599"/>
      <c r="BD420" s="600">
        <v>0</v>
      </c>
      <c r="BE420" s="599"/>
      <c r="BF420" s="600">
        <v>0</v>
      </c>
      <c r="BG420" s="599"/>
      <c r="BH420" s="600">
        <v>0</v>
      </c>
      <c r="BI420" s="599"/>
      <c r="BJ420" s="600">
        <v>0</v>
      </c>
      <c r="BK420" s="615"/>
      <c r="BL420" s="600">
        <v>369826</v>
      </c>
      <c r="BM420" s="604">
        <v>314620</v>
      </c>
      <c r="BN420" s="605">
        <f t="shared" si="497"/>
        <v>0</v>
      </c>
      <c r="BO420" s="606">
        <f t="shared" si="498"/>
        <v>0</v>
      </c>
      <c r="BP420" s="607">
        <f t="shared" si="499"/>
        <v>0</v>
      </c>
      <c r="BQ420" s="606">
        <f t="shared" si="500"/>
        <v>0</v>
      </c>
      <c r="BR420" s="607">
        <f t="shared" si="501"/>
        <v>0</v>
      </c>
      <c r="BS420" s="606">
        <f t="shared" si="502"/>
        <v>0</v>
      </c>
      <c r="BT420" s="607">
        <f t="shared" si="503"/>
        <v>0</v>
      </c>
      <c r="BU420" s="606">
        <f t="shared" si="504"/>
        <v>0</v>
      </c>
      <c r="BV420" s="607">
        <f t="shared" si="505"/>
        <v>0</v>
      </c>
      <c r="BW420" s="608">
        <f t="shared" si="506"/>
        <v>0</v>
      </c>
      <c r="BX420" s="607">
        <f t="shared" si="507"/>
        <v>71</v>
      </c>
      <c r="BY420" s="608">
        <f t="shared" si="508"/>
        <v>60</v>
      </c>
      <c r="BZ420" s="607">
        <f t="shared" si="509"/>
        <v>0</v>
      </c>
      <c r="CA420" s="608">
        <f t="shared" si="510"/>
        <v>0</v>
      </c>
      <c r="CB420" s="607">
        <f t="shared" si="511"/>
        <v>0</v>
      </c>
      <c r="CC420" s="608">
        <f t="shared" si="512"/>
        <v>0</v>
      </c>
      <c r="CD420" s="607">
        <f t="shared" si="513"/>
        <v>0</v>
      </c>
      <c r="CE420" s="608">
        <f t="shared" si="514"/>
        <v>0</v>
      </c>
      <c r="CF420" s="607">
        <f t="shared" si="515"/>
        <v>0</v>
      </c>
      <c r="CG420" s="608">
        <f t="shared" si="516"/>
        <v>0</v>
      </c>
      <c r="CH420" s="607">
        <f t="shared" si="517"/>
        <v>0</v>
      </c>
      <c r="CI420" s="608">
        <f t="shared" si="518"/>
        <v>0</v>
      </c>
      <c r="CJ420" s="607">
        <f t="shared" si="519"/>
        <v>5208.8169014084506</v>
      </c>
      <c r="CK420" s="608">
        <f t="shared" si="520"/>
        <v>5243.666666666667</v>
      </c>
      <c r="CL420" s="609">
        <f t="shared" si="521"/>
        <v>0</v>
      </c>
      <c r="CM420" s="608">
        <f t="shared" si="522"/>
        <v>0</v>
      </c>
      <c r="CN420" s="610">
        <f t="shared" si="523"/>
        <v>0</v>
      </c>
      <c r="CO420" s="606">
        <f t="shared" si="524"/>
        <v>0</v>
      </c>
      <c r="CP420" s="607">
        <f t="shared" si="525"/>
        <v>0</v>
      </c>
      <c r="CQ420" s="606">
        <f t="shared" si="526"/>
        <v>0</v>
      </c>
      <c r="CR420" s="607">
        <f t="shared" si="527"/>
        <v>0</v>
      </c>
      <c r="CS420" s="606">
        <f t="shared" si="528"/>
        <v>0</v>
      </c>
      <c r="CT420" s="607">
        <f t="shared" si="529"/>
        <v>0</v>
      </c>
      <c r="CU420" s="608">
        <f t="shared" si="530"/>
        <v>0</v>
      </c>
      <c r="CV420" s="610">
        <f t="shared" si="531"/>
        <v>46879.352112676053</v>
      </c>
      <c r="CW420" s="608">
        <f t="shared" si="532"/>
        <v>47193</v>
      </c>
      <c r="CX420" s="610">
        <f t="shared" si="533"/>
        <v>46879.352112676053</v>
      </c>
      <c r="CY420" s="611">
        <f t="shared" si="534"/>
        <v>47193</v>
      </c>
      <c r="CZ420" s="605">
        <f t="shared" si="535"/>
        <v>0</v>
      </c>
      <c r="DA420" s="612">
        <f t="shared" si="536"/>
        <v>0</v>
      </c>
      <c r="DB420" s="607">
        <f t="shared" si="537"/>
        <v>0</v>
      </c>
      <c r="DC420" s="606">
        <f t="shared" si="538"/>
        <v>0</v>
      </c>
      <c r="DD420" s="607">
        <f t="shared" si="539"/>
        <v>0</v>
      </c>
      <c r="DE420" s="606">
        <f t="shared" si="540"/>
        <v>0</v>
      </c>
      <c r="DF420" s="607">
        <f t="shared" si="541"/>
        <v>0</v>
      </c>
      <c r="DG420" s="606">
        <f t="shared" si="542"/>
        <v>0</v>
      </c>
      <c r="DH420" s="607">
        <f t="shared" si="543"/>
        <v>0</v>
      </c>
      <c r="DI420" s="608">
        <f t="shared" si="544"/>
        <v>0</v>
      </c>
      <c r="DJ420" s="607">
        <f t="shared" si="545"/>
        <v>7</v>
      </c>
      <c r="DK420" s="608">
        <f t="shared" si="546"/>
        <v>6</v>
      </c>
      <c r="DL420" s="607">
        <f t="shared" si="547"/>
        <v>7</v>
      </c>
      <c r="DM420" s="608">
        <f t="shared" si="548"/>
        <v>6</v>
      </c>
      <c r="DN420" s="607">
        <f t="shared" si="549"/>
        <v>0</v>
      </c>
      <c r="DO420" s="612">
        <f t="shared" si="550"/>
        <v>0</v>
      </c>
      <c r="DP420" s="607">
        <f t="shared" si="551"/>
        <v>0</v>
      </c>
      <c r="DQ420" s="606">
        <f t="shared" si="552"/>
        <v>0</v>
      </c>
      <c r="DR420" s="607">
        <f t="shared" si="553"/>
        <v>0</v>
      </c>
      <c r="DS420" s="606">
        <f t="shared" si="554"/>
        <v>0</v>
      </c>
      <c r="DT420" s="607">
        <f t="shared" si="555"/>
        <v>0</v>
      </c>
      <c r="DU420" s="606">
        <f t="shared" si="556"/>
        <v>0</v>
      </c>
      <c r="DV420" s="607">
        <f t="shared" si="557"/>
        <v>0</v>
      </c>
      <c r="DW420" s="608">
        <f t="shared" si="558"/>
        <v>0</v>
      </c>
      <c r="DX420" s="607">
        <f t="shared" si="559"/>
        <v>328155.46478873235</v>
      </c>
      <c r="DY420" s="608">
        <f t="shared" si="560"/>
        <v>283158</v>
      </c>
      <c r="DZ420" s="607">
        <f t="shared" si="561"/>
        <v>328155.46478873235</v>
      </c>
      <c r="EA420" s="608">
        <f t="shared" si="562"/>
        <v>283158</v>
      </c>
    </row>
    <row r="421" spans="1:131" x14ac:dyDescent="0.2">
      <c r="A421" s="341" t="s">
        <v>41</v>
      </c>
      <c r="B421" s="349" t="s">
        <v>425</v>
      </c>
      <c r="C421" s="578"/>
      <c r="D421" s="350">
        <v>407601</v>
      </c>
      <c r="E421" s="344">
        <v>13</v>
      </c>
      <c r="F421" s="598"/>
      <c r="G421" s="599"/>
      <c r="H421" s="600"/>
      <c r="I421" s="601"/>
      <c r="J421" s="600"/>
      <c r="K421" s="599"/>
      <c r="L421" s="600"/>
      <c r="M421" s="601"/>
      <c r="N421" s="600"/>
      <c r="O421" s="599"/>
      <c r="P421" s="600"/>
      <c r="Q421" s="601"/>
      <c r="R421" s="600"/>
      <c r="S421" s="599"/>
      <c r="T421" s="600"/>
      <c r="U421" s="601"/>
      <c r="V421" s="600"/>
      <c r="W421" s="599"/>
      <c r="X421" s="600"/>
      <c r="Y421" s="601"/>
      <c r="Z421" s="600"/>
      <c r="AA421" s="599"/>
      <c r="AB421" s="600"/>
      <c r="AC421" s="601"/>
      <c r="AD421" s="600"/>
      <c r="AE421" s="599"/>
      <c r="AF421" s="600"/>
      <c r="AG421" s="601"/>
      <c r="AH421" s="600"/>
      <c r="AI421" s="599"/>
      <c r="AJ421" s="600"/>
      <c r="AK421" s="601"/>
      <c r="AL421" s="600"/>
      <c r="AM421" s="599"/>
      <c r="AN421" s="600"/>
      <c r="AO421" s="601"/>
      <c r="AP421" s="600"/>
      <c r="AQ421" s="599"/>
      <c r="AR421" s="600"/>
      <c r="AS421" s="601"/>
      <c r="AT421" s="600"/>
      <c r="AU421" s="599"/>
      <c r="AV421" s="600">
        <v>6</v>
      </c>
      <c r="AW421" s="601">
        <v>6</v>
      </c>
      <c r="AX421" s="600"/>
      <c r="AY421" s="599"/>
      <c r="AZ421" s="600"/>
      <c r="BA421" s="601"/>
      <c r="BB421" s="602">
        <v>0</v>
      </c>
      <c r="BC421" s="599"/>
      <c r="BD421" s="600">
        <v>0</v>
      </c>
      <c r="BE421" s="599"/>
      <c r="BF421" s="600">
        <v>0</v>
      </c>
      <c r="BG421" s="599"/>
      <c r="BH421" s="600">
        <v>0</v>
      </c>
      <c r="BI421" s="599"/>
      <c r="BJ421" s="600">
        <v>0</v>
      </c>
      <c r="BK421" s="615"/>
      <c r="BL421" s="600">
        <v>310818</v>
      </c>
      <c r="BM421" s="604">
        <v>312320</v>
      </c>
      <c r="BN421" s="605">
        <f t="shared" si="497"/>
        <v>0</v>
      </c>
      <c r="BO421" s="606">
        <f t="shared" si="498"/>
        <v>0</v>
      </c>
      <c r="BP421" s="607">
        <f t="shared" si="499"/>
        <v>0</v>
      </c>
      <c r="BQ421" s="606">
        <f t="shared" si="500"/>
        <v>0</v>
      </c>
      <c r="BR421" s="607">
        <f t="shared" si="501"/>
        <v>0</v>
      </c>
      <c r="BS421" s="606">
        <f t="shared" si="502"/>
        <v>0</v>
      </c>
      <c r="BT421" s="607">
        <f t="shared" si="503"/>
        <v>0</v>
      </c>
      <c r="BU421" s="606">
        <f t="shared" si="504"/>
        <v>0</v>
      </c>
      <c r="BV421" s="607">
        <f t="shared" si="505"/>
        <v>0</v>
      </c>
      <c r="BW421" s="608">
        <f t="shared" si="506"/>
        <v>0</v>
      </c>
      <c r="BX421" s="607">
        <f t="shared" si="507"/>
        <v>60</v>
      </c>
      <c r="BY421" s="608">
        <f t="shared" si="508"/>
        <v>60</v>
      </c>
      <c r="BZ421" s="607">
        <f t="shared" si="509"/>
        <v>0</v>
      </c>
      <c r="CA421" s="608">
        <f t="shared" si="510"/>
        <v>0</v>
      </c>
      <c r="CB421" s="607">
        <f t="shared" si="511"/>
        <v>0</v>
      </c>
      <c r="CC421" s="608">
        <f t="shared" si="512"/>
        <v>0</v>
      </c>
      <c r="CD421" s="607">
        <f t="shared" si="513"/>
        <v>0</v>
      </c>
      <c r="CE421" s="608">
        <f t="shared" si="514"/>
        <v>0</v>
      </c>
      <c r="CF421" s="607">
        <f t="shared" si="515"/>
        <v>0</v>
      </c>
      <c r="CG421" s="608">
        <f t="shared" si="516"/>
        <v>0</v>
      </c>
      <c r="CH421" s="607">
        <f t="shared" si="517"/>
        <v>0</v>
      </c>
      <c r="CI421" s="608">
        <f t="shared" si="518"/>
        <v>0</v>
      </c>
      <c r="CJ421" s="607">
        <f t="shared" si="519"/>
        <v>5180.3</v>
      </c>
      <c r="CK421" s="608">
        <f t="shared" si="520"/>
        <v>5205.333333333333</v>
      </c>
      <c r="CL421" s="609">
        <f t="shared" si="521"/>
        <v>0</v>
      </c>
      <c r="CM421" s="608">
        <f t="shared" si="522"/>
        <v>0</v>
      </c>
      <c r="CN421" s="610">
        <f t="shared" si="523"/>
        <v>0</v>
      </c>
      <c r="CO421" s="606">
        <f t="shared" si="524"/>
        <v>0</v>
      </c>
      <c r="CP421" s="607">
        <f t="shared" si="525"/>
        <v>0</v>
      </c>
      <c r="CQ421" s="606">
        <f t="shared" si="526"/>
        <v>0</v>
      </c>
      <c r="CR421" s="607">
        <f t="shared" si="527"/>
        <v>0</v>
      </c>
      <c r="CS421" s="606">
        <f t="shared" si="528"/>
        <v>0</v>
      </c>
      <c r="CT421" s="607">
        <f t="shared" si="529"/>
        <v>0</v>
      </c>
      <c r="CU421" s="608">
        <f t="shared" si="530"/>
        <v>0</v>
      </c>
      <c r="CV421" s="610">
        <f t="shared" si="531"/>
        <v>46622.700000000004</v>
      </c>
      <c r="CW421" s="608">
        <f t="shared" si="532"/>
        <v>46848</v>
      </c>
      <c r="CX421" s="610">
        <f t="shared" si="533"/>
        <v>46622.700000000004</v>
      </c>
      <c r="CY421" s="611">
        <f t="shared" si="534"/>
        <v>46848</v>
      </c>
      <c r="CZ421" s="605">
        <f t="shared" si="535"/>
        <v>0</v>
      </c>
      <c r="DA421" s="612">
        <f t="shared" si="536"/>
        <v>0</v>
      </c>
      <c r="DB421" s="607">
        <f t="shared" si="537"/>
        <v>0</v>
      </c>
      <c r="DC421" s="606">
        <f t="shared" si="538"/>
        <v>0</v>
      </c>
      <c r="DD421" s="607">
        <f t="shared" si="539"/>
        <v>0</v>
      </c>
      <c r="DE421" s="606">
        <f t="shared" si="540"/>
        <v>0</v>
      </c>
      <c r="DF421" s="607">
        <f t="shared" si="541"/>
        <v>0</v>
      </c>
      <c r="DG421" s="606">
        <f t="shared" si="542"/>
        <v>0</v>
      </c>
      <c r="DH421" s="607">
        <f t="shared" si="543"/>
        <v>0</v>
      </c>
      <c r="DI421" s="608">
        <f t="shared" si="544"/>
        <v>0</v>
      </c>
      <c r="DJ421" s="607">
        <f t="shared" si="545"/>
        <v>6</v>
      </c>
      <c r="DK421" s="608">
        <f t="shared" si="546"/>
        <v>6</v>
      </c>
      <c r="DL421" s="607">
        <f t="shared" si="547"/>
        <v>6</v>
      </c>
      <c r="DM421" s="608">
        <f t="shared" si="548"/>
        <v>6</v>
      </c>
      <c r="DN421" s="607">
        <f t="shared" si="549"/>
        <v>0</v>
      </c>
      <c r="DO421" s="612">
        <f t="shared" si="550"/>
        <v>0</v>
      </c>
      <c r="DP421" s="607">
        <f t="shared" si="551"/>
        <v>0</v>
      </c>
      <c r="DQ421" s="606">
        <f t="shared" si="552"/>
        <v>0</v>
      </c>
      <c r="DR421" s="607">
        <f t="shared" si="553"/>
        <v>0</v>
      </c>
      <c r="DS421" s="606">
        <f t="shared" si="554"/>
        <v>0</v>
      </c>
      <c r="DT421" s="607">
        <f t="shared" si="555"/>
        <v>0</v>
      </c>
      <c r="DU421" s="606">
        <f t="shared" si="556"/>
        <v>0</v>
      </c>
      <c r="DV421" s="607">
        <f t="shared" si="557"/>
        <v>0</v>
      </c>
      <c r="DW421" s="608">
        <f t="shared" si="558"/>
        <v>0</v>
      </c>
      <c r="DX421" s="607">
        <f t="shared" si="559"/>
        <v>279736.2</v>
      </c>
      <c r="DY421" s="608">
        <f t="shared" si="560"/>
        <v>281088</v>
      </c>
      <c r="DZ421" s="607">
        <f t="shared" si="561"/>
        <v>279736.2</v>
      </c>
      <c r="EA421" s="608">
        <f t="shared" si="562"/>
        <v>281088</v>
      </c>
    </row>
    <row r="422" spans="1:131" x14ac:dyDescent="0.2">
      <c r="A422" s="341" t="s">
        <v>41</v>
      </c>
      <c r="B422" s="349" t="s">
        <v>426</v>
      </c>
      <c r="C422" s="578"/>
      <c r="D422" s="350">
        <v>364627</v>
      </c>
      <c r="E422" s="344">
        <v>13</v>
      </c>
      <c r="F422" s="598"/>
      <c r="G422" s="599"/>
      <c r="H422" s="600"/>
      <c r="I422" s="601"/>
      <c r="J422" s="600"/>
      <c r="K422" s="599"/>
      <c r="L422" s="600"/>
      <c r="M422" s="601"/>
      <c r="N422" s="600"/>
      <c r="O422" s="599"/>
      <c r="P422" s="600"/>
      <c r="Q422" s="601"/>
      <c r="R422" s="600"/>
      <c r="S422" s="599"/>
      <c r="T422" s="600"/>
      <c r="U422" s="601"/>
      <c r="V422" s="600"/>
      <c r="W422" s="599"/>
      <c r="X422" s="600"/>
      <c r="Y422" s="601"/>
      <c r="Z422" s="600"/>
      <c r="AA422" s="599"/>
      <c r="AB422" s="600"/>
      <c r="AC422" s="601"/>
      <c r="AD422" s="600"/>
      <c r="AE422" s="599"/>
      <c r="AF422" s="600"/>
      <c r="AG422" s="601"/>
      <c r="AH422" s="600"/>
      <c r="AI422" s="599"/>
      <c r="AJ422" s="600"/>
      <c r="AK422" s="601"/>
      <c r="AL422" s="600"/>
      <c r="AM422" s="599"/>
      <c r="AN422" s="600"/>
      <c r="AO422" s="601"/>
      <c r="AP422" s="600"/>
      <c r="AQ422" s="599"/>
      <c r="AR422" s="600"/>
      <c r="AS422" s="601"/>
      <c r="AT422" s="600"/>
      <c r="AU422" s="599"/>
      <c r="AV422" s="600">
        <v>11</v>
      </c>
      <c r="AW422" s="601">
        <v>11</v>
      </c>
      <c r="AX422" s="600">
        <v>2</v>
      </c>
      <c r="AY422" s="599">
        <v>2</v>
      </c>
      <c r="AZ422" s="600">
        <v>10</v>
      </c>
      <c r="BA422" s="601">
        <v>8</v>
      </c>
      <c r="BB422" s="602">
        <v>0</v>
      </c>
      <c r="BC422" s="599"/>
      <c r="BD422" s="600">
        <v>0</v>
      </c>
      <c r="BE422" s="599"/>
      <c r="BF422" s="600">
        <v>0</v>
      </c>
      <c r="BG422" s="599"/>
      <c r="BH422" s="600">
        <v>0</v>
      </c>
      <c r="BI422" s="599"/>
      <c r="BJ422" s="600">
        <v>0</v>
      </c>
      <c r="BK422" s="615"/>
      <c r="BL422" s="600">
        <v>1202652</v>
      </c>
      <c r="BM422" s="604">
        <v>1074183</v>
      </c>
      <c r="BN422" s="605">
        <f t="shared" si="497"/>
        <v>0</v>
      </c>
      <c r="BO422" s="606">
        <f t="shared" si="498"/>
        <v>0</v>
      </c>
      <c r="BP422" s="607">
        <f t="shared" si="499"/>
        <v>0</v>
      </c>
      <c r="BQ422" s="606">
        <f t="shared" si="500"/>
        <v>0</v>
      </c>
      <c r="BR422" s="607">
        <f t="shared" si="501"/>
        <v>0</v>
      </c>
      <c r="BS422" s="606">
        <f t="shared" si="502"/>
        <v>0</v>
      </c>
      <c r="BT422" s="607">
        <f t="shared" si="503"/>
        <v>0</v>
      </c>
      <c r="BU422" s="606">
        <f t="shared" si="504"/>
        <v>0</v>
      </c>
      <c r="BV422" s="607">
        <f t="shared" si="505"/>
        <v>0</v>
      </c>
      <c r="BW422" s="608">
        <f t="shared" si="506"/>
        <v>0</v>
      </c>
      <c r="BX422" s="607">
        <f t="shared" si="507"/>
        <v>252</v>
      </c>
      <c r="BY422" s="608">
        <f t="shared" si="508"/>
        <v>228</v>
      </c>
      <c r="BZ422" s="607">
        <f t="shared" si="509"/>
        <v>0</v>
      </c>
      <c r="CA422" s="608">
        <f t="shared" si="510"/>
        <v>0</v>
      </c>
      <c r="CB422" s="607">
        <f t="shared" si="511"/>
        <v>0</v>
      </c>
      <c r="CC422" s="608">
        <f t="shared" si="512"/>
        <v>0</v>
      </c>
      <c r="CD422" s="607">
        <f t="shared" si="513"/>
        <v>0</v>
      </c>
      <c r="CE422" s="608">
        <f t="shared" si="514"/>
        <v>0</v>
      </c>
      <c r="CF422" s="607">
        <f t="shared" si="515"/>
        <v>0</v>
      </c>
      <c r="CG422" s="608">
        <f t="shared" si="516"/>
        <v>0</v>
      </c>
      <c r="CH422" s="607">
        <f t="shared" si="517"/>
        <v>0</v>
      </c>
      <c r="CI422" s="608">
        <f t="shared" si="518"/>
        <v>0</v>
      </c>
      <c r="CJ422" s="607">
        <f t="shared" si="519"/>
        <v>4772.4285714285716</v>
      </c>
      <c r="CK422" s="608">
        <f t="shared" si="520"/>
        <v>4711.3289473684208</v>
      </c>
      <c r="CL422" s="609">
        <f t="shared" si="521"/>
        <v>0</v>
      </c>
      <c r="CM422" s="608">
        <f t="shared" si="522"/>
        <v>0</v>
      </c>
      <c r="CN422" s="610">
        <f t="shared" si="523"/>
        <v>0</v>
      </c>
      <c r="CO422" s="606">
        <f t="shared" si="524"/>
        <v>0</v>
      </c>
      <c r="CP422" s="607">
        <f t="shared" si="525"/>
        <v>0</v>
      </c>
      <c r="CQ422" s="606">
        <f t="shared" si="526"/>
        <v>0</v>
      </c>
      <c r="CR422" s="607">
        <f t="shared" si="527"/>
        <v>0</v>
      </c>
      <c r="CS422" s="606">
        <f t="shared" si="528"/>
        <v>0</v>
      </c>
      <c r="CT422" s="607">
        <f t="shared" si="529"/>
        <v>0</v>
      </c>
      <c r="CU422" s="608">
        <f t="shared" si="530"/>
        <v>0</v>
      </c>
      <c r="CV422" s="610">
        <f t="shared" si="531"/>
        <v>42951.857142857145</v>
      </c>
      <c r="CW422" s="608">
        <f t="shared" si="532"/>
        <v>42401.960526315786</v>
      </c>
      <c r="CX422" s="610">
        <f t="shared" si="533"/>
        <v>42951.857142857145</v>
      </c>
      <c r="CY422" s="611">
        <f t="shared" si="534"/>
        <v>42401.960526315786</v>
      </c>
      <c r="CZ422" s="605">
        <f t="shared" si="535"/>
        <v>0</v>
      </c>
      <c r="DA422" s="612">
        <f t="shared" si="536"/>
        <v>0</v>
      </c>
      <c r="DB422" s="607">
        <f t="shared" si="537"/>
        <v>0</v>
      </c>
      <c r="DC422" s="606">
        <f t="shared" si="538"/>
        <v>0</v>
      </c>
      <c r="DD422" s="607">
        <f t="shared" si="539"/>
        <v>0</v>
      </c>
      <c r="DE422" s="606">
        <f t="shared" si="540"/>
        <v>0</v>
      </c>
      <c r="DF422" s="607">
        <f t="shared" si="541"/>
        <v>0</v>
      </c>
      <c r="DG422" s="606">
        <f t="shared" si="542"/>
        <v>0</v>
      </c>
      <c r="DH422" s="607">
        <f t="shared" si="543"/>
        <v>0</v>
      </c>
      <c r="DI422" s="608">
        <f t="shared" si="544"/>
        <v>0</v>
      </c>
      <c r="DJ422" s="607">
        <f t="shared" si="545"/>
        <v>23</v>
      </c>
      <c r="DK422" s="608">
        <f t="shared" si="546"/>
        <v>21</v>
      </c>
      <c r="DL422" s="607">
        <f t="shared" si="547"/>
        <v>23</v>
      </c>
      <c r="DM422" s="608">
        <f t="shared" si="548"/>
        <v>21</v>
      </c>
      <c r="DN422" s="607">
        <f t="shared" si="549"/>
        <v>0</v>
      </c>
      <c r="DO422" s="612">
        <f t="shared" si="550"/>
        <v>0</v>
      </c>
      <c r="DP422" s="607">
        <f t="shared" si="551"/>
        <v>0</v>
      </c>
      <c r="DQ422" s="606">
        <f t="shared" si="552"/>
        <v>0</v>
      </c>
      <c r="DR422" s="607">
        <f t="shared" si="553"/>
        <v>0</v>
      </c>
      <c r="DS422" s="606">
        <f t="shared" si="554"/>
        <v>0</v>
      </c>
      <c r="DT422" s="607">
        <f t="shared" si="555"/>
        <v>0</v>
      </c>
      <c r="DU422" s="606">
        <f t="shared" si="556"/>
        <v>0</v>
      </c>
      <c r="DV422" s="607">
        <f t="shared" si="557"/>
        <v>0</v>
      </c>
      <c r="DW422" s="608">
        <f t="shared" si="558"/>
        <v>0</v>
      </c>
      <c r="DX422" s="607">
        <f t="shared" si="559"/>
        <v>987892.71428571432</v>
      </c>
      <c r="DY422" s="608">
        <f t="shared" si="560"/>
        <v>890441.17105263146</v>
      </c>
      <c r="DZ422" s="607">
        <f t="shared" si="561"/>
        <v>987892.71428571432</v>
      </c>
      <c r="EA422" s="608">
        <f t="shared" si="562"/>
        <v>890441.17105263146</v>
      </c>
    </row>
    <row r="423" spans="1:131" x14ac:dyDescent="0.2">
      <c r="A423" s="341" t="s">
        <v>41</v>
      </c>
      <c r="B423" s="349" t="s">
        <v>427</v>
      </c>
      <c r="C423" s="578"/>
      <c r="D423" s="350">
        <v>206905</v>
      </c>
      <c r="E423" s="344">
        <v>13</v>
      </c>
      <c r="F423" s="598"/>
      <c r="G423" s="599"/>
      <c r="H423" s="600"/>
      <c r="I423" s="601"/>
      <c r="J423" s="600"/>
      <c r="K423" s="599"/>
      <c r="L423" s="600"/>
      <c r="M423" s="601"/>
      <c r="N423" s="600"/>
      <c r="O423" s="599"/>
      <c r="P423" s="600"/>
      <c r="Q423" s="601"/>
      <c r="R423" s="600"/>
      <c r="S423" s="599"/>
      <c r="T423" s="600"/>
      <c r="U423" s="601"/>
      <c r="V423" s="600"/>
      <c r="W423" s="599"/>
      <c r="X423" s="600"/>
      <c r="Y423" s="601"/>
      <c r="Z423" s="600"/>
      <c r="AA423" s="599"/>
      <c r="AB423" s="600"/>
      <c r="AC423" s="601"/>
      <c r="AD423" s="600"/>
      <c r="AE423" s="599"/>
      <c r="AF423" s="600"/>
      <c r="AG423" s="601"/>
      <c r="AH423" s="600"/>
      <c r="AI423" s="599"/>
      <c r="AJ423" s="600"/>
      <c r="AK423" s="601"/>
      <c r="AL423" s="600"/>
      <c r="AM423" s="599"/>
      <c r="AN423" s="600"/>
      <c r="AO423" s="601"/>
      <c r="AP423" s="600"/>
      <c r="AQ423" s="599"/>
      <c r="AR423" s="600"/>
      <c r="AS423" s="601"/>
      <c r="AT423" s="600">
        <v>1</v>
      </c>
      <c r="AU423" s="599"/>
      <c r="AV423" s="600">
        <v>5</v>
      </c>
      <c r="AW423" s="601">
        <v>5</v>
      </c>
      <c r="AX423" s="600">
        <v>2</v>
      </c>
      <c r="AY423" s="599">
        <v>2</v>
      </c>
      <c r="AZ423" s="600">
        <v>5</v>
      </c>
      <c r="BA423" s="601">
        <v>2</v>
      </c>
      <c r="BB423" s="602">
        <v>0</v>
      </c>
      <c r="BC423" s="599"/>
      <c r="BD423" s="600">
        <v>0</v>
      </c>
      <c r="BE423" s="599"/>
      <c r="BF423" s="600">
        <v>0</v>
      </c>
      <c r="BG423" s="599"/>
      <c r="BH423" s="600">
        <v>0</v>
      </c>
      <c r="BI423" s="599"/>
      <c r="BJ423" s="600">
        <v>0</v>
      </c>
      <c r="BK423" s="615"/>
      <c r="BL423" s="600">
        <v>625288</v>
      </c>
      <c r="BM423" s="604">
        <v>445904</v>
      </c>
      <c r="BN423" s="605">
        <f t="shared" si="497"/>
        <v>0</v>
      </c>
      <c r="BO423" s="606">
        <f t="shared" si="498"/>
        <v>0</v>
      </c>
      <c r="BP423" s="607">
        <f t="shared" si="499"/>
        <v>0</v>
      </c>
      <c r="BQ423" s="606">
        <f t="shared" si="500"/>
        <v>0</v>
      </c>
      <c r="BR423" s="607">
        <f t="shared" si="501"/>
        <v>0</v>
      </c>
      <c r="BS423" s="606">
        <f t="shared" si="502"/>
        <v>0</v>
      </c>
      <c r="BT423" s="607">
        <f t="shared" si="503"/>
        <v>0</v>
      </c>
      <c r="BU423" s="606">
        <f t="shared" si="504"/>
        <v>0</v>
      </c>
      <c r="BV423" s="607">
        <f t="shared" si="505"/>
        <v>0</v>
      </c>
      <c r="BW423" s="608">
        <f t="shared" si="506"/>
        <v>0</v>
      </c>
      <c r="BX423" s="607">
        <f t="shared" si="507"/>
        <v>141</v>
      </c>
      <c r="BY423" s="608">
        <f t="shared" si="508"/>
        <v>96</v>
      </c>
      <c r="BZ423" s="607">
        <f t="shared" si="509"/>
        <v>0</v>
      </c>
      <c r="CA423" s="608">
        <f t="shared" si="510"/>
        <v>0</v>
      </c>
      <c r="CB423" s="607">
        <f t="shared" si="511"/>
        <v>0</v>
      </c>
      <c r="CC423" s="608">
        <f t="shared" si="512"/>
        <v>0</v>
      </c>
      <c r="CD423" s="607">
        <f t="shared" si="513"/>
        <v>0</v>
      </c>
      <c r="CE423" s="608">
        <f t="shared" si="514"/>
        <v>0</v>
      </c>
      <c r="CF423" s="607">
        <f t="shared" si="515"/>
        <v>0</v>
      </c>
      <c r="CG423" s="608">
        <f t="shared" si="516"/>
        <v>0</v>
      </c>
      <c r="CH423" s="607">
        <f t="shared" si="517"/>
        <v>0</v>
      </c>
      <c r="CI423" s="608">
        <f t="shared" si="518"/>
        <v>0</v>
      </c>
      <c r="CJ423" s="607">
        <f t="shared" si="519"/>
        <v>4434.666666666667</v>
      </c>
      <c r="CK423" s="608">
        <f t="shared" si="520"/>
        <v>4644.833333333333</v>
      </c>
      <c r="CL423" s="609">
        <f t="shared" si="521"/>
        <v>0</v>
      </c>
      <c r="CM423" s="608">
        <f t="shared" si="522"/>
        <v>0</v>
      </c>
      <c r="CN423" s="610">
        <f t="shared" si="523"/>
        <v>0</v>
      </c>
      <c r="CO423" s="606">
        <f t="shared" si="524"/>
        <v>0</v>
      </c>
      <c r="CP423" s="607">
        <f t="shared" si="525"/>
        <v>0</v>
      </c>
      <c r="CQ423" s="606">
        <f t="shared" si="526"/>
        <v>0</v>
      </c>
      <c r="CR423" s="607">
        <f t="shared" si="527"/>
        <v>0</v>
      </c>
      <c r="CS423" s="606">
        <f t="shared" si="528"/>
        <v>0</v>
      </c>
      <c r="CT423" s="607">
        <f t="shared" si="529"/>
        <v>0</v>
      </c>
      <c r="CU423" s="608">
        <f t="shared" si="530"/>
        <v>0</v>
      </c>
      <c r="CV423" s="610">
        <f t="shared" si="531"/>
        <v>39912</v>
      </c>
      <c r="CW423" s="608">
        <f t="shared" si="532"/>
        <v>41803.5</v>
      </c>
      <c r="CX423" s="610">
        <f t="shared" si="533"/>
        <v>39912</v>
      </c>
      <c r="CY423" s="611">
        <f t="shared" si="534"/>
        <v>41803.5</v>
      </c>
      <c r="CZ423" s="605">
        <f t="shared" si="535"/>
        <v>0</v>
      </c>
      <c r="DA423" s="612">
        <f t="shared" si="536"/>
        <v>0</v>
      </c>
      <c r="DB423" s="607">
        <f t="shared" si="537"/>
        <v>0</v>
      </c>
      <c r="DC423" s="606">
        <f t="shared" si="538"/>
        <v>0</v>
      </c>
      <c r="DD423" s="607">
        <f t="shared" si="539"/>
        <v>0</v>
      </c>
      <c r="DE423" s="606">
        <f t="shared" si="540"/>
        <v>0</v>
      </c>
      <c r="DF423" s="607">
        <f t="shared" si="541"/>
        <v>0</v>
      </c>
      <c r="DG423" s="606">
        <f t="shared" si="542"/>
        <v>0</v>
      </c>
      <c r="DH423" s="607">
        <f t="shared" si="543"/>
        <v>0</v>
      </c>
      <c r="DI423" s="608">
        <f t="shared" si="544"/>
        <v>0</v>
      </c>
      <c r="DJ423" s="607">
        <f t="shared" si="545"/>
        <v>13</v>
      </c>
      <c r="DK423" s="608">
        <f t="shared" si="546"/>
        <v>9</v>
      </c>
      <c r="DL423" s="607">
        <f t="shared" si="547"/>
        <v>13</v>
      </c>
      <c r="DM423" s="608">
        <f t="shared" si="548"/>
        <v>9</v>
      </c>
      <c r="DN423" s="607">
        <f t="shared" si="549"/>
        <v>0</v>
      </c>
      <c r="DO423" s="612">
        <f t="shared" si="550"/>
        <v>0</v>
      </c>
      <c r="DP423" s="607">
        <f t="shared" si="551"/>
        <v>0</v>
      </c>
      <c r="DQ423" s="606">
        <f t="shared" si="552"/>
        <v>0</v>
      </c>
      <c r="DR423" s="607">
        <f t="shared" si="553"/>
        <v>0</v>
      </c>
      <c r="DS423" s="606">
        <f t="shared" si="554"/>
        <v>0</v>
      </c>
      <c r="DT423" s="607">
        <f t="shared" si="555"/>
        <v>0</v>
      </c>
      <c r="DU423" s="606">
        <f t="shared" si="556"/>
        <v>0</v>
      </c>
      <c r="DV423" s="607">
        <f t="shared" si="557"/>
        <v>0</v>
      </c>
      <c r="DW423" s="608">
        <f t="shared" si="558"/>
        <v>0</v>
      </c>
      <c r="DX423" s="607">
        <f t="shared" si="559"/>
        <v>518856</v>
      </c>
      <c r="DY423" s="608">
        <f t="shared" si="560"/>
        <v>376231.5</v>
      </c>
      <c r="DZ423" s="607">
        <f t="shared" si="561"/>
        <v>518856</v>
      </c>
      <c r="EA423" s="608">
        <f t="shared" si="562"/>
        <v>376231.5</v>
      </c>
    </row>
    <row r="424" spans="1:131" x14ac:dyDescent="0.2">
      <c r="A424" s="341" t="s">
        <v>41</v>
      </c>
      <c r="B424" s="349" t="s">
        <v>428</v>
      </c>
      <c r="C424" s="578"/>
      <c r="D424" s="350">
        <v>250993</v>
      </c>
      <c r="E424" s="344">
        <v>13</v>
      </c>
      <c r="F424" s="598"/>
      <c r="G424" s="599"/>
      <c r="H424" s="600"/>
      <c r="I424" s="601"/>
      <c r="J424" s="600"/>
      <c r="K424" s="599"/>
      <c r="L424" s="600"/>
      <c r="M424" s="601"/>
      <c r="N424" s="600"/>
      <c r="O424" s="599"/>
      <c r="P424" s="600"/>
      <c r="Q424" s="601"/>
      <c r="R424" s="600"/>
      <c r="S424" s="599"/>
      <c r="T424" s="600"/>
      <c r="U424" s="601"/>
      <c r="V424" s="600"/>
      <c r="W424" s="599"/>
      <c r="X424" s="600"/>
      <c r="Y424" s="601"/>
      <c r="Z424" s="600"/>
      <c r="AA424" s="599"/>
      <c r="AB424" s="600"/>
      <c r="AC424" s="601"/>
      <c r="AD424" s="600"/>
      <c r="AE424" s="599"/>
      <c r="AF424" s="600"/>
      <c r="AG424" s="601"/>
      <c r="AH424" s="600"/>
      <c r="AI424" s="599"/>
      <c r="AJ424" s="600"/>
      <c r="AK424" s="601"/>
      <c r="AL424" s="600"/>
      <c r="AM424" s="599"/>
      <c r="AN424" s="600"/>
      <c r="AO424" s="601"/>
      <c r="AP424" s="600"/>
      <c r="AQ424" s="599"/>
      <c r="AR424" s="600"/>
      <c r="AS424" s="601"/>
      <c r="AT424" s="600"/>
      <c r="AU424" s="599"/>
      <c r="AV424" s="600">
        <v>16</v>
      </c>
      <c r="AW424" s="601">
        <v>17</v>
      </c>
      <c r="AX424" s="600">
        <v>1</v>
      </c>
      <c r="AY424" s="599">
        <v>1</v>
      </c>
      <c r="AZ424" s="600">
        <v>5</v>
      </c>
      <c r="BA424" s="601">
        <v>3</v>
      </c>
      <c r="BB424" s="602">
        <v>0</v>
      </c>
      <c r="BC424" s="599"/>
      <c r="BD424" s="600">
        <v>0</v>
      </c>
      <c r="BE424" s="599"/>
      <c r="BF424" s="600">
        <v>0</v>
      </c>
      <c r="BG424" s="599"/>
      <c r="BH424" s="600">
        <v>0</v>
      </c>
      <c r="BI424" s="599"/>
      <c r="BJ424" s="600">
        <v>0</v>
      </c>
      <c r="BK424" s="615"/>
      <c r="BL424" s="600">
        <v>1109824</v>
      </c>
      <c r="BM424" s="604">
        <v>1079844</v>
      </c>
      <c r="BN424" s="605">
        <f t="shared" si="497"/>
        <v>0</v>
      </c>
      <c r="BO424" s="606">
        <f t="shared" si="498"/>
        <v>0</v>
      </c>
      <c r="BP424" s="607">
        <f t="shared" si="499"/>
        <v>0</v>
      </c>
      <c r="BQ424" s="606">
        <f t="shared" si="500"/>
        <v>0</v>
      </c>
      <c r="BR424" s="607">
        <f t="shared" si="501"/>
        <v>0</v>
      </c>
      <c r="BS424" s="606">
        <f t="shared" si="502"/>
        <v>0</v>
      </c>
      <c r="BT424" s="607">
        <f t="shared" si="503"/>
        <v>0</v>
      </c>
      <c r="BU424" s="606">
        <f t="shared" si="504"/>
        <v>0</v>
      </c>
      <c r="BV424" s="607">
        <f t="shared" si="505"/>
        <v>0</v>
      </c>
      <c r="BW424" s="608">
        <f t="shared" si="506"/>
        <v>0</v>
      </c>
      <c r="BX424" s="607">
        <f t="shared" si="507"/>
        <v>231</v>
      </c>
      <c r="BY424" s="608">
        <f t="shared" si="508"/>
        <v>217</v>
      </c>
      <c r="BZ424" s="607">
        <f t="shared" si="509"/>
        <v>0</v>
      </c>
      <c r="CA424" s="608">
        <f t="shared" si="510"/>
        <v>0</v>
      </c>
      <c r="CB424" s="607">
        <f t="shared" si="511"/>
        <v>0</v>
      </c>
      <c r="CC424" s="608">
        <f t="shared" si="512"/>
        <v>0</v>
      </c>
      <c r="CD424" s="607">
        <f t="shared" si="513"/>
        <v>0</v>
      </c>
      <c r="CE424" s="608">
        <f t="shared" si="514"/>
        <v>0</v>
      </c>
      <c r="CF424" s="607">
        <f t="shared" si="515"/>
        <v>0</v>
      </c>
      <c r="CG424" s="608">
        <f t="shared" si="516"/>
        <v>0</v>
      </c>
      <c r="CH424" s="607">
        <f t="shared" si="517"/>
        <v>0</v>
      </c>
      <c r="CI424" s="608">
        <f t="shared" si="518"/>
        <v>0</v>
      </c>
      <c r="CJ424" s="607">
        <f t="shared" si="519"/>
        <v>4804.4329004329002</v>
      </c>
      <c r="CK424" s="608">
        <f t="shared" si="520"/>
        <v>4976.2396313364052</v>
      </c>
      <c r="CL424" s="609">
        <f t="shared" si="521"/>
        <v>0</v>
      </c>
      <c r="CM424" s="608">
        <f t="shared" si="522"/>
        <v>0</v>
      </c>
      <c r="CN424" s="610">
        <f t="shared" si="523"/>
        <v>0</v>
      </c>
      <c r="CO424" s="606">
        <f t="shared" si="524"/>
        <v>0</v>
      </c>
      <c r="CP424" s="607">
        <f t="shared" si="525"/>
        <v>0</v>
      </c>
      <c r="CQ424" s="606">
        <f t="shared" si="526"/>
        <v>0</v>
      </c>
      <c r="CR424" s="607">
        <f t="shared" si="527"/>
        <v>0</v>
      </c>
      <c r="CS424" s="606">
        <f t="shared" si="528"/>
        <v>0</v>
      </c>
      <c r="CT424" s="607">
        <f t="shared" si="529"/>
        <v>0</v>
      </c>
      <c r="CU424" s="608">
        <f t="shared" si="530"/>
        <v>0</v>
      </c>
      <c r="CV424" s="610">
        <f t="shared" si="531"/>
        <v>43239.896103896099</v>
      </c>
      <c r="CW424" s="608">
        <f t="shared" si="532"/>
        <v>44786.156682027649</v>
      </c>
      <c r="CX424" s="610">
        <f t="shared" si="533"/>
        <v>43239.896103896099</v>
      </c>
      <c r="CY424" s="611">
        <f t="shared" si="534"/>
        <v>44786.156682027649</v>
      </c>
      <c r="CZ424" s="605">
        <f t="shared" si="535"/>
        <v>0</v>
      </c>
      <c r="DA424" s="612">
        <f t="shared" si="536"/>
        <v>0</v>
      </c>
      <c r="DB424" s="607">
        <f t="shared" si="537"/>
        <v>0</v>
      </c>
      <c r="DC424" s="606">
        <f t="shared" si="538"/>
        <v>0</v>
      </c>
      <c r="DD424" s="607">
        <f t="shared" si="539"/>
        <v>0</v>
      </c>
      <c r="DE424" s="606">
        <f t="shared" si="540"/>
        <v>0</v>
      </c>
      <c r="DF424" s="607">
        <f t="shared" si="541"/>
        <v>0</v>
      </c>
      <c r="DG424" s="606">
        <f t="shared" si="542"/>
        <v>0</v>
      </c>
      <c r="DH424" s="607">
        <f t="shared" si="543"/>
        <v>0</v>
      </c>
      <c r="DI424" s="608">
        <f t="shared" si="544"/>
        <v>0</v>
      </c>
      <c r="DJ424" s="607">
        <f t="shared" si="545"/>
        <v>22</v>
      </c>
      <c r="DK424" s="608">
        <f t="shared" si="546"/>
        <v>21</v>
      </c>
      <c r="DL424" s="607">
        <f t="shared" si="547"/>
        <v>22</v>
      </c>
      <c r="DM424" s="608">
        <f t="shared" si="548"/>
        <v>21</v>
      </c>
      <c r="DN424" s="607">
        <f t="shared" si="549"/>
        <v>0</v>
      </c>
      <c r="DO424" s="612">
        <f t="shared" si="550"/>
        <v>0</v>
      </c>
      <c r="DP424" s="607">
        <f t="shared" si="551"/>
        <v>0</v>
      </c>
      <c r="DQ424" s="606">
        <f t="shared" si="552"/>
        <v>0</v>
      </c>
      <c r="DR424" s="607">
        <f t="shared" si="553"/>
        <v>0</v>
      </c>
      <c r="DS424" s="606">
        <f t="shared" si="554"/>
        <v>0</v>
      </c>
      <c r="DT424" s="607">
        <f t="shared" si="555"/>
        <v>0</v>
      </c>
      <c r="DU424" s="606">
        <f t="shared" si="556"/>
        <v>0</v>
      </c>
      <c r="DV424" s="607">
        <f t="shared" si="557"/>
        <v>0</v>
      </c>
      <c r="DW424" s="608">
        <f t="shared" si="558"/>
        <v>0</v>
      </c>
      <c r="DX424" s="607">
        <f t="shared" si="559"/>
        <v>951277.7142857142</v>
      </c>
      <c r="DY424" s="608">
        <f t="shared" si="560"/>
        <v>940509.29032258061</v>
      </c>
      <c r="DZ424" s="607">
        <f t="shared" si="561"/>
        <v>951277.7142857142</v>
      </c>
      <c r="EA424" s="608">
        <f t="shared" si="562"/>
        <v>940509.29032258061</v>
      </c>
    </row>
    <row r="425" spans="1:131" x14ac:dyDescent="0.2">
      <c r="A425" s="341" t="s">
        <v>41</v>
      </c>
      <c r="B425" s="349" t="s">
        <v>429</v>
      </c>
      <c r="C425" s="578"/>
      <c r="D425" s="350">
        <v>365198</v>
      </c>
      <c r="E425" s="344">
        <v>13</v>
      </c>
      <c r="F425" s="598"/>
      <c r="G425" s="599"/>
      <c r="H425" s="600"/>
      <c r="I425" s="601"/>
      <c r="J425" s="600"/>
      <c r="K425" s="599"/>
      <c r="L425" s="600"/>
      <c r="M425" s="601"/>
      <c r="N425" s="600"/>
      <c r="O425" s="599"/>
      <c r="P425" s="600"/>
      <c r="Q425" s="601"/>
      <c r="R425" s="600"/>
      <c r="S425" s="599"/>
      <c r="T425" s="600"/>
      <c r="U425" s="601"/>
      <c r="V425" s="600"/>
      <c r="W425" s="599"/>
      <c r="X425" s="600"/>
      <c r="Y425" s="601"/>
      <c r="Z425" s="600"/>
      <c r="AA425" s="599"/>
      <c r="AB425" s="600"/>
      <c r="AC425" s="601"/>
      <c r="AD425" s="600"/>
      <c r="AE425" s="599"/>
      <c r="AF425" s="600"/>
      <c r="AG425" s="601"/>
      <c r="AH425" s="600"/>
      <c r="AI425" s="599"/>
      <c r="AJ425" s="600"/>
      <c r="AK425" s="601"/>
      <c r="AL425" s="600"/>
      <c r="AM425" s="599"/>
      <c r="AN425" s="600"/>
      <c r="AO425" s="601"/>
      <c r="AP425" s="600"/>
      <c r="AQ425" s="599"/>
      <c r="AR425" s="600"/>
      <c r="AS425" s="601"/>
      <c r="AT425" s="600"/>
      <c r="AU425" s="599"/>
      <c r="AV425" s="600">
        <v>1</v>
      </c>
      <c r="AW425" s="601">
        <v>3</v>
      </c>
      <c r="AX425" s="600"/>
      <c r="AY425" s="599"/>
      <c r="AZ425" s="600">
        <v>25</v>
      </c>
      <c r="BA425" s="601">
        <v>23</v>
      </c>
      <c r="BB425" s="602">
        <v>0</v>
      </c>
      <c r="BC425" s="599"/>
      <c r="BD425" s="600">
        <v>0</v>
      </c>
      <c r="BE425" s="599"/>
      <c r="BF425" s="600">
        <v>0</v>
      </c>
      <c r="BG425" s="599"/>
      <c r="BH425" s="600">
        <v>0</v>
      </c>
      <c r="BI425" s="599"/>
      <c r="BJ425" s="600">
        <v>0</v>
      </c>
      <c r="BK425" s="615"/>
      <c r="BL425" s="600">
        <v>1312671</v>
      </c>
      <c r="BM425" s="604">
        <v>1416940</v>
      </c>
      <c r="BN425" s="605">
        <f t="shared" si="497"/>
        <v>0</v>
      </c>
      <c r="BO425" s="606">
        <f t="shared" si="498"/>
        <v>0</v>
      </c>
      <c r="BP425" s="607">
        <f t="shared" si="499"/>
        <v>0</v>
      </c>
      <c r="BQ425" s="606">
        <f t="shared" si="500"/>
        <v>0</v>
      </c>
      <c r="BR425" s="607">
        <f t="shared" si="501"/>
        <v>0</v>
      </c>
      <c r="BS425" s="606">
        <f t="shared" si="502"/>
        <v>0</v>
      </c>
      <c r="BT425" s="607">
        <f t="shared" si="503"/>
        <v>0</v>
      </c>
      <c r="BU425" s="606">
        <f t="shared" si="504"/>
        <v>0</v>
      </c>
      <c r="BV425" s="607">
        <f t="shared" si="505"/>
        <v>0</v>
      </c>
      <c r="BW425" s="608">
        <f t="shared" si="506"/>
        <v>0</v>
      </c>
      <c r="BX425" s="607">
        <f t="shared" si="507"/>
        <v>310</v>
      </c>
      <c r="BY425" s="608">
        <f t="shared" si="508"/>
        <v>306</v>
      </c>
      <c r="BZ425" s="607">
        <f t="shared" si="509"/>
        <v>0</v>
      </c>
      <c r="CA425" s="608">
        <f t="shared" si="510"/>
        <v>0</v>
      </c>
      <c r="CB425" s="607">
        <f t="shared" si="511"/>
        <v>0</v>
      </c>
      <c r="CC425" s="608">
        <f t="shared" si="512"/>
        <v>0</v>
      </c>
      <c r="CD425" s="607">
        <f t="shared" si="513"/>
        <v>0</v>
      </c>
      <c r="CE425" s="608">
        <f t="shared" si="514"/>
        <v>0</v>
      </c>
      <c r="CF425" s="607">
        <f t="shared" si="515"/>
        <v>0</v>
      </c>
      <c r="CG425" s="608">
        <f t="shared" si="516"/>
        <v>0</v>
      </c>
      <c r="CH425" s="607">
        <f t="shared" si="517"/>
        <v>0</v>
      </c>
      <c r="CI425" s="608">
        <f t="shared" si="518"/>
        <v>0</v>
      </c>
      <c r="CJ425" s="607">
        <f t="shared" si="519"/>
        <v>4234.4225806451614</v>
      </c>
      <c r="CK425" s="608">
        <f t="shared" si="520"/>
        <v>4630.5228758169933</v>
      </c>
      <c r="CL425" s="609">
        <f t="shared" si="521"/>
        <v>0</v>
      </c>
      <c r="CM425" s="608">
        <f t="shared" si="522"/>
        <v>0</v>
      </c>
      <c r="CN425" s="610">
        <f t="shared" si="523"/>
        <v>0</v>
      </c>
      <c r="CO425" s="606">
        <f t="shared" si="524"/>
        <v>0</v>
      </c>
      <c r="CP425" s="607">
        <f t="shared" si="525"/>
        <v>0</v>
      </c>
      <c r="CQ425" s="606">
        <f t="shared" si="526"/>
        <v>0</v>
      </c>
      <c r="CR425" s="607">
        <f t="shared" si="527"/>
        <v>0</v>
      </c>
      <c r="CS425" s="606">
        <f t="shared" si="528"/>
        <v>0</v>
      </c>
      <c r="CT425" s="607">
        <f t="shared" si="529"/>
        <v>0</v>
      </c>
      <c r="CU425" s="608">
        <f t="shared" si="530"/>
        <v>0</v>
      </c>
      <c r="CV425" s="610">
        <f t="shared" si="531"/>
        <v>38109.803225806449</v>
      </c>
      <c r="CW425" s="608">
        <f t="shared" si="532"/>
        <v>41674.705882352937</v>
      </c>
      <c r="CX425" s="610">
        <f t="shared" si="533"/>
        <v>38109.803225806449</v>
      </c>
      <c r="CY425" s="611">
        <f t="shared" si="534"/>
        <v>41674.705882352937</v>
      </c>
      <c r="CZ425" s="605">
        <f t="shared" si="535"/>
        <v>0</v>
      </c>
      <c r="DA425" s="612">
        <f t="shared" si="536"/>
        <v>0</v>
      </c>
      <c r="DB425" s="607">
        <f t="shared" si="537"/>
        <v>0</v>
      </c>
      <c r="DC425" s="606">
        <f t="shared" si="538"/>
        <v>0</v>
      </c>
      <c r="DD425" s="607">
        <f t="shared" si="539"/>
        <v>0</v>
      </c>
      <c r="DE425" s="606">
        <f t="shared" si="540"/>
        <v>0</v>
      </c>
      <c r="DF425" s="607">
        <f t="shared" si="541"/>
        <v>0</v>
      </c>
      <c r="DG425" s="606">
        <f t="shared" si="542"/>
        <v>0</v>
      </c>
      <c r="DH425" s="607">
        <f t="shared" si="543"/>
        <v>0</v>
      </c>
      <c r="DI425" s="608">
        <f t="shared" si="544"/>
        <v>0</v>
      </c>
      <c r="DJ425" s="607">
        <f t="shared" si="545"/>
        <v>26</v>
      </c>
      <c r="DK425" s="608">
        <f t="shared" si="546"/>
        <v>26</v>
      </c>
      <c r="DL425" s="607">
        <f t="shared" si="547"/>
        <v>26</v>
      </c>
      <c r="DM425" s="608">
        <f t="shared" si="548"/>
        <v>26</v>
      </c>
      <c r="DN425" s="607">
        <f t="shared" si="549"/>
        <v>0</v>
      </c>
      <c r="DO425" s="612">
        <f t="shared" si="550"/>
        <v>0</v>
      </c>
      <c r="DP425" s="607">
        <f t="shared" si="551"/>
        <v>0</v>
      </c>
      <c r="DQ425" s="606">
        <f t="shared" si="552"/>
        <v>0</v>
      </c>
      <c r="DR425" s="607">
        <f t="shared" si="553"/>
        <v>0</v>
      </c>
      <c r="DS425" s="606">
        <f t="shared" si="554"/>
        <v>0</v>
      </c>
      <c r="DT425" s="607">
        <f t="shared" si="555"/>
        <v>0</v>
      </c>
      <c r="DU425" s="606">
        <f t="shared" si="556"/>
        <v>0</v>
      </c>
      <c r="DV425" s="607">
        <f t="shared" si="557"/>
        <v>0</v>
      </c>
      <c r="DW425" s="608">
        <f t="shared" si="558"/>
        <v>0</v>
      </c>
      <c r="DX425" s="607">
        <f t="shared" si="559"/>
        <v>990854.88387096766</v>
      </c>
      <c r="DY425" s="608">
        <f t="shared" si="560"/>
        <v>1083542.3529411764</v>
      </c>
      <c r="DZ425" s="607">
        <f t="shared" si="561"/>
        <v>990854.88387096766</v>
      </c>
      <c r="EA425" s="608">
        <f t="shared" si="562"/>
        <v>1083542.3529411764</v>
      </c>
    </row>
    <row r="426" spans="1:131" x14ac:dyDescent="0.2">
      <c r="A426" s="341" t="s">
        <v>41</v>
      </c>
      <c r="B426" s="349" t="s">
        <v>430</v>
      </c>
      <c r="C426" s="578"/>
      <c r="D426" s="350">
        <v>368364</v>
      </c>
      <c r="E426" s="344">
        <v>13</v>
      </c>
      <c r="F426" s="598"/>
      <c r="G426" s="599"/>
      <c r="H426" s="600"/>
      <c r="I426" s="601"/>
      <c r="J426" s="600"/>
      <c r="K426" s="599"/>
      <c r="L426" s="600"/>
      <c r="M426" s="601"/>
      <c r="N426" s="600"/>
      <c r="O426" s="599"/>
      <c r="P426" s="600"/>
      <c r="Q426" s="601"/>
      <c r="R426" s="600"/>
      <c r="S426" s="599"/>
      <c r="T426" s="600"/>
      <c r="U426" s="601"/>
      <c r="V426" s="600"/>
      <c r="W426" s="599"/>
      <c r="X426" s="600"/>
      <c r="Y426" s="601"/>
      <c r="Z426" s="600"/>
      <c r="AA426" s="599"/>
      <c r="AB426" s="600"/>
      <c r="AC426" s="601"/>
      <c r="AD426" s="600"/>
      <c r="AE426" s="599"/>
      <c r="AF426" s="600"/>
      <c r="AG426" s="601"/>
      <c r="AH426" s="600"/>
      <c r="AI426" s="599"/>
      <c r="AJ426" s="600"/>
      <c r="AK426" s="601"/>
      <c r="AL426" s="600"/>
      <c r="AM426" s="599"/>
      <c r="AN426" s="600"/>
      <c r="AO426" s="601"/>
      <c r="AP426" s="600"/>
      <c r="AQ426" s="599"/>
      <c r="AR426" s="600"/>
      <c r="AS426" s="601"/>
      <c r="AT426" s="600"/>
      <c r="AU426" s="599"/>
      <c r="AV426" s="600">
        <v>8</v>
      </c>
      <c r="AW426" s="601">
        <v>7</v>
      </c>
      <c r="AX426" s="600">
        <v>3</v>
      </c>
      <c r="AY426" s="599">
        <v>2</v>
      </c>
      <c r="AZ426" s="600">
        <v>6</v>
      </c>
      <c r="BA426" s="601">
        <v>5</v>
      </c>
      <c r="BB426" s="602">
        <v>0</v>
      </c>
      <c r="BC426" s="599"/>
      <c r="BD426" s="600">
        <v>0</v>
      </c>
      <c r="BE426" s="599"/>
      <c r="BF426" s="600">
        <v>0</v>
      </c>
      <c r="BG426" s="599"/>
      <c r="BH426" s="600">
        <v>0</v>
      </c>
      <c r="BI426" s="599"/>
      <c r="BJ426" s="600">
        <v>0</v>
      </c>
      <c r="BK426" s="615"/>
      <c r="BL426" s="600">
        <v>802109</v>
      </c>
      <c r="BM426" s="604">
        <v>655582</v>
      </c>
      <c r="BN426" s="605">
        <f t="shared" si="497"/>
        <v>0</v>
      </c>
      <c r="BO426" s="606">
        <f t="shared" si="498"/>
        <v>0</v>
      </c>
      <c r="BP426" s="607">
        <f t="shared" si="499"/>
        <v>0</v>
      </c>
      <c r="BQ426" s="606">
        <f t="shared" si="500"/>
        <v>0</v>
      </c>
      <c r="BR426" s="607">
        <f t="shared" si="501"/>
        <v>0</v>
      </c>
      <c r="BS426" s="606">
        <f t="shared" si="502"/>
        <v>0</v>
      </c>
      <c r="BT426" s="607">
        <f t="shared" si="503"/>
        <v>0</v>
      </c>
      <c r="BU426" s="606">
        <f t="shared" si="504"/>
        <v>0</v>
      </c>
      <c r="BV426" s="607">
        <f t="shared" si="505"/>
        <v>0</v>
      </c>
      <c r="BW426" s="608">
        <f t="shared" si="506"/>
        <v>0</v>
      </c>
      <c r="BX426" s="607">
        <f t="shared" si="507"/>
        <v>185</v>
      </c>
      <c r="BY426" s="608">
        <f t="shared" si="508"/>
        <v>152</v>
      </c>
      <c r="BZ426" s="607">
        <f t="shared" si="509"/>
        <v>0</v>
      </c>
      <c r="CA426" s="608">
        <f t="shared" si="510"/>
        <v>0</v>
      </c>
      <c r="CB426" s="607">
        <f t="shared" si="511"/>
        <v>0</v>
      </c>
      <c r="CC426" s="608">
        <f t="shared" si="512"/>
        <v>0</v>
      </c>
      <c r="CD426" s="607">
        <f t="shared" si="513"/>
        <v>0</v>
      </c>
      <c r="CE426" s="608">
        <f t="shared" si="514"/>
        <v>0</v>
      </c>
      <c r="CF426" s="607">
        <f t="shared" si="515"/>
        <v>0</v>
      </c>
      <c r="CG426" s="608">
        <f t="shared" si="516"/>
        <v>0</v>
      </c>
      <c r="CH426" s="607">
        <f t="shared" si="517"/>
        <v>0</v>
      </c>
      <c r="CI426" s="608">
        <f t="shared" si="518"/>
        <v>0</v>
      </c>
      <c r="CJ426" s="607">
        <f t="shared" si="519"/>
        <v>4335.7243243243247</v>
      </c>
      <c r="CK426" s="608">
        <f t="shared" si="520"/>
        <v>4313.0394736842109</v>
      </c>
      <c r="CL426" s="609">
        <f t="shared" si="521"/>
        <v>0</v>
      </c>
      <c r="CM426" s="608">
        <f t="shared" si="522"/>
        <v>0</v>
      </c>
      <c r="CN426" s="610">
        <f t="shared" si="523"/>
        <v>0</v>
      </c>
      <c r="CO426" s="606">
        <f t="shared" si="524"/>
        <v>0</v>
      </c>
      <c r="CP426" s="607">
        <f t="shared" si="525"/>
        <v>0</v>
      </c>
      <c r="CQ426" s="606">
        <f t="shared" si="526"/>
        <v>0</v>
      </c>
      <c r="CR426" s="607">
        <f t="shared" si="527"/>
        <v>0</v>
      </c>
      <c r="CS426" s="606">
        <f t="shared" si="528"/>
        <v>0</v>
      </c>
      <c r="CT426" s="607">
        <f t="shared" si="529"/>
        <v>0</v>
      </c>
      <c r="CU426" s="608">
        <f t="shared" si="530"/>
        <v>0</v>
      </c>
      <c r="CV426" s="610">
        <f t="shared" si="531"/>
        <v>39021.518918918926</v>
      </c>
      <c r="CW426" s="608">
        <f t="shared" si="532"/>
        <v>38817.3552631579</v>
      </c>
      <c r="CX426" s="610">
        <f t="shared" si="533"/>
        <v>39021.518918918926</v>
      </c>
      <c r="CY426" s="611">
        <f t="shared" si="534"/>
        <v>38817.3552631579</v>
      </c>
      <c r="CZ426" s="605">
        <f t="shared" si="535"/>
        <v>0</v>
      </c>
      <c r="DA426" s="612">
        <f t="shared" si="536"/>
        <v>0</v>
      </c>
      <c r="DB426" s="607">
        <f t="shared" si="537"/>
        <v>0</v>
      </c>
      <c r="DC426" s="606">
        <f t="shared" si="538"/>
        <v>0</v>
      </c>
      <c r="DD426" s="607">
        <f t="shared" si="539"/>
        <v>0</v>
      </c>
      <c r="DE426" s="606">
        <f t="shared" si="540"/>
        <v>0</v>
      </c>
      <c r="DF426" s="607">
        <f t="shared" si="541"/>
        <v>0</v>
      </c>
      <c r="DG426" s="606">
        <f t="shared" si="542"/>
        <v>0</v>
      </c>
      <c r="DH426" s="607">
        <f t="shared" si="543"/>
        <v>0</v>
      </c>
      <c r="DI426" s="608">
        <f t="shared" si="544"/>
        <v>0</v>
      </c>
      <c r="DJ426" s="607">
        <f t="shared" si="545"/>
        <v>17</v>
      </c>
      <c r="DK426" s="608">
        <f t="shared" si="546"/>
        <v>14</v>
      </c>
      <c r="DL426" s="607">
        <f t="shared" si="547"/>
        <v>17</v>
      </c>
      <c r="DM426" s="608">
        <f t="shared" si="548"/>
        <v>14</v>
      </c>
      <c r="DN426" s="607">
        <f t="shared" si="549"/>
        <v>0</v>
      </c>
      <c r="DO426" s="612">
        <f t="shared" si="550"/>
        <v>0</v>
      </c>
      <c r="DP426" s="607">
        <f t="shared" si="551"/>
        <v>0</v>
      </c>
      <c r="DQ426" s="606">
        <f t="shared" si="552"/>
        <v>0</v>
      </c>
      <c r="DR426" s="607">
        <f t="shared" si="553"/>
        <v>0</v>
      </c>
      <c r="DS426" s="606">
        <f t="shared" si="554"/>
        <v>0</v>
      </c>
      <c r="DT426" s="607">
        <f t="shared" si="555"/>
        <v>0</v>
      </c>
      <c r="DU426" s="606">
        <f t="shared" si="556"/>
        <v>0</v>
      </c>
      <c r="DV426" s="607">
        <f t="shared" si="557"/>
        <v>0</v>
      </c>
      <c r="DW426" s="608">
        <f t="shared" si="558"/>
        <v>0</v>
      </c>
      <c r="DX426" s="607">
        <f t="shared" si="559"/>
        <v>663365.82162162173</v>
      </c>
      <c r="DY426" s="608">
        <f t="shared" si="560"/>
        <v>543442.97368421056</v>
      </c>
      <c r="DZ426" s="607">
        <f t="shared" si="561"/>
        <v>663365.82162162173</v>
      </c>
      <c r="EA426" s="608">
        <f t="shared" si="562"/>
        <v>543442.97368421056</v>
      </c>
    </row>
    <row r="427" spans="1:131" x14ac:dyDescent="0.2">
      <c r="A427" s="341" t="s">
        <v>41</v>
      </c>
      <c r="B427" s="349" t="s">
        <v>431</v>
      </c>
      <c r="C427" s="578"/>
      <c r="D427" s="350">
        <v>418287</v>
      </c>
      <c r="E427" s="344">
        <v>13</v>
      </c>
      <c r="F427" s="598"/>
      <c r="G427" s="599"/>
      <c r="H427" s="600"/>
      <c r="I427" s="601"/>
      <c r="J427" s="600"/>
      <c r="K427" s="599"/>
      <c r="L427" s="600"/>
      <c r="M427" s="601"/>
      <c r="N427" s="600"/>
      <c r="O427" s="599"/>
      <c r="P427" s="600"/>
      <c r="Q427" s="601"/>
      <c r="R427" s="600"/>
      <c r="S427" s="599"/>
      <c r="T427" s="600"/>
      <c r="U427" s="601"/>
      <c r="V427" s="600"/>
      <c r="W427" s="599"/>
      <c r="X427" s="600"/>
      <c r="Y427" s="601"/>
      <c r="Z427" s="600"/>
      <c r="AA427" s="599"/>
      <c r="AB427" s="600"/>
      <c r="AC427" s="601"/>
      <c r="AD427" s="600"/>
      <c r="AE427" s="599"/>
      <c r="AF427" s="600"/>
      <c r="AG427" s="601"/>
      <c r="AH427" s="600"/>
      <c r="AI427" s="599"/>
      <c r="AJ427" s="600"/>
      <c r="AK427" s="601"/>
      <c r="AL427" s="600"/>
      <c r="AM427" s="599"/>
      <c r="AN427" s="600"/>
      <c r="AO427" s="601"/>
      <c r="AP427" s="600"/>
      <c r="AQ427" s="599"/>
      <c r="AR427" s="600"/>
      <c r="AS427" s="601"/>
      <c r="AT427" s="600"/>
      <c r="AU427" s="599"/>
      <c r="AV427" s="600">
        <v>14</v>
      </c>
      <c r="AW427" s="601">
        <v>18</v>
      </c>
      <c r="AX427" s="600">
        <v>11</v>
      </c>
      <c r="AY427" s="599">
        <v>11</v>
      </c>
      <c r="AZ427" s="600">
        <v>4</v>
      </c>
      <c r="BA427" s="601">
        <v>3</v>
      </c>
      <c r="BB427" s="602">
        <v>0</v>
      </c>
      <c r="BC427" s="599"/>
      <c r="BD427" s="600">
        <v>0</v>
      </c>
      <c r="BE427" s="599"/>
      <c r="BF427" s="600">
        <v>0</v>
      </c>
      <c r="BG427" s="599"/>
      <c r="BH427" s="600">
        <v>0</v>
      </c>
      <c r="BI427" s="599"/>
      <c r="BJ427" s="600">
        <v>0</v>
      </c>
      <c r="BK427" s="615"/>
      <c r="BL427" s="600">
        <v>1517236</v>
      </c>
      <c r="BM427" s="604">
        <v>1696757</v>
      </c>
      <c r="BN427" s="605">
        <f t="shared" si="497"/>
        <v>0</v>
      </c>
      <c r="BO427" s="606">
        <f t="shared" si="498"/>
        <v>0</v>
      </c>
      <c r="BP427" s="607">
        <f t="shared" si="499"/>
        <v>0</v>
      </c>
      <c r="BQ427" s="606">
        <f t="shared" si="500"/>
        <v>0</v>
      </c>
      <c r="BR427" s="607">
        <f t="shared" si="501"/>
        <v>0</v>
      </c>
      <c r="BS427" s="606">
        <f t="shared" si="502"/>
        <v>0</v>
      </c>
      <c r="BT427" s="607">
        <f t="shared" si="503"/>
        <v>0</v>
      </c>
      <c r="BU427" s="606">
        <f t="shared" si="504"/>
        <v>0</v>
      </c>
      <c r="BV427" s="607">
        <f t="shared" si="505"/>
        <v>0</v>
      </c>
      <c r="BW427" s="608">
        <f t="shared" si="506"/>
        <v>0</v>
      </c>
      <c r="BX427" s="607">
        <f t="shared" si="507"/>
        <v>309</v>
      </c>
      <c r="BY427" s="608">
        <f t="shared" si="508"/>
        <v>337</v>
      </c>
      <c r="BZ427" s="607">
        <f t="shared" si="509"/>
        <v>0</v>
      </c>
      <c r="CA427" s="608">
        <f t="shared" si="510"/>
        <v>0</v>
      </c>
      <c r="CB427" s="607">
        <f t="shared" si="511"/>
        <v>0</v>
      </c>
      <c r="CC427" s="608">
        <f t="shared" si="512"/>
        <v>0</v>
      </c>
      <c r="CD427" s="607">
        <f t="shared" si="513"/>
        <v>0</v>
      </c>
      <c r="CE427" s="608">
        <f t="shared" si="514"/>
        <v>0</v>
      </c>
      <c r="CF427" s="607">
        <f t="shared" si="515"/>
        <v>0</v>
      </c>
      <c r="CG427" s="608">
        <f t="shared" si="516"/>
        <v>0</v>
      </c>
      <c r="CH427" s="607">
        <f t="shared" si="517"/>
        <v>0</v>
      </c>
      <c r="CI427" s="608">
        <f t="shared" si="518"/>
        <v>0</v>
      </c>
      <c r="CJ427" s="607">
        <f t="shared" si="519"/>
        <v>4910.1488673139156</v>
      </c>
      <c r="CK427" s="608">
        <f t="shared" si="520"/>
        <v>5034.8872403560827</v>
      </c>
      <c r="CL427" s="609">
        <f t="shared" si="521"/>
        <v>0</v>
      </c>
      <c r="CM427" s="608">
        <f t="shared" si="522"/>
        <v>0</v>
      </c>
      <c r="CN427" s="610">
        <f t="shared" si="523"/>
        <v>0</v>
      </c>
      <c r="CO427" s="606">
        <f t="shared" si="524"/>
        <v>0</v>
      </c>
      <c r="CP427" s="607">
        <f t="shared" si="525"/>
        <v>0</v>
      </c>
      <c r="CQ427" s="606">
        <f t="shared" si="526"/>
        <v>0</v>
      </c>
      <c r="CR427" s="607">
        <f t="shared" si="527"/>
        <v>0</v>
      </c>
      <c r="CS427" s="606">
        <f t="shared" si="528"/>
        <v>0</v>
      </c>
      <c r="CT427" s="607">
        <f t="shared" si="529"/>
        <v>0</v>
      </c>
      <c r="CU427" s="608">
        <f t="shared" si="530"/>
        <v>0</v>
      </c>
      <c r="CV427" s="610">
        <f t="shared" si="531"/>
        <v>44191.339805825242</v>
      </c>
      <c r="CW427" s="608">
        <f t="shared" si="532"/>
        <v>45313.985163204743</v>
      </c>
      <c r="CX427" s="610">
        <f t="shared" si="533"/>
        <v>44191.339805825242</v>
      </c>
      <c r="CY427" s="611">
        <f t="shared" si="534"/>
        <v>45313.985163204743</v>
      </c>
      <c r="CZ427" s="605">
        <f t="shared" si="535"/>
        <v>0</v>
      </c>
      <c r="DA427" s="612">
        <f t="shared" si="536"/>
        <v>0</v>
      </c>
      <c r="DB427" s="607">
        <f t="shared" si="537"/>
        <v>0</v>
      </c>
      <c r="DC427" s="606">
        <f t="shared" si="538"/>
        <v>0</v>
      </c>
      <c r="DD427" s="607">
        <f t="shared" si="539"/>
        <v>0</v>
      </c>
      <c r="DE427" s="606">
        <f t="shared" si="540"/>
        <v>0</v>
      </c>
      <c r="DF427" s="607">
        <f t="shared" si="541"/>
        <v>0</v>
      </c>
      <c r="DG427" s="606">
        <f t="shared" si="542"/>
        <v>0</v>
      </c>
      <c r="DH427" s="607">
        <f t="shared" si="543"/>
        <v>0</v>
      </c>
      <c r="DI427" s="608">
        <f t="shared" si="544"/>
        <v>0</v>
      </c>
      <c r="DJ427" s="607">
        <f t="shared" si="545"/>
        <v>29</v>
      </c>
      <c r="DK427" s="608">
        <f t="shared" si="546"/>
        <v>32</v>
      </c>
      <c r="DL427" s="607">
        <f t="shared" si="547"/>
        <v>29</v>
      </c>
      <c r="DM427" s="608">
        <f t="shared" si="548"/>
        <v>32</v>
      </c>
      <c r="DN427" s="607">
        <f t="shared" si="549"/>
        <v>0</v>
      </c>
      <c r="DO427" s="612">
        <f t="shared" si="550"/>
        <v>0</v>
      </c>
      <c r="DP427" s="607">
        <f t="shared" si="551"/>
        <v>0</v>
      </c>
      <c r="DQ427" s="606">
        <f t="shared" si="552"/>
        <v>0</v>
      </c>
      <c r="DR427" s="607">
        <f t="shared" si="553"/>
        <v>0</v>
      </c>
      <c r="DS427" s="606">
        <f t="shared" si="554"/>
        <v>0</v>
      </c>
      <c r="DT427" s="607">
        <f t="shared" si="555"/>
        <v>0</v>
      </c>
      <c r="DU427" s="606">
        <f t="shared" si="556"/>
        <v>0</v>
      </c>
      <c r="DV427" s="607">
        <f t="shared" si="557"/>
        <v>0</v>
      </c>
      <c r="DW427" s="608">
        <f t="shared" si="558"/>
        <v>0</v>
      </c>
      <c r="DX427" s="607">
        <f t="shared" si="559"/>
        <v>1281548.8543689321</v>
      </c>
      <c r="DY427" s="608">
        <f t="shared" si="560"/>
        <v>1450047.5252225518</v>
      </c>
      <c r="DZ427" s="607">
        <f t="shared" si="561"/>
        <v>1281548.8543689321</v>
      </c>
      <c r="EA427" s="608">
        <f t="shared" si="562"/>
        <v>1450047.5252225518</v>
      </c>
    </row>
    <row r="428" spans="1:131" x14ac:dyDescent="0.2">
      <c r="A428" s="341" t="s">
        <v>41</v>
      </c>
      <c r="B428" s="349" t="s">
        <v>432</v>
      </c>
      <c r="C428" s="578"/>
      <c r="D428" s="350">
        <v>207607</v>
      </c>
      <c r="E428" s="344">
        <v>13</v>
      </c>
      <c r="F428" s="598"/>
      <c r="G428" s="599"/>
      <c r="H428" s="600"/>
      <c r="I428" s="601"/>
      <c r="J428" s="600"/>
      <c r="K428" s="599"/>
      <c r="L428" s="600"/>
      <c r="M428" s="601"/>
      <c r="N428" s="600"/>
      <c r="O428" s="599"/>
      <c r="P428" s="600"/>
      <c r="Q428" s="601"/>
      <c r="R428" s="600"/>
      <c r="S428" s="599"/>
      <c r="T428" s="600"/>
      <c r="U428" s="601"/>
      <c r="V428" s="600"/>
      <c r="W428" s="599"/>
      <c r="X428" s="600"/>
      <c r="Y428" s="601"/>
      <c r="Z428" s="600"/>
      <c r="AA428" s="599"/>
      <c r="AB428" s="600"/>
      <c r="AC428" s="601"/>
      <c r="AD428" s="600"/>
      <c r="AE428" s="599"/>
      <c r="AF428" s="600"/>
      <c r="AG428" s="601"/>
      <c r="AH428" s="600"/>
      <c r="AI428" s="599"/>
      <c r="AJ428" s="600"/>
      <c r="AK428" s="601"/>
      <c r="AL428" s="600"/>
      <c r="AM428" s="599"/>
      <c r="AN428" s="600"/>
      <c r="AO428" s="601"/>
      <c r="AP428" s="600"/>
      <c r="AQ428" s="599"/>
      <c r="AR428" s="600"/>
      <c r="AS428" s="601"/>
      <c r="AT428" s="600"/>
      <c r="AU428" s="599"/>
      <c r="AV428" s="600"/>
      <c r="AW428" s="601"/>
      <c r="AX428" s="600">
        <v>21</v>
      </c>
      <c r="AY428" s="599">
        <v>20</v>
      </c>
      <c r="AZ428" s="600">
        <v>2</v>
      </c>
      <c r="BA428" s="601">
        <v>2</v>
      </c>
      <c r="BB428" s="602">
        <v>0</v>
      </c>
      <c r="BC428" s="599"/>
      <c r="BD428" s="600">
        <v>0</v>
      </c>
      <c r="BE428" s="599"/>
      <c r="BF428" s="600">
        <v>0</v>
      </c>
      <c r="BG428" s="599"/>
      <c r="BH428" s="600">
        <v>0</v>
      </c>
      <c r="BI428" s="599"/>
      <c r="BJ428" s="600">
        <v>0</v>
      </c>
      <c r="BK428" s="615"/>
      <c r="BL428" s="600">
        <v>1232087</v>
      </c>
      <c r="BM428" s="604">
        <v>1179220</v>
      </c>
      <c r="BN428" s="605">
        <f t="shared" si="497"/>
        <v>0</v>
      </c>
      <c r="BO428" s="606">
        <f t="shared" si="498"/>
        <v>0</v>
      </c>
      <c r="BP428" s="607">
        <f t="shared" si="499"/>
        <v>0</v>
      </c>
      <c r="BQ428" s="606">
        <f t="shared" si="500"/>
        <v>0</v>
      </c>
      <c r="BR428" s="607">
        <f t="shared" si="501"/>
        <v>0</v>
      </c>
      <c r="BS428" s="606">
        <f t="shared" si="502"/>
        <v>0</v>
      </c>
      <c r="BT428" s="607">
        <f t="shared" si="503"/>
        <v>0</v>
      </c>
      <c r="BU428" s="606">
        <f t="shared" si="504"/>
        <v>0</v>
      </c>
      <c r="BV428" s="607">
        <f t="shared" si="505"/>
        <v>0</v>
      </c>
      <c r="BW428" s="608">
        <f t="shared" si="506"/>
        <v>0</v>
      </c>
      <c r="BX428" s="607">
        <f t="shared" si="507"/>
        <v>255</v>
      </c>
      <c r="BY428" s="608">
        <f t="shared" si="508"/>
        <v>244</v>
      </c>
      <c r="BZ428" s="607">
        <f t="shared" si="509"/>
        <v>0</v>
      </c>
      <c r="CA428" s="608">
        <f t="shared" si="510"/>
        <v>0</v>
      </c>
      <c r="CB428" s="607">
        <f t="shared" si="511"/>
        <v>0</v>
      </c>
      <c r="CC428" s="608">
        <f t="shared" si="512"/>
        <v>0</v>
      </c>
      <c r="CD428" s="607">
        <f t="shared" si="513"/>
        <v>0</v>
      </c>
      <c r="CE428" s="608">
        <f t="shared" si="514"/>
        <v>0</v>
      </c>
      <c r="CF428" s="607">
        <f t="shared" si="515"/>
        <v>0</v>
      </c>
      <c r="CG428" s="608">
        <f t="shared" si="516"/>
        <v>0</v>
      </c>
      <c r="CH428" s="607">
        <f t="shared" si="517"/>
        <v>0</v>
      </c>
      <c r="CI428" s="608">
        <f t="shared" si="518"/>
        <v>0</v>
      </c>
      <c r="CJ428" s="607">
        <f t="shared" si="519"/>
        <v>4831.7137254901963</v>
      </c>
      <c r="CK428" s="608">
        <f t="shared" si="520"/>
        <v>4832.8688524590161</v>
      </c>
      <c r="CL428" s="609">
        <f t="shared" si="521"/>
        <v>0</v>
      </c>
      <c r="CM428" s="608">
        <f t="shared" si="522"/>
        <v>0</v>
      </c>
      <c r="CN428" s="610">
        <f t="shared" si="523"/>
        <v>0</v>
      </c>
      <c r="CO428" s="606">
        <f t="shared" si="524"/>
        <v>0</v>
      </c>
      <c r="CP428" s="607">
        <f t="shared" si="525"/>
        <v>0</v>
      </c>
      <c r="CQ428" s="606">
        <f t="shared" si="526"/>
        <v>0</v>
      </c>
      <c r="CR428" s="607">
        <f t="shared" si="527"/>
        <v>0</v>
      </c>
      <c r="CS428" s="606">
        <f t="shared" si="528"/>
        <v>0</v>
      </c>
      <c r="CT428" s="607">
        <f t="shared" si="529"/>
        <v>0</v>
      </c>
      <c r="CU428" s="608">
        <f t="shared" si="530"/>
        <v>0</v>
      </c>
      <c r="CV428" s="610">
        <f t="shared" si="531"/>
        <v>43485.423529411768</v>
      </c>
      <c r="CW428" s="608">
        <f t="shared" si="532"/>
        <v>43495.819672131147</v>
      </c>
      <c r="CX428" s="610">
        <f t="shared" si="533"/>
        <v>43485.423529411768</v>
      </c>
      <c r="CY428" s="611">
        <f t="shared" si="534"/>
        <v>43495.819672131147</v>
      </c>
      <c r="CZ428" s="605">
        <f t="shared" si="535"/>
        <v>0</v>
      </c>
      <c r="DA428" s="612">
        <f t="shared" si="536"/>
        <v>0</v>
      </c>
      <c r="DB428" s="607">
        <f t="shared" si="537"/>
        <v>0</v>
      </c>
      <c r="DC428" s="606">
        <f t="shared" si="538"/>
        <v>0</v>
      </c>
      <c r="DD428" s="607">
        <f t="shared" si="539"/>
        <v>0</v>
      </c>
      <c r="DE428" s="606">
        <f t="shared" si="540"/>
        <v>0</v>
      </c>
      <c r="DF428" s="607">
        <f t="shared" si="541"/>
        <v>0</v>
      </c>
      <c r="DG428" s="606">
        <f t="shared" si="542"/>
        <v>0</v>
      </c>
      <c r="DH428" s="607">
        <f t="shared" si="543"/>
        <v>0</v>
      </c>
      <c r="DI428" s="608">
        <f t="shared" si="544"/>
        <v>0</v>
      </c>
      <c r="DJ428" s="607">
        <f t="shared" si="545"/>
        <v>23</v>
      </c>
      <c r="DK428" s="608">
        <f t="shared" si="546"/>
        <v>22</v>
      </c>
      <c r="DL428" s="607">
        <f t="shared" si="547"/>
        <v>23</v>
      </c>
      <c r="DM428" s="608">
        <f t="shared" si="548"/>
        <v>22</v>
      </c>
      <c r="DN428" s="607">
        <f t="shared" si="549"/>
        <v>0</v>
      </c>
      <c r="DO428" s="612">
        <f t="shared" si="550"/>
        <v>0</v>
      </c>
      <c r="DP428" s="607">
        <f t="shared" si="551"/>
        <v>0</v>
      </c>
      <c r="DQ428" s="606">
        <f t="shared" si="552"/>
        <v>0</v>
      </c>
      <c r="DR428" s="607">
        <f t="shared" si="553"/>
        <v>0</v>
      </c>
      <c r="DS428" s="606">
        <f t="shared" si="554"/>
        <v>0</v>
      </c>
      <c r="DT428" s="607">
        <f t="shared" si="555"/>
        <v>0</v>
      </c>
      <c r="DU428" s="606">
        <f t="shared" si="556"/>
        <v>0</v>
      </c>
      <c r="DV428" s="607">
        <f t="shared" si="557"/>
        <v>0</v>
      </c>
      <c r="DW428" s="608">
        <f t="shared" si="558"/>
        <v>0</v>
      </c>
      <c r="DX428" s="607">
        <f t="shared" si="559"/>
        <v>1000164.7411764706</v>
      </c>
      <c r="DY428" s="608">
        <f t="shared" si="560"/>
        <v>956908.03278688528</v>
      </c>
      <c r="DZ428" s="607">
        <f t="shared" si="561"/>
        <v>1000164.7411764706</v>
      </c>
      <c r="EA428" s="608">
        <f t="shared" si="562"/>
        <v>956908.03278688528</v>
      </c>
    </row>
    <row r="429" spans="1:131" x14ac:dyDescent="0.2">
      <c r="A429" s="341" t="s">
        <v>41</v>
      </c>
      <c r="B429" s="345" t="s">
        <v>433</v>
      </c>
      <c r="C429" s="556"/>
      <c r="D429" s="350">
        <v>261393</v>
      </c>
      <c r="E429" s="351">
        <v>13</v>
      </c>
      <c r="F429" s="598"/>
      <c r="G429" s="599"/>
      <c r="H429" s="600"/>
      <c r="I429" s="601"/>
      <c r="J429" s="600"/>
      <c r="K429" s="599"/>
      <c r="L429" s="600"/>
      <c r="M429" s="601"/>
      <c r="N429" s="600"/>
      <c r="O429" s="599"/>
      <c r="P429" s="600"/>
      <c r="Q429" s="601"/>
      <c r="R429" s="600"/>
      <c r="S429" s="599"/>
      <c r="T429" s="600"/>
      <c r="U429" s="601"/>
      <c r="V429" s="600"/>
      <c r="W429" s="599"/>
      <c r="X429" s="600"/>
      <c r="Y429" s="601"/>
      <c r="Z429" s="600"/>
      <c r="AA429" s="599"/>
      <c r="AB429" s="600"/>
      <c r="AC429" s="601"/>
      <c r="AD429" s="600"/>
      <c r="AE429" s="599"/>
      <c r="AF429" s="600"/>
      <c r="AG429" s="601"/>
      <c r="AH429" s="600"/>
      <c r="AI429" s="599"/>
      <c r="AJ429" s="600"/>
      <c r="AK429" s="601"/>
      <c r="AL429" s="600"/>
      <c r="AM429" s="599"/>
      <c r="AN429" s="600"/>
      <c r="AO429" s="601"/>
      <c r="AP429" s="600"/>
      <c r="AQ429" s="599"/>
      <c r="AR429" s="600"/>
      <c r="AS429" s="601"/>
      <c r="AT429" s="600"/>
      <c r="AU429" s="599"/>
      <c r="AV429" s="600"/>
      <c r="AW429" s="601"/>
      <c r="AX429" s="600">
        <v>39</v>
      </c>
      <c r="AY429" s="599">
        <v>41</v>
      </c>
      <c r="AZ429" s="600">
        <v>2</v>
      </c>
      <c r="BA429" s="601"/>
      <c r="BB429" s="602">
        <v>0</v>
      </c>
      <c r="BC429" s="599"/>
      <c r="BD429" s="600">
        <v>0</v>
      </c>
      <c r="BE429" s="599"/>
      <c r="BF429" s="600">
        <v>0</v>
      </c>
      <c r="BG429" s="599"/>
      <c r="BH429" s="600">
        <v>0</v>
      </c>
      <c r="BI429" s="599"/>
      <c r="BJ429" s="600">
        <v>0</v>
      </c>
      <c r="BK429" s="615"/>
      <c r="BL429" s="600">
        <v>2235976</v>
      </c>
      <c r="BM429" s="604">
        <v>2237690</v>
      </c>
      <c r="BN429" s="605">
        <f t="shared" si="497"/>
        <v>0</v>
      </c>
      <c r="BO429" s="606">
        <f t="shared" si="498"/>
        <v>0</v>
      </c>
      <c r="BP429" s="607">
        <f t="shared" si="499"/>
        <v>0</v>
      </c>
      <c r="BQ429" s="606">
        <f t="shared" si="500"/>
        <v>0</v>
      </c>
      <c r="BR429" s="607">
        <f t="shared" si="501"/>
        <v>0</v>
      </c>
      <c r="BS429" s="606">
        <f t="shared" si="502"/>
        <v>0</v>
      </c>
      <c r="BT429" s="607">
        <f t="shared" si="503"/>
        <v>0</v>
      </c>
      <c r="BU429" s="606">
        <f t="shared" si="504"/>
        <v>0</v>
      </c>
      <c r="BV429" s="607">
        <f t="shared" si="505"/>
        <v>0</v>
      </c>
      <c r="BW429" s="608">
        <f t="shared" si="506"/>
        <v>0</v>
      </c>
      <c r="BX429" s="607">
        <f t="shared" si="507"/>
        <v>453</v>
      </c>
      <c r="BY429" s="608">
        <f t="shared" si="508"/>
        <v>451</v>
      </c>
      <c r="BZ429" s="607">
        <f t="shared" si="509"/>
        <v>0</v>
      </c>
      <c r="CA429" s="608">
        <f t="shared" si="510"/>
        <v>0</v>
      </c>
      <c r="CB429" s="607">
        <f t="shared" si="511"/>
        <v>0</v>
      </c>
      <c r="CC429" s="608">
        <f t="shared" si="512"/>
        <v>0</v>
      </c>
      <c r="CD429" s="607">
        <f t="shared" si="513"/>
        <v>0</v>
      </c>
      <c r="CE429" s="608">
        <f t="shared" si="514"/>
        <v>0</v>
      </c>
      <c r="CF429" s="607">
        <f t="shared" si="515"/>
        <v>0</v>
      </c>
      <c r="CG429" s="608">
        <f t="shared" si="516"/>
        <v>0</v>
      </c>
      <c r="CH429" s="607">
        <f t="shared" si="517"/>
        <v>0</v>
      </c>
      <c r="CI429" s="608">
        <f t="shared" si="518"/>
        <v>0</v>
      </c>
      <c r="CJ429" s="607">
        <f t="shared" si="519"/>
        <v>4935.9293598233999</v>
      </c>
      <c r="CK429" s="608">
        <f t="shared" si="520"/>
        <v>4961.6186252771622</v>
      </c>
      <c r="CL429" s="609">
        <f t="shared" si="521"/>
        <v>0</v>
      </c>
      <c r="CM429" s="608">
        <f t="shared" si="522"/>
        <v>0</v>
      </c>
      <c r="CN429" s="610">
        <f t="shared" si="523"/>
        <v>0</v>
      </c>
      <c r="CO429" s="606">
        <f t="shared" si="524"/>
        <v>0</v>
      </c>
      <c r="CP429" s="607">
        <f t="shared" si="525"/>
        <v>0</v>
      </c>
      <c r="CQ429" s="606">
        <f t="shared" si="526"/>
        <v>0</v>
      </c>
      <c r="CR429" s="607">
        <f t="shared" si="527"/>
        <v>0</v>
      </c>
      <c r="CS429" s="606">
        <f t="shared" si="528"/>
        <v>0</v>
      </c>
      <c r="CT429" s="607">
        <f t="shared" si="529"/>
        <v>0</v>
      </c>
      <c r="CU429" s="608">
        <f t="shared" si="530"/>
        <v>0</v>
      </c>
      <c r="CV429" s="610">
        <f t="shared" si="531"/>
        <v>44423.364238410599</v>
      </c>
      <c r="CW429" s="608">
        <f t="shared" si="532"/>
        <v>44654.567627494456</v>
      </c>
      <c r="CX429" s="610">
        <f t="shared" si="533"/>
        <v>44423.364238410599</v>
      </c>
      <c r="CY429" s="611">
        <f t="shared" si="534"/>
        <v>44654.567627494456</v>
      </c>
      <c r="CZ429" s="605">
        <f t="shared" si="535"/>
        <v>0</v>
      </c>
      <c r="DA429" s="612">
        <f t="shared" si="536"/>
        <v>0</v>
      </c>
      <c r="DB429" s="607">
        <f t="shared" si="537"/>
        <v>0</v>
      </c>
      <c r="DC429" s="606">
        <f t="shared" si="538"/>
        <v>0</v>
      </c>
      <c r="DD429" s="607">
        <f t="shared" si="539"/>
        <v>0</v>
      </c>
      <c r="DE429" s="606">
        <f t="shared" si="540"/>
        <v>0</v>
      </c>
      <c r="DF429" s="607">
        <f t="shared" si="541"/>
        <v>0</v>
      </c>
      <c r="DG429" s="606">
        <f t="shared" si="542"/>
        <v>0</v>
      </c>
      <c r="DH429" s="607">
        <f t="shared" si="543"/>
        <v>0</v>
      </c>
      <c r="DI429" s="608">
        <f t="shared" si="544"/>
        <v>0</v>
      </c>
      <c r="DJ429" s="607">
        <f t="shared" si="545"/>
        <v>41</v>
      </c>
      <c r="DK429" s="608">
        <f t="shared" si="546"/>
        <v>41</v>
      </c>
      <c r="DL429" s="607">
        <f t="shared" si="547"/>
        <v>41</v>
      </c>
      <c r="DM429" s="608">
        <f t="shared" si="548"/>
        <v>41</v>
      </c>
      <c r="DN429" s="607">
        <f t="shared" si="549"/>
        <v>0</v>
      </c>
      <c r="DO429" s="612">
        <f t="shared" si="550"/>
        <v>0</v>
      </c>
      <c r="DP429" s="607">
        <f t="shared" si="551"/>
        <v>0</v>
      </c>
      <c r="DQ429" s="606">
        <f t="shared" si="552"/>
        <v>0</v>
      </c>
      <c r="DR429" s="607">
        <f t="shared" si="553"/>
        <v>0</v>
      </c>
      <c r="DS429" s="606">
        <f t="shared" si="554"/>
        <v>0</v>
      </c>
      <c r="DT429" s="607">
        <f t="shared" si="555"/>
        <v>0</v>
      </c>
      <c r="DU429" s="606">
        <f t="shared" si="556"/>
        <v>0</v>
      </c>
      <c r="DV429" s="607">
        <f t="shared" si="557"/>
        <v>0</v>
      </c>
      <c r="DW429" s="608">
        <f t="shared" si="558"/>
        <v>0</v>
      </c>
      <c r="DX429" s="607">
        <f t="shared" si="559"/>
        <v>1821357.9337748345</v>
      </c>
      <c r="DY429" s="608">
        <f t="shared" si="560"/>
        <v>1830837.2727272727</v>
      </c>
      <c r="DZ429" s="607">
        <f t="shared" si="561"/>
        <v>1821357.9337748345</v>
      </c>
      <c r="EA429" s="608">
        <f t="shared" si="562"/>
        <v>1830837.2727272727</v>
      </c>
    </row>
    <row r="430" spans="1:131" x14ac:dyDescent="0.2">
      <c r="A430" s="341" t="s">
        <v>41</v>
      </c>
      <c r="B430" s="349" t="s">
        <v>434</v>
      </c>
      <c r="C430" s="578"/>
      <c r="D430" s="350">
        <v>261375</v>
      </c>
      <c r="E430" s="344">
        <v>13</v>
      </c>
      <c r="F430" s="598"/>
      <c r="G430" s="599"/>
      <c r="H430" s="600"/>
      <c r="I430" s="601"/>
      <c r="J430" s="600"/>
      <c r="K430" s="599"/>
      <c r="L430" s="600"/>
      <c r="M430" s="601"/>
      <c r="N430" s="600"/>
      <c r="O430" s="599"/>
      <c r="P430" s="600"/>
      <c r="Q430" s="601"/>
      <c r="R430" s="600"/>
      <c r="S430" s="599"/>
      <c r="T430" s="600"/>
      <c r="U430" s="601"/>
      <c r="V430" s="600"/>
      <c r="W430" s="599"/>
      <c r="X430" s="600"/>
      <c r="Y430" s="601"/>
      <c r="Z430" s="600"/>
      <c r="AA430" s="599"/>
      <c r="AB430" s="600"/>
      <c r="AC430" s="601"/>
      <c r="AD430" s="600"/>
      <c r="AE430" s="599"/>
      <c r="AF430" s="600"/>
      <c r="AG430" s="601"/>
      <c r="AH430" s="600"/>
      <c r="AI430" s="599"/>
      <c r="AJ430" s="600"/>
      <c r="AK430" s="601"/>
      <c r="AL430" s="600"/>
      <c r="AM430" s="599"/>
      <c r="AN430" s="600"/>
      <c r="AO430" s="601"/>
      <c r="AP430" s="600"/>
      <c r="AQ430" s="599"/>
      <c r="AR430" s="600"/>
      <c r="AS430" s="601"/>
      <c r="AT430" s="600"/>
      <c r="AU430" s="599"/>
      <c r="AV430" s="600">
        <v>1</v>
      </c>
      <c r="AW430" s="601">
        <v>1</v>
      </c>
      <c r="AX430" s="600">
        <v>52</v>
      </c>
      <c r="AY430" s="599">
        <v>57</v>
      </c>
      <c r="AZ430" s="600">
        <v>2</v>
      </c>
      <c r="BA430" s="601">
        <v>1</v>
      </c>
      <c r="BB430" s="602">
        <v>0</v>
      </c>
      <c r="BC430" s="599"/>
      <c r="BD430" s="600">
        <v>0</v>
      </c>
      <c r="BE430" s="599"/>
      <c r="BF430" s="600">
        <v>0</v>
      </c>
      <c r="BG430" s="599"/>
      <c r="BH430" s="600">
        <v>0</v>
      </c>
      <c r="BI430" s="599"/>
      <c r="BJ430" s="600">
        <v>0</v>
      </c>
      <c r="BK430" s="615"/>
      <c r="BL430" s="600">
        <v>3105740</v>
      </c>
      <c r="BM430" s="604">
        <v>3304134</v>
      </c>
      <c r="BN430" s="605">
        <f t="shared" si="497"/>
        <v>0</v>
      </c>
      <c r="BO430" s="606">
        <f t="shared" si="498"/>
        <v>0</v>
      </c>
      <c r="BP430" s="607">
        <f t="shared" si="499"/>
        <v>0</v>
      </c>
      <c r="BQ430" s="606">
        <f t="shared" si="500"/>
        <v>0</v>
      </c>
      <c r="BR430" s="607">
        <f t="shared" si="501"/>
        <v>0</v>
      </c>
      <c r="BS430" s="606">
        <f t="shared" si="502"/>
        <v>0</v>
      </c>
      <c r="BT430" s="607">
        <f t="shared" si="503"/>
        <v>0</v>
      </c>
      <c r="BU430" s="606">
        <f t="shared" si="504"/>
        <v>0</v>
      </c>
      <c r="BV430" s="607">
        <f t="shared" si="505"/>
        <v>0</v>
      </c>
      <c r="BW430" s="608">
        <f t="shared" si="506"/>
        <v>0</v>
      </c>
      <c r="BX430" s="607">
        <f t="shared" si="507"/>
        <v>606</v>
      </c>
      <c r="BY430" s="608">
        <f t="shared" si="508"/>
        <v>649</v>
      </c>
      <c r="BZ430" s="607">
        <f t="shared" si="509"/>
        <v>0</v>
      </c>
      <c r="CA430" s="608">
        <f t="shared" si="510"/>
        <v>0</v>
      </c>
      <c r="CB430" s="607">
        <f t="shared" si="511"/>
        <v>0</v>
      </c>
      <c r="CC430" s="608">
        <f t="shared" si="512"/>
        <v>0</v>
      </c>
      <c r="CD430" s="607">
        <f t="shared" si="513"/>
        <v>0</v>
      </c>
      <c r="CE430" s="608">
        <f t="shared" si="514"/>
        <v>0</v>
      </c>
      <c r="CF430" s="607">
        <f t="shared" si="515"/>
        <v>0</v>
      </c>
      <c r="CG430" s="608">
        <f t="shared" si="516"/>
        <v>0</v>
      </c>
      <c r="CH430" s="607">
        <f t="shared" si="517"/>
        <v>0</v>
      </c>
      <c r="CI430" s="608">
        <f t="shared" si="518"/>
        <v>0</v>
      </c>
      <c r="CJ430" s="607">
        <f t="shared" si="519"/>
        <v>5124.9834983498349</v>
      </c>
      <c r="CK430" s="608">
        <f t="shared" si="520"/>
        <v>5091.1155624036983</v>
      </c>
      <c r="CL430" s="609">
        <f t="shared" si="521"/>
        <v>0</v>
      </c>
      <c r="CM430" s="608">
        <f t="shared" si="522"/>
        <v>0</v>
      </c>
      <c r="CN430" s="610">
        <f t="shared" si="523"/>
        <v>0</v>
      </c>
      <c r="CO430" s="606">
        <f t="shared" si="524"/>
        <v>0</v>
      </c>
      <c r="CP430" s="607">
        <f t="shared" si="525"/>
        <v>0</v>
      </c>
      <c r="CQ430" s="606">
        <f t="shared" si="526"/>
        <v>0</v>
      </c>
      <c r="CR430" s="607">
        <f t="shared" si="527"/>
        <v>0</v>
      </c>
      <c r="CS430" s="606">
        <f t="shared" si="528"/>
        <v>0</v>
      </c>
      <c r="CT430" s="607">
        <f t="shared" si="529"/>
        <v>0</v>
      </c>
      <c r="CU430" s="608">
        <f t="shared" si="530"/>
        <v>0</v>
      </c>
      <c r="CV430" s="610">
        <f t="shared" si="531"/>
        <v>46124.851485148516</v>
      </c>
      <c r="CW430" s="608">
        <f t="shared" si="532"/>
        <v>45820.040061633284</v>
      </c>
      <c r="CX430" s="610">
        <f t="shared" si="533"/>
        <v>46124.851485148516</v>
      </c>
      <c r="CY430" s="611">
        <f t="shared" si="534"/>
        <v>45820.040061633284</v>
      </c>
      <c r="CZ430" s="605">
        <f t="shared" si="535"/>
        <v>0</v>
      </c>
      <c r="DA430" s="612">
        <f t="shared" si="536"/>
        <v>0</v>
      </c>
      <c r="DB430" s="607">
        <f t="shared" si="537"/>
        <v>0</v>
      </c>
      <c r="DC430" s="606">
        <f t="shared" si="538"/>
        <v>0</v>
      </c>
      <c r="DD430" s="607">
        <f t="shared" si="539"/>
        <v>0</v>
      </c>
      <c r="DE430" s="606">
        <f t="shared" si="540"/>
        <v>0</v>
      </c>
      <c r="DF430" s="607">
        <f t="shared" si="541"/>
        <v>0</v>
      </c>
      <c r="DG430" s="606">
        <f t="shared" si="542"/>
        <v>0</v>
      </c>
      <c r="DH430" s="607">
        <f t="shared" si="543"/>
        <v>0</v>
      </c>
      <c r="DI430" s="608">
        <f t="shared" si="544"/>
        <v>0</v>
      </c>
      <c r="DJ430" s="607">
        <f t="shared" si="545"/>
        <v>55</v>
      </c>
      <c r="DK430" s="608">
        <f t="shared" si="546"/>
        <v>59</v>
      </c>
      <c r="DL430" s="607">
        <f t="shared" si="547"/>
        <v>55</v>
      </c>
      <c r="DM430" s="608">
        <f t="shared" si="548"/>
        <v>59</v>
      </c>
      <c r="DN430" s="607">
        <f t="shared" si="549"/>
        <v>0</v>
      </c>
      <c r="DO430" s="612">
        <f t="shared" si="550"/>
        <v>0</v>
      </c>
      <c r="DP430" s="607">
        <f t="shared" si="551"/>
        <v>0</v>
      </c>
      <c r="DQ430" s="606">
        <f t="shared" si="552"/>
        <v>0</v>
      </c>
      <c r="DR430" s="607">
        <f t="shared" si="553"/>
        <v>0</v>
      </c>
      <c r="DS430" s="606">
        <f t="shared" si="554"/>
        <v>0</v>
      </c>
      <c r="DT430" s="607">
        <f t="shared" si="555"/>
        <v>0</v>
      </c>
      <c r="DU430" s="606">
        <f t="shared" si="556"/>
        <v>0</v>
      </c>
      <c r="DV430" s="607">
        <f t="shared" si="557"/>
        <v>0</v>
      </c>
      <c r="DW430" s="608">
        <f t="shared" si="558"/>
        <v>0</v>
      </c>
      <c r="DX430" s="607">
        <f t="shared" si="559"/>
        <v>2536866.8316831682</v>
      </c>
      <c r="DY430" s="608">
        <f t="shared" si="560"/>
        <v>2703382.3636363638</v>
      </c>
      <c r="DZ430" s="607">
        <f t="shared" si="561"/>
        <v>2536866.8316831682</v>
      </c>
      <c r="EA430" s="608">
        <f t="shared" si="562"/>
        <v>2703382.3636363638</v>
      </c>
    </row>
    <row r="431" spans="1:131" x14ac:dyDescent="0.2">
      <c r="A431" s="341" t="s">
        <v>41</v>
      </c>
      <c r="B431" s="349" t="s">
        <v>435</v>
      </c>
      <c r="C431" s="578"/>
      <c r="D431" s="350">
        <v>261384</v>
      </c>
      <c r="E431" s="344">
        <v>13</v>
      </c>
      <c r="F431" s="598"/>
      <c r="G431" s="599"/>
      <c r="H431" s="600"/>
      <c r="I431" s="601"/>
      <c r="J431" s="600"/>
      <c r="K431" s="599"/>
      <c r="L431" s="600"/>
      <c r="M431" s="601"/>
      <c r="N431" s="600"/>
      <c r="O431" s="599"/>
      <c r="P431" s="600"/>
      <c r="Q431" s="601"/>
      <c r="R431" s="600"/>
      <c r="S431" s="599"/>
      <c r="T431" s="600"/>
      <c r="U431" s="601"/>
      <c r="V431" s="600"/>
      <c r="W431" s="599"/>
      <c r="X431" s="600"/>
      <c r="Y431" s="601"/>
      <c r="Z431" s="600"/>
      <c r="AA431" s="599"/>
      <c r="AB431" s="600"/>
      <c r="AC431" s="601"/>
      <c r="AD431" s="600"/>
      <c r="AE431" s="599"/>
      <c r="AF431" s="600"/>
      <c r="AG431" s="601"/>
      <c r="AH431" s="600"/>
      <c r="AI431" s="599"/>
      <c r="AJ431" s="600"/>
      <c r="AK431" s="601"/>
      <c r="AL431" s="600"/>
      <c r="AM431" s="599"/>
      <c r="AN431" s="600"/>
      <c r="AO431" s="601"/>
      <c r="AP431" s="600"/>
      <c r="AQ431" s="599"/>
      <c r="AR431" s="600"/>
      <c r="AS431" s="601"/>
      <c r="AT431" s="600"/>
      <c r="AU431" s="599"/>
      <c r="AV431" s="600"/>
      <c r="AW431" s="601"/>
      <c r="AX431" s="600">
        <v>28</v>
      </c>
      <c r="AY431" s="599">
        <v>25</v>
      </c>
      <c r="AZ431" s="600"/>
      <c r="BA431" s="601"/>
      <c r="BB431" s="602">
        <v>0</v>
      </c>
      <c r="BC431" s="599"/>
      <c r="BD431" s="600">
        <v>0</v>
      </c>
      <c r="BE431" s="599"/>
      <c r="BF431" s="600">
        <v>0</v>
      </c>
      <c r="BG431" s="599"/>
      <c r="BH431" s="600">
        <v>0</v>
      </c>
      <c r="BI431" s="599"/>
      <c r="BJ431" s="600">
        <v>0</v>
      </c>
      <c r="BK431" s="615"/>
      <c r="BL431" s="600">
        <v>1631532</v>
      </c>
      <c r="BM431" s="604">
        <v>1456384</v>
      </c>
      <c r="BN431" s="605">
        <f t="shared" si="497"/>
        <v>0</v>
      </c>
      <c r="BO431" s="606">
        <f t="shared" si="498"/>
        <v>0</v>
      </c>
      <c r="BP431" s="607">
        <f t="shared" si="499"/>
        <v>0</v>
      </c>
      <c r="BQ431" s="606">
        <f t="shared" si="500"/>
        <v>0</v>
      </c>
      <c r="BR431" s="607">
        <f t="shared" si="501"/>
        <v>0</v>
      </c>
      <c r="BS431" s="606">
        <f t="shared" si="502"/>
        <v>0</v>
      </c>
      <c r="BT431" s="607">
        <f t="shared" si="503"/>
        <v>0</v>
      </c>
      <c r="BU431" s="606">
        <f t="shared" si="504"/>
        <v>0</v>
      </c>
      <c r="BV431" s="607">
        <f t="shared" si="505"/>
        <v>0</v>
      </c>
      <c r="BW431" s="608">
        <f t="shared" si="506"/>
        <v>0</v>
      </c>
      <c r="BX431" s="607">
        <f t="shared" si="507"/>
        <v>308</v>
      </c>
      <c r="BY431" s="608">
        <f t="shared" si="508"/>
        <v>275</v>
      </c>
      <c r="BZ431" s="607">
        <f t="shared" si="509"/>
        <v>0</v>
      </c>
      <c r="CA431" s="608">
        <f t="shared" si="510"/>
        <v>0</v>
      </c>
      <c r="CB431" s="607">
        <f t="shared" si="511"/>
        <v>0</v>
      </c>
      <c r="CC431" s="608">
        <f t="shared" si="512"/>
        <v>0</v>
      </c>
      <c r="CD431" s="607">
        <f t="shared" si="513"/>
        <v>0</v>
      </c>
      <c r="CE431" s="608">
        <f t="shared" si="514"/>
        <v>0</v>
      </c>
      <c r="CF431" s="607">
        <f t="shared" si="515"/>
        <v>0</v>
      </c>
      <c r="CG431" s="608">
        <f t="shared" si="516"/>
        <v>0</v>
      </c>
      <c r="CH431" s="607">
        <f t="shared" si="517"/>
        <v>0</v>
      </c>
      <c r="CI431" s="608">
        <f t="shared" si="518"/>
        <v>0</v>
      </c>
      <c r="CJ431" s="607">
        <f t="shared" si="519"/>
        <v>5297.181818181818</v>
      </c>
      <c r="CK431" s="608">
        <f t="shared" si="520"/>
        <v>5295.9418181818182</v>
      </c>
      <c r="CL431" s="609">
        <f t="shared" si="521"/>
        <v>0</v>
      </c>
      <c r="CM431" s="608">
        <f t="shared" si="522"/>
        <v>0</v>
      </c>
      <c r="CN431" s="610">
        <f t="shared" si="523"/>
        <v>0</v>
      </c>
      <c r="CO431" s="606">
        <f t="shared" si="524"/>
        <v>0</v>
      </c>
      <c r="CP431" s="607">
        <f t="shared" si="525"/>
        <v>0</v>
      </c>
      <c r="CQ431" s="606">
        <f t="shared" si="526"/>
        <v>0</v>
      </c>
      <c r="CR431" s="607">
        <f t="shared" si="527"/>
        <v>0</v>
      </c>
      <c r="CS431" s="606">
        <f t="shared" si="528"/>
        <v>0</v>
      </c>
      <c r="CT431" s="607">
        <f t="shared" si="529"/>
        <v>0</v>
      </c>
      <c r="CU431" s="608">
        <f t="shared" si="530"/>
        <v>0</v>
      </c>
      <c r="CV431" s="610">
        <f t="shared" si="531"/>
        <v>47674.63636363636</v>
      </c>
      <c r="CW431" s="608">
        <f t="shared" si="532"/>
        <v>47663.476363636364</v>
      </c>
      <c r="CX431" s="610">
        <f t="shared" si="533"/>
        <v>47674.63636363636</v>
      </c>
      <c r="CY431" s="611">
        <f t="shared" si="534"/>
        <v>47663.476363636364</v>
      </c>
      <c r="CZ431" s="605">
        <f t="shared" si="535"/>
        <v>0</v>
      </c>
      <c r="DA431" s="612">
        <f t="shared" si="536"/>
        <v>0</v>
      </c>
      <c r="DB431" s="607">
        <f t="shared" si="537"/>
        <v>0</v>
      </c>
      <c r="DC431" s="606">
        <f t="shared" si="538"/>
        <v>0</v>
      </c>
      <c r="DD431" s="607">
        <f t="shared" si="539"/>
        <v>0</v>
      </c>
      <c r="DE431" s="606">
        <f t="shared" si="540"/>
        <v>0</v>
      </c>
      <c r="DF431" s="607">
        <f t="shared" si="541"/>
        <v>0</v>
      </c>
      <c r="DG431" s="606">
        <f t="shared" si="542"/>
        <v>0</v>
      </c>
      <c r="DH431" s="607">
        <f t="shared" si="543"/>
        <v>0</v>
      </c>
      <c r="DI431" s="608">
        <f t="shared" si="544"/>
        <v>0</v>
      </c>
      <c r="DJ431" s="607">
        <f t="shared" si="545"/>
        <v>28</v>
      </c>
      <c r="DK431" s="608">
        <f t="shared" si="546"/>
        <v>25</v>
      </c>
      <c r="DL431" s="607">
        <f t="shared" si="547"/>
        <v>28</v>
      </c>
      <c r="DM431" s="608">
        <f t="shared" si="548"/>
        <v>25</v>
      </c>
      <c r="DN431" s="607">
        <f t="shared" si="549"/>
        <v>0</v>
      </c>
      <c r="DO431" s="612">
        <f t="shared" si="550"/>
        <v>0</v>
      </c>
      <c r="DP431" s="607">
        <f t="shared" si="551"/>
        <v>0</v>
      </c>
      <c r="DQ431" s="606">
        <f t="shared" si="552"/>
        <v>0</v>
      </c>
      <c r="DR431" s="607">
        <f t="shared" si="553"/>
        <v>0</v>
      </c>
      <c r="DS431" s="606">
        <f t="shared" si="554"/>
        <v>0</v>
      </c>
      <c r="DT431" s="607">
        <f t="shared" si="555"/>
        <v>0</v>
      </c>
      <c r="DU431" s="606">
        <f t="shared" si="556"/>
        <v>0</v>
      </c>
      <c r="DV431" s="607">
        <f t="shared" si="557"/>
        <v>0</v>
      </c>
      <c r="DW431" s="608">
        <f t="shared" si="558"/>
        <v>0</v>
      </c>
      <c r="DX431" s="607">
        <f t="shared" si="559"/>
        <v>1334889.8181818181</v>
      </c>
      <c r="DY431" s="608">
        <f t="shared" si="560"/>
        <v>1191586.9090909092</v>
      </c>
      <c r="DZ431" s="607">
        <f t="shared" si="561"/>
        <v>1334889.8181818181</v>
      </c>
      <c r="EA431" s="608">
        <f t="shared" si="562"/>
        <v>1191586.9090909092</v>
      </c>
    </row>
    <row r="432" spans="1:131" x14ac:dyDescent="0.2">
      <c r="A432" s="341" t="s">
        <v>41</v>
      </c>
      <c r="B432" s="349" t="s">
        <v>436</v>
      </c>
      <c r="C432" s="578"/>
      <c r="D432" s="350">
        <v>418357</v>
      </c>
      <c r="E432" s="344">
        <v>13</v>
      </c>
      <c r="F432" s="598"/>
      <c r="G432" s="599"/>
      <c r="H432" s="600"/>
      <c r="I432" s="601"/>
      <c r="J432" s="600"/>
      <c r="K432" s="599"/>
      <c r="L432" s="600"/>
      <c r="M432" s="601"/>
      <c r="N432" s="600"/>
      <c r="O432" s="599"/>
      <c r="P432" s="600"/>
      <c r="Q432" s="601"/>
      <c r="R432" s="600"/>
      <c r="S432" s="599"/>
      <c r="T432" s="600"/>
      <c r="U432" s="601"/>
      <c r="V432" s="600"/>
      <c r="W432" s="599"/>
      <c r="X432" s="600"/>
      <c r="Y432" s="601"/>
      <c r="Z432" s="600"/>
      <c r="AA432" s="599"/>
      <c r="AB432" s="600"/>
      <c r="AC432" s="601"/>
      <c r="AD432" s="600"/>
      <c r="AE432" s="599"/>
      <c r="AF432" s="600"/>
      <c r="AG432" s="601"/>
      <c r="AH432" s="600"/>
      <c r="AI432" s="599"/>
      <c r="AJ432" s="600"/>
      <c r="AK432" s="601"/>
      <c r="AL432" s="600"/>
      <c r="AM432" s="599"/>
      <c r="AN432" s="600"/>
      <c r="AO432" s="601"/>
      <c r="AP432" s="600"/>
      <c r="AQ432" s="599"/>
      <c r="AR432" s="600"/>
      <c r="AS432" s="601"/>
      <c r="AT432" s="600"/>
      <c r="AU432" s="599"/>
      <c r="AV432" s="600">
        <v>10</v>
      </c>
      <c r="AW432" s="601">
        <v>10</v>
      </c>
      <c r="AX432" s="600"/>
      <c r="AY432" s="599"/>
      <c r="AZ432" s="600">
        <v>3</v>
      </c>
      <c r="BA432" s="601">
        <v>4</v>
      </c>
      <c r="BB432" s="602">
        <v>0</v>
      </c>
      <c r="BC432" s="599"/>
      <c r="BD432" s="600">
        <v>0</v>
      </c>
      <c r="BE432" s="599"/>
      <c r="BF432" s="600">
        <v>0</v>
      </c>
      <c r="BG432" s="599"/>
      <c r="BH432" s="600">
        <v>0</v>
      </c>
      <c r="BI432" s="599"/>
      <c r="BJ432" s="600">
        <v>0</v>
      </c>
      <c r="BK432" s="615"/>
      <c r="BL432" s="600">
        <v>605663</v>
      </c>
      <c r="BM432" s="604">
        <v>655393</v>
      </c>
      <c r="BN432" s="605">
        <f t="shared" si="497"/>
        <v>0</v>
      </c>
      <c r="BO432" s="606">
        <f t="shared" si="498"/>
        <v>0</v>
      </c>
      <c r="BP432" s="607">
        <f t="shared" si="499"/>
        <v>0</v>
      </c>
      <c r="BQ432" s="606">
        <f t="shared" si="500"/>
        <v>0</v>
      </c>
      <c r="BR432" s="607">
        <f t="shared" si="501"/>
        <v>0</v>
      </c>
      <c r="BS432" s="606">
        <f t="shared" si="502"/>
        <v>0</v>
      </c>
      <c r="BT432" s="607">
        <f t="shared" si="503"/>
        <v>0</v>
      </c>
      <c r="BU432" s="606">
        <f t="shared" si="504"/>
        <v>0</v>
      </c>
      <c r="BV432" s="607">
        <f t="shared" si="505"/>
        <v>0</v>
      </c>
      <c r="BW432" s="608">
        <f t="shared" si="506"/>
        <v>0</v>
      </c>
      <c r="BX432" s="607">
        <f t="shared" si="507"/>
        <v>136</v>
      </c>
      <c r="BY432" s="608">
        <f t="shared" si="508"/>
        <v>148</v>
      </c>
      <c r="BZ432" s="607">
        <f t="shared" si="509"/>
        <v>0</v>
      </c>
      <c r="CA432" s="608">
        <f t="shared" si="510"/>
        <v>0</v>
      </c>
      <c r="CB432" s="607">
        <f t="shared" si="511"/>
        <v>0</v>
      </c>
      <c r="CC432" s="608">
        <f t="shared" si="512"/>
        <v>0</v>
      </c>
      <c r="CD432" s="607">
        <f t="shared" si="513"/>
        <v>0</v>
      </c>
      <c r="CE432" s="608">
        <f t="shared" si="514"/>
        <v>0</v>
      </c>
      <c r="CF432" s="607">
        <f t="shared" si="515"/>
        <v>0</v>
      </c>
      <c r="CG432" s="608">
        <f t="shared" si="516"/>
        <v>0</v>
      </c>
      <c r="CH432" s="607">
        <f t="shared" si="517"/>
        <v>0</v>
      </c>
      <c r="CI432" s="608">
        <f t="shared" si="518"/>
        <v>0</v>
      </c>
      <c r="CJ432" s="607">
        <f t="shared" si="519"/>
        <v>4453.4044117647063</v>
      </c>
      <c r="CK432" s="608">
        <f t="shared" si="520"/>
        <v>4428.3310810810808</v>
      </c>
      <c r="CL432" s="609">
        <f t="shared" si="521"/>
        <v>0</v>
      </c>
      <c r="CM432" s="608">
        <f t="shared" si="522"/>
        <v>0</v>
      </c>
      <c r="CN432" s="610">
        <f t="shared" si="523"/>
        <v>0</v>
      </c>
      <c r="CO432" s="606">
        <f t="shared" si="524"/>
        <v>0</v>
      </c>
      <c r="CP432" s="607">
        <f t="shared" si="525"/>
        <v>0</v>
      </c>
      <c r="CQ432" s="606">
        <f t="shared" si="526"/>
        <v>0</v>
      </c>
      <c r="CR432" s="607">
        <f t="shared" si="527"/>
        <v>0</v>
      </c>
      <c r="CS432" s="606">
        <f t="shared" si="528"/>
        <v>0</v>
      </c>
      <c r="CT432" s="607">
        <f t="shared" si="529"/>
        <v>0</v>
      </c>
      <c r="CU432" s="608">
        <f t="shared" si="530"/>
        <v>0</v>
      </c>
      <c r="CV432" s="610">
        <f t="shared" si="531"/>
        <v>40080.639705882357</v>
      </c>
      <c r="CW432" s="608">
        <f t="shared" si="532"/>
        <v>39854.979729729726</v>
      </c>
      <c r="CX432" s="610">
        <f t="shared" si="533"/>
        <v>40080.639705882357</v>
      </c>
      <c r="CY432" s="611">
        <f t="shared" si="534"/>
        <v>39854.979729729726</v>
      </c>
      <c r="CZ432" s="605">
        <f t="shared" si="535"/>
        <v>0</v>
      </c>
      <c r="DA432" s="612">
        <f t="shared" si="536"/>
        <v>0</v>
      </c>
      <c r="DB432" s="607">
        <f t="shared" si="537"/>
        <v>0</v>
      </c>
      <c r="DC432" s="606">
        <f t="shared" si="538"/>
        <v>0</v>
      </c>
      <c r="DD432" s="607">
        <f t="shared" si="539"/>
        <v>0</v>
      </c>
      <c r="DE432" s="606">
        <f t="shared" si="540"/>
        <v>0</v>
      </c>
      <c r="DF432" s="607">
        <f t="shared" si="541"/>
        <v>0</v>
      </c>
      <c r="DG432" s="606">
        <f t="shared" si="542"/>
        <v>0</v>
      </c>
      <c r="DH432" s="607">
        <f t="shared" si="543"/>
        <v>0</v>
      </c>
      <c r="DI432" s="608">
        <f t="shared" si="544"/>
        <v>0</v>
      </c>
      <c r="DJ432" s="607">
        <f t="shared" si="545"/>
        <v>13</v>
      </c>
      <c r="DK432" s="608">
        <f t="shared" si="546"/>
        <v>14</v>
      </c>
      <c r="DL432" s="607">
        <f t="shared" si="547"/>
        <v>13</v>
      </c>
      <c r="DM432" s="608">
        <f t="shared" si="548"/>
        <v>14</v>
      </c>
      <c r="DN432" s="607">
        <f t="shared" si="549"/>
        <v>0</v>
      </c>
      <c r="DO432" s="612">
        <f t="shared" si="550"/>
        <v>0</v>
      </c>
      <c r="DP432" s="607">
        <f t="shared" si="551"/>
        <v>0</v>
      </c>
      <c r="DQ432" s="606">
        <f t="shared" si="552"/>
        <v>0</v>
      </c>
      <c r="DR432" s="607">
        <f t="shared" si="553"/>
        <v>0</v>
      </c>
      <c r="DS432" s="606">
        <f t="shared" si="554"/>
        <v>0</v>
      </c>
      <c r="DT432" s="607">
        <f t="shared" si="555"/>
        <v>0</v>
      </c>
      <c r="DU432" s="606">
        <f t="shared" si="556"/>
        <v>0</v>
      </c>
      <c r="DV432" s="607">
        <f t="shared" si="557"/>
        <v>0</v>
      </c>
      <c r="DW432" s="608">
        <f t="shared" si="558"/>
        <v>0</v>
      </c>
      <c r="DX432" s="607">
        <f t="shared" si="559"/>
        <v>521048.31617647066</v>
      </c>
      <c r="DY432" s="608">
        <f t="shared" si="560"/>
        <v>557969.71621621621</v>
      </c>
      <c r="DZ432" s="607">
        <f t="shared" si="561"/>
        <v>521048.31617647066</v>
      </c>
      <c r="EA432" s="608">
        <f t="shared" si="562"/>
        <v>557969.71621621621</v>
      </c>
    </row>
    <row r="433" spans="1:131" x14ac:dyDescent="0.2">
      <c r="A433" s="341" t="s">
        <v>41</v>
      </c>
      <c r="B433" s="349" t="s">
        <v>437</v>
      </c>
      <c r="C433" s="578"/>
      <c r="D433" s="350">
        <v>418302</v>
      </c>
      <c r="E433" s="344">
        <v>13</v>
      </c>
      <c r="F433" s="598"/>
      <c r="G433" s="599"/>
      <c r="H433" s="600"/>
      <c r="I433" s="601"/>
      <c r="J433" s="600"/>
      <c r="K433" s="599"/>
      <c r="L433" s="600"/>
      <c r="M433" s="601"/>
      <c r="N433" s="600"/>
      <c r="O433" s="599"/>
      <c r="P433" s="600"/>
      <c r="Q433" s="601"/>
      <c r="R433" s="600"/>
      <c r="S433" s="599"/>
      <c r="T433" s="600"/>
      <c r="U433" s="601"/>
      <c r="V433" s="600"/>
      <c r="W433" s="599"/>
      <c r="X433" s="600"/>
      <c r="Y433" s="601"/>
      <c r="Z433" s="600"/>
      <c r="AA433" s="599"/>
      <c r="AB433" s="600"/>
      <c r="AC433" s="601"/>
      <c r="AD433" s="600"/>
      <c r="AE433" s="599"/>
      <c r="AF433" s="600"/>
      <c r="AG433" s="601"/>
      <c r="AH433" s="600"/>
      <c r="AI433" s="599"/>
      <c r="AJ433" s="600"/>
      <c r="AK433" s="601"/>
      <c r="AL433" s="600"/>
      <c r="AM433" s="599"/>
      <c r="AN433" s="600"/>
      <c r="AO433" s="601"/>
      <c r="AP433" s="600"/>
      <c r="AQ433" s="599"/>
      <c r="AR433" s="600"/>
      <c r="AS433" s="601"/>
      <c r="AT433" s="600"/>
      <c r="AU433" s="599"/>
      <c r="AV433" s="600">
        <v>21</v>
      </c>
      <c r="AW433" s="601">
        <v>22</v>
      </c>
      <c r="AX433" s="600">
        <v>2</v>
      </c>
      <c r="AY433" s="599">
        <v>2</v>
      </c>
      <c r="AZ433" s="600">
        <v>2</v>
      </c>
      <c r="BA433" s="601"/>
      <c r="BB433" s="602">
        <v>0</v>
      </c>
      <c r="BC433" s="599"/>
      <c r="BD433" s="600">
        <v>0</v>
      </c>
      <c r="BE433" s="599"/>
      <c r="BF433" s="600">
        <v>0</v>
      </c>
      <c r="BG433" s="599"/>
      <c r="BH433" s="600">
        <v>0</v>
      </c>
      <c r="BI433" s="599"/>
      <c r="BJ433" s="600">
        <v>0</v>
      </c>
      <c r="BK433" s="615"/>
      <c r="BL433" s="600">
        <v>1191345</v>
      </c>
      <c r="BM433" s="604">
        <v>1154239</v>
      </c>
      <c r="BN433" s="605">
        <f t="shared" si="497"/>
        <v>0</v>
      </c>
      <c r="BO433" s="606">
        <f t="shared" si="498"/>
        <v>0</v>
      </c>
      <c r="BP433" s="607">
        <f t="shared" si="499"/>
        <v>0</v>
      </c>
      <c r="BQ433" s="606">
        <f t="shared" si="500"/>
        <v>0</v>
      </c>
      <c r="BR433" s="607">
        <f t="shared" si="501"/>
        <v>0</v>
      </c>
      <c r="BS433" s="606">
        <f t="shared" si="502"/>
        <v>0</v>
      </c>
      <c r="BT433" s="607">
        <f t="shared" si="503"/>
        <v>0</v>
      </c>
      <c r="BU433" s="606">
        <f t="shared" si="504"/>
        <v>0</v>
      </c>
      <c r="BV433" s="607">
        <f t="shared" si="505"/>
        <v>0</v>
      </c>
      <c r="BW433" s="608">
        <f t="shared" si="506"/>
        <v>0</v>
      </c>
      <c r="BX433" s="607">
        <f t="shared" si="507"/>
        <v>256</v>
      </c>
      <c r="BY433" s="608">
        <f t="shared" si="508"/>
        <v>242</v>
      </c>
      <c r="BZ433" s="607">
        <f t="shared" si="509"/>
        <v>0</v>
      </c>
      <c r="CA433" s="608">
        <f t="shared" si="510"/>
        <v>0</v>
      </c>
      <c r="CB433" s="607">
        <f t="shared" si="511"/>
        <v>0</v>
      </c>
      <c r="CC433" s="608">
        <f t="shared" si="512"/>
        <v>0</v>
      </c>
      <c r="CD433" s="607">
        <f t="shared" si="513"/>
        <v>0</v>
      </c>
      <c r="CE433" s="608">
        <f t="shared" si="514"/>
        <v>0</v>
      </c>
      <c r="CF433" s="607">
        <f t="shared" si="515"/>
        <v>0</v>
      </c>
      <c r="CG433" s="608">
        <f t="shared" si="516"/>
        <v>0</v>
      </c>
      <c r="CH433" s="607">
        <f t="shared" si="517"/>
        <v>0</v>
      </c>
      <c r="CI433" s="608">
        <f t="shared" si="518"/>
        <v>0</v>
      </c>
      <c r="CJ433" s="607">
        <f t="shared" si="519"/>
        <v>4653.69140625</v>
      </c>
      <c r="CK433" s="608">
        <f t="shared" si="520"/>
        <v>4769.5826446280989</v>
      </c>
      <c r="CL433" s="609">
        <f t="shared" si="521"/>
        <v>0</v>
      </c>
      <c r="CM433" s="608">
        <f t="shared" si="522"/>
        <v>0</v>
      </c>
      <c r="CN433" s="610">
        <f t="shared" si="523"/>
        <v>0</v>
      </c>
      <c r="CO433" s="606">
        <f t="shared" si="524"/>
        <v>0</v>
      </c>
      <c r="CP433" s="607">
        <f t="shared" si="525"/>
        <v>0</v>
      </c>
      <c r="CQ433" s="606">
        <f t="shared" si="526"/>
        <v>0</v>
      </c>
      <c r="CR433" s="607">
        <f t="shared" si="527"/>
        <v>0</v>
      </c>
      <c r="CS433" s="606">
        <f t="shared" si="528"/>
        <v>0</v>
      </c>
      <c r="CT433" s="607">
        <f t="shared" si="529"/>
        <v>0</v>
      </c>
      <c r="CU433" s="608">
        <f t="shared" si="530"/>
        <v>0</v>
      </c>
      <c r="CV433" s="610">
        <f t="shared" si="531"/>
        <v>41883.22265625</v>
      </c>
      <c r="CW433" s="608">
        <f t="shared" si="532"/>
        <v>42926.24380165289</v>
      </c>
      <c r="CX433" s="610">
        <f t="shared" si="533"/>
        <v>41883.22265625</v>
      </c>
      <c r="CY433" s="611">
        <f t="shared" si="534"/>
        <v>42926.24380165289</v>
      </c>
      <c r="CZ433" s="605">
        <f t="shared" si="535"/>
        <v>0</v>
      </c>
      <c r="DA433" s="612">
        <f t="shared" si="536"/>
        <v>0</v>
      </c>
      <c r="DB433" s="607">
        <f t="shared" si="537"/>
        <v>0</v>
      </c>
      <c r="DC433" s="606">
        <f t="shared" si="538"/>
        <v>0</v>
      </c>
      <c r="DD433" s="607">
        <f t="shared" si="539"/>
        <v>0</v>
      </c>
      <c r="DE433" s="606">
        <f t="shared" si="540"/>
        <v>0</v>
      </c>
      <c r="DF433" s="607">
        <f t="shared" si="541"/>
        <v>0</v>
      </c>
      <c r="DG433" s="606">
        <f t="shared" si="542"/>
        <v>0</v>
      </c>
      <c r="DH433" s="607">
        <f t="shared" si="543"/>
        <v>0</v>
      </c>
      <c r="DI433" s="608">
        <f t="shared" si="544"/>
        <v>0</v>
      </c>
      <c r="DJ433" s="607">
        <f t="shared" si="545"/>
        <v>25</v>
      </c>
      <c r="DK433" s="608">
        <f t="shared" si="546"/>
        <v>24</v>
      </c>
      <c r="DL433" s="607">
        <f t="shared" si="547"/>
        <v>25</v>
      </c>
      <c r="DM433" s="608">
        <f t="shared" si="548"/>
        <v>24</v>
      </c>
      <c r="DN433" s="607">
        <f t="shared" si="549"/>
        <v>0</v>
      </c>
      <c r="DO433" s="612">
        <f t="shared" si="550"/>
        <v>0</v>
      </c>
      <c r="DP433" s="607">
        <f t="shared" si="551"/>
        <v>0</v>
      </c>
      <c r="DQ433" s="606">
        <f t="shared" si="552"/>
        <v>0</v>
      </c>
      <c r="DR433" s="607">
        <f t="shared" si="553"/>
        <v>0</v>
      </c>
      <c r="DS433" s="606">
        <f t="shared" si="554"/>
        <v>0</v>
      </c>
      <c r="DT433" s="607">
        <f t="shared" si="555"/>
        <v>0</v>
      </c>
      <c r="DU433" s="606">
        <f t="shared" si="556"/>
        <v>0</v>
      </c>
      <c r="DV433" s="607">
        <f t="shared" si="557"/>
        <v>0</v>
      </c>
      <c r="DW433" s="608">
        <f t="shared" si="558"/>
        <v>0</v>
      </c>
      <c r="DX433" s="607">
        <f t="shared" si="559"/>
        <v>1047080.56640625</v>
      </c>
      <c r="DY433" s="608">
        <f t="shared" si="560"/>
        <v>1030229.8512396694</v>
      </c>
      <c r="DZ433" s="607">
        <f t="shared" si="561"/>
        <v>1047080.56640625</v>
      </c>
      <c r="EA433" s="608">
        <f t="shared" si="562"/>
        <v>1030229.8512396694</v>
      </c>
    </row>
    <row r="434" spans="1:131" x14ac:dyDescent="0.2">
      <c r="A434" s="450" t="s">
        <v>21</v>
      </c>
      <c r="B434" s="448" t="s">
        <v>991</v>
      </c>
      <c r="C434" s="557"/>
      <c r="D434" s="502">
        <v>217882</v>
      </c>
      <c r="E434" s="503">
        <v>1</v>
      </c>
      <c r="F434" s="598">
        <v>297</v>
      </c>
      <c r="G434" s="599">
        <v>295</v>
      </c>
      <c r="H434" s="600"/>
      <c r="I434" s="601"/>
      <c r="J434" s="600">
        <v>37</v>
      </c>
      <c r="K434" s="599"/>
      <c r="L434" s="600"/>
      <c r="M434" s="601">
        <v>41</v>
      </c>
      <c r="N434" s="600">
        <v>227</v>
      </c>
      <c r="O434" s="599">
        <v>255</v>
      </c>
      <c r="P434" s="600"/>
      <c r="Q434" s="601"/>
      <c r="R434" s="600">
        <v>15</v>
      </c>
      <c r="S434" s="599"/>
      <c r="T434" s="600"/>
      <c r="U434" s="601">
        <v>11</v>
      </c>
      <c r="V434" s="600">
        <v>227</v>
      </c>
      <c r="W434" s="599">
        <v>213</v>
      </c>
      <c r="X434" s="600"/>
      <c r="Y434" s="601"/>
      <c r="Z434" s="600">
        <v>13</v>
      </c>
      <c r="AA434" s="599"/>
      <c r="AB434" s="600"/>
      <c r="AC434" s="601">
        <v>13</v>
      </c>
      <c r="AD434" s="600">
        <v>3</v>
      </c>
      <c r="AE434" s="599">
        <v>2</v>
      </c>
      <c r="AF434" s="600"/>
      <c r="AG434" s="601"/>
      <c r="AH434" s="600"/>
      <c r="AI434" s="599"/>
      <c r="AJ434" s="600"/>
      <c r="AK434" s="601"/>
      <c r="AL434" s="600">
        <v>184</v>
      </c>
      <c r="AM434" s="599">
        <v>207</v>
      </c>
      <c r="AN434" s="600"/>
      <c r="AO434" s="601"/>
      <c r="AP434" s="600">
        <v>10</v>
      </c>
      <c r="AQ434" s="599"/>
      <c r="AR434" s="600"/>
      <c r="AS434" s="601">
        <v>14</v>
      </c>
      <c r="AT434" s="600"/>
      <c r="AU434" s="599"/>
      <c r="AV434" s="600"/>
      <c r="AW434" s="601"/>
      <c r="AX434" s="600"/>
      <c r="AY434" s="599"/>
      <c r="AZ434" s="600"/>
      <c r="BA434" s="601"/>
      <c r="BB434" s="602">
        <v>36830323</v>
      </c>
      <c r="BC434" s="599">
        <v>42514056</v>
      </c>
      <c r="BD434" s="600">
        <v>19379722</v>
      </c>
      <c r="BE434" s="599">
        <v>23743871</v>
      </c>
      <c r="BF434" s="600">
        <v>17035020</v>
      </c>
      <c r="BG434" s="599">
        <v>17905273</v>
      </c>
      <c r="BH434" s="600">
        <v>162915</v>
      </c>
      <c r="BI434" s="599">
        <v>110671</v>
      </c>
      <c r="BJ434" s="600">
        <v>9138528</v>
      </c>
      <c r="BK434" s="615">
        <v>11319359</v>
      </c>
      <c r="BL434" s="600">
        <v>0</v>
      </c>
      <c r="BM434" s="604"/>
      <c r="BN434" s="605">
        <f t="shared" si="497"/>
        <v>3080</v>
      </c>
      <c r="BO434" s="606">
        <f t="shared" si="498"/>
        <v>3147</v>
      </c>
      <c r="BP434" s="607">
        <f t="shared" si="499"/>
        <v>2208</v>
      </c>
      <c r="BQ434" s="606">
        <f t="shared" si="500"/>
        <v>2427</v>
      </c>
      <c r="BR434" s="607">
        <f t="shared" si="501"/>
        <v>2186</v>
      </c>
      <c r="BS434" s="606">
        <f t="shared" si="502"/>
        <v>2073</v>
      </c>
      <c r="BT434" s="607">
        <f t="shared" si="503"/>
        <v>27</v>
      </c>
      <c r="BU434" s="606">
        <f t="shared" si="504"/>
        <v>18</v>
      </c>
      <c r="BV434" s="607">
        <f t="shared" si="505"/>
        <v>1766</v>
      </c>
      <c r="BW434" s="608">
        <f t="shared" si="506"/>
        <v>2031</v>
      </c>
      <c r="BX434" s="607">
        <f t="shared" si="507"/>
        <v>0</v>
      </c>
      <c r="BY434" s="608">
        <f t="shared" si="508"/>
        <v>0</v>
      </c>
      <c r="BZ434" s="607">
        <f t="shared" si="509"/>
        <v>11957.897077922078</v>
      </c>
      <c r="CA434" s="608">
        <f t="shared" si="510"/>
        <v>13509.391801715919</v>
      </c>
      <c r="CB434" s="607">
        <f t="shared" si="511"/>
        <v>8777.0480072463761</v>
      </c>
      <c r="CC434" s="608">
        <f t="shared" si="512"/>
        <v>9783.218376596622</v>
      </c>
      <c r="CD434" s="607">
        <f t="shared" si="513"/>
        <v>7792.781335773102</v>
      </c>
      <c r="CE434" s="608">
        <f t="shared" si="514"/>
        <v>8637.3724071394117</v>
      </c>
      <c r="CF434" s="607">
        <f t="shared" si="515"/>
        <v>6033.8888888888887</v>
      </c>
      <c r="CG434" s="608">
        <f t="shared" si="516"/>
        <v>6148.3888888888887</v>
      </c>
      <c r="CH434" s="607">
        <f t="shared" si="517"/>
        <v>5174.704416761042</v>
      </c>
      <c r="CI434" s="608">
        <f t="shared" si="518"/>
        <v>5573.2934515017232</v>
      </c>
      <c r="CJ434" s="607">
        <f t="shared" si="519"/>
        <v>0</v>
      </c>
      <c r="CK434" s="608">
        <f t="shared" si="520"/>
        <v>0</v>
      </c>
      <c r="CL434" s="609">
        <f t="shared" si="521"/>
        <v>107621.07370129871</v>
      </c>
      <c r="CM434" s="608">
        <f t="shared" si="522"/>
        <v>121584.52621544327</v>
      </c>
      <c r="CN434" s="610">
        <f t="shared" si="523"/>
        <v>78993.432065217377</v>
      </c>
      <c r="CO434" s="606">
        <f t="shared" si="524"/>
        <v>88048.965389369594</v>
      </c>
      <c r="CP434" s="607">
        <f t="shared" si="525"/>
        <v>70135.032021957915</v>
      </c>
      <c r="CQ434" s="606">
        <f t="shared" si="526"/>
        <v>77736.351664254704</v>
      </c>
      <c r="CR434" s="607">
        <f t="shared" si="527"/>
        <v>54305</v>
      </c>
      <c r="CS434" s="606">
        <f t="shared" si="528"/>
        <v>55335.5</v>
      </c>
      <c r="CT434" s="607">
        <f t="shared" si="529"/>
        <v>46572.33975084938</v>
      </c>
      <c r="CU434" s="608">
        <f t="shared" si="530"/>
        <v>50159.641063515512</v>
      </c>
      <c r="CV434" s="610">
        <f t="shared" si="531"/>
        <v>0</v>
      </c>
      <c r="CW434" s="608">
        <f t="shared" si="532"/>
        <v>0</v>
      </c>
      <c r="CX434" s="610">
        <f t="shared" si="533"/>
        <v>80051.535807454158</v>
      </c>
      <c r="CY434" s="611">
        <f t="shared" si="534"/>
        <v>88523.113942073964</v>
      </c>
      <c r="CZ434" s="605">
        <f t="shared" si="535"/>
        <v>334</v>
      </c>
      <c r="DA434" s="612">
        <f t="shared" si="536"/>
        <v>336</v>
      </c>
      <c r="DB434" s="607">
        <f t="shared" si="537"/>
        <v>242</v>
      </c>
      <c r="DC434" s="606">
        <f t="shared" si="538"/>
        <v>266</v>
      </c>
      <c r="DD434" s="607">
        <f t="shared" si="539"/>
        <v>240</v>
      </c>
      <c r="DE434" s="606">
        <f t="shared" si="540"/>
        <v>226</v>
      </c>
      <c r="DF434" s="607">
        <f t="shared" si="541"/>
        <v>3</v>
      </c>
      <c r="DG434" s="606">
        <f t="shared" si="542"/>
        <v>2</v>
      </c>
      <c r="DH434" s="607">
        <f t="shared" si="543"/>
        <v>194</v>
      </c>
      <c r="DI434" s="608">
        <f t="shared" si="544"/>
        <v>221</v>
      </c>
      <c r="DJ434" s="607">
        <f t="shared" si="545"/>
        <v>0</v>
      </c>
      <c r="DK434" s="608">
        <f t="shared" si="546"/>
        <v>0</v>
      </c>
      <c r="DL434" s="607">
        <f t="shared" si="547"/>
        <v>1013</v>
      </c>
      <c r="DM434" s="608">
        <f t="shared" si="548"/>
        <v>1051</v>
      </c>
      <c r="DN434" s="607">
        <f t="shared" si="549"/>
        <v>35945438.616233766</v>
      </c>
      <c r="DO434" s="612">
        <f t="shared" si="550"/>
        <v>40852400.808388941</v>
      </c>
      <c r="DP434" s="607">
        <f t="shared" si="551"/>
        <v>19116410.559782606</v>
      </c>
      <c r="DQ434" s="606">
        <f t="shared" si="552"/>
        <v>23421024.79357231</v>
      </c>
      <c r="DR434" s="607">
        <f t="shared" si="553"/>
        <v>16832407.6852699</v>
      </c>
      <c r="DS434" s="606">
        <f t="shared" si="554"/>
        <v>17568415.476121563</v>
      </c>
      <c r="DT434" s="607">
        <f t="shared" si="555"/>
        <v>162915</v>
      </c>
      <c r="DU434" s="606">
        <f t="shared" si="556"/>
        <v>110671</v>
      </c>
      <c r="DV434" s="607">
        <f t="shared" si="557"/>
        <v>9035033.9116647802</v>
      </c>
      <c r="DW434" s="608">
        <f t="shared" si="558"/>
        <v>11085280.675036928</v>
      </c>
      <c r="DX434" s="607">
        <f t="shared" si="559"/>
        <v>0</v>
      </c>
      <c r="DY434" s="608">
        <f t="shared" si="560"/>
        <v>0</v>
      </c>
      <c r="DZ434" s="607">
        <f t="shared" si="561"/>
        <v>81092205.772951066</v>
      </c>
      <c r="EA434" s="608">
        <f t="shared" si="562"/>
        <v>93037792.753119737</v>
      </c>
    </row>
    <row r="435" spans="1:131" x14ac:dyDescent="0.2">
      <c r="A435" s="450" t="s">
        <v>21</v>
      </c>
      <c r="B435" s="448" t="s">
        <v>992</v>
      </c>
      <c r="C435" s="557"/>
      <c r="D435" s="502">
        <v>218663</v>
      </c>
      <c r="E435" s="503">
        <v>1</v>
      </c>
      <c r="F435" s="598">
        <v>279</v>
      </c>
      <c r="G435" s="599">
        <v>261</v>
      </c>
      <c r="H435" s="600"/>
      <c r="I435" s="601">
        <v>4</v>
      </c>
      <c r="J435" s="600">
        <v>65</v>
      </c>
      <c r="K435" s="599">
        <v>24</v>
      </c>
      <c r="L435" s="600"/>
      <c r="M435" s="601">
        <v>12</v>
      </c>
      <c r="N435" s="600">
        <v>335</v>
      </c>
      <c r="O435" s="599">
        <v>364</v>
      </c>
      <c r="P435" s="600"/>
      <c r="Q435" s="601">
        <v>2</v>
      </c>
      <c r="R435" s="600">
        <v>29</v>
      </c>
      <c r="S435" s="599">
        <v>9</v>
      </c>
      <c r="T435" s="600"/>
      <c r="U435" s="601">
        <v>12</v>
      </c>
      <c r="V435" s="600">
        <v>293</v>
      </c>
      <c r="W435" s="599">
        <v>307</v>
      </c>
      <c r="X435" s="600"/>
      <c r="Y435" s="601"/>
      <c r="Z435" s="600">
        <v>41</v>
      </c>
      <c r="AA435" s="599">
        <v>4</v>
      </c>
      <c r="AB435" s="600"/>
      <c r="AC435" s="601">
        <v>34</v>
      </c>
      <c r="AD435" s="600">
        <v>106</v>
      </c>
      <c r="AE435" s="599">
        <v>105</v>
      </c>
      <c r="AF435" s="600"/>
      <c r="AG435" s="601">
        <v>7</v>
      </c>
      <c r="AH435" s="600">
        <v>48</v>
      </c>
      <c r="AI435" s="599">
        <v>20</v>
      </c>
      <c r="AJ435" s="600"/>
      <c r="AK435" s="601">
        <v>27</v>
      </c>
      <c r="AL435" s="600">
        <v>27</v>
      </c>
      <c r="AM435" s="599">
        <v>27</v>
      </c>
      <c r="AN435" s="600"/>
      <c r="AO435" s="601">
        <v>1</v>
      </c>
      <c r="AP435" s="600">
        <v>7</v>
      </c>
      <c r="AQ435" s="599">
        <v>4</v>
      </c>
      <c r="AR435" s="600"/>
      <c r="AS435" s="601">
        <v>1</v>
      </c>
      <c r="AT435" s="600"/>
      <c r="AU435" s="599"/>
      <c r="AV435" s="600"/>
      <c r="AW435" s="601"/>
      <c r="AX435" s="600"/>
      <c r="AY435" s="599"/>
      <c r="AZ435" s="600"/>
      <c r="BA435" s="601"/>
      <c r="BB435" s="602">
        <v>41945691</v>
      </c>
      <c r="BC435" s="599">
        <v>37313086.3204</v>
      </c>
      <c r="BD435" s="600">
        <v>29803296</v>
      </c>
      <c r="BE435" s="599">
        <v>32795609.1336</v>
      </c>
      <c r="BF435" s="600">
        <v>24734839</v>
      </c>
      <c r="BG435" s="599">
        <v>26492232</v>
      </c>
      <c r="BH435" s="600">
        <v>7454478</v>
      </c>
      <c r="BI435" s="599">
        <v>8638531.3387999982</v>
      </c>
      <c r="BJ435" s="600">
        <v>2102231</v>
      </c>
      <c r="BK435" s="615">
        <v>2219563.0288</v>
      </c>
      <c r="BL435" s="600">
        <v>0</v>
      </c>
      <c r="BM435" s="604"/>
      <c r="BN435" s="605">
        <f t="shared" si="497"/>
        <v>3226</v>
      </c>
      <c r="BO435" s="606">
        <f t="shared" si="498"/>
        <v>2797</v>
      </c>
      <c r="BP435" s="607">
        <f t="shared" si="499"/>
        <v>3334</v>
      </c>
      <c r="BQ435" s="606">
        <f t="shared" si="500"/>
        <v>3539</v>
      </c>
      <c r="BR435" s="607">
        <f t="shared" si="501"/>
        <v>3088</v>
      </c>
      <c r="BS435" s="606">
        <f t="shared" si="502"/>
        <v>3215</v>
      </c>
      <c r="BT435" s="607">
        <f t="shared" si="503"/>
        <v>1482</v>
      </c>
      <c r="BU435" s="606">
        <f t="shared" si="504"/>
        <v>1559</v>
      </c>
      <c r="BV435" s="607">
        <f t="shared" si="505"/>
        <v>320</v>
      </c>
      <c r="BW435" s="608">
        <f t="shared" si="506"/>
        <v>309</v>
      </c>
      <c r="BX435" s="607">
        <f t="shared" si="507"/>
        <v>0</v>
      </c>
      <c r="BY435" s="608">
        <f t="shared" si="508"/>
        <v>0</v>
      </c>
      <c r="BZ435" s="607">
        <f t="shared" si="509"/>
        <v>13002.384066955983</v>
      </c>
      <c r="CA435" s="608">
        <f t="shared" si="510"/>
        <v>13340.39553821952</v>
      </c>
      <c r="CB435" s="607">
        <f t="shared" si="511"/>
        <v>8939.2009598080385</v>
      </c>
      <c r="CC435" s="608">
        <f t="shared" si="512"/>
        <v>9266.9141377790329</v>
      </c>
      <c r="CD435" s="607">
        <f t="shared" si="513"/>
        <v>8009.9867227979275</v>
      </c>
      <c r="CE435" s="608">
        <f t="shared" si="514"/>
        <v>8240.1965785381035</v>
      </c>
      <c r="CF435" s="607">
        <f t="shared" si="515"/>
        <v>5030.0121457489877</v>
      </c>
      <c r="CG435" s="608">
        <f t="shared" si="516"/>
        <v>5541.0720582424619</v>
      </c>
      <c r="CH435" s="607">
        <f t="shared" si="517"/>
        <v>6569.4718750000002</v>
      </c>
      <c r="CI435" s="608">
        <f t="shared" si="518"/>
        <v>7183.0518731391585</v>
      </c>
      <c r="CJ435" s="607">
        <f t="shared" si="519"/>
        <v>0</v>
      </c>
      <c r="CK435" s="608">
        <f t="shared" si="520"/>
        <v>0</v>
      </c>
      <c r="CL435" s="609">
        <f t="shared" si="521"/>
        <v>117021.45660260385</v>
      </c>
      <c r="CM435" s="608">
        <f t="shared" si="522"/>
        <v>120063.55984397567</v>
      </c>
      <c r="CN435" s="610">
        <f t="shared" si="523"/>
        <v>80452.808638272341</v>
      </c>
      <c r="CO435" s="606">
        <f t="shared" si="524"/>
        <v>83402.2272400113</v>
      </c>
      <c r="CP435" s="607">
        <f t="shared" si="525"/>
        <v>72089.880505181354</v>
      </c>
      <c r="CQ435" s="606">
        <f t="shared" si="526"/>
        <v>74161.769206842931</v>
      </c>
      <c r="CR435" s="607">
        <f t="shared" si="527"/>
        <v>45270.109311740889</v>
      </c>
      <c r="CS435" s="606">
        <f t="shared" si="528"/>
        <v>49869.648524182157</v>
      </c>
      <c r="CT435" s="607">
        <f t="shared" si="529"/>
        <v>59125.246875000004</v>
      </c>
      <c r="CU435" s="608">
        <f t="shared" si="530"/>
        <v>64647.466858252425</v>
      </c>
      <c r="CV435" s="610">
        <f t="shared" si="531"/>
        <v>0</v>
      </c>
      <c r="CW435" s="608">
        <f t="shared" si="532"/>
        <v>0</v>
      </c>
      <c r="CX435" s="610">
        <f t="shared" si="533"/>
        <v>83414.698156191487</v>
      </c>
      <c r="CY435" s="611">
        <f t="shared" si="534"/>
        <v>84950.403553427881</v>
      </c>
      <c r="CZ435" s="605">
        <f t="shared" si="535"/>
        <v>344</v>
      </c>
      <c r="DA435" s="612">
        <f t="shared" si="536"/>
        <v>301</v>
      </c>
      <c r="DB435" s="607">
        <f t="shared" si="537"/>
        <v>364</v>
      </c>
      <c r="DC435" s="606">
        <f t="shared" si="538"/>
        <v>387</v>
      </c>
      <c r="DD435" s="607">
        <f t="shared" si="539"/>
        <v>334</v>
      </c>
      <c r="DE435" s="606">
        <f t="shared" si="540"/>
        <v>345</v>
      </c>
      <c r="DF435" s="607">
        <f t="shared" si="541"/>
        <v>154</v>
      </c>
      <c r="DG435" s="606">
        <f t="shared" si="542"/>
        <v>159</v>
      </c>
      <c r="DH435" s="607">
        <f t="shared" si="543"/>
        <v>34</v>
      </c>
      <c r="DI435" s="608">
        <f t="shared" si="544"/>
        <v>33</v>
      </c>
      <c r="DJ435" s="607">
        <f t="shared" si="545"/>
        <v>0</v>
      </c>
      <c r="DK435" s="608">
        <f t="shared" si="546"/>
        <v>0</v>
      </c>
      <c r="DL435" s="607">
        <f t="shared" si="547"/>
        <v>1230</v>
      </c>
      <c r="DM435" s="608">
        <f t="shared" si="548"/>
        <v>1225</v>
      </c>
      <c r="DN435" s="607">
        <f t="shared" si="549"/>
        <v>40255381.071295723</v>
      </c>
      <c r="DO435" s="612">
        <f t="shared" si="550"/>
        <v>36139131.513036676</v>
      </c>
      <c r="DP435" s="607">
        <f t="shared" si="551"/>
        <v>29284822.34433113</v>
      </c>
      <c r="DQ435" s="606">
        <f t="shared" si="552"/>
        <v>32276661.941884372</v>
      </c>
      <c r="DR435" s="607">
        <f t="shared" si="553"/>
        <v>24078020.088730574</v>
      </c>
      <c r="DS435" s="606">
        <f t="shared" si="554"/>
        <v>25585810.376360811</v>
      </c>
      <c r="DT435" s="607">
        <f t="shared" si="555"/>
        <v>6971596.8340080967</v>
      </c>
      <c r="DU435" s="606">
        <f t="shared" si="556"/>
        <v>7929274.115344963</v>
      </c>
      <c r="DV435" s="607">
        <f t="shared" si="557"/>
        <v>2010258.39375</v>
      </c>
      <c r="DW435" s="608">
        <f t="shared" si="558"/>
        <v>2133366.4063223302</v>
      </c>
      <c r="DX435" s="607">
        <f t="shared" si="559"/>
        <v>0</v>
      </c>
      <c r="DY435" s="608">
        <f t="shared" si="560"/>
        <v>0</v>
      </c>
      <c r="DZ435" s="607">
        <f t="shared" si="561"/>
        <v>102600078.73211552</v>
      </c>
      <c r="EA435" s="608">
        <f t="shared" si="562"/>
        <v>104064244.35294916</v>
      </c>
    </row>
    <row r="436" spans="1:131" x14ac:dyDescent="0.2">
      <c r="A436" s="450" t="s">
        <v>21</v>
      </c>
      <c r="B436" s="448" t="s">
        <v>993</v>
      </c>
      <c r="C436" s="557"/>
      <c r="D436" s="502">
        <v>217819</v>
      </c>
      <c r="E436" s="503">
        <v>3</v>
      </c>
      <c r="F436" s="598">
        <v>140</v>
      </c>
      <c r="G436" s="599">
        <v>138</v>
      </c>
      <c r="H436" s="600"/>
      <c r="I436" s="601"/>
      <c r="J436" s="600"/>
      <c r="K436" s="599"/>
      <c r="L436" s="600"/>
      <c r="M436" s="601"/>
      <c r="N436" s="600">
        <v>156</v>
      </c>
      <c r="O436" s="599">
        <v>159</v>
      </c>
      <c r="P436" s="600"/>
      <c r="Q436" s="601"/>
      <c r="R436" s="600"/>
      <c r="S436" s="599"/>
      <c r="T436" s="600"/>
      <c r="U436" s="601"/>
      <c r="V436" s="600">
        <v>165</v>
      </c>
      <c r="W436" s="599">
        <v>166</v>
      </c>
      <c r="X436" s="600"/>
      <c r="Y436" s="601"/>
      <c r="Z436" s="600"/>
      <c r="AA436" s="599"/>
      <c r="AB436" s="600"/>
      <c r="AC436" s="601"/>
      <c r="AD436" s="600">
        <v>60</v>
      </c>
      <c r="AE436" s="599">
        <v>56</v>
      </c>
      <c r="AF436" s="600"/>
      <c r="AG436" s="601"/>
      <c r="AH436" s="600"/>
      <c r="AI436" s="599"/>
      <c r="AJ436" s="600"/>
      <c r="AK436" s="601"/>
      <c r="AL436" s="600"/>
      <c r="AM436" s="599"/>
      <c r="AN436" s="600"/>
      <c r="AO436" s="601"/>
      <c r="AP436" s="600"/>
      <c r="AQ436" s="599"/>
      <c r="AR436" s="600"/>
      <c r="AS436" s="601"/>
      <c r="AT436" s="600"/>
      <c r="AU436" s="599"/>
      <c r="AV436" s="600"/>
      <c r="AW436" s="601"/>
      <c r="AX436" s="600"/>
      <c r="AY436" s="599"/>
      <c r="AZ436" s="600"/>
      <c r="BA436" s="601"/>
      <c r="BB436" s="602">
        <v>11525920</v>
      </c>
      <c r="BC436" s="599">
        <v>11919681</v>
      </c>
      <c r="BD436" s="600">
        <v>10143432</v>
      </c>
      <c r="BE436" s="599">
        <v>10935201</v>
      </c>
      <c r="BF436" s="600">
        <v>9744900</v>
      </c>
      <c r="BG436" s="599">
        <v>9979132</v>
      </c>
      <c r="BH436" s="600">
        <v>2953380</v>
      </c>
      <c r="BI436" s="599">
        <v>2877009</v>
      </c>
      <c r="BJ436" s="600">
        <v>0</v>
      </c>
      <c r="BK436" s="615"/>
      <c r="BL436" s="600">
        <v>0</v>
      </c>
      <c r="BM436" s="604"/>
      <c r="BN436" s="605">
        <f t="shared" si="497"/>
        <v>1260</v>
      </c>
      <c r="BO436" s="606">
        <f t="shared" si="498"/>
        <v>1242</v>
      </c>
      <c r="BP436" s="607">
        <f t="shared" si="499"/>
        <v>1404</v>
      </c>
      <c r="BQ436" s="606">
        <f t="shared" si="500"/>
        <v>1431</v>
      </c>
      <c r="BR436" s="607">
        <f t="shared" si="501"/>
        <v>1485</v>
      </c>
      <c r="BS436" s="606">
        <f t="shared" si="502"/>
        <v>1494</v>
      </c>
      <c r="BT436" s="607">
        <f t="shared" si="503"/>
        <v>540</v>
      </c>
      <c r="BU436" s="606">
        <f t="shared" si="504"/>
        <v>504</v>
      </c>
      <c r="BV436" s="607">
        <f t="shared" si="505"/>
        <v>0</v>
      </c>
      <c r="BW436" s="608">
        <f t="shared" si="506"/>
        <v>0</v>
      </c>
      <c r="BX436" s="607">
        <f t="shared" si="507"/>
        <v>0</v>
      </c>
      <c r="BY436" s="608">
        <f t="shared" si="508"/>
        <v>0</v>
      </c>
      <c r="BZ436" s="607">
        <f t="shared" si="509"/>
        <v>9147.5555555555547</v>
      </c>
      <c r="CA436" s="608">
        <f t="shared" si="510"/>
        <v>9597.1666666666661</v>
      </c>
      <c r="CB436" s="607">
        <f t="shared" si="511"/>
        <v>7224.666666666667</v>
      </c>
      <c r="CC436" s="608">
        <f t="shared" si="512"/>
        <v>7641.6498951781969</v>
      </c>
      <c r="CD436" s="607">
        <f t="shared" si="513"/>
        <v>6562.2222222222226</v>
      </c>
      <c r="CE436" s="608">
        <f t="shared" si="514"/>
        <v>6679.472556894244</v>
      </c>
      <c r="CF436" s="607">
        <f t="shared" si="515"/>
        <v>5469.2222222222226</v>
      </c>
      <c r="CG436" s="608">
        <f t="shared" si="516"/>
        <v>5708.3511904761908</v>
      </c>
      <c r="CH436" s="607">
        <f t="shared" si="517"/>
        <v>0</v>
      </c>
      <c r="CI436" s="608">
        <f t="shared" si="518"/>
        <v>0</v>
      </c>
      <c r="CJ436" s="607">
        <f t="shared" si="519"/>
        <v>0</v>
      </c>
      <c r="CK436" s="608">
        <f t="shared" si="520"/>
        <v>0</v>
      </c>
      <c r="CL436" s="609">
        <f t="shared" si="521"/>
        <v>82328</v>
      </c>
      <c r="CM436" s="608">
        <f t="shared" si="522"/>
        <v>86374.5</v>
      </c>
      <c r="CN436" s="610">
        <f t="shared" si="523"/>
        <v>65022</v>
      </c>
      <c r="CO436" s="606">
        <f t="shared" si="524"/>
        <v>68774.849056603765</v>
      </c>
      <c r="CP436" s="607">
        <f t="shared" si="525"/>
        <v>59060</v>
      </c>
      <c r="CQ436" s="606">
        <f t="shared" si="526"/>
        <v>60115.253012048197</v>
      </c>
      <c r="CR436" s="607">
        <f t="shared" si="527"/>
        <v>49223</v>
      </c>
      <c r="CS436" s="606">
        <f t="shared" si="528"/>
        <v>51375.160714285717</v>
      </c>
      <c r="CT436" s="607">
        <f t="shared" si="529"/>
        <v>0</v>
      </c>
      <c r="CU436" s="608">
        <f t="shared" si="530"/>
        <v>0</v>
      </c>
      <c r="CV436" s="610">
        <f t="shared" si="531"/>
        <v>0</v>
      </c>
      <c r="CW436" s="608">
        <f t="shared" si="532"/>
        <v>0</v>
      </c>
      <c r="CX436" s="610">
        <f t="shared" si="533"/>
        <v>65964.744721689058</v>
      </c>
      <c r="CY436" s="611">
        <f t="shared" si="534"/>
        <v>68807.366088631985</v>
      </c>
      <c r="CZ436" s="605">
        <f t="shared" si="535"/>
        <v>140</v>
      </c>
      <c r="DA436" s="612">
        <f t="shared" si="536"/>
        <v>138</v>
      </c>
      <c r="DB436" s="607">
        <f t="shared" si="537"/>
        <v>156</v>
      </c>
      <c r="DC436" s="606">
        <f t="shared" si="538"/>
        <v>159</v>
      </c>
      <c r="DD436" s="607">
        <f t="shared" si="539"/>
        <v>165</v>
      </c>
      <c r="DE436" s="606">
        <f t="shared" si="540"/>
        <v>166</v>
      </c>
      <c r="DF436" s="607">
        <f t="shared" si="541"/>
        <v>60</v>
      </c>
      <c r="DG436" s="606">
        <f t="shared" si="542"/>
        <v>56</v>
      </c>
      <c r="DH436" s="607">
        <f t="shared" si="543"/>
        <v>0</v>
      </c>
      <c r="DI436" s="608">
        <f t="shared" si="544"/>
        <v>0</v>
      </c>
      <c r="DJ436" s="607">
        <f t="shared" si="545"/>
        <v>0</v>
      </c>
      <c r="DK436" s="608">
        <f t="shared" si="546"/>
        <v>0</v>
      </c>
      <c r="DL436" s="607">
        <f t="shared" si="547"/>
        <v>521</v>
      </c>
      <c r="DM436" s="608">
        <f t="shared" si="548"/>
        <v>519</v>
      </c>
      <c r="DN436" s="607">
        <f t="shared" si="549"/>
        <v>11525920</v>
      </c>
      <c r="DO436" s="612">
        <f t="shared" si="550"/>
        <v>11919681</v>
      </c>
      <c r="DP436" s="607">
        <f t="shared" si="551"/>
        <v>10143432</v>
      </c>
      <c r="DQ436" s="606">
        <f t="shared" si="552"/>
        <v>10935200.999999998</v>
      </c>
      <c r="DR436" s="607">
        <f t="shared" si="553"/>
        <v>9744900</v>
      </c>
      <c r="DS436" s="606">
        <f t="shared" si="554"/>
        <v>9979132</v>
      </c>
      <c r="DT436" s="607">
        <f t="shared" si="555"/>
        <v>2953380</v>
      </c>
      <c r="DU436" s="606">
        <f t="shared" si="556"/>
        <v>2877009</v>
      </c>
      <c r="DV436" s="607">
        <f t="shared" si="557"/>
        <v>0</v>
      </c>
      <c r="DW436" s="608">
        <f t="shared" si="558"/>
        <v>0</v>
      </c>
      <c r="DX436" s="607">
        <f t="shared" si="559"/>
        <v>0</v>
      </c>
      <c r="DY436" s="608">
        <f t="shared" si="560"/>
        <v>0</v>
      </c>
      <c r="DZ436" s="607">
        <f t="shared" si="561"/>
        <v>34367632</v>
      </c>
      <c r="EA436" s="608">
        <f t="shared" si="562"/>
        <v>35711023</v>
      </c>
    </row>
    <row r="437" spans="1:131" x14ac:dyDescent="0.2">
      <c r="A437" s="450" t="s">
        <v>21</v>
      </c>
      <c r="B437" s="448" t="s">
        <v>994</v>
      </c>
      <c r="C437" s="557"/>
      <c r="D437" s="502">
        <v>218964</v>
      </c>
      <c r="E437" s="503">
        <v>3</v>
      </c>
      <c r="F437" s="598">
        <v>76</v>
      </c>
      <c r="G437" s="599">
        <v>59</v>
      </c>
      <c r="H437" s="600"/>
      <c r="I437" s="601">
        <v>18</v>
      </c>
      <c r="J437" s="600">
        <v>1</v>
      </c>
      <c r="K437" s="599"/>
      <c r="L437" s="600"/>
      <c r="M437" s="601">
        <v>1</v>
      </c>
      <c r="N437" s="600">
        <v>96</v>
      </c>
      <c r="O437" s="599">
        <v>97</v>
      </c>
      <c r="P437" s="600"/>
      <c r="Q437" s="601">
        <v>7</v>
      </c>
      <c r="R437" s="600">
        <v>3</v>
      </c>
      <c r="S437" s="599"/>
      <c r="T437" s="600"/>
      <c r="U437" s="601">
        <v>2</v>
      </c>
      <c r="V437" s="600">
        <v>78</v>
      </c>
      <c r="W437" s="599">
        <v>68</v>
      </c>
      <c r="X437" s="600"/>
      <c r="Y437" s="601"/>
      <c r="Z437" s="600">
        <v>1</v>
      </c>
      <c r="AA437" s="599"/>
      <c r="AB437" s="600"/>
      <c r="AC437" s="601">
        <v>1</v>
      </c>
      <c r="AD437" s="600">
        <v>28</v>
      </c>
      <c r="AE437" s="599">
        <v>27</v>
      </c>
      <c r="AF437" s="600"/>
      <c r="AG437" s="601">
        <v>1</v>
      </c>
      <c r="AH437" s="600">
        <v>2</v>
      </c>
      <c r="AI437" s="599"/>
      <c r="AJ437" s="600"/>
      <c r="AK437" s="601">
        <v>2</v>
      </c>
      <c r="AL437" s="600">
        <v>1</v>
      </c>
      <c r="AM437" s="599">
        <v>1</v>
      </c>
      <c r="AN437" s="600"/>
      <c r="AO437" s="601"/>
      <c r="AP437" s="600"/>
      <c r="AQ437" s="599"/>
      <c r="AR437" s="600"/>
      <c r="AS437" s="601"/>
      <c r="AT437" s="600"/>
      <c r="AU437" s="599"/>
      <c r="AV437" s="600"/>
      <c r="AW437" s="601"/>
      <c r="AX437" s="600"/>
      <c r="AY437" s="599"/>
      <c r="AZ437" s="600"/>
      <c r="BA437" s="601"/>
      <c r="BB437" s="602">
        <v>5894572</v>
      </c>
      <c r="BC437" s="599">
        <v>6340050.8040000014</v>
      </c>
      <c r="BD437" s="600">
        <v>6440610</v>
      </c>
      <c r="BE437" s="599">
        <v>7018058.7076000003</v>
      </c>
      <c r="BF437" s="600">
        <v>4318166</v>
      </c>
      <c r="BG437" s="599">
        <v>3955167</v>
      </c>
      <c r="BH437" s="600">
        <v>1344098</v>
      </c>
      <c r="BI437" s="599">
        <v>1395792</v>
      </c>
      <c r="BJ437" s="600">
        <v>30000</v>
      </c>
      <c r="BK437" s="615">
        <v>25750</v>
      </c>
      <c r="BL437" s="600">
        <v>0</v>
      </c>
      <c r="BM437" s="604"/>
      <c r="BN437" s="605">
        <f t="shared" si="497"/>
        <v>695</v>
      </c>
      <c r="BO437" s="606">
        <f t="shared" si="498"/>
        <v>723</v>
      </c>
      <c r="BP437" s="607">
        <f t="shared" si="499"/>
        <v>897</v>
      </c>
      <c r="BQ437" s="606">
        <f t="shared" si="500"/>
        <v>967</v>
      </c>
      <c r="BR437" s="607">
        <f t="shared" si="501"/>
        <v>713</v>
      </c>
      <c r="BS437" s="606">
        <f t="shared" si="502"/>
        <v>624</v>
      </c>
      <c r="BT437" s="607">
        <f t="shared" si="503"/>
        <v>274</v>
      </c>
      <c r="BU437" s="606">
        <f t="shared" si="504"/>
        <v>277</v>
      </c>
      <c r="BV437" s="607">
        <f t="shared" si="505"/>
        <v>9</v>
      </c>
      <c r="BW437" s="608">
        <f t="shared" si="506"/>
        <v>9</v>
      </c>
      <c r="BX437" s="607">
        <f t="shared" si="507"/>
        <v>0</v>
      </c>
      <c r="BY437" s="608">
        <f t="shared" si="508"/>
        <v>0</v>
      </c>
      <c r="BZ437" s="607">
        <f t="shared" si="509"/>
        <v>8481.3985611510798</v>
      </c>
      <c r="CA437" s="608">
        <f t="shared" si="510"/>
        <v>8769.0882489626583</v>
      </c>
      <c r="CB437" s="607">
        <f t="shared" si="511"/>
        <v>7180.1672240802673</v>
      </c>
      <c r="CC437" s="608">
        <f t="shared" si="512"/>
        <v>7257.5581257497415</v>
      </c>
      <c r="CD437" s="607">
        <f t="shared" si="513"/>
        <v>6056.3338008415149</v>
      </c>
      <c r="CE437" s="608">
        <f t="shared" si="514"/>
        <v>6338.4086538461543</v>
      </c>
      <c r="CF437" s="607">
        <f t="shared" si="515"/>
        <v>4905.4671532846714</v>
      </c>
      <c r="CG437" s="608">
        <f t="shared" si="516"/>
        <v>5038.9602888086647</v>
      </c>
      <c r="CH437" s="607">
        <f t="shared" si="517"/>
        <v>3333.3333333333335</v>
      </c>
      <c r="CI437" s="608">
        <f t="shared" si="518"/>
        <v>2861.1111111111113</v>
      </c>
      <c r="CJ437" s="607">
        <f t="shared" si="519"/>
        <v>0</v>
      </c>
      <c r="CK437" s="608">
        <f t="shared" si="520"/>
        <v>0</v>
      </c>
      <c r="CL437" s="609">
        <f t="shared" si="521"/>
        <v>76332.587050359725</v>
      </c>
      <c r="CM437" s="608">
        <f t="shared" si="522"/>
        <v>78921.794240663919</v>
      </c>
      <c r="CN437" s="610">
        <f t="shared" si="523"/>
        <v>64621.505016722404</v>
      </c>
      <c r="CO437" s="606">
        <f t="shared" si="524"/>
        <v>65318.023131747672</v>
      </c>
      <c r="CP437" s="607">
        <f t="shared" si="525"/>
        <v>54507.004207573635</v>
      </c>
      <c r="CQ437" s="606">
        <f t="shared" si="526"/>
        <v>57045.67788461539</v>
      </c>
      <c r="CR437" s="607">
        <f t="shared" si="527"/>
        <v>44149.204379562041</v>
      </c>
      <c r="CS437" s="606">
        <f t="shared" si="528"/>
        <v>45350.642599277984</v>
      </c>
      <c r="CT437" s="607">
        <f t="shared" si="529"/>
        <v>30000</v>
      </c>
      <c r="CU437" s="608">
        <f t="shared" si="530"/>
        <v>25750</v>
      </c>
      <c r="CV437" s="610">
        <f t="shared" si="531"/>
        <v>0</v>
      </c>
      <c r="CW437" s="608">
        <f t="shared" si="532"/>
        <v>0</v>
      </c>
      <c r="CX437" s="610">
        <f t="shared" si="533"/>
        <v>62712.124696917468</v>
      </c>
      <c r="CY437" s="611">
        <f t="shared" si="534"/>
        <v>64795.885404062814</v>
      </c>
      <c r="CZ437" s="605">
        <f t="shared" si="535"/>
        <v>77</v>
      </c>
      <c r="DA437" s="612">
        <f t="shared" si="536"/>
        <v>78</v>
      </c>
      <c r="DB437" s="607">
        <f t="shared" si="537"/>
        <v>99</v>
      </c>
      <c r="DC437" s="606">
        <f t="shared" si="538"/>
        <v>106</v>
      </c>
      <c r="DD437" s="607">
        <f t="shared" si="539"/>
        <v>79</v>
      </c>
      <c r="DE437" s="606">
        <f t="shared" si="540"/>
        <v>69</v>
      </c>
      <c r="DF437" s="607">
        <f t="shared" si="541"/>
        <v>30</v>
      </c>
      <c r="DG437" s="606">
        <f t="shared" si="542"/>
        <v>30</v>
      </c>
      <c r="DH437" s="607">
        <f t="shared" si="543"/>
        <v>1</v>
      </c>
      <c r="DI437" s="608">
        <f t="shared" si="544"/>
        <v>1</v>
      </c>
      <c r="DJ437" s="607">
        <f t="shared" si="545"/>
        <v>0</v>
      </c>
      <c r="DK437" s="608">
        <f t="shared" si="546"/>
        <v>0</v>
      </c>
      <c r="DL437" s="607">
        <f t="shared" si="547"/>
        <v>286</v>
      </c>
      <c r="DM437" s="608">
        <f t="shared" si="548"/>
        <v>284</v>
      </c>
      <c r="DN437" s="607">
        <f t="shared" si="549"/>
        <v>5877609.2028776985</v>
      </c>
      <c r="DO437" s="612">
        <f t="shared" si="550"/>
        <v>6155899.9507717853</v>
      </c>
      <c r="DP437" s="607">
        <f t="shared" si="551"/>
        <v>6397528.9966555182</v>
      </c>
      <c r="DQ437" s="606">
        <f t="shared" si="552"/>
        <v>6923710.4519652529</v>
      </c>
      <c r="DR437" s="607">
        <f t="shared" si="553"/>
        <v>4306053.3323983168</v>
      </c>
      <c r="DS437" s="606">
        <f t="shared" si="554"/>
        <v>3936151.774038462</v>
      </c>
      <c r="DT437" s="607">
        <f t="shared" si="555"/>
        <v>1324476.1313868612</v>
      </c>
      <c r="DU437" s="606">
        <f t="shared" si="556"/>
        <v>1360519.2779783395</v>
      </c>
      <c r="DV437" s="607">
        <f t="shared" si="557"/>
        <v>30000</v>
      </c>
      <c r="DW437" s="608">
        <f t="shared" si="558"/>
        <v>25750</v>
      </c>
      <c r="DX437" s="607">
        <f t="shared" si="559"/>
        <v>0</v>
      </c>
      <c r="DY437" s="608">
        <f t="shared" si="560"/>
        <v>0</v>
      </c>
      <c r="DZ437" s="607">
        <f t="shared" si="561"/>
        <v>17935667.663318396</v>
      </c>
      <c r="EA437" s="608">
        <f t="shared" si="562"/>
        <v>18402031.454753838</v>
      </c>
    </row>
    <row r="438" spans="1:131" x14ac:dyDescent="0.2">
      <c r="A438" s="450" t="s">
        <v>21</v>
      </c>
      <c r="B438" s="448" t="s">
        <v>995</v>
      </c>
      <c r="C438" s="557" t="s">
        <v>890</v>
      </c>
      <c r="D438" s="502">
        <v>217864</v>
      </c>
      <c r="E438" s="503">
        <v>4</v>
      </c>
      <c r="F438" s="598">
        <v>58</v>
      </c>
      <c r="G438" s="599">
        <v>55</v>
      </c>
      <c r="H438" s="600"/>
      <c r="I438" s="601"/>
      <c r="J438" s="600"/>
      <c r="K438" s="599"/>
      <c r="L438" s="600"/>
      <c r="M438" s="601"/>
      <c r="N438" s="600">
        <v>52</v>
      </c>
      <c r="O438" s="599">
        <v>61</v>
      </c>
      <c r="P438" s="600"/>
      <c r="Q438" s="601"/>
      <c r="R438" s="600">
        <v>1</v>
      </c>
      <c r="S438" s="599"/>
      <c r="T438" s="600"/>
      <c r="U438" s="601"/>
      <c r="V438" s="600">
        <v>64</v>
      </c>
      <c r="W438" s="599">
        <v>50</v>
      </c>
      <c r="X438" s="600"/>
      <c r="Y438" s="601"/>
      <c r="Z438" s="600"/>
      <c r="AA438" s="599"/>
      <c r="AB438" s="600"/>
      <c r="AC438" s="601"/>
      <c r="AD438" s="600">
        <v>3</v>
      </c>
      <c r="AE438" s="599">
        <v>16</v>
      </c>
      <c r="AF438" s="600"/>
      <c r="AG438" s="601"/>
      <c r="AH438" s="600"/>
      <c r="AI438" s="599"/>
      <c r="AJ438" s="600"/>
      <c r="AK438" s="601"/>
      <c r="AL438" s="600"/>
      <c r="AM438" s="599"/>
      <c r="AN438" s="600"/>
      <c r="AO438" s="601"/>
      <c r="AP438" s="600"/>
      <c r="AQ438" s="599"/>
      <c r="AR438" s="600"/>
      <c r="AS438" s="601"/>
      <c r="AT438" s="600"/>
      <c r="AU438" s="599"/>
      <c r="AV438" s="600"/>
      <c r="AW438" s="601"/>
      <c r="AX438" s="600"/>
      <c r="AY438" s="599"/>
      <c r="AZ438" s="600"/>
      <c r="BA438" s="601"/>
      <c r="BB438" s="602">
        <v>5012302</v>
      </c>
      <c r="BC438" s="599">
        <v>4882605</v>
      </c>
      <c r="BD438" s="600">
        <v>3711830</v>
      </c>
      <c r="BE438" s="599">
        <v>4384066</v>
      </c>
      <c r="BF438" s="600">
        <v>3682240</v>
      </c>
      <c r="BG438" s="599">
        <v>3060252</v>
      </c>
      <c r="BH438" s="600">
        <v>134979</v>
      </c>
      <c r="BI438" s="599">
        <v>838208</v>
      </c>
      <c r="BJ438" s="600">
        <v>0</v>
      </c>
      <c r="BK438" s="615"/>
      <c r="BL438" s="600">
        <v>0</v>
      </c>
      <c r="BM438" s="604"/>
      <c r="BN438" s="605">
        <f t="shared" si="497"/>
        <v>522</v>
      </c>
      <c r="BO438" s="606">
        <f t="shared" si="498"/>
        <v>495</v>
      </c>
      <c r="BP438" s="607">
        <f t="shared" si="499"/>
        <v>479</v>
      </c>
      <c r="BQ438" s="606">
        <f t="shared" si="500"/>
        <v>549</v>
      </c>
      <c r="BR438" s="607">
        <f t="shared" si="501"/>
        <v>576</v>
      </c>
      <c r="BS438" s="606">
        <f t="shared" si="502"/>
        <v>450</v>
      </c>
      <c r="BT438" s="607">
        <f t="shared" si="503"/>
        <v>27</v>
      </c>
      <c r="BU438" s="606">
        <f t="shared" si="504"/>
        <v>144</v>
      </c>
      <c r="BV438" s="607">
        <f t="shared" si="505"/>
        <v>0</v>
      </c>
      <c r="BW438" s="608">
        <f t="shared" si="506"/>
        <v>0</v>
      </c>
      <c r="BX438" s="607">
        <f t="shared" si="507"/>
        <v>0</v>
      </c>
      <c r="BY438" s="608">
        <f t="shared" si="508"/>
        <v>0</v>
      </c>
      <c r="BZ438" s="607">
        <f t="shared" si="509"/>
        <v>9602.1111111111113</v>
      </c>
      <c r="CA438" s="608">
        <f t="shared" si="510"/>
        <v>9863.8484848484841</v>
      </c>
      <c r="CB438" s="607">
        <f t="shared" si="511"/>
        <v>7749.1231732776614</v>
      </c>
      <c r="CC438" s="608">
        <f t="shared" si="512"/>
        <v>7985.548269581056</v>
      </c>
      <c r="CD438" s="607">
        <f t="shared" si="513"/>
        <v>6392.7777777777774</v>
      </c>
      <c r="CE438" s="608">
        <f t="shared" si="514"/>
        <v>6800.56</v>
      </c>
      <c r="CF438" s="607">
        <f t="shared" si="515"/>
        <v>4999.2222222222226</v>
      </c>
      <c r="CG438" s="608">
        <f t="shared" si="516"/>
        <v>5820.8888888888887</v>
      </c>
      <c r="CH438" s="607">
        <f t="shared" si="517"/>
        <v>0</v>
      </c>
      <c r="CI438" s="608">
        <f t="shared" si="518"/>
        <v>0</v>
      </c>
      <c r="CJ438" s="607">
        <f t="shared" si="519"/>
        <v>0</v>
      </c>
      <c r="CK438" s="608">
        <f t="shared" si="520"/>
        <v>0</v>
      </c>
      <c r="CL438" s="609">
        <f t="shared" si="521"/>
        <v>86419</v>
      </c>
      <c r="CM438" s="608">
        <f t="shared" si="522"/>
        <v>88774.636363636353</v>
      </c>
      <c r="CN438" s="610">
        <f t="shared" si="523"/>
        <v>69742.108559498956</v>
      </c>
      <c r="CO438" s="606">
        <f t="shared" si="524"/>
        <v>71869.934426229505</v>
      </c>
      <c r="CP438" s="607">
        <f t="shared" si="525"/>
        <v>57535</v>
      </c>
      <c r="CQ438" s="606">
        <f t="shared" si="526"/>
        <v>61205.04</v>
      </c>
      <c r="CR438" s="607">
        <f t="shared" si="527"/>
        <v>44993</v>
      </c>
      <c r="CS438" s="606">
        <f t="shared" si="528"/>
        <v>52388</v>
      </c>
      <c r="CT438" s="607">
        <f t="shared" si="529"/>
        <v>0</v>
      </c>
      <c r="CU438" s="608">
        <f t="shared" si="530"/>
        <v>0</v>
      </c>
      <c r="CV438" s="610">
        <f t="shared" si="531"/>
        <v>0</v>
      </c>
      <c r="CW438" s="608">
        <f t="shared" si="532"/>
        <v>0</v>
      </c>
      <c r="CX438" s="610">
        <f t="shared" si="533"/>
        <v>70369.959290187893</v>
      </c>
      <c r="CY438" s="611">
        <f t="shared" si="534"/>
        <v>72335.88461538461</v>
      </c>
      <c r="CZ438" s="605">
        <f t="shared" si="535"/>
        <v>58</v>
      </c>
      <c r="DA438" s="612">
        <f t="shared" si="536"/>
        <v>55</v>
      </c>
      <c r="DB438" s="607">
        <f t="shared" si="537"/>
        <v>53</v>
      </c>
      <c r="DC438" s="606">
        <f t="shared" si="538"/>
        <v>61</v>
      </c>
      <c r="DD438" s="607">
        <f t="shared" si="539"/>
        <v>64</v>
      </c>
      <c r="DE438" s="606">
        <f t="shared" si="540"/>
        <v>50</v>
      </c>
      <c r="DF438" s="607">
        <f t="shared" si="541"/>
        <v>3</v>
      </c>
      <c r="DG438" s="606">
        <f t="shared" si="542"/>
        <v>16</v>
      </c>
      <c r="DH438" s="607">
        <f t="shared" si="543"/>
        <v>0</v>
      </c>
      <c r="DI438" s="608">
        <f t="shared" si="544"/>
        <v>0</v>
      </c>
      <c r="DJ438" s="607">
        <f t="shared" si="545"/>
        <v>0</v>
      </c>
      <c r="DK438" s="608">
        <f t="shared" si="546"/>
        <v>0</v>
      </c>
      <c r="DL438" s="607">
        <f t="shared" si="547"/>
        <v>178</v>
      </c>
      <c r="DM438" s="608">
        <f t="shared" si="548"/>
        <v>182</v>
      </c>
      <c r="DN438" s="607">
        <f t="shared" si="549"/>
        <v>5012302</v>
      </c>
      <c r="DO438" s="612">
        <f t="shared" si="550"/>
        <v>4882604.9999999991</v>
      </c>
      <c r="DP438" s="607">
        <f t="shared" si="551"/>
        <v>3696331.7536534448</v>
      </c>
      <c r="DQ438" s="606">
        <f t="shared" si="552"/>
        <v>4384066</v>
      </c>
      <c r="DR438" s="607">
        <f t="shared" si="553"/>
        <v>3682240</v>
      </c>
      <c r="DS438" s="606">
        <f t="shared" si="554"/>
        <v>3060252</v>
      </c>
      <c r="DT438" s="607">
        <f t="shared" si="555"/>
        <v>134979</v>
      </c>
      <c r="DU438" s="606">
        <f t="shared" si="556"/>
        <v>838208</v>
      </c>
      <c r="DV438" s="607">
        <f t="shared" si="557"/>
        <v>0</v>
      </c>
      <c r="DW438" s="608">
        <f t="shared" si="558"/>
        <v>0</v>
      </c>
      <c r="DX438" s="607">
        <f t="shared" si="559"/>
        <v>0</v>
      </c>
      <c r="DY438" s="608">
        <f t="shared" si="560"/>
        <v>0</v>
      </c>
      <c r="DZ438" s="607">
        <f t="shared" si="561"/>
        <v>12525852.753653444</v>
      </c>
      <c r="EA438" s="608">
        <f t="shared" si="562"/>
        <v>13165130.999999998</v>
      </c>
    </row>
    <row r="439" spans="1:131" x14ac:dyDescent="0.2">
      <c r="A439" s="450" t="s">
        <v>21</v>
      </c>
      <c r="B439" s="448" t="s">
        <v>996</v>
      </c>
      <c r="C439" s="557"/>
      <c r="D439" s="502">
        <v>218724</v>
      </c>
      <c r="E439" s="503">
        <v>5</v>
      </c>
      <c r="F439" s="598">
        <v>59</v>
      </c>
      <c r="G439" s="599">
        <v>59</v>
      </c>
      <c r="H439" s="600"/>
      <c r="I439" s="601"/>
      <c r="J439" s="600">
        <v>4</v>
      </c>
      <c r="K439" s="599"/>
      <c r="L439" s="600"/>
      <c r="M439" s="601">
        <v>7</v>
      </c>
      <c r="N439" s="600">
        <v>89</v>
      </c>
      <c r="O439" s="599">
        <v>94</v>
      </c>
      <c r="P439" s="600"/>
      <c r="Q439" s="601"/>
      <c r="R439" s="600">
        <v>4</v>
      </c>
      <c r="S439" s="599"/>
      <c r="T439" s="600"/>
      <c r="U439" s="601">
        <v>1</v>
      </c>
      <c r="V439" s="600">
        <v>104</v>
      </c>
      <c r="W439" s="599">
        <v>119</v>
      </c>
      <c r="X439" s="600"/>
      <c r="Y439" s="601"/>
      <c r="Z439" s="600"/>
      <c r="AA439" s="599"/>
      <c r="AB439" s="600"/>
      <c r="AC439" s="601"/>
      <c r="AD439" s="600">
        <v>11</v>
      </c>
      <c r="AE439" s="599">
        <v>10</v>
      </c>
      <c r="AF439" s="600"/>
      <c r="AG439" s="601"/>
      <c r="AH439" s="600">
        <v>2</v>
      </c>
      <c r="AI439" s="599"/>
      <c r="AJ439" s="600"/>
      <c r="AK439" s="601">
        <v>2</v>
      </c>
      <c r="AL439" s="600">
        <v>75</v>
      </c>
      <c r="AM439" s="599">
        <v>85</v>
      </c>
      <c r="AN439" s="600"/>
      <c r="AO439" s="601"/>
      <c r="AP439" s="600">
        <v>7</v>
      </c>
      <c r="AQ439" s="599"/>
      <c r="AR439" s="600"/>
      <c r="AS439" s="601">
        <v>6</v>
      </c>
      <c r="AT439" s="600"/>
      <c r="AU439" s="599"/>
      <c r="AV439" s="600"/>
      <c r="AW439" s="601"/>
      <c r="AX439" s="600"/>
      <c r="AY439" s="599"/>
      <c r="AZ439" s="600"/>
      <c r="BA439" s="601"/>
      <c r="BB439" s="602">
        <v>5387015</v>
      </c>
      <c r="BC439" s="599">
        <v>5888025</v>
      </c>
      <c r="BD439" s="600">
        <v>6632605</v>
      </c>
      <c r="BE439" s="599">
        <v>6703890</v>
      </c>
      <c r="BF439" s="600">
        <v>6056336</v>
      </c>
      <c r="BG439" s="599">
        <v>7139880</v>
      </c>
      <c r="BH439" s="600">
        <v>623799</v>
      </c>
      <c r="BI439" s="599">
        <v>594726</v>
      </c>
      <c r="BJ439" s="600">
        <v>3464985</v>
      </c>
      <c r="BK439" s="615">
        <v>3979073</v>
      </c>
      <c r="BL439" s="600">
        <v>0</v>
      </c>
      <c r="BM439" s="604"/>
      <c r="BN439" s="605">
        <f t="shared" si="497"/>
        <v>575</v>
      </c>
      <c r="BO439" s="606">
        <f t="shared" si="498"/>
        <v>615</v>
      </c>
      <c r="BP439" s="607">
        <f t="shared" si="499"/>
        <v>845</v>
      </c>
      <c r="BQ439" s="606">
        <f t="shared" si="500"/>
        <v>858</v>
      </c>
      <c r="BR439" s="607">
        <f t="shared" si="501"/>
        <v>936</v>
      </c>
      <c r="BS439" s="606">
        <f t="shared" si="502"/>
        <v>1071</v>
      </c>
      <c r="BT439" s="607">
        <f t="shared" si="503"/>
        <v>121</v>
      </c>
      <c r="BU439" s="606">
        <f t="shared" si="504"/>
        <v>114</v>
      </c>
      <c r="BV439" s="607">
        <f t="shared" si="505"/>
        <v>752</v>
      </c>
      <c r="BW439" s="608">
        <f t="shared" si="506"/>
        <v>837</v>
      </c>
      <c r="BX439" s="607">
        <f t="shared" si="507"/>
        <v>0</v>
      </c>
      <c r="BY439" s="608">
        <f t="shared" si="508"/>
        <v>0</v>
      </c>
      <c r="BZ439" s="607">
        <f t="shared" si="509"/>
        <v>9368.7217391304348</v>
      </c>
      <c r="CA439" s="608">
        <f t="shared" si="510"/>
        <v>9574.0243902439033</v>
      </c>
      <c r="CB439" s="607">
        <f t="shared" si="511"/>
        <v>7849.2366863905327</v>
      </c>
      <c r="CC439" s="608">
        <f t="shared" si="512"/>
        <v>7813.3916083916083</v>
      </c>
      <c r="CD439" s="607">
        <f t="shared" si="513"/>
        <v>6470.4444444444443</v>
      </c>
      <c r="CE439" s="608">
        <f t="shared" si="514"/>
        <v>6666.5546218487398</v>
      </c>
      <c r="CF439" s="607">
        <f t="shared" si="515"/>
        <v>5155.363636363636</v>
      </c>
      <c r="CG439" s="608">
        <f t="shared" si="516"/>
        <v>5216.894736842105</v>
      </c>
      <c r="CH439" s="607">
        <f t="shared" si="517"/>
        <v>4607.692819148936</v>
      </c>
      <c r="CI439" s="608">
        <f t="shared" si="518"/>
        <v>4753.9701314217446</v>
      </c>
      <c r="CJ439" s="607">
        <f t="shared" si="519"/>
        <v>0</v>
      </c>
      <c r="CK439" s="608">
        <f t="shared" si="520"/>
        <v>0</v>
      </c>
      <c r="CL439" s="609">
        <f t="shared" si="521"/>
        <v>84318.495652173908</v>
      </c>
      <c r="CM439" s="608">
        <f t="shared" si="522"/>
        <v>86166.219512195123</v>
      </c>
      <c r="CN439" s="610">
        <f t="shared" si="523"/>
        <v>70643.130177514788</v>
      </c>
      <c r="CO439" s="606">
        <f t="shared" si="524"/>
        <v>70320.524475524478</v>
      </c>
      <c r="CP439" s="607">
        <f t="shared" si="525"/>
        <v>58234</v>
      </c>
      <c r="CQ439" s="606">
        <f t="shared" si="526"/>
        <v>59998.991596638662</v>
      </c>
      <c r="CR439" s="607">
        <f t="shared" si="527"/>
        <v>46398.272727272721</v>
      </c>
      <c r="CS439" s="606">
        <f t="shared" si="528"/>
        <v>46952.052631578947</v>
      </c>
      <c r="CT439" s="607">
        <f t="shared" si="529"/>
        <v>41469.235372340423</v>
      </c>
      <c r="CU439" s="608">
        <f t="shared" si="530"/>
        <v>42785.731182795702</v>
      </c>
      <c r="CV439" s="610">
        <f t="shared" si="531"/>
        <v>0</v>
      </c>
      <c r="CW439" s="608">
        <f t="shared" si="532"/>
        <v>0</v>
      </c>
      <c r="CX439" s="610">
        <f t="shared" si="533"/>
        <v>61808.076559386747</v>
      </c>
      <c r="CY439" s="611">
        <f t="shared" si="534"/>
        <v>62569.781937840897</v>
      </c>
      <c r="CZ439" s="605">
        <f t="shared" si="535"/>
        <v>63</v>
      </c>
      <c r="DA439" s="612">
        <f t="shared" si="536"/>
        <v>66</v>
      </c>
      <c r="DB439" s="607">
        <f t="shared" si="537"/>
        <v>93</v>
      </c>
      <c r="DC439" s="606">
        <f t="shared" si="538"/>
        <v>95</v>
      </c>
      <c r="DD439" s="607">
        <f t="shared" si="539"/>
        <v>104</v>
      </c>
      <c r="DE439" s="606">
        <f t="shared" si="540"/>
        <v>119</v>
      </c>
      <c r="DF439" s="607">
        <f t="shared" si="541"/>
        <v>13</v>
      </c>
      <c r="DG439" s="606">
        <f t="shared" si="542"/>
        <v>12</v>
      </c>
      <c r="DH439" s="607">
        <f t="shared" si="543"/>
        <v>82</v>
      </c>
      <c r="DI439" s="608">
        <f t="shared" si="544"/>
        <v>91</v>
      </c>
      <c r="DJ439" s="607">
        <f t="shared" si="545"/>
        <v>0</v>
      </c>
      <c r="DK439" s="608">
        <f t="shared" si="546"/>
        <v>0</v>
      </c>
      <c r="DL439" s="607">
        <f t="shared" si="547"/>
        <v>355</v>
      </c>
      <c r="DM439" s="608">
        <f t="shared" si="548"/>
        <v>383</v>
      </c>
      <c r="DN439" s="607">
        <f t="shared" si="549"/>
        <v>5312065.2260869564</v>
      </c>
      <c r="DO439" s="612">
        <f t="shared" si="550"/>
        <v>5686970.4878048785</v>
      </c>
      <c r="DP439" s="607">
        <f t="shared" si="551"/>
        <v>6569811.1065088753</v>
      </c>
      <c r="DQ439" s="606">
        <f t="shared" si="552"/>
        <v>6680449.8251748253</v>
      </c>
      <c r="DR439" s="607">
        <f t="shared" si="553"/>
        <v>6056336</v>
      </c>
      <c r="DS439" s="606">
        <f t="shared" si="554"/>
        <v>7139880.0000000009</v>
      </c>
      <c r="DT439" s="607">
        <f t="shared" si="555"/>
        <v>603177.54545454541</v>
      </c>
      <c r="DU439" s="606">
        <f t="shared" si="556"/>
        <v>563424.63157894742</v>
      </c>
      <c r="DV439" s="607">
        <f t="shared" si="557"/>
        <v>3400477.3005319145</v>
      </c>
      <c r="DW439" s="608">
        <f t="shared" si="558"/>
        <v>3893501.537634409</v>
      </c>
      <c r="DX439" s="607">
        <f t="shared" si="559"/>
        <v>0</v>
      </c>
      <c r="DY439" s="608">
        <f t="shared" si="560"/>
        <v>0</v>
      </c>
      <c r="DZ439" s="607">
        <f t="shared" si="561"/>
        <v>21941867.178582296</v>
      </c>
      <c r="EA439" s="608">
        <f t="shared" si="562"/>
        <v>23964226.482193064</v>
      </c>
    </row>
    <row r="440" spans="1:131" x14ac:dyDescent="0.2">
      <c r="A440" s="450" t="s">
        <v>21</v>
      </c>
      <c r="B440" s="448" t="s">
        <v>997</v>
      </c>
      <c r="C440" s="557"/>
      <c r="D440" s="502">
        <v>218061</v>
      </c>
      <c r="E440" s="503">
        <v>5</v>
      </c>
      <c r="F440" s="598">
        <v>52</v>
      </c>
      <c r="G440" s="599">
        <v>47</v>
      </c>
      <c r="H440" s="600"/>
      <c r="I440" s="601">
        <v>6</v>
      </c>
      <c r="J440" s="600">
        <v>6</v>
      </c>
      <c r="K440" s="599"/>
      <c r="L440" s="600"/>
      <c r="M440" s="601">
        <v>5</v>
      </c>
      <c r="N440" s="600">
        <v>50</v>
      </c>
      <c r="O440" s="599">
        <v>54</v>
      </c>
      <c r="P440" s="600"/>
      <c r="Q440" s="601">
        <v>2</v>
      </c>
      <c r="R440" s="600">
        <v>1</v>
      </c>
      <c r="S440" s="599"/>
      <c r="T440" s="600"/>
      <c r="U440" s="601">
        <v>1</v>
      </c>
      <c r="V440" s="600">
        <v>72</v>
      </c>
      <c r="W440" s="599">
        <v>71</v>
      </c>
      <c r="X440" s="600"/>
      <c r="Y440" s="601"/>
      <c r="Z440" s="600"/>
      <c r="AA440" s="599"/>
      <c r="AB440" s="600"/>
      <c r="AC440" s="601">
        <v>1</v>
      </c>
      <c r="AD440" s="600">
        <v>15</v>
      </c>
      <c r="AE440" s="599">
        <v>18</v>
      </c>
      <c r="AF440" s="600"/>
      <c r="AG440" s="601"/>
      <c r="AH440" s="600"/>
      <c r="AI440" s="599"/>
      <c r="AJ440" s="600"/>
      <c r="AK440" s="601"/>
      <c r="AL440" s="600"/>
      <c r="AM440" s="599"/>
      <c r="AN440" s="600"/>
      <c r="AO440" s="601"/>
      <c r="AP440" s="600"/>
      <c r="AQ440" s="599"/>
      <c r="AR440" s="600"/>
      <c r="AS440" s="601"/>
      <c r="AT440" s="600"/>
      <c r="AU440" s="599"/>
      <c r="AV440" s="600"/>
      <c r="AW440" s="601"/>
      <c r="AX440" s="600"/>
      <c r="AY440" s="599"/>
      <c r="AZ440" s="600"/>
      <c r="BA440" s="601"/>
      <c r="BB440" s="602">
        <v>4559982</v>
      </c>
      <c r="BC440" s="599">
        <v>4813185.0159999998</v>
      </c>
      <c r="BD440" s="600">
        <v>3118860</v>
      </c>
      <c r="BE440" s="599">
        <v>3638737.3680000002</v>
      </c>
      <c r="BF440" s="600">
        <v>3896928</v>
      </c>
      <c r="BG440" s="599">
        <v>4048339</v>
      </c>
      <c r="BH440" s="600">
        <v>726405</v>
      </c>
      <c r="BI440" s="599">
        <v>893019</v>
      </c>
      <c r="BJ440" s="600">
        <v>0</v>
      </c>
      <c r="BK440" s="615"/>
      <c r="BL440" s="600">
        <v>0</v>
      </c>
      <c r="BM440" s="604"/>
      <c r="BN440" s="605">
        <f t="shared" si="497"/>
        <v>534</v>
      </c>
      <c r="BO440" s="606">
        <f t="shared" si="498"/>
        <v>543</v>
      </c>
      <c r="BP440" s="607">
        <f t="shared" si="499"/>
        <v>461</v>
      </c>
      <c r="BQ440" s="606">
        <f t="shared" si="500"/>
        <v>518</v>
      </c>
      <c r="BR440" s="607">
        <f t="shared" si="501"/>
        <v>648</v>
      </c>
      <c r="BS440" s="606">
        <f t="shared" si="502"/>
        <v>651</v>
      </c>
      <c r="BT440" s="607">
        <f t="shared" si="503"/>
        <v>135</v>
      </c>
      <c r="BU440" s="606">
        <f t="shared" si="504"/>
        <v>162</v>
      </c>
      <c r="BV440" s="607">
        <f t="shared" si="505"/>
        <v>0</v>
      </c>
      <c r="BW440" s="608">
        <f t="shared" si="506"/>
        <v>0</v>
      </c>
      <c r="BX440" s="607">
        <f t="shared" si="507"/>
        <v>0</v>
      </c>
      <c r="BY440" s="608">
        <f t="shared" si="508"/>
        <v>0</v>
      </c>
      <c r="BZ440" s="607">
        <f t="shared" si="509"/>
        <v>8539.2921348314612</v>
      </c>
      <c r="CA440" s="608">
        <f t="shared" si="510"/>
        <v>8864.060802946593</v>
      </c>
      <c r="CB440" s="607">
        <f t="shared" si="511"/>
        <v>6765.4229934924078</v>
      </c>
      <c r="CC440" s="608">
        <f t="shared" si="512"/>
        <v>7024.5895135135142</v>
      </c>
      <c r="CD440" s="607">
        <f t="shared" si="513"/>
        <v>6013.7777777777774</v>
      </c>
      <c r="CE440" s="608">
        <f t="shared" si="514"/>
        <v>6218.6466973886327</v>
      </c>
      <c r="CF440" s="607">
        <f t="shared" si="515"/>
        <v>5380.7777777777774</v>
      </c>
      <c r="CG440" s="608">
        <f t="shared" si="516"/>
        <v>5512.4629629629626</v>
      </c>
      <c r="CH440" s="607">
        <f t="shared" si="517"/>
        <v>0</v>
      </c>
      <c r="CI440" s="608">
        <f t="shared" si="518"/>
        <v>0</v>
      </c>
      <c r="CJ440" s="607">
        <f t="shared" si="519"/>
        <v>0</v>
      </c>
      <c r="CK440" s="608">
        <f t="shared" si="520"/>
        <v>0</v>
      </c>
      <c r="CL440" s="609">
        <f t="shared" si="521"/>
        <v>76853.629213483146</v>
      </c>
      <c r="CM440" s="608">
        <f t="shared" si="522"/>
        <v>79776.547226519338</v>
      </c>
      <c r="CN440" s="610">
        <f t="shared" si="523"/>
        <v>60888.806941431671</v>
      </c>
      <c r="CO440" s="606">
        <f t="shared" si="524"/>
        <v>63221.305621621628</v>
      </c>
      <c r="CP440" s="607">
        <f t="shared" si="525"/>
        <v>54124</v>
      </c>
      <c r="CQ440" s="606">
        <f t="shared" si="526"/>
        <v>55967.820276497696</v>
      </c>
      <c r="CR440" s="607">
        <f t="shared" si="527"/>
        <v>48427</v>
      </c>
      <c r="CS440" s="606">
        <f t="shared" si="528"/>
        <v>49612.166666666664</v>
      </c>
      <c r="CT440" s="607">
        <f t="shared" si="529"/>
        <v>0</v>
      </c>
      <c r="CU440" s="608">
        <f t="shared" si="530"/>
        <v>0</v>
      </c>
      <c r="CV440" s="610">
        <f t="shared" si="531"/>
        <v>0</v>
      </c>
      <c r="CW440" s="608">
        <f t="shared" si="532"/>
        <v>0</v>
      </c>
      <c r="CX440" s="610">
        <f t="shared" si="533"/>
        <v>62174.350246913462</v>
      </c>
      <c r="CY440" s="611">
        <f t="shared" si="534"/>
        <v>64162.713265748229</v>
      </c>
      <c r="CZ440" s="605">
        <f t="shared" si="535"/>
        <v>58</v>
      </c>
      <c r="DA440" s="612">
        <f t="shared" si="536"/>
        <v>58</v>
      </c>
      <c r="DB440" s="607">
        <f t="shared" si="537"/>
        <v>51</v>
      </c>
      <c r="DC440" s="606">
        <f t="shared" si="538"/>
        <v>57</v>
      </c>
      <c r="DD440" s="607">
        <f t="shared" si="539"/>
        <v>72</v>
      </c>
      <c r="DE440" s="606">
        <f t="shared" si="540"/>
        <v>72</v>
      </c>
      <c r="DF440" s="607">
        <f t="shared" si="541"/>
        <v>15</v>
      </c>
      <c r="DG440" s="606">
        <f t="shared" si="542"/>
        <v>18</v>
      </c>
      <c r="DH440" s="607">
        <f t="shared" si="543"/>
        <v>0</v>
      </c>
      <c r="DI440" s="608">
        <f t="shared" si="544"/>
        <v>0</v>
      </c>
      <c r="DJ440" s="607">
        <f t="shared" si="545"/>
        <v>0</v>
      </c>
      <c r="DK440" s="608">
        <f t="shared" si="546"/>
        <v>0</v>
      </c>
      <c r="DL440" s="607">
        <f t="shared" si="547"/>
        <v>196</v>
      </c>
      <c r="DM440" s="608">
        <f t="shared" si="548"/>
        <v>205</v>
      </c>
      <c r="DN440" s="607">
        <f t="shared" si="549"/>
        <v>4457510.4943820229</v>
      </c>
      <c r="DO440" s="612">
        <f t="shared" si="550"/>
        <v>4627039.7391381217</v>
      </c>
      <c r="DP440" s="607">
        <f t="shared" si="551"/>
        <v>3105329.1540130153</v>
      </c>
      <c r="DQ440" s="606">
        <f t="shared" si="552"/>
        <v>3603614.420432433</v>
      </c>
      <c r="DR440" s="607">
        <f t="shared" si="553"/>
        <v>3896928</v>
      </c>
      <c r="DS440" s="606">
        <f t="shared" si="554"/>
        <v>4029683.059907834</v>
      </c>
      <c r="DT440" s="607">
        <f t="shared" si="555"/>
        <v>726405</v>
      </c>
      <c r="DU440" s="606">
        <f t="shared" si="556"/>
        <v>893019</v>
      </c>
      <c r="DV440" s="607">
        <f t="shared" si="557"/>
        <v>0</v>
      </c>
      <c r="DW440" s="608">
        <f t="shared" si="558"/>
        <v>0</v>
      </c>
      <c r="DX440" s="607">
        <f t="shared" si="559"/>
        <v>0</v>
      </c>
      <c r="DY440" s="608">
        <f t="shared" si="560"/>
        <v>0</v>
      </c>
      <c r="DZ440" s="607">
        <f t="shared" si="561"/>
        <v>12186172.648395039</v>
      </c>
      <c r="EA440" s="608">
        <f t="shared" si="562"/>
        <v>13153356.219478387</v>
      </c>
    </row>
    <row r="441" spans="1:131" x14ac:dyDescent="0.2">
      <c r="A441" s="450" t="s">
        <v>21</v>
      </c>
      <c r="B441" s="448" t="s">
        <v>998</v>
      </c>
      <c r="C441" s="557"/>
      <c r="D441" s="502">
        <v>218733</v>
      </c>
      <c r="E441" s="503">
        <v>5</v>
      </c>
      <c r="F441" s="598">
        <v>36</v>
      </c>
      <c r="G441" s="599">
        <v>37</v>
      </c>
      <c r="H441" s="600"/>
      <c r="I441" s="601"/>
      <c r="J441" s="600">
        <v>9</v>
      </c>
      <c r="K441" s="599"/>
      <c r="L441" s="600"/>
      <c r="M441" s="601">
        <v>9</v>
      </c>
      <c r="N441" s="600">
        <v>49</v>
      </c>
      <c r="O441" s="599">
        <v>53</v>
      </c>
      <c r="P441" s="600"/>
      <c r="Q441" s="601"/>
      <c r="R441" s="600">
        <v>10</v>
      </c>
      <c r="S441" s="599"/>
      <c r="T441" s="600"/>
      <c r="U441" s="601">
        <v>12</v>
      </c>
      <c r="V441" s="600">
        <v>69</v>
      </c>
      <c r="W441" s="599">
        <v>56</v>
      </c>
      <c r="X441" s="600"/>
      <c r="Y441" s="601"/>
      <c r="Z441" s="600">
        <v>7</v>
      </c>
      <c r="AA441" s="599"/>
      <c r="AB441" s="600"/>
      <c r="AC441" s="601">
        <v>7</v>
      </c>
      <c r="AD441" s="600">
        <v>25</v>
      </c>
      <c r="AE441" s="599">
        <v>27</v>
      </c>
      <c r="AF441" s="600"/>
      <c r="AG441" s="601"/>
      <c r="AH441" s="600">
        <v>8</v>
      </c>
      <c r="AI441" s="599"/>
      <c r="AJ441" s="600"/>
      <c r="AK441" s="601">
        <v>6</v>
      </c>
      <c r="AL441" s="600"/>
      <c r="AM441" s="599"/>
      <c r="AN441" s="600"/>
      <c r="AO441" s="601"/>
      <c r="AP441" s="600">
        <v>3</v>
      </c>
      <c r="AQ441" s="599"/>
      <c r="AR441" s="600"/>
      <c r="AS441" s="601"/>
      <c r="AT441" s="600"/>
      <c r="AU441" s="599"/>
      <c r="AV441" s="600"/>
      <c r="AW441" s="601"/>
      <c r="AX441" s="600"/>
      <c r="AY441" s="599"/>
      <c r="AZ441" s="600"/>
      <c r="BA441" s="601"/>
      <c r="BB441" s="602">
        <v>3462975</v>
      </c>
      <c r="BC441" s="599">
        <v>3550935</v>
      </c>
      <c r="BD441" s="600">
        <v>3906134</v>
      </c>
      <c r="BE441" s="599">
        <v>4429115</v>
      </c>
      <c r="BF441" s="600">
        <v>4323426</v>
      </c>
      <c r="BG441" s="599">
        <v>3718068</v>
      </c>
      <c r="BH441" s="600">
        <v>1563814</v>
      </c>
      <c r="BI441" s="599">
        <v>1656018</v>
      </c>
      <c r="BJ441" s="600">
        <v>136146</v>
      </c>
      <c r="BK441" s="615"/>
      <c r="BL441" s="600">
        <v>0</v>
      </c>
      <c r="BM441" s="604"/>
      <c r="BN441" s="605">
        <f t="shared" si="497"/>
        <v>423</v>
      </c>
      <c r="BO441" s="606">
        <f t="shared" si="498"/>
        <v>441</v>
      </c>
      <c r="BP441" s="607">
        <f t="shared" si="499"/>
        <v>551</v>
      </c>
      <c r="BQ441" s="606">
        <f t="shared" si="500"/>
        <v>621</v>
      </c>
      <c r="BR441" s="607">
        <f t="shared" si="501"/>
        <v>698</v>
      </c>
      <c r="BS441" s="606">
        <f t="shared" si="502"/>
        <v>588</v>
      </c>
      <c r="BT441" s="607">
        <f t="shared" si="503"/>
        <v>313</v>
      </c>
      <c r="BU441" s="606">
        <f t="shared" si="504"/>
        <v>315</v>
      </c>
      <c r="BV441" s="607">
        <f t="shared" si="505"/>
        <v>33</v>
      </c>
      <c r="BW441" s="608">
        <f t="shared" si="506"/>
        <v>0</v>
      </c>
      <c r="BX441" s="607">
        <f t="shared" si="507"/>
        <v>0</v>
      </c>
      <c r="BY441" s="608">
        <f t="shared" si="508"/>
        <v>0</v>
      </c>
      <c r="BZ441" s="607">
        <f t="shared" si="509"/>
        <v>8186.7021276595742</v>
      </c>
      <c r="CA441" s="608">
        <f t="shared" si="510"/>
        <v>8052.0068027210882</v>
      </c>
      <c r="CB441" s="607">
        <f t="shared" si="511"/>
        <v>7089.1724137931033</v>
      </c>
      <c r="CC441" s="608">
        <f t="shared" si="512"/>
        <v>7132.2302737520131</v>
      </c>
      <c r="CD441" s="607">
        <f t="shared" si="513"/>
        <v>6194.0200573065904</v>
      </c>
      <c r="CE441" s="608">
        <f t="shared" si="514"/>
        <v>6323.2448979591836</v>
      </c>
      <c r="CF441" s="607">
        <f t="shared" si="515"/>
        <v>4996.2108626198087</v>
      </c>
      <c r="CG441" s="608">
        <f t="shared" si="516"/>
        <v>5257.2</v>
      </c>
      <c r="CH441" s="607">
        <f t="shared" si="517"/>
        <v>4125.636363636364</v>
      </c>
      <c r="CI441" s="608">
        <f t="shared" si="518"/>
        <v>0</v>
      </c>
      <c r="CJ441" s="607">
        <f t="shared" si="519"/>
        <v>0</v>
      </c>
      <c r="CK441" s="608">
        <f t="shared" si="520"/>
        <v>0</v>
      </c>
      <c r="CL441" s="609">
        <f t="shared" si="521"/>
        <v>73680.319148936163</v>
      </c>
      <c r="CM441" s="608">
        <f t="shared" si="522"/>
        <v>72468.061224489793</v>
      </c>
      <c r="CN441" s="610">
        <f t="shared" si="523"/>
        <v>63802.551724137928</v>
      </c>
      <c r="CO441" s="606">
        <f t="shared" si="524"/>
        <v>64190.07246376812</v>
      </c>
      <c r="CP441" s="607">
        <f t="shared" si="525"/>
        <v>55746.180515759312</v>
      </c>
      <c r="CQ441" s="606">
        <f t="shared" si="526"/>
        <v>56909.204081632655</v>
      </c>
      <c r="CR441" s="607">
        <f t="shared" si="527"/>
        <v>44965.897763578279</v>
      </c>
      <c r="CS441" s="606">
        <f t="shared" si="528"/>
        <v>47314.799999999996</v>
      </c>
      <c r="CT441" s="607">
        <f t="shared" si="529"/>
        <v>37130.727272727279</v>
      </c>
      <c r="CU441" s="608">
        <f t="shared" si="530"/>
        <v>0</v>
      </c>
      <c r="CV441" s="610">
        <f t="shared" si="531"/>
        <v>0</v>
      </c>
      <c r="CW441" s="608">
        <f t="shared" si="532"/>
        <v>0</v>
      </c>
      <c r="CX441" s="610">
        <f t="shared" si="533"/>
        <v>59777.506669630726</v>
      </c>
      <c r="CY441" s="611">
        <f t="shared" si="534"/>
        <v>61123.448230020855</v>
      </c>
      <c r="CZ441" s="605">
        <f t="shared" si="535"/>
        <v>45</v>
      </c>
      <c r="DA441" s="612">
        <f t="shared" si="536"/>
        <v>46</v>
      </c>
      <c r="DB441" s="607">
        <f t="shared" si="537"/>
        <v>59</v>
      </c>
      <c r="DC441" s="606">
        <f t="shared" si="538"/>
        <v>65</v>
      </c>
      <c r="DD441" s="607">
        <f t="shared" si="539"/>
        <v>76</v>
      </c>
      <c r="DE441" s="606">
        <f t="shared" si="540"/>
        <v>63</v>
      </c>
      <c r="DF441" s="607">
        <f t="shared" si="541"/>
        <v>33</v>
      </c>
      <c r="DG441" s="606">
        <f t="shared" si="542"/>
        <v>33</v>
      </c>
      <c r="DH441" s="607">
        <f t="shared" si="543"/>
        <v>3</v>
      </c>
      <c r="DI441" s="608">
        <f t="shared" si="544"/>
        <v>0</v>
      </c>
      <c r="DJ441" s="607">
        <f t="shared" si="545"/>
        <v>0</v>
      </c>
      <c r="DK441" s="608">
        <f t="shared" si="546"/>
        <v>0</v>
      </c>
      <c r="DL441" s="607">
        <f t="shared" si="547"/>
        <v>216</v>
      </c>
      <c r="DM441" s="608">
        <f t="shared" si="548"/>
        <v>207</v>
      </c>
      <c r="DN441" s="607">
        <f t="shared" si="549"/>
        <v>3315614.3617021274</v>
      </c>
      <c r="DO441" s="612">
        <f t="shared" si="550"/>
        <v>3333530.8163265307</v>
      </c>
      <c r="DP441" s="607">
        <f t="shared" si="551"/>
        <v>3764350.5517241377</v>
      </c>
      <c r="DQ441" s="606">
        <f t="shared" si="552"/>
        <v>4172354.7101449277</v>
      </c>
      <c r="DR441" s="607">
        <f t="shared" si="553"/>
        <v>4236709.7191977073</v>
      </c>
      <c r="DS441" s="606">
        <f t="shared" si="554"/>
        <v>3585279.8571428573</v>
      </c>
      <c r="DT441" s="607">
        <f t="shared" si="555"/>
        <v>1483874.6261980832</v>
      </c>
      <c r="DU441" s="606">
        <f t="shared" si="556"/>
        <v>1561388.4</v>
      </c>
      <c r="DV441" s="607">
        <f t="shared" si="557"/>
        <v>111392.18181818184</v>
      </c>
      <c r="DW441" s="608">
        <f t="shared" si="558"/>
        <v>0</v>
      </c>
      <c r="DX441" s="607">
        <f t="shared" si="559"/>
        <v>0</v>
      </c>
      <c r="DY441" s="608">
        <f t="shared" si="560"/>
        <v>0</v>
      </c>
      <c r="DZ441" s="607">
        <f t="shared" si="561"/>
        <v>12911941.440640237</v>
      </c>
      <c r="EA441" s="608">
        <f t="shared" si="562"/>
        <v>12652553.783614317</v>
      </c>
    </row>
    <row r="442" spans="1:131" x14ac:dyDescent="0.2">
      <c r="A442" s="450" t="s">
        <v>21</v>
      </c>
      <c r="B442" s="451" t="s">
        <v>999</v>
      </c>
      <c r="C442" s="557"/>
      <c r="D442" s="502">
        <v>218229</v>
      </c>
      <c r="E442" s="503">
        <v>6</v>
      </c>
      <c r="F442" s="598">
        <v>14</v>
      </c>
      <c r="G442" s="599">
        <v>13</v>
      </c>
      <c r="H442" s="600"/>
      <c r="I442" s="601"/>
      <c r="J442" s="600">
        <v>1</v>
      </c>
      <c r="K442" s="599"/>
      <c r="L442" s="600"/>
      <c r="M442" s="601">
        <v>1</v>
      </c>
      <c r="N442" s="600">
        <v>33</v>
      </c>
      <c r="O442" s="599">
        <v>35</v>
      </c>
      <c r="P442" s="600"/>
      <c r="Q442" s="601"/>
      <c r="R442" s="600">
        <v>3</v>
      </c>
      <c r="S442" s="599"/>
      <c r="T442" s="600"/>
      <c r="U442" s="601">
        <v>3</v>
      </c>
      <c r="V442" s="600">
        <v>50</v>
      </c>
      <c r="W442" s="599">
        <v>54</v>
      </c>
      <c r="X442" s="600"/>
      <c r="Y442" s="601"/>
      <c r="Z442" s="600"/>
      <c r="AA442" s="599"/>
      <c r="AB442" s="600"/>
      <c r="AC442" s="601">
        <v>1</v>
      </c>
      <c r="AD442" s="600">
        <v>32</v>
      </c>
      <c r="AE442" s="599">
        <v>31</v>
      </c>
      <c r="AF442" s="600"/>
      <c r="AG442" s="601">
        <v>1</v>
      </c>
      <c r="AH442" s="600"/>
      <c r="AI442" s="599"/>
      <c r="AJ442" s="600"/>
      <c r="AK442" s="601"/>
      <c r="AL442" s="600">
        <v>2</v>
      </c>
      <c r="AM442" s="599">
        <v>6</v>
      </c>
      <c r="AN442" s="600"/>
      <c r="AO442" s="601"/>
      <c r="AP442" s="600">
        <v>3</v>
      </c>
      <c r="AQ442" s="599"/>
      <c r="AR442" s="600"/>
      <c r="AS442" s="601">
        <v>3</v>
      </c>
      <c r="AT442" s="600"/>
      <c r="AU442" s="599"/>
      <c r="AV442" s="600"/>
      <c r="AW442" s="601"/>
      <c r="AX442" s="600"/>
      <c r="AY442" s="599"/>
      <c r="AZ442" s="600"/>
      <c r="BA442" s="601"/>
      <c r="BB442" s="602">
        <v>1042273</v>
      </c>
      <c r="BC442" s="599">
        <v>1007204</v>
      </c>
      <c r="BD442" s="600">
        <v>1954905</v>
      </c>
      <c r="BE442" s="599">
        <v>2093129</v>
      </c>
      <c r="BF442" s="600">
        <v>2471550</v>
      </c>
      <c r="BG442" s="599">
        <v>2857660</v>
      </c>
      <c r="BH442" s="600">
        <v>1294656</v>
      </c>
      <c r="BI442" s="599">
        <v>1322483</v>
      </c>
      <c r="BJ442" s="600">
        <v>221952</v>
      </c>
      <c r="BK442" s="615">
        <v>387380</v>
      </c>
      <c r="BL442" s="600">
        <v>0</v>
      </c>
      <c r="BM442" s="604"/>
      <c r="BN442" s="605">
        <f t="shared" si="497"/>
        <v>137</v>
      </c>
      <c r="BO442" s="606">
        <f t="shared" si="498"/>
        <v>129</v>
      </c>
      <c r="BP442" s="607">
        <f t="shared" si="499"/>
        <v>330</v>
      </c>
      <c r="BQ442" s="606">
        <f t="shared" si="500"/>
        <v>351</v>
      </c>
      <c r="BR442" s="607">
        <f t="shared" si="501"/>
        <v>450</v>
      </c>
      <c r="BS442" s="606">
        <f t="shared" si="502"/>
        <v>498</v>
      </c>
      <c r="BT442" s="607">
        <f t="shared" si="503"/>
        <v>288</v>
      </c>
      <c r="BU442" s="606">
        <f t="shared" si="504"/>
        <v>289</v>
      </c>
      <c r="BV442" s="607">
        <f t="shared" si="505"/>
        <v>51</v>
      </c>
      <c r="BW442" s="608">
        <f t="shared" si="506"/>
        <v>90</v>
      </c>
      <c r="BX442" s="607">
        <f t="shared" si="507"/>
        <v>0</v>
      </c>
      <c r="BY442" s="608">
        <f t="shared" si="508"/>
        <v>0</v>
      </c>
      <c r="BZ442" s="607">
        <f t="shared" si="509"/>
        <v>7607.8321167883214</v>
      </c>
      <c r="CA442" s="608">
        <f t="shared" si="510"/>
        <v>7807.7829457364342</v>
      </c>
      <c r="CB442" s="607">
        <f t="shared" si="511"/>
        <v>5923.954545454545</v>
      </c>
      <c r="CC442" s="608">
        <f t="shared" si="512"/>
        <v>5963.3304843304841</v>
      </c>
      <c r="CD442" s="607">
        <f t="shared" si="513"/>
        <v>5492.333333333333</v>
      </c>
      <c r="CE442" s="608">
        <f t="shared" si="514"/>
        <v>5738.273092369478</v>
      </c>
      <c r="CF442" s="607">
        <f t="shared" si="515"/>
        <v>4495.333333333333</v>
      </c>
      <c r="CG442" s="608">
        <f t="shared" si="516"/>
        <v>4576.0657439446368</v>
      </c>
      <c r="CH442" s="607">
        <f t="shared" si="517"/>
        <v>4352</v>
      </c>
      <c r="CI442" s="608">
        <f t="shared" si="518"/>
        <v>4304.2222222222226</v>
      </c>
      <c r="CJ442" s="607">
        <f t="shared" si="519"/>
        <v>0</v>
      </c>
      <c r="CK442" s="608">
        <f t="shared" si="520"/>
        <v>0</v>
      </c>
      <c r="CL442" s="609">
        <f t="shared" si="521"/>
        <v>68470.48905109489</v>
      </c>
      <c r="CM442" s="608">
        <f t="shared" si="522"/>
        <v>70270.046511627908</v>
      </c>
      <c r="CN442" s="610">
        <f t="shared" si="523"/>
        <v>53315.590909090904</v>
      </c>
      <c r="CO442" s="606">
        <f t="shared" si="524"/>
        <v>53669.974358974359</v>
      </c>
      <c r="CP442" s="607">
        <f t="shared" si="525"/>
        <v>49431</v>
      </c>
      <c r="CQ442" s="606">
        <f t="shared" si="526"/>
        <v>51644.457831325301</v>
      </c>
      <c r="CR442" s="607">
        <f t="shared" si="527"/>
        <v>40458</v>
      </c>
      <c r="CS442" s="606">
        <f t="shared" si="528"/>
        <v>41184.591695501731</v>
      </c>
      <c r="CT442" s="607">
        <f t="shared" si="529"/>
        <v>39168</v>
      </c>
      <c r="CU442" s="608">
        <f t="shared" si="530"/>
        <v>38738</v>
      </c>
      <c r="CV442" s="610">
        <f t="shared" si="531"/>
        <v>0</v>
      </c>
      <c r="CW442" s="608">
        <f t="shared" si="532"/>
        <v>0</v>
      </c>
      <c r="CX442" s="610">
        <f t="shared" si="533"/>
        <v>50061.337742707939</v>
      </c>
      <c r="CY442" s="611">
        <f t="shared" si="534"/>
        <v>50879.95805258624</v>
      </c>
      <c r="CZ442" s="605">
        <f t="shared" si="535"/>
        <v>15</v>
      </c>
      <c r="DA442" s="612">
        <f t="shared" si="536"/>
        <v>14</v>
      </c>
      <c r="DB442" s="607">
        <f t="shared" si="537"/>
        <v>36</v>
      </c>
      <c r="DC442" s="606">
        <f t="shared" si="538"/>
        <v>38</v>
      </c>
      <c r="DD442" s="607">
        <f t="shared" si="539"/>
        <v>50</v>
      </c>
      <c r="DE442" s="606">
        <f t="shared" si="540"/>
        <v>55</v>
      </c>
      <c r="DF442" s="607">
        <f t="shared" si="541"/>
        <v>32</v>
      </c>
      <c r="DG442" s="606">
        <f t="shared" si="542"/>
        <v>32</v>
      </c>
      <c r="DH442" s="607">
        <f t="shared" si="543"/>
        <v>5</v>
      </c>
      <c r="DI442" s="608">
        <f t="shared" si="544"/>
        <v>9</v>
      </c>
      <c r="DJ442" s="607">
        <f t="shared" si="545"/>
        <v>0</v>
      </c>
      <c r="DK442" s="608">
        <f t="shared" si="546"/>
        <v>0</v>
      </c>
      <c r="DL442" s="607">
        <f t="shared" si="547"/>
        <v>138</v>
      </c>
      <c r="DM442" s="608">
        <f t="shared" si="548"/>
        <v>148</v>
      </c>
      <c r="DN442" s="607">
        <f t="shared" si="549"/>
        <v>1027057.3357664234</v>
      </c>
      <c r="DO442" s="612">
        <f t="shared" si="550"/>
        <v>983780.65116279072</v>
      </c>
      <c r="DP442" s="607">
        <f t="shared" si="551"/>
        <v>1919361.2727272725</v>
      </c>
      <c r="DQ442" s="606">
        <f t="shared" si="552"/>
        <v>2039459.0256410257</v>
      </c>
      <c r="DR442" s="607">
        <f t="shared" si="553"/>
        <v>2471550</v>
      </c>
      <c r="DS442" s="606">
        <f t="shared" si="554"/>
        <v>2840445.1807228914</v>
      </c>
      <c r="DT442" s="607">
        <f t="shared" si="555"/>
        <v>1294656</v>
      </c>
      <c r="DU442" s="606">
        <f t="shared" si="556"/>
        <v>1317906.9342560554</v>
      </c>
      <c r="DV442" s="607">
        <f t="shared" si="557"/>
        <v>195840</v>
      </c>
      <c r="DW442" s="608">
        <f t="shared" si="558"/>
        <v>348642</v>
      </c>
      <c r="DX442" s="607">
        <f t="shared" si="559"/>
        <v>0</v>
      </c>
      <c r="DY442" s="608">
        <f t="shared" si="560"/>
        <v>0</v>
      </c>
      <c r="DZ442" s="607">
        <f t="shared" si="561"/>
        <v>6908464.608493696</v>
      </c>
      <c r="EA442" s="608">
        <f t="shared" si="562"/>
        <v>7530233.7917827638</v>
      </c>
    </row>
    <row r="443" spans="1:131" x14ac:dyDescent="0.2">
      <c r="A443" s="450" t="s">
        <v>21</v>
      </c>
      <c r="B443" s="448" t="s">
        <v>1000</v>
      </c>
      <c r="C443" s="557"/>
      <c r="D443" s="502">
        <v>218645</v>
      </c>
      <c r="E443" s="503">
        <v>6</v>
      </c>
      <c r="F443" s="598">
        <v>23</v>
      </c>
      <c r="G443" s="599">
        <v>23</v>
      </c>
      <c r="H443" s="600"/>
      <c r="I443" s="601">
        <v>1</v>
      </c>
      <c r="J443" s="600">
        <v>7</v>
      </c>
      <c r="K443" s="599"/>
      <c r="L443" s="600"/>
      <c r="M443" s="601"/>
      <c r="N443" s="600">
        <v>31</v>
      </c>
      <c r="O443" s="599">
        <v>28</v>
      </c>
      <c r="P443" s="600"/>
      <c r="Q443" s="601"/>
      <c r="R443" s="600">
        <v>8</v>
      </c>
      <c r="S443" s="599"/>
      <c r="T443" s="600"/>
      <c r="U443" s="601">
        <v>1</v>
      </c>
      <c r="V443" s="600">
        <v>36</v>
      </c>
      <c r="W443" s="599">
        <v>37</v>
      </c>
      <c r="X443" s="600"/>
      <c r="Y443" s="601"/>
      <c r="Z443" s="600">
        <v>3</v>
      </c>
      <c r="AA443" s="599">
        <v>1</v>
      </c>
      <c r="AB443" s="600"/>
      <c r="AC443" s="601"/>
      <c r="AD443" s="600">
        <v>40</v>
      </c>
      <c r="AE443" s="599">
        <v>38</v>
      </c>
      <c r="AF443" s="600"/>
      <c r="AG443" s="601"/>
      <c r="AH443" s="600">
        <v>3</v>
      </c>
      <c r="AI443" s="599"/>
      <c r="AJ443" s="600"/>
      <c r="AK443" s="601">
        <v>2</v>
      </c>
      <c r="AL443" s="600"/>
      <c r="AM443" s="599"/>
      <c r="AN443" s="600"/>
      <c r="AO443" s="601"/>
      <c r="AP443" s="600"/>
      <c r="AQ443" s="599"/>
      <c r="AR443" s="600"/>
      <c r="AS443" s="601"/>
      <c r="AT443" s="600"/>
      <c r="AU443" s="599"/>
      <c r="AV443" s="600"/>
      <c r="AW443" s="601"/>
      <c r="AX443" s="600"/>
      <c r="AY443" s="599"/>
      <c r="AZ443" s="600"/>
      <c r="BA443" s="601"/>
      <c r="BB443" s="602">
        <v>2332266</v>
      </c>
      <c r="BC443" s="599">
        <v>1883855.5759999999</v>
      </c>
      <c r="BD443" s="600">
        <v>2390874</v>
      </c>
      <c r="BE443" s="599">
        <v>1700819</v>
      </c>
      <c r="BF443" s="600">
        <v>2054877</v>
      </c>
      <c r="BG443" s="599">
        <v>2071371</v>
      </c>
      <c r="BH443" s="600">
        <v>1815561</v>
      </c>
      <c r="BI443" s="599">
        <v>1802725</v>
      </c>
      <c r="BJ443" s="600">
        <v>0</v>
      </c>
      <c r="BK443" s="615"/>
      <c r="BL443" s="600">
        <v>0</v>
      </c>
      <c r="BM443" s="604"/>
      <c r="BN443" s="605">
        <f t="shared" si="497"/>
        <v>284</v>
      </c>
      <c r="BO443" s="606">
        <f t="shared" si="498"/>
        <v>217</v>
      </c>
      <c r="BP443" s="607">
        <f t="shared" si="499"/>
        <v>367</v>
      </c>
      <c r="BQ443" s="606">
        <f t="shared" si="500"/>
        <v>264</v>
      </c>
      <c r="BR443" s="607">
        <f t="shared" si="501"/>
        <v>357</v>
      </c>
      <c r="BS443" s="606">
        <f t="shared" si="502"/>
        <v>344</v>
      </c>
      <c r="BT443" s="607">
        <f t="shared" si="503"/>
        <v>393</v>
      </c>
      <c r="BU443" s="606">
        <f t="shared" si="504"/>
        <v>366</v>
      </c>
      <c r="BV443" s="607">
        <f t="shared" si="505"/>
        <v>0</v>
      </c>
      <c r="BW443" s="608">
        <f t="shared" si="506"/>
        <v>0</v>
      </c>
      <c r="BX443" s="607">
        <f t="shared" si="507"/>
        <v>0</v>
      </c>
      <c r="BY443" s="608">
        <f t="shared" si="508"/>
        <v>0</v>
      </c>
      <c r="BZ443" s="607">
        <f t="shared" si="509"/>
        <v>8212.2042253521122</v>
      </c>
      <c r="CA443" s="608">
        <f t="shared" si="510"/>
        <v>8681.3621013824886</v>
      </c>
      <c r="CB443" s="607">
        <f t="shared" si="511"/>
        <v>6514.6430517711169</v>
      </c>
      <c r="CC443" s="608">
        <f t="shared" si="512"/>
        <v>6442.496212121212</v>
      </c>
      <c r="CD443" s="607">
        <f t="shared" si="513"/>
        <v>5755.957983193277</v>
      </c>
      <c r="CE443" s="608">
        <f t="shared" si="514"/>
        <v>6021.4273255813951</v>
      </c>
      <c r="CF443" s="607">
        <f t="shared" si="515"/>
        <v>4619.7480916030536</v>
      </c>
      <c r="CG443" s="608">
        <f t="shared" si="516"/>
        <v>4925.478142076503</v>
      </c>
      <c r="CH443" s="607">
        <f t="shared" si="517"/>
        <v>0</v>
      </c>
      <c r="CI443" s="608">
        <f t="shared" si="518"/>
        <v>0</v>
      </c>
      <c r="CJ443" s="607">
        <f t="shared" si="519"/>
        <v>0</v>
      </c>
      <c r="CK443" s="608">
        <f t="shared" si="520"/>
        <v>0</v>
      </c>
      <c r="CL443" s="609">
        <f t="shared" si="521"/>
        <v>73909.838028169004</v>
      </c>
      <c r="CM443" s="608">
        <f t="shared" si="522"/>
        <v>78132.258912442398</v>
      </c>
      <c r="CN443" s="610">
        <f t="shared" si="523"/>
        <v>58631.787465940055</v>
      </c>
      <c r="CO443" s="606">
        <f t="shared" si="524"/>
        <v>57982.465909090912</v>
      </c>
      <c r="CP443" s="607">
        <f t="shared" si="525"/>
        <v>51803.621848739494</v>
      </c>
      <c r="CQ443" s="606">
        <f t="shared" si="526"/>
        <v>54192.845930232557</v>
      </c>
      <c r="CR443" s="607">
        <f t="shared" si="527"/>
        <v>41577.732824427483</v>
      </c>
      <c r="CS443" s="606">
        <f t="shared" si="528"/>
        <v>44329.303278688531</v>
      </c>
      <c r="CT443" s="607">
        <f t="shared" si="529"/>
        <v>0</v>
      </c>
      <c r="CU443" s="608">
        <f t="shared" si="530"/>
        <v>0</v>
      </c>
      <c r="CV443" s="610">
        <f t="shared" si="531"/>
        <v>0</v>
      </c>
      <c r="CW443" s="608">
        <f t="shared" si="532"/>
        <v>0</v>
      </c>
      <c r="CX443" s="610">
        <f t="shared" si="533"/>
        <v>55047.14314945665</v>
      </c>
      <c r="CY443" s="611">
        <f t="shared" si="534"/>
        <v>56405.847341668945</v>
      </c>
      <c r="CZ443" s="605">
        <f t="shared" si="535"/>
        <v>30</v>
      </c>
      <c r="DA443" s="612">
        <f t="shared" si="536"/>
        <v>24</v>
      </c>
      <c r="DB443" s="607">
        <f t="shared" si="537"/>
        <v>39</v>
      </c>
      <c r="DC443" s="606">
        <f t="shared" si="538"/>
        <v>29</v>
      </c>
      <c r="DD443" s="607">
        <f t="shared" si="539"/>
        <v>39</v>
      </c>
      <c r="DE443" s="606">
        <f t="shared" si="540"/>
        <v>38</v>
      </c>
      <c r="DF443" s="607">
        <f t="shared" si="541"/>
        <v>43</v>
      </c>
      <c r="DG443" s="606">
        <f t="shared" si="542"/>
        <v>40</v>
      </c>
      <c r="DH443" s="607">
        <f t="shared" si="543"/>
        <v>0</v>
      </c>
      <c r="DI443" s="608">
        <f t="shared" si="544"/>
        <v>0</v>
      </c>
      <c r="DJ443" s="607">
        <f t="shared" si="545"/>
        <v>0</v>
      </c>
      <c r="DK443" s="608">
        <f t="shared" si="546"/>
        <v>0</v>
      </c>
      <c r="DL443" s="607">
        <f t="shared" si="547"/>
        <v>151</v>
      </c>
      <c r="DM443" s="608">
        <f t="shared" si="548"/>
        <v>131</v>
      </c>
      <c r="DN443" s="607">
        <f t="shared" si="549"/>
        <v>2217295.1408450701</v>
      </c>
      <c r="DO443" s="612">
        <f t="shared" si="550"/>
        <v>1875174.2138986175</v>
      </c>
      <c r="DP443" s="607">
        <f t="shared" si="551"/>
        <v>2286639.711171662</v>
      </c>
      <c r="DQ443" s="606">
        <f t="shared" si="552"/>
        <v>1681491.5113636365</v>
      </c>
      <c r="DR443" s="607">
        <f t="shared" si="553"/>
        <v>2020341.2521008402</v>
      </c>
      <c r="DS443" s="606">
        <f t="shared" si="554"/>
        <v>2059328.1453488371</v>
      </c>
      <c r="DT443" s="607">
        <f t="shared" si="555"/>
        <v>1787842.5114503817</v>
      </c>
      <c r="DU443" s="606">
        <f t="shared" si="556"/>
        <v>1773172.1311475411</v>
      </c>
      <c r="DV443" s="607">
        <f t="shared" si="557"/>
        <v>0</v>
      </c>
      <c r="DW443" s="608">
        <f t="shared" si="558"/>
        <v>0</v>
      </c>
      <c r="DX443" s="607">
        <f t="shared" si="559"/>
        <v>0</v>
      </c>
      <c r="DY443" s="608">
        <f t="shared" si="560"/>
        <v>0</v>
      </c>
      <c r="DZ443" s="607">
        <f t="shared" si="561"/>
        <v>8312118.6155679543</v>
      </c>
      <c r="EA443" s="608">
        <f t="shared" si="562"/>
        <v>7389166.0017586313</v>
      </c>
    </row>
    <row r="444" spans="1:131" x14ac:dyDescent="0.2">
      <c r="A444" s="450" t="s">
        <v>21</v>
      </c>
      <c r="B444" s="453" t="s">
        <v>1001</v>
      </c>
      <c r="C444" s="557"/>
      <c r="D444" s="502">
        <v>218742</v>
      </c>
      <c r="E444" s="503">
        <v>6</v>
      </c>
      <c r="F444" s="598">
        <v>6</v>
      </c>
      <c r="G444" s="599">
        <v>6</v>
      </c>
      <c r="H444" s="600"/>
      <c r="I444" s="601"/>
      <c r="J444" s="600">
        <v>5</v>
      </c>
      <c r="K444" s="599">
        <v>3</v>
      </c>
      <c r="L444" s="600"/>
      <c r="M444" s="601"/>
      <c r="N444" s="600">
        <v>14</v>
      </c>
      <c r="O444" s="599">
        <v>12</v>
      </c>
      <c r="P444" s="600"/>
      <c r="Q444" s="601"/>
      <c r="R444" s="600">
        <v>2</v>
      </c>
      <c r="S444" s="599"/>
      <c r="T444" s="600"/>
      <c r="U444" s="601"/>
      <c r="V444" s="600">
        <v>17</v>
      </c>
      <c r="W444" s="599">
        <v>22</v>
      </c>
      <c r="X444" s="600"/>
      <c r="Y444" s="601"/>
      <c r="Z444" s="600"/>
      <c r="AA444" s="599"/>
      <c r="AB444" s="600"/>
      <c r="AC444" s="601"/>
      <c r="AD444" s="600">
        <v>18</v>
      </c>
      <c r="AE444" s="599">
        <v>16</v>
      </c>
      <c r="AF444" s="600"/>
      <c r="AG444" s="601"/>
      <c r="AH444" s="600">
        <v>1</v>
      </c>
      <c r="AI444" s="599">
        <v>1</v>
      </c>
      <c r="AJ444" s="600"/>
      <c r="AK444" s="601"/>
      <c r="AL444" s="600"/>
      <c r="AM444" s="599"/>
      <c r="AN444" s="600"/>
      <c r="AO444" s="601"/>
      <c r="AP444" s="600"/>
      <c r="AQ444" s="599"/>
      <c r="AR444" s="600"/>
      <c r="AS444" s="601"/>
      <c r="AT444" s="600"/>
      <c r="AU444" s="599"/>
      <c r="AV444" s="600"/>
      <c r="AW444" s="601"/>
      <c r="AX444" s="600"/>
      <c r="AY444" s="599"/>
      <c r="AZ444" s="600"/>
      <c r="BA444" s="601"/>
      <c r="BB444" s="602">
        <v>879912</v>
      </c>
      <c r="BC444" s="599">
        <v>743473</v>
      </c>
      <c r="BD444" s="600">
        <v>984538</v>
      </c>
      <c r="BE444" s="599">
        <v>731393</v>
      </c>
      <c r="BF444" s="600">
        <v>920006</v>
      </c>
      <c r="BG444" s="599">
        <v>1209165</v>
      </c>
      <c r="BH444" s="600">
        <v>901832</v>
      </c>
      <c r="BI444" s="599">
        <v>800169</v>
      </c>
      <c r="BJ444" s="600">
        <v>0</v>
      </c>
      <c r="BK444" s="615"/>
      <c r="BL444" s="600">
        <v>0</v>
      </c>
      <c r="BM444" s="604"/>
      <c r="BN444" s="605">
        <f t="shared" si="497"/>
        <v>109</v>
      </c>
      <c r="BO444" s="606">
        <f t="shared" si="498"/>
        <v>87</v>
      </c>
      <c r="BP444" s="607">
        <f t="shared" si="499"/>
        <v>148</v>
      </c>
      <c r="BQ444" s="606">
        <f t="shared" si="500"/>
        <v>108</v>
      </c>
      <c r="BR444" s="607">
        <f t="shared" si="501"/>
        <v>153</v>
      </c>
      <c r="BS444" s="606">
        <f t="shared" si="502"/>
        <v>198</v>
      </c>
      <c r="BT444" s="607">
        <f t="shared" si="503"/>
        <v>173</v>
      </c>
      <c r="BU444" s="606">
        <f t="shared" si="504"/>
        <v>155</v>
      </c>
      <c r="BV444" s="607">
        <f t="shared" si="505"/>
        <v>0</v>
      </c>
      <c r="BW444" s="608">
        <f t="shared" si="506"/>
        <v>0</v>
      </c>
      <c r="BX444" s="607">
        <f t="shared" si="507"/>
        <v>0</v>
      </c>
      <c r="BY444" s="608">
        <f t="shared" si="508"/>
        <v>0</v>
      </c>
      <c r="BZ444" s="607">
        <f t="shared" si="509"/>
        <v>8072.5871559633024</v>
      </c>
      <c r="CA444" s="608">
        <f t="shared" si="510"/>
        <v>8545.6666666666661</v>
      </c>
      <c r="CB444" s="607">
        <f t="shared" si="511"/>
        <v>6652.2837837837842</v>
      </c>
      <c r="CC444" s="608">
        <f t="shared" si="512"/>
        <v>6772.1574074074078</v>
      </c>
      <c r="CD444" s="607">
        <f t="shared" si="513"/>
        <v>6013.1111111111113</v>
      </c>
      <c r="CE444" s="608">
        <f t="shared" si="514"/>
        <v>6106.893939393939</v>
      </c>
      <c r="CF444" s="607">
        <f t="shared" si="515"/>
        <v>5212.9017341040462</v>
      </c>
      <c r="CG444" s="608">
        <f t="shared" si="516"/>
        <v>5162.38064516129</v>
      </c>
      <c r="CH444" s="607">
        <f t="shared" si="517"/>
        <v>0</v>
      </c>
      <c r="CI444" s="608">
        <f t="shared" si="518"/>
        <v>0</v>
      </c>
      <c r="CJ444" s="607">
        <f t="shared" si="519"/>
        <v>0</v>
      </c>
      <c r="CK444" s="608">
        <f t="shared" si="520"/>
        <v>0</v>
      </c>
      <c r="CL444" s="609">
        <f t="shared" si="521"/>
        <v>72653.284403669721</v>
      </c>
      <c r="CM444" s="608">
        <f t="shared" si="522"/>
        <v>76911</v>
      </c>
      <c r="CN444" s="610">
        <f t="shared" si="523"/>
        <v>59870.554054054061</v>
      </c>
      <c r="CO444" s="606">
        <f t="shared" si="524"/>
        <v>60949.416666666672</v>
      </c>
      <c r="CP444" s="607">
        <f t="shared" si="525"/>
        <v>54118</v>
      </c>
      <c r="CQ444" s="606">
        <f t="shared" si="526"/>
        <v>54962.045454545449</v>
      </c>
      <c r="CR444" s="607">
        <f t="shared" si="527"/>
        <v>46916.115606936415</v>
      </c>
      <c r="CS444" s="606">
        <f t="shared" si="528"/>
        <v>46461.425806451611</v>
      </c>
      <c r="CT444" s="607">
        <f t="shared" si="529"/>
        <v>0</v>
      </c>
      <c r="CU444" s="608">
        <f t="shared" si="530"/>
        <v>0</v>
      </c>
      <c r="CV444" s="610">
        <f t="shared" si="531"/>
        <v>0</v>
      </c>
      <c r="CW444" s="608">
        <f t="shared" si="532"/>
        <v>0</v>
      </c>
      <c r="CX444" s="610">
        <f t="shared" si="533"/>
        <v>56643.288727571802</v>
      </c>
      <c r="CY444" s="611">
        <f t="shared" si="534"/>
        <v>57043.353978494626</v>
      </c>
      <c r="CZ444" s="605">
        <f t="shared" si="535"/>
        <v>11</v>
      </c>
      <c r="DA444" s="612">
        <f t="shared" si="536"/>
        <v>9</v>
      </c>
      <c r="DB444" s="607">
        <f t="shared" si="537"/>
        <v>16</v>
      </c>
      <c r="DC444" s="606">
        <f t="shared" si="538"/>
        <v>12</v>
      </c>
      <c r="DD444" s="607">
        <f t="shared" si="539"/>
        <v>17</v>
      </c>
      <c r="DE444" s="606">
        <f t="shared" si="540"/>
        <v>22</v>
      </c>
      <c r="DF444" s="607">
        <f t="shared" si="541"/>
        <v>19</v>
      </c>
      <c r="DG444" s="606">
        <f t="shared" si="542"/>
        <v>17</v>
      </c>
      <c r="DH444" s="607">
        <f t="shared" si="543"/>
        <v>0</v>
      </c>
      <c r="DI444" s="608">
        <f t="shared" si="544"/>
        <v>0</v>
      </c>
      <c r="DJ444" s="607">
        <f t="shared" si="545"/>
        <v>0</v>
      </c>
      <c r="DK444" s="608">
        <f t="shared" si="546"/>
        <v>0</v>
      </c>
      <c r="DL444" s="607">
        <f t="shared" si="547"/>
        <v>63</v>
      </c>
      <c r="DM444" s="608">
        <f t="shared" si="548"/>
        <v>60</v>
      </c>
      <c r="DN444" s="607">
        <f t="shared" si="549"/>
        <v>799186.12844036694</v>
      </c>
      <c r="DO444" s="612">
        <f t="shared" si="550"/>
        <v>692199</v>
      </c>
      <c r="DP444" s="607">
        <f t="shared" si="551"/>
        <v>957928.86486486497</v>
      </c>
      <c r="DQ444" s="606">
        <f t="shared" si="552"/>
        <v>731393</v>
      </c>
      <c r="DR444" s="607">
        <f t="shared" si="553"/>
        <v>920006</v>
      </c>
      <c r="DS444" s="606">
        <f t="shared" si="554"/>
        <v>1209164.9999999998</v>
      </c>
      <c r="DT444" s="607">
        <f t="shared" si="555"/>
        <v>891406.19653179194</v>
      </c>
      <c r="DU444" s="606">
        <f t="shared" si="556"/>
        <v>789844.23870967736</v>
      </c>
      <c r="DV444" s="607">
        <f t="shared" si="557"/>
        <v>0</v>
      </c>
      <c r="DW444" s="608">
        <f t="shared" si="558"/>
        <v>0</v>
      </c>
      <c r="DX444" s="607">
        <f t="shared" si="559"/>
        <v>0</v>
      </c>
      <c r="DY444" s="608">
        <f t="shared" si="560"/>
        <v>0</v>
      </c>
      <c r="DZ444" s="607">
        <f t="shared" si="561"/>
        <v>3568527.1898370236</v>
      </c>
      <c r="EA444" s="608">
        <f t="shared" si="562"/>
        <v>3422601.2387096775</v>
      </c>
    </row>
    <row r="445" spans="1:131" x14ac:dyDescent="0.2">
      <c r="A445" s="450" t="s">
        <v>21</v>
      </c>
      <c r="B445" s="448" t="s">
        <v>1002</v>
      </c>
      <c r="C445" s="559"/>
      <c r="D445" s="502">
        <v>218654</v>
      </c>
      <c r="E445" s="503">
        <v>6</v>
      </c>
      <c r="F445" s="598">
        <v>22</v>
      </c>
      <c r="G445" s="599">
        <v>19</v>
      </c>
      <c r="H445" s="600"/>
      <c r="I445" s="601"/>
      <c r="J445" s="600">
        <v>7</v>
      </c>
      <c r="K445" s="599"/>
      <c r="L445" s="600"/>
      <c r="M445" s="601">
        <v>3</v>
      </c>
      <c r="N445" s="600">
        <v>36</v>
      </c>
      <c r="O445" s="599">
        <v>45</v>
      </c>
      <c r="P445" s="600"/>
      <c r="Q445" s="601"/>
      <c r="R445" s="600">
        <v>7</v>
      </c>
      <c r="S445" s="599"/>
      <c r="T445" s="600"/>
      <c r="U445" s="601">
        <v>5</v>
      </c>
      <c r="V445" s="600">
        <v>67</v>
      </c>
      <c r="W445" s="599">
        <v>57</v>
      </c>
      <c r="X445" s="600"/>
      <c r="Y445" s="601"/>
      <c r="Z445" s="600">
        <v>2</v>
      </c>
      <c r="AA445" s="599"/>
      <c r="AB445" s="600"/>
      <c r="AC445" s="601">
        <v>3</v>
      </c>
      <c r="AD445" s="600">
        <v>60</v>
      </c>
      <c r="AE445" s="599">
        <v>66</v>
      </c>
      <c r="AF445" s="600"/>
      <c r="AG445" s="601">
        <v>1</v>
      </c>
      <c r="AH445" s="600">
        <v>2</v>
      </c>
      <c r="AI445" s="599"/>
      <c r="AJ445" s="600"/>
      <c r="AK445" s="601">
        <v>2</v>
      </c>
      <c r="AL445" s="600"/>
      <c r="AM445" s="599"/>
      <c r="AN445" s="600"/>
      <c r="AO445" s="601"/>
      <c r="AP445" s="600"/>
      <c r="AQ445" s="599"/>
      <c r="AR445" s="600"/>
      <c r="AS445" s="601"/>
      <c r="AT445" s="600"/>
      <c r="AU445" s="599"/>
      <c r="AV445" s="600"/>
      <c r="AW445" s="601"/>
      <c r="AX445" s="600"/>
      <c r="AY445" s="599"/>
      <c r="AZ445" s="600"/>
      <c r="BA445" s="601"/>
      <c r="BB445" s="602">
        <v>2229521</v>
      </c>
      <c r="BC445" s="599">
        <v>1714010</v>
      </c>
      <c r="BD445" s="600">
        <v>2730572</v>
      </c>
      <c r="BE445" s="599">
        <v>3183478</v>
      </c>
      <c r="BF445" s="600">
        <v>3606580</v>
      </c>
      <c r="BG445" s="599">
        <v>3237658</v>
      </c>
      <c r="BH445" s="600">
        <v>2921974</v>
      </c>
      <c r="BI445" s="599">
        <v>3339647.7207999998</v>
      </c>
      <c r="BJ445" s="600">
        <v>0</v>
      </c>
      <c r="BK445" s="615"/>
      <c r="BL445" s="600">
        <v>0</v>
      </c>
      <c r="BM445" s="604"/>
      <c r="BN445" s="605">
        <f t="shared" si="497"/>
        <v>275</v>
      </c>
      <c r="BO445" s="606">
        <f t="shared" si="498"/>
        <v>207</v>
      </c>
      <c r="BP445" s="607">
        <f t="shared" si="499"/>
        <v>401</v>
      </c>
      <c r="BQ445" s="606">
        <f t="shared" si="500"/>
        <v>465</v>
      </c>
      <c r="BR445" s="607">
        <f t="shared" si="501"/>
        <v>625</v>
      </c>
      <c r="BS445" s="606">
        <f t="shared" si="502"/>
        <v>549</v>
      </c>
      <c r="BT445" s="607">
        <f t="shared" si="503"/>
        <v>562</v>
      </c>
      <c r="BU445" s="606">
        <f t="shared" si="504"/>
        <v>628</v>
      </c>
      <c r="BV445" s="607">
        <f t="shared" si="505"/>
        <v>0</v>
      </c>
      <c r="BW445" s="608">
        <f t="shared" si="506"/>
        <v>0</v>
      </c>
      <c r="BX445" s="607">
        <f t="shared" si="507"/>
        <v>0</v>
      </c>
      <c r="BY445" s="608">
        <f t="shared" si="508"/>
        <v>0</v>
      </c>
      <c r="BZ445" s="607">
        <f t="shared" si="509"/>
        <v>8107.3490909090906</v>
      </c>
      <c r="CA445" s="608">
        <f t="shared" si="510"/>
        <v>8280.2415458937194</v>
      </c>
      <c r="CB445" s="607">
        <f t="shared" si="511"/>
        <v>6809.4064837905235</v>
      </c>
      <c r="CC445" s="608">
        <f t="shared" si="512"/>
        <v>6846.1892473118278</v>
      </c>
      <c r="CD445" s="607">
        <f t="shared" si="513"/>
        <v>5770.5280000000002</v>
      </c>
      <c r="CE445" s="608">
        <f t="shared" si="514"/>
        <v>5897.3734061930782</v>
      </c>
      <c r="CF445" s="607">
        <f t="shared" si="515"/>
        <v>5199.241992882562</v>
      </c>
      <c r="CG445" s="608">
        <f t="shared" si="516"/>
        <v>5317.91038343949</v>
      </c>
      <c r="CH445" s="607">
        <f t="shared" si="517"/>
        <v>0</v>
      </c>
      <c r="CI445" s="608">
        <f t="shared" si="518"/>
        <v>0</v>
      </c>
      <c r="CJ445" s="607">
        <f t="shared" si="519"/>
        <v>0</v>
      </c>
      <c r="CK445" s="608">
        <f t="shared" si="520"/>
        <v>0</v>
      </c>
      <c r="CL445" s="609">
        <f t="shared" si="521"/>
        <v>72966.141818181815</v>
      </c>
      <c r="CM445" s="608">
        <f t="shared" si="522"/>
        <v>74522.173913043473</v>
      </c>
      <c r="CN445" s="610">
        <f t="shared" si="523"/>
        <v>61284.658354114712</v>
      </c>
      <c r="CO445" s="606">
        <f t="shared" si="524"/>
        <v>61615.70322580645</v>
      </c>
      <c r="CP445" s="607">
        <f t="shared" si="525"/>
        <v>51934.752</v>
      </c>
      <c r="CQ445" s="606">
        <f t="shared" si="526"/>
        <v>53076.360655737706</v>
      </c>
      <c r="CR445" s="607">
        <f t="shared" si="527"/>
        <v>46793.177935943058</v>
      </c>
      <c r="CS445" s="606">
        <f t="shared" si="528"/>
        <v>47861.193450955412</v>
      </c>
      <c r="CT445" s="607">
        <f t="shared" si="529"/>
        <v>0</v>
      </c>
      <c r="CU445" s="608">
        <f t="shared" si="530"/>
        <v>0</v>
      </c>
      <c r="CV445" s="610">
        <f t="shared" si="531"/>
        <v>0</v>
      </c>
      <c r="CW445" s="608">
        <f t="shared" si="532"/>
        <v>0</v>
      </c>
      <c r="CX445" s="610">
        <f t="shared" si="533"/>
        <v>55349.425329963917</v>
      </c>
      <c r="CY445" s="611">
        <f t="shared" si="534"/>
        <v>55757.596889738626</v>
      </c>
      <c r="CZ445" s="605">
        <f t="shared" si="535"/>
        <v>29</v>
      </c>
      <c r="DA445" s="612">
        <f t="shared" si="536"/>
        <v>22</v>
      </c>
      <c r="DB445" s="607">
        <f t="shared" si="537"/>
        <v>43</v>
      </c>
      <c r="DC445" s="606">
        <f t="shared" si="538"/>
        <v>50</v>
      </c>
      <c r="DD445" s="607">
        <f t="shared" si="539"/>
        <v>69</v>
      </c>
      <c r="DE445" s="606">
        <f t="shared" si="540"/>
        <v>60</v>
      </c>
      <c r="DF445" s="607">
        <f t="shared" si="541"/>
        <v>62</v>
      </c>
      <c r="DG445" s="606">
        <f t="shared" si="542"/>
        <v>69</v>
      </c>
      <c r="DH445" s="607">
        <f t="shared" si="543"/>
        <v>0</v>
      </c>
      <c r="DI445" s="608">
        <f t="shared" si="544"/>
        <v>0</v>
      </c>
      <c r="DJ445" s="607">
        <f t="shared" si="545"/>
        <v>0</v>
      </c>
      <c r="DK445" s="608">
        <f t="shared" si="546"/>
        <v>0</v>
      </c>
      <c r="DL445" s="607">
        <f t="shared" si="547"/>
        <v>203</v>
      </c>
      <c r="DM445" s="608">
        <f t="shared" si="548"/>
        <v>201</v>
      </c>
      <c r="DN445" s="607">
        <f t="shared" si="549"/>
        <v>2116018.1127272728</v>
      </c>
      <c r="DO445" s="612">
        <f t="shared" si="550"/>
        <v>1639487.8260869563</v>
      </c>
      <c r="DP445" s="607">
        <f t="shared" si="551"/>
        <v>2635240.3092269325</v>
      </c>
      <c r="DQ445" s="606">
        <f t="shared" si="552"/>
        <v>3080785.1612903224</v>
      </c>
      <c r="DR445" s="607">
        <f t="shared" si="553"/>
        <v>3583497.8879999998</v>
      </c>
      <c r="DS445" s="606">
        <f t="shared" si="554"/>
        <v>3184581.6393442624</v>
      </c>
      <c r="DT445" s="607">
        <f t="shared" si="555"/>
        <v>2901177.0320284697</v>
      </c>
      <c r="DU445" s="606">
        <f t="shared" si="556"/>
        <v>3302422.3481159233</v>
      </c>
      <c r="DV445" s="607">
        <f t="shared" si="557"/>
        <v>0</v>
      </c>
      <c r="DW445" s="608">
        <f t="shared" si="558"/>
        <v>0</v>
      </c>
      <c r="DX445" s="607">
        <f t="shared" si="559"/>
        <v>0</v>
      </c>
      <c r="DY445" s="608">
        <f t="shared" si="560"/>
        <v>0</v>
      </c>
      <c r="DZ445" s="607">
        <f t="shared" si="561"/>
        <v>11235933.341982676</v>
      </c>
      <c r="EA445" s="608">
        <f t="shared" si="562"/>
        <v>11207276.974837463</v>
      </c>
    </row>
    <row r="446" spans="1:131" x14ac:dyDescent="0.2">
      <c r="A446" s="450" t="s">
        <v>21</v>
      </c>
      <c r="B446" s="448" t="s">
        <v>1003</v>
      </c>
      <c r="C446" s="579"/>
      <c r="D446" s="502">
        <v>218113</v>
      </c>
      <c r="E446" s="503">
        <v>8</v>
      </c>
      <c r="F446" s="598"/>
      <c r="G446" s="599"/>
      <c r="H446" s="600"/>
      <c r="I446" s="601"/>
      <c r="J446" s="600"/>
      <c r="K446" s="599"/>
      <c r="L446" s="600"/>
      <c r="M446" s="601"/>
      <c r="N446" s="600"/>
      <c r="O446" s="599"/>
      <c r="P446" s="600"/>
      <c r="Q446" s="601"/>
      <c r="R446" s="600"/>
      <c r="S446" s="599"/>
      <c r="T446" s="600"/>
      <c r="U446" s="601"/>
      <c r="V446" s="600"/>
      <c r="W446" s="599"/>
      <c r="X446" s="600"/>
      <c r="Y446" s="601"/>
      <c r="Z446" s="600"/>
      <c r="AA446" s="599"/>
      <c r="AB446" s="600"/>
      <c r="AC446" s="601"/>
      <c r="AD446" s="600"/>
      <c r="AE446" s="599"/>
      <c r="AF446" s="600"/>
      <c r="AG446" s="601"/>
      <c r="AH446" s="600"/>
      <c r="AI446" s="599"/>
      <c r="AJ446" s="600"/>
      <c r="AK446" s="601"/>
      <c r="AL446" s="600">
        <v>337</v>
      </c>
      <c r="AM446" s="599">
        <v>349</v>
      </c>
      <c r="AN446" s="600"/>
      <c r="AO446" s="601"/>
      <c r="AP446" s="600"/>
      <c r="AQ446" s="599"/>
      <c r="AR446" s="600"/>
      <c r="AS446" s="601"/>
      <c r="AT446" s="600"/>
      <c r="AU446" s="599"/>
      <c r="AV446" s="600"/>
      <c r="AW446" s="601"/>
      <c r="AX446" s="600"/>
      <c r="AY446" s="599"/>
      <c r="AZ446" s="600"/>
      <c r="BA446" s="601"/>
      <c r="BB446" s="602">
        <v>0</v>
      </c>
      <c r="BC446" s="599"/>
      <c r="BD446" s="600">
        <v>0</v>
      </c>
      <c r="BE446" s="599"/>
      <c r="BF446" s="600">
        <v>0</v>
      </c>
      <c r="BG446" s="599"/>
      <c r="BH446" s="600">
        <v>0</v>
      </c>
      <c r="BI446" s="599"/>
      <c r="BJ446" s="600">
        <v>15550865</v>
      </c>
      <c r="BK446" s="615">
        <v>16756344</v>
      </c>
      <c r="BL446" s="600">
        <v>0</v>
      </c>
      <c r="BM446" s="604"/>
      <c r="BN446" s="605">
        <f t="shared" si="497"/>
        <v>0</v>
      </c>
      <c r="BO446" s="606">
        <f t="shared" si="498"/>
        <v>0</v>
      </c>
      <c r="BP446" s="607">
        <f t="shared" si="499"/>
        <v>0</v>
      </c>
      <c r="BQ446" s="606">
        <f t="shared" si="500"/>
        <v>0</v>
      </c>
      <c r="BR446" s="607">
        <f t="shared" si="501"/>
        <v>0</v>
      </c>
      <c r="BS446" s="606">
        <f t="shared" si="502"/>
        <v>0</v>
      </c>
      <c r="BT446" s="607">
        <f t="shared" si="503"/>
        <v>0</v>
      </c>
      <c r="BU446" s="606">
        <f t="shared" si="504"/>
        <v>0</v>
      </c>
      <c r="BV446" s="607">
        <f t="shared" si="505"/>
        <v>3033</v>
      </c>
      <c r="BW446" s="608">
        <f t="shared" si="506"/>
        <v>3141</v>
      </c>
      <c r="BX446" s="607">
        <f t="shared" si="507"/>
        <v>0</v>
      </c>
      <c r="BY446" s="608">
        <f t="shared" si="508"/>
        <v>0</v>
      </c>
      <c r="BZ446" s="607">
        <f t="shared" si="509"/>
        <v>0</v>
      </c>
      <c r="CA446" s="608">
        <f t="shared" si="510"/>
        <v>0</v>
      </c>
      <c r="CB446" s="607">
        <f t="shared" si="511"/>
        <v>0</v>
      </c>
      <c r="CC446" s="608">
        <f t="shared" si="512"/>
        <v>0</v>
      </c>
      <c r="CD446" s="607">
        <f t="shared" si="513"/>
        <v>0</v>
      </c>
      <c r="CE446" s="608">
        <f t="shared" si="514"/>
        <v>0</v>
      </c>
      <c r="CF446" s="607">
        <f t="shared" si="515"/>
        <v>0</v>
      </c>
      <c r="CG446" s="608">
        <f t="shared" si="516"/>
        <v>0</v>
      </c>
      <c r="CH446" s="607">
        <f t="shared" si="517"/>
        <v>5127.2222222222226</v>
      </c>
      <c r="CI446" s="608">
        <f t="shared" si="518"/>
        <v>5334.7163323782233</v>
      </c>
      <c r="CJ446" s="607">
        <f t="shared" si="519"/>
        <v>0</v>
      </c>
      <c r="CK446" s="608">
        <f t="shared" si="520"/>
        <v>0</v>
      </c>
      <c r="CL446" s="609">
        <f t="shared" si="521"/>
        <v>0</v>
      </c>
      <c r="CM446" s="608">
        <f t="shared" si="522"/>
        <v>0</v>
      </c>
      <c r="CN446" s="610">
        <f t="shared" si="523"/>
        <v>0</v>
      </c>
      <c r="CO446" s="606">
        <f t="shared" si="524"/>
        <v>0</v>
      </c>
      <c r="CP446" s="607">
        <f t="shared" si="525"/>
        <v>0</v>
      </c>
      <c r="CQ446" s="606">
        <f t="shared" si="526"/>
        <v>0</v>
      </c>
      <c r="CR446" s="607">
        <f t="shared" si="527"/>
        <v>0</v>
      </c>
      <c r="CS446" s="606">
        <f t="shared" si="528"/>
        <v>0</v>
      </c>
      <c r="CT446" s="607">
        <f t="shared" si="529"/>
        <v>46145</v>
      </c>
      <c r="CU446" s="608">
        <f t="shared" si="530"/>
        <v>48012.446991404009</v>
      </c>
      <c r="CV446" s="610">
        <f t="shared" si="531"/>
        <v>0</v>
      </c>
      <c r="CW446" s="608">
        <f t="shared" si="532"/>
        <v>0</v>
      </c>
      <c r="CX446" s="610">
        <f t="shared" si="533"/>
        <v>46145</v>
      </c>
      <c r="CY446" s="611">
        <f t="shared" si="534"/>
        <v>48012.446991404009</v>
      </c>
      <c r="CZ446" s="605">
        <f t="shared" si="535"/>
        <v>0</v>
      </c>
      <c r="DA446" s="612">
        <f t="shared" si="536"/>
        <v>0</v>
      </c>
      <c r="DB446" s="607">
        <f t="shared" si="537"/>
        <v>0</v>
      </c>
      <c r="DC446" s="606">
        <f t="shared" si="538"/>
        <v>0</v>
      </c>
      <c r="DD446" s="607">
        <f t="shared" si="539"/>
        <v>0</v>
      </c>
      <c r="DE446" s="606">
        <f t="shared" si="540"/>
        <v>0</v>
      </c>
      <c r="DF446" s="607">
        <f t="shared" si="541"/>
        <v>0</v>
      </c>
      <c r="DG446" s="606">
        <f t="shared" si="542"/>
        <v>0</v>
      </c>
      <c r="DH446" s="607">
        <f t="shared" si="543"/>
        <v>337</v>
      </c>
      <c r="DI446" s="608">
        <f t="shared" si="544"/>
        <v>349</v>
      </c>
      <c r="DJ446" s="607">
        <f t="shared" si="545"/>
        <v>0</v>
      </c>
      <c r="DK446" s="608">
        <f t="shared" si="546"/>
        <v>0</v>
      </c>
      <c r="DL446" s="607">
        <f t="shared" si="547"/>
        <v>337</v>
      </c>
      <c r="DM446" s="608">
        <f t="shared" si="548"/>
        <v>349</v>
      </c>
      <c r="DN446" s="607">
        <f t="shared" si="549"/>
        <v>0</v>
      </c>
      <c r="DO446" s="612">
        <f t="shared" si="550"/>
        <v>0</v>
      </c>
      <c r="DP446" s="607">
        <f t="shared" si="551"/>
        <v>0</v>
      </c>
      <c r="DQ446" s="606">
        <f t="shared" si="552"/>
        <v>0</v>
      </c>
      <c r="DR446" s="607">
        <f t="shared" si="553"/>
        <v>0</v>
      </c>
      <c r="DS446" s="606">
        <f t="shared" si="554"/>
        <v>0</v>
      </c>
      <c r="DT446" s="607">
        <f t="shared" si="555"/>
        <v>0</v>
      </c>
      <c r="DU446" s="606">
        <f t="shared" si="556"/>
        <v>0</v>
      </c>
      <c r="DV446" s="607">
        <f t="shared" si="557"/>
        <v>15550865</v>
      </c>
      <c r="DW446" s="608">
        <f t="shared" si="558"/>
        <v>16756344</v>
      </c>
      <c r="DX446" s="607">
        <f t="shared" si="559"/>
        <v>0</v>
      </c>
      <c r="DY446" s="608">
        <f t="shared" si="560"/>
        <v>0</v>
      </c>
      <c r="DZ446" s="607">
        <f t="shared" si="561"/>
        <v>15550865</v>
      </c>
      <c r="EA446" s="608">
        <f t="shared" si="562"/>
        <v>16756344</v>
      </c>
    </row>
    <row r="447" spans="1:131" x14ac:dyDescent="0.2">
      <c r="A447" s="450" t="s">
        <v>21</v>
      </c>
      <c r="B447" s="459" t="s">
        <v>1004</v>
      </c>
      <c r="C447" s="580"/>
      <c r="D447" s="502">
        <v>218140</v>
      </c>
      <c r="E447" s="505">
        <v>8</v>
      </c>
      <c r="F447" s="598"/>
      <c r="G447" s="599"/>
      <c r="H447" s="600"/>
      <c r="I447" s="601"/>
      <c r="J447" s="600"/>
      <c r="K447" s="599"/>
      <c r="L447" s="600"/>
      <c r="M447" s="601"/>
      <c r="N447" s="600"/>
      <c r="O447" s="599"/>
      <c r="P447" s="600"/>
      <c r="Q447" s="601"/>
      <c r="R447" s="600"/>
      <c r="S447" s="599"/>
      <c r="T447" s="600"/>
      <c r="U447" s="601"/>
      <c r="V447" s="600"/>
      <c r="W447" s="599"/>
      <c r="X447" s="600"/>
      <c r="Y447" s="601"/>
      <c r="Z447" s="600"/>
      <c r="AA447" s="599"/>
      <c r="AB447" s="600"/>
      <c r="AC447" s="601"/>
      <c r="AD447" s="600"/>
      <c r="AE447" s="599"/>
      <c r="AF447" s="600"/>
      <c r="AG447" s="601"/>
      <c r="AH447" s="600"/>
      <c r="AI447" s="599"/>
      <c r="AJ447" s="600"/>
      <c r="AK447" s="601"/>
      <c r="AL447" s="600">
        <v>143</v>
      </c>
      <c r="AM447" s="599">
        <v>148</v>
      </c>
      <c r="AN447" s="600"/>
      <c r="AO447" s="601"/>
      <c r="AP447" s="600"/>
      <c r="AQ447" s="599"/>
      <c r="AR447" s="600"/>
      <c r="AS447" s="601"/>
      <c r="AT447" s="600"/>
      <c r="AU447" s="599"/>
      <c r="AV447" s="600"/>
      <c r="AW447" s="601"/>
      <c r="AX447" s="600"/>
      <c r="AY447" s="599"/>
      <c r="AZ447" s="600"/>
      <c r="BA447" s="601"/>
      <c r="BB447" s="602">
        <v>0</v>
      </c>
      <c r="BC447" s="599"/>
      <c r="BD447" s="600">
        <v>0</v>
      </c>
      <c r="BE447" s="599"/>
      <c r="BF447" s="600">
        <v>0</v>
      </c>
      <c r="BG447" s="599"/>
      <c r="BH447" s="600">
        <v>0</v>
      </c>
      <c r="BI447" s="599"/>
      <c r="BJ447" s="600">
        <v>7067918</v>
      </c>
      <c r="BK447" s="615">
        <v>7509807</v>
      </c>
      <c r="BL447" s="600">
        <v>0</v>
      </c>
      <c r="BM447" s="604"/>
      <c r="BN447" s="605">
        <f t="shared" si="497"/>
        <v>0</v>
      </c>
      <c r="BO447" s="606">
        <f t="shared" si="498"/>
        <v>0</v>
      </c>
      <c r="BP447" s="607">
        <f t="shared" si="499"/>
        <v>0</v>
      </c>
      <c r="BQ447" s="606">
        <f t="shared" si="500"/>
        <v>0</v>
      </c>
      <c r="BR447" s="607">
        <f t="shared" si="501"/>
        <v>0</v>
      </c>
      <c r="BS447" s="606">
        <f t="shared" si="502"/>
        <v>0</v>
      </c>
      <c r="BT447" s="607">
        <f t="shared" si="503"/>
        <v>0</v>
      </c>
      <c r="BU447" s="606">
        <f t="shared" si="504"/>
        <v>0</v>
      </c>
      <c r="BV447" s="607">
        <f t="shared" si="505"/>
        <v>1287</v>
      </c>
      <c r="BW447" s="608">
        <f t="shared" si="506"/>
        <v>1332</v>
      </c>
      <c r="BX447" s="607">
        <f t="shared" si="507"/>
        <v>0</v>
      </c>
      <c r="BY447" s="608">
        <f t="shared" si="508"/>
        <v>0</v>
      </c>
      <c r="BZ447" s="607">
        <f t="shared" si="509"/>
        <v>0</v>
      </c>
      <c r="CA447" s="608">
        <f t="shared" si="510"/>
        <v>0</v>
      </c>
      <c r="CB447" s="607">
        <f t="shared" si="511"/>
        <v>0</v>
      </c>
      <c r="CC447" s="608">
        <f t="shared" si="512"/>
        <v>0</v>
      </c>
      <c r="CD447" s="607">
        <f t="shared" si="513"/>
        <v>0</v>
      </c>
      <c r="CE447" s="608">
        <f t="shared" si="514"/>
        <v>0</v>
      </c>
      <c r="CF447" s="607">
        <f t="shared" si="515"/>
        <v>0</v>
      </c>
      <c r="CG447" s="608">
        <f t="shared" si="516"/>
        <v>0</v>
      </c>
      <c r="CH447" s="607">
        <f t="shared" si="517"/>
        <v>5491.7777777777774</v>
      </c>
      <c r="CI447" s="608">
        <f t="shared" si="518"/>
        <v>5637.9932432432433</v>
      </c>
      <c r="CJ447" s="607">
        <f t="shared" si="519"/>
        <v>0</v>
      </c>
      <c r="CK447" s="608">
        <f t="shared" si="520"/>
        <v>0</v>
      </c>
      <c r="CL447" s="609">
        <f t="shared" si="521"/>
        <v>0</v>
      </c>
      <c r="CM447" s="608">
        <f t="shared" si="522"/>
        <v>0</v>
      </c>
      <c r="CN447" s="610">
        <f t="shared" si="523"/>
        <v>0</v>
      </c>
      <c r="CO447" s="606">
        <f t="shared" si="524"/>
        <v>0</v>
      </c>
      <c r="CP447" s="607">
        <f t="shared" si="525"/>
        <v>0</v>
      </c>
      <c r="CQ447" s="606">
        <f t="shared" si="526"/>
        <v>0</v>
      </c>
      <c r="CR447" s="607">
        <f t="shared" si="527"/>
        <v>0</v>
      </c>
      <c r="CS447" s="606">
        <f t="shared" si="528"/>
        <v>0</v>
      </c>
      <c r="CT447" s="607">
        <f t="shared" si="529"/>
        <v>49426</v>
      </c>
      <c r="CU447" s="608">
        <f t="shared" si="530"/>
        <v>50741.939189189186</v>
      </c>
      <c r="CV447" s="610">
        <f t="shared" si="531"/>
        <v>0</v>
      </c>
      <c r="CW447" s="608">
        <f t="shared" si="532"/>
        <v>0</v>
      </c>
      <c r="CX447" s="610">
        <f t="shared" si="533"/>
        <v>49426</v>
      </c>
      <c r="CY447" s="611">
        <f t="shared" si="534"/>
        <v>50741.939189189186</v>
      </c>
      <c r="CZ447" s="605">
        <f t="shared" si="535"/>
        <v>0</v>
      </c>
      <c r="DA447" s="612">
        <f t="shared" si="536"/>
        <v>0</v>
      </c>
      <c r="DB447" s="607">
        <f t="shared" si="537"/>
        <v>0</v>
      </c>
      <c r="DC447" s="606">
        <f t="shared" si="538"/>
        <v>0</v>
      </c>
      <c r="DD447" s="607">
        <f t="shared" si="539"/>
        <v>0</v>
      </c>
      <c r="DE447" s="606">
        <f t="shared" si="540"/>
        <v>0</v>
      </c>
      <c r="DF447" s="607">
        <f t="shared" si="541"/>
        <v>0</v>
      </c>
      <c r="DG447" s="606">
        <f t="shared" si="542"/>
        <v>0</v>
      </c>
      <c r="DH447" s="607">
        <f t="shared" si="543"/>
        <v>143</v>
      </c>
      <c r="DI447" s="608">
        <f t="shared" si="544"/>
        <v>148</v>
      </c>
      <c r="DJ447" s="607">
        <f t="shared" si="545"/>
        <v>0</v>
      </c>
      <c r="DK447" s="608">
        <f t="shared" si="546"/>
        <v>0</v>
      </c>
      <c r="DL447" s="607">
        <f t="shared" si="547"/>
        <v>143</v>
      </c>
      <c r="DM447" s="608">
        <f t="shared" si="548"/>
        <v>148</v>
      </c>
      <c r="DN447" s="607">
        <f t="shared" si="549"/>
        <v>0</v>
      </c>
      <c r="DO447" s="612">
        <f t="shared" si="550"/>
        <v>0</v>
      </c>
      <c r="DP447" s="607">
        <f t="shared" si="551"/>
        <v>0</v>
      </c>
      <c r="DQ447" s="606">
        <f t="shared" si="552"/>
        <v>0</v>
      </c>
      <c r="DR447" s="607">
        <f t="shared" si="553"/>
        <v>0</v>
      </c>
      <c r="DS447" s="606">
        <f t="shared" si="554"/>
        <v>0</v>
      </c>
      <c r="DT447" s="607">
        <f t="shared" si="555"/>
        <v>0</v>
      </c>
      <c r="DU447" s="606">
        <f t="shared" si="556"/>
        <v>0</v>
      </c>
      <c r="DV447" s="607">
        <f t="shared" si="557"/>
        <v>7067918</v>
      </c>
      <c r="DW447" s="608">
        <f t="shared" si="558"/>
        <v>7509807</v>
      </c>
      <c r="DX447" s="607">
        <f t="shared" si="559"/>
        <v>0</v>
      </c>
      <c r="DY447" s="608">
        <f t="shared" si="560"/>
        <v>0</v>
      </c>
      <c r="DZ447" s="607">
        <f t="shared" si="561"/>
        <v>7067918</v>
      </c>
      <c r="EA447" s="608">
        <f t="shared" si="562"/>
        <v>7509807</v>
      </c>
    </row>
    <row r="448" spans="1:131" x14ac:dyDescent="0.2">
      <c r="A448" s="450" t="s">
        <v>21</v>
      </c>
      <c r="B448" s="448" t="s">
        <v>1005</v>
      </c>
      <c r="C448" s="579"/>
      <c r="D448" s="502">
        <v>218353</v>
      </c>
      <c r="E448" s="503">
        <v>8</v>
      </c>
      <c r="F448" s="598"/>
      <c r="G448" s="599"/>
      <c r="H448" s="600"/>
      <c r="I448" s="601"/>
      <c r="J448" s="600"/>
      <c r="K448" s="599"/>
      <c r="L448" s="600"/>
      <c r="M448" s="601"/>
      <c r="N448" s="600"/>
      <c r="O448" s="599"/>
      <c r="P448" s="600"/>
      <c r="Q448" s="601"/>
      <c r="R448" s="600"/>
      <c r="S448" s="599"/>
      <c r="T448" s="600"/>
      <c r="U448" s="601"/>
      <c r="V448" s="600"/>
      <c r="W448" s="599"/>
      <c r="X448" s="600"/>
      <c r="Y448" s="601"/>
      <c r="Z448" s="600"/>
      <c r="AA448" s="599"/>
      <c r="AB448" s="600"/>
      <c r="AC448" s="601"/>
      <c r="AD448" s="600"/>
      <c r="AE448" s="599"/>
      <c r="AF448" s="600"/>
      <c r="AG448" s="601"/>
      <c r="AH448" s="600"/>
      <c r="AI448" s="599"/>
      <c r="AJ448" s="600"/>
      <c r="AK448" s="601"/>
      <c r="AL448" s="600">
        <v>214</v>
      </c>
      <c r="AM448" s="599">
        <v>217</v>
      </c>
      <c r="AN448" s="600"/>
      <c r="AO448" s="601"/>
      <c r="AP448" s="600"/>
      <c r="AQ448" s="599"/>
      <c r="AR448" s="600"/>
      <c r="AS448" s="601"/>
      <c r="AT448" s="600"/>
      <c r="AU448" s="599"/>
      <c r="AV448" s="600"/>
      <c r="AW448" s="601"/>
      <c r="AX448" s="600"/>
      <c r="AY448" s="599"/>
      <c r="AZ448" s="600"/>
      <c r="BA448" s="601"/>
      <c r="BB448" s="602">
        <v>0</v>
      </c>
      <c r="BC448" s="599"/>
      <c r="BD448" s="600">
        <v>0</v>
      </c>
      <c r="BE448" s="599"/>
      <c r="BF448" s="600">
        <v>0</v>
      </c>
      <c r="BG448" s="599"/>
      <c r="BH448" s="600">
        <v>0</v>
      </c>
      <c r="BI448" s="599"/>
      <c r="BJ448" s="600">
        <v>10613330</v>
      </c>
      <c r="BK448" s="615">
        <v>11540476</v>
      </c>
      <c r="BL448" s="600">
        <v>0</v>
      </c>
      <c r="BM448" s="604"/>
      <c r="BN448" s="605">
        <f t="shared" si="497"/>
        <v>0</v>
      </c>
      <c r="BO448" s="606">
        <f t="shared" si="498"/>
        <v>0</v>
      </c>
      <c r="BP448" s="607">
        <f t="shared" si="499"/>
        <v>0</v>
      </c>
      <c r="BQ448" s="606">
        <f t="shared" si="500"/>
        <v>0</v>
      </c>
      <c r="BR448" s="607">
        <f t="shared" si="501"/>
        <v>0</v>
      </c>
      <c r="BS448" s="606">
        <f t="shared" si="502"/>
        <v>0</v>
      </c>
      <c r="BT448" s="607">
        <f t="shared" si="503"/>
        <v>0</v>
      </c>
      <c r="BU448" s="606">
        <f t="shared" si="504"/>
        <v>0</v>
      </c>
      <c r="BV448" s="607">
        <f t="shared" si="505"/>
        <v>1926</v>
      </c>
      <c r="BW448" s="608">
        <f t="shared" si="506"/>
        <v>1953</v>
      </c>
      <c r="BX448" s="607">
        <f t="shared" si="507"/>
        <v>0</v>
      </c>
      <c r="BY448" s="608">
        <f t="shared" si="508"/>
        <v>0</v>
      </c>
      <c r="BZ448" s="607">
        <f t="shared" si="509"/>
        <v>0</v>
      </c>
      <c r="CA448" s="608">
        <f t="shared" si="510"/>
        <v>0</v>
      </c>
      <c r="CB448" s="607">
        <f t="shared" si="511"/>
        <v>0</v>
      </c>
      <c r="CC448" s="608">
        <f t="shared" si="512"/>
        <v>0</v>
      </c>
      <c r="CD448" s="607">
        <f t="shared" si="513"/>
        <v>0</v>
      </c>
      <c r="CE448" s="608">
        <f t="shared" si="514"/>
        <v>0</v>
      </c>
      <c r="CF448" s="607">
        <f t="shared" si="515"/>
        <v>0</v>
      </c>
      <c r="CG448" s="608">
        <f t="shared" si="516"/>
        <v>0</v>
      </c>
      <c r="CH448" s="607">
        <f t="shared" si="517"/>
        <v>5510.5555555555557</v>
      </c>
      <c r="CI448" s="608">
        <f t="shared" si="518"/>
        <v>5909.1018945212491</v>
      </c>
      <c r="CJ448" s="607">
        <f t="shared" si="519"/>
        <v>0</v>
      </c>
      <c r="CK448" s="608">
        <f t="shared" si="520"/>
        <v>0</v>
      </c>
      <c r="CL448" s="609">
        <f t="shared" si="521"/>
        <v>0</v>
      </c>
      <c r="CM448" s="608">
        <f t="shared" si="522"/>
        <v>0</v>
      </c>
      <c r="CN448" s="610">
        <f t="shared" si="523"/>
        <v>0</v>
      </c>
      <c r="CO448" s="606">
        <f t="shared" si="524"/>
        <v>0</v>
      </c>
      <c r="CP448" s="607">
        <f t="shared" si="525"/>
        <v>0</v>
      </c>
      <c r="CQ448" s="606">
        <f t="shared" si="526"/>
        <v>0</v>
      </c>
      <c r="CR448" s="607">
        <f t="shared" si="527"/>
        <v>0</v>
      </c>
      <c r="CS448" s="606">
        <f t="shared" si="528"/>
        <v>0</v>
      </c>
      <c r="CT448" s="607">
        <f t="shared" si="529"/>
        <v>49595</v>
      </c>
      <c r="CU448" s="608">
        <f t="shared" si="530"/>
        <v>53181.917050691241</v>
      </c>
      <c r="CV448" s="610">
        <f t="shared" si="531"/>
        <v>0</v>
      </c>
      <c r="CW448" s="608">
        <f t="shared" si="532"/>
        <v>0</v>
      </c>
      <c r="CX448" s="610">
        <f t="shared" si="533"/>
        <v>49595</v>
      </c>
      <c r="CY448" s="611">
        <f t="shared" si="534"/>
        <v>53181.917050691241</v>
      </c>
      <c r="CZ448" s="605">
        <f t="shared" si="535"/>
        <v>0</v>
      </c>
      <c r="DA448" s="612">
        <f t="shared" si="536"/>
        <v>0</v>
      </c>
      <c r="DB448" s="607">
        <f t="shared" si="537"/>
        <v>0</v>
      </c>
      <c r="DC448" s="606">
        <f t="shared" si="538"/>
        <v>0</v>
      </c>
      <c r="DD448" s="607">
        <f t="shared" si="539"/>
        <v>0</v>
      </c>
      <c r="DE448" s="606">
        <f t="shared" si="540"/>
        <v>0</v>
      </c>
      <c r="DF448" s="607">
        <f t="shared" si="541"/>
        <v>0</v>
      </c>
      <c r="DG448" s="606">
        <f t="shared" si="542"/>
        <v>0</v>
      </c>
      <c r="DH448" s="607">
        <f t="shared" si="543"/>
        <v>214</v>
      </c>
      <c r="DI448" s="608">
        <f t="shared" si="544"/>
        <v>217</v>
      </c>
      <c r="DJ448" s="607">
        <f t="shared" si="545"/>
        <v>0</v>
      </c>
      <c r="DK448" s="608">
        <f t="shared" si="546"/>
        <v>0</v>
      </c>
      <c r="DL448" s="607">
        <f t="shared" si="547"/>
        <v>214</v>
      </c>
      <c r="DM448" s="608">
        <f t="shared" si="548"/>
        <v>217</v>
      </c>
      <c r="DN448" s="607">
        <f t="shared" si="549"/>
        <v>0</v>
      </c>
      <c r="DO448" s="612">
        <f t="shared" si="550"/>
        <v>0</v>
      </c>
      <c r="DP448" s="607">
        <f t="shared" si="551"/>
        <v>0</v>
      </c>
      <c r="DQ448" s="606">
        <f t="shared" si="552"/>
        <v>0</v>
      </c>
      <c r="DR448" s="607">
        <f t="shared" si="553"/>
        <v>0</v>
      </c>
      <c r="DS448" s="606">
        <f t="shared" si="554"/>
        <v>0</v>
      </c>
      <c r="DT448" s="607">
        <f t="shared" si="555"/>
        <v>0</v>
      </c>
      <c r="DU448" s="606">
        <f t="shared" si="556"/>
        <v>0</v>
      </c>
      <c r="DV448" s="607">
        <f t="shared" si="557"/>
        <v>10613330</v>
      </c>
      <c r="DW448" s="608">
        <f t="shared" si="558"/>
        <v>11540476</v>
      </c>
      <c r="DX448" s="607">
        <f t="shared" si="559"/>
        <v>0</v>
      </c>
      <c r="DY448" s="608">
        <f t="shared" si="560"/>
        <v>0</v>
      </c>
      <c r="DZ448" s="607">
        <f t="shared" si="561"/>
        <v>10613330</v>
      </c>
      <c r="EA448" s="608">
        <f t="shared" si="562"/>
        <v>11540476</v>
      </c>
    </row>
    <row r="449" spans="1:131" x14ac:dyDescent="0.2">
      <c r="A449" s="450" t="s">
        <v>21</v>
      </c>
      <c r="B449" s="459" t="s">
        <v>1006</v>
      </c>
      <c r="C449" s="580"/>
      <c r="D449" s="502">
        <v>218885</v>
      </c>
      <c r="E449" s="505">
        <v>8</v>
      </c>
      <c r="F449" s="598"/>
      <c r="G449" s="599"/>
      <c r="H449" s="600"/>
      <c r="I449" s="601"/>
      <c r="J449" s="600"/>
      <c r="K449" s="599"/>
      <c r="L449" s="600"/>
      <c r="M449" s="601"/>
      <c r="N449" s="600"/>
      <c r="O449" s="599"/>
      <c r="P449" s="600"/>
      <c r="Q449" s="601"/>
      <c r="R449" s="600"/>
      <c r="S449" s="599"/>
      <c r="T449" s="600"/>
      <c r="U449" s="601"/>
      <c r="V449" s="600"/>
      <c r="W449" s="599"/>
      <c r="X449" s="600"/>
      <c r="Y449" s="601"/>
      <c r="Z449" s="600"/>
      <c r="AA449" s="599"/>
      <c r="AB449" s="600"/>
      <c r="AC449" s="601"/>
      <c r="AD449" s="600"/>
      <c r="AE449" s="599"/>
      <c r="AF449" s="600"/>
      <c r="AG449" s="601"/>
      <c r="AH449" s="600"/>
      <c r="AI449" s="599"/>
      <c r="AJ449" s="600"/>
      <c r="AK449" s="601"/>
      <c r="AL449" s="600">
        <v>138</v>
      </c>
      <c r="AM449" s="599">
        <v>131</v>
      </c>
      <c r="AN449" s="600"/>
      <c r="AO449" s="601"/>
      <c r="AP449" s="600"/>
      <c r="AQ449" s="599"/>
      <c r="AR449" s="600"/>
      <c r="AS449" s="601"/>
      <c r="AT449" s="600"/>
      <c r="AU449" s="599"/>
      <c r="AV449" s="600"/>
      <c r="AW449" s="601"/>
      <c r="AX449" s="600"/>
      <c r="AY449" s="599"/>
      <c r="AZ449" s="600"/>
      <c r="BA449" s="601"/>
      <c r="BB449" s="602">
        <v>0</v>
      </c>
      <c r="BC449" s="599"/>
      <c r="BD449" s="600">
        <v>0</v>
      </c>
      <c r="BE449" s="599"/>
      <c r="BF449" s="600">
        <v>0</v>
      </c>
      <c r="BG449" s="599"/>
      <c r="BH449" s="600">
        <v>0</v>
      </c>
      <c r="BI449" s="599"/>
      <c r="BJ449" s="600">
        <v>5910402</v>
      </c>
      <c r="BK449" s="615">
        <v>5841791</v>
      </c>
      <c r="BL449" s="600">
        <v>0</v>
      </c>
      <c r="BM449" s="604"/>
      <c r="BN449" s="605">
        <f t="shared" si="497"/>
        <v>0</v>
      </c>
      <c r="BO449" s="606">
        <f t="shared" si="498"/>
        <v>0</v>
      </c>
      <c r="BP449" s="607">
        <f t="shared" si="499"/>
        <v>0</v>
      </c>
      <c r="BQ449" s="606">
        <f t="shared" si="500"/>
        <v>0</v>
      </c>
      <c r="BR449" s="607">
        <f t="shared" si="501"/>
        <v>0</v>
      </c>
      <c r="BS449" s="606">
        <f t="shared" si="502"/>
        <v>0</v>
      </c>
      <c r="BT449" s="607">
        <f t="shared" si="503"/>
        <v>0</v>
      </c>
      <c r="BU449" s="606">
        <f t="shared" si="504"/>
        <v>0</v>
      </c>
      <c r="BV449" s="607">
        <f t="shared" si="505"/>
        <v>1242</v>
      </c>
      <c r="BW449" s="608">
        <f t="shared" si="506"/>
        <v>1179</v>
      </c>
      <c r="BX449" s="607">
        <f t="shared" si="507"/>
        <v>0</v>
      </c>
      <c r="BY449" s="608">
        <f t="shared" si="508"/>
        <v>0</v>
      </c>
      <c r="BZ449" s="607">
        <f t="shared" si="509"/>
        <v>0</v>
      </c>
      <c r="CA449" s="608">
        <f t="shared" si="510"/>
        <v>0</v>
      </c>
      <c r="CB449" s="607">
        <f t="shared" si="511"/>
        <v>0</v>
      </c>
      <c r="CC449" s="608">
        <f t="shared" si="512"/>
        <v>0</v>
      </c>
      <c r="CD449" s="607">
        <f t="shared" si="513"/>
        <v>0</v>
      </c>
      <c r="CE449" s="608">
        <f t="shared" si="514"/>
        <v>0</v>
      </c>
      <c r="CF449" s="607">
        <f t="shared" si="515"/>
        <v>0</v>
      </c>
      <c r="CG449" s="608">
        <f t="shared" si="516"/>
        <v>0</v>
      </c>
      <c r="CH449" s="607">
        <f t="shared" si="517"/>
        <v>4758.7777777777774</v>
      </c>
      <c r="CI449" s="608">
        <f t="shared" si="518"/>
        <v>4954.8693808312128</v>
      </c>
      <c r="CJ449" s="607">
        <f t="shared" si="519"/>
        <v>0</v>
      </c>
      <c r="CK449" s="608">
        <f t="shared" si="520"/>
        <v>0</v>
      </c>
      <c r="CL449" s="609">
        <f t="shared" si="521"/>
        <v>0</v>
      </c>
      <c r="CM449" s="608">
        <f t="shared" si="522"/>
        <v>0</v>
      </c>
      <c r="CN449" s="610">
        <f t="shared" si="523"/>
        <v>0</v>
      </c>
      <c r="CO449" s="606">
        <f t="shared" si="524"/>
        <v>0</v>
      </c>
      <c r="CP449" s="607">
        <f t="shared" si="525"/>
        <v>0</v>
      </c>
      <c r="CQ449" s="606">
        <f t="shared" si="526"/>
        <v>0</v>
      </c>
      <c r="CR449" s="607">
        <f t="shared" si="527"/>
        <v>0</v>
      </c>
      <c r="CS449" s="606">
        <f t="shared" si="528"/>
        <v>0</v>
      </c>
      <c r="CT449" s="607">
        <f t="shared" si="529"/>
        <v>42829</v>
      </c>
      <c r="CU449" s="608">
        <f t="shared" si="530"/>
        <v>44593.824427480911</v>
      </c>
      <c r="CV449" s="610">
        <f t="shared" si="531"/>
        <v>0</v>
      </c>
      <c r="CW449" s="608">
        <f t="shared" si="532"/>
        <v>0</v>
      </c>
      <c r="CX449" s="610">
        <f t="shared" si="533"/>
        <v>42829</v>
      </c>
      <c r="CY449" s="611">
        <f t="shared" si="534"/>
        <v>44593.824427480911</v>
      </c>
      <c r="CZ449" s="605">
        <f t="shared" si="535"/>
        <v>0</v>
      </c>
      <c r="DA449" s="612">
        <f t="shared" si="536"/>
        <v>0</v>
      </c>
      <c r="DB449" s="607">
        <f t="shared" si="537"/>
        <v>0</v>
      </c>
      <c r="DC449" s="606">
        <f t="shared" si="538"/>
        <v>0</v>
      </c>
      <c r="DD449" s="607">
        <f t="shared" si="539"/>
        <v>0</v>
      </c>
      <c r="DE449" s="606">
        <f t="shared" si="540"/>
        <v>0</v>
      </c>
      <c r="DF449" s="607">
        <f t="shared" si="541"/>
        <v>0</v>
      </c>
      <c r="DG449" s="606">
        <f t="shared" si="542"/>
        <v>0</v>
      </c>
      <c r="DH449" s="607">
        <f t="shared" si="543"/>
        <v>138</v>
      </c>
      <c r="DI449" s="608">
        <f t="shared" si="544"/>
        <v>131</v>
      </c>
      <c r="DJ449" s="607">
        <f t="shared" si="545"/>
        <v>0</v>
      </c>
      <c r="DK449" s="608">
        <f t="shared" si="546"/>
        <v>0</v>
      </c>
      <c r="DL449" s="607">
        <f t="shared" si="547"/>
        <v>138</v>
      </c>
      <c r="DM449" s="608">
        <f t="shared" si="548"/>
        <v>131</v>
      </c>
      <c r="DN449" s="607">
        <f t="shared" si="549"/>
        <v>0</v>
      </c>
      <c r="DO449" s="612">
        <f t="shared" si="550"/>
        <v>0</v>
      </c>
      <c r="DP449" s="607">
        <f t="shared" si="551"/>
        <v>0</v>
      </c>
      <c r="DQ449" s="606">
        <f t="shared" si="552"/>
        <v>0</v>
      </c>
      <c r="DR449" s="607">
        <f t="shared" si="553"/>
        <v>0</v>
      </c>
      <c r="DS449" s="606">
        <f t="shared" si="554"/>
        <v>0</v>
      </c>
      <c r="DT449" s="607">
        <f t="shared" si="555"/>
        <v>0</v>
      </c>
      <c r="DU449" s="606">
        <f t="shared" si="556"/>
        <v>0</v>
      </c>
      <c r="DV449" s="607">
        <f t="shared" si="557"/>
        <v>5910402</v>
      </c>
      <c r="DW449" s="608">
        <f t="shared" si="558"/>
        <v>5841790.9999999991</v>
      </c>
      <c r="DX449" s="607">
        <f t="shared" si="559"/>
        <v>0</v>
      </c>
      <c r="DY449" s="608">
        <f t="shared" si="560"/>
        <v>0</v>
      </c>
      <c r="DZ449" s="607">
        <f t="shared" si="561"/>
        <v>5910402</v>
      </c>
      <c r="EA449" s="608">
        <f t="shared" si="562"/>
        <v>5841790.9999999991</v>
      </c>
    </row>
    <row r="450" spans="1:131" x14ac:dyDescent="0.2">
      <c r="A450" s="450" t="s">
        <v>21</v>
      </c>
      <c r="B450" s="448" t="s">
        <v>1007</v>
      </c>
      <c r="C450" s="579"/>
      <c r="D450" s="502">
        <v>218894</v>
      </c>
      <c r="E450" s="503">
        <v>8</v>
      </c>
      <c r="F450" s="598"/>
      <c r="G450" s="599"/>
      <c r="H450" s="600"/>
      <c r="I450" s="601"/>
      <c r="J450" s="600"/>
      <c r="K450" s="599"/>
      <c r="L450" s="600"/>
      <c r="M450" s="601"/>
      <c r="N450" s="600"/>
      <c r="O450" s="599"/>
      <c r="P450" s="600"/>
      <c r="Q450" s="601"/>
      <c r="R450" s="600"/>
      <c r="S450" s="599"/>
      <c r="T450" s="600"/>
      <c r="U450" s="601"/>
      <c r="V450" s="600"/>
      <c r="W450" s="599"/>
      <c r="X450" s="600"/>
      <c r="Y450" s="601"/>
      <c r="Z450" s="600"/>
      <c r="AA450" s="599"/>
      <c r="AB450" s="600"/>
      <c r="AC450" s="601"/>
      <c r="AD450" s="600"/>
      <c r="AE450" s="599"/>
      <c r="AF450" s="600"/>
      <c r="AG450" s="601"/>
      <c r="AH450" s="600"/>
      <c r="AI450" s="599"/>
      <c r="AJ450" s="600"/>
      <c r="AK450" s="601"/>
      <c r="AL450" s="600">
        <v>316</v>
      </c>
      <c r="AM450" s="599">
        <v>326</v>
      </c>
      <c r="AN450" s="600"/>
      <c r="AO450" s="601"/>
      <c r="AP450" s="600"/>
      <c r="AQ450" s="599"/>
      <c r="AR450" s="600"/>
      <c r="AS450" s="601"/>
      <c r="AT450" s="600"/>
      <c r="AU450" s="599"/>
      <c r="AV450" s="600"/>
      <c r="AW450" s="601"/>
      <c r="AX450" s="600"/>
      <c r="AY450" s="599"/>
      <c r="AZ450" s="600"/>
      <c r="BA450" s="601"/>
      <c r="BB450" s="602">
        <v>0</v>
      </c>
      <c r="BC450" s="599"/>
      <c r="BD450" s="600">
        <v>0</v>
      </c>
      <c r="BE450" s="599"/>
      <c r="BF450" s="600">
        <v>0</v>
      </c>
      <c r="BG450" s="599"/>
      <c r="BH450" s="600">
        <v>0</v>
      </c>
      <c r="BI450" s="599"/>
      <c r="BJ450" s="600">
        <v>15089632</v>
      </c>
      <c r="BK450" s="615">
        <v>15864962</v>
      </c>
      <c r="BL450" s="600">
        <v>0</v>
      </c>
      <c r="BM450" s="604"/>
      <c r="BN450" s="605">
        <f t="shared" si="497"/>
        <v>0</v>
      </c>
      <c r="BO450" s="606">
        <f t="shared" si="498"/>
        <v>0</v>
      </c>
      <c r="BP450" s="607">
        <f t="shared" si="499"/>
        <v>0</v>
      </c>
      <c r="BQ450" s="606">
        <f t="shared" si="500"/>
        <v>0</v>
      </c>
      <c r="BR450" s="607">
        <f t="shared" si="501"/>
        <v>0</v>
      </c>
      <c r="BS450" s="606">
        <f t="shared" si="502"/>
        <v>0</v>
      </c>
      <c r="BT450" s="607">
        <f t="shared" si="503"/>
        <v>0</v>
      </c>
      <c r="BU450" s="606">
        <f t="shared" si="504"/>
        <v>0</v>
      </c>
      <c r="BV450" s="607">
        <f t="shared" si="505"/>
        <v>2844</v>
      </c>
      <c r="BW450" s="608">
        <f t="shared" si="506"/>
        <v>2934</v>
      </c>
      <c r="BX450" s="607">
        <f t="shared" si="507"/>
        <v>0</v>
      </c>
      <c r="BY450" s="608">
        <f t="shared" si="508"/>
        <v>0</v>
      </c>
      <c r="BZ450" s="607">
        <f t="shared" si="509"/>
        <v>0</v>
      </c>
      <c r="CA450" s="608">
        <f t="shared" si="510"/>
        <v>0</v>
      </c>
      <c r="CB450" s="607">
        <f t="shared" si="511"/>
        <v>0</v>
      </c>
      <c r="CC450" s="608">
        <f t="shared" si="512"/>
        <v>0</v>
      </c>
      <c r="CD450" s="607">
        <f t="shared" si="513"/>
        <v>0</v>
      </c>
      <c r="CE450" s="608">
        <f t="shared" si="514"/>
        <v>0</v>
      </c>
      <c r="CF450" s="607">
        <f t="shared" si="515"/>
        <v>0</v>
      </c>
      <c r="CG450" s="608">
        <f t="shared" si="516"/>
        <v>0</v>
      </c>
      <c r="CH450" s="607">
        <f t="shared" si="517"/>
        <v>5305.7777777777774</v>
      </c>
      <c r="CI450" s="608">
        <f t="shared" si="518"/>
        <v>5407.2808452624404</v>
      </c>
      <c r="CJ450" s="607">
        <f t="shared" si="519"/>
        <v>0</v>
      </c>
      <c r="CK450" s="608">
        <f t="shared" si="520"/>
        <v>0</v>
      </c>
      <c r="CL450" s="609">
        <f t="shared" si="521"/>
        <v>0</v>
      </c>
      <c r="CM450" s="608">
        <f t="shared" si="522"/>
        <v>0</v>
      </c>
      <c r="CN450" s="610">
        <f t="shared" si="523"/>
        <v>0</v>
      </c>
      <c r="CO450" s="606">
        <f t="shared" si="524"/>
        <v>0</v>
      </c>
      <c r="CP450" s="607">
        <f t="shared" si="525"/>
        <v>0</v>
      </c>
      <c r="CQ450" s="606">
        <f t="shared" si="526"/>
        <v>0</v>
      </c>
      <c r="CR450" s="607">
        <f t="shared" si="527"/>
        <v>0</v>
      </c>
      <c r="CS450" s="606">
        <f t="shared" si="528"/>
        <v>0</v>
      </c>
      <c r="CT450" s="607">
        <f t="shared" si="529"/>
        <v>47752</v>
      </c>
      <c r="CU450" s="608">
        <f t="shared" si="530"/>
        <v>48665.527607361961</v>
      </c>
      <c r="CV450" s="610">
        <f t="shared" si="531"/>
        <v>0</v>
      </c>
      <c r="CW450" s="608">
        <f t="shared" si="532"/>
        <v>0</v>
      </c>
      <c r="CX450" s="610">
        <f t="shared" si="533"/>
        <v>47752</v>
      </c>
      <c r="CY450" s="611">
        <f t="shared" si="534"/>
        <v>48665.527607361961</v>
      </c>
      <c r="CZ450" s="605">
        <f t="shared" si="535"/>
        <v>0</v>
      </c>
      <c r="DA450" s="612">
        <f t="shared" si="536"/>
        <v>0</v>
      </c>
      <c r="DB450" s="607">
        <f t="shared" si="537"/>
        <v>0</v>
      </c>
      <c r="DC450" s="606">
        <f t="shared" si="538"/>
        <v>0</v>
      </c>
      <c r="DD450" s="607">
        <f t="shared" si="539"/>
        <v>0</v>
      </c>
      <c r="DE450" s="606">
        <f t="shared" si="540"/>
        <v>0</v>
      </c>
      <c r="DF450" s="607">
        <f t="shared" si="541"/>
        <v>0</v>
      </c>
      <c r="DG450" s="606">
        <f t="shared" si="542"/>
        <v>0</v>
      </c>
      <c r="DH450" s="607">
        <f t="shared" si="543"/>
        <v>316</v>
      </c>
      <c r="DI450" s="608">
        <f t="shared" si="544"/>
        <v>326</v>
      </c>
      <c r="DJ450" s="607">
        <f t="shared" si="545"/>
        <v>0</v>
      </c>
      <c r="DK450" s="608">
        <f t="shared" si="546"/>
        <v>0</v>
      </c>
      <c r="DL450" s="607">
        <f t="shared" si="547"/>
        <v>316</v>
      </c>
      <c r="DM450" s="608">
        <f t="shared" si="548"/>
        <v>326</v>
      </c>
      <c r="DN450" s="607">
        <f t="shared" si="549"/>
        <v>0</v>
      </c>
      <c r="DO450" s="612">
        <f t="shared" si="550"/>
        <v>0</v>
      </c>
      <c r="DP450" s="607">
        <f t="shared" si="551"/>
        <v>0</v>
      </c>
      <c r="DQ450" s="606">
        <f t="shared" si="552"/>
        <v>0</v>
      </c>
      <c r="DR450" s="607">
        <f t="shared" si="553"/>
        <v>0</v>
      </c>
      <c r="DS450" s="606">
        <f t="shared" si="554"/>
        <v>0</v>
      </c>
      <c r="DT450" s="607">
        <f t="shared" si="555"/>
        <v>0</v>
      </c>
      <c r="DU450" s="606">
        <f t="shared" si="556"/>
        <v>0</v>
      </c>
      <c r="DV450" s="607">
        <f t="shared" si="557"/>
        <v>15089632</v>
      </c>
      <c r="DW450" s="608">
        <f t="shared" si="558"/>
        <v>15864962</v>
      </c>
      <c r="DX450" s="607">
        <f t="shared" si="559"/>
        <v>0</v>
      </c>
      <c r="DY450" s="608">
        <f t="shared" si="560"/>
        <v>0</v>
      </c>
      <c r="DZ450" s="607">
        <f t="shared" si="561"/>
        <v>15089632</v>
      </c>
      <c r="EA450" s="608">
        <f t="shared" si="562"/>
        <v>15864962</v>
      </c>
    </row>
    <row r="451" spans="1:131" x14ac:dyDescent="0.2">
      <c r="A451" s="450" t="s">
        <v>21</v>
      </c>
      <c r="B451" s="456" t="s">
        <v>1008</v>
      </c>
      <c r="C451" s="560"/>
      <c r="D451" s="502">
        <v>217615</v>
      </c>
      <c r="E451" s="503">
        <v>9</v>
      </c>
      <c r="F451" s="598"/>
      <c r="G451" s="599"/>
      <c r="H451" s="600"/>
      <c r="I451" s="601"/>
      <c r="J451" s="600"/>
      <c r="K451" s="599"/>
      <c r="L451" s="600"/>
      <c r="M451" s="601"/>
      <c r="N451" s="600"/>
      <c r="O451" s="599"/>
      <c r="P451" s="600"/>
      <c r="Q451" s="601"/>
      <c r="R451" s="600"/>
      <c r="S451" s="599"/>
      <c r="T451" s="600"/>
      <c r="U451" s="601"/>
      <c r="V451" s="600"/>
      <c r="W451" s="599"/>
      <c r="X451" s="600"/>
      <c r="Y451" s="601"/>
      <c r="Z451" s="600"/>
      <c r="AA451" s="599"/>
      <c r="AB451" s="600"/>
      <c r="AC451" s="601"/>
      <c r="AD451" s="600"/>
      <c r="AE451" s="599"/>
      <c r="AF451" s="600"/>
      <c r="AG451" s="601"/>
      <c r="AH451" s="600"/>
      <c r="AI451" s="599"/>
      <c r="AJ451" s="600"/>
      <c r="AK451" s="601"/>
      <c r="AL451" s="600">
        <v>56</v>
      </c>
      <c r="AM451" s="599">
        <v>57</v>
      </c>
      <c r="AN451" s="600"/>
      <c r="AO451" s="601"/>
      <c r="AP451" s="600"/>
      <c r="AQ451" s="599"/>
      <c r="AR451" s="600"/>
      <c r="AS451" s="601"/>
      <c r="AT451" s="600"/>
      <c r="AU451" s="599"/>
      <c r="AV451" s="600"/>
      <c r="AW451" s="601"/>
      <c r="AX451" s="600"/>
      <c r="AY451" s="599"/>
      <c r="AZ451" s="600"/>
      <c r="BA451" s="601"/>
      <c r="BB451" s="602">
        <v>0</v>
      </c>
      <c r="BC451" s="599"/>
      <c r="BD451" s="600">
        <v>0</v>
      </c>
      <c r="BE451" s="599"/>
      <c r="BF451" s="600">
        <v>0</v>
      </c>
      <c r="BG451" s="599"/>
      <c r="BH451" s="600">
        <v>0</v>
      </c>
      <c r="BI451" s="599"/>
      <c r="BJ451" s="600">
        <v>2648912</v>
      </c>
      <c r="BK451" s="615">
        <v>2837944</v>
      </c>
      <c r="BL451" s="600">
        <v>0</v>
      </c>
      <c r="BM451" s="604"/>
      <c r="BN451" s="605">
        <f t="shared" si="497"/>
        <v>0</v>
      </c>
      <c r="BO451" s="606">
        <f t="shared" si="498"/>
        <v>0</v>
      </c>
      <c r="BP451" s="607">
        <f t="shared" si="499"/>
        <v>0</v>
      </c>
      <c r="BQ451" s="606">
        <f t="shared" si="500"/>
        <v>0</v>
      </c>
      <c r="BR451" s="607">
        <f t="shared" si="501"/>
        <v>0</v>
      </c>
      <c r="BS451" s="606">
        <f t="shared" si="502"/>
        <v>0</v>
      </c>
      <c r="BT451" s="607">
        <f t="shared" si="503"/>
        <v>0</v>
      </c>
      <c r="BU451" s="606">
        <f t="shared" si="504"/>
        <v>0</v>
      </c>
      <c r="BV451" s="607">
        <f t="shared" si="505"/>
        <v>504</v>
      </c>
      <c r="BW451" s="608">
        <f t="shared" si="506"/>
        <v>513</v>
      </c>
      <c r="BX451" s="607">
        <f t="shared" si="507"/>
        <v>0</v>
      </c>
      <c r="BY451" s="608">
        <f t="shared" si="508"/>
        <v>0</v>
      </c>
      <c r="BZ451" s="607">
        <f t="shared" si="509"/>
        <v>0</v>
      </c>
      <c r="CA451" s="608">
        <f t="shared" si="510"/>
        <v>0</v>
      </c>
      <c r="CB451" s="607">
        <f t="shared" si="511"/>
        <v>0</v>
      </c>
      <c r="CC451" s="608">
        <f t="shared" si="512"/>
        <v>0</v>
      </c>
      <c r="CD451" s="607">
        <f t="shared" si="513"/>
        <v>0</v>
      </c>
      <c r="CE451" s="608">
        <f t="shared" si="514"/>
        <v>0</v>
      </c>
      <c r="CF451" s="607">
        <f t="shared" si="515"/>
        <v>0</v>
      </c>
      <c r="CG451" s="608">
        <f t="shared" si="516"/>
        <v>0</v>
      </c>
      <c r="CH451" s="607">
        <f t="shared" si="517"/>
        <v>5255.7777777777774</v>
      </c>
      <c r="CI451" s="608">
        <f t="shared" si="518"/>
        <v>5532.0545808966863</v>
      </c>
      <c r="CJ451" s="607">
        <f t="shared" si="519"/>
        <v>0</v>
      </c>
      <c r="CK451" s="608">
        <f t="shared" si="520"/>
        <v>0</v>
      </c>
      <c r="CL451" s="609">
        <f t="shared" si="521"/>
        <v>0</v>
      </c>
      <c r="CM451" s="608">
        <f t="shared" si="522"/>
        <v>0</v>
      </c>
      <c r="CN451" s="610">
        <f t="shared" si="523"/>
        <v>0</v>
      </c>
      <c r="CO451" s="606">
        <f t="shared" si="524"/>
        <v>0</v>
      </c>
      <c r="CP451" s="607">
        <f t="shared" si="525"/>
        <v>0</v>
      </c>
      <c r="CQ451" s="606">
        <f t="shared" si="526"/>
        <v>0</v>
      </c>
      <c r="CR451" s="607">
        <f t="shared" si="527"/>
        <v>0</v>
      </c>
      <c r="CS451" s="606">
        <f t="shared" si="528"/>
        <v>0</v>
      </c>
      <c r="CT451" s="607">
        <f t="shared" si="529"/>
        <v>47302</v>
      </c>
      <c r="CU451" s="608">
        <f t="shared" si="530"/>
        <v>49788.491228070176</v>
      </c>
      <c r="CV451" s="610">
        <f t="shared" si="531"/>
        <v>0</v>
      </c>
      <c r="CW451" s="608">
        <f t="shared" si="532"/>
        <v>0</v>
      </c>
      <c r="CX451" s="610">
        <f t="shared" si="533"/>
        <v>47302</v>
      </c>
      <c r="CY451" s="611">
        <f t="shared" si="534"/>
        <v>49788.491228070176</v>
      </c>
      <c r="CZ451" s="605">
        <f t="shared" si="535"/>
        <v>0</v>
      </c>
      <c r="DA451" s="612">
        <f t="shared" si="536"/>
        <v>0</v>
      </c>
      <c r="DB451" s="607">
        <f t="shared" si="537"/>
        <v>0</v>
      </c>
      <c r="DC451" s="606">
        <f t="shared" si="538"/>
        <v>0</v>
      </c>
      <c r="DD451" s="607">
        <f t="shared" si="539"/>
        <v>0</v>
      </c>
      <c r="DE451" s="606">
        <f t="shared" si="540"/>
        <v>0</v>
      </c>
      <c r="DF451" s="607">
        <f t="shared" si="541"/>
        <v>0</v>
      </c>
      <c r="DG451" s="606">
        <f t="shared" si="542"/>
        <v>0</v>
      </c>
      <c r="DH451" s="607">
        <f t="shared" si="543"/>
        <v>56</v>
      </c>
      <c r="DI451" s="608">
        <f t="shared" si="544"/>
        <v>57</v>
      </c>
      <c r="DJ451" s="607">
        <f t="shared" si="545"/>
        <v>0</v>
      </c>
      <c r="DK451" s="608">
        <f t="shared" si="546"/>
        <v>0</v>
      </c>
      <c r="DL451" s="607">
        <f t="shared" si="547"/>
        <v>56</v>
      </c>
      <c r="DM451" s="608">
        <f t="shared" si="548"/>
        <v>57</v>
      </c>
      <c r="DN451" s="607">
        <f t="shared" si="549"/>
        <v>0</v>
      </c>
      <c r="DO451" s="612">
        <f t="shared" si="550"/>
        <v>0</v>
      </c>
      <c r="DP451" s="607">
        <f t="shared" si="551"/>
        <v>0</v>
      </c>
      <c r="DQ451" s="606">
        <f t="shared" si="552"/>
        <v>0</v>
      </c>
      <c r="DR451" s="607">
        <f t="shared" si="553"/>
        <v>0</v>
      </c>
      <c r="DS451" s="606">
        <f t="shared" si="554"/>
        <v>0</v>
      </c>
      <c r="DT451" s="607">
        <f t="shared" si="555"/>
        <v>0</v>
      </c>
      <c r="DU451" s="606">
        <f t="shared" si="556"/>
        <v>0</v>
      </c>
      <c r="DV451" s="607">
        <f t="shared" si="557"/>
        <v>2648912</v>
      </c>
      <c r="DW451" s="608">
        <f t="shared" si="558"/>
        <v>2837944</v>
      </c>
      <c r="DX451" s="607">
        <f t="shared" si="559"/>
        <v>0</v>
      </c>
      <c r="DY451" s="608">
        <f t="shared" si="560"/>
        <v>0</v>
      </c>
      <c r="DZ451" s="607">
        <f t="shared" si="561"/>
        <v>2648912</v>
      </c>
      <c r="EA451" s="608">
        <f t="shared" si="562"/>
        <v>2837944</v>
      </c>
    </row>
    <row r="452" spans="1:131" x14ac:dyDescent="0.2">
      <c r="A452" s="450" t="s">
        <v>21</v>
      </c>
      <c r="B452" s="448" t="s">
        <v>1009</v>
      </c>
      <c r="C452" s="579"/>
      <c r="D452" s="502">
        <v>218858</v>
      </c>
      <c r="E452" s="503">
        <v>9</v>
      </c>
      <c r="F452" s="598"/>
      <c r="G452" s="599"/>
      <c r="H452" s="600"/>
      <c r="I452" s="601"/>
      <c r="J452" s="600"/>
      <c r="K452" s="599"/>
      <c r="L452" s="600"/>
      <c r="M452" s="601"/>
      <c r="N452" s="600"/>
      <c r="O452" s="599"/>
      <c r="P452" s="600"/>
      <c r="Q452" s="601"/>
      <c r="R452" s="600"/>
      <c r="S452" s="599"/>
      <c r="T452" s="600"/>
      <c r="U452" s="601"/>
      <c r="V452" s="600"/>
      <c r="W452" s="599"/>
      <c r="X452" s="600"/>
      <c r="Y452" s="601"/>
      <c r="Z452" s="600"/>
      <c r="AA452" s="599"/>
      <c r="AB452" s="600"/>
      <c r="AC452" s="601"/>
      <c r="AD452" s="600"/>
      <c r="AE452" s="599"/>
      <c r="AF452" s="600"/>
      <c r="AG452" s="601"/>
      <c r="AH452" s="600"/>
      <c r="AI452" s="599"/>
      <c r="AJ452" s="600"/>
      <c r="AK452" s="601"/>
      <c r="AL452" s="600">
        <v>99</v>
      </c>
      <c r="AM452" s="599">
        <v>100</v>
      </c>
      <c r="AN452" s="600"/>
      <c r="AO452" s="601"/>
      <c r="AP452" s="600"/>
      <c r="AQ452" s="599"/>
      <c r="AR452" s="600"/>
      <c r="AS452" s="601"/>
      <c r="AT452" s="600"/>
      <c r="AU452" s="599"/>
      <c r="AV452" s="600"/>
      <c r="AW452" s="601"/>
      <c r="AX452" s="600"/>
      <c r="AY452" s="599"/>
      <c r="AZ452" s="600"/>
      <c r="BA452" s="601"/>
      <c r="BB452" s="602">
        <v>0</v>
      </c>
      <c r="BC452" s="599"/>
      <c r="BD452" s="600">
        <v>0</v>
      </c>
      <c r="BE452" s="599"/>
      <c r="BF452" s="600">
        <v>0</v>
      </c>
      <c r="BG452" s="599"/>
      <c r="BH452" s="600">
        <v>0</v>
      </c>
      <c r="BI452" s="599"/>
      <c r="BJ452" s="600">
        <v>4495887</v>
      </c>
      <c r="BK452" s="615">
        <v>4639255</v>
      </c>
      <c r="BL452" s="600">
        <v>0</v>
      </c>
      <c r="BM452" s="604"/>
      <c r="BN452" s="605">
        <f t="shared" si="497"/>
        <v>0</v>
      </c>
      <c r="BO452" s="606">
        <f t="shared" si="498"/>
        <v>0</v>
      </c>
      <c r="BP452" s="607">
        <f t="shared" si="499"/>
        <v>0</v>
      </c>
      <c r="BQ452" s="606">
        <f t="shared" si="500"/>
        <v>0</v>
      </c>
      <c r="BR452" s="607">
        <f t="shared" si="501"/>
        <v>0</v>
      </c>
      <c r="BS452" s="606">
        <f t="shared" si="502"/>
        <v>0</v>
      </c>
      <c r="BT452" s="607">
        <f t="shared" si="503"/>
        <v>0</v>
      </c>
      <c r="BU452" s="606">
        <f t="shared" si="504"/>
        <v>0</v>
      </c>
      <c r="BV452" s="607">
        <f t="shared" si="505"/>
        <v>891</v>
      </c>
      <c r="BW452" s="608">
        <f t="shared" si="506"/>
        <v>900</v>
      </c>
      <c r="BX452" s="607">
        <f t="shared" si="507"/>
        <v>0</v>
      </c>
      <c r="BY452" s="608">
        <f t="shared" si="508"/>
        <v>0</v>
      </c>
      <c r="BZ452" s="607">
        <f t="shared" si="509"/>
        <v>0</v>
      </c>
      <c r="CA452" s="608">
        <f t="shared" si="510"/>
        <v>0</v>
      </c>
      <c r="CB452" s="607">
        <f t="shared" si="511"/>
        <v>0</v>
      </c>
      <c r="CC452" s="608">
        <f t="shared" si="512"/>
        <v>0</v>
      </c>
      <c r="CD452" s="607">
        <f t="shared" si="513"/>
        <v>0</v>
      </c>
      <c r="CE452" s="608">
        <f t="shared" si="514"/>
        <v>0</v>
      </c>
      <c r="CF452" s="607">
        <f t="shared" si="515"/>
        <v>0</v>
      </c>
      <c r="CG452" s="608">
        <f t="shared" si="516"/>
        <v>0</v>
      </c>
      <c r="CH452" s="607">
        <f t="shared" si="517"/>
        <v>5045.8888888888887</v>
      </c>
      <c r="CI452" s="608">
        <f t="shared" si="518"/>
        <v>5154.7277777777781</v>
      </c>
      <c r="CJ452" s="607">
        <f t="shared" si="519"/>
        <v>0</v>
      </c>
      <c r="CK452" s="608">
        <f t="shared" si="520"/>
        <v>0</v>
      </c>
      <c r="CL452" s="609">
        <f t="shared" si="521"/>
        <v>0</v>
      </c>
      <c r="CM452" s="608">
        <f t="shared" si="522"/>
        <v>0</v>
      </c>
      <c r="CN452" s="610">
        <f t="shared" si="523"/>
        <v>0</v>
      </c>
      <c r="CO452" s="606">
        <f t="shared" si="524"/>
        <v>0</v>
      </c>
      <c r="CP452" s="607">
        <f t="shared" si="525"/>
        <v>0</v>
      </c>
      <c r="CQ452" s="606">
        <f t="shared" si="526"/>
        <v>0</v>
      </c>
      <c r="CR452" s="607">
        <f t="shared" si="527"/>
        <v>0</v>
      </c>
      <c r="CS452" s="606">
        <f t="shared" si="528"/>
        <v>0</v>
      </c>
      <c r="CT452" s="607">
        <f t="shared" si="529"/>
        <v>45413</v>
      </c>
      <c r="CU452" s="608">
        <f t="shared" si="530"/>
        <v>46392.55</v>
      </c>
      <c r="CV452" s="610">
        <f t="shared" si="531"/>
        <v>0</v>
      </c>
      <c r="CW452" s="608">
        <f t="shared" si="532"/>
        <v>0</v>
      </c>
      <c r="CX452" s="610">
        <f t="shared" si="533"/>
        <v>45413</v>
      </c>
      <c r="CY452" s="611">
        <f t="shared" si="534"/>
        <v>46392.55</v>
      </c>
      <c r="CZ452" s="605">
        <f t="shared" si="535"/>
        <v>0</v>
      </c>
      <c r="DA452" s="612">
        <f t="shared" si="536"/>
        <v>0</v>
      </c>
      <c r="DB452" s="607">
        <f t="shared" si="537"/>
        <v>0</v>
      </c>
      <c r="DC452" s="606">
        <f t="shared" si="538"/>
        <v>0</v>
      </c>
      <c r="DD452" s="607">
        <f t="shared" si="539"/>
        <v>0</v>
      </c>
      <c r="DE452" s="606">
        <f t="shared" si="540"/>
        <v>0</v>
      </c>
      <c r="DF452" s="607">
        <f t="shared" si="541"/>
        <v>0</v>
      </c>
      <c r="DG452" s="606">
        <f t="shared" si="542"/>
        <v>0</v>
      </c>
      <c r="DH452" s="607">
        <f t="shared" si="543"/>
        <v>99</v>
      </c>
      <c r="DI452" s="608">
        <f t="shared" si="544"/>
        <v>100</v>
      </c>
      <c r="DJ452" s="607">
        <f t="shared" si="545"/>
        <v>0</v>
      </c>
      <c r="DK452" s="608">
        <f t="shared" si="546"/>
        <v>0</v>
      </c>
      <c r="DL452" s="607">
        <f t="shared" si="547"/>
        <v>99</v>
      </c>
      <c r="DM452" s="608">
        <f t="shared" si="548"/>
        <v>100</v>
      </c>
      <c r="DN452" s="607">
        <f t="shared" si="549"/>
        <v>0</v>
      </c>
      <c r="DO452" s="612">
        <f t="shared" si="550"/>
        <v>0</v>
      </c>
      <c r="DP452" s="607">
        <f t="shared" si="551"/>
        <v>0</v>
      </c>
      <c r="DQ452" s="606">
        <f t="shared" si="552"/>
        <v>0</v>
      </c>
      <c r="DR452" s="607">
        <f t="shared" si="553"/>
        <v>0</v>
      </c>
      <c r="DS452" s="606">
        <f t="shared" si="554"/>
        <v>0</v>
      </c>
      <c r="DT452" s="607">
        <f t="shared" si="555"/>
        <v>0</v>
      </c>
      <c r="DU452" s="606">
        <f t="shared" si="556"/>
        <v>0</v>
      </c>
      <c r="DV452" s="607">
        <f t="shared" si="557"/>
        <v>4495887</v>
      </c>
      <c r="DW452" s="608">
        <f t="shared" si="558"/>
        <v>4639255</v>
      </c>
      <c r="DX452" s="607">
        <f t="shared" si="559"/>
        <v>0</v>
      </c>
      <c r="DY452" s="608">
        <f t="shared" si="560"/>
        <v>0</v>
      </c>
      <c r="DZ452" s="607">
        <f t="shared" si="561"/>
        <v>4495887</v>
      </c>
      <c r="EA452" s="608">
        <f t="shared" si="562"/>
        <v>4639255</v>
      </c>
    </row>
    <row r="453" spans="1:131" x14ac:dyDescent="0.2">
      <c r="A453" s="450" t="s">
        <v>21</v>
      </c>
      <c r="B453" s="459" t="s">
        <v>1010</v>
      </c>
      <c r="C453" s="580" t="s">
        <v>1023</v>
      </c>
      <c r="D453" s="502">
        <v>218025</v>
      </c>
      <c r="E453" s="504">
        <v>8</v>
      </c>
      <c r="F453" s="598"/>
      <c r="G453" s="599"/>
      <c r="H453" s="600"/>
      <c r="I453" s="601"/>
      <c r="J453" s="600"/>
      <c r="K453" s="599"/>
      <c r="L453" s="600"/>
      <c r="M453" s="601"/>
      <c r="N453" s="600"/>
      <c r="O453" s="599"/>
      <c r="P453" s="600"/>
      <c r="Q453" s="601"/>
      <c r="R453" s="600"/>
      <c r="S453" s="599"/>
      <c r="T453" s="600"/>
      <c r="U453" s="601"/>
      <c r="V453" s="600"/>
      <c r="W453" s="599"/>
      <c r="X453" s="600"/>
      <c r="Y453" s="601"/>
      <c r="Z453" s="600"/>
      <c r="AA453" s="599"/>
      <c r="AB453" s="600"/>
      <c r="AC453" s="601"/>
      <c r="AD453" s="600"/>
      <c r="AE453" s="599"/>
      <c r="AF453" s="600"/>
      <c r="AG453" s="601"/>
      <c r="AH453" s="600"/>
      <c r="AI453" s="599"/>
      <c r="AJ453" s="600"/>
      <c r="AK453" s="601"/>
      <c r="AL453" s="600">
        <v>95</v>
      </c>
      <c r="AM453" s="599">
        <v>98</v>
      </c>
      <c r="AN453" s="600"/>
      <c r="AO453" s="601"/>
      <c r="AP453" s="600"/>
      <c r="AQ453" s="599"/>
      <c r="AR453" s="600"/>
      <c r="AS453" s="601"/>
      <c r="AT453" s="600"/>
      <c r="AU453" s="599"/>
      <c r="AV453" s="600"/>
      <c r="AW453" s="601"/>
      <c r="AX453" s="600"/>
      <c r="AY453" s="599"/>
      <c r="AZ453" s="600"/>
      <c r="BA453" s="601"/>
      <c r="BB453" s="602">
        <v>0</v>
      </c>
      <c r="BC453" s="599"/>
      <c r="BD453" s="600">
        <v>0</v>
      </c>
      <c r="BE453" s="599"/>
      <c r="BF453" s="600">
        <v>0</v>
      </c>
      <c r="BG453" s="599"/>
      <c r="BH453" s="600">
        <v>0</v>
      </c>
      <c r="BI453" s="599"/>
      <c r="BJ453" s="600">
        <v>4527890</v>
      </c>
      <c r="BK453" s="615">
        <v>4858688</v>
      </c>
      <c r="BL453" s="600">
        <v>0</v>
      </c>
      <c r="BM453" s="604"/>
      <c r="BN453" s="605">
        <f t="shared" si="497"/>
        <v>0</v>
      </c>
      <c r="BO453" s="606">
        <f t="shared" si="498"/>
        <v>0</v>
      </c>
      <c r="BP453" s="607">
        <f t="shared" si="499"/>
        <v>0</v>
      </c>
      <c r="BQ453" s="606">
        <f t="shared" si="500"/>
        <v>0</v>
      </c>
      <c r="BR453" s="607">
        <f t="shared" si="501"/>
        <v>0</v>
      </c>
      <c r="BS453" s="606">
        <f t="shared" si="502"/>
        <v>0</v>
      </c>
      <c r="BT453" s="607">
        <f t="shared" si="503"/>
        <v>0</v>
      </c>
      <c r="BU453" s="606">
        <f t="shared" si="504"/>
        <v>0</v>
      </c>
      <c r="BV453" s="607">
        <f t="shared" si="505"/>
        <v>855</v>
      </c>
      <c r="BW453" s="608">
        <f t="shared" si="506"/>
        <v>882</v>
      </c>
      <c r="BX453" s="607">
        <f t="shared" si="507"/>
        <v>0</v>
      </c>
      <c r="BY453" s="608">
        <f t="shared" si="508"/>
        <v>0</v>
      </c>
      <c r="BZ453" s="607">
        <f t="shared" si="509"/>
        <v>0</v>
      </c>
      <c r="CA453" s="608">
        <f t="shared" si="510"/>
        <v>0</v>
      </c>
      <c r="CB453" s="607">
        <f t="shared" si="511"/>
        <v>0</v>
      </c>
      <c r="CC453" s="608">
        <f t="shared" si="512"/>
        <v>0</v>
      </c>
      <c r="CD453" s="607">
        <f t="shared" si="513"/>
        <v>0</v>
      </c>
      <c r="CE453" s="608">
        <f t="shared" si="514"/>
        <v>0</v>
      </c>
      <c r="CF453" s="607">
        <f t="shared" si="515"/>
        <v>0</v>
      </c>
      <c r="CG453" s="608">
        <f t="shared" si="516"/>
        <v>0</v>
      </c>
      <c r="CH453" s="607">
        <f t="shared" si="517"/>
        <v>5295.7777777777774</v>
      </c>
      <c r="CI453" s="608">
        <f t="shared" si="518"/>
        <v>5508.7165532879817</v>
      </c>
      <c r="CJ453" s="607">
        <f t="shared" si="519"/>
        <v>0</v>
      </c>
      <c r="CK453" s="608">
        <f t="shared" si="520"/>
        <v>0</v>
      </c>
      <c r="CL453" s="609">
        <f t="shared" si="521"/>
        <v>0</v>
      </c>
      <c r="CM453" s="608">
        <f t="shared" si="522"/>
        <v>0</v>
      </c>
      <c r="CN453" s="610">
        <f t="shared" si="523"/>
        <v>0</v>
      </c>
      <c r="CO453" s="606">
        <f t="shared" si="524"/>
        <v>0</v>
      </c>
      <c r="CP453" s="607">
        <f t="shared" si="525"/>
        <v>0</v>
      </c>
      <c r="CQ453" s="606">
        <f t="shared" si="526"/>
        <v>0</v>
      </c>
      <c r="CR453" s="607">
        <f t="shared" si="527"/>
        <v>0</v>
      </c>
      <c r="CS453" s="606">
        <f t="shared" si="528"/>
        <v>0</v>
      </c>
      <c r="CT453" s="607">
        <f t="shared" si="529"/>
        <v>47662</v>
      </c>
      <c r="CU453" s="608">
        <f t="shared" si="530"/>
        <v>49578.448979591834</v>
      </c>
      <c r="CV453" s="610">
        <f t="shared" si="531"/>
        <v>0</v>
      </c>
      <c r="CW453" s="608">
        <f t="shared" si="532"/>
        <v>0</v>
      </c>
      <c r="CX453" s="610">
        <f t="shared" si="533"/>
        <v>47662</v>
      </c>
      <c r="CY453" s="611">
        <f t="shared" si="534"/>
        <v>49578.448979591834</v>
      </c>
      <c r="CZ453" s="605">
        <f t="shared" si="535"/>
        <v>0</v>
      </c>
      <c r="DA453" s="612">
        <f t="shared" si="536"/>
        <v>0</v>
      </c>
      <c r="DB453" s="607">
        <f t="shared" si="537"/>
        <v>0</v>
      </c>
      <c r="DC453" s="606">
        <f t="shared" si="538"/>
        <v>0</v>
      </c>
      <c r="DD453" s="607">
        <f t="shared" si="539"/>
        <v>0</v>
      </c>
      <c r="DE453" s="606">
        <f t="shared" si="540"/>
        <v>0</v>
      </c>
      <c r="DF453" s="607">
        <f t="shared" si="541"/>
        <v>0</v>
      </c>
      <c r="DG453" s="606">
        <f t="shared" si="542"/>
        <v>0</v>
      </c>
      <c r="DH453" s="607">
        <f t="shared" si="543"/>
        <v>95</v>
      </c>
      <c r="DI453" s="608">
        <f t="shared" si="544"/>
        <v>98</v>
      </c>
      <c r="DJ453" s="607">
        <f t="shared" si="545"/>
        <v>0</v>
      </c>
      <c r="DK453" s="608">
        <f t="shared" si="546"/>
        <v>0</v>
      </c>
      <c r="DL453" s="607">
        <f t="shared" si="547"/>
        <v>95</v>
      </c>
      <c r="DM453" s="608">
        <f t="shared" si="548"/>
        <v>98</v>
      </c>
      <c r="DN453" s="607">
        <f t="shared" si="549"/>
        <v>0</v>
      </c>
      <c r="DO453" s="612">
        <f t="shared" si="550"/>
        <v>0</v>
      </c>
      <c r="DP453" s="607">
        <f t="shared" si="551"/>
        <v>0</v>
      </c>
      <c r="DQ453" s="606">
        <f t="shared" si="552"/>
        <v>0</v>
      </c>
      <c r="DR453" s="607">
        <f t="shared" si="553"/>
        <v>0</v>
      </c>
      <c r="DS453" s="606">
        <f t="shared" si="554"/>
        <v>0</v>
      </c>
      <c r="DT453" s="607">
        <f t="shared" si="555"/>
        <v>0</v>
      </c>
      <c r="DU453" s="606">
        <f t="shared" si="556"/>
        <v>0</v>
      </c>
      <c r="DV453" s="607">
        <f t="shared" si="557"/>
        <v>4527890</v>
      </c>
      <c r="DW453" s="608">
        <f t="shared" si="558"/>
        <v>4858688</v>
      </c>
      <c r="DX453" s="607">
        <f t="shared" si="559"/>
        <v>0</v>
      </c>
      <c r="DY453" s="608">
        <f t="shared" si="560"/>
        <v>0</v>
      </c>
      <c r="DZ453" s="607">
        <f t="shared" si="561"/>
        <v>4527890</v>
      </c>
      <c r="EA453" s="608">
        <f t="shared" si="562"/>
        <v>4858688</v>
      </c>
    </row>
    <row r="454" spans="1:131" x14ac:dyDescent="0.2">
      <c r="A454" s="450" t="s">
        <v>21</v>
      </c>
      <c r="B454" s="448" t="s">
        <v>1011</v>
      </c>
      <c r="C454" s="579"/>
      <c r="D454" s="502">
        <v>218487</v>
      </c>
      <c r="E454" s="503">
        <v>9</v>
      </c>
      <c r="F454" s="598"/>
      <c r="G454" s="599"/>
      <c r="H454" s="600"/>
      <c r="I454" s="601"/>
      <c r="J454" s="600"/>
      <c r="K454" s="599"/>
      <c r="L454" s="600"/>
      <c r="M454" s="601"/>
      <c r="N454" s="600"/>
      <c r="O454" s="599"/>
      <c r="P454" s="600"/>
      <c r="Q454" s="601"/>
      <c r="R454" s="600"/>
      <c r="S454" s="599"/>
      <c r="T454" s="600"/>
      <c r="U454" s="601"/>
      <c r="V454" s="600"/>
      <c r="W454" s="599"/>
      <c r="X454" s="600"/>
      <c r="Y454" s="601"/>
      <c r="Z454" s="600"/>
      <c r="AA454" s="599"/>
      <c r="AB454" s="600"/>
      <c r="AC454" s="601"/>
      <c r="AD454" s="600"/>
      <c r="AE454" s="599"/>
      <c r="AF454" s="600"/>
      <c r="AG454" s="601"/>
      <c r="AH454" s="600"/>
      <c r="AI454" s="599"/>
      <c r="AJ454" s="600"/>
      <c r="AK454" s="601"/>
      <c r="AL454" s="600">
        <v>76</v>
      </c>
      <c r="AM454" s="599">
        <v>76</v>
      </c>
      <c r="AN454" s="600"/>
      <c r="AO454" s="601"/>
      <c r="AP454" s="600"/>
      <c r="AQ454" s="599"/>
      <c r="AR454" s="600"/>
      <c r="AS454" s="601"/>
      <c r="AT454" s="600"/>
      <c r="AU454" s="599"/>
      <c r="AV454" s="600"/>
      <c r="AW454" s="601"/>
      <c r="AX454" s="600"/>
      <c r="AY454" s="599"/>
      <c r="AZ454" s="600"/>
      <c r="BA454" s="601"/>
      <c r="BB454" s="602">
        <v>0</v>
      </c>
      <c r="BC454" s="599"/>
      <c r="BD454" s="600">
        <v>0</v>
      </c>
      <c r="BE454" s="599"/>
      <c r="BF454" s="600">
        <v>0</v>
      </c>
      <c r="BG454" s="599"/>
      <c r="BH454" s="600">
        <v>0</v>
      </c>
      <c r="BI454" s="599"/>
      <c r="BJ454" s="600">
        <v>3219360</v>
      </c>
      <c r="BK454" s="615">
        <v>3323267</v>
      </c>
      <c r="BL454" s="600">
        <v>0</v>
      </c>
      <c r="BM454" s="604"/>
      <c r="BN454" s="605">
        <f t="shared" si="497"/>
        <v>0</v>
      </c>
      <c r="BO454" s="606">
        <f t="shared" si="498"/>
        <v>0</v>
      </c>
      <c r="BP454" s="607">
        <f t="shared" si="499"/>
        <v>0</v>
      </c>
      <c r="BQ454" s="606">
        <f t="shared" si="500"/>
        <v>0</v>
      </c>
      <c r="BR454" s="607">
        <f t="shared" si="501"/>
        <v>0</v>
      </c>
      <c r="BS454" s="606">
        <f t="shared" si="502"/>
        <v>0</v>
      </c>
      <c r="BT454" s="607">
        <f t="shared" si="503"/>
        <v>0</v>
      </c>
      <c r="BU454" s="606">
        <f t="shared" si="504"/>
        <v>0</v>
      </c>
      <c r="BV454" s="607">
        <f t="shared" si="505"/>
        <v>684</v>
      </c>
      <c r="BW454" s="608">
        <f t="shared" si="506"/>
        <v>684</v>
      </c>
      <c r="BX454" s="607">
        <f t="shared" si="507"/>
        <v>0</v>
      </c>
      <c r="BY454" s="608">
        <f t="shared" si="508"/>
        <v>0</v>
      </c>
      <c r="BZ454" s="607">
        <f t="shared" si="509"/>
        <v>0</v>
      </c>
      <c r="CA454" s="608">
        <f t="shared" si="510"/>
        <v>0</v>
      </c>
      <c r="CB454" s="607">
        <f t="shared" si="511"/>
        <v>0</v>
      </c>
      <c r="CC454" s="608">
        <f t="shared" si="512"/>
        <v>0</v>
      </c>
      <c r="CD454" s="607">
        <f t="shared" si="513"/>
        <v>0</v>
      </c>
      <c r="CE454" s="608">
        <f t="shared" si="514"/>
        <v>0</v>
      </c>
      <c r="CF454" s="607">
        <f t="shared" si="515"/>
        <v>0</v>
      </c>
      <c r="CG454" s="608">
        <f t="shared" si="516"/>
        <v>0</v>
      </c>
      <c r="CH454" s="607">
        <f t="shared" si="517"/>
        <v>4706.666666666667</v>
      </c>
      <c r="CI454" s="608">
        <f t="shared" si="518"/>
        <v>4858.5774853801167</v>
      </c>
      <c r="CJ454" s="607">
        <f t="shared" si="519"/>
        <v>0</v>
      </c>
      <c r="CK454" s="608">
        <f t="shared" si="520"/>
        <v>0</v>
      </c>
      <c r="CL454" s="609">
        <f t="shared" si="521"/>
        <v>0</v>
      </c>
      <c r="CM454" s="608">
        <f t="shared" si="522"/>
        <v>0</v>
      </c>
      <c r="CN454" s="610">
        <f t="shared" si="523"/>
        <v>0</v>
      </c>
      <c r="CO454" s="606">
        <f t="shared" si="524"/>
        <v>0</v>
      </c>
      <c r="CP454" s="607">
        <f t="shared" si="525"/>
        <v>0</v>
      </c>
      <c r="CQ454" s="606">
        <f t="shared" si="526"/>
        <v>0</v>
      </c>
      <c r="CR454" s="607">
        <f t="shared" si="527"/>
        <v>0</v>
      </c>
      <c r="CS454" s="606">
        <f t="shared" si="528"/>
        <v>0</v>
      </c>
      <c r="CT454" s="607">
        <f t="shared" si="529"/>
        <v>42360</v>
      </c>
      <c r="CU454" s="608">
        <f t="shared" si="530"/>
        <v>43727.197368421053</v>
      </c>
      <c r="CV454" s="610">
        <f t="shared" si="531"/>
        <v>0</v>
      </c>
      <c r="CW454" s="608">
        <f t="shared" si="532"/>
        <v>0</v>
      </c>
      <c r="CX454" s="610">
        <f t="shared" si="533"/>
        <v>42360</v>
      </c>
      <c r="CY454" s="611">
        <f t="shared" si="534"/>
        <v>43727.197368421053</v>
      </c>
      <c r="CZ454" s="605">
        <f t="shared" si="535"/>
        <v>0</v>
      </c>
      <c r="DA454" s="612">
        <f t="shared" si="536"/>
        <v>0</v>
      </c>
      <c r="DB454" s="607">
        <f t="shared" si="537"/>
        <v>0</v>
      </c>
      <c r="DC454" s="606">
        <f t="shared" si="538"/>
        <v>0</v>
      </c>
      <c r="DD454" s="607">
        <f t="shared" si="539"/>
        <v>0</v>
      </c>
      <c r="DE454" s="606">
        <f t="shared" si="540"/>
        <v>0</v>
      </c>
      <c r="DF454" s="607">
        <f t="shared" si="541"/>
        <v>0</v>
      </c>
      <c r="DG454" s="606">
        <f t="shared" si="542"/>
        <v>0</v>
      </c>
      <c r="DH454" s="607">
        <f t="shared" si="543"/>
        <v>76</v>
      </c>
      <c r="DI454" s="608">
        <f t="shared" si="544"/>
        <v>76</v>
      </c>
      <c r="DJ454" s="607">
        <f t="shared" si="545"/>
        <v>0</v>
      </c>
      <c r="DK454" s="608">
        <f t="shared" si="546"/>
        <v>0</v>
      </c>
      <c r="DL454" s="607">
        <f t="shared" si="547"/>
        <v>76</v>
      </c>
      <c r="DM454" s="608">
        <f t="shared" si="548"/>
        <v>76</v>
      </c>
      <c r="DN454" s="607">
        <f t="shared" si="549"/>
        <v>0</v>
      </c>
      <c r="DO454" s="612">
        <f t="shared" si="550"/>
        <v>0</v>
      </c>
      <c r="DP454" s="607">
        <f t="shared" si="551"/>
        <v>0</v>
      </c>
      <c r="DQ454" s="606">
        <f t="shared" si="552"/>
        <v>0</v>
      </c>
      <c r="DR454" s="607">
        <f t="shared" si="553"/>
        <v>0</v>
      </c>
      <c r="DS454" s="606">
        <f t="shared" si="554"/>
        <v>0</v>
      </c>
      <c r="DT454" s="607">
        <f t="shared" si="555"/>
        <v>0</v>
      </c>
      <c r="DU454" s="606">
        <f t="shared" si="556"/>
        <v>0</v>
      </c>
      <c r="DV454" s="607">
        <f t="shared" si="557"/>
        <v>3219360</v>
      </c>
      <c r="DW454" s="608">
        <f t="shared" si="558"/>
        <v>3323267</v>
      </c>
      <c r="DX454" s="607">
        <f t="shared" si="559"/>
        <v>0</v>
      </c>
      <c r="DY454" s="608">
        <f t="shared" si="560"/>
        <v>0</v>
      </c>
      <c r="DZ454" s="607">
        <f t="shared" si="561"/>
        <v>3219360</v>
      </c>
      <c r="EA454" s="608">
        <f t="shared" si="562"/>
        <v>3323267</v>
      </c>
    </row>
    <row r="455" spans="1:131" x14ac:dyDescent="0.2">
      <c r="A455" s="450" t="s">
        <v>21</v>
      </c>
      <c r="B455" s="459" t="s">
        <v>1012</v>
      </c>
      <c r="C455" s="580" t="s">
        <v>1023</v>
      </c>
      <c r="D455" s="502">
        <v>218520</v>
      </c>
      <c r="E455" s="504">
        <v>8</v>
      </c>
      <c r="F455" s="598"/>
      <c r="G455" s="599"/>
      <c r="H455" s="600"/>
      <c r="I455" s="601"/>
      <c r="J455" s="600"/>
      <c r="K455" s="599"/>
      <c r="L455" s="600"/>
      <c r="M455" s="601"/>
      <c r="N455" s="600"/>
      <c r="O455" s="599"/>
      <c r="P455" s="600"/>
      <c r="Q455" s="601"/>
      <c r="R455" s="600"/>
      <c r="S455" s="599"/>
      <c r="T455" s="600"/>
      <c r="U455" s="601"/>
      <c r="V455" s="600"/>
      <c r="W455" s="599"/>
      <c r="X455" s="600"/>
      <c r="Y455" s="601"/>
      <c r="Z455" s="600"/>
      <c r="AA455" s="599"/>
      <c r="AB455" s="600"/>
      <c r="AC455" s="601"/>
      <c r="AD455" s="600"/>
      <c r="AE455" s="599"/>
      <c r="AF455" s="600"/>
      <c r="AG455" s="601"/>
      <c r="AH455" s="600"/>
      <c r="AI455" s="599"/>
      <c r="AJ455" s="600"/>
      <c r="AK455" s="601"/>
      <c r="AL455" s="600">
        <v>117</v>
      </c>
      <c r="AM455" s="599">
        <v>119</v>
      </c>
      <c r="AN455" s="600"/>
      <c r="AO455" s="601"/>
      <c r="AP455" s="600"/>
      <c r="AQ455" s="599"/>
      <c r="AR455" s="600"/>
      <c r="AS455" s="601"/>
      <c r="AT455" s="600"/>
      <c r="AU455" s="599"/>
      <c r="AV455" s="600"/>
      <c r="AW455" s="601"/>
      <c r="AX455" s="600"/>
      <c r="AY455" s="599"/>
      <c r="AZ455" s="600"/>
      <c r="BA455" s="601"/>
      <c r="BB455" s="602">
        <v>0</v>
      </c>
      <c r="BC455" s="599"/>
      <c r="BD455" s="600">
        <v>0</v>
      </c>
      <c r="BE455" s="599"/>
      <c r="BF455" s="600">
        <v>0</v>
      </c>
      <c r="BG455" s="599"/>
      <c r="BH455" s="600">
        <v>0</v>
      </c>
      <c r="BI455" s="599"/>
      <c r="BJ455" s="600">
        <v>5089617</v>
      </c>
      <c r="BK455" s="615">
        <v>5353664</v>
      </c>
      <c r="BL455" s="600">
        <v>0</v>
      </c>
      <c r="BM455" s="604"/>
      <c r="BN455" s="605">
        <f t="shared" si="497"/>
        <v>0</v>
      </c>
      <c r="BO455" s="606">
        <f t="shared" si="498"/>
        <v>0</v>
      </c>
      <c r="BP455" s="607">
        <f t="shared" si="499"/>
        <v>0</v>
      </c>
      <c r="BQ455" s="606">
        <f t="shared" si="500"/>
        <v>0</v>
      </c>
      <c r="BR455" s="607">
        <f t="shared" si="501"/>
        <v>0</v>
      </c>
      <c r="BS455" s="606">
        <f t="shared" si="502"/>
        <v>0</v>
      </c>
      <c r="BT455" s="607">
        <f t="shared" si="503"/>
        <v>0</v>
      </c>
      <c r="BU455" s="606">
        <f t="shared" si="504"/>
        <v>0</v>
      </c>
      <c r="BV455" s="607">
        <f t="shared" si="505"/>
        <v>1053</v>
      </c>
      <c r="BW455" s="608">
        <f t="shared" si="506"/>
        <v>1071</v>
      </c>
      <c r="BX455" s="607">
        <f t="shared" si="507"/>
        <v>0</v>
      </c>
      <c r="BY455" s="608">
        <f t="shared" si="508"/>
        <v>0</v>
      </c>
      <c r="BZ455" s="607">
        <f t="shared" si="509"/>
        <v>0</v>
      </c>
      <c r="CA455" s="608">
        <f t="shared" si="510"/>
        <v>0</v>
      </c>
      <c r="CB455" s="607">
        <f t="shared" si="511"/>
        <v>0</v>
      </c>
      <c r="CC455" s="608">
        <f t="shared" si="512"/>
        <v>0</v>
      </c>
      <c r="CD455" s="607">
        <f t="shared" si="513"/>
        <v>0</v>
      </c>
      <c r="CE455" s="608">
        <f t="shared" si="514"/>
        <v>0</v>
      </c>
      <c r="CF455" s="607">
        <f t="shared" si="515"/>
        <v>0</v>
      </c>
      <c r="CG455" s="608">
        <f t="shared" si="516"/>
        <v>0</v>
      </c>
      <c r="CH455" s="607">
        <f t="shared" si="517"/>
        <v>4833.4444444444443</v>
      </c>
      <c r="CI455" s="608">
        <f t="shared" si="518"/>
        <v>4998.7525676937439</v>
      </c>
      <c r="CJ455" s="607">
        <f t="shared" si="519"/>
        <v>0</v>
      </c>
      <c r="CK455" s="608">
        <f t="shared" si="520"/>
        <v>0</v>
      </c>
      <c r="CL455" s="609">
        <f t="shared" si="521"/>
        <v>0</v>
      </c>
      <c r="CM455" s="608">
        <f t="shared" si="522"/>
        <v>0</v>
      </c>
      <c r="CN455" s="610">
        <f t="shared" si="523"/>
        <v>0</v>
      </c>
      <c r="CO455" s="606">
        <f t="shared" si="524"/>
        <v>0</v>
      </c>
      <c r="CP455" s="607">
        <f t="shared" si="525"/>
        <v>0</v>
      </c>
      <c r="CQ455" s="606">
        <f t="shared" si="526"/>
        <v>0</v>
      </c>
      <c r="CR455" s="607">
        <f t="shared" si="527"/>
        <v>0</v>
      </c>
      <c r="CS455" s="606">
        <f t="shared" si="528"/>
        <v>0</v>
      </c>
      <c r="CT455" s="607">
        <f t="shared" si="529"/>
        <v>43501</v>
      </c>
      <c r="CU455" s="608">
        <f t="shared" si="530"/>
        <v>44988.773109243695</v>
      </c>
      <c r="CV455" s="610">
        <f t="shared" si="531"/>
        <v>0</v>
      </c>
      <c r="CW455" s="608">
        <f t="shared" si="532"/>
        <v>0</v>
      </c>
      <c r="CX455" s="610">
        <f t="shared" si="533"/>
        <v>43501</v>
      </c>
      <c r="CY455" s="611">
        <f t="shared" si="534"/>
        <v>44988.773109243695</v>
      </c>
      <c r="CZ455" s="605">
        <f t="shared" si="535"/>
        <v>0</v>
      </c>
      <c r="DA455" s="612">
        <f t="shared" si="536"/>
        <v>0</v>
      </c>
      <c r="DB455" s="607">
        <f t="shared" si="537"/>
        <v>0</v>
      </c>
      <c r="DC455" s="606">
        <f t="shared" si="538"/>
        <v>0</v>
      </c>
      <c r="DD455" s="607">
        <f t="shared" si="539"/>
        <v>0</v>
      </c>
      <c r="DE455" s="606">
        <f t="shared" si="540"/>
        <v>0</v>
      </c>
      <c r="DF455" s="607">
        <f t="shared" si="541"/>
        <v>0</v>
      </c>
      <c r="DG455" s="606">
        <f t="shared" si="542"/>
        <v>0</v>
      </c>
      <c r="DH455" s="607">
        <f t="shared" si="543"/>
        <v>117</v>
      </c>
      <c r="DI455" s="608">
        <f t="shared" si="544"/>
        <v>119</v>
      </c>
      <c r="DJ455" s="607">
        <f t="shared" si="545"/>
        <v>0</v>
      </c>
      <c r="DK455" s="608">
        <f t="shared" si="546"/>
        <v>0</v>
      </c>
      <c r="DL455" s="607">
        <f t="shared" si="547"/>
        <v>117</v>
      </c>
      <c r="DM455" s="608">
        <f t="shared" si="548"/>
        <v>119</v>
      </c>
      <c r="DN455" s="607">
        <f t="shared" si="549"/>
        <v>0</v>
      </c>
      <c r="DO455" s="612">
        <f t="shared" si="550"/>
        <v>0</v>
      </c>
      <c r="DP455" s="607">
        <f t="shared" si="551"/>
        <v>0</v>
      </c>
      <c r="DQ455" s="606">
        <f t="shared" si="552"/>
        <v>0</v>
      </c>
      <c r="DR455" s="607">
        <f t="shared" si="553"/>
        <v>0</v>
      </c>
      <c r="DS455" s="606">
        <f t="shared" si="554"/>
        <v>0</v>
      </c>
      <c r="DT455" s="607">
        <f t="shared" si="555"/>
        <v>0</v>
      </c>
      <c r="DU455" s="606">
        <f t="shared" si="556"/>
        <v>0</v>
      </c>
      <c r="DV455" s="607">
        <f t="shared" si="557"/>
        <v>5089617</v>
      </c>
      <c r="DW455" s="608">
        <f t="shared" si="558"/>
        <v>5353664</v>
      </c>
      <c r="DX455" s="607">
        <f t="shared" si="559"/>
        <v>0</v>
      </c>
      <c r="DY455" s="608">
        <f t="shared" si="560"/>
        <v>0</v>
      </c>
      <c r="DZ455" s="607">
        <f t="shared" si="561"/>
        <v>5089617</v>
      </c>
      <c r="EA455" s="608">
        <f t="shared" si="562"/>
        <v>5353664</v>
      </c>
    </row>
    <row r="456" spans="1:131" x14ac:dyDescent="0.2">
      <c r="A456" s="450" t="s">
        <v>21</v>
      </c>
      <c r="B456" s="459" t="s">
        <v>1013</v>
      </c>
      <c r="C456" s="561"/>
      <c r="D456" s="502">
        <v>218830</v>
      </c>
      <c r="E456" s="503">
        <v>9</v>
      </c>
      <c r="F456" s="598"/>
      <c r="G456" s="599"/>
      <c r="H456" s="600"/>
      <c r="I456" s="601"/>
      <c r="J456" s="600"/>
      <c r="K456" s="599"/>
      <c r="L456" s="600"/>
      <c r="M456" s="601"/>
      <c r="N456" s="600"/>
      <c r="O456" s="599"/>
      <c r="P456" s="600"/>
      <c r="Q456" s="601"/>
      <c r="R456" s="600"/>
      <c r="S456" s="599"/>
      <c r="T456" s="600"/>
      <c r="U456" s="601"/>
      <c r="V456" s="600"/>
      <c r="W456" s="599"/>
      <c r="X456" s="600"/>
      <c r="Y456" s="601"/>
      <c r="Z456" s="600"/>
      <c r="AA456" s="599"/>
      <c r="AB456" s="600"/>
      <c r="AC456" s="601"/>
      <c r="AD456" s="600"/>
      <c r="AE456" s="599"/>
      <c r="AF456" s="600"/>
      <c r="AG456" s="601"/>
      <c r="AH456" s="600"/>
      <c r="AI456" s="599"/>
      <c r="AJ456" s="600"/>
      <c r="AK456" s="601"/>
      <c r="AL456" s="600">
        <v>120</v>
      </c>
      <c r="AM456" s="599">
        <v>120</v>
      </c>
      <c r="AN456" s="600"/>
      <c r="AO456" s="601"/>
      <c r="AP456" s="600"/>
      <c r="AQ456" s="599"/>
      <c r="AR456" s="600"/>
      <c r="AS456" s="601"/>
      <c r="AT456" s="600"/>
      <c r="AU456" s="599"/>
      <c r="AV456" s="600"/>
      <c r="AW456" s="601"/>
      <c r="AX456" s="600"/>
      <c r="AY456" s="599"/>
      <c r="AZ456" s="600"/>
      <c r="BA456" s="601"/>
      <c r="BB456" s="602">
        <v>0</v>
      </c>
      <c r="BC456" s="599"/>
      <c r="BD456" s="600">
        <v>0</v>
      </c>
      <c r="BE456" s="599"/>
      <c r="BF456" s="600">
        <v>0</v>
      </c>
      <c r="BG456" s="599"/>
      <c r="BH456" s="600">
        <v>0</v>
      </c>
      <c r="BI456" s="599"/>
      <c r="BJ456" s="600">
        <v>5347200</v>
      </c>
      <c r="BK456" s="615">
        <v>5617232</v>
      </c>
      <c r="BL456" s="600">
        <v>0</v>
      </c>
      <c r="BM456" s="604"/>
      <c r="BN456" s="605">
        <f t="shared" si="497"/>
        <v>0</v>
      </c>
      <c r="BO456" s="606">
        <f t="shared" si="498"/>
        <v>0</v>
      </c>
      <c r="BP456" s="607">
        <f t="shared" si="499"/>
        <v>0</v>
      </c>
      <c r="BQ456" s="606">
        <f t="shared" si="500"/>
        <v>0</v>
      </c>
      <c r="BR456" s="607">
        <f t="shared" si="501"/>
        <v>0</v>
      </c>
      <c r="BS456" s="606">
        <f t="shared" si="502"/>
        <v>0</v>
      </c>
      <c r="BT456" s="607">
        <f t="shared" si="503"/>
        <v>0</v>
      </c>
      <c r="BU456" s="606">
        <f t="shared" si="504"/>
        <v>0</v>
      </c>
      <c r="BV456" s="607">
        <f t="shared" si="505"/>
        <v>1080</v>
      </c>
      <c r="BW456" s="608">
        <f t="shared" si="506"/>
        <v>1080</v>
      </c>
      <c r="BX456" s="607">
        <f t="shared" si="507"/>
        <v>0</v>
      </c>
      <c r="BY456" s="608">
        <f t="shared" si="508"/>
        <v>0</v>
      </c>
      <c r="BZ456" s="607">
        <f t="shared" si="509"/>
        <v>0</v>
      </c>
      <c r="CA456" s="608">
        <f t="shared" si="510"/>
        <v>0</v>
      </c>
      <c r="CB456" s="607">
        <f t="shared" si="511"/>
        <v>0</v>
      </c>
      <c r="CC456" s="608">
        <f t="shared" si="512"/>
        <v>0</v>
      </c>
      <c r="CD456" s="607">
        <f t="shared" si="513"/>
        <v>0</v>
      </c>
      <c r="CE456" s="608">
        <f t="shared" si="514"/>
        <v>0</v>
      </c>
      <c r="CF456" s="607">
        <f t="shared" si="515"/>
        <v>0</v>
      </c>
      <c r="CG456" s="608">
        <f t="shared" si="516"/>
        <v>0</v>
      </c>
      <c r="CH456" s="607">
        <f t="shared" si="517"/>
        <v>4951.1111111111113</v>
      </c>
      <c r="CI456" s="608">
        <f t="shared" si="518"/>
        <v>5201.1407407407405</v>
      </c>
      <c r="CJ456" s="607">
        <f t="shared" si="519"/>
        <v>0</v>
      </c>
      <c r="CK456" s="608">
        <f t="shared" si="520"/>
        <v>0</v>
      </c>
      <c r="CL456" s="609">
        <f t="shared" si="521"/>
        <v>0</v>
      </c>
      <c r="CM456" s="608">
        <f t="shared" si="522"/>
        <v>0</v>
      </c>
      <c r="CN456" s="610">
        <f t="shared" si="523"/>
        <v>0</v>
      </c>
      <c r="CO456" s="606">
        <f t="shared" si="524"/>
        <v>0</v>
      </c>
      <c r="CP456" s="607">
        <f t="shared" si="525"/>
        <v>0</v>
      </c>
      <c r="CQ456" s="606">
        <f t="shared" si="526"/>
        <v>0</v>
      </c>
      <c r="CR456" s="607">
        <f t="shared" si="527"/>
        <v>0</v>
      </c>
      <c r="CS456" s="606">
        <f t="shared" si="528"/>
        <v>0</v>
      </c>
      <c r="CT456" s="607">
        <f t="shared" si="529"/>
        <v>44560</v>
      </c>
      <c r="CU456" s="608">
        <f t="shared" si="530"/>
        <v>46810.266666666663</v>
      </c>
      <c r="CV456" s="610">
        <f t="shared" si="531"/>
        <v>0</v>
      </c>
      <c r="CW456" s="608">
        <f t="shared" si="532"/>
        <v>0</v>
      </c>
      <c r="CX456" s="610">
        <f t="shared" si="533"/>
        <v>44560</v>
      </c>
      <c r="CY456" s="611">
        <f t="shared" si="534"/>
        <v>46810.26666666667</v>
      </c>
      <c r="CZ456" s="605">
        <f t="shared" si="535"/>
        <v>0</v>
      </c>
      <c r="DA456" s="612">
        <f t="shared" si="536"/>
        <v>0</v>
      </c>
      <c r="DB456" s="607">
        <f t="shared" si="537"/>
        <v>0</v>
      </c>
      <c r="DC456" s="606">
        <f t="shared" si="538"/>
        <v>0</v>
      </c>
      <c r="DD456" s="607">
        <f t="shared" si="539"/>
        <v>0</v>
      </c>
      <c r="DE456" s="606">
        <f t="shared" si="540"/>
        <v>0</v>
      </c>
      <c r="DF456" s="607">
        <f t="shared" si="541"/>
        <v>0</v>
      </c>
      <c r="DG456" s="606">
        <f t="shared" si="542"/>
        <v>0</v>
      </c>
      <c r="DH456" s="607">
        <f t="shared" si="543"/>
        <v>120</v>
      </c>
      <c r="DI456" s="608">
        <f t="shared" si="544"/>
        <v>120</v>
      </c>
      <c r="DJ456" s="607">
        <f t="shared" si="545"/>
        <v>0</v>
      </c>
      <c r="DK456" s="608">
        <f t="shared" si="546"/>
        <v>0</v>
      </c>
      <c r="DL456" s="607">
        <f t="shared" si="547"/>
        <v>120</v>
      </c>
      <c r="DM456" s="608">
        <f t="shared" si="548"/>
        <v>120</v>
      </c>
      <c r="DN456" s="607">
        <f t="shared" si="549"/>
        <v>0</v>
      </c>
      <c r="DO456" s="612">
        <f t="shared" si="550"/>
        <v>0</v>
      </c>
      <c r="DP456" s="607">
        <f t="shared" si="551"/>
        <v>0</v>
      </c>
      <c r="DQ456" s="606">
        <f t="shared" si="552"/>
        <v>0</v>
      </c>
      <c r="DR456" s="607">
        <f t="shared" si="553"/>
        <v>0</v>
      </c>
      <c r="DS456" s="606">
        <f t="shared" si="554"/>
        <v>0</v>
      </c>
      <c r="DT456" s="607">
        <f t="shared" si="555"/>
        <v>0</v>
      </c>
      <c r="DU456" s="606">
        <f t="shared" si="556"/>
        <v>0</v>
      </c>
      <c r="DV456" s="607">
        <f t="shared" si="557"/>
        <v>5347200</v>
      </c>
      <c r="DW456" s="608">
        <f t="shared" si="558"/>
        <v>5617232</v>
      </c>
      <c r="DX456" s="607">
        <f t="shared" si="559"/>
        <v>0</v>
      </c>
      <c r="DY456" s="608">
        <f t="shared" si="560"/>
        <v>0</v>
      </c>
      <c r="DZ456" s="607">
        <f t="shared" si="561"/>
        <v>5347200</v>
      </c>
      <c r="EA456" s="608">
        <f t="shared" si="562"/>
        <v>5617232</v>
      </c>
    </row>
    <row r="457" spans="1:131" x14ac:dyDescent="0.2">
      <c r="A457" s="450" t="s">
        <v>21</v>
      </c>
      <c r="B457" s="459" t="s">
        <v>1014</v>
      </c>
      <c r="C457" s="561"/>
      <c r="D457" s="502">
        <v>218991</v>
      </c>
      <c r="E457" s="503">
        <v>9</v>
      </c>
      <c r="F457" s="598"/>
      <c r="G457" s="599"/>
      <c r="H457" s="600"/>
      <c r="I457" s="601"/>
      <c r="J457" s="600"/>
      <c r="K457" s="599"/>
      <c r="L457" s="600"/>
      <c r="M457" s="601"/>
      <c r="N457" s="600"/>
      <c r="O457" s="599"/>
      <c r="P457" s="600"/>
      <c r="Q457" s="601"/>
      <c r="R457" s="600"/>
      <c r="S457" s="599"/>
      <c r="T457" s="600"/>
      <c r="U457" s="601"/>
      <c r="V457" s="600"/>
      <c r="W457" s="599"/>
      <c r="X457" s="600"/>
      <c r="Y457" s="601"/>
      <c r="Z457" s="600"/>
      <c r="AA457" s="599"/>
      <c r="AB457" s="600"/>
      <c r="AC457" s="601"/>
      <c r="AD457" s="600"/>
      <c r="AE457" s="599"/>
      <c r="AF457" s="600"/>
      <c r="AG457" s="601"/>
      <c r="AH457" s="600"/>
      <c r="AI457" s="599"/>
      <c r="AJ457" s="600"/>
      <c r="AK457" s="601"/>
      <c r="AL457" s="600">
        <v>126</v>
      </c>
      <c r="AM457" s="599">
        <v>118</v>
      </c>
      <c r="AN457" s="600"/>
      <c r="AO457" s="601"/>
      <c r="AP457" s="600"/>
      <c r="AQ457" s="599"/>
      <c r="AR457" s="600"/>
      <c r="AS457" s="601"/>
      <c r="AT457" s="600"/>
      <c r="AU457" s="599"/>
      <c r="AV457" s="600"/>
      <c r="AW457" s="601"/>
      <c r="AX457" s="600"/>
      <c r="AY457" s="599"/>
      <c r="AZ457" s="600"/>
      <c r="BA457" s="601"/>
      <c r="BB457" s="602">
        <v>0</v>
      </c>
      <c r="BC457" s="599"/>
      <c r="BD457" s="600">
        <v>0</v>
      </c>
      <c r="BE457" s="599"/>
      <c r="BF457" s="600">
        <v>0</v>
      </c>
      <c r="BG457" s="599"/>
      <c r="BH457" s="600">
        <v>0</v>
      </c>
      <c r="BI457" s="599"/>
      <c r="BJ457" s="600">
        <v>6005538</v>
      </c>
      <c r="BK457" s="615">
        <v>5750533</v>
      </c>
      <c r="BL457" s="600">
        <v>0</v>
      </c>
      <c r="BM457" s="604"/>
      <c r="BN457" s="605">
        <f t="shared" ref="BN457:BN520" si="563">((F457*9)+(H457*10)+(J457*11)+(L457*12))</f>
        <v>0</v>
      </c>
      <c r="BO457" s="606">
        <f t="shared" ref="BO457:BO520" si="564">((G457*9)+(I457*10)+(K457*11)+(M457*12))</f>
        <v>0</v>
      </c>
      <c r="BP457" s="607">
        <f t="shared" ref="BP457:BP520" si="565">((N457*9)+(P457*10)+(R457*11)+(T457*12))</f>
        <v>0</v>
      </c>
      <c r="BQ457" s="606">
        <f t="shared" ref="BQ457:BQ520" si="566">((O457*9)+(Q457*10)+(S457*11)+(U457*12))</f>
        <v>0</v>
      </c>
      <c r="BR457" s="607">
        <f t="shared" ref="BR457:BR520" si="567">((V457*9)+(X457*10)+(Z457*11)+(AB457*12))</f>
        <v>0</v>
      </c>
      <c r="BS457" s="606">
        <f t="shared" ref="BS457:BS520" si="568">((W457*9)+(Y457*10)+(AA457*11)+(AC457*12))</f>
        <v>0</v>
      </c>
      <c r="BT457" s="607">
        <f t="shared" ref="BT457:BT520" si="569">((AD457*9)+(AF457*10)+(AH457*11)+(AJ457*12))</f>
        <v>0</v>
      </c>
      <c r="BU457" s="606">
        <f t="shared" ref="BU457:BU520" si="570">((AE457*9)+(AG457*10)+(AI457*11)+(AK457*12))</f>
        <v>0</v>
      </c>
      <c r="BV457" s="607">
        <f t="shared" ref="BV457:BV520" si="571">((AL457*9)+(AN457*10)+(AP457*11)+(AR457*12))</f>
        <v>1134</v>
      </c>
      <c r="BW457" s="608">
        <f t="shared" ref="BW457:BW520" si="572">((AM457*9)+(AO457*10)+(AQ457*11)+(AS457*12))</f>
        <v>1062</v>
      </c>
      <c r="BX457" s="607">
        <f t="shared" ref="BX457:BX520" si="573">((AT457*9)+(AV457*10)+(AX457*11)+(AZ457*12))</f>
        <v>0</v>
      </c>
      <c r="BY457" s="608">
        <f t="shared" ref="BY457:BY520" si="574">((AU457*9)+(AW457*10)+(AY457*11)+(BA457*12))</f>
        <v>0</v>
      </c>
      <c r="BZ457" s="607">
        <f t="shared" ref="BZ457:BZ520" si="575">IF(BN457&gt;0,BB457/BN457,)</f>
        <v>0</v>
      </c>
      <c r="CA457" s="608">
        <f t="shared" ref="CA457:CA520" si="576">IF(BO457&gt;0,BC457/BO457,)</f>
        <v>0</v>
      </c>
      <c r="CB457" s="607">
        <f t="shared" ref="CB457:CB520" si="577">IF(BP457&gt;0,BD457/BP457,)</f>
        <v>0</v>
      </c>
      <c r="CC457" s="608">
        <f t="shared" ref="CC457:CC520" si="578">IF(BQ457&gt;0,BE457/BQ457,)</f>
        <v>0</v>
      </c>
      <c r="CD457" s="607">
        <f t="shared" ref="CD457:CD520" si="579">IF(BR457&gt;0,BF457/BR457,)</f>
        <v>0</v>
      </c>
      <c r="CE457" s="608">
        <f t="shared" ref="CE457:CE520" si="580">IF(BS457&gt;0,BG457/BS457,)</f>
        <v>0</v>
      </c>
      <c r="CF457" s="607">
        <f t="shared" ref="CF457:CF520" si="581">IF(BT457&gt;0,BH457/BT457,)</f>
        <v>0</v>
      </c>
      <c r="CG457" s="608">
        <f t="shared" ref="CG457:CG520" si="582">IF(BU457&gt;0,BI457/BU457,)</f>
        <v>0</v>
      </c>
      <c r="CH457" s="607">
        <f t="shared" ref="CH457:CH520" si="583">IF(BV457&gt;0,BJ457/BV457,)</f>
        <v>5295.8888888888887</v>
      </c>
      <c r="CI457" s="608">
        <f t="shared" ref="CI457:CI520" si="584">IF(BW457&gt;0,BK457/BW457,)</f>
        <v>5414.8145009416194</v>
      </c>
      <c r="CJ457" s="607">
        <f t="shared" ref="CJ457:CJ520" si="585">IF(BX457&gt;0,BL457/BX457,)</f>
        <v>0</v>
      </c>
      <c r="CK457" s="608">
        <f t="shared" ref="CK457:CK520" si="586">IF(BY457&gt;0,BM457/BY457,)</f>
        <v>0</v>
      </c>
      <c r="CL457" s="609">
        <f t="shared" ref="CL457:CL520" si="587">+BZ457*9</f>
        <v>0</v>
      </c>
      <c r="CM457" s="608">
        <f t="shared" ref="CM457:CM520" si="588">+CA457*9</f>
        <v>0</v>
      </c>
      <c r="CN457" s="610">
        <f t="shared" ref="CN457:CN520" si="589">+CB457*9</f>
        <v>0</v>
      </c>
      <c r="CO457" s="606">
        <f t="shared" ref="CO457:CO520" si="590">+CC457*9</f>
        <v>0</v>
      </c>
      <c r="CP457" s="607">
        <f t="shared" ref="CP457:CP520" si="591">+CD457*9</f>
        <v>0</v>
      </c>
      <c r="CQ457" s="606">
        <f t="shared" ref="CQ457:CQ520" si="592">+CE457*9</f>
        <v>0</v>
      </c>
      <c r="CR457" s="607">
        <f t="shared" ref="CR457:CR520" si="593">+CF457*9</f>
        <v>0</v>
      </c>
      <c r="CS457" s="606">
        <f t="shared" ref="CS457:CS520" si="594">+CG457*9</f>
        <v>0</v>
      </c>
      <c r="CT457" s="607">
        <f t="shared" ref="CT457:CT520" si="595">+CH457*9</f>
        <v>47663</v>
      </c>
      <c r="CU457" s="608">
        <f t="shared" ref="CU457:CU520" si="596">+CI457*9</f>
        <v>48733.330508474573</v>
      </c>
      <c r="CV457" s="610">
        <f t="shared" ref="CV457:CV520" si="597">+CJ457*9</f>
        <v>0</v>
      </c>
      <c r="CW457" s="608">
        <f t="shared" ref="CW457:CW520" si="598">+CK457*9</f>
        <v>0</v>
      </c>
      <c r="CX457" s="610">
        <f t="shared" ref="CX457:CX520" si="599">IF(DL457&gt;0,((CL457*CZ457)+(CN457*DB457)+(CP457*DD457)+(CR457*DF457)+(CT457*DH457)+(CV457*DJ457))/DL457,)</f>
        <v>47663</v>
      </c>
      <c r="CY457" s="611">
        <f t="shared" ref="CY457:CY520" si="600">IF(DM457&gt;0,((CM457*DA457)+(CO457*DC457)+(CQ457*DE457)+(CS457*DG457)+(CU457*DI457)+(CW457*DK457))/DM457,)</f>
        <v>48733.330508474573</v>
      </c>
      <c r="CZ457" s="605">
        <f t="shared" ref="CZ457:CZ520" si="601">+F457+H457+J457+L457</f>
        <v>0</v>
      </c>
      <c r="DA457" s="612">
        <f t="shared" ref="DA457:DA520" si="602">+G457+I457+K457+M457</f>
        <v>0</v>
      </c>
      <c r="DB457" s="607">
        <f t="shared" ref="DB457:DB520" si="603">+N457+P457+R457+T457</f>
        <v>0</v>
      </c>
      <c r="DC457" s="606">
        <f t="shared" ref="DC457:DC520" si="604">+O457+Q457+S457+U457</f>
        <v>0</v>
      </c>
      <c r="DD457" s="607">
        <f t="shared" ref="DD457:DD520" si="605">+V457+X457+Z457+AB457</f>
        <v>0</v>
      </c>
      <c r="DE457" s="606">
        <f t="shared" ref="DE457:DE520" si="606">+W457+Y457+AA457+AC457</f>
        <v>0</v>
      </c>
      <c r="DF457" s="607">
        <f t="shared" ref="DF457:DF520" si="607">+AD457+AF457+AH457+AJ457</f>
        <v>0</v>
      </c>
      <c r="DG457" s="606">
        <f t="shared" ref="DG457:DG520" si="608">+AE457+AG457+AI457+AK457</f>
        <v>0</v>
      </c>
      <c r="DH457" s="607">
        <f t="shared" ref="DH457:DH520" si="609">+AL457+AN457+AP457+AR457</f>
        <v>126</v>
      </c>
      <c r="DI457" s="608">
        <f t="shared" ref="DI457:DI520" si="610">+AM457+AO457+AQ457+AS457</f>
        <v>118</v>
      </c>
      <c r="DJ457" s="607">
        <f t="shared" ref="DJ457:DJ520" si="611">+AT457+AV457+AX457+AZ457</f>
        <v>0</v>
      </c>
      <c r="DK457" s="608">
        <f t="shared" ref="DK457:DK520" si="612">+AU457+AW457+AY457+BA457</f>
        <v>0</v>
      </c>
      <c r="DL457" s="607">
        <f t="shared" ref="DL457:DL520" si="613">+CZ457+DB457+DD457+DF457+DH457+DJ457</f>
        <v>126</v>
      </c>
      <c r="DM457" s="608">
        <f t="shared" ref="DM457:DM520" si="614">+DA457+DC457+DE457+DG457+DI457+DK457</f>
        <v>118</v>
      </c>
      <c r="DN457" s="607">
        <f t="shared" ref="DN457:DN520" si="615">+CZ457*CL457</f>
        <v>0</v>
      </c>
      <c r="DO457" s="612">
        <f t="shared" ref="DO457:DO520" si="616">+DA457*CM457</f>
        <v>0</v>
      </c>
      <c r="DP457" s="607">
        <f t="shared" ref="DP457:DP520" si="617">+DB457*CN457</f>
        <v>0</v>
      </c>
      <c r="DQ457" s="606">
        <f t="shared" ref="DQ457:DQ520" si="618">+DC457*CO457</f>
        <v>0</v>
      </c>
      <c r="DR457" s="607">
        <f t="shared" ref="DR457:DR520" si="619">+DD457*CP457</f>
        <v>0</v>
      </c>
      <c r="DS457" s="606">
        <f t="shared" ref="DS457:DS520" si="620">+DE457*CQ457</f>
        <v>0</v>
      </c>
      <c r="DT457" s="607">
        <f t="shared" ref="DT457:DT520" si="621">+DF457*CR457</f>
        <v>0</v>
      </c>
      <c r="DU457" s="606">
        <f t="shared" ref="DU457:DU520" si="622">+DG457*CS457</f>
        <v>0</v>
      </c>
      <c r="DV457" s="607">
        <f t="shared" ref="DV457:DV520" si="623">+DH457*CT457</f>
        <v>6005538</v>
      </c>
      <c r="DW457" s="608">
        <f t="shared" ref="DW457:DW520" si="624">+DI457*CU457</f>
        <v>5750533</v>
      </c>
      <c r="DX457" s="607">
        <f t="shared" ref="DX457:DX520" si="625">+DJ457*CV457</f>
        <v>0</v>
      </c>
      <c r="DY457" s="608">
        <f t="shared" ref="DY457:DY520" si="626">+DK457*CW457</f>
        <v>0</v>
      </c>
      <c r="DZ457" s="607">
        <f t="shared" ref="DZ457:DZ520" si="627">+DL457*CX457</f>
        <v>6005538</v>
      </c>
      <c r="EA457" s="608">
        <f t="shared" ref="EA457:EA520" si="628">+DM457*CY457</f>
        <v>5750533</v>
      </c>
    </row>
    <row r="458" spans="1:131" x14ac:dyDescent="0.2">
      <c r="A458" s="450" t="s">
        <v>21</v>
      </c>
      <c r="B458" s="448" t="s">
        <v>1015</v>
      </c>
      <c r="C458" s="579" t="s">
        <v>680</v>
      </c>
      <c r="D458" s="502">
        <v>217989</v>
      </c>
      <c r="E458" s="503">
        <v>10</v>
      </c>
      <c r="F458" s="598"/>
      <c r="G458" s="599"/>
      <c r="H458" s="600"/>
      <c r="I458" s="601"/>
      <c r="J458" s="600"/>
      <c r="K458" s="599"/>
      <c r="L458" s="600"/>
      <c r="M458" s="601"/>
      <c r="N458" s="600"/>
      <c r="O458" s="599"/>
      <c r="P458" s="600"/>
      <c r="Q458" s="601"/>
      <c r="R458" s="600"/>
      <c r="S458" s="599"/>
      <c r="T458" s="600"/>
      <c r="U458" s="601"/>
      <c r="V458" s="600"/>
      <c r="W458" s="599"/>
      <c r="X458" s="600"/>
      <c r="Y458" s="601"/>
      <c r="Z458" s="600"/>
      <c r="AA458" s="599"/>
      <c r="AB458" s="600"/>
      <c r="AC458" s="601"/>
      <c r="AD458" s="600"/>
      <c r="AE458" s="599"/>
      <c r="AF458" s="600"/>
      <c r="AG458" s="601"/>
      <c r="AH458" s="600"/>
      <c r="AI458" s="599"/>
      <c r="AJ458" s="600"/>
      <c r="AK458" s="601"/>
      <c r="AL458" s="600">
        <v>35</v>
      </c>
      <c r="AM458" s="599">
        <v>34</v>
      </c>
      <c r="AN458" s="600"/>
      <c r="AO458" s="601"/>
      <c r="AP458" s="600"/>
      <c r="AQ458" s="599"/>
      <c r="AR458" s="600"/>
      <c r="AS458" s="601"/>
      <c r="AT458" s="600"/>
      <c r="AU458" s="599"/>
      <c r="AV458" s="600"/>
      <c r="AW458" s="601"/>
      <c r="AX458" s="600"/>
      <c r="AY458" s="599"/>
      <c r="AZ458" s="600"/>
      <c r="BA458" s="601"/>
      <c r="BB458" s="602">
        <v>0</v>
      </c>
      <c r="BC458" s="599"/>
      <c r="BD458" s="600">
        <v>0</v>
      </c>
      <c r="BE458" s="599"/>
      <c r="BF458" s="600">
        <v>0</v>
      </c>
      <c r="BG458" s="599"/>
      <c r="BH458" s="600">
        <v>0</v>
      </c>
      <c r="BI458" s="599"/>
      <c r="BJ458" s="600">
        <v>1367415</v>
      </c>
      <c r="BK458" s="615">
        <v>1341723</v>
      </c>
      <c r="BL458" s="600">
        <v>0</v>
      </c>
      <c r="BM458" s="604"/>
      <c r="BN458" s="605">
        <f t="shared" si="563"/>
        <v>0</v>
      </c>
      <c r="BO458" s="606">
        <f t="shared" si="564"/>
        <v>0</v>
      </c>
      <c r="BP458" s="607">
        <f t="shared" si="565"/>
        <v>0</v>
      </c>
      <c r="BQ458" s="606">
        <f t="shared" si="566"/>
        <v>0</v>
      </c>
      <c r="BR458" s="607">
        <f t="shared" si="567"/>
        <v>0</v>
      </c>
      <c r="BS458" s="606">
        <f t="shared" si="568"/>
        <v>0</v>
      </c>
      <c r="BT458" s="607">
        <f t="shared" si="569"/>
        <v>0</v>
      </c>
      <c r="BU458" s="606">
        <f t="shared" si="570"/>
        <v>0</v>
      </c>
      <c r="BV458" s="607">
        <f t="shared" si="571"/>
        <v>315</v>
      </c>
      <c r="BW458" s="608">
        <f t="shared" si="572"/>
        <v>306</v>
      </c>
      <c r="BX458" s="607">
        <f t="shared" si="573"/>
        <v>0</v>
      </c>
      <c r="BY458" s="608">
        <f t="shared" si="574"/>
        <v>0</v>
      </c>
      <c r="BZ458" s="607">
        <f t="shared" si="575"/>
        <v>0</v>
      </c>
      <c r="CA458" s="608">
        <f t="shared" si="576"/>
        <v>0</v>
      </c>
      <c r="CB458" s="607">
        <f t="shared" si="577"/>
        <v>0</v>
      </c>
      <c r="CC458" s="608">
        <f t="shared" si="578"/>
        <v>0</v>
      </c>
      <c r="CD458" s="607">
        <f t="shared" si="579"/>
        <v>0</v>
      </c>
      <c r="CE458" s="608">
        <f t="shared" si="580"/>
        <v>0</v>
      </c>
      <c r="CF458" s="607">
        <f t="shared" si="581"/>
        <v>0</v>
      </c>
      <c r="CG458" s="608">
        <f t="shared" si="582"/>
        <v>0</v>
      </c>
      <c r="CH458" s="607">
        <f t="shared" si="583"/>
        <v>4341</v>
      </c>
      <c r="CI458" s="608">
        <f t="shared" si="584"/>
        <v>4384.7156862745096</v>
      </c>
      <c r="CJ458" s="607">
        <f t="shared" si="585"/>
        <v>0</v>
      </c>
      <c r="CK458" s="608">
        <f t="shared" si="586"/>
        <v>0</v>
      </c>
      <c r="CL458" s="609">
        <f t="shared" si="587"/>
        <v>0</v>
      </c>
      <c r="CM458" s="608">
        <f t="shared" si="588"/>
        <v>0</v>
      </c>
      <c r="CN458" s="610">
        <f t="shared" si="589"/>
        <v>0</v>
      </c>
      <c r="CO458" s="606">
        <f t="shared" si="590"/>
        <v>0</v>
      </c>
      <c r="CP458" s="607">
        <f t="shared" si="591"/>
        <v>0</v>
      </c>
      <c r="CQ458" s="606">
        <f t="shared" si="592"/>
        <v>0</v>
      </c>
      <c r="CR458" s="607">
        <f t="shared" si="593"/>
        <v>0</v>
      </c>
      <c r="CS458" s="606">
        <f t="shared" si="594"/>
        <v>0</v>
      </c>
      <c r="CT458" s="607">
        <f t="shared" si="595"/>
        <v>39069</v>
      </c>
      <c r="CU458" s="608">
        <f t="shared" si="596"/>
        <v>39462.441176470587</v>
      </c>
      <c r="CV458" s="610">
        <f t="shared" si="597"/>
        <v>0</v>
      </c>
      <c r="CW458" s="608">
        <f t="shared" si="598"/>
        <v>0</v>
      </c>
      <c r="CX458" s="610">
        <f t="shared" si="599"/>
        <v>39069</v>
      </c>
      <c r="CY458" s="611">
        <f t="shared" si="600"/>
        <v>39462.441176470587</v>
      </c>
      <c r="CZ458" s="605">
        <f t="shared" si="601"/>
        <v>0</v>
      </c>
      <c r="DA458" s="612">
        <f t="shared" si="602"/>
        <v>0</v>
      </c>
      <c r="DB458" s="607">
        <f t="shared" si="603"/>
        <v>0</v>
      </c>
      <c r="DC458" s="606">
        <f t="shared" si="604"/>
        <v>0</v>
      </c>
      <c r="DD458" s="607">
        <f t="shared" si="605"/>
        <v>0</v>
      </c>
      <c r="DE458" s="606">
        <f t="shared" si="606"/>
        <v>0</v>
      </c>
      <c r="DF458" s="607">
        <f t="shared" si="607"/>
        <v>0</v>
      </c>
      <c r="DG458" s="606">
        <f t="shared" si="608"/>
        <v>0</v>
      </c>
      <c r="DH458" s="607">
        <f t="shared" si="609"/>
        <v>35</v>
      </c>
      <c r="DI458" s="608">
        <f t="shared" si="610"/>
        <v>34</v>
      </c>
      <c r="DJ458" s="607">
        <f t="shared" si="611"/>
        <v>0</v>
      </c>
      <c r="DK458" s="608">
        <f t="shared" si="612"/>
        <v>0</v>
      </c>
      <c r="DL458" s="607">
        <f t="shared" si="613"/>
        <v>35</v>
      </c>
      <c r="DM458" s="608">
        <f t="shared" si="614"/>
        <v>34</v>
      </c>
      <c r="DN458" s="607">
        <f t="shared" si="615"/>
        <v>0</v>
      </c>
      <c r="DO458" s="612">
        <f t="shared" si="616"/>
        <v>0</v>
      </c>
      <c r="DP458" s="607">
        <f t="shared" si="617"/>
        <v>0</v>
      </c>
      <c r="DQ458" s="606">
        <f t="shared" si="618"/>
        <v>0</v>
      </c>
      <c r="DR458" s="607">
        <f t="shared" si="619"/>
        <v>0</v>
      </c>
      <c r="DS458" s="606">
        <f t="shared" si="620"/>
        <v>0</v>
      </c>
      <c r="DT458" s="607">
        <f t="shared" si="621"/>
        <v>0</v>
      </c>
      <c r="DU458" s="606">
        <f t="shared" si="622"/>
        <v>0</v>
      </c>
      <c r="DV458" s="607">
        <f t="shared" si="623"/>
        <v>1367415</v>
      </c>
      <c r="DW458" s="608">
        <f t="shared" si="624"/>
        <v>1341723</v>
      </c>
      <c r="DX458" s="607">
        <f t="shared" si="625"/>
        <v>0</v>
      </c>
      <c r="DY458" s="608">
        <f t="shared" si="626"/>
        <v>0</v>
      </c>
      <c r="DZ458" s="607">
        <f t="shared" si="627"/>
        <v>1367415</v>
      </c>
      <c r="EA458" s="608">
        <f t="shared" si="628"/>
        <v>1341723</v>
      </c>
    </row>
    <row r="459" spans="1:131" x14ac:dyDescent="0.2">
      <c r="A459" s="450" t="s">
        <v>21</v>
      </c>
      <c r="B459" s="448" t="s">
        <v>1016</v>
      </c>
      <c r="C459" s="579"/>
      <c r="D459" s="502">
        <v>217837</v>
      </c>
      <c r="E459" s="503">
        <v>10</v>
      </c>
      <c r="F459" s="598"/>
      <c r="G459" s="599"/>
      <c r="H459" s="600"/>
      <c r="I459" s="601"/>
      <c r="J459" s="600"/>
      <c r="K459" s="599"/>
      <c r="L459" s="600"/>
      <c r="M459" s="601"/>
      <c r="N459" s="600"/>
      <c r="O459" s="599"/>
      <c r="P459" s="600"/>
      <c r="Q459" s="601"/>
      <c r="R459" s="600"/>
      <c r="S459" s="599"/>
      <c r="T459" s="600"/>
      <c r="U459" s="601"/>
      <c r="V459" s="600"/>
      <c r="W459" s="599"/>
      <c r="X459" s="600"/>
      <c r="Y459" s="601"/>
      <c r="Z459" s="600"/>
      <c r="AA459" s="599"/>
      <c r="AB459" s="600"/>
      <c r="AC459" s="601"/>
      <c r="AD459" s="600"/>
      <c r="AE459" s="599"/>
      <c r="AF459" s="600"/>
      <c r="AG459" s="601"/>
      <c r="AH459" s="600"/>
      <c r="AI459" s="599"/>
      <c r="AJ459" s="600"/>
      <c r="AK459" s="601"/>
      <c r="AL459" s="600">
        <v>27</v>
      </c>
      <c r="AM459" s="599">
        <v>27</v>
      </c>
      <c r="AN459" s="600"/>
      <c r="AO459" s="601"/>
      <c r="AP459" s="600"/>
      <c r="AQ459" s="599"/>
      <c r="AR459" s="600"/>
      <c r="AS459" s="601"/>
      <c r="AT459" s="600"/>
      <c r="AU459" s="599"/>
      <c r="AV459" s="600"/>
      <c r="AW459" s="601"/>
      <c r="AX459" s="600"/>
      <c r="AY459" s="599"/>
      <c r="AZ459" s="600"/>
      <c r="BA459" s="601"/>
      <c r="BB459" s="602">
        <v>0</v>
      </c>
      <c r="BC459" s="599"/>
      <c r="BD459" s="600">
        <v>0</v>
      </c>
      <c r="BE459" s="599"/>
      <c r="BF459" s="600">
        <v>0</v>
      </c>
      <c r="BG459" s="599"/>
      <c r="BH459" s="600">
        <v>0</v>
      </c>
      <c r="BI459" s="599"/>
      <c r="BJ459" s="600">
        <v>947079</v>
      </c>
      <c r="BK459" s="615">
        <v>928061</v>
      </c>
      <c r="BL459" s="600">
        <v>0</v>
      </c>
      <c r="BM459" s="604"/>
      <c r="BN459" s="605">
        <f t="shared" si="563"/>
        <v>0</v>
      </c>
      <c r="BO459" s="606">
        <f t="shared" si="564"/>
        <v>0</v>
      </c>
      <c r="BP459" s="607">
        <f t="shared" si="565"/>
        <v>0</v>
      </c>
      <c r="BQ459" s="606">
        <f t="shared" si="566"/>
        <v>0</v>
      </c>
      <c r="BR459" s="607">
        <f t="shared" si="567"/>
        <v>0</v>
      </c>
      <c r="BS459" s="606">
        <f t="shared" si="568"/>
        <v>0</v>
      </c>
      <c r="BT459" s="607">
        <f t="shared" si="569"/>
        <v>0</v>
      </c>
      <c r="BU459" s="606">
        <f t="shared" si="570"/>
        <v>0</v>
      </c>
      <c r="BV459" s="607">
        <f t="shared" si="571"/>
        <v>243</v>
      </c>
      <c r="BW459" s="608">
        <f t="shared" si="572"/>
        <v>243</v>
      </c>
      <c r="BX459" s="607">
        <f t="shared" si="573"/>
        <v>0</v>
      </c>
      <c r="BY459" s="608">
        <f t="shared" si="574"/>
        <v>0</v>
      </c>
      <c r="BZ459" s="607">
        <f t="shared" si="575"/>
        <v>0</v>
      </c>
      <c r="CA459" s="608">
        <f t="shared" si="576"/>
        <v>0</v>
      </c>
      <c r="CB459" s="607">
        <f t="shared" si="577"/>
        <v>0</v>
      </c>
      <c r="CC459" s="608">
        <f t="shared" si="578"/>
        <v>0</v>
      </c>
      <c r="CD459" s="607">
        <f t="shared" si="579"/>
        <v>0</v>
      </c>
      <c r="CE459" s="608">
        <f t="shared" si="580"/>
        <v>0</v>
      </c>
      <c r="CF459" s="607">
        <f t="shared" si="581"/>
        <v>0</v>
      </c>
      <c r="CG459" s="608">
        <f t="shared" si="582"/>
        <v>0</v>
      </c>
      <c r="CH459" s="607">
        <f t="shared" si="583"/>
        <v>3897.4444444444443</v>
      </c>
      <c r="CI459" s="608">
        <f t="shared" si="584"/>
        <v>3819.1810699588477</v>
      </c>
      <c r="CJ459" s="607">
        <f t="shared" si="585"/>
        <v>0</v>
      </c>
      <c r="CK459" s="608">
        <f t="shared" si="586"/>
        <v>0</v>
      </c>
      <c r="CL459" s="609">
        <f t="shared" si="587"/>
        <v>0</v>
      </c>
      <c r="CM459" s="608">
        <f t="shared" si="588"/>
        <v>0</v>
      </c>
      <c r="CN459" s="610">
        <f t="shared" si="589"/>
        <v>0</v>
      </c>
      <c r="CO459" s="606">
        <f t="shared" si="590"/>
        <v>0</v>
      </c>
      <c r="CP459" s="607">
        <f t="shared" si="591"/>
        <v>0</v>
      </c>
      <c r="CQ459" s="606">
        <f t="shared" si="592"/>
        <v>0</v>
      </c>
      <c r="CR459" s="607">
        <f t="shared" si="593"/>
        <v>0</v>
      </c>
      <c r="CS459" s="606">
        <f t="shared" si="594"/>
        <v>0</v>
      </c>
      <c r="CT459" s="607">
        <f t="shared" si="595"/>
        <v>35077</v>
      </c>
      <c r="CU459" s="608">
        <f t="shared" si="596"/>
        <v>34372.629629629628</v>
      </c>
      <c r="CV459" s="610">
        <f t="shared" si="597"/>
        <v>0</v>
      </c>
      <c r="CW459" s="608">
        <f t="shared" si="598"/>
        <v>0</v>
      </c>
      <c r="CX459" s="610">
        <f t="shared" si="599"/>
        <v>35077</v>
      </c>
      <c r="CY459" s="611">
        <f t="shared" si="600"/>
        <v>34372.629629629628</v>
      </c>
      <c r="CZ459" s="605">
        <f t="shared" si="601"/>
        <v>0</v>
      </c>
      <c r="DA459" s="612">
        <f t="shared" si="602"/>
        <v>0</v>
      </c>
      <c r="DB459" s="607">
        <f t="shared" si="603"/>
        <v>0</v>
      </c>
      <c r="DC459" s="606">
        <f t="shared" si="604"/>
        <v>0</v>
      </c>
      <c r="DD459" s="607">
        <f t="shared" si="605"/>
        <v>0</v>
      </c>
      <c r="DE459" s="606">
        <f t="shared" si="606"/>
        <v>0</v>
      </c>
      <c r="DF459" s="607">
        <f t="shared" si="607"/>
        <v>0</v>
      </c>
      <c r="DG459" s="606">
        <f t="shared" si="608"/>
        <v>0</v>
      </c>
      <c r="DH459" s="607">
        <f t="shared" si="609"/>
        <v>27</v>
      </c>
      <c r="DI459" s="608">
        <f t="shared" si="610"/>
        <v>27</v>
      </c>
      <c r="DJ459" s="607">
        <f t="shared" si="611"/>
        <v>0</v>
      </c>
      <c r="DK459" s="608">
        <f t="shared" si="612"/>
        <v>0</v>
      </c>
      <c r="DL459" s="607">
        <f t="shared" si="613"/>
        <v>27</v>
      </c>
      <c r="DM459" s="608">
        <f t="shared" si="614"/>
        <v>27</v>
      </c>
      <c r="DN459" s="607">
        <f t="shared" si="615"/>
        <v>0</v>
      </c>
      <c r="DO459" s="612">
        <f t="shared" si="616"/>
        <v>0</v>
      </c>
      <c r="DP459" s="607">
        <f t="shared" si="617"/>
        <v>0</v>
      </c>
      <c r="DQ459" s="606">
        <f t="shared" si="618"/>
        <v>0</v>
      </c>
      <c r="DR459" s="607">
        <f t="shared" si="619"/>
        <v>0</v>
      </c>
      <c r="DS459" s="606">
        <f t="shared" si="620"/>
        <v>0</v>
      </c>
      <c r="DT459" s="607">
        <f t="shared" si="621"/>
        <v>0</v>
      </c>
      <c r="DU459" s="606">
        <f t="shared" si="622"/>
        <v>0</v>
      </c>
      <c r="DV459" s="607">
        <f t="shared" si="623"/>
        <v>947079</v>
      </c>
      <c r="DW459" s="608">
        <f t="shared" si="624"/>
        <v>928061</v>
      </c>
      <c r="DX459" s="607">
        <f t="shared" si="625"/>
        <v>0</v>
      </c>
      <c r="DY459" s="608">
        <f t="shared" si="626"/>
        <v>0</v>
      </c>
      <c r="DZ459" s="607">
        <f t="shared" si="627"/>
        <v>947079</v>
      </c>
      <c r="EA459" s="608">
        <f t="shared" si="628"/>
        <v>928061</v>
      </c>
    </row>
    <row r="460" spans="1:131" x14ac:dyDescent="0.2">
      <c r="A460" s="450" t="s">
        <v>21</v>
      </c>
      <c r="B460" s="448" t="s">
        <v>1017</v>
      </c>
      <c r="C460" s="579"/>
      <c r="D460" s="502">
        <v>217712</v>
      </c>
      <c r="E460" s="503">
        <v>10</v>
      </c>
      <c r="F460" s="598"/>
      <c r="G460" s="599"/>
      <c r="H460" s="600"/>
      <c r="I460" s="601"/>
      <c r="J460" s="600"/>
      <c r="K460" s="599"/>
      <c r="L460" s="600"/>
      <c r="M460" s="601"/>
      <c r="N460" s="600"/>
      <c r="O460" s="599"/>
      <c r="P460" s="600"/>
      <c r="Q460" s="601"/>
      <c r="R460" s="600"/>
      <c r="S460" s="599"/>
      <c r="T460" s="600"/>
      <c r="U460" s="601"/>
      <c r="V460" s="600"/>
      <c r="W460" s="599"/>
      <c r="X460" s="600"/>
      <c r="Y460" s="601"/>
      <c r="Z460" s="600"/>
      <c r="AA460" s="599"/>
      <c r="AB460" s="600"/>
      <c r="AC460" s="601"/>
      <c r="AD460" s="600"/>
      <c r="AE460" s="599"/>
      <c r="AF460" s="600"/>
      <c r="AG460" s="601"/>
      <c r="AH460" s="600"/>
      <c r="AI460" s="599"/>
      <c r="AJ460" s="600"/>
      <c r="AK460" s="601"/>
      <c r="AL460" s="600">
        <v>48</v>
      </c>
      <c r="AM460" s="599">
        <v>48</v>
      </c>
      <c r="AN460" s="600"/>
      <c r="AO460" s="601"/>
      <c r="AP460" s="600"/>
      <c r="AQ460" s="599"/>
      <c r="AR460" s="600"/>
      <c r="AS460" s="601"/>
      <c r="AT460" s="600"/>
      <c r="AU460" s="599"/>
      <c r="AV460" s="600"/>
      <c r="AW460" s="601"/>
      <c r="AX460" s="600"/>
      <c r="AY460" s="599"/>
      <c r="AZ460" s="600"/>
      <c r="BA460" s="601"/>
      <c r="BB460" s="602">
        <v>0</v>
      </c>
      <c r="BC460" s="599"/>
      <c r="BD460" s="600">
        <v>0</v>
      </c>
      <c r="BE460" s="599"/>
      <c r="BF460" s="600">
        <v>0</v>
      </c>
      <c r="BG460" s="599"/>
      <c r="BH460" s="600">
        <v>0</v>
      </c>
      <c r="BI460" s="599"/>
      <c r="BJ460" s="600">
        <v>2361936</v>
      </c>
      <c r="BK460" s="615">
        <v>2402507</v>
      </c>
      <c r="BL460" s="600">
        <v>0</v>
      </c>
      <c r="BM460" s="604"/>
      <c r="BN460" s="605">
        <f t="shared" si="563"/>
        <v>0</v>
      </c>
      <c r="BO460" s="606">
        <f t="shared" si="564"/>
        <v>0</v>
      </c>
      <c r="BP460" s="607">
        <f t="shared" si="565"/>
        <v>0</v>
      </c>
      <c r="BQ460" s="606">
        <f t="shared" si="566"/>
        <v>0</v>
      </c>
      <c r="BR460" s="607">
        <f t="shared" si="567"/>
        <v>0</v>
      </c>
      <c r="BS460" s="606">
        <f t="shared" si="568"/>
        <v>0</v>
      </c>
      <c r="BT460" s="607">
        <f t="shared" si="569"/>
        <v>0</v>
      </c>
      <c r="BU460" s="606">
        <f t="shared" si="570"/>
        <v>0</v>
      </c>
      <c r="BV460" s="607">
        <f t="shared" si="571"/>
        <v>432</v>
      </c>
      <c r="BW460" s="608">
        <f t="shared" si="572"/>
        <v>432</v>
      </c>
      <c r="BX460" s="607">
        <f t="shared" si="573"/>
        <v>0</v>
      </c>
      <c r="BY460" s="608">
        <f t="shared" si="574"/>
        <v>0</v>
      </c>
      <c r="BZ460" s="607">
        <f t="shared" si="575"/>
        <v>0</v>
      </c>
      <c r="CA460" s="608">
        <f t="shared" si="576"/>
        <v>0</v>
      </c>
      <c r="CB460" s="607">
        <f t="shared" si="577"/>
        <v>0</v>
      </c>
      <c r="CC460" s="608">
        <f t="shared" si="578"/>
        <v>0</v>
      </c>
      <c r="CD460" s="607">
        <f t="shared" si="579"/>
        <v>0</v>
      </c>
      <c r="CE460" s="608">
        <f t="shared" si="580"/>
        <v>0</v>
      </c>
      <c r="CF460" s="607">
        <f t="shared" si="581"/>
        <v>0</v>
      </c>
      <c r="CG460" s="608">
        <f t="shared" si="582"/>
        <v>0</v>
      </c>
      <c r="CH460" s="607">
        <f t="shared" si="583"/>
        <v>5467.4444444444443</v>
      </c>
      <c r="CI460" s="608">
        <f t="shared" si="584"/>
        <v>5561.3587962962965</v>
      </c>
      <c r="CJ460" s="607">
        <f t="shared" si="585"/>
        <v>0</v>
      </c>
      <c r="CK460" s="608">
        <f t="shared" si="586"/>
        <v>0</v>
      </c>
      <c r="CL460" s="609">
        <f t="shared" si="587"/>
        <v>0</v>
      </c>
      <c r="CM460" s="608">
        <f t="shared" si="588"/>
        <v>0</v>
      </c>
      <c r="CN460" s="610">
        <f t="shared" si="589"/>
        <v>0</v>
      </c>
      <c r="CO460" s="606">
        <f t="shared" si="590"/>
        <v>0</v>
      </c>
      <c r="CP460" s="607">
        <f t="shared" si="591"/>
        <v>0</v>
      </c>
      <c r="CQ460" s="606">
        <f t="shared" si="592"/>
        <v>0</v>
      </c>
      <c r="CR460" s="607">
        <f t="shared" si="593"/>
        <v>0</v>
      </c>
      <c r="CS460" s="606">
        <f t="shared" si="594"/>
        <v>0</v>
      </c>
      <c r="CT460" s="607">
        <f t="shared" si="595"/>
        <v>49207</v>
      </c>
      <c r="CU460" s="608">
        <f t="shared" si="596"/>
        <v>50052.229166666672</v>
      </c>
      <c r="CV460" s="610">
        <f t="shared" si="597"/>
        <v>0</v>
      </c>
      <c r="CW460" s="608">
        <f t="shared" si="598"/>
        <v>0</v>
      </c>
      <c r="CX460" s="610">
        <f t="shared" si="599"/>
        <v>49207</v>
      </c>
      <c r="CY460" s="611">
        <f t="shared" si="600"/>
        <v>50052.229166666664</v>
      </c>
      <c r="CZ460" s="605">
        <f t="shared" si="601"/>
        <v>0</v>
      </c>
      <c r="DA460" s="612">
        <f t="shared" si="602"/>
        <v>0</v>
      </c>
      <c r="DB460" s="607">
        <f t="shared" si="603"/>
        <v>0</v>
      </c>
      <c r="DC460" s="606">
        <f t="shared" si="604"/>
        <v>0</v>
      </c>
      <c r="DD460" s="607">
        <f t="shared" si="605"/>
        <v>0</v>
      </c>
      <c r="DE460" s="606">
        <f t="shared" si="606"/>
        <v>0</v>
      </c>
      <c r="DF460" s="607">
        <f t="shared" si="607"/>
        <v>0</v>
      </c>
      <c r="DG460" s="606">
        <f t="shared" si="608"/>
        <v>0</v>
      </c>
      <c r="DH460" s="607">
        <f t="shared" si="609"/>
        <v>48</v>
      </c>
      <c r="DI460" s="608">
        <f t="shared" si="610"/>
        <v>48</v>
      </c>
      <c r="DJ460" s="607">
        <f t="shared" si="611"/>
        <v>0</v>
      </c>
      <c r="DK460" s="608">
        <f t="shared" si="612"/>
        <v>0</v>
      </c>
      <c r="DL460" s="607">
        <f t="shared" si="613"/>
        <v>48</v>
      </c>
      <c r="DM460" s="608">
        <f t="shared" si="614"/>
        <v>48</v>
      </c>
      <c r="DN460" s="607">
        <f t="shared" si="615"/>
        <v>0</v>
      </c>
      <c r="DO460" s="612">
        <f t="shared" si="616"/>
        <v>0</v>
      </c>
      <c r="DP460" s="607">
        <f t="shared" si="617"/>
        <v>0</v>
      </c>
      <c r="DQ460" s="606">
        <f t="shared" si="618"/>
        <v>0</v>
      </c>
      <c r="DR460" s="607">
        <f t="shared" si="619"/>
        <v>0</v>
      </c>
      <c r="DS460" s="606">
        <f t="shared" si="620"/>
        <v>0</v>
      </c>
      <c r="DT460" s="607">
        <f t="shared" si="621"/>
        <v>0</v>
      </c>
      <c r="DU460" s="606">
        <f t="shared" si="622"/>
        <v>0</v>
      </c>
      <c r="DV460" s="607">
        <f t="shared" si="623"/>
        <v>2361936</v>
      </c>
      <c r="DW460" s="608">
        <f t="shared" si="624"/>
        <v>2402507</v>
      </c>
      <c r="DX460" s="607">
        <f t="shared" si="625"/>
        <v>0</v>
      </c>
      <c r="DY460" s="608">
        <f t="shared" si="626"/>
        <v>0</v>
      </c>
      <c r="DZ460" s="607">
        <f t="shared" si="627"/>
        <v>2361936</v>
      </c>
      <c r="EA460" s="608">
        <f t="shared" si="628"/>
        <v>2402507</v>
      </c>
    </row>
    <row r="461" spans="1:131" x14ac:dyDescent="0.2">
      <c r="A461" s="450" t="s">
        <v>21</v>
      </c>
      <c r="B461" s="448" t="s">
        <v>1018</v>
      </c>
      <c r="C461" s="579"/>
      <c r="D461" s="502">
        <v>218672</v>
      </c>
      <c r="E461" s="503">
        <v>10</v>
      </c>
      <c r="F461" s="598">
        <v>5</v>
      </c>
      <c r="G461" s="599">
        <v>4</v>
      </c>
      <c r="H461" s="600"/>
      <c r="I461" s="601"/>
      <c r="J461" s="600"/>
      <c r="K461" s="599"/>
      <c r="L461" s="600"/>
      <c r="M461" s="601"/>
      <c r="N461" s="600">
        <v>4</v>
      </c>
      <c r="O461" s="599">
        <v>3</v>
      </c>
      <c r="P461" s="600"/>
      <c r="Q461" s="601"/>
      <c r="R461" s="600">
        <v>1</v>
      </c>
      <c r="S461" s="599"/>
      <c r="T461" s="600"/>
      <c r="U461" s="601">
        <v>1</v>
      </c>
      <c r="V461" s="600">
        <v>17</v>
      </c>
      <c r="W461" s="599">
        <v>17</v>
      </c>
      <c r="X461" s="600"/>
      <c r="Y461" s="601"/>
      <c r="Z461" s="600">
        <v>1</v>
      </c>
      <c r="AA461" s="599"/>
      <c r="AB461" s="600"/>
      <c r="AC461" s="601">
        <v>1</v>
      </c>
      <c r="AD461" s="600">
        <v>19</v>
      </c>
      <c r="AE461" s="599">
        <v>22</v>
      </c>
      <c r="AF461" s="600"/>
      <c r="AG461" s="601">
        <v>1</v>
      </c>
      <c r="AH461" s="600">
        <v>2</v>
      </c>
      <c r="AI461" s="599"/>
      <c r="AJ461" s="600"/>
      <c r="AK461" s="601">
        <v>2</v>
      </c>
      <c r="AL461" s="600"/>
      <c r="AM461" s="599"/>
      <c r="AN461" s="600"/>
      <c r="AO461" s="601"/>
      <c r="AP461" s="600"/>
      <c r="AQ461" s="599"/>
      <c r="AR461" s="600"/>
      <c r="AS461" s="601"/>
      <c r="AT461" s="600"/>
      <c r="AU461" s="599"/>
      <c r="AV461" s="600"/>
      <c r="AW461" s="601"/>
      <c r="AX461" s="600"/>
      <c r="AY461" s="599"/>
      <c r="AZ461" s="600"/>
      <c r="BA461" s="601"/>
      <c r="BB461" s="602">
        <v>328220</v>
      </c>
      <c r="BC461" s="599">
        <v>267740</v>
      </c>
      <c r="BD461" s="600">
        <v>307808</v>
      </c>
      <c r="BE461" s="599">
        <v>247870</v>
      </c>
      <c r="BF461" s="600">
        <v>839132</v>
      </c>
      <c r="BG461" s="599">
        <v>864297</v>
      </c>
      <c r="BH461" s="600">
        <v>1021270</v>
      </c>
      <c r="BI461" s="599">
        <v>1248070.236</v>
      </c>
      <c r="BJ461" s="600">
        <v>0</v>
      </c>
      <c r="BK461" s="615"/>
      <c r="BL461" s="600">
        <v>0</v>
      </c>
      <c r="BM461" s="604"/>
      <c r="BN461" s="605">
        <f t="shared" si="563"/>
        <v>45</v>
      </c>
      <c r="BO461" s="606">
        <f t="shared" si="564"/>
        <v>36</v>
      </c>
      <c r="BP461" s="607">
        <f t="shared" si="565"/>
        <v>47</v>
      </c>
      <c r="BQ461" s="606">
        <f t="shared" si="566"/>
        <v>39</v>
      </c>
      <c r="BR461" s="607">
        <f t="shared" si="567"/>
        <v>164</v>
      </c>
      <c r="BS461" s="606">
        <f t="shared" si="568"/>
        <v>165</v>
      </c>
      <c r="BT461" s="607">
        <f t="shared" si="569"/>
        <v>193</v>
      </c>
      <c r="BU461" s="606">
        <f t="shared" si="570"/>
        <v>232</v>
      </c>
      <c r="BV461" s="607">
        <f t="shared" si="571"/>
        <v>0</v>
      </c>
      <c r="BW461" s="608">
        <f t="shared" si="572"/>
        <v>0</v>
      </c>
      <c r="BX461" s="607">
        <f t="shared" si="573"/>
        <v>0</v>
      </c>
      <c r="BY461" s="608">
        <f t="shared" si="574"/>
        <v>0</v>
      </c>
      <c r="BZ461" s="607">
        <f t="shared" si="575"/>
        <v>7293.7777777777774</v>
      </c>
      <c r="CA461" s="608">
        <f t="shared" si="576"/>
        <v>7437.2222222222226</v>
      </c>
      <c r="CB461" s="607">
        <f t="shared" si="577"/>
        <v>6549.1063829787236</v>
      </c>
      <c r="CC461" s="608">
        <f t="shared" si="578"/>
        <v>6355.6410256410254</v>
      </c>
      <c r="CD461" s="607">
        <f t="shared" si="579"/>
        <v>5116.6585365853662</v>
      </c>
      <c r="CE461" s="608">
        <f t="shared" si="580"/>
        <v>5238.1636363636362</v>
      </c>
      <c r="CF461" s="607">
        <f t="shared" si="581"/>
        <v>5291.5544041450776</v>
      </c>
      <c r="CG461" s="608">
        <f t="shared" si="582"/>
        <v>5379.6130862068967</v>
      </c>
      <c r="CH461" s="607">
        <f t="shared" si="583"/>
        <v>0</v>
      </c>
      <c r="CI461" s="608">
        <f t="shared" si="584"/>
        <v>0</v>
      </c>
      <c r="CJ461" s="607">
        <f t="shared" si="585"/>
        <v>0</v>
      </c>
      <c r="CK461" s="608">
        <f t="shared" si="586"/>
        <v>0</v>
      </c>
      <c r="CL461" s="609">
        <f t="shared" si="587"/>
        <v>65644</v>
      </c>
      <c r="CM461" s="608">
        <f t="shared" si="588"/>
        <v>66935</v>
      </c>
      <c r="CN461" s="610">
        <f t="shared" si="589"/>
        <v>58941.957446808512</v>
      </c>
      <c r="CO461" s="606">
        <f t="shared" si="590"/>
        <v>57200.769230769227</v>
      </c>
      <c r="CP461" s="607">
        <f t="shared" si="591"/>
        <v>46049.926829268297</v>
      </c>
      <c r="CQ461" s="606">
        <f t="shared" si="592"/>
        <v>47143.472727272725</v>
      </c>
      <c r="CR461" s="607">
        <f t="shared" si="593"/>
        <v>47623.989637305698</v>
      </c>
      <c r="CS461" s="606">
        <f t="shared" si="594"/>
        <v>48416.51777586207</v>
      </c>
      <c r="CT461" s="607">
        <f t="shared" si="595"/>
        <v>0</v>
      </c>
      <c r="CU461" s="608">
        <f t="shared" si="596"/>
        <v>0</v>
      </c>
      <c r="CV461" s="610">
        <f t="shared" si="597"/>
        <v>0</v>
      </c>
      <c r="CW461" s="608">
        <f t="shared" si="598"/>
        <v>0</v>
      </c>
      <c r="CX461" s="610">
        <f t="shared" si="599"/>
        <v>50039.433725393697</v>
      </c>
      <c r="CY461" s="611">
        <f t="shared" si="600"/>
        <v>50108.598635500734</v>
      </c>
      <c r="CZ461" s="605">
        <f t="shared" si="601"/>
        <v>5</v>
      </c>
      <c r="DA461" s="612">
        <f t="shared" si="602"/>
        <v>4</v>
      </c>
      <c r="DB461" s="607">
        <f t="shared" si="603"/>
        <v>5</v>
      </c>
      <c r="DC461" s="606">
        <f t="shared" si="604"/>
        <v>4</v>
      </c>
      <c r="DD461" s="607">
        <f t="shared" si="605"/>
        <v>18</v>
      </c>
      <c r="DE461" s="606">
        <f t="shared" si="606"/>
        <v>18</v>
      </c>
      <c r="DF461" s="607">
        <f t="shared" si="607"/>
        <v>21</v>
      </c>
      <c r="DG461" s="606">
        <f t="shared" si="608"/>
        <v>25</v>
      </c>
      <c r="DH461" s="607">
        <f t="shared" si="609"/>
        <v>0</v>
      </c>
      <c r="DI461" s="608">
        <f t="shared" si="610"/>
        <v>0</v>
      </c>
      <c r="DJ461" s="607">
        <f t="shared" si="611"/>
        <v>0</v>
      </c>
      <c r="DK461" s="608">
        <f t="shared" si="612"/>
        <v>0</v>
      </c>
      <c r="DL461" s="607">
        <f t="shared" si="613"/>
        <v>49</v>
      </c>
      <c r="DM461" s="608">
        <f t="shared" si="614"/>
        <v>51</v>
      </c>
      <c r="DN461" s="607">
        <f t="shared" si="615"/>
        <v>328220</v>
      </c>
      <c r="DO461" s="612">
        <f t="shared" si="616"/>
        <v>267740</v>
      </c>
      <c r="DP461" s="607">
        <f t="shared" si="617"/>
        <v>294709.78723404254</v>
      </c>
      <c r="DQ461" s="606">
        <f t="shared" si="618"/>
        <v>228803.07692307691</v>
      </c>
      <c r="DR461" s="607">
        <f t="shared" si="619"/>
        <v>828898.68292682932</v>
      </c>
      <c r="DS461" s="606">
        <f t="shared" si="620"/>
        <v>848582.50909090904</v>
      </c>
      <c r="DT461" s="607">
        <f t="shared" si="621"/>
        <v>1000103.7823834197</v>
      </c>
      <c r="DU461" s="606">
        <f t="shared" si="622"/>
        <v>1210412.9443965517</v>
      </c>
      <c r="DV461" s="607">
        <f t="shared" si="623"/>
        <v>0</v>
      </c>
      <c r="DW461" s="608">
        <f t="shared" si="624"/>
        <v>0</v>
      </c>
      <c r="DX461" s="607">
        <f t="shared" si="625"/>
        <v>0</v>
      </c>
      <c r="DY461" s="608">
        <f t="shared" si="626"/>
        <v>0</v>
      </c>
      <c r="DZ461" s="607">
        <f t="shared" si="627"/>
        <v>2451932.2525442913</v>
      </c>
      <c r="EA461" s="608">
        <f t="shared" si="628"/>
        <v>2555538.5304105375</v>
      </c>
    </row>
    <row r="462" spans="1:131" x14ac:dyDescent="0.2">
      <c r="A462" s="450" t="s">
        <v>21</v>
      </c>
      <c r="B462" s="448" t="s">
        <v>1019</v>
      </c>
      <c r="C462" s="579"/>
      <c r="D462" s="502">
        <v>218681</v>
      </c>
      <c r="E462" s="503">
        <v>10</v>
      </c>
      <c r="F462" s="598">
        <v>1</v>
      </c>
      <c r="G462" s="599">
        <v>1</v>
      </c>
      <c r="H462" s="600"/>
      <c r="I462" s="601"/>
      <c r="J462" s="600"/>
      <c r="K462" s="599"/>
      <c r="L462" s="600"/>
      <c r="M462" s="601"/>
      <c r="N462" s="600">
        <v>3</v>
      </c>
      <c r="O462" s="599">
        <v>4</v>
      </c>
      <c r="P462" s="600"/>
      <c r="Q462" s="601"/>
      <c r="R462" s="600">
        <v>1</v>
      </c>
      <c r="S462" s="599"/>
      <c r="T462" s="600"/>
      <c r="U462" s="601"/>
      <c r="V462" s="600">
        <v>11</v>
      </c>
      <c r="W462" s="599">
        <v>9</v>
      </c>
      <c r="X462" s="600"/>
      <c r="Y462" s="601"/>
      <c r="Z462" s="600"/>
      <c r="AA462" s="599"/>
      <c r="AB462" s="600"/>
      <c r="AC462" s="601"/>
      <c r="AD462" s="600">
        <v>3</v>
      </c>
      <c r="AE462" s="599">
        <v>3</v>
      </c>
      <c r="AF462" s="600"/>
      <c r="AG462" s="601"/>
      <c r="AH462" s="600">
        <v>1</v>
      </c>
      <c r="AI462" s="599"/>
      <c r="AJ462" s="600"/>
      <c r="AK462" s="601">
        <v>1</v>
      </c>
      <c r="AL462" s="600"/>
      <c r="AM462" s="599"/>
      <c r="AN462" s="600"/>
      <c r="AO462" s="601"/>
      <c r="AP462" s="600"/>
      <c r="AQ462" s="599"/>
      <c r="AR462" s="600"/>
      <c r="AS462" s="601"/>
      <c r="AT462" s="600"/>
      <c r="AU462" s="599"/>
      <c r="AV462" s="600"/>
      <c r="AW462" s="601"/>
      <c r="AX462" s="600"/>
      <c r="AY462" s="599"/>
      <c r="AZ462" s="600"/>
      <c r="BA462" s="601"/>
      <c r="BB462" s="602">
        <v>57256</v>
      </c>
      <c r="BC462" s="599">
        <v>58973</v>
      </c>
      <c r="BD462" s="600">
        <v>196381</v>
      </c>
      <c r="BE462" s="599">
        <v>218982</v>
      </c>
      <c r="BF462" s="600">
        <v>502216</v>
      </c>
      <c r="BG462" s="599">
        <v>404825</v>
      </c>
      <c r="BH462" s="600">
        <v>159838</v>
      </c>
      <c r="BI462" s="599">
        <v>164633</v>
      </c>
      <c r="BJ462" s="600">
        <v>0</v>
      </c>
      <c r="BK462" s="615"/>
      <c r="BL462" s="600">
        <v>0</v>
      </c>
      <c r="BM462" s="604"/>
      <c r="BN462" s="605">
        <f t="shared" si="563"/>
        <v>9</v>
      </c>
      <c r="BO462" s="606">
        <f t="shared" si="564"/>
        <v>9</v>
      </c>
      <c r="BP462" s="607">
        <f t="shared" si="565"/>
        <v>38</v>
      </c>
      <c r="BQ462" s="606">
        <f t="shared" si="566"/>
        <v>36</v>
      </c>
      <c r="BR462" s="607">
        <f t="shared" si="567"/>
        <v>99</v>
      </c>
      <c r="BS462" s="606">
        <f t="shared" si="568"/>
        <v>81</v>
      </c>
      <c r="BT462" s="607">
        <f t="shared" si="569"/>
        <v>38</v>
      </c>
      <c r="BU462" s="606">
        <f t="shared" si="570"/>
        <v>39</v>
      </c>
      <c r="BV462" s="607">
        <f t="shared" si="571"/>
        <v>0</v>
      </c>
      <c r="BW462" s="608">
        <f t="shared" si="572"/>
        <v>0</v>
      </c>
      <c r="BX462" s="607">
        <f t="shared" si="573"/>
        <v>0</v>
      </c>
      <c r="BY462" s="608">
        <f t="shared" si="574"/>
        <v>0</v>
      </c>
      <c r="BZ462" s="607">
        <f t="shared" si="575"/>
        <v>6361.7777777777774</v>
      </c>
      <c r="CA462" s="608">
        <f t="shared" si="576"/>
        <v>6552.5555555555557</v>
      </c>
      <c r="CB462" s="607">
        <f t="shared" si="577"/>
        <v>5167.9210526315792</v>
      </c>
      <c r="CC462" s="608">
        <f t="shared" si="578"/>
        <v>6082.833333333333</v>
      </c>
      <c r="CD462" s="607">
        <f t="shared" si="579"/>
        <v>5072.8888888888887</v>
      </c>
      <c r="CE462" s="608">
        <f t="shared" si="580"/>
        <v>4997.8395061728397</v>
      </c>
      <c r="CF462" s="607">
        <f t="shared" si="581"/>
        <v>4206.2631578947367</v>
      </c>
      <c r="CG462" s="608">
        <f t="shared" si="582"/>
        <v>4221.3589743589746</v>
      </c>
      <c r="CH462" s="607">
        <f t="shared" si="583"/>
        <v>0</v>
      </c>
      <c r="CI462" s="608">
        <f t="shared" si="584"/>
        <v>0</v>
      </c>
      <c r="CJ462" s="607">
        <f t="shared" si="585"/>
        <v>0</v>
      </c>
      <c r="CK462" s="608">
        <f t="shared" si="586"/>
        <v>0</v>
      </c>
      <c r="CL462" s="609">
        <f t="shared" si="587"/>
        <v>57256</v>
      </c>
      <c r="CM462" s="608">
        <f t="shared" si="588"/>
        <v>58973</v>
      </c>
      <c r="CN462" s="610">
        <f t="shared" si="589"/>
        <v>46511.289473684214</v>
      </c>
      <c r="CO462" s="606">
        <f t="shared" si="590"/>
        <v>54745.5</v>
      </c>
      <c r="CP462" s="607">
        <f t="shared" si="591"/>
        <v>45656</v>
      </c>
      <c r="CQ462" s="606">
        <f t="shared" si="592"/>
        <v>44980.555555555555</v>
      </c>
      <c r="CR462" s="607">
        <f t="shared" si="593"/>
        <v>37856.368421052626</v>
      </c>
      <c r="CS462" s="606">
        <f t="shared" si="594"/>
        <v>37992.230769230773</v>
      </c>
      <c r="CT462" s="607">
        <f t="shared" si="595"/>
        <v>0</v>
      </c>
      <c r="CU462" s="608">
        <f t="shared" si="596"/>
        <v>0</v>
      </c>
      <c r="CV462" s="610">
        <f t="shared" si="597"/>
        <v>0</v>
      </c>
      <c r="CW462" s="608">
        <f t="shared" si="598"/>
        <v>0</v>
      </c>
      <c r="CX462" s="610">
        <f t="shared" si="599"/>
        <v>44847.131578947374</v>
      </c>
      <c r="CY462" s="611">
        <f t="shared" si="600"/>
        <v>46374.940170940172</v>
      </c>
      <c r="CZ462" s="605">
        <f t="shared" si="601"/>
        <v>1</v>
      </c>
      <c r="DA462" s="612">
        <f t="shared" si="602"/>
        <v>1</v>
      </c>
      <c r="DB462" s="607">
        <f t="shared" si="603"/>
        <v>4</v>
      </c>
      <c r="DC462" s="606">
        <f t="shared" si="604"/>
        <v>4</v>
      </c>
      <c r="DD462" s="607">
        <f t="shared" si="605"/>
        <v>11</v>
      </c>
      <c r="DE462" s="606">
        <f t="shared" si="606"/>
        <v>9</v>
      </c>
      <c r="DF462" s="607">
        <f t="shared" si="607"/>
        <v>4</v>
      </c>
      <c r="DG462" s="606">
        <f t="shared" si="608"/>
        <v>4</v>
      </c>
      <c r="DH462" s="607">
        <f t="shared" si="609"/>
        <v>0</v>
      </c>
      <c r="DI462" s="608">
        <f t="shared" si="610"/>
        <v>0</v>
      </c>
      <c r="DJ462" s="607">
        <f t="shared" si="611"/>
        <v>0</v>
      </c>
      <c r="DK462" s="608">
        <f t="shared" si="612"/>
        <v>0</v>
      </c>
      <c r="DL462" s="607">
        <f t="shared" si="613"/>
        <v>20</v>
      </c>
      <c r="DM462" s="608">
        <f t="shared" si="614"/>
        <v>18</v>
      </c>
      <c r="DN462" s="607">
        <f t="shared" si="615"/>
        <v>57256</v>
      </c>
      <c r="DO462" s="612">
        <f t="shared" si="616"/>
        <v>58973</v>
      </c>
      <c r="DP462" s="607">
        <f t="shared" si="617"/>
        <v>186045.15789473685</v>
      </c>
      <c r="DQ462" s="606">
        <f t="shared" si="618"/>
        <v>218982</v>
      </c>
      <c r="DR462" s="607">
        <f t="shared" si="619"/>
        <v>502216</v>
      </c>
      <c r="DS462" s="606">
        <f t="shared" si="620"/>
        <v>404825</v>
      </c>
      <c r="DT462" s="607">
        <f t="shared" si="621"/>
        <v>151425.4736842105</v>
      </c>
      <c r="DU462" s="606">
        <f t="shared" si="622"/>
        <v>151968.92307692309</v>
      </c>
      <c r="DV462" s="607">
        <f t="shared" si="623"/>
        <v>0</v>
      </c>
      <c r="DW462" s="608">
        <f t="shared" si="624"/>
        <v>0</v>
      </c>
      <c r="DX462" s="607">
        <f t="shared" si="625"/>
        <v>0</v>
      </c>
      <c r="DY462" s="608">
        <f t="shared" si="626"/>
        <v>0</v>
      </c>
      <c r="DZ462" s="607">
        <f t="shared" si="627"/>
        <v>896942.63157894742</v>
      </c>
      <c r="EA462" s="608">
        <f t="shared" si="628"/>
        <v>834748.92307692312</v>
      </c>
    </row>
    <row r="463" spans="1:131" x14ac:dyDescent="0.2">
      <c r="A463" s="450" t="s">
        <v>21</v>
      </c>
      <c r="B463" s="448" t="s">
        <v>1020</v>
      </c>
      <c r="C463" s="579"/>
      <c r="D463" s="502">
        <v>218690</v>
      </c>
      <c r="E463" s="503">
        <v>10</v>
      </c>
      <c r="F463" s="598">
        <v>9</v>
      </c>
      <c r="G463" s="599">
        <v>10</v>
      </c>
      <c r="H463" s="600"/>
      <c r="I463" s="601"/>
      <c r="J463" s="600">
        <v>2</v>
      </c>
      <c r="K463" s="599"/>
      <c r="L463" s="600"/>
      <c r="M463" s="601"/>
      <c r="N463" s="600">
        <v>11</v>
      </c>
      <c r="O463" s="599">
        <v>11</v>
      </c>
      <c r="P463" s="600"/>
      <c r="Q463" s="601"/>
      <c r="R463" s="600">
        <v>2</v>
      </c>
      <c r="S463" s="599"/>
      <c r="T463" s="600"/>
      <c r="U463" s="601"/>
      <c r="V463" s="600">
        <v>5</v>
      </c>
      <c r="W463" s="599">
        <v>3</v>
      </c>
      <c r="X463" s="600"/>
      <c r="Y463" s="601"/>
      <c r="Z463" s="600"/>
      <c r="AA463" s="599"/>
      <c r="AB463" s="600"/>
      <c r="AC463" s="601"/>
      <c r="AD463" s="600">
        <v>20</v>
      </c>
      <c r="AE463" s="599">
        <v>10</v>
      </c>
      <c r="AF463" s="600"/>
      <c r="AG463" s="601"/>
      <c r="AH463" s="600"/>
      <c r="AI463" s="599"/>
      <c r="AJ463" s="600"/>
      <c r="AK463" s="601"/>
      <c r="AL463" s="600"/>
      <c r="AM463" s="599"/>
      <c r="AN463" s="600"/>
      <c r="AO463" s="601"/>
      <c r="AP463" s="600"/>
      <c r="AQ463" s="599"/>
      <c r="AR463" s="600"/>
      <c r="AS463" s="601"/>
      <c r="AT463" s="600"/>
      <c r="AU463" s="599"/>
      <c r="AV463" s="600"/>
      <c r="AW463" s="601"/>
      <c r="AX463" s="600"/>
      <c r="AY463" s="599"/>
      <c r="AZ463" s="600"/>
      <c r="BA463" s="601"/>
      <c r="BB463" s="602">
        <v>800953</v>
      </c>
      <c r="BC463" s="599">
        <v>686209</v>
      </c>
      <c r="BD463" s="600">
        <v>734078</v>
      </c>
      <c r="BE463" s="599">
        <v>625921</v>
      </c>
      <c r="BF463" s="600">
        <v>243665</v>
      </c>
      <c r="BG463" s="599">
        <v>132808</v>
      </c>
      <c r="BH463" s="600">
        <v>706220</v>
      </c>
      <c r="BI463" s="599">
        <v>360769</v>
      </c>
      <c r="BJ463" s="600">
        <v>0</v>
      </c>
      <c r="BK463" s="615"/>
      <c r="BL463" s="600">
        <v>0</v>
      </c>
      <c r="BM463" s="604"/>
      <c r="BN463" s="605">
        <f t="shared" si="563"/>
        <v>103</v>
      </c>
      <c r="BO463" s="606">
        <f t="shared" si="564"/>
        <v>90</v>
      </c>
      <c r="BP463" s="607">
        <f t="shared" si="565"/>
        <v>121</v>
      </c>
      <c r="BQ463" s="606">
        <f t="shared" si="566"/>
        <v>99</v>
      </c>
      <c r="BR463" s="607">
        <f t="shared" si="567"/>
        <v>45</v>
      </c>
      <c r="BS463" s="606">
        <f t="shared" si="568"/>
        <v>27</v>
      </c>
      <c r="BT463" s="607">
        <f t="shared" si="569"/>
        <v>180</v>
      </c>
      <c r="BU463" s="606">
        <f t="shared" si="570"/>
        <v>90</v>
      </c>
      <c r="BV463" s="607">
        <f t="shared" si="571"/>
        <v>0</v>
      </c>
      <c r="BW463" s="608">
        <f t="shared" si="572"/>
        <v>0</v>
      </c>
      <c r="BX463" s="607">
        <f t="shared" si="573"/>
        <v>0</v>
      </c>
      <c r="BY463" s="608">
        <f t="shared" si="574"/>
        <v>0</v>
      </c>
      <c r="BZ463" s="607">
        <f t="shared" si="575"/>
        <v>7776.2427184466023</v>
      </c>
      <c r="CA463" s="608">
        <f t="shared" si="576"/>
        <v>7624.5444444444447</v>
      </c>
      <c r="CB463" s="607">
        <f t="shared" si="577"/>
        <v>6066.7603305785124</v>
      </c>
      <c r="CC463" s="608">
        <f t="shared" si="578"/>
        <v>6322.4343434343436</v>
      </c>
      <c r="CD463" s="607">
        <f t="shared" si="579"/>
        <v>5414.7777777777774</v>
      </c>
      <c r="CE463" s="608">
        <f t="shared" si="580"/>
        <v>4918.8148148148148</v>
      </c>
      <c r="CF463" s="607">
        <f t="shared" si="581"/>
        <v>3923.4444444444443</v>
      </c>
      <c r="CG463" s="608">
        <f t="shared" si="582"/>
        <v>4008.5444444444443</v>
      </c>
      <c r="CH463" s="607">
        <f t="shared" si="583"/>
        <v>0</v>
      </c>
      <c r="CI463" s="608">
        <f t="shared" si="584"/>
        <v>0</v>
      </c>
      <c r="CJ463" s="607">
        <f t="shared" si="585"/>
        <v>0</v>
      </c>
      <c r="CK463" s="608">
        <f t="shared" si="586"/>
        <v>0</v>
      </c>
      <c r="CL463" s="609">
        <f t="shared" si="587"/>
        <v>69986.184466019418</v>
      </c>
      <c r="CM463" s="608">
        <f t="shared" si="588"/>
        <v>68620.900000000009</v>
      </c>
      <c r="CN463" s="610">
        <f t="shared" si="589"/>
        <v>54600.842975206615</v>
      </c>
      <c r="CO463" s="606">
        <f t="shared" si="590"/>
        <v>56901.909090909096</v>
      </c>
      <c r="CP463" s="607">
        <f t="shared" si="591"/>
        <v>48733</v>
      </c>
      <c r="CQ463" s="606">
        <f t="shared" si="592"/>
        <v>44269.333333333336</v>
      </c>
      <c r="CR463" s="607">
        <f t="shared" si="593"/>
        <v>35311</v>
      </c>
      <c r="CS463" s="606">
        <f t="shared" si="594"/>
        <v>36076.9</v>
      </c>
      <c r="CT463" s="607">
        <f t="shared" si="595"/>
        <v>0</v>
      </c>
      <c r="CU463" s="608">
        <f t="shared" si="596"/>
        <v>0</v>
      </c>
      <c r="CV463" s="610">
        <f t="shared" si="597"/>
        <v>0</v>
      </c>
      <c r="CW463" s="608">
        <f t="shared" si="598"/>
        <v>0</v>
      </c>
      <c r="CX463" s="610">
        <f t="shared" si="599"/>
        <v>49582.530363344893</v>
      </c>
      <c r="CY463" s="611">
        <f t="shared" si="600"/>
        <v>53109.029411764706</v>
      </c>
      <c r="CZ463" s="605">
        <f t="shared" si="601"/>
        <v>11</v>
      </c>
      <c r="DA463" s="612">
        <f t="shared" si="602"/>
        <v>10</v>
      </c>
      <c r="DB463" s="607">
        <f t="shared" si="603"/>
        <v>13</v>
      </c>
      <c r="DC463" s="606">
        <f t="shared" si="604"/>
        <v>11</v>
      </c>
      <c r="DD463" s="607">
        <f t="shared" si="605"/>
        <v>5</v>
      </c>
      <c r="DE463" s="606">
        <f t="shared" si="606"/>
        <v>3</v>
      </c>
      <c r="DF463" s="607">
        <f t="shared" si="607"/>
        <v>20</v>
      </c>
      <c r="DG463" s="606">
        <f t="shared" si="608"/>
        <v>10</v>
      </c>
      <c r="DH463" s="607">
        <f t="shared" si="609"/>
        <v>0</v>
      </c>
      <c r="DI463" s="608">
        <f t="shared" si="610"/>
        <v>0</v>
      </c>
      <c r="DJ463" s="607">
        <f t="shared" si="611"/>
        <v>0</v>
      </c>
      <c r="DK463" s="608">
        <f t="shared" si="612"/>
        <v>0</v>
      </c>
      <c r="DL463" s="607">
        <f t="shared" si="613"/>
        <v>49</v>
      </c>
      <c r="DM463" s="608">
        <f t="shared" si="614"/>
        <v>34</v>
      </c>
      <c r="DN463" s="607">
        <f t="shared" si="615"/>
        <v>769848.02912621363</v>
      </c>
      <c r="DO463" s="612">
        <f t="shared" si="616"/>
        <v>686209.00000000012</v>
      </c>
      <c r="DP463" s="607">
        <f t="shared" si="617"/>
        <v>709810.95867768605</v>
      </c>
      <c r="DQ463" s="606">
        <f t="shared" si="618"/>
        <v>625921</v>
      </c>
      <c r="DR463" s="607">
        <f t="shared" si="619"/>
        <v>243665</v>
      </c>
      <c r="DS463" s="606">
        <f t="shared" si="620"/>
        <v>132808</v>
      </c>
      <c r="DT463" s="607">
        <f t="shared" si="621"/>
        <v>706220</v>
      </c>
      <c r="DU463" s="606">
        <f t="shared" si="622"/>
        <v>360769</v>
      </c>
      <c r="DV463" s="607">
        <f t="shared" si="623"/>
        <v>0</v>
      </c>
      <c r="DW463" s="608">
        <f t="shared" si="624"/>
        <v>0</v>
      </c>
      <c r="DX463" s="607">
        <f t="shared" si="625"/>
        <v>0</v>
      </c>
      <c r="DY463" s="608">
        <f t="shared" si="626"/>
        <v>0</v>
      </c>
      <c r="DZ463" s="607">
        <f t="shared" si="627"/>
        <v>2429543.9878038997</v>
      </c>
      <c r="EA463" s="608">
        <f t="shared" si="628"/>
        <v>1805707</v>
      </c>
    </row>
    <row r="464" spans="1:131" x14ac:dyDescent="0.2">
      <c r="A464" s="450" t="s">
        <v>21</v>
      </c>
      <c r="B464" s="448" t="s">
        <v>1021</v>
      </c>
      <c r="C464" s="579"/>
      <c r="D464" s="502">
        <v>218706</v>
      </c>
      <c r="E464" s="503">
        <v>10</v>
      </c>
      <c r="F464" s="598"/>
      <c r="G464" s="599"/>
      <c r="H464" s="600"/>
      <c r="I464" s="601"/>
      <c r="J464" s="600"/>
      <c r="K464" s="599"/>
      <c r="L464" s="600"/>
      <c r="M464" s="601"/>
      <c r="N464" s="600">
        <v>2</v>
      </c>
      <c r="O464" s="599">
        <v>2</v>
      </c>
      <c r="P464" s="600"/>
      <c r="Q464" s="601"/>
      <c r="R464" s="600"/>
      <c r="S464" s="599"/>
      <c r="T464" s="600"/>
      <c r="U464" s="601"/>
      <c r="V464" s="600">
        <v>2</v>
      </c>
      <c r="W464" s="599">
        <v>3</v>
      </c>
      <c r="X464" s="600"/>
      <c r="Y464" s="601"/>
      <c r="Z464" s="600"/>
      <c r="AA464" s="599"/>
      <c r="AB464" s="600"/>
      <c r="AC464" s="601"/>
      <c r="AD464" s="600">
        <v>5</v>
      </c>
      <c r="AE464" s="599">
        <v>5</v>
      </c>
      <c r="AF464" s="600"/>
      <c r="AG464" s="601"/>
      <c r="AH464" s="600"/>
      <c r="AI464" s="599"/>
      <c r="AJ464" s="600"/>
      <c r="AK464" s="601"/>
      <c r="AL464" s="600"/>
      <c r="AM464" s="599"/>
      <c r="AN464" s="600"/>
      <c r="AO464" s="601"/>
      <c r="AP464" s="600"/>
      <c r="AQ464" s="599"/>
      <c r="AR464" s="600"/>
      <c r="AS464" s="601"/>
      <c r="AT464" s="600"/>
      <c r="AU464" s="599"/>
      <c r="AV464" s="600"/>
      <c r="AW464" s="601"/>
      <c r="AX464" s="600"/>
      <c r="AY464" s="599"/>
      <c r="AZ464" s="600"/>
      <c r="BA464" s="601"/>
      <c r="BB464" s="602">
        <v>0</v>
      </c>
      <c r="BC464" s="599"/>
      <c r="BD464" s="600">
        <v>122736</v>
      </c>
      <c r="BE464" s="599">
        <v>130177</v>
      </c>
      <c r="BF464" s="600">
        <v>93000</v>
      </c>
      <c r="BG464" s="599">
        <v>140790</v>
      </c>
      <c r="BH464" s="600">
        <v>227990</v>
      </c>
      <c r="BI464" s="599">
        <v>233481</v>
      </c>
      <c r="BJ464" s="600">
        <v>0</v>
      </c>
      <c r="BK464" s="615"/>
      <c r="BL464" s="600">
        <v>0</v>
      </c>
      <c r="BM464" s="604"/>
      <c r="BN464" s="605">
        <f t="shared" si="563"/>
        <v>0</v>
      </c>
      <c r="BO464" s="606">
        <f t="shared" si="564"/>
        <v>0</v>
      </c>
      <c r="BP464" s="607">
        <f t="shared" si="565"/>
        <v>18</v>
      </c>
      <c r="BQ464" s="606">
        <f t="shared" si="566"/>
        <v>18</v>
      </c>
      <c r="BR464" s="607">
        <f t="shared" si="567"/>
        <v>18</v>
      </c>
      <c r="BS464" s="606">
        <f t="shared" si="568"/>
        <v>27</v>
      </c>
      <c r="BT464" s="607">
        <f t="shared" si="569"/>
        <v>45</v>
      </c>
      <c r="BU464" s="606">
        <f t="shared" si="570"/>
        <v>45</v>
      </c>
      <c r="BV464" s="607">
        <f t="shared" si="571"/>
        <v>0</v>
      </c>
      <c r="BW464" s="608">
        <f t="shared" si="572"/>
        <v>0</v>
      </c>
      <c r="BX464" s="607">
        <f t="shared" si="573"/>
        <v>0</v>
      </c>
      <c r="BY464" s="608">
        <f t="shared" si="574"/>
        <v>0</v>
      </c>
      <c r="BZ464" s="607">
        <f t="shared" si="575"/>
        <v>0</v>
      </c>
      <c r="CA464" s="608">
        <f t="shared" si="576"/>
        <v>0</v>
      </c>
      <c r="CB464" s="607">
        <f t="shared" si="577"/>
        <v>6818.666666666667</v>
      </c>
      <c r="CC464" s="608">
        <f t="shared" si="578"/>
        <v>7232.0555555555557</v>
      </c>
      <c r="CD464" s="607">
        <f t="shared" si="579"/>
        <v>5166.666666666667</v>
      </c>
      <c r="CE464" s="608">
        <f t="shared" si="580"/>
        <v>5214.4444444444443</v>
      </c>
      <c r="CF464" s="607">
        <f t="shared" si="581"/>
        <v>5066.4444444444443</v>
      </c>
      <c r="CG464" s="608">
        <f t="shared" si="582"/>
        <v>5188.4666666666662</v>
      </c>
      <c r="CH464" s="607">
        <f t="shared" si="583"/>
        <v>0</v>
      </c>
      <c r="CI464" s="608">
        <f t="shared" si="584"/>
        <v>0</v>
      </c>
      <c r="CJ464" s="607">
        <f t="shared" si="585"/>
        <v>0</v>
      </c>
      <c r="CK464" s="608">
        <f t="shared" si="586"/>
        <v>0</v>
      </c>
      <c r="CL464" s="609">
        <f t="shared" si="587"/>
        <v>0</v>
      </c>
      <c r="CM464" s="608">
        <f t="shared" si="588"/>
        <v>0</v>
      </c>
      <c r="CN464" s="610">
        <f t="shared" si="589"/>
        <v>61368</v>
      </c>
      <c r="CO464" s="606">
        <f t="shared" si="590"/>
        <v>65088.5</v>
      </c>
      <c r="CP464" s="607">
        <f t="shared" si="591"/>
        <v>46500</v>
      </c>
      <c r="CQ464" s="606">
        <f t="shared" si="592"/>
        <v>46930</v>
      </c>
      <c r="CR464" s="607">
        <f t="shared" si="593"/>
        <v>45598</v>
      </c>
      <c r="CS464" s="606">
        <f t="shared" si="594"/>
        <v>46696.2</v>
      </c>
      <c r="CT464" s="607">
        <f t="shared" si="595"/>
        <v>0</v>
      </c>
      <c r="CU464" s="608">
        <f t="shared" si="596"/>
        <v>0</v>
      </c>
      <c r="CV464" s="610">
        <f t="shared" si="597"/>
        <v>0</v>
      </c>
      <c r="CW464" s="608">
        <f t="shared" si="598"/>
        <v>0</v>
      </c>
      <c r="CX464" s="610">
        <f t="shared" si="599"/>
        <v>49302.888888888891</v>
      </c>
      <c r="CY464" s="611">
        <f t="shared" si="600"/>
        <v>50444.800000000003</v>
      </c>
      <c r="CZ464" s="605">
        <f t="shared" si="601"/>
        <v>0</v>
      </c>
      <c r="DA464" s="612">
        <f t="shared" si="602"/>
        <v>0</v>
      </c>
      <c r="DB464" s="607">
        <f t="shared" si="603"/>
        <v>2</v>
      </c>
      <c r="DC464" s="606">
        <f t="shared" si="604"/>
        <v>2</v>
      </c>
      <c r="DD464" s="607">
        <f t="shared" si="605"/>
        <v>2</v>
      </c>
      <c r="DE464" s="606">
        <f t="shared" si="606"/>
        <v>3</v>
      </c>
      <c r="DF464" s="607">
        <f t="shared" si="607"/>
        <v>5</v>
      </c>
      <c r="DG464" s="606">
        <f t="shared" si="608"/>
        <v>5</v>
      </c>
      <c r="DH464" s="607">
        <f t="shared" si="609"/>
        <v>0</v>
      </c>
      <c r="DI464" s="608">
        <f t="shared" si="610"/>
        <v>0</v>
      </c>
      <c r="DJ464" s="607">
        <f t="shared" si="611"/>
        <v>0</v>
      </c>
      <c r="DK464" s="608">
        <f t="shared" si="612"/>
        <v>0</v>
      </c>
      <c r="DL464" s="607">
        <f t="shared" si="613"/>
        <v>9</v>
      </c>
      <c r="DM464" s="608">
        <f t="shared" si="614"/>
        <v>10</v>
      </c>
      <c r="DN464" s="607">
        <f t="shared" si="615"/>
        <v>0</v>
      </c>
      <c r="DO464" s="612">
        <f t="shared" si="616"/>
        <v>0</v>
      </c>
      <c r="DP464" s="607">
        <f t="shared" si="617"/>
        <v>122736</v>
      </c>
      <c r="DQ464" s="606">
        <f t="shared" si="618"/>
        <v>130177</v>
      </c>
      <c r="DR464" s="607">
        <f t="shared" si="619"/>
        <v>93000</v>
      </c>
      <c r="DS464" s="606">
        <f t="shared" si="620"/>
        <v>140790</v>
      </c>
      <c r="DT464" s="607">
        <f t="shared" si="621"/>
        <v>227990</v>
      </c>
      <c r="DU464" s="606">
        <f t="shared" si="622"/>
        <v>233481</v>
      </c>
      <c r="DV464" s="607">
        <f t="shared" si="623"/>
        <v>0</v>
      </c>
      <c r="DW464" s="608">
        <f t="shared" si="624"/>
        <v>0</v>
      </c>
      <c r="DX464" s="607">
        <f t="shared" si="625"/>
        <v>0</v>
      </c>
      <c r="DY464" s="608">
        <f t="shared" si="626"/>
        <v>0</v>
      </c>
      <c r="DZ464" s="607">
        <f t="shared" si="627"/>
        <v>443726</v>
      </c>
      <c r="EA464" s="608">
        <f t="shared" si="628"/>
        <v>504448</v>
      </c>
    </row>
    <row r="465" spans="1:131" x14ac:dyDescent="0.2">
      <c r="A465" s="450" t="s">
        <v>21</v>
      </c>
      <c r="B465" s="448" t="s">
        <v>1022</v>
      </c>
      <c r="C465" s="579"/>
      <c r="D465" s="502">
        <v>218955</v>
      </c>
      <c r="E465" s="503">
        <v>10</v>
      </c>
      <c r="F465" s="598"/>
      <c r="G465" s="599"/>
      <c r="H465" s="600"/>
      <c r="I465" s="601"/>
      <c r="J465" s="600"/>
      <c r="K465" s="599"/>
      <c r="L465" s="600"/>
      <c r="M465" s="601"/>
      <c r="N465" s="600"/>
      <c r="O465" s="599"/>
      <c r="P465" s="600"/>
      <c r="Q465" s="601"/>
      <c r="R465" s="600"/>
      <c r="S465" s="599"/>
      <c r="T465" s="600"/>
      <c r="U465" s="601"/>
      <c r="V465" s="600"/>
      <c r="W465" s="599"/>
      <c r="X465" s="600"/>
      <c r="Y465" s="601"/>
      <c r="Z465" s="600"/>
      <c r="AA465" s="599"/>
      <c r="AB465" s="600"/>
      <c r="AC465" s="601"/>
      <c r="AD465" s="600"/>
      <c r="AE465" s="599"/>
      <c r="AF465" s="600"/>
      <c r="AG465" s="601"/>
      <c r="AH465" s="600"/>
      <c r="AI465" s="599"/>
      <c r="AJ465" s="600"/>
      <c r="AK465" s="601"/>
      <c r="AL465" s="600">
        <v>18</v>
      </c>
      <c r="AM465" s="599">
        <v>19</v>
      </c>
      <c r="AN465" s="600"/>
      <c r="AO465" s="601"/>
      <c r="AP465" s="600"/>
      <c r="AQ465" s="599"/>
      <c r="AR465" s="600"/>
      <c r="AS465" s="601"/>
      <c r="AT465" s="600"/>
      <c r="AU465" s="599"/>
      <c r="AV465" s="600"/>
      <c r="AW465" s="601"/>
      <c r="AX465" s="600"/>
      <c r="AY465" s="599"/>
      <c r="AZ465" s="600"/>
      <c r="BA465" s="601"/>
      <c r="BB465" s="602">
        <v>0</v>
      </c>
      <c r="BC465" s="599"/>
      <c r="BD465" s="600">
        <v>0</v>
      </c>
      <c r="BE465" s="599"/>
      <c r="BF465" s="600">
        <v>0</v>
      </c>
      <c r="BG465" s="599"/>
      <c r="BH465" s="600">
        <v>0</v>
      </c>
      <c r="BI465" s="599"/>
      <c r="BJ465" s="600">
        <v>637524</v>
      </c>
      <c r="BK465" s="615">
        <v>696791</v>
      </c>
      <c r="BL465" s="600">
        <v>0</v>
      </c>
      <c r="BM465" s="604"/>
      <c r="BN465" s="605">
        <f t="shared" si="563"/>
        <v>0</v>
      </c>
      <c r="BO465" s="606">
        <f t="shared" si="564"/>
        <v>0</v>
      </c>
      <c r="BP465" s="607">
        <f t="shared" si="565"/>
        <v>0</v>
      </c>
      <c r="BQ465" s="606">
        <f t="shared" si="566"/>
        <v>0</v>
      </c>
      <c r="BR465" s="607">
        <f t="shared" si="567"/>
        <v>0</v>
      </c>
      <c r="BS465" s="606">
        <f t="shared" si="568"/>
        <v>0</v>
      </c>
      <c r="BT465" s="607">
        <f t="shared" si="569"/>
        <v>0</v>
      </c>
      <c r="BU465" s="606">
        <f t="shared" si="570"/>
        <v>0</v>
      </c>
      <c r="BV465" s="607">
        <f t="shared" si="571"/>
        <v>162</v>
      </c>
      <c r="BW465" s="608">
        <f t="shared" si="572"/>
        <v>171</v>
      </c>
      <c r="BX465" s="607">
        <f t="shared" si="573"/>
        <v>0</v>
      </c>
      <c r="BY465" s="608">
        <f t="shared" si="574"/>
        <v>0</v>
      </c>
      <c r="BZ465" s="607">
        <f t="shared" si="575"/>
        <v>0</v>
      </c>
      <c r="CA465" s="608">
        <f t="shared" si="576"/>
        <v>0</v>
      </c>
      <c r="CB465" s="607">
        <f t="shared" si="577"/>
        <v>0</v>
      </c>
      <c r="CC465" s="608">
        <f t="shared" si="578"/>
        <v>0</v>
      </c>
      <c r="CD465" s="607">
        <f t="shared" si="579"/>
        <v>0</v>
      </c>
      <c r="CE465" s="608">
        <f t="shared" si="580"/>
        <v>0</v>
      </c>
      <c r="CF465" s="607">
        <f t="shared" si="581"/>
        <v>0</v>
      </c>
      <c r="CG465" s="608">
        <f t="shared" si="582"/>
        <v>0</v>
      </c>
      <c r="CH465" s="607">
        <f t="shared" si="583"/>
        <v>3935.3333333333335</v>
      </c>
      <c r="CI465" s="608">
        <f t="shared" si="584"/>
        <v>4074.8011695906434</v>
      </c>
      <c r="CJ465" s="607">
        <f t="shared" si="585"/>
        <v>0</v>
      </c>
      <c r="CK465" s="608">
        <f t="shared" si="586"/>
        <v>0</v>
      </c>
      <c r="CL465" s="609">
        <f t="shared" si="587"/>
        <v>0</v>
      </c>
      <c r="CM465" s="608">
        <f t="shared" si="588"/>
        <v>0</v>
      </c>
      <c r="CN465" s="610">
        <f t="shared" si="589"/>
        <v>0</v>
      </c>
      <c r="CO465" s="606">
        <f t="shared" si="590"/>
        <v>0</v>
      </c>
      <c r="CP465" s="607">
        <f t="shared" si="591"/>
        <v>0</v>
      </c>
      <c r="CQ465" s="606">
        <f t="shared" si="592"/>
        <v>0</v>
      </c>
      <c r="CR465" s="607">
        <f t="shared" si="593"/>
        <v>0</v>
      </c>
      <c r="CS465" s="606">
        <f t="shared" si="594"/>
        <v>0</v>
      </c>
      <c r="CT465" s="607">
        <f t="shared" si="595"/>
        <v>35418</v>
      </c>
      <c r="CU465" s="608">
        <f t="shared" si="596"/>
        <v>36673.210526315794</v>
      </c>
      <c r="CV465" s="610">
        <f t="shared" si="597"/>
        <v>0</v>
      </c>
      <c r="CW465" s="608">
        <f t="shared" si="598"/>
        <v>0</v>
      </c>
      <c r="CX465" s="610">
        <f t="shared" si="599"/>
        <v>35418</v>
      </c>
      <c r="CY465" s="611">
        <f t="shared" si="600"/>
        <v>36673.210526315794</v>
      </c>
      <c r="CZ465" s="605">
        <f t="shared" si="601"/>
        <v>0</v>
      </c>
      <c r="DA465" s="612">
        <f t="shared" si="602"/>
        <v>0</v>
      </c>
      <c r="DB465" s="607">
        <f t="shared" si="603"/>
        <v>0</v>
      </c>
      <c r="DC465" s="606">
        <f t="shared" si="604"/>
        <v>0</v>
      </c>
      <c r="DD465" s="607">
        <f t="shared" si="605"/>
        <v>0</v>
      </c>
      <c r="DE465" s="606">
        <f t="shared" si="606"/>
        <v>0</v>
      </c>
      <c r="DF465" s="607">
        <f t="shared" si="607"/>
        <v>0</v>
      </c>
      <c r="DG465" s="606">
        <f t="shared" si="608"/>
        <v>0</v>
      </c>
      <c r="DH465" s="607">
        <f t="shared" si="609"/>
        <v>18</v>
      </c>
      <c r="DI465" s="608">
        <f t="shared" si="610"/>
        <v>19</v>
      </c>
      <c r="DJ465" s="607">
        <f t="shared" si="611"/>
        <v>0</v>
      </c>
      <c r="DK465" s="608">
        <f t="shared" si="612"/>
        <v>0</v>
      </c>
      <c r="DL465" s="607">
        <f t="shared" si="613"/>
        <v>18</v>
      </c>
      <c r="DM465" s="608">
        <f t="shared" si="614"/>
        <v>19</v>
      </c>
      <c r="DN465" s="607">
        <f t="shared" si="615"/>
        <v>0</v>
      </c>
      <c r="DO465" s="612">
        <f t="shared" si="616"/>
        <v>0</v>
      </c>
      <c r="DP465" s="607">
        <f t="shared" si="617"/>
        <v>0</v>
      </c>
      <c r="DQ465" s="606">
        <f t="shared" si="618"/>
        <v>0</v>
      </c>
      <c r="DR465" s="607">
        <f t="shared" si="619"/>
        <v>0</v>
      </c>
      <c r="DS465" s="606">
        <f t="shared" si="620"/>
        <v>0</v>
      </c>
      <c r="DT465" s="607">
        <f t="shared" si="621"/>
        <v>0</v>
      </c>
      <c r="DU465" s="606">
        <f t="shared" si="622"/>
        <v>0</v>
      </c>
      <c r="DV465" s="607">
        <f t="shared" si="623"/>
        <v>637524</v>
      </c>
      <c r="DW465" s="608">
        <f t="shared" si="624"/>
        <v>696791.00000000012</v>
      </c>
      <c r="DX465" s="607">
        <f t="shared" si="625"/>
        <v>0</v>
      </c>
      <c r="DY465" s="608">
        <f t="shared" si="626"/>
        <v>0</v>
      </c>
      <c r="DZ465" s="607">
        <f t="shared" si="627"/>
        <v>637524</v>
      </c>
      <c r="EA465" s="608">
        <f t="shared" si="628"/>
        <v>696791.00000000012</v>
      </c>
    </row>
    <row r="466" spans="1:131" x14ac:dyDescent="0.2">
      <c r="A466" s="430" t="s">
        <v>42</v>
      </c>
      <c r="B466" s="431" t="s">
        <v>909</v>
      </c>
      <c r="C466" s="581"/>
      <c r="D466" s="480">
        <v>220862</v>
      </c>
      <c r="E466" s="418">
        <v>1</v>
      </c>
      <c r="F466" s="598">
        <v>216</v>
      </c>
      <c r="G466" s="599">
        <v>214</v>
      </c>
      <c r="H466" s="600"/>
      <c r="I466" s="601"/>
      <c r="J466" s="600">
        <v>21</v>
      </c>
      <c r="K466" s="599"/>
      <c r="L466" s="600"/>
      <c r="M466" s="601">
        <v>21</v>
      </c>
      <c r="N466" s="600">
        <v>218</v>
      </c>
      <c r="O466" s="599">
        <v>228</v>
      </c>
      <c r="P466" s="600"/>
      <c r="Q466" s="601"/>
      <c r="R466" s="600">
        <v>16</v>
      </c>
      <c r="S466" s="599"/>
      <c r="T466" s="600"/>
      <c r="U466" s="601">
        <v>19</v>
      </c>
      <c r="V466" s="600">
        <v>226</v>
      </c>
      <c r="W466" s="599">
        <v>231</v>
      </c>
      <c r="X466" s="600"/>
      <c r="Y466" s="601"/>
      <c r="Z466" s="600">
        <v>12</v>
      </c>
      <c r="AA466" s="599"/>
      <c r="AB466" s="600"/>
      <c r="AC466" s="601">
        <v>11</v>
      </c>
      <c r="AD466" s="600">
        <v>121</v>
      </c>
      <c r="AE466" s="599">
        <v>118</v>
      </c>
      <c r="AF466" s="600"/>
      <c r="AG466" s="601"/>
      <c r="AH466" s="600">
        <v>15</v>
      </c>
      <c r="AI466" s="599"/>
      <c r="AJ466" s="600"/>
      <c r="AK466" s="601">
        <v>17</v>
      </c>
      <c r="AL466" s="600">
        <v>20</v>
      </c>
      <c r="AM466" s="599">
        <v>3</v>
      </c>
      <c r="AN466" s="600"/>
      <c r="AO466" s="601"/>
      <c r="AP466" s="600">
        <v>5</v>
      </c>
      <c r="AQ466" s="599">
        <v>0</v>
      </c>
      <c r="AR466" s="600"/>
      <c r="AS466" s="601"/>
      <c r="AT466" s="600"/>
      <c r="AU466" s="599"/>
      <c r="AV466" s="600"/>
      <c r="AW466" s="601"/>
      <c r="AX466" s="600"/>
      <c r="AY466" s="599"/>
      <c r="AZ466" s="600"/>
      <c r="BA466" s="601"/>
      <c r="BB466" s="602">
        <v>24718698</v>
      </c>
      <c r="BC466" s="599">
        <v>25345274</v>
      </c>
      <c r="BD466" s="600">
        <v>17142621</v>
      </c>
      <c r="BE466" s="599">
        <v>18685402</v>
      </c>
      <c r="BF466" s="600">
        <v>14827679</v>
      </c>
      <c r="BG466" s="599">
        <v>15420613</v>
      </c>
      <c r="BH466" s="600">
        <v>5867396</v>
      </c>
      <c r="BI466" s="599">
        <v>5991707</v>
      </c>
      <c r="BJ466" s="600">
        <v>1112020</v>
      </c>
      <c r="BK466" s="615">
        <v>107846</v>
      </c>
      <c r="BL466" s="600">
        <v>0</v>
      </c>
      <c r="BM466" s="604"/>
      <c r="BN466" s="605">
        <f t="shared" si="563"/>
        <v>2175</v>
      </c>
      <c r="BO466" s="606">
        <f t="shared" si="564"/>
        <v>2178</v>
      </c>
      <c r="BP466" s="607">
        <f t="shared" si="565"/>
        <v>2138</v>
      </c>
      <c r="BQ466" s="606">
        <f t="shared" si="566"/>
        <v>2280</v>
      </c>
      <c r="BR466" s="607">
        <f t="shared" si="567"/>
        <v>2166</v>
      </c>
      <c r="BS466" s="606">
        <f t="shared" si="568"/>
        <v>2211</v>
      </c>
      <c r="BT466" s="607">
        <f t="shared" si="569"/>
        <v>1254</v>
      </c>
      <c r="BU466" s="606">
        <f t="shared" si="570"/>
        <v>1266</v>
      </c>
      <c r="BV466" s="607">
        <f t="shared" si="571"/>
        <v>235</v>
      </c>
      <c r="BW466" s="608">
        <f t="shared" si="572"/>
        <v>27</v>
      </c>
      <c r="BX466" s="607">
        <f t="shared" si="573"/>
        <v>0</v>
      </c>
      <c r="BY466" s="608">
        <f t="shared" si="574"/>
        <v>0</v>
      </c>
      <c r="BZ466" s="607">
        <f t="shared" si="575"/>
        <v>11364.918620689656</v>
      </c>
      <c r="CA466" s="608">
        <f t="shared" si="576"/>
        <v>11636.94857667585</v>
      </c>
      <c r="CB466" s="607">
        <f t="shared" si="577"/>
        <v>8018.0640785781106</v>
      </c>
      <c r="CC466" s="608">
        <f t="shared" si="578"/>
        <v>8195.3517543859653</v>
      </c>
      <c r="CD466" s="607">
        <f t="shared" si="579"/>
        <v>6845.6505078485689</v>
      </c>
      <c r="CE466" s="608">
        <f t="shared" si="580"/>
        <v>6974.4970601537761</v>
      </c>
      <c r="CF466" s="607">
        <f t="shared" si="581"/>
        <v>4678.9441786283887</v>
      </c>
      <c r="CG466" s="608">
        <f t="shared" si="582"/>
        <v>4732.7859399684048</v>
      </c>
      <c r="CH466" s="607">
        <f t="shared" si="583"/>
        <v>4732</v>
      </c>
      <c r="CI466" s="608">
        <f t="shared" si="584"/>
        <v>3994.2962962962961</v>
      </c>
      <c r="CJ466" s="607">
        <f t="shared" si="585"/>
        <v>0</v>
      </c>
      <c r="CK466" s="608">
        <f t="shared" si="586"/>
        <v>0</v>
      </c>
      <c r="CL466" s="609">
        <f t="shared" si="587"/>
        <v>102284.2675862069</v>
      </c>
      <c r="CM466" s="608">
        <f t="shared" si="588"/>
        <v>104732.53719008264</v>
      </c>
      <c r="CN466" s="610">
        <f t="shared" si="589"/>
        <v>72162.576707202999</v>
      </c>
      <c r="CO466" s="606">
        <f t="shared" si="590"/>
        <v>73758.165789473685</v>
      </c>
      <c r="CP466" s="607">
        <f t="shared" si="591"/>
        <v>61610.854570637122</v>
      </c>
      <c r="CQ466" s="606">
        <f t="shared" si="592"/>
        <v>62770.473541383988</v>
      </c>
      <c r="CR466" s="607">
        <f t="shared" si="593"/>
        <v>42110.497607655496</v>
      </c>
      <c r="CS466" s="606">
        <f t="shared" si="594"/>
        <v>42595.073459715641</v>
      </c>
      <c r="CT466" s="607">
        <f t="shared" si="595"/>
        <v>42588</v>
      </c>
      <c r="CU466" s="608">
        <f t="shared" si="596"/>
        <v>35948.666666666664</v>
      </c>
      <c r="CV466" s="610">
        <f t="shared" si="597"/>
        <v>0</v>
      </c>
      <c r="CW466" s="608">
        <f t="shared" si="598"/>
        <v>0</v>
      </c>
      <c r="CX466" s="610">
        <f t="shared" si="599"/>
        <v>71933.937275711869</v>
      </c>
      <c r="CY466" s="611">
        <f t="shared" si="600"/>
        <v>74105.62494634102</v>
      </c>
      <c r="CZ466" s="605">
        <f t="shared" si="601"/>
        <v>237</v>
      </c>
      <c r="DA466" s="612">
        <f t="shared" si="602"/>
        <v>235</v>
      </c>
      <c r="DB466" s="607">
        <f t="shared" si="603"/>
        <v>234</v>
      </c>
      <c r="DC466" s="606">
        <f t="shared" si="604"/>
        <v>247</v>
      </c>
      <c r="DD466" s="607">
        <f t="shared" si="605"/>
        <v>238</v>
      </c>
      <c r="DE466" s="606">
        <f t="shared" si="606"/>
        <v>242</v>
      </c>
      <c r="DF466" s="607">
        <f t="shared" si="607"/>
        <v>136</v>
      </c>
      <c r="DG466" s="606">
        <f t="shared" si="608"/>
        <v>135</v>
      </c>
      <c r="DH466" s="607">
        <f t="shared" si="609"/>
        <v>25</v>
      </c>
      <c r="DI466" s="608">
        <f t="shared" si="610"/>
        <v>3</v>
      </c>
      <c r="DJ466" s="607">
        <f t="shared" si="611"/>
        <v>0</v>
      </c>
      <c r="DK466" s="608">
        <f t="shared" si="612"/>
        <v>0</v>
      </c>
      <c r="DL466" s="607">
        <f t="shared" si="613"/>
        <v>870</v>
      </c>
      <c r="DM466" s="608">
        <f t="shared" si="614"/>
        <v>862</v>
      </c>
      <c r="DN466" s="607">
        <f t="shared" si="615"/>
        <v>24241371.417931035</v>
      </c>
      <c r="DO466" s="612">
        <f t="shared" si="616"/>
        <v>24612146.23966942</v>
      </c>
      <c r="DP466" s="607">
        <f t="shared" si="617"/>
        <v>16886042.949485503</v>
      </c>
      <c r="DQ466" s="606">
        <f t="shared" si="618"/>
        <v>18218266.949999999</v>
      </c>
      <c r="DR466" s="607">
        <f t="shared" si="619"/>
        <v>14663383.387811635</v>
      </c>
      <c r="DS466" s="606">
        <f t="shared" si="620"/>
        <v>15190454.597014925</v>
      </c>
      <c r="DT466" s="607">
        <f t="shared" si="621"/>
        <v>5727027.6746411473</v>
      </c>
      <c r="DU466" s="606">
        <f t="shared" si="622"/>
        <v>5750334.9170616111</v>
      </c>
      <c r="DV466" s="607">
        <f t="shared" si="623"/>
        <v>1064700</v>
      </c>
      <c r="DW466" s="608">
        <f t="shared" si="624"/>
        <v>107846</v>
      </c>
      <c r="DX466" s="607">
        <f t="shared" si="625"/>
        <v>0</v>
      </c>
      <c r="DY466" s="608">
        <f t="shared" si="626"/>
        <v>0</v>
      </c>
      <c r="DZ466" s="607">
        <f t="shared" si="627"/>
        <v>62582525.429869324</v>
      </c>
      <c r="EA466" s="608">
        <f t="shared" si="628"/>
        <v>63879048.703745961</v>
      </c>
    </row>
    <row r="467" spans="1:131" x14ac:dyDescent="0.2">
      <c r="A467" s="430" t="s">
        <v>42</v>
      </c>
      <c r="B467" s="431" t="s">
        <v>910</v>
      </c>
      <c r="C467" s="581"/>
      <c r="D467" s="480">
        <v>221759</v>
      </c>
      <c r="E467" s="418">
        <v>1</v>
      </c>
      <c r="F467" s="598">
        <v>372</v>
      </c>
      <c r="G467" s="599">
        <v>373</v>
      </c>
      <c r="H467" s="600"/>
      <c r="I467" s="601"/>
      <c r="J467" s="600">
        <v>183</v>
      </c>
      <c r="K467" s="599"/>
      <c r="L467" s="600"/>
      <c r="M467" s="601">
        <v>182</v>
      </c>
      <c r="N467" s="600">
        <v>302</v>
      </c>
      <c r="O467" s="599">
        <v>319</v>
      </c>
      <c r="P467" s="600"/>
      <c r="Q467" s="601"/>
      <c r="R467" s="600">
        <v>136</v>
      </c>
      <c r="S467" s="599"/>
      <c r="T467" s="600"/>
      <c r="U467" s="601">
        <v>142</v>
      </c>
      <c r="V467" s="600">
        <v>240</v>
      </c>
      <c r="W467" s="599">
        <v>246</v>
      </c>
      <c r="X467" s="600"/>
      <c r="Y467" s="601"/>
      <c r="Z467" s="600">
        <v>105</v>
      </c>
      <c r="AA467" s="599"/>
      <c r="AB467" s="600"/>
      <c r="AC467" s="601">
        <v>99</v>
      </c>
      <c r="AD467" s="600">
        <v>15</v>
      </c>
      <c r="AE467" s="599">
        <v>14</v>
      </c>
      <c r="AF467" s="600"/>
      <c r="AG467" s="601"/>
      <c r="AH467" s="600">
        <v>20</v>
      </c>
      <c r="AI467" s="599"/>
      <c r="AJ467" s="600"/>
      <c r="AK467" s="601">
        <v>17</v>
      </c>
      <c r="AL467" s="600">
        <v>236</v>
      </c>
      <c r="AM467" s="599">
        <v>258</v>
      </c>
      <c r="AN467" s="600"/>
      <c r="AO467" s="601"/>
      <c r="AP467" s="600">
        <v>32</v>
      </c>
      <c r="AQ467" s="599"/>
      <c r="AR467" s="600"/>
      <c r="AS467" s="601">
        <v>30</v>
      </c>
      <c r="AT467" s="600"/>
      <c r="AU467" s="599"/>
      <c r="AV467" s="600"/>
      <c r="AW467" s="601"/>
      <c r="AX467" s="600"/>
      <c r="AY467" s="599"/>
      <c r="AZ467" s="600"/>
      <c r="BA467" s="601"/>
      <c r="BB467" s="602">
        <v>68986817</v>
      </c>
      <c r="BC467" s="599">
        <v>72995319</v>
      </c>
      <c r="BD467" s="600">
        <v>39638933</v>
      </c>
      <c r="BE467" s="599">
        <v>43812391</v>
      </c>
      <c r="BF467" s="600">
        <v>26767804</v>
      </c>
      <c r="BG467" s="599">
        <v>27585686</v>
      </c>
      <c r="BH467" s="600">
        <v>2350003</v>
      </c>
      <c r="BI467" s="599">
        <v>2057328</v>
      </c>
      <c r="BJ467" s="600">
        <v>11680822</v>
      </c>
      <c r="BK467" s="615">
        <v>13520038</v>
      </c>
      <c r="BL467" s="600">
        <v>0</v>
      </c>
      <c r="BM467" s="604"/>
      <c r="BN467" s="605">
        <f t="shared" si="563"/>
        <v>5361</v>
      </c>
      <c r="BO467" s="606">
        <f t="shared" si="564"/>
        <v>5541</v>
      </c>
      <c r="BP467" s="607">
        <f t="shared" si="565"/>
        <v>4214</v>
      </c>
      <c r="BQ467" s="606">
        <f t="shared" si="566"/>
        <v>4575</v>
      </c>
      <c r="BR467" s="607">
        <f t="shared" si="567"/>
        <v>3315</v>
      </c>
      <c r="BS467" s="606">
        <f t="shared" si="568"/>
        <v>3402</v>
      </c>
      <c r="BT467" s="607">
        <f t="shared" si="569"/>
        <v>355</v>
      </c>
      <c r="BU467" s="606">
        <f t="shared" si="570"/>
        <v>330</v>
      </c>
      <c r="BV467" s="607">
        <f t="shared" si="571"/>
        <v>2476</v>
      </c>
      <c r="BW467" s="608">
        <f t="shared" si="572"/>
        <v>2682</v>
      </c>
      <c r="BX467" s="607">
        <f t="shared" si="573"/>
        <v>0</v>
      </c>
      <c r="BY467" s="608">
        <f t="shared" si="574"/>
        <v>0</v>
      </c>
      <c r="BZ467" s="607">
        <f t="shared" si="575"/>
        <v>12868.274016041783</v>
      </c>
      <c r="CA467" s="608">
        <f t="shared" si="576"/>
        <v>13173.672441797509</v>
      </c>
      <c r="CB467" s="607">
        <f t="shared" si="577"/>
        <v>9406.4862363550073</v>
      </c>
      <c r="CC467" s="608">
        <f t="shared" si="578"/>
        <v>9576.4789071038249</v>
      </c>
      <c r="CD467" s="607">
        <f t="shared" si="579"/>
        <v>8074.75233785822</v>
      </c>
      <c r="CE467" s="608">
        <f t="shared" si="580"/>
        <v>8108.6672545561432</v>
      </c>
      <c r="CF467" s="607">
        <f t="shared" si="581"/>
        <v>6619.7267605633806</v>
      </c>
      <c r="CG467" s="608">
        <f t="shared" si="582"/>
        <v>6234.3272727272724</v>
      </c>
      <c r="CH467" s="607">
        <f t="shared" si="583"/>
        <v>4717.617932148627</v>
      </c>
      <c r="CI467" s="608">
        <f t="shared" si="584"/>
        <v>5041.0283370618945</v>
      </c>
      <c r="CJ467" s="607">
        <f t="shared" si="585"/>
        <v>0</v>
      </c>
      <c r="CK467" s="608">
        <f t="shared" si="586"/>
        <v>0</v>
      </c>
      <c r="CL467" s="609">
        <f t="shared" si="587"/>
        <v>115814.46614437606</v>
      </c>
      <c r="CM467" s="608">
        <f t="shared" si="588"/>
        <v>118563.05197617758</v>
      </c>
      <c r="CN467" s="610">
        <f t="shared" si="589"/>
        <v>84658.376127195064</v>
      </c>
      <c r="CO467" s="606">
        <f t="shared" si="590"/>
        <v>86188.310163934424</v>
      </c>
      <c r="CP467" s="607">
        <f t="shared" si="591"/>
        <v>72672.771040723979</v>
      </c>
      <c r="CQ467" s="606">
        <f t="shared" si="592"/>
        <v>72978.005291005291</v>
      </c>
      <c r="CR467" s="607">
        <f t="shared" si="593"/>
        <v>59577.540845070427</v>
      </c>
      <c r="CS467" s="606">
        <f t="shared" si="594"/>
        <v>56108.94545454545</v>
      </c>
      <c r="CT467" s="607">
        <f t="shared" si="595"/>
        <v>42458.561389337643</v>
      </c>
      <c r="CU467" s="608">
        <f t="shared" si="596"/>
        <v>45369.255033557049</v>
      </c>
      <c r="CV467" s="610">
        <f t="shared" si="597"/>
        <v>0</v>
      </c>
      <c r="CW467" s="608">
        <f t="shared" si="598"/>
        <v>0</v>
      </c>
      <c r="CX467" s="610">
        <f t="shared" si="599"/>
        <v>85249.001733583107</v>
      </c>
      <c r="CY467" s="611">
        <f t="shared" si="600"/>
        <v>86618.1187003003</v>
      </c>
      <c r="CZ467" s="605">
        <f t="shared" si="601"/>
        <v>555</v>
      </c>
      <c r="DA467" s="612">
        <f t="shared" si="602"/>
        <v>555</v>
      </c>
      <c r="DB467" s="607">
        <f t="shared" si="603"/>
        <v>438</v>
      </c>
      <c r="DC467" s="606">
        <f t="shared" si="604"/>
        <v>461</v>
      </c>
      <c r="DD467" s="607">
        <f t="shared" si="605"/>
        <v>345</v>
      </c>
      <c r="DE467" s="606">
        <f t="shared" si="606"/>
        <v>345</v>
      </c>
      <c r="DF467" s="607">
        <f t="shared" si="607"/>
        <v>35</v>
      </c>
      <c r="DG467" s="606">
        <f t="shared" si="608"/>
        <v>31</v>
      </c>
      <c r="DH467" s="607">
        <f t="shared" si="609"/>
        <v>268</v>
      </c>
      <c r="DI467" s="608">
        <f t="shared" si="610"/>
        <v>288</v>
      </c>
      <c r="DJ467" s="607">
        <f t="shared" si="611"/>
        <v>0</v>
      </c>
      <c r="DK467" s="608">
        <f t="shared" si="612"/>
        <v>0</v>
      </c>
      <c r="DL467" s="607">
        <f t="shared" si="613"/>
        <v>1641</v>
      </c>
      <c r="DM467" s="608">
        <f t="shared" si="614"/>
        <v>1680</v>
      </c>
      <c r="DN467" s="607">
        <f t="shared" si="615"/>
        <v>64277028.71012871</v>
      </c>
      <c r="DO467" s="612">
        <f t="shared" si="616"/>
        <v>65802493.846778557</v>
      </c>
      <c r="DP467" s="607">
        <f t="shared" si="617"/>
        <v>37080368.743711442</v>
      </c>
      <c r="DQ467" s="606">
        <f t="shared" si="618"/>
        <v>39732810.985573769</v>
      </c>
      <c r="DR467" s="607">
        <f t="shared" si="619"/>
        <v>25072106.009049773</v>
      </c>
      <c r="DS467" s="606">
        <f t="shared" si="620"/>
        <v>25177411.825396825</v>
      </c>
      <c r="DT467" s="607">
        <f t="shared" si="621"/>
        <v>2085213.9295774649</v>
      </c>
      <c r="DU467" s="606">
        <f t="shared" si="622"/>
        <v>1739377.3090909088</v>
      </c>
      <c r="DV467" s="607">
        <f t="shared" si="623"/>
        <v>11378894.452342488</v>
      </c>
      <c r="DW467" s="608">
        <f t="shared" si="624"/>
        <v>13066345.449664431</v>
      </c>
      <c r="DX467" s="607">
        <f t="shared" si="625"/>
        <v>0</v>
      </c>
      <c r="DY467" s="608">
        <f t="shared" si="626"/>
        <v>0</v>
      </c>
      <c r="DZ467" s="607">
        <f t="shared" si="627"/>
        <v>139893611.84480989</v>
      </c>
      <c r="EA467" s="608">
        <f t="shared" si="628"/>
        <v>145518439.4165045</v>
      </c>
    </row>
    <row r="468" spans="1:131" x14ac:dyDescent="0.2">
      <c r="A468" s="430" t="s">
        <v>42</v>
      </c>
      <c r="B468" s="433" t="s">
        <v>911</v>
      </c>
      <c r="C468" s="564"/>
      <c r="D468" s="480">
        <v>221838</v>
      </c>
      <c r="E468" s="420">
        <v>2</v>
      </c>
      <c r="F468" s="598">
        <v>81</v>
      </c>
      <c r="G468" s="599">
        <v>108</v>
      </c>
      <c r="H468" s="600"/>
      <c r="I468" s="601"/>
      <c r="J468" s="600">
        <v>21</v>
      </c>
      <c r="K468" s="599"/>
      <c r="L468" s="600"/>
      <c r="M468" s="601">
        <v>4</v>
      </c>
      <c r="N468" s="600">
        <v>96</v>
      </c>
      <c r="O468" s="599">
        <v>95</v>
      </c>
      <c r="P468" s="600"/>
      <c r="Q468" s="601"/>
      <c r="R468" s="600">
        <v>20</v>
      </c>
      <c r="S468" s="599"/>
      <c r="T468" s="600"/>
      <c r="U468" s="601">
        <v>15</v>
      </c>
      <c r="V468" s="600">
        <v>99</v>
      </c>
      <c r="W468" s="599">
        <v>96</v>
      </c>
      <c r="X468" s="600"/>
      <c r="Y468" s="601"/>
      <c r="Z468" s="600">
        <v>27</v>
      </c>
      <c r="AA468" s="599"/>
      <c r="AB468" s="600"/>
      <c r="AC468" s="601">
        <v>23</v>
      </c>
      <c r="AD468" s="600">
        <v>9</v>
      </c>
      <c r="AE468" s="599">
        <v>22</v>
      </c>
      <c r="AF468" s="600"/>
      <c r="AG468" s="601"/>
      <c r="AH468" s="600">
        <v>3</v>
      </c>
      <c r="AI468" s="599"/>
      <c r="AJ468" s="600"/>
      <c r="AK468" s="601">
        <v>1</v>
      </c>
      <c r="AL468" s="600">
        <v>32</v>
      </c>
      <c r="AM468" s="599">
        <v>25</v>
      </c>
      <c r="AN468" s="600"/>
      <c r="AO468" s="601"/>
      <c r="AP468" s="600">
        <v>29</v>
      </c>
      <c r="AQ468" s="599"/>
      <c r="AR468" s="600"/>
      <c r="AS468" s="601"/>
      <c r="AT468" s="600"/>
      <c r="AU468" s="599"/>
      <c r="AV468" s="600"/>
      <c r="AW468" s="601"/>
      <c r="AX468" s="600"/>
      <c r="AY468" s="599"/>
      <c r="AZ468" s="600"/>
      <c r="BA468" s="601"/>
      <c r="BB468" s="602">
        <v>8023780</v>
      </c>
      <c r="BC468" s="599">
        <v>9030998</v>
      </c>
      <c r="BD468" s="600">
        <v>7243085</v>
      </c>
      <c r="BE468" s="599">
        <v>7030497</v>
      </c>
      <c r="BF468" s="600">
        <v>6276342</v>
      </c>
      <c r="BG468" s="599">
        <v>6422363</v>
      </c>
      <c r="BH468" s="600">
        <v>552733</v>
      </c>
      <c r="BI468" s="599">
        <v>931536</v>
      </c>
      <c r="BJ468" s="600">
        <v>3247197</v>
      </c>
      <c r="BK468" s="615">
        <v>1087034</v>
      </c>
      <c r="BL468" s="600">
        <v>0</v>
      </c>
      <c r="BM468" s="604"/>
      <c r="BN468" s="605">
        <f t="shared" si="563"/>
        <v>960</v>
      </c>
      <c r="BO468" s="606">
        <f t="shared" si="564"/>
        <v>1020</v>
      </c>
      <c r="BP468" s="607">
        <f t="shared" si="565"/>
        <v>1084</v>
      </c>
      <c r="BQ468" s="606">
        <f t="shared" si="566"/>
        <v>1035</v>
      </c>
      <c r="BR468" s="607">
        <f t="shared" si="567"/>
        <v>1188</v>
      </c>
      <c r="BS468" s="606">
        <f t="shared" si="568"/>
        <v>1140</v>
      </c>
      <c r="BT468" s="607">
        <f t="shared" si="569"/>
        <v>114</v>
      </c>
      <c r="BU468" s="606">
        <f t="shared" si="570"/>
        <v>210</v>
      </c>
      <c r="BV468" s="607">
        <f t="shared" si="571"/>
        <v>607</v>
      </c>
      <c r="BW468" s="608">
        <f t="shared" si="572"/>
        <v>225</v>
      </c>
      <c r="BX468" s="607">
        <f t="shared" si="573"/>
        <v>0</v>
      </c>
      <c r="BY468" s="608">
        <f t="shared" si="574"/>
        <v>0</v>
      </c>
      <c r="BZ468" s="607">
        <f t="shared" si="575"/>
        <v>8358.1041666666661</v>
      </c>
      <c r="CA468" s="608">
        <f t="shared" si="576"/>
        <v>8853.9196078431378</v>
      </c>
      <c r="CB468" s="607">
        <f t="shared" si="577"/>
        <v>6681.8127306273063</v>
      </c>
      <c r="CC468" s="608">
        <f t="shared" si="578"/>
        <v>6792.7507246376808</v>
      </c>
      <c r="CD468" s="607">
        <f t="shared" si="579"/>
        <v>5283.1161616161617</v>
      </c>
      <c r="CE468" s="608">
        <f t="shared" si="580"/>
        <v>5633.6517543859645</v>
      </c>
      <c r="CF468" s="607">
        <f t="shared" si="581"/>
        <v>4848.5350877192986</v>
      </c>
      <c r="CG468" s="608">
        <f t="shared" si="582"/>
        <v>4435.8857142857141</v>
      </c>
      <c r="CH468" s="607">
        <f t="shared" si="583"/>
        <v>5349.5831960461283</v>
      </c>
      <c r="CI468" s="608">
        <f t="shared" si="584"/>
        <v>4831.2622222222226</v>
      </c>
      <c r="CJ468" s="607">
        <f t="shared" si="585"/>
        <v>0</v>
      </c>
      <c r="CK468" s="608">
        <f t="shared" si="586"/>
        <v>0</v>
      </c>
      <c r="CL468" s="609">
        <f t="shared" si="587"/>
        <v>75222.9375</v>
      </c>
      <c r="CM468" s="608">
        <f t="shared" si="588"/>
        <v>79685.276470588244</v>
      </c>
      <c r="CN468" s="610">
        <f t="shared" si="589"/>
        <v>60136.31457564576</v>
      </c>
      <c r="CO468" s="606">
        <f t="shared" si="590"/>
        <v>61134.756521739124</v>
      </c>
      <c r="CP468" s="607">
        <f t="shared" si="591"/>
        <v>47548.045454545456</v>
      </c>
      <c r="CQ468" s="606">
        <f t="shared" si="592"/>
        <v>50702.865789473683</v>
      </c>
      <c r="CR468" s="607">
        <f t="shared" si="593"/>
        <v>43636.815789473687</v>
      </c>
      <c r="CS468" s="606">
        <f t="shared" si="594"/>
        <v>39922.971428571429</v>
      </c>
      <c r="CT468" s="607">
        <f t="shared" si="595"/>
        <v>48146.248764415155</v>
      </c>
      <c r="CU468" s="608">
        <f t="shared" si="596"/>
        <v>43481.36</v>
      </c>
      <c r="CV468" s="610">
        <f t="shared" si="597"/>
        <v>0</v>
      </c>
      <c r="CW468" s="608">
        <f t="shared" si="598"/>
        <v>0</v>
      </c>
      <c r="CX468" s="610">
        <f t="shared" si="599"/>
        <v>57794.16980132048</v>
      </c>
      <c r="CY468" s="611">
        <f t="shared" si="600"/>
        <v>60895.829187407959</v>
      </c>
      <c r="CZ468" s="605">
        <f t="shared" si="601"/>
        <v>102</v>
      </c>
      <c r="DA468" s="612">
        <f t="shared" si="602"/>
        <v>112</v>
      </c>
      <c r="DB468" s="607">
        <f t="shared" si="603"/>
        <v>116</v>
      </c>
      <c r="DC468" s="606">
        <f t="shared" si="604"/>
        <v>110</v>
      </c>
      <c r="DD468" s="607">
        <f t="shared" si="605"/>
        <v>126</v>
      </c>
      <c r="DE468" s="606">
        <f t="shared" si="606"/>
        <v>119</v>
      </c>
      <c r="DF468" s="607">
        <f t="shared" si="607"/>
        <v>12</v>
      </c>
      <c r="DG468" s="606">
        <f t="shared" si="608"/>
        <v>23</v>
      </c>
      <c r="DH468" s="607">
        <f t="shared" si="609"/>
        <v>61</v>
      </c>
      <c r="DI468" s="608">
        <f t="shared" si="610"/>
        <v>25</v>
      </c>
      <c r="DJ468" s="607">
        <f t="shared" si="611"/>
        <v>0</v>
      </c>
      <c r="DK468" s="608">
        <f t="shared" si="612"/>
        <v>0</v>
      </c>
      <c r="DL468" s="607">
        <f t="shared" si="613"/>
        <v>417</v>
      </c>
      <c r="DM468" s="608">
        <f t="shared" si="614"/>
        <v>389</v>
      </c>
      <c r="DN468" s="607">
        <f t="shared" si="615"/>
        <v>7672739.625</v>
      </c>
      <c r="DO468" s="612">
        <f t="shared" si="616"/>
        <v>8924750.9647058826</v>
      </c>
      <c r="DP468" s="607">
        <f t="shared" si="617"/>
        <v>6975812.4907749081</v>
      </c>
      <c r="DQ468" s="606">
        <f t="shared" si="618"/>
        <v>6724823.2173913037</v>
      </c>
      <c r="DR468" s="607">
        <f t="shared" si="619"/>
        <v>5991053.7272727275</v>
      </c>
      <c r="DS468" s="606">
        <f t="shared" si="620"/>
        <v>6033641.0289473683</v>
      </c>
      <c r="DT468" s="607">
        <f t="shared" si="621"/>
        <v>523641.78947368427</v>
      </c>
      <c r="DU468" s="606">
        <f t="shared" si="622"/>
        <v>918228.34285714291</v>
      </c>
      <c r="DV468" s="607">
        <f t="shared" si="623"/>
        <v>2936921.1746293246</v>
      </c>
      <c r="DW468" s="608">
        <f t="shared" si="624"/>
        <v>1087034</v>
      </c>
      <c r="DX468" s="607">
        <f t="shared" si="625"/>
        <v>0</v>
      </c>
      <c r="DY468" s="608">
        <f t="shared" si="626"/>
        <v>0</v>
      </c>
      <c r="DZ468" s="607">
        <f t="shared" si="627"/>
        <v>24100168.80715064</v>
      </c>
      <c r="EA468" s="608">
        <f t="shared" si="628"/>
        <v>23688477.553901695</v>
      </c>
    </row>
    <row r="469" spans="1:131" x14ac:dyDescent="0.2">
      <c r="A469" s="430" t="s">
        <v>42</v>
      </c>
      <c r="B469" s="433" t="s">
        <v>912</v>
      </c>
      <c r="C469" s="562"/>
      <c r="D469" s="480">
        <v>219602</v>
      </c>
      <c r="E469" s="418">
        <v>3</v>
      </c>
      <c r="F469" s="598">
        <v>106</v>
      </c>
      <c r="G469" s="599">
        <v>107</v>
      </c>
      <c r="H469" s="600"/>
      <c r="I469" s="601"/>
      <c r="J469" s="600">
        <v>1</v>
      </c>
      <c r="K469" s="599"/>
      <c r="L469" s="600"/>
      <c r="M469" s="601"/>
      <c r="N469" s="600">
        <v>89</v>
      </c>
      <c r="O469" s="599">
        <v>97</v>
      </c>
      <c r="P469" s="600"/>
      <c r="Q469" s="601"/>
      <c r="R469" s="600">
        <v>2</v>
      </c>
      <c r="S469" s="599"/>
      <c r="T469" s="600"/>
      <c r="U469" s="601">
        <v>2</v>
      </c>
      <c r="V469" s="600">
        <v>107</v>
      </c>
      <c r="W469" s="599">
        <v>102</v>
      </c>
      <c r="X469" s="600"/>
      <c r="Y469" s="601"/>
      <c r="Z469" s="600">
        <v>0</v>
      </c>
      <c r="AA469" s="599"/>
      <c r="AB469" s="600"/>
      <c r="AC469" s="601"/>
      <c r="AD469" s="600">
        <v>42</v>
      </c>
      <c r="AE469" s="599">
        <v>47</v>
      </c>
      <c r="AF469" s="600"/>
      <c r="AG469" s="601"/>
      <c r="AH469" s="600">
        <v>0</v>
      </c>
      <c r="AI469" s="599"/>
      <c r="AJ469" s="600"/>
      <c r="AK469" s="601"/>
      <c r="AL469" s="600">
        <v>0</v>
      </c>
      <c r="AM469" s="599"/>
      <c r="AN469" s="600"/>
      <c r="AO469" s="601"/>
      <c r="AP469" s="600"/>
      <c r="AQ469" s="599"/>
      <c r="AR469" s="600"/>
      <c r="AS469" s="601"/>
      <c r="AT469" s="600"/>
      <c r="AU469" s="599"/>
      <c r="AV469" s="600"/>
      <c r="AW469" s="601"/>
      <c r="AX469" s="600"/>
      <c r="AY469" s="599"/>
      <c r="AZ469" s="600"/>
      <c r="BA469" s="601"/>
      <c r="BB469" s="602">
        <v>7606273</v>
      </c>
      <c r="BC469" s="599">
        <v>8170980</v>
      </c>
      <c r="BD469" s="600">
        <v>5142619</v>
      </c>
      <c r="BE469" s="599">
        <v>6188567</v>
      </c>
      <c r="BF469" s="600">
        <v>4990535</v>
      </c>
      <c r="BG469" s="599">
        <v>5042815</v>
      </c>
      <c r="BH469" s="600">
        <v>1608783</v>
      </c>
      <c r="BI469" s="599">
        <v>1894449</v>
      </c>
      <c r="BJ469" s="600">
        <v>0</v>
      </c>
      <c r="BK469" s="615">
        <v>0</v>
      </c>
      <c r="BL469" s="600">
        <v>0</v>
      </c>
      <c r="BM469" s="604"/>
      <c r="BN469" s="605">
        <f t="shared" si="563"/>
        <v>965</v>
      </c>
      <c r="BO469" s="606">
        <f t="shared" si="564"/>
        <v>963</v>
      </c>
      <c r="BP469" s="607">
        <f t="shared" si="565"/>
        <v>823</v>
      </c>
      <c r="BQ469" s="606">
        <f t="shared" si="566"/>
        <v>897</v>
      </c>
      <c r="BR469" s="607">
        <f t="shared" si="567"/>
        <v>963</v>
      </c>
      <c r="BS469" s="606">
        <f t="shared" si="568"/>
        <v>918</v>
      </c>
      <c r="BT469" s="607">
        <f t="shared" si="569"/>
        <v>378</v>
      </c>
      <c r="BU469" s="606">
        <f t="shared" si="570"/>
        <v>423</v>
      </c>
      <c r="BV469" s="607">
        <f t="shared" si="571"/>
        <v>0</v>
      </c>
      <c r="BW469" s="608">
        <f t="shared" si="572"/>
        <v>0</v>
      </c>
      <c r="BX469" s="607">
        <f t="shared" si="573"/>
        <v>0</v>
      </c>
      <c r="BY469" s="608">
        <f t="shared" si="574"/>
        <v>0</v>
      </c>
      <c r="BZ469" s="607">
        <f t="shared" si="575"/>
        <v>7882.1481865284977</v>
      </c>
      <c r="CA469" s="608">
        <f t="shared" si="576"/>
        <v>8484.9221183800619</v>
      </c>
      <c r="CB469" s="607">
        <f t="shared" si="577"/>
        <v>6248.6257594167682</v>
      </c>
      <c r="CC469" s="608">
        <f t="shared" si="578"/>
        <v>6899.1828316610927</v>
      </c>
      <c r="CD469" s="607">
        <f t="shared" si="579"/>
        <v>5182.2793354101768</v>
      </c>
      <c r="CE469" s="608">
        <f t="shared" si="580"/>
        <v>5493.2625272331152</v>
      </c>
      <c r="CF469" s="607">
        <f t="shared" si="581"/>
        <v>4256.0396825396829</v>
      </c>
      <c r="CG469" s="608">
        <f t="shared" si="582"/>
        <v>4478.6028368794323</v>
      </c>
      <c r="CH469" s="607">
        <f t="shared" si="583"/>
        <v>0</v>
      </c>
      <c r="CI469" s="608">
        <f t="shared" si="584"/>
        <v>0</v>
      </c>
      <c r="CJ469" s="607">
        <f t="shared" si="585"/>
        <v>0</v>
      </c>
      <c r="CK469" s="608">
        <f t="shared" si="586"/>
        <v>0</v>
      </c>
      <c r="CL469" s="609">
        <f t="shared" si="587"/>
        <v>70939.333678756477</v>
      </c>
      <c r="CM469" s="608">
        <f t="shared" si="588"/>
        <v>76364.29906542055</v>
      </c>
      <c r="CN469" s="610">
        <f t="shared" si="589"/>
        <v>56237.631834750915</v>
      </c>
      <c r="CO469" s="606">
        <f t="shared" si="590"/>
        <v>62092.645484949833</v>
      </c>
      <c r="CP469" s="607">
        <f t="shared" si="591"/>
        <v>46640.514018691589</v>
      </c>
      <c r="CQ469" s="606">
        <f t="shared" si="592"/>
        <v>49439.362745098035</v>
      </c>
      <c r="CR469" s="607">
        <f t="shared" si="593"/>
        <v>38304.357142857145</v>
      </c>
      <c r="CS469" s="606">
        <f t="shared" si="594"/>
        <v>40307.425531914894</v>
      </c>
      <c r="CT469" s="607">
        <f t="shared" si="595"/>
        <v>0</v>
      </c>
      <c r="CU469" s="608">
        <f t="shared" si="596"/>
        <v>0</v>
      </c>
      <c r="CV469" s="610">
        <f t="shared" si="597"/>
        <v>0</v>
      </c>
      <c r="CW469" s="608">
        <f t="shared" si="598"/>
        <v>0</v>
      </c>
      <c r="CX469" s="610">
        <f t="shared" si="599"/>
        <v>55641.069742332213</v>
      </c>
      <c r="CY469" s="611">
        <f t="shared" si="600"/>
        <v>59874.410994394457</v>
      </c>
      <c r="CZ469" s="605">
        <f t="shared" si="601"/>
        <v>107</v>
      </c>
      <c r="DA469" s="612">
        <f t="shared" si="602"/>
        <v>107</v>
      </c>
      <c r="DB469" s="607">
        <f t="shared" si="603"/>
        <v>91</v>
      </c>
      <c r="DC469" s="606">
        <f t="shared" si="604"/>
        <v>99</v>
      </c>
      <c r="DD469" s="607">
        <f t="shared" si="605"/>
        <v>107</v>
      </c>
      <c r="DE469" s="606">
        <f t="shared" si="606"/>
        <v>102</v>
      </c>
      <c r="DF469" s="607">
        <f t="shared" si="607"/>
        <v>42</v>
      </c>
      <c r="DG469" s="606">
        <f t="shared" si="608"/>
        <v>47</v>
      </c>
      <c r="DH469" s="607">
        <f t="shared" si="609"/>
        <v>0</v>
      </c>
      <c r="DI469" s="608">
        <f t="shared" si="610"/>
        <v>0</v>
      </c>
      <c r="DJ469" s="607">
        <f t="shared" si="611"/>
        <v>0</v>
      </c>
      <c r="DK469" s="608">
        <f t="shared" si="612"/>
        <v>0</v>
      </c>
      <c r="DL469" s="607">
        <f t="shared" si="613"/>
        <v>347</v>
      </c>
      <c r="DM469" s="608">
        <f t="shared" si="614"/>
        <v>355</v>
      </c>
      <c r="DN469" s="607">
        <f t="shared" si="615"/>
        <v>7590508.7036269428</v>
      </c>
      <c r="DO469" s="612">
        <f t="shared" si="616"/>
        <v>8170979.9999999991</v>
      </c>
      <c r="DP469" s="607">
        <f t="shared" si="617"/>
        <v>5117624.4969623331</v>
      </c>
      <c r="DQ469" s="606">
        <f t="shared" si="618"/>
        <v>6147171.9030100331</v>
      </c>
      <c r="DR469" s="607">
        <f t="shared" si="619"/>
        <v>4990535</v>
      </c>
      <c r="DS469" s="606">
        <f t="shared" si="620"/>
        <v>5042815</v>
      </c>
      <c r="DT469" s="607">
        <f t="shared" si="621"/>
        <v>1608783</v>
      </c>
      <c r="DU469" s="606">
        <f t="shared" si="622"/>
        <v>1894449</v>
      </c>
      <c r="DV469" s="607">
        <f t="shared" si="623"/>
        <v>0</v>
      </c>
      <c r="DW469" s="608">
        <f t="shared" si="624"/>
        <v>0</v>
      </c>
      <c r="DX469" s="607">
        <f t="shared" si="625"/>
        <v>0</v>
      </c>
      <c r="DY469" s="608">
        <f t="shared" si="626"/>
        <v>0</v>
      </c>
      <c r="DZ469" s="607">
        <f t="shared" si="627"/>
        <v>19307451.200589277</v>
      </c>
      <c r="EA469" s="608">
        <f t="shared" si="628"/>
        <v>21255415.903010033</v>
      </c>
    </row>
    <row r="470" spans="1:131" x14ac:dyDescent="0.2">
      <c r="A470" s="430" t="s">
        <v>42</v>
      </c>
      <c r="B470" s="431" t="s">
        <v>913</v>
      </c>
      <c r="C470" s="581"/>
      <c r="D470" s="480">
        <v>220075</v>
      </c>
      <c r="E470" s="418">
        <v>3</v>
      </c>
      <c r="F470" s="598">
        <v>96</v>
      </c>
      <c r="G470" s="599">
        <v>105</v>
      </c>
      <c r="H470" s="600"/>
      <c r="I470" s="601"/>
      <c r="J470" s="600">
        <v>35</v>
      </c>
      <c r="K470" s="599"/>
      <c r="L470" s="600"/>
      <c r="M470" s="601">
        <v>36</v>
      </c>
      <c r="N470" s="600">
        <v>126</v>
      </c>
      <c r="O470" s="599">
        <v>125</v>
      </c>
      <c r="P470" s="600"/>
      <c r="Q470" s="601"/>
      <c r="R470" s="600">
        <v>24</v>
      </c>
      <c r="S470" s="599"/>
      <c r="T470" s="600"/>
      <c r="U470" s="601">
        <v>25</v>
      </c>
      <c r="V470" s="600">
        <v>163</v>
      </c>
      <c r="W470" s="599">
        <v>154</v>
      </c>
      <c r="X470" s="600"/>
      <c r="Y470" s="601"/>
      <c r="Z470" s="600">
        <v>44</v>
      </c>
      <c r="AA470" s="599"/>
      <c r="AB470" s="600"/>
      <c r="AC470" s="601">
        <v>41</v>
      </c>
      <c r="AD470" s="600">
        <v>18</v>
      </c>
      <c r="AE470" s="599">
        <v>21</v>
      </c>
      <c r="AF470" s="600"/>
      <c r="AG470" s="601"/>
      <c r="AH470" s="600">
        <v>4</v>
      </c>
      <c r="AI470" s="599"/>
      <c r="AJ470" s="600"/>
      <c r="AK470" s="601">
        <v>5</v>
      </c>
      <c r="AL470" s="600">
        <v>60</v>
      </c>
      <c r="AM470" s="599">
        <v>69</v>
      </c>
      <c r="AN470" s="600"/>
      <c r="AO470" s="601"/>
      <c r="AP470" s="600">
        <v>2</v>
      </c>
      <c r="AQ470" s="599"/>
      <c r="AR470" s="600"/>
      <c r="AS470" s="601">
        <v>2</v>
      </c>
      <c r="AT470" s="600"/>
      <c r="AU470" s="599"/>
      <c r="AV470" s="600"/>
      <c r="AW470" s="601"/>
      <c r="AX470" s="600"/>
      <c r="AY470" s="599"/>
      <c r="AZ470" s="600"/>
      <c r="BA470" s="601"/>
      <c r="BB470" s="602">
        <v>10417824</v>
      </c>
      <c r="BC470" s="599">
        <v>11769073</v>
      </c>
      <c r="BD470" s="600">
        <v>9093194</v>
      </c>
      <c r="BE470" s="599">
        <v>9646361</v>
      </c>
      <c r="BF470" s="600">
        <v>11972772</v>
      </c>
      <c r="BG470" s="599">
        <v>11735617</v>
      </c>
      <c r="BH470" s="600">
        <v>949958</v>
      </c>
      <c r="BI470" s="599">
        <v>1201182</v>
      </c>
      <c r="BJ470" s="600">
        <v>1886218</v>
      </c>
      <c r="BK470" s="615">
        <v>2171491</v>
      </c>
      <c r="BL470" s="600">
        <v>0</v>
      </c>
      <c r="BM470" s="604"/>
      <c r="BN470" s="605">
        <f t="shared" si="563"/>
        <v>1249</v>
      </c>
      <c r="BO470" s="606">
        <f t="shared" si="564"/>
        <v>1377</v>
      </c>
      <c r="BP470" s="607">
        <f t="shared" si="565"/>
        <v>1398</v>
      </c>
      <c r="BQ470" s="606">
        <f t="shared" si="566"/>
        <v>1425</v>
      </c>
      <c r="BR470" s="607">
        <f t="shared" si="567"/>
        <v>1951</v>
      </c>
      <c r="BS470" s="606">
        <f t="shared" si="568"/>
        <v>1878</v>
      </c>
      <c r="BT470" s="607">
        <f t="shared" si="569"/>
        <v>206</v>
      </c>
      <c r="BU470" s="606">
        <f t="shared" si="570"/>
        <v>249</v>
      </c>
      <c r="BV470" s="607">
        <f t="shared" si="571"/>
        <v>562</v>
      </c>
      <c r="BW470" s="608">
        <f t="shared" si="572"/>
        <v>645</v>
      </c>
      <c r="BX470" s="607">
        <f t="shared" si="573"/>
        <v>0</v>
      </c>
      <c r="BY470" s="608">
        <f t="shared" si="574"/>
        <v>0</v>
      </c>
      <c r="BZ470" s="607">
        <f t="shared" si="575"/>
        <v>8340.9319455564455</v>
      </c>
      <c r="CA470" s="608">
        <f t="shared" si="576"/>
        <v>8546.8939724037755</v>
      </c>
      <c r="CB470" s="607">
        <f t="shared" si="577"/>
        <v>6504.4306151645205</v>
      </c>
      <c r="CC470" s="608">
        <f t="shared" si="578"/>
        <v>6769.376140350877</v>
      </c>
      <c r="CD470" s="607">
        <f t="shared" si="579"/>
        <v>6136.7360328036903</v>
      </c>
      <c r="CE470" s="608">
        <f t="shared" si="580"/>
        <v>6248.9973375931841</v>
      </c>
      <c r="CF470" s="607">
        <f t="shared" si="581"/>
        <v>4611.4466019417478</v>
      </c>
      <c r="CG470" s="608">
        <f t="shared" si="582"/>
        <v>4824.0240963855422</v>
      </c>
      <c r="CH470" s="607">
        <f t="shared" si="583"/>
        <v>3356.2597864768682</v>
      </c>
      <c r="CI470" s="608">
        <f t="shared" si="584"/>
        <v>3366.6527131782946</v>
      </c>
      <c r="CJ470" s="607">
        <f t="shared" si="585"/>
        <v>0</v>
      </c>
      <c r="CK470" s="608">
        <f t="shared" si="586"/>
        <v>0</v>
      </c>
      <c r="CL470" s="609">
        <f t="shared" si="587"/>
        <v>75068.387510008004</v>
      </c>
      <c r="CM470" s="608">
        <f t="shared" si="588"/>
        <v>76922.045751633981</v>
      </c>
      <c r="CN470" s="610">
        <f t="shared" si="589"/>
        <v>58539.875536480686</v>
      </c>
      <c r="CO470" s="606">
        <f t="shared" si="590"/>
        <v>60924.385263157892</v>
      </c>
      <c r="CP470" s="607">
        <f t="shared" si="591"/>
        <v>55230.62429523321</v>
      </c>
      <c r="CQ470" s="606">
        <f t="shared" si="592"/>
        <v>56240.97603833866</v>
      </c>
      <c r="CR470" s="607">
        <f t="shared" si="593"/>
        <v>41503.019417475727</v>
      </c>
      <c r="CS470" s="606">
        <f t="shared" si="594"/>
        <v>43416.216867469877</v>
      </c>
      <c r="CT470" s="607">
        <f t="shared" si="595"/>
        <v>30206.338078291814</v>
      </c>
      <c r="CU470" s="608">
        <f t="shared" si="596"/>
        <v>30299.87441860465</v>
      </c>
      <c r="CV470" s="610">
        <f t="shared" si="597"/>
        <v>0</v>
      </c>
      <c r="CW470" s="608">
        <f t="shared" si="598"/>
        <v>0</v>
      </c>
      <c r="CX470" s="610">
        <f t="shared" si="599"/>
        <v>57401.291453557656</v>
      </c>
      <c r="CY470" s="611">
        <f t="shared" si="600"/>
        <v>58716.58540343956</v>
      </c>
      <c r="CZ470" s="605">
        <f t="shared" si="601"/>
        <v>131</v>
      </c>
      <c r="DA470" s="612">
        <f t="shared" si="602"/>
        <v>141</v>
      </c>
      <c r="DB470" s="607">
        <f t="shared" si="603"/>
        <v>150</v>
      </c>
      <c r="DC470" s="606">
        <f t="shared" si="604"/>
        <v>150</v>
      </c>
      <c r="DD470" s="607">
        <f t="shared" si="605"/>
        <v>207</v>
      </c>
      <c r="DE470" s="606">
        <f t="shared" si="606"/>
        <v>195</v>
      </c>
      <c r="DF470" s="607">
        <f t="shared" si="607"/>
        <v>22</v>
      </c>
      <c r="DG470" s="606">
        <f t="shared" si="608"/>
        <v>26</v>
      </c>
      <c r="DH470" s="607">
        <f t="shared" si="609"/>
        <v>62</v>
      </c>
      <c r="DI470" s="608">
        <f t="shared" si="610"/>
        <v>71</v>
      </c>
      <c r="DJ470" s="607">
        <f t="shared" si="611"/>
        <v>0</v>
      </c>
      <c r="DK470" s="608">
        <f t="shared" si="612"/>
        <v>0</v>
      </c>
      <c r="DL470" s="607">
        <f t="shared" si="613"/>
        <v>572</v>
      </c>
      <c r="DM470" s="608">
        <f t="shared" si="614"/>
        <v>583</v>
      </c>
      <c r="DN470" s="607">
        <f t="shared" si="615"/>
        <v>9833958.7638110481</v>
      </c>
      <c r="DO470" s="612">
        <f t="shared" si="616"/>
        <v>10846008.450980391</v>
      </c>
      <c r="DP470" s="607">
        <f t="shared" si="617"/>
        <v>8780981.3304721024</v>
      </c>
      <c r="DQ470" s="606">
        <f t="shared" si="618"/>
        <v>9138657.7894736845</v>
      </c>
      <c r="DR470" s="607">
        <f t="shared" si="619"/>
        <v>11432739.229113275</v>
      </c>
      <c r="DS470" s="606">
        <f t="shared" si="620"/>
        <v>10966990.32747604</v>
      </c>
      <c r="DT470" s="607">
        <f t="shared" si="621"/>
        <v>913066.42718446604</v>
      </c>
      <c r="DU470" s="606">
        <f t="shared" si="622"/>
        <v>1128821.6385542168</v>
      </c>
      <c r="DV470" s="607">
        <f t="shared" si="623"/>
        <v>1872792.9608540924</v>
      </c>
      <c r="DW470" s="608">
        <f t="shared" si="624"/>
        <v>2151291.0837209299</v>
      </c>
      <c r="DX470" s="607">
        <f t="shared" si="625"/>
        <v>0</v>
      </c>
      <c r="DY470" s="608">
        <f t="shared" si="626"/>
        <v>0</v>
      </c>
      <c r="DZ470" s="607">
        <f t="shared" si="627"/>
        <v>32833538.711434979</v>
      </c>
      <c r="EA470" s="608">
        <f t="shared" si="628"/>
        <v>34231769.290205263</v>
      </c>
    </row>
    <row r="471" spans="1:131" x14ac:dyDescent="0.2">
      <c r="A471" s="430" t="s">
        <v>42</v>
      </c>
      <c r="B471" s="431" t="s">
        <v>914</v>
      </c>
      <c r="C471" s="581"/>
      <c r="D471" s="480">
        <v>220978</v>
      </c>
      <c r="E471" s="418">
        <v>3</v>
      </c>
      <c r="F471" s="598">
        <v>320</v>
      </c>
      <c r="G471" s="599"/>
      <c r="H471" s="600"/>
      <c r="I471" s="601">
        <v>321</v>
      </c>
      <c r="J471" s="600">
        <v>1</v>
      </c>
      <c r="K471" s="599">
        <v>2</v>
      </c>
      <c r="L471" s="600"/>
      <c r="M471" s="601">
        <v>2</v>
      </c>
      <c r="N471" s="600">
        <v>123</v>
      </c>
      <c r="O471" s="599"/>
      <c r="P471" s="600"/>
      <c r="Q471" s="601">
        <v>224</v>
      </c>
      <c r="R471" s="600">
        <v>1</v>
      </c>
      <c r="S471" s="599"/>
      <c r="T471" s="600"/>
      <c r="U471" s="601">
        <v>2</v>
      </c>
      <c r="V471" s="600">
        <v>222</v>
      </c>
      <c r="W471" s="599"/>
      <c r="X471" s="600"/>
      <c r="Y471" s="601">
        <v>193</v>
      </c>
      <c r="Z471" s="600">
        <v>1</v>
      </c>
      <c r="AA471" s="599"/>
      <c r="AB471" s="600"/>
      <c r="AC471" s="601"/>
      <c r="AD471" s="600">
        <v>125</v>
      </c>
      <c r="AE471" s="599"/>
      <c r="AF471" s="600"/>
      <c r="AG471" s="601">
        <v>77</v>
      </c>
      <c r="AH471" s="600"/>
      <c r="AI471" s="599"/>
      <c r="AJ471" s="600"/>
      <c r="AK471" s="601">
        <v>1</v>
      </c>
      <c r="AL471" s="600">
        <v>0</v>
      </c>
      <c r="AM471" s="599"/>
      <c r="AN471" s="600"/>
      <c r="AO471" s="601">
        <v>86</v>
      </c>
      <c r="AP471" s="600"/>
      <c r="AQ471" s="599"/>
      <c r="AR471" s="600"/>
      <c r="AS471" s="601">
        <v>1</v>
      </c>
      <c r="AT471" s="600"/>
      <c r="AU471" s="599"/>
      <c r="AV471" s="600"/>
      <c r="AW471" s="601"/>
      <c r="AX471" s="600"/>
      <c r="AY471" s="599"/>
      <c r="AZ471" s="600"/>
      <c r="BA471" s="601"/>
      <c r="BB471" s="602">
        <v>26520151</v>
      </c>
      <c r="BC471" s="599">
        <v>28409321</v>
      </c>
      <c r="BD471" s="600">
        <v>14727400</v>
      </c>
      <c r="BE471" s="599">
        <v>15631910</v>
      </c>
      <c r="BF471" s="600">
        <v>12135119</v>
      </c>
      <c r="BG471" s="599">
        <v>11012328</v>
      </c>
      <c r="BH471" s="600">
        <v>4889183</v>
      </c>
      <c r="BI471" s="599">
        <v>3167918</v>
      </c>
      <c r="BJ471" s="600">
        <v>0</v>
      </c>
      <c r="BK471" s="615">
        <v>3837950</v>
      </c>
      <c r="BL471" s="600">
        <v>0</v>
      </c>
      <c r="BM471" s="604"/>
      <c r="BN471" s="605">
        <f t="shared" si="563"/>
        <v>2891</v>
      </c>
      <c r="BO471" s="606">
        <f t="shared" si="564"/>
        <v>3256</v>
      </c>
      <c r="BP471" s="607">
        <f t="shared" si="565"/>
        <v>1118</v>
      </c>
      <c r="BQ471" s="606">
        <f t="shared" si="566"/>
        <v>2264</v>
      </c>
      <c r="BR471" s="607">
        <f t="shared" si="567"/>
        <v>2009</v>
      </c>
      <c r="BS471" s="606">
        <f t="shared" si="568"/>
        <v>1930</v>
      </c>
      <c r="BT471" s="607">
        <f t="shared" si="569"/>
        <v>1125</v>
      </c>
      <c r="BU471" s="606">
        <f t="shared" si="570"/>
        <v>782</v>
      </c>
      <c r="BV471" s="607">
        <f t="shared" si="571"/>
        <v>0</v>
      </c>
      <c r="BW471" s="608">
        <f t="shared" si="572"/>
        <v>872</v>
      </c>
      <c r="BX471" s="607">
        <f t="shared" si="573"/>
        <v>0</v>
      </c>
      <c r="BY471" s="608">
        <f t="shared" si="574"/>
        <v>0</v>
      </c>
      <c r="BZ471" s="607">
        <f t="shared" si="575"/>
        <v>9173.3486682808725</v>
      </c>
      <c r="CA471" s="608">
        <f t="shared" si="576"/>
        <v>8725.2214373464376</v>
      </c>
      <c r="CB471" s="607">
        <f t="shared" si="577"/>
        <v>13172.98747763864</v>
      </c>
      <c r="CC471" s="608">
        <f t="shared" si="578"/>
        <v>6904.5538869257953</v>
      </c>
      <c r="CD471" s="607">
        <f t="shared" si="579"/>
        <v>6040.3777999004478</v>
      </c>
      <c r="CE471" s="608">
        <f t="shared" si="580"/>
        <v>5705.8694300518137</v>
      </c>
      <c r="CF471" s="607">
        <f t="shared" si="581"/>
        <v>4345.9404444444444</v>
      </c>
      <c r="CG471" s="608">
        <f t="shared" si="582"/>
        <v>4051.0460358056266</v>
      </c>
      <c r="CH471" s="607">
        <f t="shared" si="583"/>
        <v>0</v>
      </c>
      <c r="CI471" s="608">
        <f t="shared" si="584"/>
        <v>4401.3188073394494</v>
      </c>
      <c r="CJ471" s="607">
        <f t="shared" si="585"/>
        <v>0</v>
      </c>
      <c r="CK471" s="608">
        <f t="shared" si="586"/>
        <v>0</v>
      </c>
      <c r="CL471" s="609">
        <f t="shared" si="587"/>
        <v>82560.138014527853</v>
      </c>
      <c r="CM471" s="608">
        <f t="shared" si="588"/>
        <v>78526.992936117938</v>
      </c>
      <c r="CN471" s="610">
        <f t="shared" si="589"/>
        <v>118556.88729874777</v>
      </c>
      <c r="CO471" s="606">
        <f t="shared" si="590"/>
        <v>62140.984982332157</v>
      </c>
      <c r="CP471" s="607">
        <f t="shared" si="591"/>
        <v>54363.400199104028</v>
      </c>
      <c r="CQ471" s="606">
        <f t="shared" si="592"/>
        <v>51352.82487046632</v>
      </c>
      <c r="CR471" s="607">
        <f t="shared" si="593"/>
        <v>39113.464</v>
      </c>
      <c r="CS471" s="606">
        <f t="shared" si="594"/>
        <v>36459.414322250639</v>
      </c>
      <c r="CT471" s="607">
        <f t="shared" si="595"/>
        <v>0</v>
      </c>
      <c r="CU471" s="608">
        <f t="shared" si="596"/>
        <v>39611.869266055044</v>
      </c>
      <c r="CV471" s="610">
        <f t="shared" si="597"/>
        <v>0</v>
      </c>
      <c r="CW471" s="608">
        <f t="shared" si="598"/>
        <v>0</v>
      </c>
      <c r="CX471" s="610">
        <f t="shared" si="599"/>
        <v>73411.1974427596</v>
      </c>
      <c r="CY471" s="611">
        <f t="shared" si="600"/>
        <v>61349.062105091019</v>
      </c>
      <c r="CZ471" s="605">
        <f t="shared" si="601"/>
        <v>321</v>
      </c>
      <c r="DA471" s="612">
        <f t="shared" si="602"/>
        <v>325</v>
      </c>
      <c r="DB471" s="607">
        <f t="shared" si="603"/>
        <v>124</v>
      </c>
      <c r="DC471" s="606">
        <f t="shared" si="604"/>
        <v>226</v>
      </c>
      <c r="DD471" s="607">
        <f t="shared" si="605"/>
        <v>223</v>
      </c>
      <c r="DE471" s="606">
        <f t="shared" si="606"/>
        <v>193</v>
      </c>
      <c r="DF471" s="607">
        <f t="shared" si="607"/>
        <v>125</v>
      </c>
      <c r="DG471" s="606">
        <f t="shared" si="608"/>
        <v>78</v>
      </c>
      <c r="DH471" s="607">
        <f t="shared" si="609"/>
        <v>0</v>
      </c>
      <c r="DI471" s="608">
        <f t="shared" si="610"/>
        <v>87</v>
      </c>
      <c r="DJ471" s="607">
        <f t="shared" si="611"/>
        <v>0</v>
      </c>
      <c r="DK471" s="608">
        <f t="shared" si="612"/>
        <v>0</v>
      </c>
      <c r="DL471" s="607">
        <f t="shared" si="613"/>
        <v>793</v>
      </c>
      <c r="DM471" s="608">
        <f t="shared" si="614"/>
        <v>909</v>
      </c>
      <c r="DN471" s="607">
        <f t="shared" si="615"/>
        <v>26501804.302663442</v>
      </c>
      <c r="DO471" s="612">
        <f t="shared" si="616"/>
        <v>25521272.704238329</v>
      </c>
      <c r="DP471" s="607">
        <f t="shared" si="617"/>
        <v>14701054.025044722</v>
      </c>
      <c r="DQ471" s="606">
        <f t="shared" si="618"/>
        <v>14043862.606007067</v>
      </c>
      <c r="DR471" s="607">
        <f t="shared" si="619"/>
        <v>12123038.244400198</v>
      </c>
      <c r="DS471" s="606">
        <f t="shared" si="620"/>
        <v>9911095.1999999993</v>
      </c>
      <c r="DT471" s="607">
        <f t="shared" si="621"/>
        <v>4889183</v>
      </c>
      <c r="DU471" s="606">
        <f t="shared" si="622"/>
        <v>2843834.3171355501</v>
      </c>
      <c r="DV471" s="607">
        <f t="shared" si="623"/>
        <v>0</v>
      </c>
      <c r="DW471" s="608">
        <f t="shared" si="624"/>
        <v>3446232.6261467887</v>
      </c>
      <c r="DX471" s="607">
        <f t="shared" si="625"/>
        <v>0</v>
      </c>
      <c r="DY471" s="608">
        <f t="shared" si="626"/>
        <v>0</v>
      </c>
      <c r="DZ471" s="607">
        <f t="shared" si="627"/>
        <v>58215079.572108366</v>
      </c>
      <c r="EA471" s="608">
        <f t="shared" si="628"/>
        <v>55766297.453527734</v>
      </c>
    </row>
    <row r="472" spans="1:131" x14ac:dyDescent="0.2">
      <c r="A472" s="430" t="s">
        <v>42</v>
      </c>
      <c r="B472" s="431" t="s">
        <v>915</v>
      </c>
      <c r="C472" s="581"/>
      <c r="D472" s="480">
        <v>221847</v>
      </c>
      <c r="E472" s="418">
        <v>3</v>
      </c>
      <c r="F472" s="598">
        <v>138</v>
      </c>
      <c r="G472" s="599">
        <v>133</v>
      </c>
      <c r="H472" s="600"/>
      <c r="I472" s="601"/>
      <c r="J472" s="600">
        <v>4</v>
      </c>
      <c r="K472" s="599"/>
      <c r="L472" s="600"/>
      <c r="M472" s="601">
        <v>2</v>
      </c>
      <c r="N472" s="600">
        <v>81</v>
      </c>
      <c r="O472" s="599">
        <v>83</v>
      </c>
      <c r="P472" s="600"/>
      <c r="Q472" s="601"/>
      <c r="R472" s="600">
        <v>7</v>
      </c>
      <c r="S472" s="599"/>
      <c r="T472" s="600"/>
      <c r="U472" s="601"/>
      <c r="V472" s="600">
        <v>73</v>
      </c>
      <c r="W472" s="599">
        <v>73</v>
      </c>
      <c r="X472" s="600"/>
      <c r="Y472" s="601"/>
      <c r="Z472" s="600">
        <v>3</v>
      </c>
      <c r="AA472" s="599"/>
      <c r="AB472" s="600"/>
      <c r="AC472" s="601">
        <v>2</v>
      </c>
      <c r="AD472" s="600">
        <v>64</v>
      </c>
      <c r="AE472" s="599">
        <v>73</v>
      </c>
      <c r="AF472" s="600"/>
      <c r="AG472" s="601"/>
      <c r="AH472" s="600">
        <v>4</v>
      </c>
      <c r="AI472" s="599"/>
      <c r="AJ472" s="600"/>
      <c r="AK472" s="601">
        <v>1</v>
      </c>
      <c r="AL472" s="600">
        <v>0</v>
      </c>
      <c r="AM472" s="599"/>
      <c r="AN472" s="600"/>
      <c r="AO472" s="601"/>
      <c r="AP472" s="600">
        <v>0</v>
      </c>
      <c r="AQ472" s="599"/>
      <c r="AR472" s="600"/>
      <c r="AS472" s="601"/>
      <c r="AT472" s="600"/>
      <c r="AU472" s="599"/>
      <c r="AV472" s="600"/>
      <c r="AW472" s="601"/>
      <c r="AX472" s="600"/>
      <c r="AY472" s="599"/>
      <c r="AZ472" s="600"/>
      <c r="BA472" s="601"/>
      <c r="BB472" s="602">
        <v>11046130</v>
      </c>
      <c r="BC472" s="599">
        <v>11242050</v>
      </c>
      <c r="BD472" s="600">
        <v>5762540</v>
      </c>
      <c r="BE472" s="599">
        <v>5727088</v>
      </c>
      <c r="BF472" s="600">
        <v>4052430</v>
      </c>
      <c r="BG472" s="599">
        <v>4290445</v>
      </c>
      <c r="BH472" s="600">
        <v>2717860</v>
      </c>
      <c r="BI472" s="599">
        <v>3090340</v>
      </c>
      <c r="BJ472" s="600">
        <v>0</v>
      </c>
      <c r="BK472" s="615"/>
      <c r="BL472" s="600">
        <v>0</v>
      </c>
      <c r="BM472" s="604"/>
      <c r="BN472" s="605">
        <f t="shared" si="563"/>
        <v>1286</v>
      </c>
      <c r="BO472" s="606">
        <f t="shared" si="564"/>
        <v>1221</v>
      </c>
      <c r="BP472" s="607">
        <f t="shared" si="565"/>
        <v>806</v>
      </c>
      <c r="BQ472" s="606">
        <f t="shared" si="566"/>
        <v>747</v>
      </c>
      <c r="BR472" s="607">
        <f t="shared" si="567"/>
        <v>690</v>
      </c>
      <c r="BS472" s="606">
        <f t="shared" si="568"/>
        <v>681</v>
      </c>
      <c r="BT472" s="607">
        <f t="shared" si="569"/>
        <v>620</v>
      </c>
      <c r="BU472" s="606">
        <f t="shared" si="570"/>
        <v>669</v>
      </c>
      <c r="BV472" s="607">
        <f t="shared" si="571"/>
        <v>0</v>
      </c>
      <c r="BW472" s="608">
        <f t="shared" si="572"/>
        <v>0</v>
      </c>
      <c r="BX472" s="607">
        <f t="shared" si="573"/>
        <v>0</v>
      </c>
      <c r="BY472" s="608">
        <f t="shared" si="574"/>
        <v>0</v>
      </c>
      <c r="BZ472" s="607">
        <f t="shared" si="575"/>
        <v>8589.5256609642311</v>
      </c>
      <c r="CA472" s="608">
        <f t="shared" si="576"/>
        <v>9207.2481572481574</v>
      </c>
      <c r="CB472" s="607">
        <f t="shared" si="577"/>
        <v>7149.5533498759305</v>
      </c>
      <c r="CC472" s="608">
        <f t="shared" si="578"/>
        <v>7666.7844712182059</v>
      </c>
      <c r="CD472" s="607">
        <f t="shared" si="579"/>
        <v>5873.086956521739</v>
      </c>
      <c r="CE472" s="608">
        <f t="shared" si="580"/>
        <v>6300.2129221732748</v>
      </c>
      <c r="CF472" s="607">
        <f t="shared" si="581"/>
        <v>4383.6451612903229</v>
      </c>
      <c r="CG472" s="608">
        <f t="shared" si="582"/>
        <v>4619.3423019431984</v>
      </c>
      <c r="CH472" s="607">
        <f t="shared" si="583"/>
        <v>0</v>
      </c>
      <c r="CI472" s="608">
        <f t="shared" si="584"/>
        <v>0</v>
      </c>
      <c r="CJ472" s="607">
        <f t="shared" si="585"/>
        <v>0</v>
      </c>
      <c r="CK472" s="608">
        <f t="shared" si="586"/>
        <v>0</v>
      </c>
      <c r="CL472" s="609">
        <f t="shared" si="587"/>
        <v>77305.730948678072</v>
      </c>
      <c r="CM472" s="608">
        <f t="shared" si="588"/>
        <v>82865.233415233422</v>
      </c>
      <c r="CN472" s="610">
        <f t="shared" si="589"/>
        <v>64345.980148883376</v>
      </c>
      <c r="CO472" s="606">
        <f t="shared" si="590"/>
        <v>69001.060240963852</v>
      </c>
      <c r="CP472" s="607">
        <f t="shared" si="591"/>
        <v>52857.782608695648</v>
      </c>
      <c r="CQ472" s="606">
        <f t="shared" si="592"/>
        <v>56701.916299559474</v>
      </c>
      <c r="CR472" s="607">
        <f t="shared" si="593"/>
        <v>39452.806451612909</v>
      </c>
      <c r="CS472" s="606">
        <f t="shared" si="594"/>
        <v>41574.080717488789</v>
      </c>
      <c r="CT472" s="607">
        <f t="shared" si="595"/>
        <v>0</v>
      </c>
      <c r="CU472" s="608">
        <f t="shared" si="596"/>
        <v>0</v>
      </c>
      <c r="CV472" s="610">
        <f t="shared" si="597"/>
        <v>0</v>
      </c>
      <c r="CW472" s="608">
        <f t="shared" si="598"/>
        <v>0</v>
      </c>
      <c r="CX472" s="610">
        <f t="shared" si="599"/>
        <v>62405.995627766235</v>
      </c>
      <c r="CY472" s="611">
        <f t="shared" si="600"/>
        <v>66057.275767350526</v>
      </c>
      <c r="CZ472" s="605">
        <f t="shared" si="601"/>
        <v>142</v>
      </c>
      <c r="DA472" s="612">
        <f t="shared" si="602"/>
        <v>135</v>
      </c>
      <c r="DB472" s="607">
        <f t="shared" si="603"/>
        <v>88</v>
      </c>
      <c r="DC472" s="606">
        <f t="shared" si="604"/>
        <v>83</v>
      </c>
      <c r="DD472" s="607">
        <f t="shared" si="605"/>
        <v>76</v>
      </c>
      <c r="DE472" s="606">
        <f t="shared" si="606"/>
        <v>75</v>
      </c>
      <c r="DF472" s="607">
        <f t="shared" si="607"/>
        <v>68</v>
      </c>
      <c r="DG472" s="606">
        <f t="shared" si="608"/>
        <v>74</v>
      </c>
      <c r="DH472" s="607">
        <f t="shared" si="609"/>
        <v>0</v>
      </c>
      <c r="DI472" s="608">
        <f t="shared" si="610"/>
        <v>0</v>
      </c>
      <c r="DJ472" s="607">
        <f t="shared" si="611"/>
        <v>0</v>
      </c>
      <c r="DK472" s="608">
        <f t="shared" si="612"/>
        <v>0</v>
      </c>
      <c r="DL472" s="607">
        <f t="shared" si="613"/>
        <v>374</v>
      </c>
      <c r="DM472" s="608">
        <f t="shared" si="614"/>
        <v>367</v>
      </c>
      <c r="DN472" s="607">
        <f t="shared" si="615"/>
        <v>10977413.794712286</v>
      </c>
      <c r="DO472" s="612">
        <f t="shared" si="616"/>
        <v>11186806.511056513</v>
      </c>
      <c r="DP472" s="607">
        <f t="shared" si="617"/>
        <v>5662446.2531017372</v>
      </c>
      <c r="DQ472" s="606">
        <f t="shared" si="618"/>
        <v>5727088</v>
      </c>
      <c r="DR472" s="607">
        <f t="shared" si="619"/>
        <v>4017191.4782608692</v>
      </c>
      <c r="DS472" s="606">
        <f t="shared" si="620"/>
        <v>4252643.7224669605</v>
      </c>
      <c r="DT472" s="607">
        <f t="shared" si="621"/>
        <v>2682790.8387096776</v>
      </c>
      <c r="DU472" s="606">
        <f t="shared" si="622"/>
        <v>3076481.9730941704</v>
      </c>
      <c r="DV472" s="607">
        <f t="shared" si="623"/>
        <v>0</v>
      </c>
      <c r="DW472" s="608">
        <f t="shared" si="624"/>
        <v>0</v>
      </c>
      <c r="DX472" s="607">
        <f t="shared" si="625"/>
        <v>0</v>
      </c>
      <c r="DY472" s="608">
        <f t="shared" si="626"/>
        <v>0</v>
      </c>
      <c r="DZ472" s="607">
        <f t="shared" si="627"/>
        <v>23339842.364784572</v>
      </c>
      <c r="EA472" s="608">
        <f t="shared" si="628"/>
        <v>24243020.206617642</v>
      </c>
    </row>
    <row r="473" spans="1:131" x14ac:dyDescent="0.2">
      <c r="A473" s="430" t="s">
        <v>42</v>
      </c>
      <c r="B473" s="431" t="s">
        <v>916</v>
      </c>
      <c r="C473" s="581"/>
      <c r="D473" s="480">
        <v>221740</v>
      </c>
      <c r="E473" s="418">
        <v>3</v>
      </c>
      <c r="F473" s="598">
        <v>127</v>
      </c>
      <c r="G473" s="599">
        <v>130</v>
      </c>
      <c r="H473" s="600"/>
      <c r="I473" s="601"/>
      <c r="J473" s="600">
        <v>29</v>
      </c>
      <c r="K473" s="599"/>
      <c r="L473" s="600"/>
      <c r="M473" s="601">
        <v>30</v>
      </c>
      <c r="N473" s="600">
        <v>92</v>
      </c>
      <c r="O473" s="599">
        <v>84</v>
      </c>
      <c r="P473" s="600"/>
      <c r="Q473" s="601"/>
      <c r="R473" s="600">
        <v>8</v>
      </c>
      <c r="S473" s="599"/>
      <c r="T473" s="600"/>
      <c r="U473" s="601">
        <v>9</v>
      </c>
      <c r="V473" s="600">
        <v>78</v>
      </c>
      <c r="W473" s="599">
        <v>89</v>
      </c>
      <c r="X473" s="600"/>
      <c r="Y473" s="601"/>
      <c r="Z473" s="600">
        <v>3</v>
      </c>
      <c r="AA473" s="599"/>
      <c r="AB473" s="600"/>
      <c r="AC473" s="601">
        <v>7</v>
      </c>
      <c r="AD473" s="600">
        <v>9</v>
      </c>
      <c r="AE473" s="599">
        <v>13</v>
      </c>
      <c r="AF473" s="600"/>
      <c r="AG473" s="601"/>
      <c r="AH473" s="600">
        <v>2</v>
      </c>
      <c r="AI473" s="599"/>
      <c r="AJ473" s="600"/>
      <c r="AK473" s="601">
        <v>0</v>
      </c>
      <c r="AL473" s="600">
        <v>86</v>
      </c>
      <c r="AM473" s="599">
        <v>88</v>
      </c>
      <c r="AN473" s="600"/>
      <c r="AO473" s="601"/>
      <c r="AP473" s="600">
        <v>3</v>
      </c>
      <c r="AQ473" s="599"/>
      <c r="AR473" s="600"/>
      <c r="AS473" s="601">
        <v>4</v>
      </c>
      <c r="AT473" s="600"/>
      <c r="AU473" s="599"/>
      <c r="AV473" s="600"/>
      <c r="AW473" s="601"/>
      <c r="AX473" s="600"/>
      <c r="AY473" s="599"/>
      <c r="AZ473" s="600"/>
      <c r="BA473" s="601"/>
      <c r="BB473" s="602">
        <v>14191394</v>
      </c>
      <c r="BC473" s="599">
        <v>15113944</v>
      </c>
      <c r="BD473" s="600">
        <v>6744615.9999999991</v>
      </c>
      <c r="BE473" s="599">
        <v>6635411</v>
      </c>
      <c r="BF473" s="600">
        <v>4547139</v>
      </c>
      <c r="BG473" s="599">
        <v>5635280</v>
      </c>
      <c r="BH473" s="600">
        <v>520916</v>
      </c>
      <c r="BI473" s="599">
        <v>618587</v>
      </c>
      <c r="BJ473" s="600">
        <v>3374469</v>
      </c>
      <c r="BK473" s="615">
        <v>3607802</v>
      </c>
      <c r="BL473" s="600">
        <v>0</v>
      </c>
      <c r="BM473" s="604"/>
      <c r="BN473" s="605">
        <f t="shared" si="563"/>
        <v>1462</v>
      </c>
      <c r="BO473" s="606">
        <f t="shared" si="564"/>
        <v>1530</v>
      </c>
      <c r="BP473" s="607">
        <f t="shared" si="565"/>
        <v>916</v>
      </c>
      <c r="BQ473" s="606">
        <f t="shared" si="566"/>
        <v>864</v>
      </c>
      <c r="BR473" s="607">
        <f t="shared" si="567"/>
        <v>735</v>
      </c>
      <c r="BS473" s="606">
        <f t="shared" si="568"/>
        <v>885</v>
      </c>
      <c r="BT473" s="607">
        <f t="shared" si="569"/>
        <v>103</v>
      </c>
      <c r="BU473" s="606">
        <f t="shared" si="570"/>
        <v>117</v>
      </c>
      <c r="BV473" s="607">
        <f t="shared" si="571"/>
        <v>807</v>
      </c>
      <c r="BW473" s="608">
        <f t="shared" si="572"/>
        <v>840</v>
      </c>
      <c r="BX473" s="607">
        <f t="shared" si="573"/>
        <v>0</v>
      </c>
      <c r="BY473" s="608">
        <f t="shared" si="574"/>
        <v>0</v>
      </c>
      <c r="BZ473" s="607">
        <f t="shared" si="575"/>
        <v>9706.8358413132701</v>
      </c>
      <c r="CA473" s="608">
        <f t="shared" si="576"/>
        <v>9878.3947712418303</v>
      </c>
      <c r="CB473" s="607">
        <f t="shared" si="577"/>
        <v>7363.1179039301296</v>
      </c>
      <c r="CC473" s="608">
        <f t="shared" si="578"/>
        <v>7679.8738425925922</v>
      </c>
      <c r="CD473" s="607">
        <f t="shared" si="579"/>
        <v>6186.5836734693876</v>
      </c>
      <c r="CE473" s="608">
        <f t="shared" si="580"/>
        <v>6367.5480225988704</v>
      </c>
      <c r="CF473" s="607">
        <f t="shared" si="581"/>
        <v>5057.4368932038833</v>
      </c>
      <c r="CG473" s="608">
        <f t="shared" si="582"/>
        <v>5287.068376068376</v>
      </c>
      <c r="CH473" s="607">
        <f t="shared" si="583"/>
        <v>4181.4981412639409</v>
      </c>
      <c r="CI473" s="608">
        <f t="shared" si="584"/>
        <v>4295.0023809523809</v>
      </c>
      <c r="CJ473" s="607">
        <f t="shared" si="585"/>
        <v>0</v>
      </c>
      <c r="CK473" s="608">
        <f t="shared" si="586"/>
        <v>0</v>
      </c>
      <c r="CL473" s="609">
        <f t="shared" si="587"/>
        <v>87361.522571819427</v>
      </c>
      <c r="CM473" s="608">
        <f t="shared" si="588"/>
        <v>88905.552941176473</v>
      </c>
      <c r="CN473" s="610">
        <f t="shared" si="589"/>
        <v>66268.061135371172</v>
      </c>
      <c r="CO473" s="606">
        <f t="shared" si="590"/>
        <v>69118.864583333328</v>
      </c>
      <c r="CP473" s="607">
        <f t="shared" si="591"/>
        <v>55679.253061224488</v>
      </c>
      <c r="CQ473" s="606">
        <f t="shared" si="592"/>
        <v>57307.932203389835</v>
      </c>
      <c r="CR473" s="607">
        <f t="shared" si="593"/>
        <v>45516.932038834952</v>
      </c>
      <c r="CS473" s="606">
        <f t="shared" si="594"/>
        <v>47583.615384615383</v>
      </c>
      <c r="CT473" s="607">
        <f t="shared" si="595"/>
        <v>37633.483271375466</v>
      </c>
      <c r="CU473" s="608">
        <f t="shared" si="596"/>
        <v>38655.021428571432</v>
      </c>
      <c r="CV473" s="610">
        <f t="shared" si="597"/>
        <v>0</v>
      </c>
      <c r="CW473" s="608">
        <f t="shared" si="598"/>
        <v>0</v>
      </c>
      <c r="CX473" s="610">
        <f t="shared" si="599"/>
        <v>65481.211433134391</v>
      </c>
      <c r="CY473" s="611">
        <f t="shared" si="600"/>
        <v>66804.743039189954</v>
      </c>
      <c r="CZ473" s="605">
        <f t="shared" si="601"/>
        <v>156</v>
      </c>
      <c r="DA473" s="612">
        <f t="shared" si="602"/>
        <v>160</v>
      </c>
      <c r="DB473" s="607">
        <f t="shared" si="603"/>
        <v>100</v>
      </c>
      <c r="DC473" s="606">
        <f t="shared" si="604"/>
        <v>93</v>
      </c>
      <c r="DD473" s="607">
        <f t="shared" si="605"/>
        <v>81</v>
      </c>
      <c r="DE473" s="606">
        <f t="shared" si="606"/>
        <v>96</v>
      </c>
      <c r="DF473" s="607">
        <f t="shared" si="607"/>
        <v>11</v>
      </c>
      <c r="DG473" s="606">
        <f t="shared" si="608"/>
        <v>13</v>
      </c>
      <c r="DH473" s="607">
        <f t="shared" si="609"/>
        <v>89</v>
      </c>
      <c r="DI473" s="608">
        <f t="shared" si="610"/>
        <v>92</v>
      </c>
      <c r="DJ473" s="607">
        <f t="shared" si="611"/>
        <v>0</v>
      </c>
      <c r="DK473" s="608">
        <f t="shared" si="612"/>
        <v>0</v>
      </c>
      <c r="DL473" s="607">
        <f t="shared" si="613"/>
        <v>437</v>
      </c>
      <c r="DM473" s="608">
        <f t="shared" si="614"/>
        <v>454</v>
      </c>
      <c r="DN473" s="607">
        <f t="shared" si="615"/>
        <v>13628397.521203831</v>
      </c>
      <c r="DO473" s="612">
        <f t="shared" si="616"/>
        <v>14224888.470588235</v>
      </c>
      <c r="DP473" s="607">
        <f t="shared" si="617"/>
        <v>6626806.1135371169</v>
      </c>
      <c r="DQ473" s="606">
        <f t="shared" si="618"/>
        <v>6428054.40625</v>
      </c>
      <c r="DR473" s="607">
        <f t="shared" si="619"/>
        <v>4510019.4979591835</v>
      </c>
      <c r="DS473" s="606">
        <f t="shared" si="620"/>
        <v>5501561.4915254246</v>
      </c>
      <c r="DT473" s="607">
        <f t="shared" si="621"/>
        <v>500686.25242718449</v>
      </c>
      <c r="DU473" s="606">
        <f t="shared" si="622"/>
        <v>618587</v>
      </c>
      <c r="DV473" s="607">
        <f t="shared" si="623"/>
        <v>3349380.0111524165</v>
      </c>
      <c r="DW473" s="608">
        <f t="shared" si="624"/>
        <v>3556261.9714285717</v>
      </c>
      <c r="DX473" s="607">
        <f t="shared" si="625"/>
        <v>0</v>
      </c>
      <c r="DY473" s="608">
        <f t="shared" si="626"/>
        <v>0</v>
      </c>
      <c r="DZ473" s="607">
        <f t="shared" si="627"/>
        <v>28615289.39627973</v>
      </c>
      <c r="EA473" s="608">
        <f t="shared" si="628"/>
        <v>30329353.33979224</v>
      </c>
    </row>
    <row r="474" spans="1:131" x14ac:dyDescent="0.2">
      <c r="A474" s="482" t="s">
        <v>42</v>
      </c>
      <c r="B474" s="431" t="s">
        <v>917</v>
      </c>
      <c r="C474" s="562"/>
      <c r="D474" s="480">
        <v>221768</v>
      </c>
      <c r="E474" s="418">
        <v>5</v>
      </c>
      <c r="F474" s="598">
        <v>59</v>
      </c>
      <c r="G474" s="599">
        <v>64</v>
      </c>
      <c r="H474" s="600"/>
      <c r="I474" s="601"/>
      <c r="J474" s="600">
        <v>17</v>
      </c>
      <c r="K474" s="599"/>
      <c r="L474" s="600"/>
      <c r="M474" s="601">
        <v>5</v>
      </c>
      <c r="N474" s="600">
        <v>59</v>
      </c>
      <c r="O474" s="599">
        <v>52</v>
      </c>
      <c r="P474" s="600"/>
      <c r="Q474" s="601"/>
      <c r="R474" s="600">
        <v>5</v>
      </c>
      <c r="S474" s="599"/>
      <c r="T474" s="600"/>
      <c r="U474" s="601">
        <v>9</v>
      </c>
      <c r="V474" s="600">
        <v>76</v>
      </c>
      <c r="W474" s="599">
        <v>74</v>
      </c>
      <c r="X474" s="600"/>
      <c r="Y474" s="601"/>
      <c r="Z474" s="600">
        <v>3</v>
      </c>
      <c r="AA474" s="599"/>
      <c r="AB474" s="600"/>
      <c r="AC474" s="601">
        <v>3</v>
      </c>
      <c r="AD474" s="600">
        <v>16</v>
      </c>
      <c r="AE474" s="599">
        <v>13</v>
      </c>
      <c r="AF474" s="600"/>
      <c r="AG474" s="601"/>
      <c r="AH474" s="600">
        <v>3</v>
      </c>
      <c r="AI474" s="599"/>
      <c r="AJ474" s="600"/>
      <c r="AK474" s="601">
        <v>3</v>
      </c>
      <c r="AL474" s="600">
        <v>34</v>
      </c>
      <c r="AM474" s="599">
        <v>39</v>
      </c>
      <c r="AN474" s="600"/>
      <c r="AO474" s="601"/>
      <c r="AP474" s="600"/>
      <c r="AQ474" s="599"/>
      <c r="AR474" s="600"/>
      <c r="AS474" s="601">
        <v>1</v>
      </c>
      <c r="AT474" s="600"/>
      <c r="AU474" s="599"/>
      <c r="AV474" s="600"/>
      <c r="AW474" s="601"/>
      <c r="AX474" s="600"/>
      <c r="AY474" s="599"/>
      <c r="AZ474" s="600"/>
      <c r="BA474" s="601"/>
      <c r="BB474" s="602">
        <v>5974136</v>
      </c>
      <c r="BC474" s="629">
        <v>4231413</v>
      </c>
      <c r="BD474" s="600">
        <v>4077677</v>
      </c>
      <c r="BE474" s="629">
        <v>4374253</v>
      </c>
      <c r="BF474" s="600">
        <v>4316445</v>
      </c>
      <c r="BG474" s="630">
        <v>4151458</v>
      </c>
      <c r="BH474" s="600">
        <v>944043</v>
      </c>
      <c r="BI474" s="629">
        <v>673907</v>
      </c>
      <c r="BJ474" s="600">
        <v>1465953</v>
      </c>
      <c r="BK474" s="631">
        <v>1705763</v>
      </c>
      <c r="BL474" s="600">
        <v>0</v>
      </c>
      <c r="BM474" s="604"/>
      <c r="BN474" s="605">
        <f t="shared" si="563"/>
        <v>718</v>
      </c>
      <c r="BO474" s="606">
        <f t="shared" si="564"/>
        <v>636</v>
      </c>
      <c r="BP474" s="607">
        <f t="shared" si="565"/>
        <v>586</v>
      </c>
      <c r="BQ474" s="606">
        <f t="shared" si="566"/>
        <v>576</v>
      </c>
      <c r="BR474" s="607">
        <f t="shared" si="567"/>
        <v>717</v>
      </c>
      <c r="BS474" s="606">
        <f t="shared" si="568"/>
        <v>702</v>
      </c>
      <c r="BT474" s="607">
        <f t="shared" si="569"/>
        <v>177</v>
      </c>
      <c r="BU474" s="606">
        <f t="shared" si="570"/>
        <v>153</v>
      </c>
      <c r="BV474" s="607">
        <f t="shared" si="571"/>
        <v>306</v>
      </c>
      <c r="BW474" s="608">
        <f t="shared" si="572"/>
        <v>363</v>
      </c>
      <c r="BX474" s="607">
        <f t="shared" si="573"/>
        <v>0</v>
      </c>
      <c r="BY474" s="608">
        <f t="shared" si="574"/>
        <v>0</v>
      </c>
      <c r="BZ474" s="607">
        <f t="shared" si="575"/>
        <v>8320.5236768802224</v>
      </c>
      <c r="CA474" s="608">
        <f t="shared" si="576"/>
        <v>6653.1650943396226</v>
      </c>
      <c r="CB474" s="607">
        <f t="shared" si="577"/>
        <v>6958.4931740614338</v>
      </c>
      <c r="CC474" s="608">
        <f t="shared" si="578"/>
        <v>7594.1892361111113</v>
      </c>
      <c r="CD474" s="607">
        <f t="shared" si="579"/>
        <v>6020.1464435146445</v>
      </c>
      <c r="CE474" s="608">
        <f t="shared" si="580"/>
        <v>5913.7578347578346</v>
      </c>
      <c r="CF474" s="607">
        <f t="shared" si="581"/>
        <v>5333.5762711864409</v>
      </c>
      <c r="CG474" s="608">
        <f t="shared" si="582"/>
        <v>4404.6209150326795</v>
      </c>
      <c r="CH474" s="607">
        <f t="shared" si="583"/>
        <v>4790.6960784313724</v>
      </c>
      <c r="CI474" s="608">
        <f t="shared" si="584"/>
        <v>4699.0716253443525</v>
      </c>
      <c r="CJ474" s="607">
        <f t="shared" si="585"/>
        <v>0</v>
      </c>
      <c r="CK474" s="608">
        <f t="shared" si="586"/>
        <v>0</v>
      </c>
      <c r="CL474" s="609">
        <f t="shared" si="587"/>
        <v>74884.713091922007</v>
      </c>
      <c r="CM474" s="608">
        <f t="shared" si="588"/>
        <v>59878.485849056604</v>
      </c>
      <c r="CN474" s="610">
        <f t="shared" si="589"/>
        <v>62626.438566552904</v>
      </c>
      <c r="CO474" s="606">
        <f t="shared" si="590"/>
        <v>68347.703125</v>
      </c>
      <c r="CP474" s="607">
        <f t="shared" si="591"/>
        <v>54181.317991631804</v>
      </c>
      <c r="CQ474" s="606">
        <f t="shared" si="592"/>
        <v>53223.820512820515</v>
      </c>
      <c r="CR474" s="607">
        <f t="shared" si="593"/>
        <v>48002.186440677964</v>
      </c>
      <c r="CS474" s="606">
        <f t="shared" si="594"/>
        <v>39641.588235294112</v>
      </c>
      <c r="CT474" s="607">
        <f t="shared" si="595"/>
        <v>43116.26470588235</v>
      </c>
      <c r="CU474" s="608">
        <f t="shared" si="596"/>
        <v>42291.644628099173</v>
      </c>
      <c r="CV474" s="610">
        <f t="shared" si="597"/>
        <v>0</v>
      </c>
      <c r="CW474" s="608">
        <f t="shared" si="598"/>
        <v>0</v>
      </c>
      <c r="CX474" s="610">
        <f t="shared" si="599"/>
        <v>60138.415172636953</v>
      </c>
      <c r="CY474" s="611">
        <f t="shared" si="600"/>
        <v>55988.558139109344</v>
      </c>
      <c r="CZ474" s="605">
        <f t="shared" si="601"/>
        <v>76</v>
      </c>
      <c r="DA474" s="612">
        <f t="shared" si="602"/>
        <v>69</v>
      </c>
      <c r="DB474" s="607">
        <f t="shared" si="603"/>
        <v>64</v>
      </c>
      <c r="DC474" s="606">
        <f t="shared" si="604"/>
        <v>61</v>
      </c>
      <c r="DD474" s="607">
        <f t="shared" si="605"/>
        <v>79</v>
      </c>
      <c r="DE474" s="606">
        <f t="shared" si="606"/>
        <v>77</v>
      </c>
      <c r="DF474" s="607">
        <f t="shared" si="607"/>
        <v>19</v>
      </c>
      <c r="DG474" s="606">
        <f t="shared" si="608"/>
        <v>16</v>
      </c>
      <c r="DH474" s="607">
        <f t="shared" si="609"/>
        <v>34</v>
      </c>
      <c r="DI474" s="608">
        <f t="shared" si="610"/>
        <v>40</v>
      </c>
      <c r="DJ474" s="607">
        <f t="shared" si="611"/>
        <v>0</v>
      </c>
      <c r="DK474" s="608">
        <f t="shared" si="612"/>
        <v>0</v>
      </c>
      <c r="DL474" s="607">
        <f t="shared" si="613"/>
        <v>272</v>
      </c>
      <c r="DM474" s="608">
        <f t="shared" si="614"/>
        <v>263</v>
      </c>
      <c r="DN474" s="607">
        <f t="shared" si="615"/>
        <v>5691238.1949860724</v>
      </c>
      <c r="DO474" s="612">
        <f t="shared" si="616"/>
        <v>4131615.5235849055</v>
      </c>
      <c r="DP474" s="607">
        <f t="shared" si="617"/>
        <v>4008092.0682593859</v>
      </c>
      <c r="DQ474" s="606">
        <f t="shared" si="618"/>
        <v>4169209.890625</v>
      </c>
      <c r="DR474" s="607">
        <f t="shared" si="619"/>
        <v>4280324.1213389123</v>
      </c>
      <c r="DS474" s="606">
        <f t="shared" si="620"/>
        <v>4098234.1794871795</v>
      </c>
      <c r="DT474" s="607">
        <f t="shared" si="621"/>
        <v>912041.54237288132</v>
      </c>
      <c r="DU474" s="606">
        <f t="shared" si="622"/>
        <v>634265.41176470579</v>
      </c>
      <c r="DV474" s="607">
        <f t="shared" si="623"/>
        <v>1465953</v>
      </c>
      <c r="DW474" s="608">
        <f t="shared" si="624"/>
        <v>1691665.7851239669</v>
      </c>
      <c r="DX474" s="607">
        <f t="shared" si="625"/>
        <v>0</v>
      </c>
      <c r="DY474" s="608">
        <f t="shared" si="626"/>
        <v>0</v>
      </c>
      <c r="DZ474" s="607">
        <f t="shared" si="627"/>
        <v>16357648.926957252</v>
      </c>
      <c r="EA474" s="608">
        <f t="shared" si="628"/>
        <v>14724990.790585758</v>
      </c>
    </row>
    <row r="475" spans="1:131" x14ac:dyDescent="0.2">
      <c r="A475" s="482" t="s">
        <v>42</v>
      </c>
      <c r="B475" s="431" t="s">
        <v>918</v>
      </c>
      <c r="C475" s="581"/>
      <c r="D475" s="480">
        <v>219824</v>
      </c>
      <c r="E475" s="418">
        <v>8</v>
      </c>
      <c r="F475" s="598">
        <v>21</v>
      </c>
      <c r="G475" s="599">
        <v>21</v>
      </c>
      <c r="H475" s="600"/>
      <c r="I475" s="601"/>
      <c r="J475" s="600">
        <v>5</v>
      </c>
      <c r="K475" s="599"/>
      <c r="L475" s="600"/>
      <c r="M475" s="601">
        <v>3</v>
      </c>
      <c r="N475" s="600">
        <v>71</v>
      </c>
      <c r="O475" s="599">
        <v>74</v>
      </c>
      <c r="P475" s="600"/>
      <c r="Q475" s="601"/>
      <c r="R475" s="600">
        <v>16</v>
      </c>
      <c r="S475" s="599"/>
      <c r="T475" s="600"/>
      <c r="U475" s="601">
        <v>17</v>
      </c>
      <c r="V475" s="600">
        <v>40</v>
      </c>
      <c r="W475" s="599">
        <v>41</v>
      </c>
      <c r="X475" s="600"/>
      <c r="Y475" s="601"/>
      <c r="Z475" s="600">
        <v>6</v>
      </c>
      <c r="AA475" s="599"/>
      <c r="AB475" s="600"/>
      <c r="AC475" s="601">
        <v>8</v>
      </c>
      <c r="AD475" s="600">
        <v>23</v>
      </c>
      <c r="AE475" s="599">
        <v>21</v>
      </c>
      <c r="AF475" s="600"/>
      <c r="AG475" s="601"/>
      <c r="AH475" s="600">
        <v>48</v>
      </c>
      <c r="AI475" s="599"/>
      <c r="AJ475" s="600"/>
      <c r="AK475" s="601">
        <v>49</v>
      </c>
      <c r="AL475" s="600">
        <v>0</v>
      </c>
      <c r="AM475" s="599"/>
      <c r="AN475" s="600"/>
      <c r="AO475" s="601"/>
      <c r="AP475" s="600"/>
      <c r="AQ475" s="599"/>
      <c r="AR475" s="600"/>
      <c r="AS475" s="601"/>
      <c r="AT475" s="600"/>
      <c r="AU475" s="599"/>
      <c r="AV475" s="600"/>
      <c r="AW475" s="601"/>
      <c r="AX475" s="600"/>
      <c r="AY475" s="599"/>
      <c r="AZ475" s="600"/>
      <c r="BA475" s="601"/>
      <c r="BB475" s="602">
        <v>1587705</v>
      </c>
      <c r="BC475" s="624">
        <v>854366</v>
      </c>
      <c r="BD475" s="600">
        <v>4677487</v>
      </c>
      <c r="BE475" s="624">
        <v>3331424</v>
      </c>
      <c r="BF475" s="600">
        <v>2196676</v>
      </c>
      <c r="BG475" s="628">
        <v>2377199</v>
      </c>
      <c r="BH475" s="600">
        <v>3398121</v>
      </c>
      <c r="BI475" s="624">
        <v>2600345</v>
      </c>
      <c r="BJ475" s="600">
        <v>0</v>
      </c>
      <c r="BK475" s="632"/>
      <c r="BL475" s="600">
        <v>0</v>
      </c>
      <c r="BM475" s="633"/>
      <c r="BN475" s="605">
        <f t="shared" si="563"/>
        <v>244</v>
      </c>
      <c r="BO475" s="606">
        <f t="shared" si="564"/>
        <v>225</v>
      </c>
      <c r="BP475" s="607">
        <f t="shared" si="565"/>
        <v>815</v>
      </c>
      <c r="BQ475" s="606">
        <f t="shared" si="566"/>
        <v>870</v>
      </c>
      <c r="BR475" s="607">
        <f t="shared" si="567"/>
        <v>426</v>
      </c>
      <c r="BS475" s="606">
        <f t="shared" si="568"/>
        <v>465</v>
      </c>
      <c r="BT475" s="607">
        <f t="shared" si="569"/>
        <v>735</v>
      </c>
      <c r="BU475" s="606">
        <f t="shared" si="570"/>
        <v>777</v>
      </c>
      <c r="BV475" s="607">
        <f t="shared" si="571"/>
        <v>0</v>
      </c>
      <c r="BW475" s="608">
        <f t="shared" si="572"/>
        <v>0</v>
      </c>
      <c r="BX475" s="607">
        <f t="shared" si="573"/>
        <v>0</v>
      </c>
      <c r="BY475" s="608">
        <f t="shared" si="574"/>
        <v>0</v>
      </c>
      <c r="BZ475" s="607">
        <f t="shared" si="575"/>
        <v>6506.9877049180332</v>
      </c>
      <c r="CA475" s="608">
        <f t="shared" si="576"/>
        <v>3797.1822222222222</v>
      </c>
      <c r="CB475" s="607">
        <f t="shared" si="577"/>
        <v>5739.2478527607364</v>
      </c>
      <c r="CC475" s="608">
        <f t="shared" si="578"/>
        <v>3829.2229885057473</v>
      </c>
      <c r="CD475" s="607">
        <f t="shared" si="579"/>
        <v>5156.5164319248825</v>
      </c>
      <c r="CE475" s="608">
        <f t="shared" si="580"/>
        <v>5112.2559139784944</v>
      </c>
      <c r="CF475" s="607">
        <f t="shared" si="581"/>
        <v>4623.2938775510202</v>
      </c>
      <c r="CG475" s="608">
        <f t="shared" si="582"/>
        <v>3346.6473616473618</v>
      </c>
      <c r="CH475" s="607">
        <f t="shared" si="583"/>
        <v>0</v>
      </c>
      <c r="CI475" s="608">
        <f t="shared" si="584"/>
        <v>0</v>
      </c>
      <c r="CJ475" s="607">
        <f t="shared" si="585"/>
        <v>0</v>
      </c>
      <c r="CK475" s="608">
        <f t="shared" si="586"/>
        <v>0</v>
      </c>
      <c r="CL475" s="609">
        <f t="shared" si="587"/>
        <v>58562.889344262301</v>
      </c>
      <c r="CM475" s="608">
        <f t="shared" si="588"/>
        <v>34174.639999999999</v>
      </c>
      <c r="CN475" s="610">
        <f t="shared" si="589"/>
        <v>51653.230674846629</v>
      </c>
      <c r="CO475" s="606">
        <f t="shared" si="590"/>
        <v>34463.006896551728</v>
      </c>
      <c r="CP475" s="607">
        <f t="shared" si="591"/>
        <v>46408.647887323939</v>
      </c>
      <c r="CQ475" s="606">
        <f t="shared" si="592"/>
        <v>46010.303225806449</v>
      </c>
      <c r="CR475" s="607">
        <f t="shared" si="593"/>
        <v>41609.644897959181</v>
      </c>
      <c r="CS475" s="606">
        <f t="shared" si="594"/>
        <v>30119.826254826257</v>
      </c>
      <c r="CT475" s="607">
        <f t="shared" si="595"/>
        <v>0</v>
      </c>
      <c r="CU475" s="608">
        <f t="shared" si="596"/>
        <v>0</v>
      </c>
      <c r="CV475" s="610">
        <f t="shared" si="597"/>
        <v>0</v>
      </c>
      <c r="CW475" s="608">
        <f t="shared" si="598"/>
        <v>0</v>
      </c>
      <c r="CX475" s="610">
        <f t="shared" si="599"/>
        <v>48284.99470536731</v>
      </c>
      <c r="CY475" s="611">
        <f t="shared" si="600"/>
        <v>35552.212322600688</v>
      </c>
      <c r="CZ475" s="605">
        <f t="shared" si="601"/>
        <v>26</v>
      </c>
      <c r="DA475" s="612">
        <f t="shared" si="602"/>
        <v>24</v>
      </c>
      <c r="DB475" s="607">
        <f t="shared" si="603"/>
        <v>87</v>
      </c>
      <c r="DC475" s="606">
        <f t="shared" si="604"/>
        <v>91</v>
      </c>
      <c r="DD475" s="607">
        <f t="shared" si="605"/>
        <v>46</v>
      </c>
      <c r="DE475" s="606">
        <f t="shared" si="606"/>
        <v>49</v>
      </c>
      <c r="DF475" s="607">
        <f t="shared" si="607"/>
        <v>71</v>
      </c>
      <c r="DG475" s="606">
        <f t="shared" si="608"/>
        <v>70</v>
      </c>
      <c r="DH475" s="607">
        <f t="shared" si="609"/>
        <v>0</v>
      </c>
      <c r="DI475" s="608">
        <f t="shared" si="610"/>
        <v>0</v>
      </c>
      <c r="DJ475" s="607">
        <f t="shared" si="611"/>
        <v>0</v>
      </c>
      <c r="DK475" s="608">
        <f t="shared" si="612"/>
        <v>0</v>
      </c>
      <c r="DL475" s="607">
        <f t="shared" si="613"/>
        <v>230</v>
      </c>
      <c r="DM475" s="608">
        <f t="shared" si="614"/>
        <v>234</v>
      </c>
      <c r="DN475" s="607">
        <f t="shared" si="615"/>
        <v>1522635.1229508198</v>
      </c>
      <c r="DO475" s="612">
        <f t="shared" si="616"/>
        <v>820191.36</v>
      </c>
      <c r="DP475" s="607">
        <f t="shared" si="617"/>
        <v>4493831.0687116571</v>
      </c>
      <c r="DQ475" s="606">
        <f t="shared" si="618"/>
        <v>3136133.6275862074</v>
      </c>
      <c r="DR475" s="607">
        <f t="shared" si="619"/>
        <v>2134797.8028169014</v>
      </c>
      <c r="DS475" s="606">
        <f t="shared" si="620"/>
        <v>2254504.858064516</v>
      </c>
      <c r="DT475" s="607">
        <f t="shared" si="621"/>
        <v>2954284.7877551019</v>
      </c>
      <c r="DU475" s="606">
        <f t="shared" si="622"/>
        <v>2108387.8378378381</v>
      </c>
      <c r="DV475" s="607">
        <f t="shared" si="623"/>
        <v>0</v>
      </c>
      <c r="DW475" s="608">
        <f t="shared" si="624"/>
        <v>0</v>
      </c>
      <c r="DX475" s="607">
        <f t="shared" si="625"/>
        <v>0</v>
      </c>
      <c r="DY475" s="608">
        <f t="shared" si="626"/>
        <v>0</v>
      </c>
      <c r="DZ475" s="607">
        <f t="shared" si="627"/>
        <v>11105548.782234481</v>
      </c>
      <c r="EA475" s="608">
        <f t="shared" si="628"/>
        <v>8319217.6834885608</v>
      </c>
    </row>
    <row r="476" spans="1:131" x14ac:dyDescent="0.2">
      <c r="A476" s="482" t="s">
        <v>42</v>
      </c>
      <c r="B476" s="433" t="s">
        <v>919</v>
      </c>
      <c r="C476" s="564"/>
      <c r="D476" s="480">
        <v>221184</v>
      </c>
      <c r="E476" s="420">
        <v>8</v>
      </c>
      <c r="F476" s="598">
        <v>6</v>
      </c>
      <c r="G476" s="599">
        <v>6</v>
      </c>
      <c r="H476" s="600"/>
      <c r="I476" s="601"/>
      <c r="J476" s="600">
        <v>0</v>
      </c>
      <c r="K476" s="599"/>
      <c r="L476" s="600"/>
      <c r="M476" s="601"/>
      <c r="N476" s="600">
        <v>44</v>
      </c>
      <c r="O476" s="599">
        <v>41</v>
      </c>
      <c r="P476" s="600"/>
      <c r="Q476" s="601"/>
      <c r="R476" s="600">
        <v>0</v>
      </c>
      <c r="S476" s="599"/>
      <c r="T476" s="600"/>
      <c r="U476" s="601"/>
      <c r="V476" s="600">
        <v>38</v>
      </c>
      <c r="W476" s="599">
        <v>36</v>
      </c>
      <c r="X476" s="600"/>
      <c r="Y476" s="601"/>
      <c r="Z476" s="600">
        <v>0</v>
      </c>
      <c r="AA476" s="599"/>
      <c r="AB476" s="600"/>
      <c r="AC476" s="601"/>
      <c r="AD476" s="600">
        <v>78</v>
      </c>
      <c r="AE476" s="599">
        <v>86</v>
      </c>
      <c r="AF476" s="600"/>
      <c r="AG476" s="601"/>
      <c r="AH476" s="600">
        <v>1</v>
      </c>
      <c r="AI476" s="599"/>
      <c r="AJ476" s="600"/>
      <c r="AK476" s="601"/>
      <c r="AL476" s="600">
        <v>0</v>
      </c>
      <c r="AM476" s="599"/>
      <c r="AN476" s="600"/>
      <c r="AO476" s="601"/>
      <c r="AP476" s="600"/>
      <c r="AQ476" s="599"/>
      <c r="AR476" s="600"/>
      <c r="AS476" s="601"/>
      <c r="AT476" s="600"/>
      <c r="AU476" s="599"/>
      <c r="AV476" s="600"/>
      <c r="AW476" s="601"/>
      <c r="AX476" s="600"/>
      <c r="AY476" s="599"/>
      <c r="AZ476" s="600"/>
      <c r="BA476" s="601"/>
      <c r="BB476" s="602">
        <v>375583</v>
      </c>
      <c r="BC476" s="624">
        <v>384974</v>
      </c>
      <c r="BD476" s="600">
        <v>2289073</v>
      </c>
      <c r="BE476" s="624">
        <v>2186061</v>
      </c>
      <c r="BF476" s="600">
        <v>1624656</v>
      </c>
      <c r="BG476" s="628">
        <v>1585058</v>
      </c>
      <c r="BH476" s="600">
        <v>3227921</v>
      </c>
      <c r="BI476" s="624">
        <v>3547389</v>
      </c>
      <c r="BJ476" s="600">
        <v>0</v>
      </c>
      <c r="BK476" s="632"/>
      <c r="BL476" s="600">
        <v>0</v>
      </c>
      <c r="BM476" s="604"/>
      <c r="BN476" s="605">
        <f t="shared" si="563"/>
        <v>54</v>
      </c>
      <c r="BO476" s="606">
        <f t="shared" si="564"/>
        <v>54</v>
      </c>
      <c r="BP476" s="607">
        <f t="shared" si="565"/>
        <v>396</v>
      </c>
      <c r="BQ476" s="606">
        <f t="shared" si="566"/>
        <v>369</v>
      </c>
      <c r="BR476" s="607">
        <f t="shared" si="567"/>
        <v>342</v>
      </c>
      <c r="BS476" s="606">
        <f t="shared" si="568"/>
        <v>324</v>
      </c>
      <c r="BT476" s="607">
        <f t="shared" si="569"/>
        <v>713</v>
      </c>
      <c r="BU476" s="606">
        <f t="shared" si="570"/>
        <v>774</v>
      </c>
      <c r="BV476" s="607">
        <f t="shared" si="571"/>
        <v>0</v>
      </c>
      <c r="BW476" s="608">
        <f t="shared" si="572"/>
        <v>0</v>
      </c>
      <c r="BX476" s="607">
        <f t="shared" si="573"/>
        <v>0</v>
      </c>
      <c r="BY476" s="608">
        <f t="shared" si="574"/>
        <v>0</v>
      </c>
      <c r="BZ476" s="607">
        <f t="shared" si="575"/>
        <v>6955.2407407407409</v>
      </c>
      <c r="CA476" s="608">
        <f t="shared" si="576"/>
        <v>7129.1481481481478</v>
      </c>
      <c r="CB476" s="607">
        <f t="shared" si="577"/>
        <v>5780.4873737373737</v>
      </c>
      <c r="CC476" s="608">
        <f t="shared" si="578"/>
        <v>5924.2845528455282</v>
      </c>
      <c r="CD476" s="607">
        <f t="shared" si="579"/>
        <v>4750.4561403508769</v>
      </c>
      <c r="CE476" s="608">
        <f t="shared" si="580"/>
        <v>4892.1543209876545</v>
      </c>
      <c r="CF476" s="607">
        <f t="shared" si="581"/>
        <v>4527.2384291725102</v>
      </c>
      <c r="CG476" s="608">
        <f t="shared" si="582"/>
        <v>4583.1899224806202</v>
      </c>
      <c r="CH476" s="607">
        <f t="shared" si="583"/>
        <v>0</v>
      </c>
      <c r="CI476" s="608">
        <f t="shared" si="584"/>
        <v>0</v>
      </c>
      <c r="CJ476" s="607">
        <f t="shared" si="585"/>
        <v>0</v>
      </c>
      <c r="CK476" s="608">
        <f t="shared" si="586"/>
        <v>0</v>
      </c>
      <c r="CL476" s="609">
        <f t="shared" si="587"/>
        <v>62597.166666666672</v>
      </c>
      <c r="CM476" s="608">
        <f t="shared" si="588"/>
        <v>64162.333333333328</v>
      </c>
      <c r="CN476" s="610">
        <f t="shared" si="589"/>
        <v>52024.38636363636</v>
      </c>
      <c r="CO476" s="606">
        <f t="shared" si="590"/>
        <v>53318.560975609755</v>
      </c>
      <c r="CP476" s="607">
        <f t="shared" si="591"/>
        <v>42754.105263157893</v>
      </c>
      <c r="CQ476" s="606">
        <f t="shared" si="592"/>
        <v>44029.388888888891</v>
      </c>
      <c r="CR476" s="607">
        <f t="shared" si="593"/>
        <v>40745.145862552592</v>
      </c>
      <c r="CS476" s="606">
        <f t="shared" si="594"/>
        <v>41248.70930232558</v>
      </c>
      <c r="CT476" s="607">
        <f t="shared" si="595"/>
        <v>0</v>
      </c>
      <c r="CU476" s="608">
        <f t="shared" si="596"/>
        <v>0</v>
      </c>
      <c r="CV476" s="610">
        <f t="shared" si="597"/>
        <v>0</v>
      </c>
      <c r="CW476" s="608">
        <f t="shared" si="598"/>
        <v>0</v>
      </c>
      <c r="CX476" s="610">
        <f t="shared" si="599"/>
        <v>44959.152833183558</v>
      </c>
      <c r="CY476" s="611">
        <f t="shared" si="600"/>
        <v>45582.73372781065</v>
      </c>
      <c r="CZ476" s="605">
        <f t="shared" si="601"/>
        <v>6</v>
      </c>
      <c r="DA476" s="612">
        <f t="shared" si="602"/>
        <v>6</v>
      </c>
      <c r="DB476" s="607">
        <f t="shared" si="603"/>
        <v>44</v>
      </c>
      <c r="DC476" s="606">
        <f t="shared" si="604"/>
        <v>41</v>
      </c>
      <c r="DD476" s="607">
        <f t="shared" si="605"/>
        <v>38</v>
      </c>
      <c r="DE476" s="606">
        <f t="shared" si="606"/>
        <v>36</v>
      </c>
      <c r="DF476" s="607">
        <f t="shared" si="607"/>
        <v>79</v>
      </c>
      <c r="DG476" s="606">
        <f t="shared" si="608"/>
        <v>86</v>
      </c>
      <c r="DH476" s="607">
        <f t="shared" si="609"/>
        <v>0</v>
      </c>
      <c r="DI476" s="608">
        <f t="shared" si="610"/>
        <v>0</v>
      </c>
      <c r="DJ476" s="607">
        <f t="shared" si="611"/>
        <v>0</v>
      </c>
      <c r="DK476" s="608">
        <f t="shared" si="612"/>
        <v>0</v>
      </c>
      <c r="DL476" s="607">
        <f t="shared" si="613"/>
        <v>167</v>
      </c>
      <c r="DM476" s="608">
        <f t="shared" si="614"/>
        <v>169</v>
      </c>
      <c r="DN476" s="607">
        <f t="shared" si="615"/>
        <v>375583</v>
      </c>
      <c r="DO476" s="612">
        <f t="shared" si="616"/>
        <v>384974</v>
      </c>
      <c r="DP476" s="607">
        <f t="shared" si="617"/>
        <v>2289073</v>
      </c>
      <c r="DQ476" s="606">
        <f t="shared" si="618"/>
        <v>2186061</v>
      </c>
      <c r="DR476" s="607">
        <f t="shared" si="619"/>
        <v>1624656</v>
      </c>
      <c r="DS476" s="606">
        <f t="shared" si="620"/>
        <v>1585058</v>
      </c>
      <c r="DT476" s="607">
        <f t="shared" si="621"/>
        <v>3218866.5231416547</v>
      </c>
      <c r="DU476" s="606">
        <f t="shared" si="622"/>
        <v>3547389</v>
      </c>
      <c r="DV476" s="607">
        <f t="shared" si="623"/>
        <v>0</v>
      </c>
      <c r="DW476" s="608">
        <f t="shared" si="624"/>
        <v>0</v>
      </c>
      <c r="DX476" s="607">
        <f t="shared" si="625"/>
        <v>0</v>
      </c>
      <c r="DY476" s="608">
        <f t="shared" si="626"/>
        <v>0</v>
      </c>
      <c r="DZ476" s="607">
        <f t="shared" si="627"/>
        <v>7508178.5231416542</v>
      </c>
      <c r="EA476" s="608">
        <f t="shared" si="628"/>
        <v>7703482</v>
      </c>
    </row>
    <row r="477" spans="1:131" x14ac:dyDescent="0.2">
      <c r="A477" s="482" t="s">
        <v>42</v>
      </c>
      <c r="B477" s="431" t="s">
        <v>920</v>
      </c>
      <c r="C477" s="581"/>
      <c r="D477" s="480">
        <v>221643</v>
      </c>
      <c r="E477" s="418">
        <v>8</v>
      </c>
      <c r="F477" s="598">
        <v>40</v>
      </c>
      <c r="G477" s="599">
        <v>40</v>
      </c>
      <c r="H477" s="600"/>
      <c r="I477" s="601"/>
      <c r="J477" s="600">
        <v>5</v>
      </c>
      <c r="K477" s="599"/>
      <c r="L477" s="600"/>
      <c r="M477" s="601">
        <v>5</v>
      </c>
      <c r="N477" s="600">
        <v>93</v>
      </c>
      <c r="O477" s="599">
        <v>89</v>
      </c>
      <c r="P477" s="600"/>
      <c r="Q477" s="601"/>
      <c r="R477" s="600">
        <v>1</v>
      </c>
      <c r="S477" s="599"/>
      <c r="T477" s="600"/>
      <c r="U477" s="601">
        <v>1</v>
      </c>
      <c r="V477" s="600">
        <v>26</v>
      </c>
      <c r="W477" s="599">
        <v>31</v>
      </c>
      <c r="X477" s="600"/>
      <c r="Y477" s="601"/>
      <c r="Z477" s="600">
        <v>0</v>
      </c>
      <c r="AA477" s="599"/>
      <c r="AB477" s="600"/>
      <c r="AC477" s="601"/>
      <c r="AD477" s="600">
        <v>55</v>
      </c>
      <c r="AE477" s="599">
        <v>59</v>
      </c>
      <c r="AF477" s="600"/>
      <c r="AG477" s="601"/>
      <c r="AH477" s="600">
        <v>1</v>
      </c>
      <c r="AI477" s="599"/>
      <c r="AJ477" s="600"/>
      <c r="AK477" s="601"/>
      <c r="AL477" s="600">
        <v>0</v>
      </c>
      <c r="AM477" s="599"/>
      <c r="AN477" s="600"/>
      <c r="AO477" s="601"/>
      <c r="AP477" s="600"/>
      <c r="AQ477" s="599"/>
      <c r="AR477" s="600"/>
      <c r="AS477" s="601"/>
      <c r="AT477" s="600"/>
      <c r="AU477" s="599"/>
      <c r="AV477" s="600"/>
      <c r="AW477" s="601"/>
      <c r="AX477" s="600"/>
      <c r="AY477" s="599"/>
      <c r="AZ477" s="600"/>
      <c r="BA477" s="601"/>
      <c r="BB477" s="602">
        <v>2810490</v>
      </c>
      <c r="BC477" s="624">
        <v>2852550</v>
      </c>
      <c r="BD477" s="600">
        <v>4931520</v>
      </c>
      <c r="BE477" s="624">
        <v>4830850</v>
      </c>
      <c r="BF477" s="600">
        <v>1102010</v>
      </c>
      <c r="BG477" s="628">
        <v>1317740</v>
      </c>
      <c r="BH477" s="600">
        <v>2023979.9999999998</v>
      </c>
      <c r="BI477" s="624">
        <v>2147140</v>
      </c>
      <c r="BJ477" s="600">
        <v>0</v>
      </c>
      <c r="BK477" s="632"/>
      <c r="BL477" s="600">
        <v>0</v>
      </c>
      <c r="BM477" s="604"/>
      <c r="BN477" s="605">
        <f t="shared" si="563"/>
        <v>415</v>
      </c>
      <c r="BO477" s="606">
        <f t="shared" si="564"/>
        <v>420</v>
      </c>
      <c r="BP477" s="607">
        <f t="shared" si="565"/>
        <v>848</v>
      </c>
      <c r="BQ477" s="606">
        <f t="shared" si="566"/>
        <v>813</v>
      </c>
      <c r="BR477" s="607">
        <f t="shared" si="567"/>
        <v>234</v>
      </c>
      <c r="BS477" s="606">
        <f t="shared" si="568"/>
        <v>279</v>
      </c>
      <c r="BT477" s="607">
        <f t="shared" si="569"/>
        <v>506</v>
      </c>
      <c r="BU477" s="606">
        <f t="shared" si="570"/>
        <v>531</v>
      </c>
      <c r="BV477" s="607">
        <f t="shared" si="571"/>
        <v>0</v>
      </c>
      <c r="BW477" s="608">
        <f t="shared" si="572"/>
        <v>0</v>
      </c>
      <c r="BX477" s="607">
        <f t="shared" si="573"/>
        <v>0</v>
      </c>
      <c r="BY477" s="608">
        <f t="shared" si="574"/>
        <v>0</v>
      </c>
      <c r="BZ477" s="607">
        <f t="shared" si="575"/>
        <v>6772.265060240964</v>
      </c>
      <c r="CA477" s="608">
        <f t="shared" si="576"/>
        <v>6791.7857142857147</v>
      </c>
      <c r="CB477" s="607">
        <f t="shared" si="577"/>
        <v>5815.4716981132078</v>
      </c>
      <c r="CC477" s="608">
        <f t="shared" si="578"/>
        <v>5942.0049200492003</v>
      </c>
      <c r="CD477" s="607">
        <f t="shared" si="579"/>
        <v>4709.4444444444443</v>
      </c>
      <c r="CE477" s="608">
        <f t="shared" si="580"/>
        <v>4723.0824372759853</v>
      </c>
      <c r="CF477" s="607">
        <f t="shared" si="581"/>
        <v>3999.9604743083</v>
      </c>
      <c r="CG477" s="608">
        <f t="shared" si="582"/>
        <v>4043.578154425612</v>
      </c>
      <c r="CH477" s="607">
        <f t="shared" si="583"/>
        <v>0</v>
      </c>
      <c r="CI477" s="608">
        <f t="shared" si="584"/>
        <v>0</v>
      </c>
      <c r="CJ477" s="607">
        <f t="shared" si="585"/>
        <v>0</v>
      </c>
      <c r="CK477" s="608">
        <f t="shared" si="586"/>
        <v>0</v>
      </c>
      <c r="CL477" s="609">
        <f t="shared" si="587"/>
        <v>60950.385542168675</v>
      </c>
      <c r="CM477" s="608">
        <f t="shared" si="588"/>
        <v>61126.071428571435</v>
      </c>
      <c r="CN477" s="610">
        <f t="shared" si="589"/>
        <v>52339.24528301887</v>
      </c>
      <c r="CO477" s="606">
        <f t="shared" si="590"/>
        <v>53478.044280442802</v>
      </c>
      <c r="CP477" s="607">
        <f t="shared" si="591"/>
        <v>42385</v>
      </c>
      <c r="CQ477" s="606">
        <f t="shared" si="592"/>
        <v>42507.741935483864</v>
      </c>
      <c r="CR477" s="607">
        <f t="shared" si="593"/>
        <v>35999.644268774704</v>
      </c>
      <c r="CS477" s="606">
        <f t="shared" si="594"/>
        <v>36392.203389830509</v>
      </c>
      <c r="CT477" s="607">
        <f t="shared" si="595"/>
        <v>0</v>
      </c>
      <c r="CU477" s="608">
        <f t="shared" si="596"/>
        <v>0</v>
      </c>
      <c r="CV477" s="610">
        <f t="shared" si="597"/>
        <v>0</v>
      </c>
      <c r="CW477" s="608">
        <f t="shared" si="598"/>
        <v>0</v>
      </c>
      <c r="CX477" s="610">
        <f t="shared" si="599"/>
        <v>48781.205814718305</v>
      </c>
      <c r="CY477" s="611">
        <f t="shared" si="600"/>
        <v>49015.898664558074</v>
      </c>
      <c r="CZ477" s="605">
        <f t="shared" si="601"/>
        <v>45</v>
      </c>
      <c r="DA477" s="612">
        <f t="shared" si="602"/>
        <v>45</v>
      </c>
      <c r="DB477" s="607">
        <f t="shared" si="603"/>
        <v>94</v>
      </c>
      <c r="DC477" s="606">
        <f t="shared" si="604"/>
        <v>90</v>
      </c>
      <c r="DD477" s="607">
        <f t="shared" si="605"/>
        <v>26</v>
      </c>
      <c r="DE477" s="606">
        <f t="shared" si="606"/>
        <v>31</v>
      </c>
      <c r="DF477" s="607">
        <f t="shared" si="607"/>
        <v>56</v>
      </c>
      <c r="DG477" s="606">
        <f t="shared" si="608"/>
        <v>59</v>
      </c>
      <c r="DH477" s="607">
        <f t="shared" si="609"/>
        <v>0</v>
      </c>
      <c r="DI477" s="608">
        <f t="shared" si="610"/>
        <v>0</v>
      </c>
      <c r="DJ477" s="607">
        <f t="shared" si="611"/>
        <v>0</v>
      </c>
      <c r="DK477" s="608">
        <f t="shared" si="612"/>
        <v>0</v>
      </c>
      <c r="DL477" s="607">
        <f t="shared" si="613"/>
        <v>221</v>
      </c>
      <c r="DM477" s="608">
        <f t="shared" si="614"/>
        <v>225</v>
      </c>
      <c r="DN477" s="607">
        <f t="shared" si="615"/>
        <v>2742767.3493975904</v>
      </c>
      <c r="DO477" s="612">
        <f t="shared" si="616"/>
        <v>2750673.2142857146</v>
      </c>
      <c r="DP477" s="607">
        <f t="shared" si="617"/>
        <v>4919889.0566037735</v>
      </c>
      <c r="DQ477" s="606">
        <f t="shared" si="618"/>
        <v>4813023.9852398522</v>
      </c>
      <c r="DR477" s="607">
        <f t="shared" si="619"/>
        <v>1102010</v>
      </c>
      <c r="DS477" s="606">
        <f t="shared" si="620"/>
        <v>1317739.9999999998</v>
      </c>
      <c r="DT477" s="607">
        <f t="shared" si="621"/>
        <v>2015980.0790513833</v>
      </c>
      <c r="DU477" s="606">
        <f t="shared" si="622"/>
        <v>2147140</v>
      </c>
      <c r="DV477" s="607">
        <f t="shared" si="623"/>
        <v>0</v>
      </c>
      <c r="DW477" s="608">
        <f t="shared" si="624"/>
        <v>0</v>
      </c>
      <c r="DX477" s="607">
        <f t="shared" si="625"/>
        <v>0</v>
      </c>
      <c r="DY477" s="608">
        <f t="shared" si="626"/>
        <v>0</v>
      </c>
      <c r="DZ477" s="607">
        <f t="shared" si="627"/>
        <v>10780646.485052746</v>
      </c>
      <c r="EA477" s="608">
        <f t="shared" si="628"/>
        <v>11028577.199525567</v>
      </c>
    </row>
    <row r="478" spans="1:131" x14ac:dyDescent="0.2">
      <c r="A478" s="482" t="s">
        <v>42</v>
      </c>
      <c r="B478" s="431" t="s">
        <v>921</v>
      </c>
      <c r="C478" s="581"/>
      <c r="D478" s="480">
        <v>221485</v>
      </c>
      <c r="E478" s="418">
        <v>8</v>
      </c>
      <c r="F478" s="598">
        <v>14</v>
      </c>
      <c r="G478" s="599">
        <v>13</v>
      </c>
      <c r="H478" s="600"/>
      <c r="I478" s="601"/>
      <c r="J478" s="600">
        <v>3</v>
      </c>
      <c r="K478" s="599"/>
      <c r="L478" s="600"/>
      <c r="M478" s="601">
        <v>2</v>
      </c>
      <c r="N478" s="600">
        <v>88</v>
      </c>
      <c r="O478" s="599">
        <v>77</v>
      </c>
      <c r="P478" s="600"/>
      <c r="Q478" s="601"/>
      <c r="R478" s="600">
        <v>9</v>
      </c>
      <c r="S478" s="599"/>
      <c r="T478" s="600"/>
      <c r="U478" s="601">
        <v>6</v>
      </c>
      <c r="V478" s="600">
        <v>52</v>
      </c>
      <c r="W478" s="599">
        <v>49</v>
      </c>
      <c r="X478" s="600"/>
      <c r="Y478" s="601"/>
      <c r="Z478" s="600">
        <v>0</v>
      </c>
      <c r="AA478" s="599"/>
      <c r="AB478" s="600"/>
      <c r="AC478" s="601">
        <v>1</v>
      </c>
      <c r="AD478" s="600">
        <v>52</v>
      </c>
      <c r="AE478" s="599">
        <v>54</v>
      </c>
      <c r="AF478" s="600"/>
      <c r="AG478" s="601"/>
      <c r="AH478" s="600">
        <v>0</v>
      </c>
      <c r="AI478" s="599"/>
      <c r="AJ478" s="600"/>
      <c r="AK478" s="601"/>
      <c r="AL478" s="600">
        <v>0</v>
      </c>
      <c r="AM478" s="599"/>
      <c r="AN478" s="600"/>
      <c r="AO478" s="601"/>
      <c r="AP478" s="600"/>
      <c r="AQ478" s="599"/>
      <c r="AR478" s="600"/>
      <c r="AS478" s="601"/>
      <c r="AT478" s="600"/>
      <c r="AU478" s="599"/>
      <c r="AV478" s="600"/>
      <c r="AW478" s="601"/>
      <c r="AX478" s="600"/>
      <c r="AY478" s="599"/>
      <c r="AZ478" s="600"/>
      <c r="BA478" s="601"/>
      <c r="BB478" s="602">
        <v>1072068</v>
      </c>
      <c r="BC478" s="624">
        <v>963168</v>
      </c>
      <c r="BD478" s="600">
        <v>4469712</v>
      </c>
      <c r="BE478" s="624">
        <v>4343508</v>
      </c>
      <c r="BF478" s="600">
        <v>2186585</v>
      </c>
      <c r="BG478" s="628">
        <v>2166456</v>
      </c>
      <c r="BH478" s="600">
        <v>1739125</v>
      </c>
      <c r="BI478" s="624">
        <v>1873604</v>
      </c>
      <c r="BJ478" s="600">
        <v>0</v>
      </c>
      <c r="BK478" s="632"/>
      <c r="BL478" s="600">
        <v>0</v>
      </c>
      <c r="BM478" s="604"/>
      <c r="BN478" s="605">
        <f t="shared" si="563"/>
        <v>159</v>
      </c>
      <c r="BO478" s="606">
        <f t="shared" si="564"/>
        <v>141</v>
      </c>
      <c r="BP478" s="607">
        <f t="shared" si="565"/>
        <v>891</v>
      </c>
      <c r="BQ478" s="606">
        <f t="shared" si="566"/>
        <v>765</v>
      </c>
      <c r="BR478" s="607">
        <f t="shared" si="567"/>
        <v>468</v>
      </c>
      <c r="BS478" s="606">
        <f t="shared" si="568"/>
        <v>453</v>
      </c>
      <c r="BT478" s="607">
        <f t="shared" si="569"/>
        <v>468</v>
      </c>
      <c r="BU478" s="606">
        <f t="shared" si="570"/>
        <v>486</v>
      </c>
      <c r="BV478" s="607">
        <f t="shared" si="571"/>
        <v>0</v>
      </c>
      <c r="BW478" s="608">
        <f t="shared" si="572"/>
        <v>0</v>
      </c>
      <c r="BX478" s="607">
        <f t="shared" si="573"/>
        <v>0</v>
      </c>
      <c r="BY478" s="608">
        <f t="shared" si="574"/>
        <v>0</v>
      </c>
      <c r="BZ478" s="607">
        <f t="shared" si="575"/>
        <v>6742.566037735849</v>
      </c>
      <c r="CA478" s="608">
        <f t="shared" si="576"/>
        <v>6830.9787234042551</v>
      </c>
      <c r="CB478" s="607">
        <f t="shared" si="577"/>
        <v>5016.5117845117848</v>
      </c>
      <c r="CC478" s="608">
        <f t="shared" si="578"/>
        <v>5677.7882352941178</v>
      </c>
      <c r="CD478" s="607">
        <f t="shared" si="579"/>
        <v>4672.1901709401709</v>
      </c>
      <c r="CE478" s="608">
        <f t="shared" si="580"/>
        <v>4782.4635761589407</v>
      </c>
      <c r="CF478" s="607">
        <f t="shared" si="581"/>
        <v>3716.07905982906</v>
      </c>
      <c r="CG478" s="608">
        <f t="shared" si="582"/>
        <v>3855.1522633744858</v>
      </c>
      <c r="CH478" s="607">
        <f t="shared" si="583"/>
        <v>0</v>
      </c>
      <c r="CI478" s="608">
        <f t="shared" si="584"/>
        <v>0</v>
      </c>
      <c r="CJ478" s="607">
        <f t="shared" si="585"/>
        <v>0</v>
      </c>
      <c r="CK478" s="608">
        <f t="shared" si="586"/>
        <v>0</v>
      </c>
      <c r="CL478" s="609">
        <f t="shared" si="587"/>
        <v>60683.094339622643</v>
      </c>
      <c r="CM478" s="608">
        <f t="shared" si="588"/>
        <v>61478.808510638293</v>
      </c>
      <c r="CN478" s="610">
        <f t="shared" si="589"/>
        <v>45148.606060606064</v>
      </c>
      <c r="CO478" s="606">
        <f t="shared" si="590"/>
        <v>51100.094117647059</v>
      </c>
      <c r="CP478" s="607">
        <f t="shared" si="591"/>
        <v>42049.711538461539</v>
      </c>
      <c r="CQ478" s="606">
        <f t="shared" si="592"/>
        <v>43042.172185430463</v>
      </c>
      <c r="CR478" s="607">
        <f t="shared" si="593"/>
        <v>33444.711538461539</v>
      </c>
      <c r="CS478" s="606">
        <f t="shared" si="594"/>
        <v>34696.370370370372</v>
      </c>
      <c r="CT478" s="607">
        <f t="shared" si="595"/>
        <v>0</v>
      </c>
      <c r="CU478" s="608">
        <f t="shared" si="596"/>
        <v>0</v>
      </c>
      <c r="CV478" s="610">
        <f t="shared" si="597"/>
        <v>0</v>
      </c>
      <c r="CW478" s="608">
        <f t="shared" si="598"/>
        <v>0</v>
      </c>
      <c r="CX478" s="610">
        <f t="shared" si="599"/>
        <v>42829.07060390996</v>
      </c>
      <c r="CY478" s="611">
        <f t="shared" si="600"/>
        <v>45491.101726216846</v>
      </c>
      <c r="CZ478" s="605">
        <f t="shared" si="601"/>
        <v>17</v>
      </c>
      <c r="DA478" s="612">
        <f t="shared" si="602"/>
        <v>15</v>
      </c>
      <c r="DB478" s="607">
        <f t="shared" si="603"/>
        <v>97</v>
      </c>
      <c r="DC478" s="606">
        <f t="shared" si="604"/>
        <v>83</v>
      </c>
      <c r="DD478" s="607">
        <f t="shared" si="605"/>
        <v>52</v>
      </c>
      <c r="DE478" s="606">
        <f t="shared" si="606"/>
        <v>50</v>
      </c>
      <c r="DF478" s="607">
        <f t="shared" si="607"/>
        <v>52</v>
      </c>
      <c r="DG478" s="606">
        <f t="shared" si="608"/>
        <v>54</v>
      </c>
      <c r="DH478" s="607">
        <f t="shared" si="609"/>
        <v>0</v>
      </c>
      <c r="DI478" s="608">
        <f t="shared" si="610"/>
        <v>0</v>
      </c>
      <c r="DJ478" s="607">
        <f t="shared" si="611"/>
        <v>0</v>
      </c>
      <c r="DK478" s="608">
        <f t="shared" si="612"/>
        <v>0</v>
      </c>
      <c r="DL478" s="607">
        <f t="shared" si="613"/>
        <v>218</v>
      </c>
      <c r="DM478" s="608">
        <f t="shared" si="614"/>
        <v>202</v>
      </c>
      <c r="DN478" s="607">
        <f t="shared" si="615"/>
        <v>1031612.6037735849</v>
      </c>
      <c r="DO478" s="612">
        <f t="shared" si="616"/>
        <v>922182.12765957438</v>
      </c>
      <c r="DP478" s="607">
        <f t="shared" si="617"/>
        <v>4379414.7878787881</v>
      </c>
      <c r="DQ478" s="606">
        <f t="shared" si="618"/>
        <v>4241307.8117647059</v>
      </c>
      <c r="DR478" s="607">
        <f t="shared" si="619"/>
        <v>2186585</v>
      </c>
      <c r="DS478" s="606">
        <f t="shared" si="620"/>
        <v>2152108.6092715231</v>
      </c>
      <c r="DT478" s="607">
        <f t="shared" si="621"/>
        <v>1739125</v>
      </c>
      <c r="DU478" s="606">
        <f t="shared" si="622"/>
        <v>1873604</v>
      </c>
      <c r="DV478" s="607">
        <f t="shared" si="623"/>
        <v>0</v>
      </c>
      <c r="DW478" s="608">
        <f t="shared" si="624"/>
        <v>0</v>
      </c>
      <c r="DX478" s="607">
        <f t="shared" si="625"/>
        <v>0</v>
      </c>
      <c r="DY478" s="608">
        <f t="shared" si="626"/>
        <v>0</v>
      </c>
      <c r="DZ478" s="607">
        <f t="shared" si="627"/>
        <v>9336737.3916523717</v>
      </c>
      <c r="EA478" s="608">
        <f t="shared" si="628"/>
        <v>9189202.5486958027</v>
      </c>
    </row>
    <row r="479" spans="1:131" x14ac:dyDescent="0.2">
      <c r="A479" s="482" t="s">
        <v>42</v>
      </c>
      <c r="B479" s="433" t="s">
        <v>922</v>
      </c>
      <c r="C479" s="564"/>
      <c r="D479" s="480">
        <v>222053</v>
      </c>
      <c r="E479" s="420">
        <v>8</v>
      </c>
      <c r="F479" s="598">
        <v>17</v>
      </c>
      <c r="G479" s="599">
        <v>18</v>
      </c>
      <c r="H479" s="600"/>
      <c r="I479" s="601"/>
      <c r="J479" s="600">
        <v>1</v>
      </c>
      <c r="K479" s="599"/>
      <c r="L479" s="600"/>
      <c r="M479" s="601">
        <v>1</v>
      </c>
      <c r="N479" s="600">
        <v>71</v>
      </c>
      <c r="O479" s="599">
        <v>66</v>
      </c>
      <c r="P479" s="600"/>
      <c r="Q479" s="601"/>
      <c r="R479" s="600">
        <v>10</v>
      </c>
      <c r="S479" s="599"/>
      <c r="T479" s="600"/>
      <c r="U479" s="601">
        <v>10</v>
      </c>
      <c r="V479" s="600">
        <v>10</v>
      </c>
      <c r="W479" s="599">
        <v>8</v>
      </c>
      <c r="X479" s="600"/>
      <c r="Y479" s="601"/>
      <c r="Z479" s="600">
        <v>6</v>
      </c>
      <c r="AA479" s="599"/>
      <c r="AB479" s="600"/>
      <c r="AC479" s="601">
        <v>8</v>
      </c>
      <c r="AD479" s="600">
        <v>24</v>
      </c>
      <c r="AE479" s="599">
        <v>31</v>
      </c>
      <c r="AF479" s="600"/>
      <c r="AG479" s="601"/>
      <c r="AH479" s="600">
        <v>13</v>
      </c>
      <c r="AI479" s="599"/>
      <c r="AJ479" s="600"/>
      <c r="AK479" s="601">
        <v>11</v>
      </c>
      <c r="AL479" s="600">
        <v>0</v>
      </c>
      <c r="AM479" s="599"/>
      <c r="AN479" s="600"/>
      <c r="AO479" s="601"/>
      <c r="AP479" s="600"/>
      <c r="AQ479" s="599"/>
      <c r="AR479" s="600"/>
      <c r="AS479" s="601"/>
      <c r="AT479" s="600"/>
      <c r="AU479" s="599"/>
      <c r="AV479" s="600"/>
      <c r="AW479" s="601"/>
      <c r="AX479" s="600"/>
      <c r="AY479" s="599"/>
      <c r="AZ479" s="600"/>
      <c r="BA479" s="601"/>
      <c r="BB479" s="602">
        <v>1064664</v>
      </c>
      <c r="BC479" s="624">
        <v>1140544</v>
      </c>
      <c r="BD479" s="600">
        <v>4204821</v>
      </c>
      <c r="BE479" s="624">
        <v>4138879</v>
      </c>
      <c r="BF479" s="600">
        <v>802531</v>
      </c>
      <c r="BG479" s="628">
        <v>893852</v>
      </c>
      <c r="BH479" s="600">
        <v>1710497</v>
      </c>
      <c r="BI479" s="624">
        <v>1926585</v>
      </c>
      <c r="BJ479" s="600">
        <v>0</v>
      </c>
      <c r="BK479" s="632"/>
      <c r="BL479" s="600">
        <v>0</v>
      </c>
      <c r="BM479" s="604"/>
      <c r="BN479" s="605">
        <f t="shared" si="563"/>
        <v>164</v>
      </c>
      <c r="BO479" s="606">
        <f t="shared" si="564"/>
        <v>174</v>
      </c>
      <c r="BP479" s="607">
        <f t="shared" si="565"/>
        <v>749</v>
      </c>
      <c r="BQ479" s="606">
        <f t="shared" si="566"/>
        <v>714</v>
      </c>
      <c r="BR479" s="607">
        <f t="shared" si="567"/>
        <v>156</v>
      </c>
      <c r="BS479" s="606">
        <f t="shared" si="568"/>
        <v>168</v>
      </c>
      <c r="BT479" s="607">
        <f t="shared" si="569"/>
        <v>359</v>
      </c>
      <c r="BU479" s="606">
        <f t="shared" si="570"/>
        <v>411</v>
      </c>
      <c r="BV479" s="607">
        <f t="shared" si="571"/>
        <v>0</v>
      </c>
      <c r="BW479" s="608">
        <f t="shared" si="572"/>
        <v>0</v>
      </c>
      <c r="BX479" s="607">
        <f t="shared" si="573"/>
        <v>0</v>
      </c>
      <c r="BY479" s="608">
        <f t="shared" si="574"/>
        <v>0</v>
      </c>
      <c r="BZ479" s="607">
        <f t="shared" si="575"/>
        <v>6491.8536585365855</v>
      </c>
      <c r="CA479" s="608">
        <f t="shared" si="576"/>
        <v>6554.8505747126437</v>
      </c>
      <c r="CB479" s="607">
        <f t="shared" si="577"/>
        <v>5613.913217623498</v>
      </c>
      <c r="CC479" s="608">
        <f t="shared" si="578"/>
        <v>5796.7492997198879</v>
      </c>
      <c r="CD479" s="607">
        <f t="shared" si="579"/>
        <v>5144.4294871794873</v>
      </c>
      <c r="CE479" s="608">
        <f t="shared" si="580"/>
        <v>5320.5476190476193</v>
      </c>
      <c r="CF479" s="607">
        <f t="shared" si="581"/>
        <v>4764.6155988857936</v>
      </c>
      <c r="CG479" s="608">
        <f t="shared" si="582"/>
        <v>4687.554744525547</v>
      </c>
      <c r="CH479" s="607">
        <f t="shared" si="583"/>
        <v>0</v>
      </c>
      <c r="CI479" s="608">
        <f t="shared" si="584"/>
        <v>0</v>
      </c>
      <c r="CJ479" s="607">
        <f t="shared" si="585"/>
        <v>0</v>
      </c>
      <c r="CK479" s="608">
        <f t="shared" si="586"/>
        <v>0</v>
      </c>
      <c r="CL479" s="609">
        <f t="shared" si="587"/>
        <v>58426.682926829271</v>
      </c>
      <c r="CM479" s="608">
        <f t="shared" si="588"/>
        <v>58993.655172413797</v>
      </c>
      <c r="CN479" s="610">
        <f t="shared" si="589"/>
        <v>50525.218958611484</v>
      </c>
      <c r="CO479" s="606">
        <f t="shared" si="590"/>
        <v>52170.743697478989</v>
      </c>
      <c r="CP479" s="607">
        <f t="shared" si="591"/>
        <v>46299.865384615383</v>
      </c>
      <c r="CQ479" s="606">
        <f t="shared" si="592"/>
        <v>47884.928571428572</v>
      </c>
      <c r="CR479" s="607">
        <f t="shared" si="593"/>
        <v>42881.540389972142</v>
      </c>
      <c r="CS479" s="606">
        <f t="shared" si="594"/>
        <v>42187.992700729927</v>
      </c>
      <c r="CT479" s="607">
        <f t="shared" si="595"/>
        <v>0</v>
      </c>
      <c r="CU479" s="608">
        <f t="shared" si="596"/>
        <v>0</v>
      </c>
      <c r="CV479" s="610">
        <f t="shared" si="597"/>
        <v>0</v>
      </c>
      <c r="CW479" s="608">
        <f t="shared" si="598"/>
        <v>0</v>
      </c>
      <c r="CX479" s="610">
        <f t="shared" si="599"/>
        <v>49155.512295482054</v>
      </c>
      <c r="CY479" s="611">
        <f t="shared" si="600"/>
        <v>49829.480521946272</v>
      </c>
      <c r="CZ479" s="605">
        <f t="shared" si="601"/>
        <v>18</v>
      </c>
      <c r="DA479" s="612">
        <f t="shared" si="602"/>
        <v>19</v>
      </c>
      <c r="DB479" s="607">
        <f t="shared" si="603"/>
        <v>81</v>
      </c>
      <c r="DC479" s="606">
        <f t="shared" si="604"/>
        <v>76</v>
      </c>
      <c r="DD479" s="607">
        <f t="shared" si="605"/>
        <v>16</v>
      </c>
      <c r="DE479" s="606">
        <f t="shared" si="606"/>
        <v>16</v>
      </c>
      <c r="DF479" s="607">
        <f t="shared" si="607"/>
        <v>37</v>
      </c>
      <c r="DG479" s="606">
        <f t="shared" si="608"/>
        <v>42</v>
      </c>
      <c r="DH479" s="607">
        <f t="shared" si="609"/>
        <v>0</v>
      </c>
      <c r="DI479" s="608">
        <f t="shared" si="610"/>
        <v>0</v>
      </c>
      <c r="DJ479" s="607">
        <f t="shared" si="611"/>
        <v>0</v>
      </c>
      <c r="DK479" s="608">
        <f t="shared" si="612"/>
        <v>0</v>
      </c>
      <c r="DL479" s="607">
        <f t="shared" si="613"/>
        <v>152</v>
      </c>
      <c r="DM479" s="608">
        <f t="shared" si="614"/>
        <v>153</v>
      </c>
      <c r="DN479" s="607">
        <f t="shared" si="615"/>
        <v>1051680.2926829269</v>
      </c>
      <c r="DO479" s="612">
        <f t="shared" si="616"/>
        <v>1120879.4482758623</v>
      </c>
      <c r="DP479" s="607">
        <f t="shared" si="617"/>
        <v>4092542.7356475303</v>
      </c>
      <c r="DQ479" s="606">
        <f t="shared" si="618"/>
        <v>3964976.521008403</v>
      </c>
      <c r="DR479" s="607">
        <f t="shared" si="619"/>
        <v>740797.84615384613</v>
      </c>
      <c r="DS479" s="606">
        <f t="shared" si="620"/>
        <v>766158.85714285716</v>
      </c>
      <c r="DT479" s="607">
        <f t="shared" si="621"/>
        <v>1586616.9944289692</v>
      </c>
      <c r="DU479" s="606">
        <f t="shared" si="622"/>
        <v>1771895.693430657</v>
      </c>
      <c r="DV479" s="607">
        <f t="shared" si="623"/>
        <v>0</v>
      </c>
      <c r="DW479" s="608">
        <f t="shared" si="624"/>
        <v>0</v>
      </c>
      <c r="DX479" s="607">
        <f t="shared" si="625"/>
        <v>0</v>
      </c>
      <c r="DY479" s="608">
        <f t="shared" si="626"/>
        <v>0</v>
      </c>
      <c r="DZ479" s="607">
        <f t="shared" si="627"/>
        <v>7471637.8689132724</v>
      </c>
      <c r="EA479" s="608">
        <f t="shared" si="628"/>
        <v>7623910.5198577801</v>
      </c>
    </row>
    <row r="480" spans="1:131" x14ac:dyDescent="0.2">
      <c r="A480" s="482" t="s">
        <v>42</v>
      </c>
      <c r="B480" s="431" t="s">
        <v>923</v>
      </c>
      <c r="C480" s="581"/>
      <c r="D480" s="480">
        <v>219879</v>
      </c>
      <c r="E480" s="418">
        <v>9</v>
      </c>
      <c r="F480" s="598">
        <v>5</v>
      </c>
      <c r="G480" s="599">
        <v>3</v>
      </c>
      <c r="H480" s="600"/>
      <c r="I480" s="601"/>
      <c r="J480" s="600">
        <v>0</v>
      </c>
      <c r="K480" s="599"/>
      <c r="L480" s="600"/>
      <c r="M480" s="601">
        <v>0</v>
      </c>
      <c r="N480" s="600">
        <v>29</v>
      </c>
      <c r="O480" s="599">
        <v>29</v>
      </c>
      <c r="P480" s="600"/>
      <c r="Q480" s="601"/>
      <c r="R480" s="600">
        <v>1</v>
      </c>
      <c r="S480" s="599"/>
      <c r="T480" s="600"/>
      <c r="U480" s="601">
        <v>2</v>
      </c>
      <c r="V480" s="600">
        <v>13</v>
      </c>
      <c r="W480" s="599">
        <v>19</v>
      </c>
      <c r="X480" s="600"/>
      <c r="Y480" s="601"/>
      <c r="Z480" s="600">
        <v>2</v>
      </c>
      <c r="AA480" s="599"/>
      <c r="AB480" s="600"/>
      <c r="AC480" s="601">
        <v>2</v>
      </c>
      <c r="AD480" s="600">
        <v>19</v>
      </c>
      <c r="AE480" s="599">
        <v>16</v>
      </c>
      <c r="AF480" s="600"/>
      <c r="AG480" s="601"/>
      <c r="AH480" s="600">
        <v>1</v>
      </c>
      <c r="AI480" s="599"/>
      <c r="AJ480" s="600"/>
      <c r="AK480" s="601">
        <v>1</v>
      </c>
      <c r="AL480" s="600">
        <v>0</v>
      </c>
      <c r="AM480" s="599"/>
      <c r="AN480" s="600"/>
      <c r="AO480" s="601"/>
      <c r="AP480" s="600"/>
      <c r="AQ480" s="599"/>
      <c r="AR480" s="600"/>
      <c r="AS480" s="601"/>
      <c r="AT480" s="600"/>
      <c r="AU480" s="599"/>
      <c r="AV480" s="600"/>
      <c r="AW480" s="601"/>
      <c r="AX480" s="600"/>
      <c r="AY480" s="599"/>
      <c r="AZ480" s="600"/>
      <c r="BA480" s="601"/>
      <c r="BB480" s="602">
        <v>298176</v>
      </c>
      <c r="BC480" s="624">
        <v>177864</v>
      </c>
      <c r="BD480" s="600">
        <v>1474692</v>
      </c>
      <c r="BE480" s="624">
        <v>1575746</v>
      </c>
      <c r="BF480" s="600">
        <v>588228</v>
      </c>
      <c r="BG480" s="628">
        <v>898100</v>
      </c>
      <c r="BH480" s="600">
        <v>737250</v>
      </c>
      <c r="BI480" s="624">
        <v>697402</v>
      </c>
      <c r="BJ480" s="600">
        <v>0</v>
      </c>
      <c r="BK480" s="632"/>
      <c r="BL480" s="600">
        <v>0</v>
      </c>
      <c r="BM480" s="604"/>
      <c r="BN480" s="605">
        <f t="shared" si="563"/>
        <v>45</v>
      </c>
      <c r="BO480" s="606">
        <f t="shared" si="564"/>
        <v>27</v>
      </c>
      <c r="BP480" s="607">
        <f t="shared" si="565"/>
        <v>272</v>
      </c>
      <c r="BQ480" s="606">
        <f t="shared" si="566"/>
        <v>285</v>
      </c>
      <c r="BR480" s="607">
        <f t="shared" si="567"/>
        <v>139</v>
      </c>
      <c r="BS480" s="606">
        <f t="shared" si="568"/>
        <v>195</v>
      </c>
      <c r="BT480" s="607">
        <f t="shared" si="569"/>
        <v>182</v>
      </c>
      <c r="BU480" s="606">
        <f t="shared" si="570"/>
        <v>156</v>
      </c>
      <c r="BV480" s="607">
        <f t="shared" si="571"/>
        <v>0</v>
      </c>
      <c r="BW480" s="608">
        <f t="shared" si="572"/>
        <v>0</v>
      </c>
      <c r="BX480" s="607">
        <f t="shared" si="573"/>
        <v>0</v>
      </c>
      <c r="BY480" s="608">
        <f t="shared" si="574"/>
        <v>0</v>
      </c>
      <c r="BZ480" s="607">
        <f t="shared" si="575"/>
        <v>6626.1333333333332</v>
      </c>
      <c r="CA480" s="608">
        <f t="shared" si="576"/>
        <v>6587.5555555555557</v>
      </c>
      <c r="CB480" s="607">
        <f t="shared" si="577"/>
        <v>5421.661764705882</v>
      </c>
      <c r="CC480" s="608">
        <f t="shared" si="578"/>
        <v>5528.9333333333334</v>
      </c>
      <c r="CD480" s="607">
        <f t="shared" si="579"/>
        <v>4231.8561151079139</v>
      </c>
      <c r="CE480" s="608">
        <f t="shared" si="580"/>
        <v>4605.6410256410254</v>
      </c>
      <c r="CF480" s="607">
        <f t="shared" si="581"/>
        <v>4050.8241758241757</v>
      </c>
      <c r="CG480" s="608">
        <f t="shared" si="582"/>
        <v>4470.5256410256407</v>
      </c>
      <c r="CH480" s="607">
        <f t="shared" si="583"/>
        <v>0</v>
      </c>
      <c r="CI480" s="608">
        <f t="shared" si="584"/>
        <v>0</v>
      </c>
      <c r="CJ480" s="607">
        <f t="shared" si="585"/>
        <v>0</v>
      </c>
      <c r="CK480" s="608">
        <f t="shared" si="586"/>
        <v>0</v>
      </c>
      <c r="CL480" s="609">
        <f t="shared" si="587"/>
        <v>59635.199999999997</v>
      </c>
      <c r="CM480" s="608">
        <f t="shared" si="588"/>
        <v>59288</v>
      </c>
      <c r="CN480" s="610">
        <f t="shared" si="589"/>
        <v>48794.955882352937</v>
      </c>
      <c r="CO480" s="606">
        <f t="shared" si="590"/>
        <v>49760.4</v>
      </c>
      <c r="CP480" s="607">
        <f t="shared" si="591"/>
        <v>38086.705035971223</v>
      </c>
      <c r="CQ480" s="606">
        <f t="shared" si="592"/>
        <v>41450.769230769227</v>
      </c>
      <c r="CR480" s="607">
        <f t="shared" si="593"/>
        <v>36457.417582417584</v>
      </c>
      <c r="CS480" s="606">
        <f t="shared" si="594"/>
        <v>40234.730769230766</v>
      </c>
      <c r="CT480" s="607">
        <f t="shared" si="595"/>
        <v>0</v>
      </c>
      <c r="CU480" s="608">
        <f t="shared" si="596"/>
        <v>0</v>
      </c>
      <c r="CV480" s="610">
        <f t="shared" si="597"/>
        <v>0</v>
      </c>
      <c r="CW480" s="608">
        <f t="shared" si="598"/>
        <v>0</v>
      </c>
      <c r="CX480" s="610">
        <f t="shared" si="599"/>
        <v>43749.622909407255</v>
      </c>
      <c r="CY480" s="611">
        <f t="shared" si="600"/>
        <v>45484.624679487177</v>
      </c>
      <c r="CZ480" s="605">
        <f t="shared" si="601"/>
        <v>5</v>
      </c>
      <c r="DA480" s="612">
        <f t="shared" si="602"/>
        <v>3</v>
      </c>
      <c r="DB480" s="607">
        <f t="shared" si="603"/>
        <v>30</v>
      </c>
      <c r="DC480" s="606">
        <f t="shared" si="604"/>
        <v>31</v>
      </c>
      <c r="DD480" s="607">
        <f t="shared" si="605"/>
        <v>15</v>
      </c>
      <c r="DE480" s="606">
        <f t="shared" si="606"/>
        <v>21</v>
      </c>
      <c r="DF480" s="607">
        <f t="shared" si="607"/>
        <v>20</v>
      </c>
      <c r="DG480" s="606">
        <f t="shared" si="608"/>
        <v>17</v>
      </c>
      <c r="DH480" s="607">
        <f t="shared" si="609"/>
        <v>0</v>
      </c>
      <c r="DI480" s="608">
        <f t="shared" si="610"/>
        <v>0</v>
      </c>
      <c r="DJ480" s="607">
        <f t="shared" si="611"/>
        <v>0</v>
      </c>
      <c r="DK480" s="608">
        <f t="shared" si="612"/>
        <v>0</v>
      </c>
      <c r="DL480" s="607">
        <f t="shared" si="613"/>
        <v>70</v>
      </c>
      <c r="DM480" s="608">
        <f t="shared" si="614"/>
        <v>72</v>
      </c>
      <c r="DN480" s="607">
        <f t="shared" si="615"/>
        <v>298176</v>
      </c>
      <c r="DO480" s="612">
        <f t="shared" si="616"/>
        <v>177864</v>
      </c>
      <c r="DP480" s="607">
        <f t="shared" si="617"/>
        <v>1463848.6764705882</v>
      </c>
      <c r="DQ480" s="606">
        <f t="shared" si="618"/>
        <v>1542572.4000000001</v>
      </c>
      <c r="DR480" s="607">
        <f t="shared" si="619"/>
        <v>571300.57553956832</v>
      </c>
      <c r="DS480" s="606">
        <f t="shared" si="620"/>
        <v>870466.15384615376</v>
      </c>
      <c r="DT480" s="607">
        <f t="shared" si="621"/>
        <v>729148.35164835164</v>
      </c>
      <c r="DU480" s="606">
        <f t="shared" si="622"/>
        <v>683990.42307692301</v>
      </c>
      <c r="DV480" s="607">
        <f t="shared" si="623"/>
        <v>0</v>
      </c>
      <c r="DW480" s="608">
        <f t="shared" si="624"/>
        <v>0</v>
      </c>
      <c r="DX480" s="607">
        <f t="shared" si="625"/>
        <v>0</v>
      </c>
      <c r="DY480" s="608">
        <f t="shared" si="626"/>
        <v>0</v>
      </c>
      <c r="DZ480" s="607">
        <f t="shared" si="627"/>
        <v>3062473.603658508</v>
      </c>
      <c r="EA480" s="608">
        <f t="shared" si="628"/>
        <v>3274892.9769230769</v>
      </c>
    </row>
    <row r="481" spans="1:131" x14ac:dyDescent="0.2">
      <c r="A481" s="482" t="s">
        <v>42</v>
      </c>
      <c r="B481" s="431" t="s">
        <v>924</v>
      </c>
      <c r="C481" s="581"/>
      <c r="D481" s="480">
        <v>219888</v>
      </c>
      <c r="E481" s="418">
        <v>9</v>
      </c>
      <c r="F481" s="598">
        <v>12</v>
      </c>
      <c r="G481" s="599"/>
      <c r="H481" s="600"/>
      <c r="I481" s="601">
        <v>10</v>
      </c>
      <c r="J481" s="600">
        <v>0</v>
      </c>
      <c r="K481" s="599"/>
      <c r="L481" s="600"/>
      <c r="M481" s="601"/>
      <c r="N481" s="600">
        <v>34</v>
      </c>
      <c r="O481" s="599"/>
      <c r="P481" s="600"/>
      <c r="Q481" s="601">
        <v>28</v>
      </c>
      <c r="R481" s="600">
        <v>6</v>
      </c>
      <c r="S481" s="599"/>
      <c r="T481" s="600"/>
      <c r="U481" s="601">
        <v>8</v>
      </c>
      <c r="V481" s="600">
        <v>21</v>
      </c>
      <c r="W481" s="599"/>
      <c r="X481" s="600"/>
      <c r="Y481" s="601">
        <v>23</v>
      </c>
      <c r="Z481" s="600">
        <v>3</v>
      </c>
      <c r="AA481" s="599"/>
      <c r="AB481" s="600"/>
      <c r="AC481" s="601">
        <v>3</v>
      </c>
      <c r="AD481" s="600">
        <v>18</v>
      </c>
      <c r="AE481" s="599"/>
      <c r="AF481" s="600"/>
      <c r="AG481" s="601">
        <v>21</v>
      </c>
      <c r="AH481" s="600">
        <v>3</v>
      </c>
      <c r="AI481" s="599"/>
      <c r="AJ481" s="600"/>
      <c r="AK481" s="601">
        <v>5</v>
      </c>
      <c r="AL481" s="600">
        <v>0</v>
      </c>
      <c r="AM481" s="599"/>
      <c r="AN481" s="600"/>
      <c r="AO481" s="601"/>
      <c r="AP481" s="600"/>
      <c r="AQ481" s="599"/>
      <c r="AR481" s="600"/>
      <c r="AS481" s="601"/>
      <c r="AT481" s="600"/>
      <c r="AU481" s="599"/>
      <c r="AV481" s="600"/>
      <c r="AW481" s="601"/>
      <c r="AX481" s="600"/>
      <c r="AY481" s="599"/>
      <c r="AZ481" s="600"/>
      <c r="BA481" s="601"/>
      <c r="BB481" s="602">
        <v>817700</v>
      </c>
      <c r="BC481" s="624">
        <v>668720</v>
      </c>
      <c r="BD481" s="600">
        <v>2128580</v>
      </c>
      <c r="BE481" s="624">
        <v>1982630</v>
      </c>
      <c r="BF481" s="600">
        <v>1077509</v>
      </c>
      <c r="BG481" s="628">
        <v>1187630</v>
      </c>
      <c r="BH481" s="600">
        <v>809406</v>
      </c>
      <c r="BI481" s="624">
        <v>1010160</v>
      </c>
      <c r="BJ481" s="600">
        <v>0</v>
      </c>
      <c r="BK481" s="632"/>
      <c r="BL481" s="600">
        <v>0</v>
      </c>
      <c r="BM481" s="604"/>
      <c r="BN481" s="605">
        <f t="shared" si="563"/>
        <v>108</v>
      </c>
      <c r="BO481" s="606">
        <f t="shared" si="564"/>
        <v>100</v>
      </c>
      <c r="BP481" s="607">
        <f t="shared" si="565"/>
        <v>372</v>
      </c>
      <c r="BQ481" s="606">
        <f t="shared" si="566"/>
        <v>376</v>
      </c>
      <c r="BR481" s="607">
        <f t="shared" si="567"/>
        <v>222</v>
      </c>
      <c r="BS481" s="606">
        <f t="shared" si="568"/>
        <v>266</v>
      </c>
      <c r="BT481" s="607">
        <f t="shared" si="569"/>
        <v>195</v>
      </c>
      <c r="BU481" s="606">
        <f t="shared" si="570"/>
        <v>270</v>
      </c>
      <c r="BV481" s="607">
        <f t="shared" si="571"/>
        <v>0</v>
      </c>
      <c r="BW481" s="608">
        <f t="shared" si="572"/>
        <v>0</v>
      </c>
      <c r="BX481" s="607">
        <f t="shared" si="573"/>
        <v>0</v>
      </c>
      <c r="BY481" s="608">
        <f t="shared" si="574"/>
        <v>0</v>
      </c>
      <c r="BZ481" s="607">
        <f t="shared" si="575"/>
        <v>7571.2962962962965</v>
      </c>
      <c r="CA481" s="608">
        <f t="shared" si="576"/>
        <v>6687.2</v>
      </c>
      <c r="CB481" s="607">
        <f t="shared" si="577"/>
        <v>5721.989247311828</v>
      </c>
      <c r="CC481" s="608">
        <f t="shared" si="578"/>
        <v>5272.9521276595742</v>
      </c>
      <c r="CD481" s="607">
        <f t="shared" si="579"/>
        <v>4853.6441441441439</v>
      </c>
      <c r="CE481" s="608">
        <f t="shared" si="580"/>
        <v>4464.7744360902252</v>
      </c>
      <c r="CF481" s="607">
        <f t="shared" si="581"/>
        <v>4150.8</v>
      </c>
      <c r="CG481" s="608">
        <f t="shared" si="582"/>
        <v>3741.3333333333335</v>
      </c>
      <c r="CH481" s="607">
        <f t="shared" si="583"/>
        <v>0</v>
      </c>
      <c r="CI481" s="608">
        <f t="shared" si="584"/>
        <v>0</v>
      </c>
      <c r="CJ481" s="607">
        <f t="shared" si="585"/>
        <v>0</v>
      </c>
      <c r="CK481" s="608">
        <f t="shared" si="586"/>
        <v>0</v>
      </c>
      <c r="CL481" s="609">
        <f t="shared" si="587"/>
        <v>68141.666666666672</v>
      </c>
      <c r="CM481" s="608">
        <f t="shared" si="588"/>
        <v>60184.799999999996</v>
      </c>
      <c r="CN481" s="610">
        <f t="shared" si="589"/>
        <v>51497.903225806454</v>
      </c>
      <c r="CO481" s="606">
        <f t="shared" si="590"/>
        <v>47456.569148936171</v>
      </c>
      <c r="CP481" s="607">
        <f t="shared" si="591"/>
        <v>43682.797297297293</v>
      </c>
      <c r="CQ481" s="606">
        <f t="shared" si="592"/>
        <v>40182.969924812031</v>
      </c>
      <c r="CR481" s="607">
        <f t="shared" si="593"/>
        <v>37357.200000000004</v>
      </c>
      <c r="CS481" s="606">
        <f t="shared" si="594"/>
        <v>33672</v>
      </c>
      <c r="CT481" s="607">
        <f t="shared" si="595"/>
        <v>0</v>
      </c>
      <c r="CU481" s="608">
        <f t="shared" si="596"/>
        <v>0</v>
      </c>
      <c r="CV481" s="610">
        <f t="shared" si="597"/>
        <v>0</v>
      </c>
      <c r="CW481" s="608">
        <f t="shared" si="598"/>
        <v>0</v>
      </c>
      <c r="CX481" s="610">
        <f t="shared" si="599"/>
        <v>48561.901692447347</v>
      </c>
      <c r="CY481" s="611">
        <f t="shared" si="600"/>
        <v>43168.507218436891</v>
      </c>
      <c r="CZ481" s="605">
        <f t="shared" si="601"/>
        <v>12</v>
      </c>
      <c r="DA481" s="612">
        <f t="shared" si="602"/>
        <v>10</v>
      </c>
      <c r="DB481" s="607">
        <f t="shared" si="603"/>
        <v>40</v>
      </c>
      <c r="DC481" s="606">
        <f t="shared" si="604"/>
        <v>36</v>
      </c>
      <c r="DD481" s="607">
        <f t="shared" si="605"/>
        <v>24</v>
      </c>
      <c r="DE481" s="606">
        <f t="shared" si="606"/>
        <v>26</v>
      </c>
      <c r="DF481" s="607">
        <f t="shared" si="607"/>
        <v>21</v>
      </c>
      <c r="DG481" s="606">
        <f t="shared" si="608"/>
        <v>26</v>
      </c>
      <c r="DH481" s="607">
        <f t="shared" si="609"/>
        <v>0</v>
      </c>
      <c r="DI481" s="608">
        <f t="shared" si="610"/>
        <v>0</v>
      </c>
      <c r="DJ481" s="607">
        <f t="shared" si="611"/>
        <v>0</v>
      </c>
      <c r="DK481" s="608">
        <f t="shared" si="612"/>
        <v>0</v>
      </c>
      <c r="DL481" s="607">
        <f t="shared" si="613"/>
        <v>97</v>
      </c>
      <c r="DM481" s="608">
        <f t="shared" si="614"/>
        <v>98</v>
      </c>
      <c r="DN481" s="607">
        <f t="shared" si="615"/>
        <v>817700</v>
      </c>
      <c r="DO481" s="612">
        <f t="shared" si="616"/>
        <v>601848</v>
      </c>
      <c r="DP481" s="607">
        <f t="shared" si="617"/>
        <v>2059916.1290322582</v>
      </c>
      <c r="DQ481" s="606">
        <f t="shared" si="618"/>
        <v>1708436.4893617022</v>
      </c>
      <c r="DR481" s="607">
        <f t="shared" si="619"/>
        <v>1048387.135135135</v>
      </c>
      <c r="DS481" s="606">
        <f t="shared" si="620"/>
        <v>1044757.2180451128</v>
      </c>
      <c r="DT481" s="607">
        <f t="shared" si="621"/>
        <v>784501.20000000007</v>
      </c>
      <c r="DU481" s="606">
        <f t="shared" si="622"/>
        <v>875472</v>
      </c>
      <c r="DV481" s="607">
        <f t="shared" si="623"/>
        <v>0</v>
      </c>
      <c r="DW481" s="608">
        <f t="shared" si="624"/>
        <v>0</v>
      </c>
      <c r="DX481" s="607">
        <f t="shared" si="625"/>
        <v>0</v>
      </c>
      <c r="DY481" s="608">
        <f t="shared" si="626"/>
        <v>0</v>
      </c>
      <c r="DZ481" s="607">
        <f t="shared" si="627"/>
        <v>4710504.4641673928</v>
      </c>
      <c r="EA481" s="608">
        <f t="shared" si="628"/>
        <v>4230513.7074068151</v>
      </c>
    </row>
    <row r="482" spans="1:131" x14ac:dyDescent="0.2">
      <c r="A482" s="482" t="s">
        <v>42</v>
      </c>
      <c r="B482" s="433" t="s">
        <v>925</v>
      </c>
      <c r="C482" s="564"/>
      <c r="D482" s="480">
        <v>220057</v>
      </c>
      <c r="E482" s="420">
        <v>9</v>
      </c>
      <c r="F482" s="598">
        <v>10</v>
      </c>
      <c r="G482" s="599">
        <v>8</v>
      </c>
      <c r="H482" s="600"/>
      <c r="I482" s="601"/>
      <c r="J482" s="600">
        <v>0</v>
      </c>
      <c r="K482" s="599"/>
      <c r="L482" s="600"/>
      <c r="M482" s="601"/>
      <c r="N482" s="600">
        <v>16</v>
      </c>
      <c r="O482" s="599">
        <v>21</v>
      </c>
      <c r="P482" s="600"/>
      <c r="Q482" s="601"/>
      <c r="R482" s="600">
        <v>3</v>
      </c>
      <c r="S482" s="599"/>
      <c r="T482" s="600"/>
      <c r="U482" s="601">
        <v>3</v>
      </c>
      <c r="V482" s="600">
        <v>9</v>
      </c>
      <c r="W482" s="599">
        <v>9</v>
      </c>
      <c r="X482" s="600"/>
      <c r="Y482" s="601"/>
      <c r="Z482" s="600">
        <v>0</v>
      </c>
      <c r="AA482" s="599"/>
      <c r="AB482" s="600"/>
      <c r="AC482" s="601"/>
      <c r="AD482" s="600">
        <v>16</v>
      </c>
      <c r="AE482" s="599">
        <v>15</v>
      </c>
      <c r="AF482" s="600"/>
      <c r="AG482" s="601"/>
      <c r="AH482" s="600">
        <v>5</v>
      </c>
      <c r="AI482" s="599"/>
      <c r="AJ482" s="600"/>
      <c r="AK482" s="601">
        <v>5</v>
      </c>
      <c r="AL482" s="600">
        <v>0</v>
      </c>
      <c r="AM482" s="599"/>
      <c r="AN482" s="600"/>
      <c r="AO482" s="601"/>
      <c r="AP482" s="600"/>
      <c r="AQ482" s="599"/>
      <c r="AR482" s="600"/>
      <c r="AS482" s="601"/>
      <c r="AT482" s="600"/>
      <c r="AU482" s="599"/>
      <c r="AV482" s="600"/>
      <c r="AW482" s="601"/>
      <c r="AX482" s="600"/>
      <c r="AY482" s="599"/>
      <c r="AZ482" s="600"/>
      <c r="BA482" s="601"/>
      <c r="BB482" s="602">
        <v>576258</v>
      </c>
      <c r="BC482" s="624">
        <v>473655</v>
      </c>
      <c r="BD482" s="600">
        <v>997444</v>
      </c>
      <c r="BE482" s="624">
        <v>1268759</v>
      </c>
      <c r="BF482" s="600">
        <v>433613</v>
      </c>
      <c r="BG482" s="628">
        <v>461551</v>
      </c>
      <c r="BH482" s="600">
        <v>987652</v>
      </c>
      <c r="BI482" s="624">
        <v>990331</v>
      </c>
      <c r="BJ482" s="600">
        <v>0</v>
      </c>
      <c r="BK482" s="632"/>
      <c r="BL482" s="600">
        <v>0</v>
      </c>
      <c r="BM482" s="604"/>
      <c r="BN482" s="605">
        <f t="shared" si="563"/>
        <v>90</v>
      </c>
      <c r="BO482" s="606">
        <f t="shared" si="564"/>
        <v>72</v>
      </c>
      <c r="BP482" s="607">
        <f t="shared" si="565"/>
        <v>177</v>
      </c>
      <c r="BQ482" s="606">
        <f t="shared" si="566"/>
        <v>225</v>
      </c>
      <c r="BR482" s="607">
        <f t="shared" si="567"/>
        <v>81</v>
      </c>
      <c r="BS482" s="606">
        <f t="shared" si="568"/>
        <v>81</v>
      </c>
      <c r="BT482" s="607">
        <f t="shared" si="569"/>
        <v>199</v>
      </c>
      <c r="BU482" s="606">
        <f t="shared" si="570"/>
        <v>195</v>
      </c>
      <c r="BV482" s="607">
        <f t="shared" si="571"/>
        <v>0</v>
      </c>
      <c r="BW482" s="608">
        <f t="shared" si="572"/>
        <v>0</v>
      </c>
      <c r="BX482" s="607">
        <f t="shared" si="573"/>
        <v>0</v>
      </c>
      <c r="BY482" s="608">
        <f t="shared" si="574"/>
        <v>0</v>
      </c>
      <c r="BZ482" s="607">
        <f t="shared" si="575"/>
        <v>6402.8666666666668</v>
      </c>
      <c r="CA482" s="608">
        <f t="shared" si="576"/>
        <v>6578.541666666667</v>
      </c>
      <c r="CB482" s="607">
        <f t="shared" si="577"/>
        <v>5635.2768361581921</v>
      </c>
      <c r="CC482" s="608">
        <f t="shared" si="578"/>
        <v>5638.9288888888887</v>
      </c>
      <c r="CD482" s="607">
        <f t="shared" si="579"/>
        <v>5353.2469135802467</v>
      </c>
      <c r="CE482" s="608">
        <f t="shared" si="580"/>
        <v>5698.1604938271603</v>
      </c>
      <c r="CF482" s="607">
        <f t="shared" si="581"/>
        <v>4963.0753768844224</v>
      </c>
      <c r="CG482" s="608">
        <f t="shared" si="582"/>
        <v>5078.6205128205129</v>
      </c>
      <c r="CH482" s="607">
        <f t="shared" si="583"/>
        <v>0</v>
      </c>
      <c r="CI482" s="608">
        <f t="shared" si="584"/>
        <v>0</v>
      </c>
      <c r="CJ482" s="607">
        <f t="shared" si="585"/>
        <v>0</v>
      </c>
      <c r="CK482" s="608">
        <f t="shared" si="586"/>
        <v>0</v>
      </c>
      <c r="CL482" s="609">
        <f t="shared" si="587"/>
        <v>57625.8</v>
      </c>
      <c r="CM482" s="608">
        <f t="shared" si="588"/>
        <v>59206.875</v>
      </c>
      <c r="CN482" s="610">
        <f t="shared" si="589"/>
        <v>50717.491525423728</v>
      </c>
      <c r="CO482" s="606">
        <f t="shared" si="590"/>
        <v>50750.36</v>
      </c>
      <c r="CP482" s="607">
        <f t="shared" si="591"/>
        <v>48179.222222222219</v>
      </c>
      <c r="CQ482" s="606">
        <f t="shared" si="592"/>
        <v>51283.444444444445</v>
      </c>
      <c r="CR482" s="607">
        <f t="shared" si="593"/>
        <v>44667.678391959802</v>
      </c>
      <c r="CS482" s="606">
        <f t="shared" si="594"/>
        <v>45707.584615384614</v>
      </c>
      <c r="CT482" s="607">
        <f t="shared" si="595"/>
        <v>0</v>
      </c>
      <c r="CU482" s="608">
        <f t="shared" si="596"/>
        <v>0</v>
      </c>
      <c r="CV482" s="610">
        <f t="shared" si="597"/>
        <v>0</v>
      </c>
      <c r="CW482" s="608">
        <f t="shared" si="598"/>
        <v>0</v>
      </c>
      <c r="CX482" s="610">
        <f t="shared" si="599"/>
        <v>49347.874325664518</v>
      </c>
      <c r="CY482" s="611">
        <f t="shared" si="600"/>
        <v>50284.693972257257</v>
      </c>
      <c r="CZ482" s="605">
        <f t="shared" si="601"/>
        <v>10</v>
      </c>
      <c r="DA482" s="612">
        <f t="shared" si="602"/>
        <v>8</v>
      </c>
      <c r="DB482" s="607">
        <f t="shared" si="603"/>
        <v>19</v>
      </c>
      <c r="DC482" s="606">
        <f t="shared" si="604"/>
        <v>24</v>
      </c>
      <c r="DD482" s="607">
        <f t="shared" si="605"/>
        <v>9</v>
      </c>
      <c r="DE482" s="606">
        <f t="shared" si="606"/>
        <v>9</v>
      </c>
      <c r="DF482" s="607">
        <f t="shared" si="607"/>
        <v>21</v>
      </c>
      <c r="DG482" s="606">
        <f t="shared" si="608"/>
        <v>20</v>
      </c>
      <c r="DH482" s="607">
        <f t="shared" si="609"/>
        <v>0</v>
      </c>
      <c r="DI482" s="608">
        <f t="shared" si="610"/>
        <v>0</v>
      </c>
      <c r="DJ482" s="607">
        <f t="shared" si="611"/>
        <v>0</v>
      </c>
      <c r="DK482" s="608">
        <f t="shared" si="612"/>
        <v>0</v>
      </c>
      <c r="DL482" s="607">
        <f t="shared" si="613"/>
        <v>59</v>
      </c>
      <c r="DM482" s="608">
        <f t="shared" si="614"/>
        <v>61</v>
      </c>
      <c r="DN482" s="607">
        <f t="shared" si="615"/>
        <v>576258</v>
      </c>
      <c r="DO482" s="612">
        <f t="shared" si="616"/>
        <v>473655</v>
      </c>
      <c r="DP482" s="607">
        <f t="shared" si="617"/>
        <v>963632.33898305078</v>
      </c>
      <c r="DQ482" s="606">
        <f t="shared" si="618"/>
        <v>1218008.6400000001</v>
      </c>
      <c r="DR482" s="607">
        <f t="shared" si="619"/>
        <v>433613</v>
      </c>
      <c r="DS482" s="606">
        <f t="shared" si="620"/>
        <v>461551</v>
      </c>
      <c r="DT482" s="607">
        <f t="shared" si="621"/>
        <v>938021.24623115582</v>
      </c>
      <c r="DU482" s="606">
        <f t="shared" si="622"/>
        <v>914151.69230769225</v>
      </c>
      <c r="DV482" s="607">
        <f t="shared" si="623"/>
        <v>0</v>
      </c>
      <c r="DW482" s="608">
        <f t="shared" si="624"/>
        <v>0</v>
      </c>
      <c r="DX482" s="607">
        <f t="shared" si="625"/>
        <v>0</v>
      </c>
      <c r="DY482" s="608">
        <f t="shared" si="626"/>
        <v>0</v>
      </c>
      <c r="DZ482" s="607">
        <f t="shared" si="627"/>
        <v>2911524.5852142065</v>
      </c>
      <c r="EA482" s="608">
        <f t="shared" si="628"/>
        <v>3067366.3323076926</v>
      </c>
    </row>
    <row r="483" spans="1:131" x14ac:dyDescent="0.2">
      <c r="A483" s="482" t="s">
        <v>42</v>
      </c>
      <c r="B483" s="431" t="s">
        <v>926</v>
      </c>
      <c r="C483" s="581"/>
      <c r="D483" s="480">
        <v>220400</v>
      </c>
      <c r="E483" s="418">
        <v>9</v>
      </c>
      <c r="F483" s="598">
        <v>11</v>
      </c>
      <c r="G483" s="599">
        <v>8</v>
      </c>
      <c r="H483" s="600"/>
      <c r="I483" s="601"/>
      <c r="J483" s="600">
        <v>1</v>
      </c>
      <c r="K483" s="599"/>
      <c r="L483" s="600"/>
      <c r="M483" s="601">
        <v>4</v>
      </c>
      <c r="N483" s="600">
        <v>42</v>
      </c>
      <c r="O483" s="599">
        <v>46</v>
      </c>
      <c r="P483" s="600"/>
      <c r="Q483" s="601"/>
      <c r="R483" s="600">
        <v>10</v>
      </c>
      <c r="S483" s="599"/>
      <c r="T483" s="600"/>
      <c r="U483" s="601">
        <v>10</v>
      </c>
      <c r="V483" s="600">
        <v>19</v>
      </c>
      <c r="W483" s="599">
        <v>10</v>
      </c>
      <c r="X483" s="600"/>
      <c r="Y483" s="601"/>
      <c r="Z483" s="600">
        <v>1</v>
      </c>
      <c r="AA483" s="599"/>
      <c r="AB483" s="600"/>
      <c r="AC483" s="601">
        <v>1</v>
      </c>
      <c r="AD483" s="600">
        <v>8</v>
      </c>
      <c r="AE483" s="599">
        <v>7</v>
      </c>
      <c r="AF483" s="600"/>
      <c r="AG483" s="601"/>
      <c r="AH483" s="600">
        <v>1</v>
      </c>
      <c r="AI483" s="599"/>
      <c r="AJ483" s="600"/>
      <c r="AK483" s="601">
        <v>1</v>
      </c>
      <c r="AL483" s="600">
        <v>0</v>
      </c>
      <c r="AM483" s="599"/>
      <c r="AN483" s="600"/>
      <c r="AO483" s="601"/>
      <c r="AP483" s="600"/>
      <c r="AQ483" s="599"/>
      <c r="AR483" s="600"/>
      <c r="AS483" s="601"/>
      <c r="AT483" s="600"/>
      <c r="AU483" s="599"/>
      <c r="AV483" s="600"/>
      <c r="AW483" s="601"/>
      <c r="AX483" s="600"/>
      <c r="AY483" s="599"/>
      <c r="AZ483" s="600"/>
      <c r="BA483" s="601"/>
      <c r="BB483" s="602">
        <v>744070</v>
      </c>
      <c r="BC483" s="624">
        <v>806530</v>
      </c>
      <c r="BD483" s="600">
        <v>2741439</v>
      </c>
      <c r="BE483" s="624">
        <v>3046202</v>
      </c>
      <c r="BF483" s="600">
        <v>830468</v>
      </c>
      <c r="BG483" s="628">
        <v>516107</v>
      </c>
      <c r="BH483" s="600">
        <v>355713</v>
      </c>
      <c r="BI483" s="624">
        <v>372208</v>
      </c>
      <c r="BJ483" s="600">
        <v>0</v>
      </c>
      <c r="BK483" s="632"/>
      <c r="BL483" s="600">
        <v>0</v>
      </c>
      <c r="BM483" s="604"/>
      <c r="BN483" s="605">
        <f t="shared" si="563"/>
        <v>110</v>
      </c>
      <c r="BO483" s="606">
        <f t="shared" si="564"/>
        <v>120</v>
      </c>
      <c r="BP483" s="607">
        <f t="shared" si="565"/>
        <v>488</v>
      </c>
      <c r="BQ483" s="606">
        <f t="shared" si="566"/>
        <v>534</v>
      </c>
      <c r="BR483" s="607">
        <f t="shared" si="567"/>
        <v>182</v>
      </c>
      <c r="BS483" s="606">
        <f t="shared" si="568"/>
        <v>102</v>
      </c>
      <c r="BT483" s="607">
        <f t="shared" si="569"/>
        <v>83</v>
      </c>
      <c r="BU483" s="606">
        <f t="shared" si="570"/>
        <v>75</v>
      </c>
      <c r="BV483" s="607">
        <f t="shared" si="571"/>
        <v>0</v>
      </c>
      <c r="BW483" s="608">
        <f t="shared" si="572"/>
        <v>0</v>
      </c>
      <c r="BX483" s="607">
        <f t="shared" si="573"/>
        <v>0</v>
      </c>
      <c r="BY483" s="608">
        <f t="shared" si="574"/>
        <v>0</v>
      </c>
      <c r="BZ483" s="607">
        <f t="shared" si="575"/>
        <v>6764.272727272727</v>
      </c>
      <c r="CA483" s="608">
        <f t="shared" si="576"/>
        <v>6721.083333333333</v>
      </c>
      <c r="CB483" s="607">
        <f t="shared" si="577"/>
        <v>5617.7028688524588</v>
      </c>
      <c r="CC483" s="608">
        <f t="shared" si="578"/>
        <v>5704.4981273408239</v>
      </c>
      <c r="CD483" s="607">
        <f t="shared" si="579"/>
        <v>4563.0109890109889</v>
      </c>
      <c r="CE483" s="608">
        <f t="shared" si="580"/>
        <v>5059.8725490196075</v>
      </c>
      <c r="CF483" s="607">
        <f t="shared" si="581"/>
        <v>4285.6987951807232</v>
      </c>
      <c r="CG483" s="608">
        <f t="shared" si="582"/>
        <v>4962.7733333333335</v>
      </c>
      <c r="CH483" s="607">
        <f t="shared" si="583"/>
        <v>0</v>
      </c>
      <c r="CI483" s="608">
        <f t="shared" si="584"/>
        <v>0</v>
      </c>
      <c r="CJ483" s="607">
        <f t="shared" si="585"/>
        <v>0</v>
      </c>
      <c r="CK483" s="608">
        <f t="shared" si="586"/>
        <v>0</v>
      </c>
      <c r="CL483" s="609">
        <f t="shared" si="587"/>
        <v>60878.454545454544</v>
      </c>
      <c r="CM483" s="608">
        <f t="shared" si="588"/>
        <v>60489.75</v>
      </c>
      <c r="CN483" s="610">
        <f t="shared" si="589"/>
        <v>50559.325819672129</v>
      </c>
      <c r="CO483" s="606">
        <f t="shared" si="590"/>
        <v>51340.483146067418</v>
      </c>
      <c r="CP483" s="607">
        <f t="shared" si="591"/>
        <v>41067.0989010989</v>
      </c>
      <c r="CQ483" s="606">
        <f t="shared" si="592"/>
        <v>45538.852941176468</v>
      </c>
      <c r="CR483" s="607">
        <f t="shared" si="593"/>
        <v>38571.28915662651</v>
      </c>
      <c r="CS483" s="606">
        <f t="shared" si="594"/>
        <v>44664.959999999999</v>
      </c>
      <c r="CT483" s="607">
        <f t="shared" si="595"/>
        <v>0</v>
      </c>
      <c r="CU483" s="608">
        <f t="shared" si="596"/>
        <v>0</v>
      </c>
      <c r="CV483" s="610">
        <f t="shared" si="597"/>
        <v>0</v>
      </c>
      <c r="CW483" s="608">
        <f t="shared" si="598"/>
        <v>0</v>
      </c>
      <c r="CX483" s="610">
        <f t="shared" si="599"/>
        <v>48689.354597849699</v>
      </c>
      <c r="CY483" s="611">
        <f t="shared" si="600"/>
        <v>51255.070327962254</v>
      </c>
      <c r="CZ483" s="605">
        <f t="shared" si="601"/>
        <v>12</v>
      </c>
      <c r="DA483" s="612">
        <f t="shared" si="602"/>
        <v>12</v>
      </c>
      <c r="DB483" s="607">
        <f t="shared" si="603"/>
        <v>52</v>
      </c>
      <c r="DC483" s="606">
        <f t="shared" si="604"/>
        <v>56</v>
      </c>
      <c r="DD483" s="607">
        <f t="shared" si="605"/>
        <v>20</v>
      </c>
      <c r="DE483" s="606">
        <f t="shared" si="606"/>
        <v>11</v>
      </c>
      <c r="DF483" s="607">
        <f t="shared" si="607"/>
        <v>9</v>
      </c>
      <c r="DG483" s="606">
        <f t="shared" si="608"/>
        <v>8</v>
      </c>
      <c r="DH483" s="607">
        <f t="shared" si="609"/>
        <v>0</v>
      </c>
      <c r="DI483" s="608">
        <f t="shared" si="610"/>
        <v>0</v>
      </c>
      <c r="DJ483" s="607">
        <f t="shared" si="611"/>
        <v>0</v>
      </c>
      <c r="DK483" s="608">
        <f t="shared" si="612"/>
        <v>0</v>
      </c>
      <c r="DL483" s="607">
        <f t="shared" si="613"/>
        <v>93</v>
      </c>
      <c r="DM483" s="608">
        <f t="shared" si="614"/>
        <v>87</v>
      </c>
      <c r="DN483" s="607">
        <f t="shared" si="615"/>
        <v>730541.45454545459</v>
      </c>
      <c r="DO483" s="612">
        <f t="shared" si="616"/>
        <v>725877</v>
      </c>
      <c r="DP483" s="607">
        <f t="shared" si="617"/>
        <v>2629084.9426229508</v>
      </c>
      <c r="DQ483" s="606">
        <f t="shared" si="618"/>
        <v>2875067.0561797754</v>
      </c>
      <c r="DR483" s="607">
        <f t="shared" si="619"/>
        <v>821341.97802197793</v>
      </c>
      <c r="DS483" s="606">
        <f t="shared" si="620"/>
        <v>500927.38235294115</v>
      </c>
      <c r="DT483" s="607">
        <f t="shared" si="621"/>
        <v>347141.60240963858</v>
      </c>
      <c r="DU483" s="606">
        <f t="shared" si="622"/>
        <v>357319.67999999999</v>
      </c>
      <c r="DV483" s="607">
        <f t="shared" si="623"/>
        <v>0</v>
      </c>
      <c r="DW483" s="608">
        <f t="shared" si="624"/>
        <v>0</v>
      </c>
      <c r="DX483" s="607">
        <f t="shared" si="625"/>
        <v>0</v>
      </c>
      <c r="DY483" s="608">
        <f t="shared" si="626"/>
        <v>0</v>
      </c>
      <c r="DZ483" s="607">
        <f t="shared" si="627"/>
        <v>4528109.9776000222</v>
      </c>
      <c r="EA483" s="608">
        <f t="shared" si="628"/>
        <v>4459191.1185327163</v>
      </c>
    </row>
    <row r="484" spans="1:131" x14ac:dyDescent="0.2">
      <c r="A484" s="482" t="s">
        <v>42</v>
      </c>
      <c r="B484" s="431" t="s">
        <v>927</v>
      </c>
      <c r="C484" s="581"/>
      <c r="D484" s="480">
        <v>221096</v>
      </c>
      <c r="E484" s="418">
        <v>9</v>
      </c>
      <c r="F484" s="598">
        <v>11</v>
      </c>
      <c r="G484" s="599">
        <v>10</v>
      </c>
      <c r="H484" s="600"/>
      <c r="I484" s="601"/>
      <c r="J484" s="600">
        <v>0</v>
      </c>
      <c r="K484" s="599"/>
      <c r="L484" s="600"/>
      <c r="M484" s="601"/>
      <c r="N484" s="600">
        <v>19</v>
      </c>
      <c r="O484" s="599">
        <v>31</v>
      </c>
      <c r="P484" s="600"/>
      <c r="Q484" s="601"/>
      <c r="R484" s="600">
        <v>0</v>
      </c>
      <c r="S484" s="599"/>
      <c r="T484" s="600"/>
      <c r="U484" s="601"/>
      <c r="V484" s="600">
        <v>20</v>
      </c>
      <c r="W484" s="599">
        <v>21</v>
      </c>
      <c r="X484" s="600"/>
      <c r="Y484" s="601"/>
      <c r="Z484" s="600">
        <v>0</v>
      </c>
      <c r="AA484" s="599"/>
      <c r="AB484" s="600"/>
      <c r="AC484" s="601"/>
      <c r="AD484" s="600">
        <v>30</v>
      </c>
      <c r="AE484" s="599">
        <v>18</v>
      </c>
      <c r="AF484" s="600"/>
      <c r="AG484" s="601"/>
      <c r="AH484" s="600">
        <v>1</v>
      </c>
      <c r="AI484" s="599"/>
      <c r="AJ484" s="600"/>
      <c r="AK484" s="601">
        <v>5</v>
      </c>
      <c r="AL484" s="600">
        <v>0</v>
      </c>
      <c r="AM484" s="599"/>
      <c r="AN484" s="600"/>
      <c r="AO484" s="601"/>
      <c r="AP484" s="600"/>
      <c r="AQ484" s="599"/>
      <c r="AR484" s="600"/>
      <c r="AS484" s="601"/>
      <c r="AT484" s="600"/>
      <c r="AU484" s="599"/>
      <c r="AV484" s="600"/>
      <c r="AW484" s="601"/>
      <c r="AX484" s="600"/>
      <c r="AY484" s="599"/>
      <c r="AZ484" s="600"/>
      <c r="BA484" s="601"/>
      <c r="BB484" s="602">
        <v>732574</v>
      </c>
      <c r="BC484" s="624">
        <v>660572</v>
      </c>
      <c r="BD484" s="600">
        <v>909809</v>
      </c>
      <c r="BE484" s="624">
        <v>1450574</v>
      </c>
      <c r="BF484" s="600">
        <v>841112</v>
      </c>
      <c r="BG484" s="628">
        <v>929935</v>
      </c>
      <c r="BH484" s="600">
        <v>1210709</v>
      </c>
      <c r="BI484" s="624">
        <v>995089</v>
      </c>
      <c r="BJ484" s="600">
        <v>0</v>
      </c>
      <c r="BK484" s="632"/>
      <c r="BL484" s="600">
        <v>0</v>
      </c>
      <c r="BM484" s="604"/>
      <c r="BN484" s="605">
        <f t="shared" si="563"/>
        <v>99</v>
      </c>
      <c r="BO484" s="606">
        <f t="shared" si="564"/>
        <v>90</v>
      </c>
      <c r="BP484" s="607">
        <f t="shared" si="565"/>
        <v>171</v>
      </c>
      <c r="BQ484" s="606">
        <f t="shared" si="566"/>
        <v>279</v>
      </c>
      <c r="BR484" s="607">
        <f t="shared" si="567"/>
        <v>180</v>
      </c>
      <c r="BS484" s="606">
        <f t="shared" si="568"/>
        <v>189</v>
      </c>
      <c r="BT484" s="607">
        <f t="shared" si="569"/>
        <v>281</v>
      </c>
      <c r="BU484" s="606">
        <f t="shared" si="570"/>
        <v>222</v>
      </c>
      <c r="BV484" s="607">
        <f t="shared" si="571"/>
        <v>0</v>
      </c>
      <c r="BW484" s="608">
        <f t="shared" si="572"/>
        <v>0</v>
      </c>
      <c r="BX484" s="607">
        <f t="shared" si="573"/>
        <v>0</v>
      </c>
      <c r="BY484" s="608">
        <f t="shared" si="574"/>
        <v>0</v>
      </c>
      <c r="BZ484" s="607">
        <f t="shared" si="575"/>
        <v>7399.7373737373737</v>
      </c>
      <c r="CA484" s="608">
        <f t="shared" si="576"/>
        <v>7339.6888888888889</v>
      </c>
      <c r="CB484" s="607">
        <f t="shared" si="577"/>
        <v>5320.520467836257</v>
      </c>
      <c r="CC484" s="608">
        <f t="shared" si="578"/>
        <v>5199.1899641577065</v>
      </c>
      <c r="CD484" s="607">
        <f t="shared" si="579"/>
        <v>4672.8444444444449</v>
      </c>
      <c r="CE484" s="608">
        <f t="shared" si="580"/>
        <v>4920.2910052910056</v>
      </c>
      <c r="CF484" s="607">
        <f t="shared" si="581"/>
        <v>4308.5729537366551</v>
      </c>
      <c r="CG484" s="608">
        <f t="shared" si="582"/>
        <v>4482.3828828828828</v>
      </c>
      <c r="CH484" s="607">
        <f t="shared" si="583"/>
        <v>0</v>
      </c>
      <c r="CI484" s="608">
        <f t="shared" si="584"/>
        <v>0</v>
      </c>
      <c r="CJ484" s="607">
        <f t="shared" si="585"/>
        <v>0</v>
      </c>
      <c r="CK484" s="608">
        <f t="shared" si="586"/>
        <v>0</v>
      </c>
      <c r="CL484" s="609">
        <f t="shared" si="587"/>
        <v>66597.636363636368</v>
      </c>
      <c r="CM484" s="608">
        <f t="shared" si="588"/>
        <v>66057.2</v>
      </c>
      <c r="CN484" s="610">
        <f t="shared" si="589"/>
        <v>47884.684210526313</v>
      </c>
      <c r="CO484" s="606">
        <f t="shared" si="590"/>
        <v>46792.709677419356</v>
      </c>
      <c r="CP484" s="607">
        <f t="shared" si="591"/>
        <v>42055.600000000006</v>
      </c>
      <c r="CQ484" s="606">
        <f t="shared" si="592"/>
        <v>44282.619047619053</v>
      </c>
      <c r="CR484" s="607">
        <f t="shared" si="593"/>
        <v>38777.156583629898</v>
      </c>
      <c r="CS484" s="606">
        <f t="shared" si="594"/>
        <v>40341.445945945947</v>
      </c>
      <c r="CT484" s="607">
        <f t="shared" si="595"/>
        <v>0</v>
      </c>
      <c r="CU484" s="608">
        <f t="shared" si="596"/>
        <v>0</v>
      </c>
      <c r="CV484" s="610">
        <f t="shared" si="597"/>
        <v>0</v>
      </c>
      <c r="CW484" s="608">
        <f t="shared" si="598"/>
        <v>0</v>
      </c>
      <c r="CX484" s="610">
        <f t="shared" si="599"/>
        <v>45501.072272747246</v>
      </c>
      <c r="CY484" s="611">
        <f t="shared" si="600"/>
        <v>46693.344197138314</v>
      </c>
      <c r="CZ484" s="605">
        <f t="shared" si="601"/>
        <v>11</v>
      </c>
      <c r="DA484" s="612">
        <f t="shared" si="602"/>
        <v>10</v>
      </c>
      <c r="DB484" s="607">
        <f t="shared" si="603"/>
        <v>19</v>
      </c>
      <c r="DC484" s="606">
        <f t="shared" si="604"/>
        <v>31</v>
      </c>
      <c r="DD484" s="607">
        <f t="shared" si="605"/>
        <v>20</v>
      </c>
      <c r="DE484" s="606">
        <f t="shared" si="606"/>
        <v>21</v>
      </c>
      <c r="DF484" s="607">
        <f t="shared" si="607"/>
        <v>31</v>
      </c>
      <c r="DG484" s="606">
        <f t="shared" si="608"/>
        <v>23</v>
      </c>
      <c r="DH484" s="607">
        <f t="shared" si="609"/>
        <v>0</v>
      </c>
      <c r="DI484" s="608">
        <f t="shared" si="610"/>
        <v>0</v>
      </c>
      <c r="DJ484" s="607">
        <f t="shared" si="611"/>
        <v>0</v>
      </c>
      <c r="DK484" s="608">
        <f t="shared" si="612"/>
        <v>0</v>
      </c>
      <c r="DL484" s="607">
        <f t="shared" si="613"/>
        <v>81</v>
      </c>
      <c r="DM484" s="608">
        <f t="shared" si="614"/>
        <v>85</v>
      </c>
      <c r="DN484" s="607">
        <f t="shared" si="615"/>
        <v>732574</v>
      </c>
      <c r="DO484" s="612">
        <f t="shared" si="616"/>
        <v>660572</v>
      </c>
      <c r="DP484" s="607">
        <f t="shared" si="617"/>
        <v>909809</v>
      </c>
      <c r="DQ484" s="606">
        <f t="shared" si="618"/>
        <v>1450574</v>
      </c>
      <c r="DR484" s="607">
        <f t="shared" si="619"/>
        <v>841112.00000000012</v>
      </c>
      <c r="DS484" s="606">
        <f t="shared" si="620"/>
        <v>929935.00000000012</v>
      </c>
      <c r="DT484" s="607">
        <f t="shared" si="621"/>
        <v>1202091.8540925267</v>
      </c>
      <c r="DU484" s="606">
        <f t="shared" si="622"/>
        <v>927853.2567567568</v>
      </c>
      <c r="DV484" s="607">
        <f t="shared" si="623"/>
        <v>0</v>
      </c>
      <c r="DW484" s="608">
        <f t="shared" si="624"/>
        <v>0</v>
      </c>
      <c r="DX484" s="607">
        <f t="shared" si="625"/>
        <v>0</v>
      </c>
      <c r="DY484" s="608">
        <f t="shared" si="626"/>
        <v>0</v>
      </c>
      <c r="DZ484" s="607">
        <f t="shared" si="627"/>
        <v>3685586.8540925267</v>
      </c>
      <c r="EA484" s="608">
        <f t="shared" si="628"/>
        <v>3968934.2567567569</v>
      </c>
    </row>
    <row r="485" spans="1:131" x14ac:dyDescent="0.2">
      <c r="A485" s="482" t="s">
        <v>42</v>
      </c>
      <c r="B485" s="431" t="s">
        <v>928</v>
      </c>
      <c r="C485" s="581"/>
      <c r="D485" s="480">
        <v>221908</v>
      </c>
      <c r="E485" s="418">
        <v>9</v>
      </c>
      <c r="F485" s="598">
        <v>10</v>
      </c>
      <c r="G485" s="599">
        <v>12</v>
      </c>
      <c r="H485" s="600"/>
      <c r="I485" s="601"/>
      <c r="J485" s="600">
        <v>2</v>
      </c>
      <c r="K485" s="599"/>
      <c r="L485" s="600"/>
      <c r="M485" s="601">
        <v>3</v>
      </c>
      <c r="N485" s="600">
        <v>34</v>
      </c>
      <c r="O485" s="599">
        <v>35</v>
      </c>
      <c r="P485" s="600"/>
      <c r="Q485" s="601">
        <v>1</v>
      </c>
      <c r="R485" s="600">
        <v>9</v>
      </c>
      <c r="S485" s="599"/>
      <c r="T485" s="600"/>
      <c r="U485" s="601">
        <v>6</v>
      </c>
      <c r="V485" s="600">
        <v>28</v>
      </c>
      <c r="W485" s="599">
        <v>27</v>
      </c>
      <c r="X485" s="600"/>
      <c r="Y485" s="601"/>
      <c r="Z485" s="600">
        <v>2</v>
      </c>
      <c r="AA485" s="599"/>
      <c r="AB485" s="600"/>
      <c r="AC485" s="601">
        <v>1</v>
      </c>
      <c r="AD485" s="600">
        <v>31</v>
      </c>
      <c r="AE485" s="599">
        <v>32</v>
      </c>
      <c r="AF485" s="600"/>
      <c r="AG485" s="601"/>
      <c r="AH485" s="600">
        <v>4</v>
      </c>
      <c r="AI485" s="599"/>
      <c r="AJ485" s="600"/>
      <c r="AK485" s="601">
        <v>5</v>
      </c>
      <c r="AL485" s="600">
        <v>0</v>
      </c>
      <c r="AM485" s="599"/>
      <c r="AN485" s="600"/>
      <c r="AO485" s="601"/>
      <c r="AP485" s="600"/>
      <c r="AQ485" s="599"/>
      <c r="AR485" s="600"/>
      <c r="AS485" s="601"/>
      <c r="AT485" s="600"/>
      <c r="AU485" s="599"/>
      <c r="AV485" s="600"/>
      <c r="AW485" s="601"/>
      <c r="AX485" s="600"/>
      <c r="AY485" s="599"/>
      <c r="AZ485" s="600"/>
      <c r="BA485" s="601"/>
      <c r="BB485" s="602">
        <v>664463</v>
      </c>
      <c r="BC485" s="624">
        <v>868180</v>
      </c>
      <c r="BD485" s="600">
        <v>2188865</v>
      </c>
      <c r="BE485" s="624">
        <v>2108516</v>
      </c>
      <c r="BF485" s="600">
        <v>1188769</v>
      </c>
      <c r="BG485" s="628">
        <v>1133957</v>
      </c>
      <c r="BH485" s="600">
        <v>1327904</v>
      </c>
      <c r="BI485" s="624">
        <v>1491475</v>
      </c>
      <c r="BJ485" s="600">
        <v>0</v>
      </c>
      <c r="BK485" s="632"/>
      <c r="BL485" s="600">
        <v>0</v>
      </c>
      <c r="BM485" s="604"/>
      <c r="BN485" s="605">
        <f t="shared" si="563"/>
        <v>112</v>
      </c>
      <c r="BO485" s="606">
        <f t="shared" si="564"/>
        <v>144</v>
      </c>
      <c r="BP485" s="607">
        <f t="shared" si="565"/>
        <v>405</v>
      </c>
      <c r="BQ485" s="606">
        <f t="shared" si="566"/>
        <v>397</v>
      </c>
      <c r="BR485" s="607">
        <f t="shared" si="567"/>
        <v>274</v>
      </c>
      <c r="BS485" s="606">
        <f t="shared" si="568"/>
        <v>255</v>
      </c>
      <c r="BT485" s="607">
        <f t="shared" si="569"/>
        <v>323</v>
      </c>
      <c r="BU485" s="606">
        <f t="shared" si="570"/>
        <v>348</v>
      </c>
      <c r="BV485" s="607">
        <f t="shared" si="571"/>
        <v>0</v>
      </c>
      <c r="BW485" s="608">
        <f t="shared" si="572"/>
        <v>0</v>
      </c>
      <c r="BX485" s="607">
        <f t="shared" si="573"/>
        <v>0</v>
      </c>
      <c r="BY485" s="608">
        <f t="shared" si="574"/>
        <v>0</v>
      </c>
      <c r="BZ485" s="607">
        <f t="shared" si="575"/>
        <v>5932.7053571428569</v>
      </c>
      <c r="CA485" s="608">
        <f t="shared" si="576"/>
        <v>6029.0277777777774</v>
      </c>
      <c r="CB485" s="607">
        <f t="shared" si="577"/>
        <v>5404.6049382716046</v>
      </c>
      <c r="CC485" s="608">
        <f t="shared" si="578"/>
        <v>5311.1234256926955</v>
      </c>
      <c r="CD485" s="607">
        <f t="shared" si="579"/>
        <v>4338.5729927007296</v>
      </c>
      <c r="CE485" s="608">
        <f t="shared" si="580"/>
        <v>4446.8901960784315</v>
      </c>
      <c r="CF485" s="607">
        <f t="shared" si="581"/>
        <v>4111.1578947368425</v>
      </c>
      <c r="CG485" s="608">
        <f t="shared" si="582"/>
        <v>4285.8477011494251</v>
      </c>
      <c r="CH485" s="607">
        <f t="shared" si="583"/>
        <v>0</v>
      </c>
      <c r="CI485" s="608">
        <f t="shared" si="584"/>
        <v>0</v>
      </c>
      <c r="CJ485" s="607">
        <f t="shared" si="585"/>
        <v>0</v>
      </c>
      <c r="CK485" s="608">
        <f t="shared" si="586"/>
        <v>0</v>
      </c>
      <c r="CL485" s="609">
        <f t="shared" si="587"/>
        <v>53394.34821428571</v>
      </c>
      <c r="CM485" s="608">
        <f t="shared" si="588"/>
        <v>54261.25</v>
      </c>
      <c r="CN485" s="610">
        <f t="shared" si="589"/>
        <v>48641.444444444438</v>
      </c>
      <c r="CO485" s="606">
        <f t="shared" si="590"/>
        <v>47800.110831234262</v>
      </c>
      <c r="CP485" s="607">
        <f t="shared" si="591"/>
        <v>39047.156934306564</v>
      </c>
      <c r="CQ485" s="606">
        <f t="shared" si="592"/>
        <v>40022.01176470588</v>
      </c>
      <c r="CR485" s="607">
        <f t="shared" si="593"/>
        <v>37000.42105263158</v>
      </c>
      <c r="CS485" s="606">
        <f t="shared" si="594"/>
        <v>38572.629310344826</v>
      </c>
      <c r="CT485" s="607">
        <f t="shared" si="595"/>
        <v>0</v>
      </c>
      <c r="CU485" s="608">
        <f t="shared" si="596"/>
        <v>0</v>
      </c>
      <c r="CV485" s="610">
        <f t="shared" si="597"/>
        <v>0</v>
      </c>
      <c r="CW485" s="608">
        <f t="shared" si="598"/>
        <v>0</v>
      </c>
      <c r="CX485" s="610">
        <f t="shared" si="599"/>
        <v>43322.864454615345</v>
      </c>
      <c r="CY485" s="611">
        <f t="shared" si="600"/>
        <v>44010.877203330841</v>
      </c>
      <c r="CZ485" s="605">
        <f t="shared" si="601"/>
        <v>12</v>
      </c>
      <c r="DA485" s="612">
        <f t="shared" si="602"/>
        <v>15</v>
      </c>
      <c r="DB485" s="607">
        <f t="shared" si="603"/>
        <v>43</v>
      </c>
      <c r="DC485" s="606">
        <f t="shared" si="604"/>
        <v>42</v>
      </c>
      <c r="DD485" s="607">
        <f t="shared" si="605"/>
        <v>30</v>
      </c>
      <c r="DE485" s="606">
        <f t="shared" si="606"/>
        <v>28</v>
      </c>
      <c r="DF485" s="607">
        <f t="shared" si="607"/>
        <v>35</v>
      </c>
      <c r="DG485" s="606">
        <f t="shared" si="608"/>
        <v>37</v>
      </c>
      <c r="DH485" s="607">
        <f t="shared" si="609"/>
        <v>0</v>
      </c>
      <c r="DI485" s="608">
        <f t="shared" si="610"/>
        <v>0</v>
      </c>
      <c r="DJ485" s="607">
        <f t="shared" si="611"/>
        <v>0</v>
      </c>
      <c r="DK485" s="608">
        <f t="shared" si="612"/>
        <v>0</v>
      </c>
      <c r="DL485" s="607">
        <f t="shared" si="613"/>
        <v>120</v>
      </c>
      <c r="DM485" s="608">
        <f t="shared" si="614"/>
        <v>122</v>
      </c>
      <c r="DN485" s="607">
        <f t="shared" si="615"/>
        <v>640732.17857142852</v>
      </c>
      <c r="DO485" s="612">
        <f t="shared" si="616"/>
        <v>813918.75</v>
      </c>
      <c r="DP485" s="607">
        <f t="shared" si="617"/>
        <v>2091582.1111111108</v>
      </c>
      <c r="DQ485" s="606">
        <f t="shared" si="618"/>
        <v>2007604.6549118389</v>
      </c>
      <c r="DR485" s="607">
        <f t="shared" si="619"/>
        <v>1171414.7080291968</v>
      </c>
      <c r="DS485" s="606">
        <f t="shared" si="620"/>
        <v>1120616.3294117646</v>
      </c>
      <c r="DT485" s="607">
        <f t="shared" si="621"/>
        <v>1295014.7368421054</v>
      </c>
      <c r="DU485" s="606">
        <f t="shared" si="622"/>
        <v>1427187.2844827585</v>
      </c>
      <c r="DV485" s="607">
        <f t="shared" si="623"/>
        <v>0</v>
      </c>
      <c r="DW485" s="608">
        <f t="shared" si="624"/>
        <v>0</v>
      </c>
      <c r="DX485" s="607">
        <f t="shared" si="625"/>
        <v>0</v>
      </c>
      <c r="DY485" s="608">
        <f t="shared" si="626"/>
        <v>0</v>
      </c>
      <c r="DZ485" s="607">
        <f t="shared" si="627"/>
        <v>5198743.7345538409</v>
      </c>
      <c r="EA485" s="608">
        <f t="shared" si="628"/>
        <v>5369327.0188063625</v>
      </c>
    </row>
    <row r="486" spans="1:131" x14ac:dyDescent="0.2">
      <c r="A486" s="482" t="s">
        <v>42</v>
      </c>
      <c r="B486" s="431" t="s">
        <v>929</v>
      </c>
      <c r="C486" s="581"/>
      <c r="D486" s="480">
        <v>221397</v>
      </c>
      <c r="E486" s="418">
        <v>9</v>
      </c>
      <c r="F486" s="598">
        <v>15</v>
      </c>
      <c r="G486" s="599">
        <v>14</v>
      </c>
      <c r="H486" s="600"/>
      <c r="I486" s="601"/>
      <c r="J486" s="600">
        <v>2</v>
      </c>
      <c r="K486" s="599"/>
      <c r="L486" s="600"/>
      <c r="M486" s="601">
        <v>4</v>
      </c>
      <c r="N486" s="600">
        <v>66</v>
      </c>
      <c r="O486" s="599">
        <v>65</v>
      </c>
      <c r="P486" s="600"/>
      <c r="Q486" s="601"/>
      <c r="R486" s="600">
        <v>6</v>
      </c>
      <c r="S486" s="599"/>
      <c r="T486" s="600"/>
      <c r="U486" s="601">
        <v>6</v>
      </c>
      <c r="V486" s="600">
        <v>26</v>
      </c>
      <c r="W486" s="599">
        <v>27</v>
      </c>
      <c r="X486" s="600"/>
      <c r="Y486" s="601"/>
      <c r="Z486" s="600">
        <v>5</v>
      </c>
      <c r="AA486" s="599"/>
      <c r="AB486" s="600"/>
      <c r="AC486" s="601">
        <v>7</v>
      </c>
      <c r="AD486" s="600">
        <v>5</v>
      </c>
      <c r="AE486" s="599">
        <v>5</v>
      </c>
      <c r="AF486" s="600"/>
      <c r="AG486" s="601"/>
      <c r="AH486" s="600">
        <v>1</v>
      </c>
      <c r="AI486" s="599"/>
      <c r="AJ486" s="600"/>
      <c r="AK486" s="601">
        <v>1</v>
      </c>
      <c r="AL486" s="600">
        <v>0</v>
      </c>
      <c r="AM486" s="599"/>
      <c r="AN486" s="600"/>
      <c r="AO486" s="601"/>
      <c r="AP486" s="600"/>
      <c r="AQ486" s="599"/>
      <c r="AR486" s="600"/>
      <c r="AS486" s="601"/>
      <c r="AT486" s="600"/>
      <c r="AU486" s="599"/>
      <c r="AV486" s="600"/>
      <c r="AW486" s="601"/>
      <c r="AX486" s="600"/>
      <c r="AY486" s="599"/>
      <c r="AZ486" s="600"/>
      <c r="BA486" s="601"/>
      <c r="BB486" s="602">
        <v>1053289</v>
      </c>
      <c r="BC486" s="624">
        <v>1176944</v>
      </c>
      <c r="BD486" s="600">
        <v>3770276</v>
      </c>
      <c r="BE486" s="624">
        <v>3714363</v>
      </c>
      <c r="BF486" s="600">
        <v>1411341</v>
      </c>
      <c r="BG486" s="628">
        <v>1623923</v>
      </c>
      <c r="BH486" s="600">
        <v>261609</v>
      </c>
      <c r="BI486" s="624">
        <v>265991</v>
      </c>
      <c r="BJ486" s="600">
        <v>0</v>
      </c>
      <c r="BK486" s="632"/>
      <c r="BL486" s="600">
        <v>0</v>
      </c>
      <c r="BM486" s="604"/>
      <c r="BN486" s="605">
        <f t="shared" si="563"/>
        <v>157</v>
      </c>
      <c r="BO486" s="606">
        <f t="shared" si="564"/>
        <v>174</v>
      </c>
      <c r="BP486" s="607">
        <f t="shared" si="565"/>
        <v>660</v>
      </c>
      <c r="BQ486" s="606">
        <f t="shared" si="566"/>
        <v>657</v>
      </c>
      <c r="BR486" s="607">
        <f t="shared" si="567"/>
        <v>289</v>
      </c>
      <c r="BS486" s="606">
        <f t="shared" si="568"/>
        <v>327</v>
      </c>
      <c r="BT486" s="607">
        <f t="shared" si="569"/>
        <v>56</v>
      </c>
      <c r="BU486" s="606">
        <f t="shared" si="570"/>
        <v>57</v>
      </c>
      <c r="BV486" s="607">
        <f t="shared" si="571"/>
        <v>0</v>
      </c>
      <c r="BW486" s="608">
        <f t="shared" si="572"/>
        <v>0</v>
      </c>
      <c r="BX486" s="607">
        <f t="shared" si="573"/>
        <v>0</v>
      </c>
      <c r="BY486" s="608">
        <f t="shared" si="574"/>
        <v>0</v>
      </c>
      <c r="BZ486" s="607">
        <f t="shared" si="575"/>
        <v>6708.8471337579622</v>
      </c>
      <c r="CA486" s="608">
        <f t="shared" si="576"/>
        <v>6764.045977011494</v>
      </c>
      <c r="CB486" s="607">
        <f t="shared" si="577"/>
        <v>5712.5393939393944</v>
      </c>
      <c r="CC486" s="608">
        <f t="shared" si="578"/>
        <v>5653.5205479452052</v>
      </c>
      <c r="CD486" s="607">
        <f t="shared" si="579"/>
        <v>4883.5328719723184</v>
      </c>
      <c r="CE486" s="608">
        <f t="shared" si="580"/>
        <v>4966.1253822629969</v>
      </c>
      <c r="CF486" s="607">
        <f t="shared" si="581"/>
        <v>4671.5892857142853</v>
      </c>
      <c r="CG486" s="608">
        <f t="shared" si="582"/>
        <v>4666.5087719298244</v>
      </c>
      <c r="CH486" s="607">
        <f t="shared" si="583"/>
        <v>0</v>
      </c>
      <c r="CI486" s="608">
        <f t="shared" si="584"/>
        <v>0</v>
      </c>
      <c r="CJ486" s="607">
        <f t="shared" si="585"/>
        <v>0</v>
      </c>
      <c r="CK486" s="608">
        <f t="shared" si="586"/>
        <v>0</v>
      </c>
      <c r="CL486" s="609">
        <f t="shared" si="587"/>
        <v>60379.624203821659</v>
      </c>
      <c r="CM486" s="608">
        <f t="shared" si="588"/>
        <v>60876.413793103449</v>
      </c>
      <c r="CN486" s="610">
        <f t="shared" si="589"/>
        <v>51412.854545454553</v>
      </c>
      <c r="CO486" s="606">
        <f t="shared" si="590"/>
        <v>50881.684931506847</v>
      </c>
      <c r="CP486" s="607">
        <f t="shared" si="591"/>
        <v>43951.795847750866</v>
      </c>
      <c r="CQ486" s="606">
        <f t="shared" si="592"/>
        <v>44695.128440366971</v>
      </c>
      <c r="CR486" s="607">
        <f t="shared" si="593"/>
        <v>42044.303571428565</v>
      </c>
      <c r="CS486" s="606">
        <f t="shared" si="594"/>
        <v>41998.57894736842</v>
      </c>
      <c r="CT486" s="607">
        <f t="shared" si="595"/>
        <v>0</v>
      </c>
      <c r="CU486" s="608">
        <f t="shared" si="596"/>
        <v>0</v>
      </c>
      <c r="CV486" s="610">
        <f t="shared" si="597"/>
        <v>0</v>
      </c>
      <c r="CW486" s="608">
        <f t="shared" si="598"/>
        <v>0</v>
      </c>
      <c r="CX486" s="610">
        <f t="shared" si="599"/>
        <v>50340.87802735353</v>
      </c>
      <c r="CY486" s="611">
        <f t="shared" si="600"/>
        <v>50232.565264104931</v>
      </c>
      <c r="CZ486" s="605">
        <f t="shared" si="601"/>
        <v>17</v>
      </c>
      <c r="DA486" s="612">
        <f t="shared" si="602"/>
        <v>18</v>
      </c>
      <c r="DB486" s="607">
        <f t="shared" si="603"/>
        <v>72</v>
      </c>
      <c r="DC486" s="606">
        <f t="shared" si="604"/>
        <v>71</v>
      </c>
      <c r="DD486" s="607">
        <f t="shared" si="605"/>
        <v>31</v>
      </c>
      <c r="DE486" s="606">
        <f t="shared" si="606"/>
        <v>34</v>
      </c>
      <c r="DF486" s="607">
        <f t="shared" si="607"/>
        <v>6</v>
      </c>
      <c r="DG486" s="606">
        <f t="shared" si="608"/>
        <v>6</v>
      </c>
      <c r="DH486" s="607">
        <f t="shared" si="609"/>
        <v>0</v>
      </c>
      <c r="DI486" s="608">
        <f t="shared" si="610"/>
        <v>0</v>
      </c>
      <c r="DJ486" s="607">
        <f t="shared" si="611"/>
        <v>0</v>
      </c>
      <c r="DK486" s="608">
        <f t="shared" si="612"/>
        <v>0</v>
      </c>
      <c r="DL486" s="607">
        <f t="shared" si="613"/>
        <v>126</v>
      </c>
      <c r="DM486" s="608">
        <f t="shared" si="614"/>
        <v>129</v>
      </c>
      <c r="DN486" s="607">
        <f t="shared" si="615"/>
        <v>1026453.6114649682</v>
      </c>
      <c r="DO486" s="612">
        <f t="shared" si="616"/>
        <v>1095775.448275862</v>
      </c>
      <c r="DP486" s="607">
        <f t="shared" si="617"/>
        <v>3701725.5272727278</v>
      </c>
      <c r="DQ486" s="606">
        <f t="shared" si="618"/>
        <v>3612599.6301369863</v>
      </c>
      <c r="DR486" s="607">
        <f t="shared" si="619"/>
        <v>1362505.6712802767</v>
      </c>
      <c r="DS486" s="606">
        <f t="shared" si="620"/>
        <v>1519634.3669724769</v>
      </c>
      <c r="DT486" s="607">
        <f t="shared" si="621"/>
        <v>252265.82142857139</v>
      </c>
      <c r="DU486" s="606">
        <f t="shared" si="622"/>
        <v>251991.4736842105</v>
      </c>
      <c r="DV486" s="607">
        <f t="shared" si="623"/>
        <v>0</v>
      </c>
      <c r="DW486" s="608">
        <f t="shared" si="624"/>
        <v>0</v>
      </c>
      <c r="DX486" s="607">
        <f t="shared" si="625"/>
        <v>0</v>
      </c>
      <c r="DY486" s="608">
        <f t="shared" si="626"/>
        <v>0</v>
      </c>
      <c r="DZ486" s="607">
        <f t="shared" si="627"/>
        <v>6342950.631446545</v>
      </c>
      <c r="EA486" s="608">
        <f t="shared" si="628"/>
        <v>6480000.919069536</v>
      </c>
    </row>
    <row r="487" spans="1:131" x14ac:dyDescent="0.2">
      <c r="A487" s="482" t="s">
        <v>42</v>
      </c>
      <c r="B487" s="431" t="s">
        <v>930</v>
      </c>
      <c r="C487" s="581"/>
      <c r="D487" s="480">
        <v>222062</v>
      </c>
      <c r="E487" s="418">
        <v>9</v>
      </c>
      <c r="F487" s="598">
        <v>14</v>
      </c>
      <c r="G487" s="599">
        <v>17</v>
      </c>
      <c r="H487" s="600"/>
      <c r="I487" s="601"/>
      <c r="J487" s="600">
        <v>6</v>
      </c>
      <c r="K487" s="599"/>
      <c r="L487" s="600"/>
      <c r="M487" s="601">
        <v>5</v>
      </c>
      <c r="N487" s="600">
        <v>67</v>
      </c>
      <c r="O487" s="599">
        <v>68</v>
      </c>
      <c r="P487" s="600"/>
      <c r="Q487" s="601"/>
      <c r="R487" s="600">
        <v>14</v>
      </c>
      <c r="S487" s="599"/>
      <c r="T487" s="600"/>
      <c r="U487" s="601">
        <v>14</v>
      </c>
      <c r="V487" s="600">
        <v>27</v>
      </c>
      <c r="W487" s="599">
        <v>26</v>
      </c>
      <c r="X487" s="600"/>
      <c r="Y487" s="601"/>
      <c r="Z487" s="600">
        <v>5</v>
      </c>
      <c r="AA487" s="599"/>
      <c r="AB487" s="600"/>
      <c r="AC487" s="601">
        <v>5</v>
      </c>
      <c r="AD487" s="600">
        <v>17</v>
      </c>
      <c r="AE487" s="599">
        <v>16</v>
      </c>
      <c r="AF487" s="600"/>
      <c r="AG487" s="601"/>
      <c r="AH487" s="600">
        <v>5</v>
      </c>
      <c r="AI487" s="599"/>
      <c r="AJ487" s="600"/>
      <c r="AK487" s="601">
        <v>5</v>
      </c>
      <c r="AL487" s="600">
        <v>0</v>
      </c>
      <c r="AM487" s="599"/>
      <c r="AN487" s="600"/>
      <c r="AO487" s="601"/>
      <c r="AP487" s="600"/>
      <c r="AQ487" s="599"/>
      <c r="AR487" s="600"/>
      <c r="AS487" s="601"/>
      <c r="AT487" s="600"/>
      <c r="AU487" s="599"/>
      <c r="AV487" s="600"/>
      <c r="AW487" s="601"/>
      <c r="AX487" s="600"/>
      <c r="AY487" s="599"/>
      <c r="AZ487" s="600"/>
      <c r="BA487" s="601"/>
      <c r="BB487" s="602">
        <v>1362757</v>
      </c>
      <c r="BC487" s="624">
        <v>1464868</v>
      </c>
      <c r="BD487" s="600">
        <v>4354490</v>
      </c>
      <c r="BE487" s="624">
        <v>4527799</v>
      </c>
      <c r="BF487" s="600">
        <v>1524383</v>
      </c>
      <c r="BG487" s="628">
        <v>1501437</v>
      </c>
      <c r="BH487" s="600">
        <v>879763</v>
      </c>
      <c r="BI487" s="624">
        <v>840745</v>
      </c>
      <c r="BJ487" s="600">
        <v>0</v>
      </c>
      <c r="BK487" s="632"/>
      <c r="BL487" s="600">
        <v>0</v>
      </c>
      <c r="BM487" s="604"/>
      <c r="BN487" s="605">
        <f t="shared" si="563"/>
        <v>192</v>
      </c>
      <c r="BO487" s="606">
        <f t="shared" si="564"/>
        <v>213</v>
      </c>
      <c r="BP487" s="607">
        <f t="shared" si="565"/>
        <v>757</v>
      </c>
      <c r="BQ487" s="606">
        <f t="shared" si="566"/>
        <v>780</v>
      </c>
      <c r="BR487" s="607">
        <f t="shared" si="567"/>
        <v>298</v>
      </c>
      <c r="BS487" s="606">
        <f t="shared" si="568"/>
        <v>294</v>
      </c>
      <c r="BT487" s="607">
        <f t="shared" si="569"/>
        <v>208</v>
      </c>
      <c r="BU487" s="606">
        <f t="shared" si="570"/>
        <v>204</v>
      </c>
      <c r="BV487" s="607">
        <f t="shared" si="571"/>
        <v>0</v>
      </c>
      <c r="BW487" s="608">
        <f t="shared" si="572"/>
        <v>0</v>
      </c>
      <c r="BX487" s="607">
        <f t="shared" si="573"/>
        <v>0</v>
      </c>
      <c r="BY487" s="608">
        <f t="shared" si="574"/>
        <v>0</v>
      </c>
      <c r="BZ487" s="607">
        <f t="shared" si="575"/>
        <v>7097.692708333333</v>
      </c>
      <c r="CA487" s="608">
        <f t="shared" si="576"/>
        <v>6877.31455399061</v>
      </c>
      <c r="CB487" s="607">
        <f t="shared" si="577"/>
        <v>5752.2985468956404</v>
      </c>
      <c r="CC487" s="608">
        <f t="shared" si="578"/>
        <v>5804.8705128205129</v>
      </c>
      <c r="CD487" s="607">
        <f t="shared" si="579"/>
        <v>5115.3791946308729</v>
      </c>
      <c r="CE487" s="608">
        <f t="shared" si="580"/>
        <v>5106.9285714285716</v>
      </c>
      <c r="CF487" s="607">
        <f t="shared" si="581"/>
        <v>4229.6298076923076</v>
      </c>
      <c r="CG487" s="608">
        <f t="shared" si="582"/>
        <v>4121.2990196078435</v>
      </c>
      <c r="CH487" s="607">
        <f t="shared" si="583"/>
        <v>0</v>
      </c>
      <c r="CI487" s="608">
        <f t="shared" si="584"/>
        <v>0</v>
      </c>
      <c r="CJ487" s="607">
        <f t="shared" si="585"/>
        <v>0</v>
      </c>
      <c r="CK487" s="608">
        <f t="shared" si="586"/>
        <v>0</v>
      </c>
      <c r="CL487" s="609">
        <f t="shared" si="587"/>
        <v>63879.234375</v>
      </c>
      <c r="CM487" s="608">
        <f t="shared" si="588"/>
        <v>61895.830985915491</v>
      </c>
      <c r="CN487" s="610">
        <f t="shared" si="589"/>
        <v>51770.686922060762</v>
      </c>
      <c r="CO487" s="606">
        <f t="shared" si="590"/>
        <v>52243.834615384614</v>
      </c>
      <c r="CP487" s="607">
        <f t="shared" si="591"/>
        <v>46038.412751677854</v>
      </c>
      <c r="CQ487" s="606">
        <f t="shared" si="592"/>
        <v>45962.357142857145</v>
      </c>
      <c r="CR487" s="607">
        <f t="shared" si="593"/>
        <v>38066.668269230766</v>
      </c>
      <c r="CS487" s="606">
        <f t="shared" si="594"/>
        <v>37091.691176470595</v>
      </c>
      <c r="CT487" s="607">
        <f t="shared" si="595"/>
        <v>0</v>
      </c>
      <c r="CU487" s="608">
        <f t="shared" si="596"/>
        <v>0</v>
      </c>
      <c r="CV487" s="610">
        <f t="shared" si="597"/>
        <v>0</v>
      </c>
      <c r="CW487" s="608">
        <f t="shared" si="598"/>
        <v>0</v>
      </c>
      <c r="CX487" s="610">
        <f t="shared" si="599"/>
        <v>50204.556375249616</v>
      </c>
      <c r="CY487" s="611">
        <f t="shared" si="600"/>
        <v>50317.059655680343</v>
      </c>
      <c r="CZ487" s="605">
        <f t="shared" si="601"/>
        <v>20</v>
      </c>
      <c r="DA487" s="612">
        <f t="shared" si="602"/>
        <v>22</v>
      </c>
      <c r="DB487" s="607">
        <f t="shared" si="603"/>
        <v>81</v>
      </c>
      <c r="DC487" s="606">
        <f t="shared" si="604"/>
        <v>82</v>
      </c>
      <c r="DD487" s="607">
        <f t="shared" si="605"/>
        <v>32</v>
      </c>
      <c r="DE487" s="606">
        <f t="shared" si="606"/>
        <v>31</v>
      </c>
      <c r="DF487" s="607">
        <f t="shared" si="607"/>
        <v>22</v>
      </c>
      <c r="DG487" s="606">
        <f t="shared" si="608"/>
        <v>21</v>
      </c>
      <c r="DH487" s="607">
        <f t="shared" si="609"/>
        <v>0</v>
      </c>
      <c r="DI487" s="608">
        <f t="shared" si="610"/>
        <v>0</v>
      </c>
      <c r="DJ487" s="607">
        <f t="shared" si="611"/>
        <v>0</v>
      </c>
      <c r="DK487" s="608">
        <f t="shared" si="612"/>
        <v>0</v>
      </c>
      <c r="DL487" s="607">
        <f t="shared" si="613"/>
        <v>155</v>
      </c>
      <c r="DM487" s="608">
        <f t="shared" si="614"/>
        <v>156</v>
      </c>
      <c r="DN487" s="607">
        <f t="shared" si="615"/>
        <v>1277584.6875</v>
      </c>
      <c r="DO487" s="612">
        <f t="shared" si="616"/>
        <v>1361708.2816901407</v>
      </c>
      <c r="DP487" s="607">
        <f t="shared" si="617"/>
        <v>4193425.6406869218</v>
      </c>
      <c r="DQ487" s="606">
        <f t="shared" si="618"/>
        <v>4283994.4384615384</v>
      </c>
      <c r="DR487" s="607">
        <f t="shared" si="619"/>
        <v>1473229.2080536913</v>
      </c>
      <c r="DS487" s="606">
        <f t="shared" si="620"/>
        <v>1424833.0714285716</v>
      </c>
      <c r="DT487" s="607">
        <f t="shared" si="621"/>
        <v>837466.70192307688</v>
      </c>
      <c r="DU487" s="606">
        <f t="shared" si="622"/>
        <v>778925.51470588252</v>
      </c>
      <c r="DV487" s="607">
        <f t="shared" si="623"/>
        <v>0</v>
      </c>
      <c r="DW487" s="608">
        <f t="shared" si="624"/>
        <v>0</v>
      </c>
      <c r="DX487" s="607">
        <f t="shared" si="625"/>
        <v>0</v>
      </c>
      <c r="DY487" s="608">
        <f t="shared" si="626"/>
        <v>0</v>
      </c>
      <c r="DZ487" s="607">
        <f t="shared" si="627"/>
        <v>7781706.2381636901</v>
      </c>
      <c r="EA487" s="608">
        <f t="shared" si="628"/>
        <v>7849461.3062861338</v>
      </c>
    </row>
    <row r="488" spans="1:131" x14ac:dyDescent="0.2">
      <c r="A488" s="482" t="s">
        <v>42</v>
      </c>
      <c r="B488" s="433" t="s">
        <v>932</v>
      </c>
      <c r="C488" s="564" t="s">
        <v>960</v>
      </c>
      <c r="D488" s="480" t="s">
        <v>933</v>
      </c>
      <c r="E488" s="416">
        <v>12</v>
      </c>
      <c r="F488" s="598"/>
      <c r="G488" s="599"/>
      <c r="H488" s="600"/>
      <c r="I488" s="601"/>
      <c r="J488" s="600"/>
      <c r="K488" s="599"/>
      <c r="L488" s="600"/>
      <c r="M488" s="601"/>
      <c r="N488" s="600"/>
      <c r="O488" s="599"/>
      <c r="P488" s="600"/>
      <c r="Q488" s="601"/>
      <c r="R488" s="600"/>
      <c r="S488" s="599"/>
      <c r="T488" s="600"/>
      <c r="U488" s="601"/>
      <c r="V488" s="600"/>
      <c r="W488" s="599"/>
      <c r="X488" s="600"/>
      <c r="Y488" s="601"/>
      <c r="Z488" s="600"/>
      <c r="AA488" s="599"/>
      <c r="AB488" s="600"/>
      <c r="AC488" s="601"/>
      <c r="AD488" s="600"/>
      <c r="AE488" s="599"/>
      <c r="AF488" s="600"/>
      <c r="AG488" s="601"/>
      <c r="AH488" s="600"/>
      <c r="AI488" s="599"/>
      <c r="AJ488" s="600"/>
      <c r="AK488" s="601"/>
      <c r="AL488" s="600"/>
      <c r="AM488" s="599"/>
      <c r="AN488" s="600"/>
      <c r="AO488" s="601"/>
      <c r="AP488" s="600"/>
      <c r="AQ488" s="599"/>
      <c r="AR488" s="600"/>
      <c r="AS488" s="601"/>
      <c r="AT488" s="600"/>
      <c r="AU488" s="599"/>
      <c r="AV488" s="600"/>
      <c r="AW488" s="601"/>
      <c r="AX488" s="600"/>
      <c r="AY488" s="599"/>
      <c r="AZ488" s="621">
        <v>37</v>
      </c>
      <c r="BA488" s="601">
        <v>39</v>
      </c>
      <c r="BB488" s="602">
        <v>0</v>
      </c>
      <c r="BC488" s="599"/>
      <c r="BD488" s="600">
        <v>0</v>
      </c>
      <c r="BE488" s="599"/>
      <c r="BF488" s="600">
        <v>0</v>
      </c>
      <c r="BG488" s="599"/>
      <c r="BH488" s="600">
        <v>0</v>
      </c>
      <c r="BI488" s="599"/>
      <c r="BJ488" s="600">
        <v>0</v>
      </c>
      <c r="BK488" s="615"/>
      <c r="BL488" s="621">
        <v>1812108</v>
      </c>
      <c r="BM488" s="604">
        <v>1987603</v>
      </c>
      <c r="BN488" s="605">
        <f t="shared" si="563"/>
        <v>0</v>
      </c>
      <c r="BO488" s="606">
        <f t="shared" si="564"/>
        <v>0</v>
      </c>
      <c r="BP488" s="607">
        <f t="shared" si="565"/>
        <v>0</v>
      </c>
      <c r="BQ488" s="606">
        <f t="shared" si="566"/>
        <v>0</v>
      </c>
      <c r="BR488" s="607">
        <f t="shared" si="567"/>
        <v>0</v>
      </c>
      <c r="BS488" s="606">
        <f t="shared" si="568"/>
        <v>0</v>
      </c>
      <c r="BT488" s="607">
        <f t="shared" si="569"/>
        <v>0</v>
      </c>
      <c r="BU488" s="606">
        <f t="shared" si="570"/>
        <v>0</v>
      </c>
      <c r="BV488" s="607">
        <f t="shared" si="571"/>
        <v>0</v>
      </c>
      <c r="BW488" s="608">
        <f t="shared" si="572"/>
        <v>0</v>
      </c>
      <c r="BX488" s="607">
        <f t="shared" si="573"/>
        <v>444</v>
      </c>
      <c r="BY488" s="608">
        <f t="shared" si="574"/>
        <v>468</v>
      </c>
      <c r="BZ488" s="607">
        <f t="shared" si="575"/>
        <v>0</v>
      </c>
      <c r="CA488" s="608">
        <f t="shared" si="576"/>
        <v>0</v>
      </c>
      <c r="CB488" s="607">
        <f t="shared" si="577"/>
        <v>0</v>
      </c>
      <c r="CC488" s="608">
        <f t="shared" si="578"/>
        <v>0</v>
      </c>
      <c r="CD488" s="607">
        <f t="shared" si="579"/>
        <v>0</v>
      </c>
      <c r="CE488" s="608">
        <f t="shared" si="580"/>
        <v>0</v>
      </c>
      <c r="CF488" s="607">
        <f t="shared" si="581"/>
        <v>0</v>
      </c>
      <c r="CG488" s="608">
        <f t="shared" si="582"/>
        <v>0</v>
      </c>
      <c r="CH488" s="607">
        <f t="shared" si="583"/>
        <v>0</v>
      </c>
      <c r="CI488" s="608">
        <f t="shared" si="584"/>
        <v>0</v>
      </c>
      <c r="CJ488" s="607">
        <f t="shared" si="585"/>
        <v>4081.3243243243242</v>
      </c>
      <c r="CK488" s="608">
        <f t="shared" si="586"/>
        <v>4247.014957264957</v>
      </c>
      <c r="CL488" s="609">
        <f t="shared" si="587"/>
        <v>0</v>
      </c>
      <c r="CM488" s="608">
        <f t="shared" si="588"/>
        <v>0</v>
      </c>
      <c r="CN488" s="610">
        <f t="shared" si="589"/>
        <v>0</v>
      </c>
      <c r="CO488" s="606">
        <f t="shared" si="590"/>
        <v>0</v>
      </c>
      <c r="CP488" s="607">
        <f t="shared" si="591"/>
        <v>0</v>
      </c>
      <c r="CQ488" s="606">
        <f t="shared" si="592"/>
        <v>0</v>
      </c>
      <c r="CR488" s="607">
        <f t="shared" si="593"/>
        <v>0</v>
      </c>
      <c r="CS488" s="606">
        <f t="shared" si="594"/>
        <v>0</v>
      </c>
      <c r="CT488" s="607">
        <f t="shared" si="595"/>
        <v>0</v>
      </c>
      <c r="CU488" s="608">
        <f t="shared" si="596"/>
        <v>0</v>
      </c>
      <c r="CV488" s="610">
        <f t="shared" si="597"/>
        <v>36731.91891891892</v>
      </c>
      <c r="CW488" s="608">
        <f t="shared" si="598"/>
        <v>38223.13461538461</v>
      </c>
      <c r="CX488" s="610">
        <f t="shared" si="599"/>
        <v>36731.91891891892</v>
      </c>
      <c r="CY488" s="611">
        <f t="shared" si="600"/>
        <v>38223.13461538461</v>
      </c>
      <c r="CZ488" s="605">
        <f t="shared" si="601"/>
        <v>0</v>
      </c>
      <c r="DA488" s="612">
        <f t="shared" si="602"/>
        <v>0</v>
      </c>
      <c r="DB488" s="607">
        <f t="shared" si="603"/>
        <v>0</v>
      </c>
      <c r="DC488" s="606">
        <f t="shared" si="604"/>
        <v>0</v>
      </c>
      <c r="DD488" s="607">
        <f t="shared" si="605"/>
        <v>0</v>
      </c>
      <c r="DE488" s="606">
        <f t="shared" si="606"/>
        <v>0</v>
      </c>
      <c r="DF488" s="607">
        <f t="shared" si="607"/>
        <v>0</v>
      </c>
      <c r="DG488" s="606">
        <f t="shared" si="608"/>
        <v>0</v>
      </c>
      <c r="DH488" s="607">
        <f t="shared" si="609"/>
        <v>0</v>
      </c>
      <c r="DI488" s="608">
        <f t="shared" si="610"/>
        <v>0</v>
      </c>
      <c r="DJ488" s="607">
        <f t="shared" si="611"/>
        <v>37</v>
      </c>
      <c r="DK488" s="608">
        <f t="shared" si="612"/>
        <v>39</v>
      </c>
      <c r="DL488" s="607">
        <f t="shared" si="613"/>
        <v>37</v>
      </c>
      <c r="DM488" s="608">
        <f t="shared" si="614"/>
        <v>39</v>
      </c>
      <c r="DN488" s="607">
        <f t="shared" si="615"/>
        <v>0</v>
      </c>
      <c r="DO488" s="612">
        <f t="shared" si="616"/>
        <v>0</v>
      </c>
      <c r="DP488" s="607">
        <f t="shared" si="617"/>
        <v>0</v>
      </c>
      <c r="DQ488" s="606">
        <f t="shared" si="618"/>
        <v>0</v>
      </c>
      <c r="DR488" s="607">
        <f t="shared" si="619"/>
        <v>0</v>
      </c>
      <c r="DS488" s="606">
        <f t="shared" si="620"/>
        <v>0</v>
      </c>
      <c r="DT488" s="607">
        <f t="shared" si="621"/>
        <v>0</v>
      </c>
      <c r="DU488" s="606">
        <f t="shared" si="622"/>
        <v>0</v>
      </c>
      <c r="DV488" s="607">
        <f t="shared" si="623"/>
        <v>0</v>
      </c>
      <c r="DW488" s="608">
        <f t="shared" si="624"/>
        <v>0</v>
      </c>
      <c r="DX488" s="607">
        <f t="shared" si="625"/>
        <v>1359081</v>
      </c>
      <c r="DY488" s="608">
        <f t="shared" si="626"/>
        <v>1490702.2499999998</v>
      </c>
      <c r="DZ488" s="607">
        <f t="shared" si="627"/>
        <v>1359081</v>
      </c>
      <c r="EA488" s="608">
        <f t="shared" si="628"/>
        <v>1490702.2499999998</v>
      </c>
    </row>
    <row r="489" spans="1:131" x14ac:dyDescent="0.2">
      <c r="A489" s="482" t="s">
        <v>42</v>
      </c>
      <c r="B489" s="431" t="s">
        <v>931</v>
      </c>
      <c r="C489" s="581"/>
      <c r="D489" s="480">
        <v>219596</v>
      </c>
      <c r="E489" s="418">
        <v>13</v>
      </c>
      <c r="F489" s="598"/>
      <c r="G489" s="599"/>
      <c r="H489" s="600"/>
      <c r="I489" s="601"/>
      <c r="J489" s="600"/>
      <c r="K489" s="599"/>
      <c r="L489" s="600"/>
      <c r="M489" s="601"/>
      <c r="N489" s="600"/>
      <c r="O489" s="599"/>
      <c r="P489" s="600"/>
      <c r="Q489" s="601"/>
      <c r="R489" s="600"/>
      <c r="S489" s="599"/>
      <c r="T489" s="600"/>
      <c r="U489" s="601"/>
      <c r="V489" s="600"/>
      <c r="W489" s="599"/>
      <c r="X489" s="600"/>
      <c r="Y489" s="601"/>
      <c r="Z489" s="600"/>
      <c r="AA489" s="599"/>
      <c r="AB489" s="600"/>
      <c r="AC489" s="601"/>
      <c r="AD489" s="600"/>
      <c r="AE489" s="599"/>
      <c r="AF489" s="600"/>
      <c r="AG489" s="601"/>
      <c r="AH489" s="600"/>
      <c r="AI489" s="599"/>
      <c r="AJ489" s="600"/>
      <c r="AK489" s="601"/>
      <c r="AL489" s="600"/>
      <c r="AM489" s="599"/>
      <c r="AN489" s="600"/>
      <c r="AO489" s="601"/>
      <c r="AP489" s="600"/>
      <c r="AQ489" s="599"/>
      <c r="AR489" s="600"/>
      <c r="AS489" s="601"/>
      <c r="AT489" s="600"/>
      <c r="AU489" s="599"/>
      <c r="AV489" s="600"/>
      <c r="AW489" s="601"/>
      <c r="AX489" s="600"/>
      <c r="AY489" s="599"/>
      <c r="AZ489" s="621">
        <v>12</v>
      </c>
      <c r="BA489" s="601">
        <v>11</v>
      </c>
      <c r="BB489" s="602">
        <v>0</v>
      </c>
      <c r="BC489" s="599"/>
      <c r="BD489" s="600">
        <v>0</v>
      </c>
      <c r="BE489" s="599"/>
      <c r="BF489" s="600">
        <v>0</v>
      </c>
      <c r="BG489" s="599"/>
      <c r="BH489" s="600">
        <v>0</v>
      </c>
      <c r="BI489" s="599"/>
      <c r="BJ489" s="600">
        <v>0</v>
      </c>
      <c r="BK489" s="615"/>
      <c r="BL489" s="621">
        <v>532055</v>
      </c>
      <c r="BM489" s="604">
        <v>531796</v>
      </c>
      <c r="BN489" s="605">
        <f t="shared" si="563"/>
        <v>0</v>
      </c>
      <c r="BO489" s="606">
        <f t="shared" si="564"/>
        <v>0</v>
      </c>
      <c r="BP489" s="607">
        <f t="shared" si="565"/>
        <v>0</v>
      </c>
      <c r="BQ489" s="606">
        <f t="shared" si="566"/>
        <v>0</v>
      </c>
      <c r="BR489" s="607">
        <f t="shared" si="567"/>
        <v>0</v>
      </c>
      <c r="BS489" s="606">
        <f t="shared" si="568"/>
        <v>0</v>
      </c>
      <c r="BT489" s="607">
        <f t="shared" si="569"/>
        <v>0</v>
      </c>
      <c r="BU489" s="606">
        <f t="shared" si="570"/>
        <v>0</v>
      </c>
      <c r="BV489" s="607">
        <f t="shared" si="571"/>
        <v>0</v>
      </c>
      <c r="BW489" s="608">
        <f t="shared" si="572"/>
        <v>0</v>
      </c>
      <c r="BX489" s="607">
        <f t="shared" si="573"/>
        <v>144</v>
      </c>
      <c r="BY489" s="608">
        <f t="shared" si="574"/>
        <v>132</v>
      </c>
      <c r="BZ489" s="607">
        <f t="shared" si="575"/>
        <v>0</v>
      </c>
      <c r="CA489" s="608">
        <f t="shared" si="576"/>
        <v>0</v>
      </c>
      <c r="CB489" s="607">
        <f t="shared" si="577"/>
        <v>0</v>
      </c>
      <c r="CC489" s="608">
        <f t="shared" si="578"/>
        <v>0</v>
      </c>
      <c r="CD489" s="607">
        <f t="shared" si="579"/>
        <v>0</v>
      </c>
      <c r="CE489" s="608">
        <f t="shared" si="580"/>
        <v>0</v>
      </c>
      <c r="CF489" s="607">
        <f t="shared" si="581"/>
        <v>0</v>
      </c>
      <c r="CG489" s="608">
        <f t="shared" si="582"/>
        <v>0</v>
      </c>
      <c r="CH489" s="607">
        <f t="shared" si="583"/>
        <v>0</v>
      </c>
      <c r="CI489" s="608">
        <f t="shared" si="584"/>
        <v>0</v>
      </c>
      <c r="CJ489" s="607">
        <f t="shared" si="585"/>
        <v>3694.8263888888887</v>
      </c>
      <c r="CK489" s="608">
        <f t="shared" si="586"/>
        <v>4028.757575757576</v>
      </c>
      <c r="CL489" s="609">
        <f t="shared" si="587"/>
        <v>0</v>
      </c>
      <c r="CM489" s="608">
        <f t="shared" si="588"/>
        <v>0</v>
      </c>
      <c r="CN489" s="610">
        <f t="shared" si="589"/>
        <v>0</v>
      </c>
      <c r="CO489" s="606">
        <f t="shared" si="590"/>
        <v>0</v>
      </c>
      <c r="CP489" s="607">
        <f t="shared" si="591"/>
        <v>0</v>
      </c>
      <c r="CQ489" s="606">
        <f t="shared" si="592"/>
        <v>0</v>
      </c>
      <c r="CR489" s="607">
        <f t="shared" si="593"/>
        <v>0</v>
      </c>
      <c r="CS489" s="606">
        <f t="shared" si="594"/>
        <v>0</v>
      </c>
      <c r="CT489" s="607">
        <f t="shared" si="595"/>
        <v>0</v>
      </c>
      <c r="CU489" s="608">
        <f t="shared" si="596"/>
        <v>0</v>
      </c>
      <c r="CV489" s="610">
        <f t="shared" si="597"/>
        <v>33253.4375</v>
      </c>
      <c r="CW489" s="608">
        <f t="shared" si="598"/>
        <v>36258.818181818184</v>
      </c>
      <c r="CX489" s="610">
        <f t="shared" si="599"/>
        <v>33253.4375</v>
      </c>
      <c r="CY489" s="611">
        <f t="shared" si="600"/>
        <v>36258.818181818184</v>
      </c>
      <c r="CZ489" s="605">
        <f t="shared" si="601"/>
        <v>0</v>
      </c>
      <c r="DA489" s="612">
        <f t="shared" si="602"/>
        <v>0</v>
      </c>
      <c r="DB489" s="607">
        <f t="shared" si="603"/>
        <v>0</v>
      </c>
      <c r="DC489" s="606">
        <f t="shared" si="604"/>
        <v>0</v>
      </c>
      <c r="DD489" s="607">
        <f t="shared" si="605"/>
        <v>0</v>
      </c>
      <c r="DE489" s="606">
        <f t="shared" si="606"/>
        <v>0</v>
      </c>
      <c r="DF489" s="607">
        <f t="shared" si="607"/>
        <v>0</v>
      </c>
      <c r="DG489" s="606">
        <f t="shared" si="608"/>
        <v>0</v>
      </c>
      <c r="DH489" s="607">
        <f t="shared" si="609"/>
        <v>0</v>
      </c>
      <c r="DI489" s="608">
        <f t="shared" si="610"/>
        <v>0</v>
      </c>
      <c r="DJ489" s="607">
        <f t="shared" si="611"/>
        <v>12</v>
      </c>
      <c r="DK489" s="608">
        <f t="shared" si="612"/>
        <v>11</v>
      </c>
      <c r="DL489" s="607">
        <f t="shared" si="613"/>
        <v>12</v>
      </c>
      <c r="DM489" s="608">
        <f t="shared" si="614"/>
        <v>11</v>
      </c>
      <c r="DN489" s="607">
        <f t="shared" si="615"/>
        <v>0</v>
      </c>
      <c r="DO489" s="612">
        <f t="shared" si="616"/>
        <v>0</v>
      </c>
      <c r="DP489" s="607">
        <f t="shared" si="617"/>
        <v>0</v>
      </c>
      <c r="DQ489" s="606">
        <f t="shared" si="618"/>
        <v>0</v>
      </c>
      <c r="DR489" s="607">
        <f t="shared" si="619"/>
        <v>0</v>
      </c>
      <c r="DS489" s="606">
        <f t="shared" si="620"/>
        <v>0</v>
      </c>
      <c r="DT489" s="607">
        <f t="shared" si="621"/>
        <v>0</v>
      </c>
      <c r="DU489" s="606">
        <f t="shared" si="622"/>
        <v>0</v>
      </c>
      <c r="DV489" s="607">
        <f t="shared" si="623"/>
        <v>0</v>
      </c>
      <c r="DW489" s="608">
        <f t="shared" si="624"/>
        <v>0</v>
      </c>
      <c r="DX489" s="607">
        <f t="shared" si="625"/>
        <v>399041.25</v>
      </c>
      <c r="DY489" s="608">
        <f t="shared" si="626"/>
        <v>398847</v>
      </c>
      <c r="DZ489" s="607">
        <f t="shared" si="627"/>
        <v>399041.25</v>
      </c>
      <c r="EA489" s="608">
        <f t="shared" si="628"/>
        <v>398847</v>
      </c>
    </row>
    <row r="490" spans="1:131" x14ac:dyDescent="0.2">
      <c r="A490" s="482" t="s">
        <v>42</v>
      </c>
      <c r="B490" s="431" t="s">
        <v>934</v>
      </c>
      <c r="C490" s="581"/>
      <c r="D490" s="480">
        <v>219921</v>
      </c>
      <c r="E490" s="418">
        <v>13</v>
      </c>
      <c r="F490" s="598"/>
      <c r="G490" s="599"/>
      <c r="H490" s="600"/>
      <c r="I490" s="601"/>
      <c r="J490" s="600"/>
      <c r="K490" s="599"/>
      <c r="L490" s="600"/>
      <c r="M490" s="601"/>
      <c r="N490" s="600"/>
      <c r="O490" s="599"/>
      <c r="P490" s="600"/>
      <c r="Q490" s="601"/>
      <c r="R490" s="600"/>
      <c r="S490" s="599"/>
      <c r="T490" s="600"/>
      <c r="U490" s="601"/>
      <c r="V490" s="600"/>
      <c r="W490" s="599"/>
      <c r="X490" s="600"/>
      <c r="Y490" s="601"/>
      <c r="Z490" s="600"/>
      <c r="AA490" s="599"/>
      <c r="AB490" s="600"/>
      <c r="AC490" s="601"/>
      <c r="AD490" s="600"/>
      <c r="AE490" s="599"/>
      <c r="AF490" s="600"/>
      <c r="AG490" s="601"/>
      <c r="AH490" s="600"/>
      <c r="AI490" s="599"/>
      <c r="AJ490" s="600"/>
      <c r="AK490" s="601"/>
      <c r="AL490" s="600"/>
      <c r="AM490" s="599"/>
      <c r="AN490" s="600"/>
      <c r="AO490" s="601"/>
      <c r="AP490" s="600"/>
      <c r="AQ490" s="599"/>
      <c r="AR490" s="600"/>
      <c r="AS490" s="601"/>
      <c r="AT490" s="600"/>
      <c r="AU490" s="599"/>
      <c r="AV490" s="600"/>
      <c r="AW490" s="601"/>
      <c r="AX490" s="600"/>
      <c r="AY490" s="599"/>
      <c r="AZ490" s="621">
        <v>10</v>
      </c>
      <c r="BA490" s="601">
        <v>10</v>
      </c>
      <c r="BB490" s="602">
        <v>0</v>
      </c>
      <c r="BC490" s="599"/>
      <c r="BD490" s="600">
        <v>0</v>
      </c>
      <c r="BE490" s="599"/>
      <c r="BF490" s="600">
        <v>0</v>
      </c>
      <c r="BG490" s="599"/>
      <c r="BH490" s="600">
        <v>0</v>
      </c>
      <c r="BI490" s="599"/>
      <c r="BJ490" s="600">
        <v>0</v>
      </c>
      <c r="BK490" s="615"/>
      <c r="BL490" s="621">
        <v>429313</v>
      </c>
      <c r="BM490" s="604">
        <v>468822.31</v>
      </c>
      <c r="BN490" s="605">
        <f t="shared" si="563"/>
        <v>0</v>
      </c>
      <c r="BO490" s="606">
        <f t="shared" si="564"/>
        <v>0</v>
      </c>
      <c r="BP490" s="607">
        <f t="shared" si="565"/>
        <v>0</v>
      </c>
      <c r="BQ490" s="606">
        <f t="shared" si="566"/>
        <v>0</v>
      </c>
      <c r="BR490" s="607">
        <f t="shared" si="567"/>
        <v>0</v>
      </c>
      <c r="BS490" s="606">
        <f t="shared" si="568"/>
        <v>0</v>
      </c>
      <c r="BT490" s="607">
        <f t="shared" si="569"/>
        <v>0</v>
      </c>
      <c r="BU490" s="606">
        <f t="shared" si="570"/>
        <v>0</v>
      </c>
      <c r="BV490" s="607">
        <f t="shared" si="571"/>
        <v>0</v>
      </c>
      <c r="BW490" s="608">
        <f t="shared" si="572"/>
        <v>0</v>
      </c>
      <c r="BX490" s="607">
        <f t="shared" si="573"/>
        <v>120</v>
      </c>
      <c r="BY490" s="608">
        <f t="shared" si="574"/>
        <v>120</v>
      </c>
      <c r="BZ490" s="607">
        <f t="shared" si="575"/>
        <v>0</v>
      </c>
      <c r="CA490" s="608">
        <f t="shared" si="576"/>
        <v>0</v>
      </c>
      <c r="CB490" s="607">
        <f t="shared" si="577"/>
        <v>0</v>
      </c>
      <c r="CC490" s="608">
        <f t="shared" si="578"/>
        <v>0</v>
      </c>
      <c r="CD490" s="607">
        <f t="shared" si="579"/>
        <v>0</v>
      </c>
      <c r="CE490" s="608">
        <f t="shared" si="580"/>
        <v>0</v>
      </c>
      <c r="CF490" s="607">
        <f t="shared" si="581"/>
        <v>0</v>
      </c>
      <c r="CG490" s="608">
        <f t="shared" si="582"/>
        <v>0</v>
      </c>
      <c r="CH490" s="607">
        <f t="shared" si="583"/>
        <v>0</v>
      </c>
      <c r="CI490" s="608">
        <f t="shared" si="584"/>
        <v>0</v>
      </c>
      <c r="CJ490" s="607">
        <f t="shared" si="585"/>
        <v>3577.6083333333331</v>
      </c>
      <c r="CK490" s="608">
        <f t="shared" si="586"/>
        <v>3906.8525833333333</v>
      </c>
      <c r="CL490" s="609">
        <f t="shared" si="587"/>
        <v>0</v>
      </c>
      <c r="CM490" s="608">
        <f t="shared" si="588"/>
        <v>0</v>
      </c>
      <c r="CN490" s="610">
        <f t="shared" si="589"/>
        <v>0</v>
      </c>
      <c r="CO490" s="606">
        <f t="shared" si="590"/>
        <v>0</v>
      </c>
      <c r="CP490" s="607">
        <f t="shared" si="591"/>
        <v>0</v>
      </c>
      <c r="CQ490" s="606">
        <f t="shared" si="592"/>
        <v>0</v>
      </c>
      <c r="CR490" s="607">
        <f t="shared" si="593"/>
        <v>0</v>
      </c>
      <c r="CS490" s="606">
        <f t="shared" si="594"/>
        <v>0</v>
      </c>
      <c r="CT490" s="607">
        <f t="shared" si="595"/>
        <v>0</v>
      </c>
      <c r="CU490" s="608">
        <f t="shared" si="596"/>
        <v>0</v>
      </c>
      <c r="CV490" s="610">
        <f t="shared" si="597"/>
        <v>32198.474999999999</v>
      </c>
      <c r="CW490" s="608">
        <f t="shared" si="598"/>
        <v>35161.67325</v>
      </c>
      <c r="CX490" s="610">
        <f t="shared" si="599"/>
        <v>32198.474999999999</v>
      </c>
      <c r="CY490" s="611">
        <f t="shared" si="600"/>
        <v>35161.67325</v>
      </c>
      <c r="CZ490" s="605">
        <f t="shared" si="601"/>
        <v>0</v>
      </c>
      <c r="DA490" s="612">
        <f t="shared" si="602"/>
        <v>0</v>
      </c>
      <c r="DB490" s="607">
        <f t="shared" si="603"/>
        <v>0</v>
      </c>
      <c r="DC490" s="606">
        <f t="shared" si="604"/>
        <v>0</v>
      </c>
      <c r="DD490" s="607">
        <f t="shared" si="605"/>
        <v>0</v>
      </c>
      <c r="DE490" s="606">
        <f t="shared" si="606"/>
        <v>0</v>
      </c>
      <c r="DF490" s="607">
        <f t="shared" si="607"/>
        <v>0</v>
      </c>
      <c r="DG490" s="606">
        <f t="shared" si="608"/>
        <v>0</v>
      </c>
      <c r="DH490" s="607">
        <f t="shared" si="609"/>
        <v>0</v>
      </c>
      <c r="DI490" s="608">
        <f t="shared" si="610"/>
        <v>0</v>
      </c>
      <c r="DJ490" s="607">
        <f t="shared" si="611"/>
        <v>10</v>
      </c>
      <c r="DK490" s="608">
        <f t="shared" si="612"/>
        <v>10</v>
      </c>
      <c r="DL490" s="607">
        <f t="shared" si="613"/>
        <v>10</v>
      </c>
      <c r="DM490" s="608">
        <f t="shared" si="614"/>
        <v>10</v>
      </c>
      <c r="DN490" s="607">
        <f t="shared" si="615"/>
        <v>0</v>
      </c>
      <c r="DO490" s="612">
        <f t="shared" si="616"/>
        <v>0</v>
      </c>
      <c r="DP490" s="607">
        <f t="shared" si="617"/>
        <v>0</v>
      </c>
      <c r="DQ490" s="606">
        <f t="shared" si="618"/>
        <v>0</v>
      </c>
      <c r="DR490" s="607">
        <f t="shared" si="619"/>
        <v>0</v>
      </c>
      <c r="DS490" s="606">
        <f t="shared" si="620"/>
        <v>0</v>
      </c>
      <c r="DT490" s="607">
        <f t="shared" si="621"/>
        <v>0</v>
      </c>
      <c r="DU490" s="606">
        <f t="shared" si="622"/>
        <v>0</v>
      </c>
      <c r="DV490" s="607">
        <f t="shared" si="623"/>
        <v>0</v>
      </c>
      <c r="DW490" s="608">
        <f t="shared" si="624"/>
        <v>0</v>
      </c>
      <c r="DX490" s="607">
        <f t="shared" si="625"/>
        <v>321984.75</v>
      </c>
      <c r="DY490" s="608">
        <f t="shared" si="626"/>
        <v>351616.73249999998</v>
      </c>
      <c r="DZ490" s="607">
        <f t="shared" si="627"/>
        <v>321984.75</v>
      </c>
      <c r="EA490" s="608">
        <f t="shared" si="628"/>
        <v>351616.73249999998</v>
      </c>
    </row>
    <row r="491" spans="1:131" x14ac:dyDescent="0.2">
      <c r="A491" s="482" t="s">
        <v>42</v>
      </c>
      <c r="B491" s="431" t="s">
        <v>935</v>
      </c>
      <c r="C491" s="581"/>
      <c r="D491" s="480">
        <v>221591</v>
      </c>
      <c r="E491" s="418">
        <v>13</v>
      </c>
      <c r="F491" s="598"/>
      <c r="G491" s="599"/>
      <c r="H491" s="600"/>
      <c r="I491" s="601"/>
      <c r="J491" s="600"/>
      <c r="K491" s="599"/>
      <c r="L491" s="600"/>
      <c r="M491" s="601"/>
      <c r="N491" s="600"/>
      <c r="O491" s="599"/>
      <c r="P491" s="600"/>
      <c r="Q491" s="601"/>
      <c r="R491" s="600"/>
      <c r="S491" s="599"/>
      <c r="T491" s="600"/>
      <c r="U491" s="601"/>
      <c r="V491" s="600"/>
      <c r="W491" s="599"/>
      <c r="X491" s="600"/>
      <c r="Y491" s="601"/>
      <c r="Z491" s="600"/>
      <c r="AA491" s="599"/>
      <c r="AB491" s="600"/>
      <c r="AC491" s="601"/>
      <c r="AD491" s="600"/>
      <c r="AE491" s="599"/>
      <c r="AF491" s="600"/>
      <c r="AG491" s="601"/>
      <c r="AH491" s="600"/>
      <c r="AI491" s="599"/>
      <c r="AJ491" s="600"/>
      <c r="AK491" s="601"/>
      <c r="AL491" s="600"/>
      <c r="AM491" s="599"/>
      <c r="AN491" s="600"/>
      <c r="AO491" s="601"/>
      <c r="AP491" s="600"/>
      <c r="AQ491" s="599"/>
      <c r="AR491" s="600"/>
      <c r="AS491" s="601"/>
      <c r="AT491" s="600"/>
      <c r="AU491" s="599"/>
      <c r="AV491" s="600"/>
      <c r="AW491" s="601"/>
      <c r="AX491" s="600"/>
      <c r="AY491" s="599"/>
      <c r="AZ491" s="621">
        <v>17</v>
      </c>
      <c r="BA491" s="601">
        <v>16</v>
      </c>
      <c r="BB491" s="602">
        <v>0</v>
      </c>
      <c r="BC491" s="599"/>
      <c r="BD491" s="600">
        <v>0</v>
      </c>
      <c r="BE491" s="599"/>
      <c r="BF491" s="600">
        <v>0</v>
      </c>
      <c r="BG491" s="599"/>
      <c r="BH491" s="600">
        <v>0</v>
      </c>
      <c r="BI491" s="599"/>
      <c r="BJ491" s="600">
        <v>0</v>
      </c>
      <c r="BK491" s="615"/>
      <c r="BL491" s="621">
        <v>778908</v>
      </c>
      <c r="BM491" s="604">
        <v>737274</v>
      </c>
      <c r="BN491" s="605">
        <f t="shared" si="563"/>
        <v>0</v>
      </c>
      <c r="BO491" s="606">
        <f t="shared" si="564"/>
        <v>0</v>
      </c>
      <c r="BP491" s="607">
        <f t="shared" si="565"/>
        <v>0</v>
      </c>
      <c r="BQ491" s="606">
        <f t="shared" si="566"/>
        <v>0</v>
      </c>
      <c r="BR491" s="607">
        <f t="shared" si="567"/>
        <v>0</v>
      </c>
      <c r="BS491" s="606">
        <f t="shared" si="568"/>
        <v>0</v>
      </c>
      <c r="BT491" s="607">
        <f t="shared" si="569"/>
        <v>0</v>
      </c>
      <c r="BU491" s="606">
        <f t="shared" si="570"/>
        <v>0</v>
      </c>
      <c r="BV491" s="607">
        <f t="shared" si="571"/>
        <v>0</v>
      </c>
      <c r="BW491" s="608">
        <f t="shared" si="572"/>
        <v>0</v>
      </c>
      <c r="BX491" s="607">
        <f t="shared" si="573"/>
        <v>204</v>
      </c>
      <c r="BY491" s="608">
        <f t="shared" si="574"/>
        <v>192</v>
      </c>
      <c r="BZ491" s="607">
        <f t="shared" si="575"/>
        <v>0</v>
      </c>
      <c r="CA491" s="608">
        <f t="shared" si="576"/>
        <v>0</v>
      </c>
      <c r="CB491" s="607">
        <f t="shared" si="577"/>
        <v>0</v>
      </c>
      <c r="CC491" s="608">
        <f t="shared" si="578"/>
        <v>0</v>
      </c>
      <c r="CD491" s="607">
        <f t="shared" si="579"/>
        <v>0</v>
      </c>
      <c r="CE491" s="608">
        <f t="shared" si="580"/>
        <v>0</v>
      </c>
      <c r="CF491" s="607">
        <f t="shared" si="581"/>
        <v>0</v>
      </c>
      <c r="CG491" s="608">
        <f t="shared" si="582"/>
        <v>0</v>
      </c>
      <c r="CH491" s="607">
        <f t="shared" si="583"/>
        <v>0</v>
      </c>
      <c r="CI491" s="608">
        <f t="shared" si="584"/>
        <v>0</v>
      </c>
      <c r="CJ491" s="607">
        <f t="shared" si="585"/>
        <v>3818.1764705882351</v>
      </c>
      <c r="CK491" s="608">
        <f t="shared" si="586"/>
        <v>3839.96875</v>
      </c>
      <c r="CL491" s="609">
        <f t="shared" si="587"/>
        <v>0</v>
      </c>
      <c r="CM491" s="608">
        <f t="shared" si="588"/>
        <v>0</v>
      </c>
      <c r="CN491" s="610">
        <f t="shared" si="589"/>
        <v>0</v>
      </c>
      <c r="CO491" s="606">
        <f t="shared" si="590"/>
        <v>0</v>
      </c>
      <c r="CP491" s="607">
        <f t="shared" si="591"/>
        <v>0</v>
      </c>
      <c r="CQ491" s="606">
        <f t="shared" si="592"/>
        <v>0</v>
      </c>
      <c r="CR491" s="607">
        <f t="shared" si="593"/>
        <v>0</v>
      </c>
      <c r="CS491" s="606">
        <f t="shared" si="594"/>
        <v>0</v>
      </c>
      <c r="CT491" s="607">
        <f t="shared" si="595"/>
        <v>0</v>
      </c>
      <c r="CU491" s="608">
        <f t="shared" si="596"/>
        <v>0</v>
      </c>
      <c r="CV491" s="610">
        <f t="shared" si="597"/>
        <v>34363.588235294119</v>
      </c>
      <c r="CW491" s="608">
        <f t="shared" si="598"/>
        <v>34559.71875</v>
      </c>
      <c r="CX491" s="610">
        <f t="shared" si="599"/>
        <v>34363.588235294119</v>
      </c>
      <c r="CY491" s="611">
        <f t="shared" si="600"/>
        <v>34559.71875</v>
      </c>
      <c r="CZ491" s="605">
        <f t="shared" si="601"/>
        <v>0</v>
      </c>
      <c r="DA491" s="612">
        <f t="shared" si="602"/>
        <v>0</v>
      </c>
      <c r="DB491" s="607">
        <f t="shared" si="603"/>
        <v>0</v>
      </c>
      <c r="DC491" s="606">
        <f t="shared" si="604"/>
        <v>0</v>
      </c>
      <c r="DD491" s="607">
        <f t="shared" si="605"/>
        <v>0</v>
      </c>
      <c r="DE491" s="606">
        <f t="shared" si="606"/>
        <v>0</v>
      </c>
      <c r="DF491" s="607">
        <f t="shared" si="607"/>
        <v>0</v>
      </c>
      <c r="DG491" s="606">
        <f t="shared" si="608"/>
        <v>0</v>
      </c>
      <c r="DH491" s="607">
        <f t="shared" si="609"/>
        <v>0</v>
      </c>
      <c r="DI491" s="608">
        <f t="shared" si="610"/>
        <v>0</v>
      </c>
      <c r="DJ491" s="607">
        <f t="shared" si="611"/>
        <v>17</v>
      </c>
      <c r="DK491" s="608">
        <f t="shared" si="612"/>
        <v>16</v>
      </c>
      <c r="DL491" s="607">
        <f t="shared" si="613"/>
        <v>17</v>
      </c>
      <c r="DM491" s="608">
        <f t="shared" si="614"/>
        <v>16</v>
      </c>
      <c r="DN491" s="607">
        <f t="shared" si="615"/>
        <v>0</v>
      </c>
      <c r="DO491" s="612">
        <f t="shared" si="616"/>
        <v>0</v>
      </c>
      <c r="DP491" s="607">
        <f t="shared" si="617"/>
        <v>0</v>
      </c>
      <c r="DQ491" s="606">
        <f t="shared" si="618"/>
        <v>0</v>
      </c>
      <c r="DR491" s="607">
        <f t="shared" si="619"/>
        <v>0</v>
      </c>
      <c r="DS491" s="606">
        <f t="shared" si="620"/>
        <v>0</v>
      </c>
      <c r="DT491" s="607">
        <f t="shared" si="621"/>
        <v>0</v>
      </c>
      <c r="DU491" s="606">
        <f t="shared" si="622"/>
        <v>0</v>
      </c>
      <c r="DV491" s="607">
        <f t="shared" si="623"/>
        <v>0</v>
      </c>
      <c r="DW491" s="608">
        <f t="shared" si="624"/>
        <v>0</v>
      </c>
      <c r="DX491" s="607">
        <f t="shared" si="625"/>
        <v>584181</v>
      </c>
      <c r="DY491" s="608">
        <f t="shared" si="626"/>
        <v>552955.5</v>
      </c>
      <c r="DZ491" s="607">
        <f t="shared" si="627"/>
        <v>584181</v>
      </c>
      <c r="EA491" s="608">
        <f t="shared" si="628"/>
        <v>552955.5</v>
      </c>
    </row>
    <row r="492" spans="1:131" x14ac:dyDescent="0.2">
      <c r="A492" s="482" t="s">
        <v>42</v>
      </c>
      <c r="B492" s="431" t="s">
        <v>936</v>
      </c>
      <c r="C492" s="581"/>
      <c r="D492" s="480">
        <v>221430</v>
      </c>
      <c r="E492" s="418">
        <v>13</v>
      </c>
      <c r="F492" s="598"/>
      <c r="G492" s="599"/>
      <c r="H492" s="600"/>
      <c r="I492" s="601"/>
      <c r="J492" s="600"/>
      <c r="K492" s="599"/>
      <c r="L492" s="600"/>
      <c r="M492" s="601"/>
      <c r="N492" s="600"/>
      <c r="O492" s="599"/>
      <c r="P492" s="600"/>
      <c r="Q492" s="601"/>
      <c r="R492" s="600"/>
      <c r="S492" s="599"/>
      <c r="T492" s="600"/>
      <c r="U492" s="601"/>
      <c r="V492" s="600"/>
      <c r="W492" s="599"/>
      <c r="X492" s="600"/>
      <c r="Y492" s="601"/>
      <c r="Z492" s="600"/>
      <c r="AA492" s="599"/>
      <c r="AB492" s="600"/>
      <c r="AC492" s="601"/>
      <c r="AD492" s="600"/>
      <c r="AE492" s="599"/>
      <c r="AF492" s="600"/>
      <c r="AG492" s="601"/>
      <c r="AH492" s="600"/>
      <c r="AI492" s="599"/>
      <c r="AJ492" s="600"/>
      <c r="AK492" s="601"/>
      <c r="AL492" s="600"/>
      <c r="AM492" s="599"/>
      <c r="AN492" s="600"/>
      <c r="AO492" s="601"/>
      <c r="AP492" s="600"/>
      <c r="AQ492" s="599"/>
      <c r="AR492" s="600"/>
      <c r="AS492" s="601"/>
      <c r="AT492" s="600"/>
      <c r="AU492" s="599"/>
      <c r="AV492" s="600"/>
      <c r="AW492" s="601"/>
      <c r="AX492" s="600"/>
      <c r="AY492" s="599"/>
      <c r="AZ492" s="621">
        <v>9</v>
      </c>
      <c r="BA492" s="601">
        <v>11</v>
      </c>
      <c r="BB492" s="602">
        <v>0</v>
      </c>
      <c r="BC492" s="599"/>
      <c r="BD492" s="600">
        <v>0</v>
      </c>
      <c r="BE492" s="599"/>
      <c r="BF492" s="600">
        <v>0</v>
      </c>
      <c r="BG492" s="599"/>
      <c r="BH492" s="600">
        <v>0</v>
      </c>
      <c r="BI492" s="599"/>
      <c r="BJ492" s="600">
        <v>0</v>
      </c>
      <c r="BK492" s="615"/>
      <c r="BL492" s="621">
        <v>450660</v>
      </c>
      <c r="BM492" s="604">
        <v>551904</v>
      </c>
      <c r="BN492" s="605">
        <f t="shared" si="563"/>
        <v>0</v>
      </c>
      <c r="BO492" s="606">
        <f t="shared" si="564"/>
        <v>0</v>
      </c>
      <c r="BP492" s="607">
        <f t="shared" si="565"/>
        <v>0</v>
      </c>
      <c r="BQ492" s="606">
        <f t="shared" si="566"/>
        <v>0</v>
      </c>
      <c r="BR492" s="607">
        <f t="shared" si="567"/>
        <v>0</v>
      </c>
      <c r="BS492" s="606">
        <f t="shared" si="568"/>
        <v>0</v>
      </c>
      <c r="BT492" s="607">
        <f t="shared" si="569"/>
        <v>0</v>
      </c>
      <c r="BU492" s="606">
        <f t="shared" si="570"/>
        <v>0</v>
      </c>
      <c r="BV492" s="607">
        <f t="shared" si="571"/>
        <v>0</v>
      </c>
      <c r="BW492" s="608">
        <f t="shared" si="572"/>
        <v>0</v>
      </c>
      <c r="BX492" s="607">
        <f t="shared" si="573"/>
        <v>108</v>
      </c>
      <c r="BY492" s="608">
        <f t="shared" si="574"/>
        <v>132</v>
      </c>
      <c r="BZ492" s="607">
        <f t="shared" si="575"/>
        <v>0</v>
      </c>
      <c r="CA492" s="608">
        <f t="shared" si="576"/>
        <v>0</v>
      </c>
      <c r="CB492" s="607">
        <f t="shared" si="577"/>
        <v>0</v>
      </c>
      <c r="CC492" s="608">
        <f t="shared" si="578"/>
        <v>0</v>
      </c>
      <c r="CD492" s="607">
        <f t="shared" si="579"/>
        <v>0</v>
      </c>
      <c r="CE492" s="608">
        <f t="shared" si="580"/>
        <v>0</v>
      </c>
      <c r="CF492" s="607">
        <f t="shared" si="581"/>
        <v>0</v>
      </c>
      <c r="CG492" s="608">
        <f t="shared" si="582"/>
        <v>0</v>
      </c>
      <c r="CH492" s="607">
        <f t="shared" si="583"/>
        <v>0</v>
      </c>
      <c r="CI492" s="608">
        <f t="shared" si="584"/>
        <v>0</v>
      </c>
      <c r="CJ492" s="607">
        <f t="shared" si="585"/>
        <v>4172.7777777777774</v>
      </c>
      <c r="CK492" s="608">
        <f t="shared" si="586"/>
        <v>4181.090909090909</v>
      </c>
      <c r="CL492" s="609">
        <f t="shared" si="587"/>
        <v>0</v>
      </c>
      <c r="CM492" s="608">
        <f t="shared" si="588"/>
        <v>0</v>
      </c>
      <c r="CN492" s="610">
        <f t="shared" si="589"/>
        <v>0</v>
      </c>
      <c r="CO492" s="606">
        <f t="shared" si="590"/>
        <v>0</v>
      </c>
      <c r="CP492" s="607">
        <f t="shared" si="591"/>
        <v>0</v>
      </c>
      <c r="CQ492" s="606">
        <f t="shared" si="592"/>
        <v>0</v>
      </c>
      <c r="CR492" s="607">
        <f t="shared" si="593"/>
        <v>0</v>
      </c>
      <c r="CS492" s="606">
        <f t="shared" si="594"/>
        <v>0</v>
      </c>
      <c r="CT492" s="607">
        <f t="shared" si="595"/>
        <v>0</v>
      </c>
      <c r="CU492" s="608">
        <f t="shared" si="596"/>
        <v>0</v>
      </c>
      <c r="CV492" s="610">
        <f t="shared" si="597"/>
        <v>37555</v>
      </c>
      <c r="CW492" s="608">
        <f t="shared" si="598"/>
        <v>37629.818181818184</v>
      </c>
      <c r="CX492" s="610">
        <f t="shared" si="599"/>
        <v>37555</v>
      </c>
      <c r="CY492" s="611">
        <f t="shared" si="600"/>
        <v>37629.818181818184</v>
      </c>
      <c r="CZ492" s="605">
        <f t="shared" si="601"/>
        <v>0</v>
      </c>
      <c r="DA492" s="612">
        <f t="shared" si="602"/>
        <v>0</v>
      </c>
      <c r="DB492" s="607">
        <f t="shared" si="603"/>
        <v>0</v>
      </c>
      <c r="DC492" s="606">
        <f t="shared" si="604"/>
        <v>0</v>
      </c>
      <c r="DD492" s="607">
        <f t="shared" si="605"/>
        <v>0</v>
      </c>
      <c r="DE492" s="606">
        <f t="shared" si="606"/>
        <v>0</v>
      </c>
      <c r="DF492" s="607">
        <f t="shared" si="607"/>
        <v>0</v>
      </c>
      <c r="DG492" s="606">
        <f t="shared" si="608"/>
        <v>0</v>
      </c>
      <c r="DH492" s="607">
        <f t="shared" si="609"/>
        <v>0</v>
      </c>
      <c r="DI492" s="608">
        <f t="shared" si="610"/>
        <v>0</v>
      </c>
      <c r="DJ492" s="607">
        <f t="shared" si="611"/>
        <v>9</v>
      </c>
      <c r="DK492" s="608">
        <f t="shared" si="612"/>
        <v>11</v>
      </c>
      <c r="DL492" s="607">
        <f t="shared" si="613"/>
        <v>9</v>
      </c>
      <c r="DM492" s="608">
        <f t="shared" si="614"/>
        <v>11</v>
      </c>
      <c r="DN492" s="607">
        <f t="shared" si="615"/>
        <v>0</v>
      </c>
      <c r="DO492" s="612">
        <f t="shared" si="616"/>
        <v>0</v>
      </c>
      <c r="DP492" s="607">
        <f t="shared" si="617"/>
        <v>0</v>
      </c>
      <c r="DQ492" s="606">
        <f t="shared" si="618"/>
        <v>0</v>
      </c>
      <c r="DR492" s="607">
        <f t="shared" si="619"/>
        <v>0</v>
      </c>
      <c r="DS492" s="606">
        <f t="shared" si="620"/>
        <v>0</v>
      </c>
      <c r="DT492" s="607">
        <f t="shared" si="621"/>
        <v>0</v>
      </c>
      <c r="DU492" s="606">
        <f t="shared" si="622"/>
        <v>0</v>
      </c>
      <c r="DV492" s="607">
        <f t="shared" si="623"/>
        <v>0</v>
      </c>
      <c r="DW492" s="608">
        <f t="shared" si="624"/>
        <v>0</v>
      </c>
      <c r="DX492" s="607">
        <f t="shared" si="625"/>
        <v>337995</v>
      </c>
      <c r="DY492" s="608">
        <f t="shared" si="626"/>
        <v>413928</v>
      </c>
      <c r="DZ492" s="607">
        <f t="shared" si="627"/>
        <v>337995</v>
      </c>
      <c r="EA492" s="608">
        <f t="shared" si="628"/>
        <v>413928</v>
      </c>
    </row>
    <row r="493" spans="1:131" x14ac:dyDescent="0.2">
      <c r="A493" s="482" t="s">
        <v>42</v>
      </c>
      <c r="B493" s="431" t="s">
        <v>937</v>
      </c>
      <c r="C493" s="581"/>
      <c r="D493" s="480">
        <v>219994</v>
      </c>
      <c r="E493" s="418">
        <v>13</v>
      </c>
      <c r="F493" s="598"/>
      <c r="G493" s="599"/>
      <c r="H493" s="600"/>
      <c r="I493" s="601"/>
      <c r="J493" s="600"/>
      <c r="K493" s="599"/>
      <c r="L493" s="600"/>
      <c r="M493" s="601"/>
      <c r="N493" s="600"/>
      <c r="O493" s="599"/>
      <c r="P493" s="600"/>
      <c r="Q493" s="601"/>
      <c r="R493" s="600"/>
      <c r="S493" s="599"/>
      <c r="T493" s="600"/>
      <c r="U493" s="601"/>
      <c r="V493" s="600"/>
      <c r="W493" s="599"/>
      <c r="X493" s="600"/>
      <c r="Y493" s="601"/>
      <c r="Z493" s="600"/>
      <c r="AA493" s="599"/>
      <c r="AB493" s="600"/>
      <c r="AC493" s="601"/>
      <c r="AD493" s="600"/>
      <c r="AE493" s="599"/>
      <c r="AF493" s="600"/>
      <c r="AG493" s="601"/>
      <c r="AH493" s="600"/>
      <c r="AI493" s="599"/>
      <c r="AJ493" s="600"/>
      <c r="AK493" s="601"/>
      <c r="AL493" s="600"/>
      <c r="AM493" s="599"/>
      <c r="AN493" s="600"/>
      <c r="AO493" s="601"/>
      <c r="AP493" s="600"/>
      <c r="AQ493" s="599"/>
      <c r="AR493" s="600"/>
      <c r="AS493" s="601"/>
      <c r="AT493" s="600"/>
      <c r="AU493" s="599"/>
      <c r="AV493" s="600"/>
      <c r="AW493" s="601"/>
      <c r="AX493" s="600"/>
      <c r="AY493" s="599"/>
      <c r="AZ493" s="621">
        <v>14</v>
      </c>
      <c r="BA493" s="601">
        <v>26</v>
      </c>
      <c r="BB493" s="602">
        <v>0</v>
      </c>
      <c r="BC493" s="599"/>
      <c r="BD493" s="600">
        <v>0</v>
      </c>
      <c r="BE493" s="599"/>
      <c r="BF493" s="600">
        <v>0</v>
      </c>
      <c r="BG493" s="599"/>
      <c r="BH493" s="600">
        <v>0</v>
      </c>
      <c r="BI493" s="599"/>
      <c r="BJ493" s="600">
        <v>0</v>
      </c>
      <c r="BK493" s="615"/>
      <c r="BL493" s="621">
        <v>701090</v>
      </c>
      <c r="BM493" s="604">
        <v>1269321</v>
      </c>
      <c r="BN493" s="605">
        <f t="shared" si="563"/>
        <v>0</v>
      </c>
      <c r="BO493" s="606">
        <f t="shared" si="564"/>
        <v>0</v>
      </c>
      <c r="BP493" s="607">
        <f t="shared" si="565"/>
        <v>0</v>
      </c>
      <c r="BQ493" s="606">
        <f t="shared" si="566"/>
        <v>0</v>
      </c>
      <c r="BR493" s="607">
        <f t="shared" si="567"/>
        <v>0</v>
      </c>
      <c r="BS493" s="606">
        <f t="shared" si="568"/>
        <v>0</v>
      </c>
      <c r="BT493" s="607">
        <f t="shared" si="569"/>
        <v>0</v>
      </c>
      <c r="BU493" s="606">
        <f t="shared" si="570"/>
        <v>0</v>
      </c>
      <c r="BV493" s="607">
        <f t="shared" si="571"/>
        <v>0</v>
      </c>
      <c r="BW493" s="608">
        <f t="shared" si="572"/>
        <v>0</v>
      </c>
      <c r="BX493" s="607">
        <f t="shared" si="573"/>
        <v>168</v>
      </c>
      <c r="BY493" s="608">
        <f t="shared" si="574"/>
        <v>312</v>
      </c>
      <c r="BZ493" s="607">
        <f t="shared" si="575"/>
        <v>0</v>
      </c>
      <c r="CA493" s="608">
        <f t="shared" si="576"/>
        <v>0</v>
      </c>
      <c r="CB493" s="607">
        <f t="shared" si="577"/>
        <v>0</v>
      </c>
      <c r="CC493" s="608">
        <f t="shared" si="578"/>
        <v>0</v>
      </c>
      <c r="CD493" s="607">
        <f t="shared" si="579"/>
        <v>0</v>
      </c>
      <c r="CE493" s="608">
        <f t="shared" si="580"/>
        <v>0</v>
      </c>
      <c r="CF493" s="607">
        <f t="shared" si="581"/>
        <v>0</v>
      </c>
      <c r="CG493" s="608">
        <f t="shared" si="582"/>
        <v>0</v>
      </c>
      <c r="CH493" s="607">
        <f t="shared" si="583"/>
        <v>0</v>
      </c>
      <c r="CI493" s="608">
        <f t="shared" si="584"/>
        <v>0</v>
      </c>
      <c r="CJ493" s="607">
        <f t="shared" si="585"/>
        <v>4173.1547619047615</v>
      </c>
      <c r="CK493" s="608">
        <f t="shared" si="586"/>
        <v>4068.3365384615386</v>
      </c>
      <c r="CL493" s="609">
        <f t="shared" si="587"/>
        <v>0</v>
      </c>
      <c r="CM493" s="608">
        <f t="shared" si="588"/>
        <v>0</v>
      </c>
      <c r="CN493" s="610">
        <f t="shared" si="589"/>
        <v>0</v>
      </c>
      <c r="CO493" s="606">
        <f t="shared" si="590"/>
        <v>0</v>
      </c>
      <c r="CP493" s="607">
        <f t="shared" si="591"/>
        <v>0</v>
      </c>
      <c r="CQ493" s="606">
        <f t="shared" si="592"/>
        <v>0</v>
      </c>
      <c r="CR493" s="607">
        <f t="shared" si="593"/>
        <v>0</v>
      </c>
      <c r="CS493" s="606">
        <f t="shared" si="594"/>
        <v>0</v>
      </c>
      <c r="CT493" s="607">
        <f t="shared" si="595"/>
        <v>0</v>
      </c>
      <c r="CU493" s="608">
        <f t="shared" si="596"/>
        <v>0</v>
      </c>
      <c r="CV493" s="610">
        <f t="shared" si="597"/>
        <v>37558.392857142855</v>
      </c>
      <c r="CW493" s="608">
        <f t="shared" si="598"/>
        <v>36615.028846153844</v>
      </c>
      <c r="CX493" s="610">
        <f t="shared" si="599"/>
        <v>37558.392857142855</v>
      </c>
      <c r="CY493" s="611">
        <f t="shared" si="600"/>
        <v>36615.028846153844</v>
      </c>
      <c r="CZ493" s="605">
        <f t="shared" si="601"/>
        <v>0</v>
      </c>
      <c r="DA493" s="612">
        <f t="shared" si="602"/>
        <v>0</v>
      </c>
      <c r="DB493" s="607">
        <f t="shared" si="603"/>
        <v>0</v>
      </c>
      <c r="DC493" s="606">
        <f t="shared" si="604"/>
        <v>0</v>
      </c>
      <c r="DD493" s="607">
        <f t="shared" si="605"/>
        <v>0</v>
      </c>
      <c r="DE493" s="606">
        <f t="shared" si="606"/>
        <v>0</v>
      </c>
      <c r="DF493" s="607">
        <f t="shared" si="607"/>
        <v>0</v>
      </c>
      <c r="DG493" s="606">
        <f t="shared" si="608"/>
        <v>0</v>
      </c>
      <c r="DH493" s="607">
        <f t="shared" si="609"/>
        <v>0</v>
      </c>
      <c r="DI493" s="608">
        <f t="shared" si="610"/>
        <v>0</v>
      </c>
      <c r="DJ493" s="607">
        <f t="shared" si="611"/>
        <v>14</v>
      </c>
      <c r="DK493" s="608">
        <f t="shared" si="612"/>
        <v>26</v>
      </c>
      <c r="DL493" s="607">
        <f t="shared" si="613"/>
        <v>14</v>
      </c>
      <c r="DM493" s="608">
        <f t="shared" si="614"/>
        <v>26</v>
      </c>
      <c r="DN493" s="607">
        <f t="shared" si="615"/>
        <v>0</v>
      </c>
      <c r="DO493" s="612">
        <f t="shared" si="616"/>
        <v>0</v>
      </c>
      <c r="DP493" s="607">
        <f t="shared" si="617"/>
        <v>0</v>
      </c>
      <c r="DQ493" s="606">
        <f t="shared" si="618"/>
        <v>0</v>
      </c>
      <c r="DR493" s="607">
        <f t="shared" si="619"/>
        <v>0</v>
      </c>
      <c r="DS493" s="606">
        <f t="shared" si="620"/>
        <v>0</v>
      </c>
      <c r="DT493" s="607">
        <f t="shared" si="621"/>
        <v>0</v>
      </c>
      <c r="DU493" s="606">
        <f t="shared" si="622"/>
        <v>0</v>
      </c>
      <c r="DV493" s="607">
        <f t="shared" si="623"/>
        <v>0</v>
      </c>
      <c r="DW493" s="608">
        <f t="shared" si="624"/>
        <v>0</v>
      </c>
      <c r="DX493" s="607">
        <f t="shared" si="625"/>
        <v>525817.5</v>
      </c>
      <c r="DY493" s="608">
        <f t="shared" si="626"/>
        <v>951990.75</v>
      </c>
      <c r="DZ493" s="607">
        <f t="shared" si="627"/>
        <v>525817.5</v>
      </c>
      <c r="EA493" s="608">
        <f t="shared" si="628"/>
        <v>951990.75</v>
      </c>
    </row>
    <row r="494" spans="1:131" x14ac:dyDescent="0.2">
      <c r="A494" s="482" t="s">
        <v>42</v>
      </c>
      <c r="B494" s="431" t="s">
        <v>938</v>
      </c>
      <c r="C494" s="581"/>
      <c r="D494" s="480">
        <v>220127</v>
      </c>
      <c r="E494" s="418">
        <v>13</v>
      </c>
      <c r="F494" s="598"/>
      <c r="G494" s="599"/>
      <c r="H494" s="600"/>
      <c r="I494" s="601"/>
      <c r="J494" s="600"/>
      <c r="K494" s="599"/>
      <c r="L494" s="600"/>
      <c r="M494" s="601"/>
      <c r="N494" s="600"/>
      <c r="O494" s="599"/>
      <c r="P494" s="600"/>
      <c r="Q494" s="601"/>
      <c r="R494" s="600"/>
      <c r="S494" s="599"/>
      <c r="T494" s="600"/>
      <c r="U494" s="601"/>
      <c r="V494" s="600"/>
      <c r="W494" s="599"/>
      <c r="X494" s="600"/>
      <c r="Y494" s="601"/>
      <c r="Z494" s="600"/>
      <c r="AA494" s="599"/>
      <c r="AB494" s="600"/>
      <c r="AC494" s="601"/>
      <c r="AD494" s="600"/>
      <c r="AE494" s="599"/>
      <c r="AF494" s="600"/>
      <c r="AG494" s="601"/>
      <c r="AH494" s="600"/>
      <c r="AI494" s="599"/>
      <c r="AJ494" s="600"/>
      <c r="AK494" s="601"/>
      <c r="AL494" s="600"/>
      <c r="AM494" s="599"/>
      <c r="AN494" s="600"/>
      <c r="AO494" s="601"/>
      <c r="AP494" s="600"/>
      <c r="AQ494" s="599"/>
      <c r="AR494" s="600"/>
      <c r="AS494" s="601"/>
      <c r="AT494" s="600"/>
      <c r="AU494" s="599"/>
      <c r="AV494" s="600"/>
      <c r="AW494" s="601"/>
      <c r="AX494" s="600"/>
      <c r="AY494" s="599"/>
      <c r="AZ494" s="621">
        <v>17</v>
      </c>
      <c r="BA494" s="601">
        <v>19</v>
      </c>
      <c r="BB494" s="602">
        <v>0</v>
      </c>
      <c r="BC494" s="599"/>
      <c r="BD494" s="600">
        <v>0</v>
      </c>
      <c r="BE494" s="599"/>
      <c r="BF494" s="600">
        <v>0</v>
      </c>
      <c r="BG494" s="599"/>
      <c r="BH494" s="600">
        <v>0</v>
      </c>
      <c r="BI494" s="599"/>
      <c r="BJ494" s="600">
        <v>0</v>
      </c>
      <c r="BK494" s="615"/>
      <c r="BL494" s="621">
        <v>799751</v>
      </c>
      <c r="BM494" s="604">
        <v>899201</v>
      </c>
      <c r="BN494" s="605">
        <f t="shared" si="563"/>
        <v>0</v>
      </c>
      <c r="BO494" s="606">
        <f t="shared" si="564"/>
        <v>0</v>
      </c>
      <c r="BP494" s="607">
        <f t="shared" si="565"/>
        <v>0</v>
      </c>
      <c r="BQ494" s="606">
        <f t="shared" si="566"/>
        <v>0</v>
      </c>
      <c r="BR494" s="607">
        <f t="shared" si="567"/>
        <v>0</v>
      </c>
      <c r="BS494" s="606">
        <f t="shared" si="568"/>
        <v>0</v>
      </c>
      <c r="BT494" s="607">
        <f t="shared" si="569"/>
        <v>0</v>
      </c>
      <c r="BU494" s="606">
        <f t="shared" si="570"/>
        <v>0</v>
      </c>
      <c r="BV494" s="607">
        <f t="shared" si="571"/>
        <v>0</v>
      </c>
      <c r="BW494" s="608">
        <f t="shared" si="572"/>
        <v>0</v>
      </c>
      <c r="BX494" s="607">
        <f t="shared" si="573"/>
        <v>204</v>
      </c>
      <c r="BY494" s="608">
        <f t="shared" si="574"/>
        <v>228</v>
      </c>
      <c r="BZ494" s="607">
        <f t="shared" si="575"/>
        <v>0</v>
      </c>
      <c r="CA494" s="608">
        <f t="shared" si="576"/>
        <v>0</v>
      </c>
      <c r="CB494" s="607">
        <f t="shared" si="577"/>
        <v>0</v>
      </c>
      <c r="CC494" s="608">
        <f t="shared" si="578"/>
        <v>0</v>
      </c>
      <c r="CD494" s="607">
        <f t="shared" si="579"/>
        <v>0</v>
      </c>
      <c r="CE494" s="608">
        <f t="shared" si="580"/>
        <v>0</v>
      </c>
      <c r="CF494" s="607">
        <f t="shared" si="581"/>
        <v>0</v>
      </c>
      <c r="CG494" s="608">
        <f t="shared" si="582"/>
        <v>0</v>
      </c>
      <c r="CH494" s="607">
        <f t="shared" si="583"/>
        <v>0</v>
      </c>
      <c r="CI494" s="608">
        <f t="shared" si="584"/>
        <v>0</v>
      </c>
      <c r="CJ494" s="607">
        <f t="shared" si="585"/>
        <v>3920.3480392156862</v>
      </c>
      <c r="CK494" s="608">
        <f t="shared" si="586"/>
        <v>3943.8640350877195</v>
      </c>
      <c r="CL494" s="609">
        <f t="shared" si="587"/>
        <v>0</v>
      </c>
      <c r="CM494" s="608">
        <f t="shared" si="588"/>
        <v>0</v>
      </c>
      <c r="CN494" s="610">
        <f t="shared" si="589"/>
        <v>0</v>
      </c>
      <c r="CO494" s="606">
        <f t="shared" si="590"/>
        <v>0</v>
      </c>
      <c r="CP494" s="607">
        <f t="shared" si="591"/>
        <v>0</v>
      </c>
      <c r="CQ494" s="606">
        <f t="shared" si="592"/>
        <v>0</v>
      </c>
      <c r="CR494" s="607">
        <f t="shared" si="593"/>
        <v>0</v>
      </c>
      <c r="CS494" s="606">
        <f t="shared" si="594"/>
        <v>0</v>
      </c>
      <c r="CT494" s="607">
        <f t="shared" si="595"/>
        <v>0</v>
      </c>
      <c r="CU494" s="608">
        <f t="shared" si="596"/>
        <v>0</v>
      </c>
      <c r="CV494" s="610">
        <f t="shared" si="597"/>
        <v>35283.132352941175</v>
      </c>
      <c r="CW494" s="608">
        <f t="shared" si="598"/>
        <v>35494.776315789473</v>
      </c>
      <c r="CX494" s="610">
        <f t="shared" si="599"/>
        <v>35283.132352941175</v>
      </c>
      <c r="CY494" s="611">
        <f t="shared" si="600"/>
        <v>35494.776315789473</v>
      </c>
      <c r="CZ494" s="605">
        <f t="shared" si="601"/>
        <v>0</v>
      </c>
      <c r="DA494" s="612">
        <f t="shared" si="602"/>
        <v>0</v>
      </c>
      <c r="DB494" s="607">
        <f t="shared" si="603"/>
        <v>0</v>
      </c>
      <c r="DC494" s="606">
        <f t="shared" si="604"/>
        <v>0</v>
      </c>
      <c r="DD494" s="607">
        <f t="shared" si="605"/>
        <v>0</v>
      </c>
      <c r="DE494" s="606">
        <f t="shared" si="606"/>
        <v>0</v>
      </c>
      <c r="DF494" s="607">
        <f t="shared" si="607"/>
        <v>0</v>
      </c>
      <c r="DG494" s="606">
        <f t="shared" si="608"/>
        <v>0</v>
      </c>
      <c r="DH494" s="607">
        <f t="shared" si="609"/>
        <v>0</v>
      </c>
      <c r="DI494" s="608">
        <f t="shared" si="610"/>
        <v>0</v>
      </c>
      <c r="DJ494" s="607">
        <f t="shared" si="611"/>
        <v>17</v>
      </c>
      <c r="DK494" s="608">
        <f t="shared" si="612"/>
        <v>19</v>
      </c>
      <c r="DL494" s="607">
        <f t="shared" si="613"/>
        <v>17</v>
      </c>
      <c r="DM494" s="608">
        <f t="shared" si="614"/>
        <v>19</v>
      </c>
      <c r="DN494" s="607">
        <f t="shared" si="615"/>
        <v>0</v>
      </c>
      <c r="DO494" s="612">
        <f t="shared" si="616"/>
        <v>0</v>
      </c>
      <c r="DP494" s="607">
        <f t="shared" si="617"/>
        <v>0</v>
      </c>
      <c r="DQ494" s="606">
        <f t="shared" si="618"/>
        <v>0</v>
      </c>
      <c r="DR494" s="607">
        <f t="shared" si="619"/>
        <v>0</v>
      </c>
      <c r="DS494" s="606">
        <f t="shared" si="620"/>
        <v>0</v>
      </c>
      <c r="DT494" s="607">
        <f t="shared" si="621"/>
        <v>0</v>
      </c>
      <c r="DU494" s="606">
        <f t="shared" si="622"/>
        <v>0</v>
      </c>
      <c r="DV494" s="607">
        <f t="shared" si="623"/>
        <v>0</v>
      </c>
      <c r="DW494" s="608">
        <f t="shared" si="624"/>
        <v>0</v>
      </c>
      <c r="DX494" s="607">
        <f t="shared" si="625"/>
        <v>599813.25</v>
      </c>
      <c r="DY494" s="608">
        <f t="shared" si="626"/>
        <v>674400.75</v>
      </c>
      <c r="DZ494" s="607">
        <f t="shared" si="627"/>
        <v>599813.25</v>
      </c>
      <c r="EA494" s="608">
        <f t="shared" si="628"/>
        <v>674400.75</v>
      </c>
    </row>
    <row r="495" spans="1:131" x14ac:dyDescent="0.2">
      <c r="A495" s="482" t="s">
        <v>42</v>
      </c>
      <c r="B495" s="431" t="s">
        <v>939</v>
      </c>
      <c r="C495" s="581"/>
      <c r="D495" s="480">
        <v>220251</v>
      </c>
      <c r="E495" s="418">
        <v>13</v>
      </c>
      <c r="F495" s="598"/>
      <c r="G495" s="599"/>
      <c r="H495" s="600"/>
      <c r="I495" s="601"/>
      <c r="J495" s="600"/>
      <c r="K495" s="599"/>
      <c r="L495" s="600"/>
      <c r="M495" s="601"/>
      <c r="N495" s="600"/>
      <c r="O495" s="599"/>
      <c r="P495" s="600"/>
      <c r="Q495" s="601"/>
      <c r="R495" s="600"/>
      <c r="S495" s="599"/>
      <c r="T495" s="600"/>
      <c r="U495" s="601"/>
      <c r="V495" s="600"/>
      <c r="W495" s="599"/>
      <c r="X495" s="600"/>
      <c r="Y495" s="601"/>
      <c r="Z495" s="600"/>
      <c r="AA495" s="599"/>
      <c r="AB495" s="600"/>
      <c r="AC495" s="601"/>
      <c r="AD495" s="600"/>
      <c r="AE495" s="599"/>
      <c r="AF495" s="600"/>
      <c r="AG495" s="601"/>
      <c r="AH495" s="600"/>
      <c r="AI495" s="599"/>
      <c r="AJ495" s="600"/>
      <c r="AK495" s="601"/>
      <c r="AL495" s="600"/>
      <c r="AM495" s="599"/>
      <c r="AN495" s="600"/>
      <c r="AO495" s="601"/>
      <c r="AP495" s="600"/>
      <c r="AQ495" s="599"/>
      <c r="AR495" s="600"/>
      <c r="AS495" s="601"/>
      <c r="AT495" s="600"/>
      <c r="AU495" s="599"/>
      <c r="AV495" s="600"/>
      <c r="AW495" s="601"/>
      <c r="AX495" s="600"/>
      <c r="AY495" s="599"/>
      <c r="AZ495" s="621">
        <v>12</v>
      </c>
      <c r="BA495" s="601">
        <v>11</v>
      </c>
      <c r="BB495" s="602">
        <v>0</v>
      </c>
      <c r="BC495" s="599"/>
      <c r="BD495" s="600">
        <v>0</v>
      </c>
      <c r="BE495" s="599"/>
      <c r="BF495" s="600">
        <v>0</v>
      </c>
      <c r="BG495" s="599"/>
      <c r="BH495" s="600">
        <v>0</v>
      </c>
      <c r="BI495" s="599"/>
      <c r="BJ495" s="600">
        <v>0</v>
      </c>
      <c r="BK495" s="615"/>
      <c r="BL495" s="621">
        <v>512882</v>
      </c>
      <c r="BM495" s="604">
        <v>488097</v>
      </c>
      <c r="BN495" s="605">
        <f t="shared" si="563"/>
        <v>0</v>
      </c>
      <c r="BO495" s="606">
        <f t="shared" si="564"/>
        <v>0</v>
      </c>
      <c r="BP495" s="607">
        <f t="shared" si="565"/>
        <v>0</v>
      </c>
      <c r="BQ495" s="606">
        <f t="shared" si="566"/>
        <v>0</v>
      </c>
      <c r="BR495" s="607">
        <f t="shared" si="567"/>
        <v>0</v>
      </c>
      <c r="BS495" s="606">
        <f t="shared" si="568"/>
        <v>0</v>
      </c>
      <c r="BT495" s="607">
        <f t="shared" si="569"/>
        <v>0</v>
      </c>
      <c r="BU495" s="606">
        <f t="shared" si="570"/>
        <v>0</v>
      </c>
      <c r="BV495" s="607">
        <f t="shared" si="571"/>
        <v>0</v>
      </c>
      <c r="BW495" s="608">
        <f t="shared" si="572"/>
        <v>0</v>
      </c>
      <c r="BX495" s="607">
        <f t="shared" si="573"/>
        <v>144</v>
      </c>
      <c r="BY495" s="608">
        <f t="shared" si="574"/>
        <v>132</v>
      </c>
      <c r="BZ495" s="607">
        <f t="shared" si="575"/>
        <v>0</v>
      </c>
      <c r="CA495" s="608">
        <f t="shared" si="576"/>
        <v>0</v>
      </c>
      <c r="CB495" s="607">
        <f t="shared" si="577"/>
        <v>0</v>
      </c>
      <c r="CC495" s="608">
        <f t="shared" si="578"/>
        <v>0</v>
      </c>
      <c r="CD495" s="607">
        <f t="shared" si="579"/>
        <v>0</v>
      </c>
      <c r="CE495" s="608">
        <f t="shared" si="580"/>
        <v>0</v>
      </c>
      <c r="CF495" s="607">
        <f t="shared" si="581"/>
        <v>0</v>
      </c>
      <c r="CG495" s="608">
        <f t="shared" si="582"/>
        <v>0</v>
      </c>
      <c r="CH495" s="607">
        <f t="shared" si="583"/>
        <v>0</v>
      </c>
      <c r="CI495" s="608">
        <f t="shared" si="584"/>
        <v>0</v>
      </c>
      <c r="CJ495" s="607">
        <f t="shared" si="585"/>
        <v>3561.6805555555557</v>
      </c>
      <c r="CK495" s="608">
        <f t="shared" si="586"/>
        <v>3697.7045454545455</v>
      </c>
      <c r="CL495" s="609">
        <f t="shared" si="587"/>
        <v>0</v>
      </c>
      <c r="CM495" s="608">
        <f t="shared" si="588"/>
        <v>0</v>
      </c>
      <c r="CN495" s="610">
        <f t="shared" si="589"/>
        <v>0</v>
      </c>
      <c r="CO495" s="606">
        <f t="shared" si="590"/>
        <v>0</v>
      </c>
      <c r="CP495" s="607">
        <f t="shared" si="591"/>
        <v>0</v>
      </c>
      <c r="CQ495" s="606">
        <f t="shared" si="592"/>
        <v>0</v>
      </c>
      <c r="CR495" s="607">
        <f t="shared" si="593"/>
        <v>0</v>
      </c>
      <c r="CS495" s="606">
        <f t="shared" si="594"/>
        <v>0</v>
      </c>
      <c r="CT495" s="607">
        <f t="shared" si="595"/>
        <v>0</v>
      </c>
      <c r="CU495" s="608">
        <f t="shared" si="596"/>
        <v>0</v>
      </c>
      <c r="CV495" s="610">
        <f t="shared" si="597"/>
        <v>32055.125</v>
      </c>
      <c r="CW495" s="608">
        <f t="shared" si="598"/>
        <v>33279.340909090912</v>
      </c>
      <c r="CX495" s="610">
        <f t="shared" si="599"/>
        <v>32055.125</v>
      </c>
      <c r="CY495" s="611">
        <f t="shared" si="600"/>
        <v>33279.340909090912</v>
      </c>
      <c r="CZ495" s="605">
        <f t="shared" si="601"/>
        <v>0</v>
      </c>
      <c r="DA495" s="612">
        <f t="shared" si="602"/>
        <v>0</v>
      </c>
      <c r="DB495" s="607">
        <f t="shared" si="603"/>
        <v>0</v>
      </c>
      <c r="DC495" s="606">
        <f t="shared" si="604"/>
        <v>0</v>
      </c>
      <c r="DD495" s="607">
        <f t="shared" si="605"/>
        <v>0</v>
      </c>
      <c r="DE495" s="606">
        <f t="shared" si="606"/>
        <v>0</v>
      </c>
      <c r="DF495" s="607">
        <f t="shared" si="607"/>
        <v>0</v>
      </c>
      <c r="DG495" s="606">
        <f t="shared" si="608"/>
        <v>0</v>
      </c>
      <c r="DH495" s="607">
        <f t="shared" si="609"/>
        <v>0</v>
      </c>
      <c r="DI495" s="608">
        <f t="shared" si="610"/>
        <v>0</v>
      </c>
      <c r="DJ495" s="607">
        <f t="shared" si="611"/>
        <v>12</v>
      </c>
      <c r="DK495" s="608">
        <f t="shared" si="612"/>
        <v>11</v>
      </c>
      <c r="DL495" s="607">
        <f t="shared" si="613"/>
        <v>12</v>
      </c>
      <c r="DM495" s="608">
        <f t="shared" si="614"/>
        <v>11</v>
      </c>
      <c r="DN495" s="607">
        <f t="shared" si="615"/>
        <v>0</v>
      </c>
      <c r="DO495" s="612">
        <f t="shared" si="616"/>
        <v>0</v>
      </c>
      <c r="DP495" s="607">
        <f t="shared" si="617"/>
        <v>0</v>
      </c>
      <c r="DQ495" s="606">
        <f t="shared" si="618"/>
        <v>0</v>
      </c>
      <c r="DR495" s="607">
        <f t="shared" si="619"/>
        <v>0</v>
      </c>
      <c r="DS495" s="606">
        <f t="shared" si="620"/>
        <v>0</v>
      </c>
      <c r="DT495" s="607">
        <f t="shared" si="621"/>
        <v>0</v>
      </c>
      <c r="DU495" s="606">
        <f t="shared" si="622"/>
        <v>0</v>
      </c>
      <c r="DV495" s="607">
        <f t="shared" si="623"/>
        <v>0</v>
      </c>
      <c r="DW495" s="608">
        <f t="shared" si="624"/>
        <v>0</v>
      </c>
      <c r="DX495" s="607">
        <f t="shared" si="625"/>
        <v>384661.5</v>
      </c>
      <c r="DY495" s="608">
        <f t="shared" si="626"/>
        <v>366072.75</v>
      </c>
      <c r="DZ495" s="607">
        <f t="shared" si="627"/>
        <v>384661.5</v>
      </c>
      <c r="EA495" s="608">
        <f t="shared" si="628"/>
        <v>366072.75</v>
      </c>
    </row>
    <row r="496" spans="1:131" x14ac:dyDescent="0.2">
      <c r="A496" s="482" t="s">
        <v>42</v>
      </c>
      <c r="B496" s="431" t="s">
        <v>940</v>
      </c>
      <c r="C496" s="581"/>
      <c r="D496" s="480">
        <v>220279</v>
      </c>
      <c r="E496" s="418">
        <v>13</v>
      </c>
      <c r="F496" s="598"/>
      <c r="G496" s="599"/>
      <c r="H496" s="600"/>
      <c r="I496" s="601"/>
      <c r="J496" s="600"/>
      <c r="K496" s="599"/>
      <c r="L496" s="600"/>
      <c r="M496" s="601"/>
      <c r="N496" s="600"/>
      <c r="O496" s="599"/>
      <c r="P496" s="600"/>
      <c r="Q496" s="601"/>
      <c r="R496" s="600"/>
      <c r="S496" s="599"/>
      <c r="T496" s="600"/>
      <c r="U496" s="601"/>
      <c r="V496" s="600"/>
      <c r="W496" s="599"/>
      <c r="X496" s="600"/>
      <c r="Y496" s="601"/>
      <c r="Z496" s="600"/>
      <c r="AA496" s="599"/>
      <c r="AB496" s="600"/>
      <c r="AC496" s="601"/>
      <c r="AD496" s="600"/>
      <c r="AE496" s="599"/>
      <c r="AF496" s="600"/>
      <c r="AG496" s="601"/>
      <c r="AH496" s="600"/>
      <c r="AI496" s="599"/>
      <c r="AJ496" s="600"/>
      <c r="AK496" s="601"/>
      <c r="AL496" s="600"/>
      <c r="AM496" s="599"/>
      <c r="AN496" s="600"/>
      <c r="AO496" s="601"/>
      <c r="AP496" s="600"/>
      <c r="AQ496" s="599"/>
      <c r="AR496" s="600"/>
      <c r="AS496" s="601"/>
      <c r="AT496" s="600"/>
      <c r="AU496" s="599"/>
      <c r="AV496" s="600"/>
      <c r="AW496" s="601"/>
      <c r="AX496" s="600"/>
      <c r="AY496" s="599"/>
      <c r="AZ496" s="621">
        <v>19</v>
      </c>
      <c r="BA496" s="601">
        <v>20</v>
      </c>
      <c r="BB496" s="602">
        <v>0</v>
      </c>
      <c r="BC496" s="599"/>
      <c r="BD496" s="600">
        <v>0</v>
      </c>
      <c r="BE496" s="599"/>
      <c r="BF496" s="600">
        <v>0</v>
      </c>
      <c r="BG496" s="599"/>
      <c r="BH496" s="600">
        <v>0</v>
      </c>
      <c r="BI496" s="599"/>
      <c r="BJ496" s="600">
        <v>0</v>
      </c>
      <c r="BK496" s="615"/>
      <c r="BL496" s="621">
        <v>789812</v>
      </c>
      <c r="BM496" s="604">
        <v>873712</v>
      </c>
      <c r="BN496" s="605">
        <f t="shared" si="563"/>
        <v>0</v>
      </c>
      <c r="BO496" s="606">
        <f t="shared" si="564"/>
        <v>0</v>
      </c>
      <c r="BP496" s="607">
        <f t="shared" si="565"/>
        <v>0</v>
      </c>
      <c r="BQ496" s="606">
        <f t="shared" si="566"/>
        <v>0</v>
      </c>
      <c r="BR496" s="607">
        <f t="shared" si="567"/>
        <v>0</v>
      </c>
      <c r="BS496" s="606">
        <f t="shared" si="568"/>
        <v>0</v>
      </c>
      <c r="BT496" s="607">
        <f t="shared" si="569"/>
        <v>0</v>
      </c>
      <c r="BU496" s="606">
        <f t="shared" si="570"/>
        <v>0</v>
      </c>
      <c r="BV496" s="607">
        <f t="shared" si="571"/>
        <v>0</v>
      </c>
      <c r="BW496" s="608">
        <f t="shared" si="572"/>
        <v>0</v>
      </c>
      <c r="BX496" s="607">
        <f t="shared" si="573"/>
        <v>228</v>
      </c>
      <c r="BY496" s="608">
        <f t="shared" si="574"/>
        <v>240</v>
      </c>
      <c r="BZ496" s="607">
        <f t="shared" si="575"/>
        <v>0</v>
      </c>
      <c r="CA496" s="608">
        <f t="shared" si="576"/>
        <v>0</v>
      </c>
      <c r="CB496" s="607">
        <f t="shared" si="577"/>
        <v>0</v>
      </c>
      <c r="CC496" s="608">
        <f t="shared" si="578"/>
        <v>0</v>
      </c>
      <c r="CD496" s="607">
        <f t="shared" si="579"/>
        <v>0</v>
      </c>
      <c r="CE496" s="608">
        <f t="shared" si="580"/>
        <v>0</v>
      </c>
      <c r="CF496" s="607">
        <f t="shared" si="581"/>
        <v>0</v>
      </c>
      <c r="CG496" s="608">
        <f t="shared" si="582"/>
        <v>0</v>
      </c>
      <c r="CH496" s="607">
        <f t="shared" si="583"/>
        <v>0</v>
      </c>
      <c r="CI496" s="608">
        <f t="shared" si="584"/>
        <v>0</v>
      </c>
      <c r="CJ496" s="607">
        <f t="shared" si="585"/>
        <v>3464.0877192982457</v>
      </c>
      <c r="CK496" s="608">
        <f t="shared" si="586"/>
        <v>3640.4666666666667</v>
      </c>
      <c r="CL496" s="609">
        <f t="shared" si="587"/>
        <v>0</v>
      </c>
      <c r="CM496" s="608">
        <f t="shared" si="588"/>
        <v>0</v>
      </c>
      <c r="CN496" s="610">
        <f t="shared" si="589"/>
        <v>0</v>
      </c>
      <c r="CO496" s="606">
        <f t="shared" si="590"/>
        <v>0</v>
      </c>
      <c r="CP496" s="607">
        <f t="shared" si="591"/>
        <v>0</v>
      </c>
      <c r="CQ496" s="606">
        <f t="shared" si="592"/>
        <v>0</v>
      </c>
      <c r="CR496" s="607">
        <f t="shared" si="593"/>
        <v>0</v>
      </c>
      <c r="CS496" s="606">
        <f t="shared" si="594"/>
        <v>0</v>
      </c>
      <c r="CT496" s="607">
        <f t="shared" si="595"/>
        <v>0</v>
      </c>
      <c r="CU496" s="608">
        <f t="shared" si="596"/>
        <v>0</v>
      </c>
      <c r="CV496" s="610">
        <f t="shared" si="597"/>
        <v>31176.78947368421</v>
      </c>
      <c r="CW496" s="608">
        <f t="shared" si="598"/>
        <v>32764.2</v>
      </c>
      <c r="CX496" s="610">
        <f t="shared" si="599"/>
        <v>31176.78947368421</v>
      </c>
      <c r="CY496" s="611">
        <f t="shared" si="600"/>
        <v>32764.2</v>
      </c>
      <c r="CZ496" s="605">
        <f t="shared" si="601"/>
        <v>0</v>
      </c>
      <c r="DA496" s="612">
        <f t="shared" si="602"/>
        <v>0</v>
      </c>
      <c r="DB496" s="607">
        <f t="shared" si="603"/>
        <v>0</v>
      </c>
      <c r="DC496" s="606">
        <f t="shared" si="604"/>
        <v>0</v>
      </c>
      <c r="DD496" s="607">
        <f t="shared" si="605"/>
        <v>0</v>
      </c>
      <c r="DE496" s="606">
        <f t="shared" si="606"/>
        <v>0</v>
      </c>
      <c r="DF496" s="607">
        <f t="shared" si="607"/>
        <v>0</v>
      </c>
      <c r="DG496" s="606">
        <f t="shared" si="608"/>
        <v>0</v>
      </c>
      <c r="DH496" s="607">
        <f t="shared" si="609"/>
        <v>0</v>
      </c>
      <c r="DI496" s="608">
        <f t="shared" si="610"/>
        <v>0</v>
      </c>
      <c r="DJ496" s="607">
        <f t="shared" si="611"/>
        <v>19</v>
      </c>
      <c r="DK496" s="608">
        <f t="shared" si="612"/>
        <v>20</v>
      </c>
      <c r="DL496" s="607">
        <f t="shared" si="613"/>
        <v>19</v>
      </c>
      <c r="DM496" s="608">
        <f t="shared" si="614"/>
        <v>20</v>
      </c>
      <c r="DN496" s="607">
        <f t="shared" si="615"/>
        <v>0</v>
      </c>
      <c r="DO496" s="612">
        <f t="shared" si="616"/>
        <v>0</v>
      </c>
      <c r="DP496" s="607">
        <f t="shared" si="617"/>
        <v>0</v>
      </c>
      <c r="DQ496" s="606">
        <f t="shared" si="618"/>
        <v>0</v>
      </c>
      <c r="DR496" s="607">
        <f t="shared" si="619"/>
        <v>0</v>
      </c>
      <c r="DS496" s="606">
        <f t="shared" si="620"/>
        <v>0</v>
      </c>
      <c r="DT496" s="607">
        <f t="shared" si="621"/>
        <v>0</v>
      </c>
      <c r="DU496" s="606">
        <f t="shared" si="622"/>
        <v>0</v>
      </c>
      <c r="DV496" s="607">
        <f t="shared" si="623"/>
        <v>0</v>
      </c>
      <c r="DW496" s="608">
        <f t="shared" si="624"/>
        <v>0</v>
      </c>
      <c r="DX496" s="607">
        <f t="shared" si="625"/>
        <v>592359</v>
      </c>
      <c r="DY496" s="608">
        <f t="shared" si="626"/>
        <v>655284</v>
      </c>
      <c r="DZ496" s="607">
        <f t="shared" si="627"/>
        <v>592359</v>
      </c>
      <c r="EA496" s="608">
        <f t="shared" si="628"/>
        <v>655284</v>
      </c>
    </row>
    <row r="497" spans="1:131" x14ac:dyDescent="0.2">
      <c r="A497" s="482" t="s">
        <v>42</v>
      </c>
      <c r="B497" s="431" t="s">
        <v>941</v>
      </c>
      <c r="C497" s="581"/>
      <c r="D497" s="480">
        <v>220321</v>
      </c>
      <c r="E497" s="418">
        <v>13</v>
      </c>
      <c r="F497" s="598"/>
      <c r="G497" s="599"/>
      <c r="H497" s="600"/>
      <c r="I497" s="601"/>
      <c r="J497" s="600"/>
      <c r="K497" s="599"/>
      <c r="L497" s="600"/>
      <c r="M497" s="601"/>
      <c r="N497" s="600"/>
      <c r="O497" s="599"/>
      <c r="P497" s="600"/>
      <c r="Q497" s="601"/>
      <c r="R497" s="600"/>
      <c r="S497" s="599"/>
      <c r="T497" s="600"/>
      <c r="U497" s="601"/>
      <c r="V497" s="600"/>
      <c r="W497" s="599"/>
      <c r="X497" s="600"/>
      <c r="Y497" s="601"/>
      <c r="Z497" s="600"/>
      <c r="AA497" s="599"/>
      <c r="AB497" s="600"/>
      <c r="AC497" s="601"/>
      <c r="AD497" s="600"/>
      <c r="AE497" s="599"/>
      <c r="AF497" s="600"/>
      <c r="AG497" s="601"/>
      <c r="AH497" s="600"/>
      <c r="AI497" s="599"/>
      <c r="AJ497" s="600"/>
      <c r="AK497" s="601"/>
      <c r="AL497" s="600"/>
      <c r="AM497" s="599"/>
      <c r="AN497" s="600"/>
      <c r="AO497" s="601"/>
      <c r="AP497" s="600"/>
      <c r="AQ497" s="599"/>
      <c r="AR497" s="600"/>
      <c r="AS497" s="601"/>
      <c r="AT497" s="600"/>
      <c r="AU497" s="599"/>
      <c r="AV497" s="600"/>
      <c r="AW497" s="601"/>
      <c r="AX497" s="600"/>
      <c r="AY497" s="599"/>
      <c r="AZ497" s="621">
        <v>22</v>
      </c>
      <c r="BA497" s="601">
        <v>18</v>
      </c>
      <c r="BB497" s="602">
        <v>0</v>
      </c>
      <c r="BC497" s="599"/>
      <c r="BD497" s="600">
        <v>0</v>
      </c>
      <c r="BE497" s="599"/>
      <c r="BF497" s="600">
        <v>0</v>
      </c>
      <c r="BG497" s="599"/>
      <c r="BH497" s="600">
        <v>0</v>
      </c>
      <c r="BI497" s="599"/>
      <c r="BJ497" s="600">
        <v>0</v>
      </c>
      <c r="BK497" s="615"/>
      <c r="BL497" s="621">
        <v>988671.99999999988</v>
      </c>
      <c r="BM497" s="604">
        <v>826873</v>
      </c>
      <c r="BN497" s="605">
        <f t="shared" si="563"/>
        <v>0</v>
      </c>
      <c r="BO497" s="606">
        <f t="shared" si="564"/>
        <v>0</v>
      </c>
      <c r="BP497" s="607">
        <f t="shared" si="565"/>
        <v>0</v>
      </c>
      <c r="BQ497" s="606">
        <f t="shared" si="566"/>
        <v>0</v>
      </c>
      <c r="BR497" s="607">
        <f t="shared" si="567"/>
        <v>0</v>
      </c>
      <c r="BS497" s="606">
        <f t="shared" si="568"/>
        <v>0</v>
      </c>
      <c r="BT497" s="607">
        <f t="shared" si="569"/>
        <v>0</v>
      </c>
      <c r="BU497" s="606">
        <f t="shared" si="570"/>
        <v>0</v>
      </c>
      <c r="BV497" s="607">
        <f t="shared" si="571"/>
        <v>0</v>
      </c>
      <c r="BW497" s="608">
        <f t="shared" si="572"/>
        <v>0</v>
      </c>
      <c r="BX497" s="607">
        <f t="shared" si="573"/>
        <v>264</v>
      </c>
      <c r="BY497" s="608">
        <f t="shared" si="574"/>
        <v>216</v>
      </c>
      <c r="BZ497" s="607">
        <f t="shared" si="575"/>
        <v>0</v>
      </c>
      <c r="CA497" s="608">
        <f t="shared" si="576"/>
        <v>0</v>
      </c>
      <c r="CB497" s="607">
        <f t="shared" si="577"/>
        <v>0</v>
      </c>
      <c r="CC497" s="608">
        <f t="shared" si="578"/>
        <v>0</v>
      </c>
      <c r="CD497" s="607">
        <f t="shared" si="579"/>
        <v>0</v>
      </c>
      <c r="CE497" s="608">
        <f t="shared" si="580"/>
        <v>0</v>
      </c>
      <c r="CF497" s="607">
        <f t="shared" si="581"/>
        <v>0</v>
      </c>
      <c r="CG497" s="608">
        <f t="shared" si="582"/>
        <v>0</v>
      </c>
      <c r="CH497" s="607">
        <f t="shared" si="583"/>
        <v>0</v>
      </c>
      <c r="CI497" s="608">
        <f t="shared" si="584"/>
        <v>0</v>
      </c>
      <c r="CJ497" s="607">
        <f t="shared" si="585"/>
        <v>3744.9696969696965</v>
      </c>
      <c r="CK497" s="608">
        <f t="shared" si="586"/>
        <v>3828.1157407407409</v>
      </c>
      <c r="CL497" s="609">
        <f t="shared" si="587"/>
        <v>0</v>
      </c>
      <c r="CM497" s="608">
        <f t="shared" si="588"/>
        <v>0</v>
      </c>
      <c r="CN497" s="610">
        <f t="shared" si="589"/>
        <v>0</v>
      </c>
      <c r="CO497" s="606">
        <f t="shared" si="590"/>
        <v>0</v>
      </c>
      <c r="CP497" s="607">
        <f t="shared" si="591"/>
        <v>0</v>
      </c>
      <c r="CQ497" s="606">
        <f t="shared" si="592"/>
        <v>0</v>
      </c>
      <c r="CR497" s="607">
        <f t="shared" si="593"/>
        <v>0</v>
      </c>
      <c r="CS497" s="606">
        <f t="shared" si="594"/>
        <v>0</v>
      </c>
      <c r="CT497" s="607">
        <f t="shared" si="595"/>
        <v>0</v>
      </c>
      <c r="CU497" s="608">
        <f t="shared" si="596"/>
        <v>0</v>
      </c>
      <c r="CV497" s="610">
        <f t="shared" si="597"/>
        <v>33704.727272727272</v>
      </c>
      <c r="CW497" s="608">
        <f t="shared" si="598"/>
        <v>34453.041666666672</v>
      </c>
      <c r="CX497" s="610">
        <f t="shared" si="599"/>
        <v>33704.727272727272</v>
      </c>
      <c r="CY497" s="611">
        <f t="shared" si="600"/>
        <v>34453.041666666672</v>
      </c>
      <c r="CZ497" s="605">
        <f t="shared" si="601"/>
        <v>0</v>
      </c>
      <c r="DA497" s="612">
        <f t="shared" si="602"/>
        <v>0</v>
      </c>
      <c r="DB497" s="607">
        <f t="shared" si="603"/>
        <v>0</v>
      </c>
      <c r="DC497" s="606">
        <f t="shared" si="604"/>
        <v>0</v>
      </c>
      <c r="DD497" s="607">
        <f t="shared" si="605"/>
        <v>0</v>
      </c>
      <c r="DE497" s="606">
        <f t="shared" si="606"/>
        <v>0</v>
      </c>
      <c r="DF497" s="607">
        <f t="shared" si="607"/>
        <v>0</v>
      </c>
      <c r="DG497" s="606">
        <f t="shared" si="608"/>
        <v>0</v>
      </c>
      <c r="DH497" s="607">
        <f t="shared" si="609"/>
        <v>0</v>
      </c>
      <c r="DI497" s="608">
        <f t="shared" si="610"/>
        <v>0</v>
      </c>
      <c r="DJ497" s="607">
        <f t="shared" si="611"/>
        <v>22</v>
      </c>
      <c r="DK497" s="608">
        <f t="shared" si="612"/>
        <v>18</v>
      </c>
      <c r="DL497" s="607">
        <f t="shared" si="613"/>
        <v>22</v>
      </c>
      <c r="DM497" s="608">
        <f t="shared" si="614"/>
        <v>18</v>
      </c>
      <c r="DN497" s="607">
        <f t="shared" si="615"/>
        <v>0</v>
      </c>
      <c r="DO497" s="612">
        <f t="shared" si="616"/>
        <v>0</v>
      </c>
      <c r="DP497" s="607">
        <f t="shared" si="617"/>
        <v>0</v>
      </c>
      <c r="DQ497" s="606">
        <f t="shared" si="618"/>
        <v>0</v>
      </c>
      <c r="DR497" s="607">
        <f t="shared" si="619"/>
        <v>0</v>
      </c>
      <c r="DS497" s="606">
        <f t="shared" si="620"/>
        <v>0</v>
      </c>
      <c r="DT497" s="607">
        <f t="shared" si="621"/>
        <v>0</v>
      </c>
      <c r="DU497" s="606">
        <f t="shared" si="622"/>
        <v>0</v>
      </c>
      <c r="DV497" s="607">
        <f t="shared" si="623"/>
        <v>0</v>
      </c>
      <c r="DW497" s="608">
        <f t="shared" si="624"/>
        <v>0</v>
      </c>
      <c r="DX497" s="607">
        <f t="shared" si="625"/>
        <v>741504</v>
      </c>
      <c r="DY497" s="608">
        <f t="shared" si="626"/>
        <v>620154.75000000012</v>
      </c>
      <c r="DZ497" s="607">
        <f t="shared" si="627"/>
        <v>741504</v>
      </c>
      <c r="EA497" s="608">
        <f t="shared" si="628"/>
        <v>620154.75000000012</v>
      </c>
    </row>
    <row r="498" spans="1:131" x14ac:dyDescent="0.2">
      <c r="A498" s="482" t="s">
        <v>42</v>
      </c>
      <c r="B498" s="431" t="s">
        <v>942</v>
      </c>
      <c r="C498" s="581"/>
      <c r="D498" s="480">
        <v>220394</v>
      </c>
      <c r="E498" s="418">
        <v>13</v>
      </c>
      <c r="F498" s="598"/>
      <c r="G498" s="599"/>
      <c r="H498" s="600"/>
      <c r="I498" s="601"/>
      <c r="J498" s="600"/>
      <c r="K498" s="599"/>
      <c r="L498" s="600"/>
      <c r="M498" s="601"/>
      <c r="N498" s="600"/>
      <c r="O498" s="599"/>
      <c r="P498" s="600"/>
      <c r="Q498" s="601"/>
      <c r="R498" s="600"/>
      <c r="S498" s="599"/>
      <c r="T498" s="600"/>
      <c r="U498" s="601"/>
      <c r="V498" s="600"/>
      <c r="W498" s="599"/>
      <c r="X498" s="600"/>
      <c r="Y498" s="601"/>
      <c r="Z498" s="600"/>
      <c r="AA498" s="599"/>
      <c r="AB498" s="600"/>
      <c r="AC498" s="601"/>
      <c r="AD498" s="600"/>
      <c r="AE498" s="599"/>
      <c r="AF498" s="600"/>
      <c r="AG498" s="601"/>
      <c r="AH498" s="600"/>
      <c r="AI498" s="599"/>
      <c r="AJ498" s="600"/>
      <c r="AK498" s="601"/>
      <c r="AL498" s="600"/>
      <c r="AM498" s="599"/>
      <c r="AN498" s="600"/>
      <c r="AO498" s="601"/>
      <c r="AP498" s="600"/>
      <c r="AQ498" s="599"/>
      <c r="AR498" s="600"/>
      <c r="AS498" s="601"/>
      <c r="AT498" s="600"/>
      <c r="AU498" s="599"/>
      <c r="AV498" s="600"/>
      <c r="AW498" s="601"/>
      <c r="AX498" s="600"/>
      <c r="AY498" s="599"/>
      <c r="AZ498" s="621">
        <v>9</v>
      </c>
      <c r="BA498" s="601">
        <v>9</v>
      </c>
      <c r="BB498" s="602">
        <v>0</v>
      </c>
      <c r="BC498" s="599"/>
      <c r="BD498" s="600">
        <v>0</v>
      </c>
      <c r="BE498" s="599"/>
      <c r="BF498" s="600">
        <v>0</v>
      </c>
      <c r="BG498" s="599"/>
      <c r="BH498" s="600">
        <v>0</v>
      </c>
      <c r="BI498" s="599"/>
      <c r="BJ498" s="600">
        <v>0</v>
      </c>
      <c r="BK498" s="615"/>
      <c r="BL498" s="621">
        <v>454224</v>
      </c>
      <c r="BM498" s="604">
        <v>454605</v>
      </c>
      <c r="BN498" s="605">
        <f t="shared" si="563"/>
        <v>0</v>
      </c>
      <c r="BO498" s="606">
        <f t="shared" si="564"/>
        <v>0</v>
      </c>
      <c r="BP498" s="607">
        <f t="shared" si="565"/>
        <v>0</v>
      </c>
      <c r="BQ498" s="606">
        <f t="shared" si="566"/>
        <v>0</v>
      </c>
      <c r="BR498" s="607">
        <f t="shared" si="567"/>
        <v>0</v>
      </c>
      <c r="BS498" s="606">
        <f t="shared" si="568"/>
        <v>0</v>
      </c>
      <c r="BT498" s="607">
        <f t="shared" si="569"/>
        <v>0</v>
      </c>
      <c r="BU498" s="606">
        <f t="shared" si="570"/>
        <v>0</v>
      </c>
      <c r="BV498" s="607">
        <f t="shared" si="571"/>
        <v>0</v>
      </c>
      <c r="BW498" s="608">
        <f t="shared" si="572"/>
        <v>0</v>
      </c>
      <c r="BX498" s="607">
        <f t="shared" si="573"/>
        <v>108</v>
      </c>
      <c r="BY498" s="608">
        <f t="shared" si="574"/>
        <v>108</v>
      </c>
      <c r="BZ498" s="607">
        <f t="shared" si="575"/>
        <v>0</v>
      </c>
      <c r="CA498" s="608">
        <f t="shared" si="576"/>
        <v>0</v>
      </c>
      <c r="CB498" s="607">
        <f t="shared" si="577"/>
        <v>0</v>
      </c>
      <c r="CC498" s="608">
        <f t="shared" si="578"/>
        <v>0</v>
      </c>
      <c r="CD498" s="607">
        <f t="shared" si="579"/>
        <v>0</v>
      </c>
      <c r="CE498" s="608">
        <f t="shared" si="580"/>
        <v>0</v>
      </c>
      <c r="CF498" s="607">
        <f t="shared" si="581"/>
        <v>0</v>
      </c>
      <c r="CG498" s="608">
        <f t="shared" si="582"/>
        <v>0</v>
      </c>
      <c r="CH498" s="607">
        <f t="shared" si="583"/>
        <v>0</v>
      </c>
      <c r="CI498" s="608">
        <f t="shared" si="584"/>
        <v>0</v>
      </c>
      <c r="CJ498" s="607">
        <f t="shared" si="585"/>
        <v>4205.7777777777774</v>
      </c>
      <c r="CK498" s="608">
        <f t="shared" si="586"/>
        <v>4209.3055555555557</v>
      </c>
      <c r="CL498" s="609">
        <f t="shared" si="587"/>
        <v>0</v>
      </c>
      <c r="CM498" s="608">
        <f t="shared" si="588"/>
        <v>0</v>
      </c>
      <c r="CN498" s="610">
        <f t="shared" si="589"/>
        <v>0</v>
      </c>
      <c r="CO498" s="606">
        <f t="shared" si="590"/>
        <v>0</v>
      </c>
      <c r="CP498" s="607">
        <f t="shared" si="591"/>
        <v>0</v>
      </c>
      <c r="CQ498" s="606">
        <f t="shared" si="592"/>
        <v>0</v>
      </c>
      <c r="CR498" s="607">
        <f t="shared" si="593"/>
        <v>0</v>
      </c>
      <c r="CS498" s="606">
        <f t="shared" si="594"/>
        <v>0</v>
      </c>
      <c r="CT498" s="607">
        <f t="shared" si="595"/>
        <v>0</v>
      </c>
      <c r="CU498" s="608">
        <f t="shared" si="596"/>
        <v>0</v>
      </c>
      <c r="CV498" s="610">
        <f t="shared" si="597"/>
        <v>37852</v>
      </c>
      <c r="CW498" s="608">
        <f t="shared" si="598"/>
        <v>37883.75</v>
      </c>
      <c r="CX498" s="610">
        <f t="shared" si="599"/>
        <v>37852</v>
      </c>
      <c r="CY498" s="611">
        <f t="shared" si="600"/>
        <v>37883.75</v>
      </c>
      <c r="CZ498" s="605">
        <f t="shared" si="601"/>
        <v>0</v>
      </c>
      <c r="DA498" s="612">
        <f t="shared" si="602"/>
        <v>0</v>
      </c>
      <c r="DB498" s="607">
        <f t="shared" si="603"/>
        <v>0</v>
      </c>
      <c r="DC498" s="606">
        <f t="shared" si="604"/>
        <v>0</v>
      </c>
      <c r="DD498" s="607">
        <f t="shared" si="605"/>
        <v>0</v>
      </c>
      <c r="DE498" s="606">
        <f t="shared" si="606"/>
        <v>0</v>
      </c>
      <c r="DF498" s="607">
        <f t="shared" si="607"/>
        <v>0</v>
      </c>
      <c r="DG498" s="606">
        <f t="shared" si="608"/>
        <v>0</v>
      </c>
      <c r="DH498" s="607">
        <f t="shared" si="609"/>
        <v>0</v>
      </c>
      <c r="DI498" s="608">
        <f t="shared" si="610"/>
        <v>0</v>
      </c>
      <c r="DJ498" s="607">
        <f t="shared" si="611"/>
        <v>9</v>
      </c>
      <c r="DK498" s="608">
        <f t="shared" si="612"/>
        <v>9</v>
      </c>
      <c r="DL498" s="607">
        <f t="shared" si="613"/>
        <v>9</v>
      </c>
      <c r="DM498" s="608">
        <f t="shared" si="614"/>
        <v>9</v>
      </c>
      <c r="DN498" s="607">
        <f t="shared" si="615"/>
        <v>0</v>
      </c>
      <c r="DO498" s="612">
        <f t="shared" si="616"/>
        <v>0</v>
      </c>
      <c r="DP498" s="607">
        <f t="shared" si="617"/>
        <v>0</v>
      </c>
      <c r="DQ498" s="606">
        <f t="shared" si="618"/>
        <v>0</v>
      </c>
      <c r="DR498" s="607">
        <f t="shared" si="619"/>
        <v>0</v>
      </c>
      <c r="DS498" s="606">
        <f t="shared" si="620"/>
        <v>0</v>
      </c>
      <c r="DT498" s="607">
        <f t="shared" si="621"/>
        <v>0</v>
      </c>
      <c r="DU498" s="606">
        <f t="shared" si="622"/>
        <v>0</v>
      </c>
      <c r="DV498" s="607">
        <f t="shared" si="623"/>
        <v>0</v>
      </c>
      <c r="DW498" s="608">
        <f t="shared" si="624"/>
        <v>0</v>
      </c>
      <c r="DX498" s="607">
        <f t="shared" si="625"/>
        <v>340668</v>
      </c>
      <c r="DY498" s="608">
        <f t="shared" si="626"/>
        <v>340953.75</v>
      </c>
      <c r="DZ498" s="607">
        <f t="shared" si="627"/>
        <v>340668</v>
      </c>
      <c r="EA498" s="608">
        <f t="shared" si="628"/>
        <v>340953.75</v>
      </c>
    </row>
    <row r="499" spans="1:131" x14ac:dyDescent="0.2">
      <c r="A499" s="482" t="s">
        <v>42</v>
      </c>
      <c r="B499" s="431" t="s">
        <v>943</v>
      </c>
      <c r="C499" s="581"/>
      <c r="D499" s="480">
        <v>221616</v>
      </c>
      <c r="E499" s="418">
        <v>13</v>
      </c>
      <c r="F499" s="598"/>
      <c r="G499" s="599"/>
      <c r="H499" s="600"/>
      <c r="I499" s="601"/>
      <c r="J499" s="600"/>
      <c r="K499" s="599"/>
      <c r="L499" s="600"/>
      <c r="M499" s="601"/>
      <c r="N499" s="600"/>
      <c r="O499" s="599"/>
      <c r="P499" s="600"/>
      <c r="Q499" s="601"/>
      <c r="R499" s="600"/>
      <c r="S499" s="599"/>
      <c r="T499" s="600"/>
      <c r="U499" s="601"/>
      <c r="V499" s="600"/>
      <c r="W499" s="599"/>
      <c r="X499" s="600"/>
      <c r="Y499" s="601"/>
      <c r="Z499" s="600"/>
      <c r="AA499" s="599"/>
      <c r="AB499" s="600"/>
      <c r="AC499" s="601"/>
      <c r="AD499" s="600"/>
      <c r="AE499" s="599"/>
      <c r="AF499" s="600"/>
      <c r="AG499" s="601"/>
      <c r="AH499" s="600"/>
      <c r="AI499" s="599"/>
      <c r="AJ499" s="600"/>
      <c r="AK499" s="601"/>
      <c r="AL499" s="600"/>
      <c r="AM499" s="599"/>
      <c r="AN499" s="600"/>
      <c r="AO499" s="601"/>
      <c r="AP499" s="600"/>
      <c r="AQ499" s="599"/>
      <c r="AR499" s="600"/>
      <c r="AS499" s="601"/>
      <c r="AT499" s="600"/>
      <c r="AU499" s="599"/>
      <c r="AV499" s="600"/>
      <c r="AW499" s="601"/>
      <c r="AX499" s="600"/>
      <c r="AY499" s="599"/>
      <c r="AZ499" s="621">
        <v>18</v>
      </c>
      <c r="BA499" s="601">
        <v>25</v>
      </c>
      <c r="BB499" s="602">
        <v>0</v>
      </c>
      <c r="BC499" s="599"/>
      <c r="BD499" s="600">
        <v>0</v>
      </c>
      <c r="BE499" s="599"/>
      <c r="BF499" s="600">
        <v>0</v>
      </c>
      <c r="BG499" s="599"/>
      <c r="BH499" s="600">
        <v>0</v>
      </c>
      <c r="BI499" s="599"/>
      <c r="BJ499" s="600">
        <v>0</v>
      </c>
      <c r="BK499" s="615"/>
      <c r="BL499" s="621">
        <v>869595</v>
      </c>
      <c r="BM499" s="604">
        <v>1229645</v>
      </c>
      <c r="BN499" s="605">
        <f t="shared" si="563"/>
        <v>0</v>
      </c>
      <c r="BO499" s="606">
        <f t="shared" si="564"/>
        <v>0</v>
      </c>
      <c r="BP499" s="607">
        <f t="shared" si="565"/>
        <v>0</v>
      </c>
      <c r="BQ499" s="606">
        <f t="shared" si="566"/>
        <v>0</v>
      </c>
      <c r="BR499" s="607">
        <f t="shared" si="567"/>
        <v>0</v>
      </c>
      <c r="BS499" s="606">
        <f t="shared" si="568"/>
        <v>0</v>
      </c>
      <c r="BT499" s="607">
        <f t="shared" si="569"/>
        <v>0</v>
      </c>
      <c r="BU499" s="606">
        <f t="shared" si="570"/>
        <v>0</v>
      </c>
      <c r="BV499" s="607">
        <f t="shared" si="571"/>
        <v>0</v>
      </c>
      <c r="BW499" s="608">
        <f t="shared" si="572"/>
        <v>0</v>
      </c>
      <c r="BX499" s="607">
        <f t="shared" si="573"/>
        <v>216</v>
      </c>
      <c r="BY499" s="608">
        <f t="shared" si="574"/>
        <v>300</v>
      </c>
      <c r="BZ499" s="607">
        <f t="shared" si="575"/>
        <v>0</v>
      </c>
      <c r="CA499" s="608">
        <f t="shared" si="576"/>
        <v>0</v>
      </c>
      <c r="CB499" s="607">
        <f t="shared" si="577"/>
        <v>0</v>
      </c>
      <c r="CC499" s="608">
        <f t="shared" si="578"/>
        <v>0</v>
      </c>
      <c r="CD499" s="607">
        <f t="shared" si="579"/>
        <v>0</v>
      </c>
      <c r="CE499" s="608">
        <f t="shared" si="580"/>
        <v>0</v>
      </c>
      <c r="CF499" s="607">
        <f t="shared" si="581"/>
        <v>0</v>
      </c>
      <c r="CG499" s="608">
        <f t="shared" si="582"/>
        <v>0</v>
      </c>
      <c r="CH499" s="607">
        <f t="shared" si="583"/>
        <v>0</v>
      </c>
      <c r="CI499" s="608">
        <f t="shared" si="584"/>
        <v>0</v>
      </c>
      <c r="CJ499" s="607">
        <f t="shared" si="585"/>
        <v>4025.9027777777778</v>
      </c>
      <c r="CK499" s="608">
        <f t="shared" si="586"/>
        <v>4098.8166666666666</v>
      </c>
      <c r="CL499" s="609">
        <f t="shared" si="587"/>
        <v>0</v>
      </c>
      <c r="CM499" s="608">
        <f t="shared" si="588"/>
        <v>0</v>
      </c>
      <c r="CN499" s="610">
        <f t="shared" si="589"/>
        <v>0</v>
      </c>
      <c r="CO499" s="606">
        <f t="shared" si="590"/>
        <v>0</v>
      </c>
      <c r="CP499" s="607">
        <f t="shared" si="591"/>
        <v>0</v>
      </c>
      <c r="CQ499" s="606">
        <f t="shared" si="592"/>
        <v>0</v>
      </c>
      <c r="CR499" s="607">
        <f t="shared" si="593"/>
        <v>0</v>
      </c>
      <c r="CS499" s="606">
        <f t="shared" si="594"/>
        <v>0</v>
      </c>
      <c r="CT499" s="607">
        <f t="shared" si="595"/>
        <v>0</v>
      </c>
      <c r="CU499" s="608">
        <f t="shared" si="596"/>
        <v>0</v>
      </c>
      <c r="CV499" s="610">
        <f t="shared" si="597"/>
        <v>36233.125</v>
      </c>
      <c r="CW499" s="608">
        <f t="shared" si="598"/>
        <v>36889.35</v>
      </c>
      <c r="CX499" s="610">
        <f t="shared" si="599"/>
        <v>36233.125</v>
      </c>
      <c r="CY499" s="611">
        <f t="shared" si="600"/>
        <v>36889.35</v>
      </c>
      <c r="CZ499" s="605">
        <f t="shared" si="601"/>
        <v>0</v>
      </c>
      <c r="DA499" s="612">
        <f t="shared" si="602"/>
        <v>0</v>
      </c>
      <c r="DB499" s="607">
        <f t="shared" si="603"/>
        <v>0</v>
      </c>
      <c r="DC499" s="606">
        <f t="shared" si="604"/>
        <v>0</v>
      </c>
      <c r="DD499" s="607">
        <f t="shared" si="605"/>
        <v>0</v>
      </c>
      <c r="DE499" s="606">
        <f t="shared" si="606"/>
        <v>0</v>
      </c>
      <c r="DF499" s="607">
        <f t="shared" si="607"/>
        <v>0</v>
      </c>
      <c r="DG499" s="606">
        <f t="shared" si="608"/>
        <v>0</v>
      </c>
      <c r="DH499" s="607">
        <f t="shared" si="609"/>
        <v>0</v>
      </c>
      <c r="DI499" s="608">
        <f t="shared" si="610"/>
        <v>0</v>
      </c>
      <c r="DJ499" s="607">
        <f t="shared" si="611"/>
        <v>18</v>
      </c>
      <c r="DK499" s="608">
        <f t="shared" si="612"/>
        <v>25</v>
      </c>
      <c r="DL499" s="607">
        <f t="shared" si="613"/>
        <v>18</v>
      </c>
      <c r="DM499" s="608">
        <f t="shared" si="614"/>
        <v>25</v>
      </c>
      <c r="DN499" s="607">
        <f t="shared" si="615"/>
        <v>0</v>
      </c>
      <c r="DO499" s="612">
        <f t="shared" si="616"/>
        <v>0</v>
      </c>
      <c r="DP499" s="607">
        <f t="shared" si="617"/>
        <v>0</v>
      </c>
      <c r="DQ499" s="606">
        <f t="shared" si="618"/>
        <v>0</v>
      </c>
      <c r="DR499" s="607">
        <f t="shared" si="619"/>
        <v>0</v>
      </c>
      <c r="DS499" s="606">
        <f t="shared" si="620"/>
        <v>0</v>
      </c>
      <c r="DT499" s="607">
        <f t="shared" si="621"/>
        <v>0</v>
      </c>
      <c r="DU499" s="606">
        <f t="shared" si="622"/>
        <v>0</v>
      </c>
      <c r="DV499" s="607">
        <f t="shared" si="623"/>
        <v>0</v>
      </c>
      <c r="DW499" s="608">
        <f t="shared" si="624"/>
        <v>0</v>
      </c>
      <c r="DX499" s="607">
        <f t="shared" si="625"/>
        <v>652196.25</v>
      </c>
      <c r="DY499" s="608">
        <f t="shared" si="626"/>
        <v>922233.75</v>
      </c>
      <c r="DZ499" s="607">
        <f t="shared" si="627"/>
        <v>652196.25</v>
      </c>
      <c r="EA499" s="608">
        <f t="shared" si="628"/>
        <v>922233.75</v>
      </c>
    </row>
    <row r="500" spans="1:131" x14ac:dyDescent="0.2">
      <c r="A500" s="482" t="s">
        <v>42</v>
      </c>
      <c r="B500" s="431" t="s">
        <v>944</v>
      </c>
      <c r="C500" s="581"/>
      <c r="D500" s="480">
        <v>221625</v>
      </c>
      <c r="E500" s="418">
        <v>13</v>
      </c>
      <c r="F500" s="598"/>
      <c r="G500" s="599"/>
      <c r="H500" s="600"/>
      <c r="I500" s="601"/>
      <c r="J500" s="600"/>
      <c r="K500" s="599"/>
      <c r="L500" s="600"/>
      <c r="M500" s="601"/>
      <c r="N500" s="600"/>
      <c r="O500" s="599"/>
      <c r="P500" s="600"/>
      <c r="Q500" s="601"/>
      <c r="R500" s="600"/>
      <c r="S500" s="599"/>
      <c r="T500" s="600"/>
      <c r="U500" s="601"/>
      <c r="V500" s="600"/>
      <c r="W500" s="599"/>
      <c r="X500" s="600"/>
      <c r="Y500" s="601"/>
      <c r="Z500" s="600"/>
      <c r="AA500" s="599"/>
      <c r="AB500" s="600"/>
      <c r="AC500" s="601"/>
      <c r="AD500" s="600"/>
      <c r="AE500" s="599"/>
      <c r="AF500" s="600"/>
      <c r="AG500" s="601"/>
      <c r="AH500" s="600"/>
      <c r="AI500" s="599"/>
      <c r="AJ500" s="600"/>
      <c r="AK500" s="601"/>
      <c r="AL500" s="600"/>
      <c r="AM500" s="599"/>
      <c r="AN500" s="600"/>
      <c r="AO500" s="601"/>
      <c r="AP500" s="600"/>
      <c r="AQ500" s="599"/>
      <c r="AR500" s="600"/>
      <c r="AS500" s="601"/>
      <c r="AT500" s="600"/>
      <c r="AU500" s="599"/>
      <c r="AV500" s="600"/>
      <c r="AW500" s="601"/>
      <c r="AX500" s="600"/>
      <c r="AY500" s="599"/>
      <c r="AZ500" s="621">
        <v>25</v>
      </c>
      <c r="BA500" s="601">
        <v>24</v>
      </c>
      <c r="BB500" s="602">
        <v>0</v>
      </c>
      <c r="BC500" s="599"/>
      <c r="BD500" s="600">
        <v>0</v>
      </c>
      <c r="BE500" s="599"/>
      <c r="BF500" s="600">
        <v>0</v>
      </c>
      <c r="BG500" s="599"/>
      <c r="BH500" s="600">
        <v>0</v>
      </c>
      <c r="BI500" s="599"/>
      <c r="BJ500" s="600">
        <v>0</v>
      </c>
      <c r="BK500" s="615"/>
      <c r="BL500" s="621">
        <v>1159816</v>
      </c>
      <c r="BM500" s="604">
        <v>1120626</v>
      </c>
      <c r="BN500" s="605">
        <f t="shared" si="563"/>
        <v>0</v>
      </c>
      <c r="BO500" s="606">
        <f t="shared" si="564"/>
        <v>0</v>
      </c>
      <c r="BP500" s="607">
        <f t="shared" si="565"/>
        <v>0</v>
      </c>
      <c r="BQ500" s="606">
        <f t="shared" si="566"/>
        <v>0</v>
      </c>
      <c r="BR500" s="607">
        <f t="shared" si="567"/>
        <v>0</v>
      </c>
      <c r="BS500" s="606">
        <f t="shared" si="568"/>
        <v>0</v>
      </c>
      <c r="BT500" s="607">
        <f t="shared" si="569"/>
        <v>0</v>
      </c>
      <c r="BU500" s="606">
        <f t="shared" si="570"/>
        <v>0</v>
      </c>
      <c r="BV500" s="607">
        <f t="shared" si="571"/>
        <v>0</v>
      </c>
      <c r="BW500" s="608">
        <f t="shared" si="572"/>
        <v>0</v>
      </c>
      <c r="BX500" s="607">
        <f t="shared" si="573"/>
        <v>300</v>
      </c>
      <c r="BY500" s="608">
        <f t="shared" si="574"/>
        <v>288</v>
      </c>
      <c r="BZ500" s="607">
        <f t="shared" si="575"/>
        <v>0</v>
      </c>
      <c r="CA500" s="608">
        <f t="shared" si="576"/>
        <v>0</v>
      </c>
      <c r="CB500" s="607">
        <f t="shared" si="577"/>
        <v>0</v>
      </c>
      <c r="CC500" s="608">
        <f t="shared" si="578"/>
        <v>0</v>
      </c>
      <c r="CD500" s="607">
        <f t="shared" si="579"/>
        <v>0</v>
      </c>
      <c r="CE500" s="608">
        <f t="shared" si="580"/>
        <v>0</v>
      </c>
      <c r="CF500" s="607">
        <f t="shared" si="581"/>
        <v>0</v>
      </c>
      <c r="CG500" s="608">
        <f t="shared" si="582"/>
        <v>0</v>
      </c>
      <c r="CH500" s="607">
        <f t="shared" si="583"/>
        <v>0</v>
      </c>
      <c r="CI500" s="608">
        <f t="shared" si="584"/>
        <v>0</v>
      </c>
      <c r="CJ500" s="607">
        <f t="shared" si="585"/>
        <v>3866.0533333333333</v>
      </c>
      <c r="CK500" s="608">
        <f t="shared" si="586"/>
        <v>3891.0625</v>
      </c>
      <c r="CL500" s="609">
        <f t="shared" si="587"/>
        <v>0</v>
      </c>
      <c r="CM500" s="608">
        <f t="shared" si="588"/>
        <v>0</v>
      </c>
      <c r="CN500" s="610">
        <f t="shared" si="589"/>
        <v>0</v>
      </c>
      <c r="CO500" s="606">
        <f t="shared" si="590"/>
        <v>0</v>
      </c>
      <c r="CP500" s="607">
        <f t="shared" si="591"/>
        <v>0</v>
      </c>
      <c r="CQ500" s="606">
        <f t="shared" si="592"/>
        <v>0</v>
      </c>
      <c r="CR500" s="607">
        <f t="shared" si="593"/>
        <v>0</v>
      </c>
      <c r="CS500" s="606">
        <f t="shared" si="594"/>
        <v>0</v>
      </c>
      <c r="CT500" s="607">
        <f t="shared" si="595"/>
        <v>0</v>
      </c>
      <c r="CU500" s="608">
        <f t="shared" si="596"/>
        <v>0</v>
      </c>
      <c r="CV500" s="610">
        <f t="shared" si="597"/>
        <v>34794.479999999996</v>
      </c>
      <c r="CW500" s="608">
        <f t="shared" si="598"/>
        <v>35019.5625</v>
      </c>
      <c r="CX500" s="610">
        <f t="shared" si="599"/>
        <v>34794.479999999996</v>
      </c>
      <c r="CY500" s="611">
        <f t="shared" si="600"/>
        <v>35019.5625</v>
      </c>
      <c r="CZ500" s="605">
        <f t="shared" si="601"/>
        <v>0</v>
      </c>
      <c r="DA500" s="612">
        <f t="shared" si="602"/>
        <v>0</v>
      </c>
      <c r="DB500" s="607">
        <f t="shared" si="603"/>
        <v>0</v>
      </c>
      <c r="DC500" s="606">
        <f t="shared" si="604"/>
        <v>0</v>
      </c>
      <c r="DD500" s="607">
        <f t="shared" si="605"/>
        <v>0</v>
      </c>
      <c r="DE500" s="606">
        <f t="shared" si="606"/>
        <v>0</v>
      </c>
      <c r="DF500" s="607">
        <f t="shared" si="607"/>
        <v>0</v>
      </c>
      <c r="DG500" s="606">
        <f t="shared" si="608"/>
        <v>0</v>
      </c>
      <c r="DH500" s="607">
        <f t="shared" si="609"/>
        <v>0</v>
      </c>
      <c r="DI500" s="608">
        <f t="shared" si="610"/>
        <v>0</v>
      </c>
      <c r="DJ500" s="607">
        <f t="shared" si="611"/>
        <v>25</v>
      </c>
      <c r="DK500" s="608">
        <f t="shared" si="612"/>
        <v>24</v>
      </c>
      <c r="DL500" s="607">
        <f t="shared" si="613"/>
        <v>25</v>
      </c>
      <c r="DM500" s="608">
        <f t="shared" si="614"/>
        <v>24</v>
      </c>
      <c r="DN500" s="607">
        <f t="shared" si="615"/>
        <v>0</v>
      </c>
      <c r="DO500" s="612">
        <f t="shared" si="616"/>
        <v>0</v>
      </c>
      <c r="DP500" s="607">
        <f t="shared" si="617"/>
        <v>0</v>
      </c>
      <c r="DQ500" s="606">
        <f t="shared" si="618"/>
        <v>0</v>
      </c>
      <c r="DR500" s="607">
        <f t="shared" si="619"/>
        <v>0</v>
      </c>
      <c r="DS500" s="606">
        <f t="shared" si="620"/>
        <v>0</v>
      </c>
      <c r="DT500" s="607">
        <f t="shared" si="621"/>
        <v>0</v>
      </c>
      <c r="DU500" s="606">
        <f t="shared" si="622"/>
        <v>0</v>
      </c>
      <c r="DV500" s="607">
        <f t="shared" si="623"/>
        <v>0</v>
      </c>
      <c r="DW500" s="608">
        <f t="shared" si="624"/>
        <v>0</v>
      </c>
      <c r="DX500" s="607">
        <f t="shared" si="625"/>
        <v>869861.99999999988</v>
      </c>
      <c r="DY500" s="608">
        <f t="shared" si="626"/>
        <v>840469.5</v>
      </c>
      <c r="DZ500" s="607">
        <f t="shared" si="627"/>
        <v>869861.99999999988</v>
      </c>
      <c r="EA500" s="608">
        <f t="shared" si="628"/>
        <v>840469.5</v>
      </c>
    </row>
    <row r="501" spans="1:131" x14ac:dyDescent="0.2">
      <c r="A501" s="482" t="s">
        <v>42</v>
      </c>
      <c r="B501" s="431" t="s">
        <v>945</v>
      </c>
      <c r="C501" s="581"/>
      <c r="D501" s="480">
        <v>220640</v>
      </c>
      <c r="E501" s="418">
        <v>13</v>
      </c>
      <c r="F501" s="598"/>
      <c r="G501" s="599"/>
      <c r="H501" s="600"/>
      <c r="I501" s="601"/>
      <c r="J501" s="600"/>
      <c r="K501" s="599"/>
      <c r="L501" s="600"/>
      <c r="M501" s="601"/>
      <c r="N501" s="600"/>
      <c r="O501" s="599"/>
      <c r="P501" s="600"/>
      <c r="Q501" s="601"/>
      <c r="R501" s="600"/>
      <c r="S501" s="599"/>
      <c r="T501" s="600"/>
      <c r="U501" s="601"/>
      <c r="V501" s="600"/>
      <c r="W501" s="599"/>
      <c r="X501" s="600"/>
      <c r="Y501" s="601"/>
      <c r="Z501" s="600"/>
      <c r="AA501" s="599"/>
      <c r="AB501" s="600"/>
      <c r="AC501" s="601"/>
      <c r="AD501" s="600"/>
      <c r="AE501" s="599"/>
      <c r="AF501" s="600"/>
      <c r="AG501" s="601"/>
      <c r="AH501" s="600"/>
      <c r="AI501" s="599"/>
      <c r="AJ501" s="600"/>
      <c r="AK501" s="601"/>
      <c r="AL501" s="600"/>
      <c r="AM501" s="599"/>
      <c r="AN501" s="600"/>
      <c r="AO501" s="601"/>
      <c r="AP501" s="600"/>
      <c r="AQ501" s="599"/>
      <c r="AR501" s="600"/>
      <c r="AS501" s="601"/>
      <c r="AT501" s="600"/>
      <c r="AU501" s="599"/>
      <c r="AV501" s="600"/>
      <c r="AW501" s="601"/>
      <c r="AX501" s="600"/>
      <c r="AY501" s="599"/>
      <c r="AZ501" s="621">
        <v>16</v>
      </c>
      <c r="BA501" s="601">
        <v>14</v>
      </c>
      <c r="BB501" s="602">
        <v>0</v>
      </c>
      <c r="BC501" s="599"/>
      <c r="BD501" s="600">
        <v>0</v>
      </c>
      <c r="BE501" s="599"/>
      <c r="BF501" s="600">
        <v>0</v>
      </c>
      <c r="BG501" s="599"/>
      <c r="BH501" s="600">
        <v>0</v>
      </c>
      <c r="BI501" s="599"/>
      <c r="BJ501" s="600">
        <v>0</v>
      </c>
      <c r="BK501" s="615"/>
      <c r="BL501" s="621">
        <v>733223.01</v>
      </c>
      <c r="BM501" s="604">
        <v>687116</v>
      </c>
      <c r="BN501" s="605">
        <f t="shared" si="563"/>
        <v>0</v>
      </c>
      <c r="BO501" s="606">
        <f t="shared" si="564"/>
        <v>0</v>
      </c>
      <c r="BP501" s="607">
        <f t="shared" si="565"/>
        <v>0</v>
      </c>
      <c r="BQ501" s="606">
        <f t="shared" si="566"/>
        <v>0</v>
      </c>
      <c r="BR501" s="607">
        <f t="shared" si="567"/>
        <v>0</v>
      </c>
      <c r="BS501" s="606">
        <f t="shared" si="568"/>
        <v>0</v>
      </c>
      <c r="BT501" s="607">
        <f t="shared" si="569"/>
        <v>0</v>
      </c>
      <c r="BU501" s="606">
        <f t="shared" si="570"/>
        <v>0</v>
      </c>
      <c r="BV501" s="607">
        <f t="shared" si="571"/>
        <v>0</v>
      </c>
      <c r="BW501" s="608">
        <f t="shared" si="572"/>
        <v>0</v>
      </c>
      <c r="BX501" s="607">
        <f t="shared" si="573"/>
        <v>192</v>
      </c>
      <c r="BY501" s="608">
        <f t="shared" si="574"/>
        <v>168</v>
      </c>
      <c r="BZ501" s="607">
        <f t="shared" si="575"/>
        <v>0</v>
      </c>
      <c r="CA501" s="608">
        <f t="shared" si="576"/>
        <v>0</v>
      </c>
      <c r="CB501" s="607">
        <f t="shared" si="577"/>
        <v>0</v>
      </c>
      <c r="CC501" s="608">
        <f t="shared" si="578"/>
        <v>0</v>
      </c>
      <c r="CD501" s="607">
        <f t="shared" si="579"/>
        <v>0</v>
      </c>
      <c r="CE501" s="608">
        <f t="shared" si="580"/>
        <v>0</v>
      </c>
      <c r="CF501" s="607">
        <f t="shared" si="581"/>
        <v>0</v>
      </c>
      <c r="CG501" s="608">
        <f t="shared" si="582"/>
        <v>0</v>
      </c>
      <c r="CH501" s="607">
        <f t="shared" si="583"/>
        <v>0</v>
      </c>
      <c r="CI501" s="608">
        <f t="shared" si="584"/>
        <v>0</v>
      </c>
      <c r="CJ501" s="607">
        <f t="shared" si="585"/>
        <v>3818.8698437500002</v>
      </c>
      <c r="CK501" s="608">
        <f t="shared" si="586"/>
        <v>4089.9761904761904</v>
      </c>
      <c r="CL501" s="609">
        <f t="shared" si="587"/>
        <v>0</v>
      </c>
      <c r="CM501" s="608">
        <f t="shared" si="588"/>
        <v>0</v>
      </c>
      <c r="CN501" s="610">
        <f t="shared" si="589"/>
        <v>0</v>
      </c>
      <c r="CO501" s="606">
        <f t="shared" si="590"/>
        <v>0</v>
      </c>
      <c r="CP501" s="607">
        <f t="shared" si="591"/>
        <v>0</v>
      </c>
      <c r="CQ501" s="606">
        <f t="shared" si="592"/>
        <v>0</v>
      </c>
      <c r="CR501" s="607">
        <f t="shared" si="593"/>
        <v>0</v>
      </c>
      <c r="CS501" s="606">
        <f t="shared" si="594"/>
        <v>0</v>
      </c>
      <c r="CT501" s="607">
        <f t="shared" si="595"/>
        <v>0</v>
      </c>
      <c r="CU501" s="608">
        <f t="shared" si="596"/>
        <v>0</v>
      </c>
      <c r="CV501" s="610">
        <f t="shared" si="597"/>
        <v>34369.828593750004</v>
      </c>
      <c r="CW501" s="608">
        <f t="shared" si="598"/>
        <v>36809.78571428571</v>
      </c>
      <c r="CX501" s="610">
        <f t="shared" si="599"/>
        <v>34369.828593750004</v>
      </c>
      <c r="CY501" s="611">
        <f t="shared" si="600"/>
        <v>36809.78571428571</v>
      </c>
      <c r="CZ501" s="605">
        <f t="shared" si="601"/>
        <v>0</v>
      </c>
      <c r="DA501" s="612">
        <f t="shared" si="602"/>
        <v>0</v>
      </c>
      <c r="DB501" s="607">
        <f t="shared" si="603"/>
        <v>0</v>
      </c>
      <c r="DC501" s="606">
        <f t="shared" si="604"/>
        <v>0</v>
      </c>
      <c r="DD501" s="607">
        <f t="shared" si="605"/>
        <v>0</v>
      </c>
      <c r="DE501" s="606">
        <f t="shared" si="606"/>
        <v>0</v>
      </c>
      <c r="DF501" s="607">
        <f t="shared" si="607"/>
        <v>0</v>
      </c>
      <c r="DG501" s="606">
        <f t="shared" si="608"/>
        <v>0</v>
      </c>
      <c r="DH501" s="607">
        <f t="shared" si="609"/>
        <v>0</v>
      </c>
      <c r="DI501" s="608">
        <f t="shared" si="610"/>
        <v>0</v>
      </c>
      <c r="DJ501" s="607">
        <f t="shared" si="611"/>
        <v>16</v>
      </c>
      <c r="DK501" s="608">
        <f t="shared" si="612"/>
        <v>14</v>
      </c>
      <c r="DL501" s="607">
        <f t="shared" si="613"/>
        <v>16</v>
      </c>
      <c r="DM501" s="608">
        <f t="shared" si="614"/>
        <v>14</v>
      </c>
      <c r="DN501" s="607">
        <f t="shared" si="615"/>
        <v>0</v>
      </c>
      <c r="DO501" s="612">
        <f t="shared" si="616"/>
        <v>0</v>
      </c>
      <c r="DP501" s="607">
        <f t="shared" si="617"/>
        <v>0</v>
      </c>
      <c r="DQ501" s="606">
        <f t="shared" si="618"/>
        <v>0</v>
      </c>
      <c r="DR501" s="607">
        <f t="shared" si="619"/>
        <v>0</v>
      </c>
      <c r="DS501" s="606">
        <f t="shared" si="620"/>
        <v>0</v>
      </c>
      <c r="DT501" s="607">
        <f t="shared" si="621"/>
        <v>0</v>
      </c>
      <c r="DU501" s="606">
        <f t="shared" si="622"/>
        <v>0</v>
      </c>
      <c r="DV501" s="607">
        <f t="shared" si="623"/>
        <v>0</v>
      </c>
      <c r="DW501" s="608">
        <f t="shared" si="624"/>
        <v>0</v>
      </c>
      <c r="DX501" s="607">
        <f t="shared" si="625"/>
        <v>549917.25750000007</v>
      </c>
      <c r="DY501" s="608">
        <f t="shared" si="626"/>
        <v>515336.99999999994</v>
      </c>
      <c r="DZ501" s="607">
        <f t="shared" si="627"/>
        <v>549917.25750000007</v>
      </c>
      <c r="EA501" s="608">
        <f t="shared" si="628"/>
        <v>515336.99999999994</v>
      </c>
    </row>
    <row r="502" spans="1:131" x14ac:dyDescent="0.2">
      <c r="A502" s="482" t="s">
        <v>42</v>
      </c>
      <c r="B502" s="431" t="s">
        <v>946</v>
      </c>
      <c r="C502" s="581"/>
      <c r="D502" s="480">
        <v>220756</v>
      </c>
      <c r="E502" s="418">
        <v>13</v>
      </c>
      <c r="F502" s="598"/>
      <c r="G502" s="599"/>
      <c r="H502" s="600"/>
      <c r="I502" s="601"/>
      <c r="J502" s="600"/>
      <c r="K502" s="599"/>
      <c r="L502" s="600"/>
      <c r="M502" s="601"/>
      <c r="N502" s="600"/>
      <c r="O502" s="599"/>
      <c r="P502" s="600"/>
      <c r="Q502" s="601"/>
      <c r="R502" s="600"/>
      <c r="S502" s="599"/>
      <c r="T502" s="600"/>
      <c r="U502" s="601"/>
      <c r="V502" s="600"/>
      <c r="W502" s="599"/>
      <c r="X502" s="600"/>
      <c r="Y502" s="601"/>
      <c r="Z502" s="600"/>
      <c r="AA502" s="599"/>
      <c r="AB502" s="600"/>
      <c r="AC502" s="601"/>
      <c r="AD502" s="600"/>
      <c r="AE502" s="599"/>
      <c r="AF502" s="600"/>
      <c r="AG502" s="601"/>
      <c r="AH502" s="600"/>
      <c r="AI502" s="599"/>
      <c r="AJ502" s="600"/>
      <c r="AK502" s="601"/>
      <c r="AL502" s="600"/>
      <c r="AM502" s="599"/>
      <c r="AN502" s="600"/>
      <c r="AO502" s="601"/>
      <c r="AP502" s="600"/>
      <c r="AQ502" s="599"/>
      <c r="AR502" s="600"/>
      <c r="AS502" s="601"/>
      <c r="AT502" s="600"/>
      <c r="AU502" s="599"/>
      <c r="AV502" s="600"/>
      <c r="AW502" s="601"/>
      <c r="AX502" s="600"/>
      <c r="AY502" s="599"/>
      <c r="AZ502" s="621">
        <v>9</v>
      </c>
      <c r="BA502" s="601">
        <v>11</v>
      </c>
      <c r="BB502" s="602">
        <v>0</v>
      </c>
      <c r="BC502" s="599"/>
      <c r="BD502" s="600">
        <v>0</v>
      </c>
      <c r="BE502" s="599"/>
      <c r="BF502" s="600">
        <v>0</v>
      </c>
      <c r="BG502" s="599"/>
      <c r="BH502" s="600">
        <v>0</v>
      </c>
      <c r="BI502" s="599"/>
      <c r="BJ502" s="600">
        <v>0</v>
      </c>
      <c r="BK502" s="615"/>
      <c r="BL502" s="621">
        <v>414107</v>
      </c>
      <c r="BM502" s="604">
        <v>518266</v>
      </c>
      <c r="BN502" s="605">
        <f t="shared" si="563"/>
        <v>0</v>
      </c>
      <c r="BO502" s="606">
        <f t="shared" si="564"/>
        <v>0</v>
      </c>
      <c r="BP502" s="607">
        <f t="shared" si="565"/>
        <v>0</v>
      </c>
      <c r="BQ502" s="606">
        <f t="shared" si="566"/>
        <v>0</v>
      </c>
      <c r="BR502" s="607">
        <f t="shared" si="567"/>
        <v>0</v>
      </c>
      <c r="BS502" s="606">
        <f t="shared" si="568"/>
        <v>0</v>
      </c>
      <c r="BT502" s="607">
        <f t="shared" si="569"/>
        <v>0</v>
      </c>
      <c r="BU502" s="606">
        <f t="shared" si="570"/>
        <v>0</v>
      </c>
      <c r="BV502" s="607">
        <f t="shared" si="571"/>
        <v>0</v>
      </c>
      <c r="BW502" s="608">
        <f t="shared" si="572"/>
        <v>0</v>
      </c>
      <c r="BX502" s="607">
        <f t="shared" si="573"/>
        <v>108</v>
      </c>
      <c r="BY502" s="608">
        <f t="shared" si="574"/>
        <v>132</v>
      </c>
      <c r="BZ502" s="607">
        <f t="shared" si="575"/>
        <v>0</v>
      </c>
      <c r="CA502" s="608">
        <f t="shared" si="576"/>
        <v>0</v>
      </c>
      <c r="CB502" s="607">
        <f t="shared" si="577"/>
        <v>0</v>
      </c>
      <c r="CC502" s="608">
        <f t="shared" si="578"/>
        <v>0</v>
      </c>
      <c r="CD502" s="607">
        <f t="shared" si="579"/>
        <v>0</v>
      </c>
      <c r="CE502" s="608">
        <f t="shared" si="580"/>
        <v>0</v>
      </c>
      <c r="CF502" s="607">
        <f t="shared" si="581"/>
        <v>0</v>
      </c>
      <c r="CG502" s="608">
        <f t="shared" si="582"/>
        <v>0</v>
      </c>
      <c r="CH502" s="607">
        <f t="shared" si="583"/>
        <v>0</v>
      </c>
      <c r="CI502" s="608">
        <f t="shared" si="584"/>
        <v>0</v>
      </c>
      <c r="CJ502" s="607">
        <f t="shared" si="585"/>
        <v>3834.3240740740739</v>
      </c>
      <c r="CK502" s="608">
        <f t="shared" si="586"/>
        <v>3926.257575757576</v>
      </c>
      <c r="CL502" s="609">
        <f t="shared" si="587"/>
        <v>0</v>
      </c>
      <c r="CM502" s="608">
        <f t="shared" si="588"/>
        <v>0</v>
      </c>
      <c r="CN502" s="610">
        <f t="shared" si="589"/>
        <v>0</v>
      </c>
      <c r="CO502" s="606">
        <f t="shared" si="590"/>
        <v>0</v>
      </c>
      <c r="CP502" s="607">
        <f t="shared" si="591"/>
        <v>0</v>
      </c>
      <c r="CQ502" s="606">
        <f t="shared" si="592"/>
        <v>0</v>
      </c>
      <c r="CR502" s="607">
        <f t="shared" si="593"/>
        <v>0</v>
      </c>
      <c r="CS502" s="606">
        <f t="shared" si="594"/>
        <v>0</v>
      </c>
      <c r="CT502" s="607">
        <f t="shared" si="595"/>
        <v>0</v>
      </c>
      <c r="CU502" s="608">
        <f t="shared" si="596"/>
        <v>0</v>
      </c>
      <c r="CV502" s="610">
        <f t="shared" si="597"/>
        <v>34508.916666666664</v>
      </c>
      <c r="CW502" s="608">
        <f t="shared" si="598"/>
        <v>35336.318181818184</v>
      </c>
      <c r="CX502" s="610">
        <f t="shared" si="599"/>
        <v>34508.916666666664</v>
      </c>
      <c r="CY502" s="611">
        <f t="shared" si="600"/>
        <v>35336.318181818184</v>
      </c>
      <c r="CZ502" s="605">
        <f t="shared" si="601"/>
        <v>0</v>
      </c>
      <c r="DA502" s="612">
        <f t="shared" si="602"/>
        <v>0</v>
      </c>
      <c r="DB502" s="607">
        <f t="shared" si="603"/>
        <v>0</v>
      </c>
      <c r="DC502" s="606">
        <f t="shared" si="604"/>
        <v>0</v>
      </c>
      <c r="DD502" s="607">
        <f t="shared" si="605"/>
        <v>0</v>
      </c>
      <c r="DE502" s="606">
        <f t="shared" si="606"/>
        <v>0</v>
      </c>
      <c r="DF502" s="607">
        <f t="shared" si="607"/>
        <v>0</v>
      </c>
      <c r="DG502" s="606">
        <f t="shared" si="608"/>
        <v>0</v>
      </c>
      <c r="DH502" s="607">
        <f t="shared" si="609"/>
        <v>0</v>
      </c>
      <c r="DI502" s="608">
        <f t="shared" si="610"/>
        <v>0</v>
      </c>
      <c r="DJ502" s="607">
        <f t="shared" si="611"/>
        <v>9</v>
      </c>
      <c r="DK502" s="608">
        <f t="shared" si="612"/>
        <v>11</v>
      </c>
      <c r="DL502" s="607">
        <f t="shared" si="613"/>
        <v>9</v>
      </c>
      <c r="DM502" s="608">
        <f t="shared" si="614"/>
        <v>11</v>
      </c>
      <c r="DN502" s="607">
        <f t="shared" si="615"/>
        <v>0</v>
      </c>
      <c r="DO502" s="612">
        <f t="shared" si="616"/>
        <v>0</v>
      </c>
      <c r="DP502" s="607">
        <f t="shared" si="617"/>
        <v>0</v>
      </c>
      <c r="DQ502" s="606">
        <f t="shared" si="618"/>
        <v>0</v>
      </c>
      <c r="DR502" s="607">
        <f t="shared" si="619"/>
        <v>0</v>
      </c>
      <c r="DS502" s="606">
        <f t="shared" si="620"/>
        <v>0</v>
      </c>
      <c r="DT502" s="607">
        <f t="shared" si="621"/>
        <v>0</v>
      </c>
      <c r="DU502" s="606">
        <f t="shared" si="622"/>
        <v>0</v>
      </c>
      <c r="DV502" s="607">
        <f t="shared" si="623"/>
        <v>0</v>
      </c>
      <c r="DW502" s="608">
        <f t="shared" si="624"/>
        <v>0</v>
      </c>
      <c r="DX502" s="607">
        <f t="shared" si="625"/>
        <v>310580.25</v>
      </c>
      <c r="DY502" s="608">
        <f t="shared" si="626"/>
        <v>388699.5</v>
      </c>
      <c r="DZ502" s="607">
        <f t="shared" si="627"/>
        <v>310580.25</v>
      </c>
      <c r="EA502" s="608">
        <f t="shared" si="628"/>
        <v>388699.5</v>
      </c>
    </row>
    <row r="503" spans="1:131" x14ac:dyDescent="0.2">
      <c r="A503" s="482" t="s">
        <v>42</v>
      </c>
      <c r="B503" s="431" t="s">
        <v>947</v>
      </c>
      <c r="C503" s="581"/>
      <c r="D503" s="480">
        <v>221607</v>
      </c>
      <c r="E503" s="418">
        <v>13</v>
      </c>
      <c r="F503" s="598"/>
      <c r="G503" s="599"/>
      <c r="H503" s="600"/>
      <c r="I503" s="601"/>
      <c r="J503" s="600"/>
      <c r="K503" s="599"/>
      <c r="L503" s="600"/>
      <c r="M503" s="601"/>
      <c r="N503" s="600"/>
      <c r="O503" s="599"/>
      <c r="P503" s="600"/>
      <c r="Q503" s="601"/>
      <c r="R503" s="600"/>
      <c r="S503" s="599"/>
      <c r="T503" s="600"/>
      <c r="U503" s="601"/>
      <c r="V503" s="600"/>
      <c r="W503" s="599"/>
      <c r="X503" s="600"/>
      <c r="Y503" s="601"/>
      <c r="Z503" s="600"/>
      <c r="AA503" s="599"/>
      <c r="AB503" s="600"/>
      <c r="AC503" s="601"/>
      <c r="AD503" s="600"/>
      <c r="AE503" s="599"/>
      <c r="AF503" s="600"/>
      <c r="AG503" s="601"/>
      <c r="AH503" s="600"/>
      <c r="AI503" s="599"/>
      <c r="AJ503" s="600"/>
      <c r="AK503" s="601"/>
      <c r="AL503" s="600"/>
      <c r="AM503" s="599"/>
      <c r="AN503" s="600"/>
      <c r="AO503" s="601"/>
      <c r="AP503" s="600"/>
      <c r="AQ503" s="599"/>
      <c r="AR503" s="600"/>
      <c r="AS503" s="601"/>
      <c r="AT503" s="600"/>
      <c r="AU503" s="599"/>
      <c r="AV503" s="600"/>
      <c r="AW503" s="601"/>
      <c r="AX503" s="600"/>
      <c r="AY503" s="599"/>
      <c r="AZ503" s="621">
        <v>11</v>
      </c>
      <c r="BA503" s="601">
        <v>11</v>
      </c>
      <c r="BB503" s="602">
        <v>0</v>
      </c>
      <c r="BC503" s="599"/>
      <c r="BD503" s="600">
        <v>0</v>
      </c>
      <c r="BE503" s="599"/>
      <c r="BF503" s="600">
        <v>0</v>
      </c>
      <c r="BG503" s="599"/>
      <c r="BH503" s="600">
        <v>0</v>
      </c>
      <c r="BI503" s="599"/>
      <c r="BJ503" s="600">
        <v>0</v>
      </c>
      <c r="BK503" s="615"/>
      <c r="BL503" s="621">
        <v>535865</v>
      </c>
      <c r="BM503" s="604">
        <v>552647</v>
      </c>
      <c r="BN503" s="605">
        <f t="shared" si="563"/>
        <v>0</v>
      </c>
      <c r="BO503" s="606">
        <f t="shared" si="564"/>
        <v>0</v>
      </c>
      <c r="BP503" s="607">
        <f t="shared" si="565"/>
        <v>0</v>
      </c>
      <c r="BQ503" s="606">
        <f t="shared" si="566"/>
        <v>0</v>
      </c>
      <c r="BR503" s="607">
        <f t="shared" si="567"/>
        <v>0</v>
      </c>
      <c r="BS503" s="606">
        <f t="shared" si="568"/>
        <v>0</v>
      </c>
      <c r="BT503" s="607">
        <f t="shared" si="569"/>
        <v>0</v>
      </c>
      <c r="BU503" s="606">
        <f t="shared" si="570"/>
        <v>0</v>
      </c>
      <c r="BV503" s="607">
        <f t="shared" si="571"/>
        <v>0</v>
      </c>
      <c r="BW503" s="608">
        <f t="shared" si="572"/>
        <v>0</v>
      </c>
      <c r="BX503" s="607">
        <f t="shared" si="573"/>
        <v>132</v>
      </c>
      <c r="BY503" s="608">
        <f t="shared" si="574"/>
        <v>132</v>
      </c>
      <c r="BZ503" s="607">
        <f t="shared" si="575"/>
        <v>0</v>
      </c>
      <c r="CA503" s="608">
        <f t="shared" si="576"/>
        <v>0</v>
      </c>
      <c r="CB503" s="607">
        <f t="shared" si="577"/>
        <v>0</v>
      </c>
      <c r="CC503" s="608">
        <f t="shared" si="578"/>
        <v>0</v>
      </c>
      <c r="CD503" s="607">
        <f t="shared" si="579"/>
        <v>0</v>
      </c>
      <c r="CE503" s="608">
        <f t="shared" si="580"/>
        <v>0</v>
      </c>
      <c r="CF503" s="607">
        <f t="shared" si="581"/>
        <v>0</v>
      </c>
      <c r="CG503" s="608">
        <f t="shared" si="582"/>
        <v>0</v>
      </c>
      <c r="CH503" s="607">
        <f t="shared" si="583"/>
        <v>0</v>
      </c>
      <c r="CI503" s="608">
        <f t="shared" si="584"/>
        <v>0</v>
      </c>
      <c r="CJ503" s="607">
        <f t="shared" si="585"/>
        <v>4059.5833333333335</v>
      </c>
      <c r="CK503" s="608">
        <f t="shared" si="586"/>
        <v>4186.719696969697</v>
      </c>
      <c r="CL503" s="609">
        <f t="shared" si="587"/>
        <v>0</v>
      </c>
      <c r="CM503" s="608">
        <f t="shared" si="588"/>
        <v>0</v>
      </c>
      <c r="CN503" s="610">
        <f t="shared" si="589"/>
        <v>0</v>
      </c>
      <c r="CO503" s="606">
        <f t="shared" si="590"/>
        <v>0</v>
      </c>
      <c r="CP503" s="607">
        <f t="shared" si="591"/>
        <v>0</v>
      </c>
      <c r="CQ503" s="606">
        <f t="shared" si="592"/>
        <v>0</v>
      </c>
      <c r="CR503" s="607">
        <f t="shared" si="593"/>
        <v>0</v>
      </c>
      <c r="CS503" s="606">
        <f t="shared" si="594"/>
        <v>0</v>
      </c>
      <c r="CT503" s="607">
        <f t="shared" si="595"/>
        <v>0</v>
      </c>
      <c r="CU503" s="608">
        <f t="shared" si="596"/>
        <v>0</v>
      </c>
      <c r="CV503" s="610">
        <f t="shared" si="597"/>
        <v>36536.25</v>
      </c>
      <c r="CW503" s="608">
        <f t="shared" si="598"/>
        <v>37680.477272727272</v>
      </c>
      <c r="CX503" s="610">
        <f t="shared" si="599"/>
        <v>36536.25</v>
      </c>
      <c r="CY503" s="611">
        <f t="shared" si="600"/>
        <v>37680.477272727272</v>
      </c>
      <c r="CZ503" s="605">
        <f t="shared" si="601"/>
        <v>0</v>
      </c>
      <c r="DA503" s="612">
        <f t="shared" si="602"/>
        <v>0</v>
      </c>
      <c r="DB503" s="607">
        <f t="shared" si="603"/>
        <v>0</v>
      </c>
      <c r="DC503" s="606">
        <f t="shared" si="604"/>
        <v>0</v>
      </c>
      <c r="DD503" s="607">
        <f t="shared" si="605"/>
        <v>0</v>
      </c>
      <c r="DE503" s="606">
        <f t="shared" si="606"/>
        <v>0</v>
      </c>
      <c r="DF503" s="607">
        <f t="shared" si="607"/>
        <v>0</v>
      </c>
      <c r="DG503" s="606">
        <f t="shared" si="608"/>
        <v>0</v>
      </c>
      <c r="DH503" s="607">
        <f t="shared" si="609"/>
        <v>0</v>
      </c>
      <c r="DI503" s="608">
        <f t="shared" si="610"/>
        <v>0</v>
      </c>
      <c r="DJ503" s="607">
        <f t="shared" si="611"/>
        <v>11</v>
      </c>
      <c r="DK503" s="608">
        <f t="shared" si="612"/>
        <v>11</v>
      </c>
      <c r="DL503" s="607">
        <f t="shared" si="613"/>
        <v>11</v>
      </c>
      <c r="DM503" s="608">
        <f t="shared" si="614"/>
        <v>11</v>
      </c>
      <c r="DN503" s="607">
        <f t="shared" si="615"/>
        <v>0</v>
      </c>
      <c r="DO503" s="612">
        <f t="shared" si="616"/>
        <v>0</v>
      </c>
      <c r="DP503" s="607">
        <f t="shared" si="617"/>
        <v>0</v>
      </c>
      <c r="DQ503" s="606">
        <f t="shared" si="618"/>
        <v>0</v>
      </c>
      <c r="DR503" s="607">
        <f t="shared" si="619"/>
        <v>0</v>
      </c>
      <c r="DS503" s="606">
        <f t="shared" si="620"/>
        <v>0</v>
      </c>
      <c r="DT503" s="607">
        <f t="shared" si="621"/>
        <v>0</v>
      </c>
      <c r="DU503" s="606">
        <f t="shared" si="622"/>
        <v>0</v>
      </c>
      <c r="DV503" s="607">
        <f t="shared" si="623"/>
        <v>0</v>
      </c>
      <c r="DW503" s="608">
        <f t="shared" si="624"/>
        <v>0</v>
      </c>
      <c r="DX503" s="607">
        <f t="shared" si="625"/>
        <v>401898.75</v>
      </c>
      <c r="DY503" s="608">
        <f t="shared" si="626"/>
        <v>414485.25</v>
      </c>
      <c r="DZ503" s="607">
        <f t="shared" si="627"/>
        <v>401898.75</v>
      </c>
      <c r="EA503" s="608">
        <f t="shared" si="628"/>
        <v>414485.25</v>
      </c>
    </row>
    <row r="504" spans="1:131" x14ac:dyDescent="0.2">
      <c r="A504" s="482" t="s">
        <v>42</v>
      </c>
      <c r="B504" s="431" t="s">
        <v>948</v>
      </c>
      <c r="C504" s="562" t="s">
        <v>949</v>
      </c>
      <c r="D504" s="480">
        <v>220853</v>
      </c>
      <c r="E504" s="418">
        <v>13</v>
      </c>
      <c r="F504" s="598"/>
      <c r="G504" s="599"/>
      <c r="H504" s="600"/>
      <c r="I504" s="601"/>
      <c r="J504" s="600"/>
      <c r="K504" s="599"/>
      <c r="L504" s="600"/>
      <c r="M504" s="601"/>
      <c r="N504" s="600"/>
      <c r="O504" s="599"/>
      <c r="P504" s="600"/>
      <c r="Q504" s="601"/>
      <c r="R504" s="600"/>
      <c r="S504" s="599"/>
      <c r="T504" s="600"/>
      <c r="U504" s="601"/>
      <c r="V504" s="600"/>
      <c r="W504" s="599"/>
      <c r="X504" s="600"/>
      <c r="Y504" s="601"/>
      <c r="Z504" s="600"/>
      <c r="AA504" s="599"/>
      <c r="AB504" s="600"/>
      <c r="AC504" s="601"/>
      <c r="AD504" s="600"/>
      <c r="AE504" s="599"/>
      <c r="AF504" s="600"/>
      <c r="AG504" s="601"/>
      <c r="AH504" s="600"/>
      <c r="AI504" s="599"/>
      <c r="AJ504" s="600"/>
      <c r="AK504" s="601"/>
      <c r="AL504" s="600"/>
      <c r="AM504" s="599"/>
      <c r="AN504" s="600"/>
      <c r="AO504" s="601"/>
      <c r="AP504" s="600"/>
      <c r="AQ504" s="599"/>
      <c r="AR504" s="600"/>
      <c r="AS504" s="601"/>
      <c r="AT504" s="600"/>
      <c r="AU504" s="599"/>
      <c r="AV504" s="600"/>
      <c r="AW504" s="601"/>
      <c r="AX504" s="600"/>
      <c r="AY504" s="599"/>
      <c r="AZ504" s="621">
        <v>38</v>
      </c>
      <c r="BA504" s="601">
        <v>38</v>
      </c>
      <c r="BB504" s="602">
        <v>0</v>
      </c>
      <c r="BC504" s="599"/>
      <c r="BD504" s="600">
        <v>0</v>
      </c>
      <c r="BE504" s="599"/>
      <c r="BF504" s="600">
        <v>0</v>
      </c>
      <c r="BG504" s="599"/>
      <c r="BH504" s="600">
        <v>0</v>
      </c>
      <c r="BI504" s="599"/>
      <c r="BJ504" s="600">
        <v>0</v>
      </c>
      <c r="BK504" s="615"/>
      <c r="BL504" s="621">
        <v>1793562</v>
      </c>
      <c r="BM504" s="604">
        <v>1874210</v>
      </c>
      <c r="BN504" s="605">
        <f t="shared" si="563"/>
        <v>0</v>
      </c>
      <c r="BO504" s="606">
        <f t="shared" si="564"/>
        <v>0</v>
      </c>
      <c r="BP504" s="607">
        <f t="shared" si="565"/>
        <v>0</v>
      </c>
      <c r="BQ504" s="606">
        <f t="shared" si="566"/>
        <v>0</v>
      </c>
      <c r="BR504" s="607">
        <f t="shared" si="567"/>
        <v>0</v>
      </c>
      <c r="BS504" s="606">
        <f t="shared" si="568"/>
        <v>0</v>
      </c>
      <c r="BT504" s="607">
        <f t="shared" si="569"/>
        <v>0</v>
      </c>
      <c r="BU504" s="606">
        <f t="shared" si="570"/>
        <v>0</v>
      </c>
      <c r="BV504" s="607">
        <f t="shared" si="571"/>
        <v>0</v>
      </c>
      <c r="BW504" s="608">
        <f t="shared" si="572"/>
        <v>0</v>
      </c>
      <c r="BX504" s="607">
        <f t="shared" si="573"/>
        <v>456</v>
      </c>
      <c r="BY504" s="608">
        <f t="shared" si="574"/>
        <v>456</v>
      </c>
      <c r="BZ504" s="607">
        <f t="shared" si="575"/>
        <v>0</v>
      </c>
      <c r="CA504" s="608">
        <f t="shared" si="576"/>
        <v>0</v>
      </c>
      <c r="CB504" s="607">
        <f t="shared" si="577"/>
        <v>0</v>
      </c>
      <c r="CC504" s="608">
        <f t="shared" si="578"/>
        <v>0</v>
      </c>
      <c r="CD504" s="607">
        <f t="shared" si="579"/>
        <v>0</v>
      </c>
      <c r="CE504" s="608">
        <f t="shared" si="580"/>
        <v>0</v>
      </c>
      <c r="CF504" s="607">
        <f t="shared" si="581"/>
        <v>0</v>
      </c>
      <c r="CG504" s="608">
        <f t="shared" si="582"/>
        <v>0</v>
      </c>
      <c r="CH504" s="607">
        <f t="shared" si="583"/>
        <v>0</v>
      </c>
      <c r="CI504" s="608">
        <f t="shared" si="584"/>
        <v>0</v>
      </c>
      <c r="CJ504" s="607">
        <f t="shared" si="585"/>
        <v>3933.25</v>
      </c>
      <c r="CK504" s="608">
        <f t="shared" si="586"/>
        <v>4110.1096491228072</v>
      </c>
      <c r="CL504" s="609">
        <f t="shared" si="587"/>
        <v>0</v>
      </c>
      <c r="CM504" s="608">
        <f t="shared" si="588"/>
        <v>0</v>
      </c>
      <c r="CN504" s="610">
        <f t="shared" si="589"/>
        <v>0</v>
      </c>
      <c r="CO504" s="606">
        <f t="shared" si="590"/>
        <v>0</v>
      </c>
      <c r="CP504" s="607">
        <f t="shared" si="591"/>
        <v>0</v>
      </c>
      <c r="CQ504" s="606">
        <f t="shared" si="592"/>
        <v>0</v>
      </c>
      <c r="CR504" s="607">
        <f t="shared" si="593"/>
        <v>0</v>
      </c>
      <c r="CS504" s="606">
        <f t="shared" si="594"/>
        <v>0</v>
      </c>
      <c r="CT504" s="607">
        <f t="shared" si="595"/>
        <v>0</v>
      </c>
      <c r="CU504" s="608">
        <f t="shared" si="596"/>
        <v>0</v>
      </c>
      <c r="CV504" s="610">
        <f t="shared" si="597"/>
        <v>35399.25</v>
      </c>
      <c r="CW504" s="608">
        <f t="shared" si="598"/>
        <v>36990.986842105267</v>
      </c>
      <c r="CX504" s="610">
        <f t="shared" si="599"/>
        <v>35399.25</v>
      </c>
      <c r="CY504" s="611">
        <f t="shared" si="600"/>
        <v>36990.986842105267</v>
      </c>
      <c r="CZ504" s="605">
        <f t="shared" si="601"/>
        <v>0</v>
      </c>
      <c r="DA504" s="612">
        <f t="shared" si="602"/>
        <v>0</v>
      </c>
      <c r="DB504" s="607">
        <f t="shared" si="603"/>
        <v>0</v>
      </c>
      <c r="DC504" s="606">
        <f t="shared" si="604"/>
        <v>0</v>
      </c>
      <c r="DD504" s="607">
        <f t="shared" si="605"/>
        <v>0</v>
      </c>
      <c r="DE504" s="606">
        <f t="shared" si="606"/>
        <v>0</v>
      </c>
      <c r="DF504" s="607">
        <f t="shared" si="607"/>
        <v>0</v>
      </c>
      <c r="DG504" s="606">
        <f t="shared" si="608"/>
        <v>0</v>
      </c>
      <c r="DH504" s="607">
        <f t="shared" si="609"/>
        <v>0</v>
      </c>
      <c r="DI504" s="608">
        <f t="shared" si="610"/>
        <v>0</v>
      </c>
      <c r="DJ504" s="607">
        <f t="shared" si="611"/>
        <v>38</v>
      </c>
      <c r="DK504" s="608">
        <f t="shared" si="612"/>
        <v>38</v>
      </c>
      <c r="DL504" s="607">
        <f t="shared" si="613"/>
        <v>38</v>
      </c>
      <c r="DM504" s="608">
        <f t="shared" si="614"/>
        <v>38</v>
      </c>
      <c r="DN504" s="607">
        <f t="shared" si="615"/>
        <v>0</v>
      </c>
      <c r="DO504" s="612">
        <f t="shared" si="616"/>
        <v>0</v>
      </c>
      <c r="DP504" s="607">
        <f t="shared" si="617"/>
        <v>0</v>
      </c>
      <c r="DQ504" s="606">
        <f t="shared" si="618"/>
        <v>0</v>
      </c>
      <c r="DR504" s="607">
        <f t="shared" si="619"/>
        <v>0</v>
      </c>
      <c r="DS504" s="606">
        <f t="shared" si="620"/>
        <v>0</v>
      </c>
      <c r="DT504" s="607">
        <f t="shared" si="621"/>
        <v>0</v>
      </c>
      <c r="DU504" s="606">
        <f t="shared" si="622"/>
        <v>0</v>
      </c>
      <c r="DV504" s="607">
        <f t="shared" si="623"/>
        <v>0</v>
      </c>
      <c r="DW504" s="608">
        <f t="shared" si="624"/>
        <v>0</v>
      </c>
      <c r="DX504" s="607">
        <f t="shared" si="625"/>
        <v>1345171.5</v>
      </c>
      <c r="DY504" s="608">
        <f t="shared" si="626"/>
        <v>1405657.5000000002</v>
      </c>
      <c r="DZ504" s="607">
        <f t="shared" si="627"/>
        <v>1345171.5</v>
      </c>
      <c r="EA504" s="608">
        <f t="shared" si="628"/>
        <v>1405657.5000000002</v>
      </c>
    </row>
    <row r="505" spans="1:131" x14ac:dyDescent="0.2">
      <c r="A505" s="482" t="s">
        <v>42</v>
      </c>
      <c r="B505" s="431" t="s">
        <v>950</v>
      </c>
      <c r="C505" s="581"/>
      <c r="D505" s="480">
        <v>221050</v>
      </c>
      <c r="E505" s="418">
        <v>13</v>
      </c>
      <c r="F505" s="598"/>
      <c r="G505" s="599"/>
      <c r="H505" s="600"/>
      <c r="I505" s="601"/>
      <c r="J505" s="600"/>
      <c r="K505" s="599"/>
      <c r="L505" s="600"/>
      <c r="M505" s="601"/>
      <c r="N505" s="600"/>
      <c r="O505" s="599"/>
      <c r="P505" s="600"/>
      <c r="Q505" s="601"/>
      <c r="R505" s="600"/>
      <c r="S505" s="599"/>
      <c r="T505" s="600"/>
      <c r="U505" s="601"/>
      <c r="V505" s="600"/>
      <c r="W505" s="599"/>
      <c r="X505" s="600"/>
      <c r="Y505" s="601"/>
      <c r="Z505" s="600"/>
      <c r="AA505" s="599"/>
      <c r="AB505" s="600"/>
      <c r="AC505" s="601"/>
      <c r="AD505" s="600"/>
      <c r="AE505" s="599"/>
      <c r="AF505" s="600"/>
      <c r="AG505" s="601"/>
      <c r="AH505" s="600"/>
      <c r="AI505" s="599"/>
      <c r="AJ505" s="600"/>
      <c r="AK505" s="601"/>
      <c r="AL505" s="600"/>
      <c r="AM505" s="599"/>
      <c r="AN505" s="600"/>
      <c r="AO505" s="601"/>
      <c r="AP505" s="600"/>
      <c r="AQ505" s="599"/>
      <c r="AR505" s="600"/>
      <c r="AS505" s="601"/>
      <c r="AT505" s="600"/>
      <c r="AU505" s="599"/>
      <c r="AV505" s="600"/>
      <c r="AW505" s="601"/>
      <c r="AX505" s="600"/>
      <c r="AY505" s="599"/>
      <c r="AZ505" s="621">
        <v>19</v>
      </c>
      <c r="BA505" s="601">
        <v>29</v>
      </c>
      <c r="BB505" s="602">
        <v>0</v>
      </c>
      <c r="BC505" s="599"/>
      <c r="BD505" s="600">
        <v>0</v>
      </c>
      <c r="BE505" s="599"/>
      <c r="BF505" s="600">
        <v>0</v>
      </c>
      <c r="BG505" s="599"/>
      <c r="BH505" s="600">
        <v>0</v>
      </c>
      <c r="BI505" s="599"/>
      <c r="BJ505" s="600">
        <v>0</v>
      </c>
      <c r="BK505" s="615"/>
      <c r="BL505" s="621">
        <v>1037296</v>
      </c>
      <c r="BM505" s="604">
        <v>1553124</v>
      </c>
      <c r="BN505" s="605">
        <f t="shared" si="563"/>
        <v>0</v>
      </c>
      <c r="BO505" s="606">
        <f t="shared" si="564"/>
        <v>0</v>
      </c>
      <c r="BP505" s="607">
        <f t="shared" si="565"/>
        <v>0</v>
      </c>
      <c r="BQ505" s="606">
        <f t="shared" si="566"/>
        <v>0</v>
      </c>
      <c r="BR505" s="607">
        <f t="shared" si="567"/>
        <v>0</v>
      </c>
      <c r="BS505" s="606">
        <f t="shared" si="568"/>
        <v>0</v>
      </c>
      <c r="BT505" s="607">
        <f t="shared" si="569"/>
        <v>0</v>
      </c>
      <c r="BU505" s="606">
        <f t="shared" si="570"/>
        <v>0</v>
      </c>
      <c r="BV505" s="607">
        <f t="shared" si="571"/>
        <v>0</v>
      </c>
      <c r="BW505" s="608">
        <f t="shared" si="572"/>
        <v>0</v>
      </c>
      <c r="BX505" s="607">
        <f t="shared" si="573"/>
        <v>228</v>
      </c>
      <c r="BY505" s="608">
        <f t="shared" si="574"/>
        <v>348</v>
      </c>
      <c r="BZ505" s="607">
        <f t="shared" si="575"/>
        <v>0</v>
      </c>
      <c r="CA505" s="608">
        <f t="shared" si="576"/>
        <v>0</v>
      </c>
      <c r="CB505" s="607">
        <f t="shared" si="577"/>
        <v>0</v>
      </c>
      <c r="CC505" s="608">
        <f t="shared" si="578"/>
        <v>0</v>
      </c>
      <c r="CD505" s="607">
        <f t="shared" si="579"/>
        <v>0</v>
      </c>
      <c r="CE505" s="608">
        <f t="shared" si="580"/>
        <v>0</v>
      </c>
      <c r="CF505" s="607">
        <f t="shared" si="581"/>
        <v>0</v>
      </c>
      <c r="CG505" s="608">
        <f t="shared" si="582"/>
        <v>0</v>
      </c>
      <c r="CH505" s="607">
        <f t="shared" si="583"/>
        <v>0</v>
      </c>
      <c r="CI505" s="608">
        <f t="shared" si="584"/>
        <v>0</v>
      </c>
      <c r="CJ505" s="607">
        <f t="shared" si="585"/>
        <v>4549.5438596491231</v>
      </c>
      <c r="CK505" s="608">
        <f t="shared" si="586"/>
        <v>4463</v>
      </c>
      <c r="CL505" s="609">
        <f t="shared" si="587"/>
        <v>0</v>
      </c>
      <c r="CM505" s="608">
        <f t="shared" si="588"/>
        <v>0</v>
      </c>
      <c r="CN505" s="610">
        <f t="shared" si="589"/>
        <v>0</v>
      </c>
      <c r="CO505" s="606">
        <f t="shared" si="590"/>
        <v>0</v>
      </c>
      <c r="CP505" s="607">
        <f t="shared" si="591"/>
        <v>0</v>
      </c>
      <c r="CQ505" s="606">
        <f t="shared" si="592"/>
        <v>0</v>
      </c>
      <c r="CR505" s="607">
        <f t="shared" si="593"/>
        <v>0</v>
      </c>
      <c r="CS505" s="606">
        <f t="shared" si="594"/>
        <v>0</v>
      </c>
      <c r="CT505" s="607">
        <f t="shared" si="595"/>
        <v>0</v>
      </c>
      <c r="CU505" s="608">
        <f t="shared" si="596"/>
        <v>0</v>
      </c>
      <c r="CV505" s="610">
        <f t="shared" si="597"/>
        <v>40945.894736842107</v>
      </c>
      <c r="CW505" s="608">
        <f t="shared" si="598"/>
        <v>40167</v>
      </c>
      <c r="CX505" s="610">
        <f t="shared" si="599"/>
        <v>40945.894736842107</v>
      </c>
      <c r="CY505" s="611">
        <f t="shared" si="600"/>
        <v>40167</v>
      </c>
      <c r="CZ505" s="605">
        <f t="shared" si="601"/>
        <v>0</v>
      </c>
      <c r="DA505" s="612">
        <f t="shared" si="602"/>
        <v>0</v>
      </c>
      <c r="DB505" s="607">
        <f t="shared" si="603"/>
        <v>0</v>
      </c>
      <c r="DC505" s="606">
        <f t="shared" si="604"/>
        <v>0</v>
      </c>
      <c r="DD505" s="607">
        <f t="shared" si="605"/>
        <v>0</v>
      </c>
      <c r="DE505" s="606">
        <f t="shared" si="606"/>
        <v>0</v>
      </c>
      <c r="DF505" s="607">
        <f t="shared" si="607"/>
        <v>0</v>
      </c>
      <c r="DG505" s="606">
        <f t="shared" si="608"/>
        <v>0</v>
      </c>
      <c r="DH505" s="607">
        <f t="shared" si="609"/>
        <v>0</v>
      </c>
      <c r="DI505" s="608">
        <f t="shared" si="610"/>
        <v>0</v>
      </c>
      <c r="DJ505" s="607">
        <f t="shared" si="611"/>
        <v>19</v>
      </c>
      <c r="DK505" s="608">
        <f t="shared" si="612"/>
        <v>29</v>
      </c>
      <c r="DL505" s="607">
        <f t="shared" si="613"/>
        <v>19</v>
      </c>
      <c r="DM505" s="608">
        <f t="shared" si="614"/>
        <v>29</v>
      </c>
      <c r="DN505" s="607">
        <f t="shared" si="615"/>
        <v>0</v>
      </c>
      <c r="DO505" s="612">
        <f t="shared" si="616"/>
        <v>0</v>
      </c>
      <c r="DP505" s="607">
        <f t="shared" si="617"/>
        <v>0</v>
      </c>
      <c r="DQ505" s="606">
        <f t="shared" si="618"/>
        <v>0</v>
      </c>
      <c r="DR505" s="607">
        <f t="shared" si="619"/>
        <v>0</v>
      </c>
      <c r="DS505" s="606">
        <f t="shared" si="620"/>
        <v>0</v>
      </c>
      <c r="DT505" s="607">
        <f t="shared" si="621"/>
        <v>0</v>
      </c>
      <c r="DU505" s="606">
        <f t="shared" si="622"/>
        <v>0</v>
      </c>
      <c r="DV505" s="607">
        <f t="shared" si="623"/>
        <v>0</v>
      </c>
      <c r="DW505" s="608">
        <f t="shared" si="624"/>
        <v>0</v>
      </c>
      <c r="DX505" s="607">
        <f t="shared" si="625"/>
        <v>777972</v>
      </c>
      <c r="DY505" s="608">
        <f t="shared" si="626"/>
        <v>1164843</v>
      </c>
      <c r="DZ505" s="607">
        <f t="shared" si="627"/>
        <v>777972</v>
      </c>
      <c r="EA505" s="608">
        <f t="shared" si="628"/>
        <v>1164843</v>
      </c>
    </row>
    <row r="506" spans="1:131" x14ac:dyDescent="0.2">
      <c r="A506" s="482" t="s">
        <v>42</v>
      </c>
      <c r="B506" s="431" t="s">
        <v>951</v>
      </c>
      <c r="C506" s="581"/>
      <c r="D506" s="480">
        <v>221102</v>
      </c>
      <c r="E506" s="418">
        <v>13</v>
      </c>
      <c r="F506" s="598"/>
      <c r="G506" s="599"/>
      <c r="H506" s="600"/>
      <c r="I506" s="601"/>
      <c r="J506" s="600"/>
      <c r="K506" s="599"/>
      <c r="L506" s="600"/>
      <c r="M506" s="601"/>
      <c r="N506" s="600"/>
      <c r="O506" s="599"/>
      <c r="P506" s="600"/>
      <c r="Q506" s="601"/>
      <c r="R506" s="600"/>
      <c r="S506" s="599"/>
      <c r="T506" s="600"/>
      <c r="U506" s="601"/>
      <c r="V506" s="600"/>
      <c r="W506" s="599"/>
      <c r="X506" s="600"/>
      <c r="Y506" s="601"/>
      <c r="Z506" s="600"/>
      <c r="AA506" s="599"/>
      <c r="AB506" s="600"/>
      <c r="AC506" s="601"/>
      <c r="AD506" s="600"/>
      <c r="AE506" s="599"/>
      <c r="AF506" s="600"/>
      <c r="AG506" s="601"/>
      <c r="AH506" s="600"/>
      <c r="AI506" s="599"/>
      <c r="AJ506" s="600"/>
      <c r="AK506" s="601"/>
      <c r="AL506" s="600"/>
      <c r="AM506" s="599"/>
      <c r="AN506" s="600"/>
      <c r="AO506" s="601"/>
      <c r="AP506" s="600"/>
      <c r="AQ506" s="599"/>
      <c r="AR506" s="600"/>
      <c r="AS506" s="601"/>
      <c r="AT506" s="600"/>
      <c r="AU506" s="599"/>
      <c r="AV506" s="600"/>
      <c r="AW506" s="601"/>
      <c r="AX506" s="600"/>
      <c r="AY506" s="599"/>
      <c r="AZ506" s="621">
        <v>20</v>
      </c>
      <c r="BA506" s="601">
        <v>22</v>
      </c>
      <c r="BB506" s="602">
        <v>0</v>
      </c>
      <c r="BC506" s="599"/>
      <c r="BD506" s="600">
        <v>0</v>
      </c>
      <c r="BE506" s="599"/>
      <c r="BF506" s="600">
        <v>0</v>
      </c>
      <c r="BG506" s="599"/>
      <c r="BH506" s="600">
        <v>0</v>
      </c>
      <c r="BI506" s="599"/>
      <c r="BJ506" s="600">
        <v>0</v>
      </c>
      <c r="BK506" s="615"/>
      <c r="BL506" s="621">
        <v>1080988</v>
      </c>
      <c r="BM506" s="604">
        <v>1196792</v>
      </c>
      <c r="BN506" s="605">
        <f t="shared" si="563"/>
        <v>0</v>
      </c>
      <c r="BO506" s="606">
        <f t="shared" si="564"/>
        <v>0</v>
      </c>
      <c r="BP506" s="607">
        <f t="shared" si="565"/>
        <v>0</v>
      </c>
      <c r="BQ506" s="606">
        <f t="shared" si="566"/>
        <v>0</v>
      </c>
      <c r="BR506" s="607">
        <f t="shared" si="567"/>
        <v>0</v>
      </c>
      <c r="BS506" s="606">
        <f t="shared" si="568"/>
        <v>0</v>
      </c>
      <c r="BT506" s="607">
        <f t="shared" si="569"/>
        <v>0</v>
      </c>
      <c r="BU506" s="606">
        <f t="shared" si="570"/>
        <v>0</v>
      </c>
      <c r="BV506" s="607">
        <f t="shared" si="571"/>
        <v>0</v>
      </c>
      <c r="BW506" s="608">
        <f t="shared" si="572"/>
        <v>0</v>
      </c>
      <c r="BX506" s="607">
        <f t="shared" si="573"/>
        <v>240</v>
      </c>
      <c r="BY506" s="608">
        <f t="shared" si="574"/>
        <v>264</v>
      </c>
      <c r="BZ506" s="607">
        <f t="shared" si="575"/>
        <v>0</v>
      </c>
      <c r="CA506" s="608">
        <f t="shared" si="576"/>
        <v>0</v>
      </c>
      <c r="CB506" s="607">
        <f t="shared" si="577"/>
        <v>0</v>
      </c>
      <c r="CC506" s="608">
        <f t="shared" si="578"/>
        <v>0</v>
      </c>
      <c r="CD506" s="607">
        <f t="shared" si="579"/>
        <v>0</v>
      </c>
      <c r="CE506" s="608">
        <f t="shared" si="580"/>
        <v>0</v>
      </c>
      <c r="CF506" s="607">
        <f t="shared" si="581"/>
        <v>0</v>
      </c>
      <c r="CG506" s="608">
        <f t="shared" si="582"/>
        <v>0</v>
      </c>
      <c r="CH506" s="607">
        <f t="shared" si="583"/>
        <v>0</v>
      </c>
      <c r="CI506" s="608">
        <f t="shared" si="584"/>
        <v>0</v>
      </c>
      <c r="CJ506" s="607">
        <f t="shared" si="585"/>
        <v>4504.1166666666668</v>
      </c>
      <c r="CK506" s="608">
        <f t="shared" si="586"/>
        <v>4533.30303030303</v>
      </c>
      <c r="CL506" s="609">
        <f t="shared" si="587"/>
        <v>0</v>
      </c>
      <c r="CM506" s="608">
        <f t="shared" si="588"/>
        <v>0</v>
      </c>
      <c r="CN506" s="610">
        <f t="shared" si="589"/>
        <v>0</v>
      </c>
      <c r="CO506" s="606">
        <f t="shared" si="590"/>
        <v>0</v>
      </c>
      <c r="CP506" s="607">
        <f t="shared" si="591"/>
        <v>0</v>
      </c>
      <c r="CQ506" s="606">
        <f t="shared" si="592"/>
        <v>0</v>
      </c>
      <c r="CR506" s="607">
        <f t="shared" si="593"/>
        <v>0</v>
      </c>
      <c r="CS506" s="606">
        <f t="shared" si="594"/>
        <v>0</v>
      </c>
      <c r="CT506" s="607">
        <f t="shared" si="595"/>
        <v>0</v>
      </c>
      <c r="CU506" s="608">
        <f t="shared" si="596"/>
        <v>0</v>
      </c>
      <c r="CV506" s="610">
        <f t="shared" si="597"/>
        <v>40537.050000000003</v>
      </c>
      <c r="CW506" s="608">
        <f t="shared" si="598"/>
        <v>40799.727272727272</v>
      </c>
      <c r="CX506" s="610">
        <f t="shared" si="599"/>
        <v>40537.050000000003</v>
      </c>
      <c r="CY506" s="611">
        <f t="shared" si="600"/>
        <v>40799.727272727272</v>
      </c>
      <c r="CZ506" s="605">
        <f t="shared" si="601"/>
        <v>0</v>
      </c>
      <c r="DA506" s="612">
        <f t="shared" si="602"/>
        <v>0</v>
      </c>
      <c r="DB506" s="607">
        <f t="shared" si="603"/>
        <v>0</v>
      </c>
      <c r="DC506" s="606">
        <f t="shared" si="604"/>
        <v>0</v>
      </c>
      <c r="DD506" s="607">
        <f t="shared" si="605"/>
        <v>0</v>
      </c>
      <c r="DE506" s="606">
        <f t="shared" si="606"/>
        <v>0</v>
      </c>
      <c r="DF506" s="607">
        <f t="shared" si="607"/>
        <v>0</v>
      </c>
      <c r="DG506" s="606">
        <f t="shared" si="608"/>
        <v>0</v>
      </c>
      <c r="DH506" s="607">
        <f t="shared" si="609"/>
        <v>0</v>
      </c>
      <c r="DI506" s="608">
        <f t="shared" si="610"/>
        <v>0</v>
      </c>
      <c r="DJ506" s="607">
        <f t="shared" si="611"/>
        <v>20</v>
      </c>
      <c r="DK506" s="608">
        <f t="shared" si="612"/>
        <v>22</v>
      </c>
      <c r="DL506" s="607">
        <f t="shared" si="613"/>
        <v>20</v>
      </c>
      <c r="DM506" s="608">
        <f t="shared" si="614"/>
        <v>22</v>
      </c>
      <c r="DN506" s="607">
        <f t="shared" si="615"/>
        <v>0</v>
      </c>
      <c r="DO506" s="612">
        <f t="shared" si="616"/>
        <v>0</v>
      </c>
      <c r="DP506" s="607">
        <f t="shared" si="617"/>
        <v>0</v>
      </c>
      <c r="DQ506" s="606">
        <f t="shared" si="618"/>
        <v>0</v>
      </c>
      <c r="DR506" s="607">
        <f t="shared" si="619"/>
        <v>0</v>
      </c>
      <c r="DS506" s="606">
        <f t="shared" si="620"/>
        <v>0</v>
      </c>
      <c r="DT506" s="607">
        <f t="shared" si="621"/>
        <v>0</v>
      </c>
      <c r="DU506" s="606">
        <f t="shared" si="622"/>
        <v>0</v>
      </c>
      <c r="DV506" s="607">
        <f t="shared" si="623"/>
        <v>0</v>
      </c>
      <c r="DW506" s="608">
        <f t="shared" si="624"/>
        <v>0</v>
      </c>
      <c r="DX506" s="607">
        <f t="shared" si="625"/>
        <v>810741</v>
      </c>
      <c r="DY506" s="608">
        <f t="shared" si="626"/>
        <v>897594</v>
      </c>
      <c r="DZ506" s="607">
        <f t="shared" si="627"/>
        <v>810741</v>
      </c>
      <c r="EA506" s="608">
        <f t="shared" si="628"/>
        <v>897594</v>
      </c>
    </row>
    <row r="507" spans="1:131" x14ac:dyDescent="0.2">
      <c r="A507" s="482" t="s">
        <v>42</v>
      </c>
      <c r="B507" s="431" t="s">
        <v>952</v>
      </c>
      <c r="C507" s="562" t="s">
        <v>949</v>
      </c>
      <c r="D507" s="480">
        <v>248925</v>
      </c>
      <c r="E507" s="418">
        <v>13</v>
      </c>
      <c r="F507" s="598"/>
      <c r="G507" s="599"/>
      <c r="H507" s="600"/>
      <c r="I507" s="601"/>
      <c r="J507" s="600"/>
      <c r="K507" s="599"/>
      <c r="L507" s="600"/>
      <c r="M507" s="601"/>
      <c r="N507" s="600"/>
      <c r="O507" s="599"/>
      <c r="P507" s="600"/>
      <c r="Q507" s="601"/>
      <c r="R507" s="600"/>
      <c r="S507" s="599"/>
      <c r="T507" s="600"/>
      <c r="U507" s="601"/>
      <c r="V507" s="600"/>
      <c r="W507" s="599"/>
      <c r="X507" s="600"/>
      <c r="Y507" s="601"/>
      <c r="Z507" s="600"/>
      <c r="AA507" s="599"/>
      <c r="AB507" s="600"/>
      <c r="AC507" s="601"/>
      <c r="AD507" s="600"/>
      <c r="AE507" s="599"/>
      <c r="AF507" s="600"/>
      <c r="AG507" s="601"/>
      <c r="AH507" s="600"/>
      <c r="AI507" s="599"/>
      <c r="AJ507" s="600"/>
      <c r="AK507" s="601"/>
      <c r="AL507" s="600"/>
      <c r="AM507" s="599"/>
      <c r="AN507" s="600"/>
      <c r="AO507" s="601"/>
      <c r="AP507" s="600"/>
      <c r="AQ507" s="599"/>
      <c r="AR507" s="600"/>
      <c r="AS507" s="601"/>
      <c r="AT507" s="600"/>
      <c r="AU507" s="599"/>
      <c r="AV507" s="600"/>
      <c r="AW507" s="601"/>
      <c r="AX507" s="600"/>
      <c r="AY507" s="599"/>
      <c r="AZ507" s="621">
        <v>38</v>
      </c>
      <c r="BA507" s="601">
        <v>16</v>
      </c>
      <c r="BB507" s="602">
        <v>0</v>
      </c>
      <c r="BC507" s="599"/>
      <c r="BD507" s="600">
        <v>0</v>
      </c>
      <c r="BE507" s="599"/>
      <c r="BF507" s="600">
        <v>0</v>
      </c>
      <c r="BG507" s="599"/>
      <c r="BH507" s="600">
        <v>0</v>
      </c>
      <c r="BI507" s="599"/>
      <c r="BJ507" s="600">
        <v>0</v>
      </c>
      <c r="BK507" s="615"/>
      <c r="BL507" s="621">
        <v>1612604</v>
      </c>
      <c r="BM507" s="604">
        <v>811134</v>
      </c>
      <c r="BN507" s="605">
        <f t="shared" si="563"/>
        <v>0</v>
      </c>
      <c r="BO507" s="606">
        <f t="shared" si="564"/>
        <v>0</v>
      </c>
      <c r="BP507" s="607">
        <f t="shared" si="565"/>
        <v>0</v>
      </c>
      <c r="BQ507" s="606">
        <f t="shared" si="566"/>
        <v>0</v>
      </c>
      <c r="BR507" s="607">
        <f t="shared" si="567"/>
        <v>0</v>
      </c>
      <c r="BS507" s="606">
        <f t="shared" si="568"/>
        <v>0</v>
      </c>
      <c r="BT507" s="607">
        <f t="shared" si="569"/>
        <v>0</v>
      </c>
      <c r="BU507" s="606">
        <f t="shared" si="570"/>
        <v>0</v>
      </c>
      <c r="BV507" s="607">
        <f t="shared" si="571"/>
        <v>0</v>
      </c>
      <c r="BW507" s="608">
        <f t="shared" si="572"/>
        <v>0</v>
      </c>
      <c r="BX507" s="607">
        <f t="shared" si="573"/>
        <v>456</v>
      </c>
      <c r="BY507" s="608">
        <f t="shared" si="574"/>
        <v>192</v>
      </c>
      <c r="BZ507" s="607">
        <f t="shared" si="575"/>
        <v>0</v>
      </c>
      <c r="CA507" s="608">
        <f t="shared" si="576"/>
        <v>0</v>
      </c>
      <c r="CB507" s="607">
        <f t="shared" si="577"/>
        <v>0</v>
      </c>
      <c r="CC507" s="608">
        <f t="shared" si="578"/>
        <v>0</v>
      </c>
      <c r="CD507" s="607">
        <f t="shared" si="579"/>
        <v>0</v>
      </c>
      <c r="CE507" s="608">
        <f t="shared" si="580"/>
        <v>0</v>
      </c>
      <c r="CF507" s="607">
        <f t="shared" si="581"/>
        <v>0</v>
      </c>
      <c r="CG507" s="608">
        <f t="shared" si="582"/>
        <v>0</v>
      </c>
      <c r="CH507" s="607">
        <f t="shared" si="583"/>
        <v>0</v>
      </c>
      <c r="CI507" s="608">
        <f t="shared" si="584"/>
        <v>0</v>
      </c>
      <c r="CJ507" s="607">
        <f t="shared" si="585"/>
        <v>3536.4122807017543</v>
      </c>
      <c r="CK507" s="608">
        <f t="shared" si="586"/>
        <v>4224.65625</v>
      </c>
      <c r="CL507" s="609">
        <f t="shared" si="587"/>
        <v>0</v>
      </c>
      <c r="CM507" s="608">
        <f t="shared" si="588"/>
        <v>0</v>
      </c>
      <c r="CN507" s="610">
        <f t="shared" si="589"/>
        <v>0</v>
      </c>
      <c r="CO507" s="606">
        <f t="shared" si="590"/>
        <v>0</v>
      </c>
      <c r="CP507" s="607">
        <f t="shared" si="591"/>
        <v>0</v>
      </c>
      <c r="CQ507" s="606">
        <f t="shared" si="592"/>
        <v>0</v>
      </c>
      <c r="CR507" s="607">
        <f t="shared" si="593"/>
        <v>0</v>
      </c>
      <c r="CS507" s="606">
        <f t="shared" si="594"/>
        <v>0</v>
      </c>
      <c r="CT507" s="607">
        <f t="shared" si="595"/>
        <v>0</v>
      </c>
      <c r="CU507" s="608">
        <f t="shared" si="596"/>
        <v>0</v>
      </c>
      <c r="CV507" s="610">
        <f t="shared" si="597"/>
        <v>31827.71052631579</v>
      </c>
      <c r="CW507" s="608">
        <f t="shared" si="598"/>
        <v>38021.90625</v>
      </c>
      <c r="CX507" s="610">
        <f t="shared" si="599"/>
        <v>31827.71052631579</v>
      </c>
      <c r="CY507" s="611">
        <f t="shared" si="600"/>
        <v>38021.90625</v>
      </c>
      <c r="CZ507" s="605">
        <f t="shared" si="601"/>
        <v>0</v>
      </c>
      <c r="DA507" s="612">
        <f t="shared" si="602"/>
        <v>0</v>
      </c>
      <c r="DB507" s="607">
        <f t="shared" si="603"/>
        <v>0</v>
      </c>
      <c r="DC507" s="606">
        <f t="shared" si="604"/>
        <v>0</v>
      </c>
      <c r="DD507" s="607">
        <f t="shared" si="605"/>
        <v>0</v>
      </c>
      <c r="DE507" s="606">
        <f t="shared" si="606"/>
        <v>0</v>
      </c>
      <c r="DF507" s="607">
        <f t="shared" si="607"/>
        <v>0</v>
      </c>
      <c r="DG507" s="606">
        <f t="shared" si="608"/>
        <v>0</v>
      </c>
      <c r="DH507" s="607">
        <f t="shared" si="609"/>
        <v>0</v>
      </c>
      <c r="DI507" s="608">
        <f t="shared" si="610"/>
        <v>0</v>
      </c>
      <c r="DJ507" s="607">
        <f t="shared" si="611"/>
        <v>38</v>
      </c>
      <c r="DK507" s="608">
        <f t="shared" si="612"/>
        <v>16</v>
      </c>
      <c r="DL507" s="607">
        <f t="shared" si="613"/>
        <v>38</v>
      </c>
      <c r="DM507" s="608">
        <f t="shared" si="614"/>
        <v>16</v>
      </c>
      <c r="DN507" s="607">
        <f t="shared" si="615"/>
        <v>0</v>
      </c>
      <c r="DO507" s="612">
        <f t="shared" si="616"/>
        <v>0</v>
      </c>
      <c r="DP507" s="607">
        <f t="shared" si="617"/>
        <v>0</v>
      </c>
      <c r="DQ507" s="606">
        <f t="shared" si="618"/>
        <v>0</v>
      </c>
      <c r="DR507" s="607">
        <f t="shared" si="619"/>
        <v>0</v>
      </c>
      <c r="DS507" s="606">
        <f t="shared" si="620"/>
        <v>0</v>
      </c>
      <c r="DT507" s="607">
        <f t="shared" si="621"/>
        <v>0</v>
      </c>
      <c r="DU507" s="606">
        <f t="shared" si="622"/>
        <v>0</v>
      </c>
      <c r="DV507" s="607">
        <f t="shared" si="623"/>
        <v>0</v>
      </c>
      <c r="DW507" s="608">
        <f t="shared" si="624"/>
        <v>0</v>
      </c>
      <c r="DX507" s="607">
        <f t="shared" si="625"/>
        <v>1209453</v>
      </c>
      <c r="DY507" s="608">
        <f t="shared" si="626"/>
        <v>608350.5</v>
      </c>
      <c r="DZ507" s="607">
        <f t="shared" si="627"/>
        <v>1209453</v>
      </c>
      <c r="EA507" s="608">
        <f t="shared" si="628"/>
        <v>608350.5</v>
      </c>
    </row>
    <row r="508" spans="1:131" x14ac:dyDescent="0.2">
      <c r="A508" s="482" t="s">
        <v>42</v>
      </c>
      <c r="B508" s="431" t="s">
        <v>953</v>
      </c>
      <c r="C508" s="581"/>
      <c r="D508" s="480">
        <v>221236</v>
      </c>
      <c r="E508" s="418">
        <v>13</v>
      </c>
      <c r="F508" s="598"/>
      <c r="G508" s="599"/>
      <c r="H508" s="600"/>
      <c r="I508" s="601"/>
      <c r="J508" s="600"/>
      <c r="K508" s="599"/>
      <c r="L508" s="600"/>
      <c r="M508" s="601"/>
      <c r="N508" s="600"/>
      <c r="O508" s="599"/>
      <c r="P508" s="600"/>
      <c r="Q508" s="601"/>
      <c r="R508" s="600"/>
      <c r="S508" s="599"/>
      <c r="T508" s="600"/>
      <c r="U508" s="601"/>
      <c r="V508" s="600"/>
      <c r="W508" s="599"/>
      <c r="X508" s="600"/>
      <c r="Y508" s="601"/>
      <c r="Z508" s="600"/>
      <c r="AA508" s="599"/>
      <c r="AB508" s="600"/>
      <c r="AC508" s="601"/>
      <c r="AD508" s="600"/>
      <c r="AE508" s="599"/>
      <c r="AF508" s="600"/>
      <c r="AG508" s="601"/>
      <c r="AH508" s="600"/>
      <c r="AI508" s="599"/>
      <c r="AJ508" s="600"/>
      <c r="AK508" s="601"/>
      <c r="AL508" s="600"/>
      <c r="AM508" s="599"/>
      <c r="AN508" s="600"/>
      <c r="AO508" s="601"/>
      <c r="AP508" s="600"/>
      <c r="AQ508" s="599"/>
      <c r="AR508" s="600"/>
      <c r="AS508" s="601"/>
      <c r="AT508" s="600"/>
      <c r="AU508" s="599"/>
      <c r="AV508" s="600"/>
      <c r="AW508" s="601"/>
      <c r="AX508" s="600"/>
      <c r="AY508" s="599"/>
      <c r="AZ508" s="621">
        <v>11</v>
      </c>
      <c r="BA508" s="601">
        <v>10</v>
      </c>
      <c r="BB508" s="602">
        <v>0</v>
      </c>
      <c r="BC508" s="599"/>
      <c r="BD508" s="600">
        <v>0</v>
      </c>
      <c r="BE508" s="599"/>
      <c r="BF508" s="600">
        <v>0</v>
      </c>
      <c r="BG508" s="599"/>
      <c r="BH508" s="600">
        <v>0</v>
      </c>
      <c r="BI508" s="599"/>
      <c r="BJ508" s="600">
        <v>0</v>
      </c>
      <c r="BK508" s="615"/>
      <c r="BL508" s="621">
        <v>501087.00000000006</v>
      </c>
      <c r="BM508" s="604">
        <v>460795</v>
      </c>
      <c r="BN508" s="605">
        <f t="shared" si="563"/>
        <v>0</v>
      </c>
      <c r="BO508" s="606">
        <f t="shared" si="564"/>
        <v>0</v>
      </c>
      <c r="BP508" s="607">
        <f t="shared" si="565"/>
        <v>0</v>
      </c>
      <c r="BQ508" s="606">
        <f t="shared" si="566"/>
        <v>0</v>
      </c>
      <c r="BR508" s="607">
        <f t="shared" si="567"/>
        <v>0</v>
      </c>
      <c r="BS508" s="606">
        <f t="shared" si="568"/>
        <v>0</v>
      </c>
      <c r="BT508" s="607">
        <f t="shared" si="569"/>
        <v>0</v>
      </c>
      <c r="BU508" s="606">
        <f t="shared" si="570"/>
        <v>0</v>
      </c>
      <c r="BV508" s="607">
        <f t="shared" si="571"/>
        <v>0</v>
      </c>
      <c r="BW508" s="608">
        <f t="shared" si="572"/>
        <v>0</v>
      </c>
      <c r="BX508" s="607">
        <f t="shared" si="573"/>
        <v>132</v>
      </c>
      <c r="BY508" s="608">
        <f t="shared" si="574"/>
        <v>120</v>
      </c>
      <c r="BZ508" s="607">
        <f t="shared" si="575"/>
        <v>0</v>
      </c>
      <c r="CA508" s="608">
        <f t="shared" si="576"/>
        <v>0</v>
      </c>
      <c r="CB508" s="607">
        <f t="shared" si="577"/>
        <v>0</v>
      </c>
      <c r="CC508" s="608">
        <f t="shared" si="578"/>
        <v>0</v>
      </c>
      <c r="CD508" s="607">
        <f t="shared" si="579"/>
        <v>0</v>
      </c>
      <c r="CE508" s="608">
        <f t="shared" si="580"/>
        <v>0</v>
      </c>
      <c r="CF508" s="607">
        <f t="shared" si="581"/>
        <v>0</v>
      </c>
      <c r="CG508" s="608">
        <f t="shared" si="582"/>
        <v>0</v>
      </c>
      <c r="CH508" s="607">
        <f t="shared" si="583"/>
        <v>0</v>
      </c>
      <c r="CI508" s="608">
        <f t="shared" si="584"/>
        <v>0</v>
      </c>
      <c r="CJ508" s="607">
        <f t="shared" si="585"/>
        <v>3796.1136363636369</v>
      </c>
      <c r="CK508" s="608">
        <f t="shared" si="586"/>
        <v>3839.9583333333335</v>
      </c>
      <c r="CL508" s="609">
        <f t="shared" si="587"/>
        <v>0</v>
      </c>
      <c r="CM508" s="608">
        <f t="shared" si="588"/>
        <v>0</v>
      </c>
      <c r="CN508" s="610">
        <f t="shared" si="589"/>
        <v>0</v>
      </c>
      <c r="CO508" s="606">
        <f t="shared" si="590"/>
        <v>0</v>
      </c>
      <c r="CP508" s="607">
        <f t="shared" si="591"/>
        <v>0</v>
      </c>
      <c r="CQ508" s="606">
        <f t="shared" si="592"/>
        <v>0</v>
      </c>
      <c r="CR508" s="607">
        <f t="shared" si="593"/>
        <v>0</v>
      </c>
      <c r="CS508" s="606">
        <f t="shared" si="594"/>
        <v>0</v>
      </c>
      <c r="CT508" s="607">
        <f t="shared" si="595"/>
        <v>0</v>
      </c>
      <c r="CU508" s="608">
        <f t="shared" si="596"/>
        <v>0</v>
      </c>
      <c r="CV508" s="610">
        <f t="shared" si="597"/>
        <v>34165.022727272735</v>
      </c>
      <c r="CW508" s="608">
        <f t="shared" si="598"/>
        <v>34559.625</v>
      </c>
      <c r="CX508" s="610">
        <f t="shared" si="599"/>
        <v>34165.022727272735</v>
      </c>
      <c r="CY508" s="611">
        <f t="shared" si="600"/>
        <v>34559.625</v>
      </c>
      <c r="CZ508" s="605">
        <f t="shared" si="601"/>
        <v>0</v>
      </c>
      <c r="DA508" s="612">
        <f t="shared" si="602"/>
        <v>0</v>
      </c>
      <c r="DB508" s="607">
        <f t="shared" si="603"/>
        <v>0</v>
      </c>
      <c r="DC508" s="606">
        <f t="shared" si="604"/>
        <v>0</v>
      </c>
      <c r="DD508" s="607">
        <f t="shared" si="605"/>
        <v>0</v>
      </c>
      <c r="DE508" s="606">
        <f t="shared" si="606"/>
        <v>0</v>
      </c>
      <c r="DF508" s="607">
        <f t="shared" si="607"/>
        <v>0</v>
      </c>
      <c r="DG508" s="606">
        <f t="shared" si="608"/>
        <v>0</v>
      </c>
      <c r="DH508" s="607">
        <f t="shared" si="609"/>
        <v>0</v>
      </c>
      <c r="DI508" s="608">
        <f t="shared" si="610"/>
        <v>0</v>
      </c>
      <c r="DJ508" s="607">
        <f t="shared" si="611"/>
        <v>11</v>
      </c>
      <c r="DK508" s="608">
        <f t="shared" si="612"/>
        <v>10</v>
      </c>
      <c r="DL508" s="607">
        <f t="shared" si="613"/>
        <v>11</v>
      </c>
      <c r="DM508" s="608">
        <f t="shared" si="614"/>
        <v>10</v>
      </c>
      <c r="DN508" s="607">
        <f t="shared" si="615"/>
        <v>0</v>
      </c>
      <c r="DO508" s="612">
        <f t="shared" si="616"/>
        <v>0</v>
      </c>
      <c r="DP508" s="607">
        <f t="shared" si="617"/>
        <v>0</v>
      </c>
      <c r="DQ508" s="606">
        <f t="shared" si="618"/>
        <v>0</v>
      </c>
      <c r="DR508" s="607">
        <f t="shared" si="619"/>
        <v>0</v>
      </c>
      <c r="DS508" s="606">
        <f t="shared" si="620"/>
        <v>0</v>
      </c>
      <c r="DT508" s="607">
        <f t="shared" si="621"/>
        <v>0</v>
      </c>
      <c r="DU508" s="606">
        <f t="shared" si="622"/>
        <v>0</v>
      </c>
      <c r="DV508" s="607">
        <f t="shared" si="623"/>
        <v>0</v>
      </c>
      <c r="DW508" s="608">
        <f t="shared" si="624"/>
        <v>0</v>
      </c>
      <c r="DX508" s="607">
        <f t="shared" si="625"/>
        <v>375815.25000000012</v>
      </c>
      <c r="DY508" s="608">
        <f t="shared" si="626"/>
        <v>345596.25</v>
      </c>
      <c r="DZ508" s="607">
        <f t="shared" si="627"/>
        <v>375815.25000000012</v>
      </c>
      <c r="EA508" s="608">
        <f t="shared" si="628"/>
        <v>345596.25</v>
      </c>
    </row>
    <row r="509" spans="1:131" x14ac:dyDescent="0.2">
      <c r="A509" s="482" t="s">
        <v>42</v>
      </c>
      <c r="B509" s="431" t="s">
        <v>954</v>
      </c>
      <c r="C509" s="581"/>
      <c r="D509" s="480">
        <v>221582</v>
      </c>
      <c r="E509" s="418">
        <v>13</v>
      </c>
      <c r="F509" s="598"/>
      <c r="G509" s="599"/>
      <c r="H509" s="600"/>
      <c r="I509" s="601"/>
      <c r="J509" s="600"/>
      <c r="K509" s="599"/>
      <c r="L509" s="600"/>
      <c r="M509" s="601"/>
      <c r="N509" s="600"/>
      <c r="O509" s="599"/>
      <c r="P509" s="600"/>
      <c r="Q509" s="601"/>
      <c r="R509" s="600"/>
      <c r="S509" s="599"/>
      <c r="T509" s="600"/>
      <c r="U509" s="601"/>
      <c r="V509" s="600"/>
      <c r="W509" s="599"/>
      <c r="X509" s="600"/>
      <c r="Y509" s="601"/>
      <c r="Z509" s="600"/>
      <c r="AA509" s="599"/>
      <c r="AB509" s="600"/>
      <c r="AC509" s="601"/>
      <c r="AD509" s="600"/>
      <c r="AE509" s="599"/>
      <c r="AF509" s="600"/>
      <c r="AG509" s="601"/>
      <c r="AH509" s="600"/>
      <c r="AI509" s="599"/>
      <c r="AJ509" s="600"/>
      <c r="AK509" s="601"/>
      <c r="AL509" s="600"/>
      <c r="AM509" s="599"/>
      <c r="AN509" s="600"/>
      <c r="AO509" s="601"/>
      <c r="AP509" s="600"/>
      <c r="AQ509" s="599"/>
      <c r="AR509" s="600"/>
      <c r="AS509" s="601"/>
      <c r="AT509" s="600"/>
      <c r="AU509" s="599"/>
      <c r="AV509" s="600"/>
      <c r="AW509" s="601"/>
      <c r="AX509" s="600"/>
      <c r="AY509" s="599"/>
      <c r="AZ509" s="621">
        <v>11</v>
      </c>
      <c r="BA509" s="601">
        <v>9</v>
      </c>
      <c r="BB509" s="602">
        <v>0</v>
      </c>
      <c r="BC509" s="599"/>
      <c r="BD509" s="600">
        <v>0</v>
      </c>
      <c r="BE509" s="599"/>
      <c r="BF509" s="600">
        <v>0</v>
      </c>
      <c r="BG509" s="599"/>
      <c r="BH509" s="600">
        <v>0</v>
      </c>
      <c r="BI509" s="599"/>
      <c r="BJ509" s="600">
        <v>0</v>
      </c>
      <c r="BK509" s="615"/>
      <c r="BL509" s="621">
        <v>475903</v>
      </c>
      <c r="BM509" s="604">
        <v>396288</v>
      </c>
      <c r="BN509" s="605">
        <f t="shared" si="563"/>
        <v>0</v>
      </c>
      <c r="BO509" s="606">
        <f t="shared" si="564"/>
        <v>0</v>
      </c>
      <c r="BP509" s="607">
        <f t="shared" si="565"/>
        <v>0</v>
      </c>
      <c r="BQ509" s="606">
        <f t="shared" si="566"/>
        <v>0</v>
      </c>
      <c r="BR509" s="607">
        <f t="shared" si="567"/>
        <v>0</v>
      </c>
      <c r="BS509" s="606">
        <f t="shared" si="568"/>
        <v>0</v>
      </c>
      <c r="BT509" s="607">
        <f t="shared" si="569"/>
        <v>0</v>
      </c>
      <c r="BU509" s="606">
        <f t="shared" si="570"/>
        <v>0</v>
      </c>
      <c r="BV509" s="607">
        <f t="shared" si="571"/>
        <v>0</v>
      </c>
      <c r="BW509" s="608">
        <f t="shared" si="572"/>
        <v>0</v>
      </c>
      <c r="BX509" s="607">
        <f t="shared" si="573"/>
        <v>132</v>
      </c>
      <c r="BY509" s="608">
        <f t="shared" si="574"/>
        <v>108</v>
      </c>
      <c r="BZ509" s="607">
        <f t="shared" si="575"/>
        <v>0</v>
      </c>
      <c r="CA509" s="608">
        <f t="shared" si="576"/>
        <v>0</v>
      </c>
      <c r="CB509" s="607">
        <f t="shared" si="577"/>
        <v>0</v>
      </c>
      <c r="CC509" s="608">
        <f t="shared" si="578"/>
        <v>0</v>
      </c>
      <c r="CD509" s="607">
        <f t="shared" si="579"/>
        <v>0</v>
      </c>
      <c r="CE509" s="608">
        <f t="shared" si="580"/>
        <v>0</v>
      </c>
      <c r="CF509" s="607">
        <f t="shared" si="581"/>
        <v>0</v>
      </c>
      <c r="CG509" s="608">
        <f t="shared" si="582"/>
        <v>0</v>
      </c>
      <c r="CH509" s="607">
        <f t="shared" si="583"/>
        <v>0</v>
      </c>
      <c r="CI509" s="608">
        <f t="shared" si="584"/>
        <v>0</v>
      </c>
      <c r="CJ509" s="607">
        <f t="shared" si="585"/>
        <v>3605.3257575757575</v>
      </c>
      <c r="CK509" s="608">
        <f t="shared" si="586"/>
        <v>3669.3333333333335</v>
      </c>
      <c r="CL509" s="609">
        <f t="shared" si="587"/>
        <v>0</v>
      </c>
      <c r="CM509" s="608">
        <f t="shared" si="588"/>
        <v>0</v>
      </c>
      <c r="CN509" s="610">
        <f t="shared" si="589"/>
        <v>0</v>
      </c>
      <c r="CO509" s="606">
        <f t="shared" si="590"/>
        <v>0</v>
      </c>
      <c r="CP509" s="607">
        <f t="shared" si="591"/>
        <v>0</v>
      </c>
      <c r="CQ509" s="606">
        <f t="shared" si="592"/>
        <v>0</v>
      </c>
      <c r="CR509" s="607">
        <f t="shared" si="593"/>
        <v>0</v>
      </c>
      <c r="CS509" s="606">
        <f t="shared" si="594"/>
        <v>0</v>
      </c>
      <c r="CT509" s="607">
        <f t="shared" si="595"/>
        <v>0</v>
      </c>
      <c r="CU509" s="608">
        <f t="shared" si="596"/>
        <v>0</v>
      </c>
      <c r="CV509" s="610">
        <f t="shared" si="597"/>
        <v>32447.931818181816</v>
      </c>
      <c r="CW509" s="608">
        <f t="shared" si="598"/>
        <v>33024</v>
      </c>
      <c r="CX509" s="610">
        <f t="shared" si="599"/>
        <v>32447.93181818182</v>
      </c>
      <c r="CY509" s="611">
        <f t="shared" si="600"/>
        <v>33024</v>
      </c>
      <c r="CZ509" s="605">
        <f t="shared" si="601"/>
        <v>0</v>
      </c>
      <c r="DA509" s="612">
        <f t="shared" si="602"/>
        <v>0</v>
      </c>
      <c r="DB509" s="607">
        <f t="shared" si="603"/>
        <v>0</v>
      </c>
      <c r="DC509" s="606">
        <f t="shared" si="604"/>
        <v>0</v>
      </c>
      <c r="DD509" s="607">
        <f t="shared" si="605"/>
        <v>0</v>
      </c>
      <c r="DE509" s="606">
        <f t="shared" si="606"/>
        <v>0</v>
      </c>
      <c r="DF509" s="607">
        <f t="shared" si="607"/>
        <v>0</v>
      </c>
      <c r="DG509" s="606">
        <f t="shared" si="608"/>
        <v>0</v>
      </c>
      <c r="DH509" s="607">
        <f t="shared" si="609"/>
        <v>0</v>
      </c>
      <c r="DI509" s="608">
        <f t="shared" si="610"/>
        <v>0</v>
      </c>
      <c r="DJ509" s="607">
        <f t="shared" si="611"/>
        <v>11</v>
      </c>
      <c r="DK509" s="608">
        <f t="shared" si="612"/>
        <v>9</v>
      </c>
      <c r="DL509" s="607">
        <f t="shared" si="613"/>
        <v>11</v>
      </c>
      <c r="DM509" s="608">
        <f t="shared" si="614"/>
        <v>9</v>
      </c>
      <c r="DN509" s="607">
        <f t="shared" si="615"/>
        <v>0</v>
      </c>
      <c r="DO509" s="612">
        <f t="shared" si="616"/>
        <v>0</v>
      </c>
      <c r="DP509" s="607">
        <f t="shared" si="617"/>
        <v>0</v>
      </c>
      <c r="DQ509" s="606">
        <f t="shared" si="618"/>
        <v>0</v>
      </c>
      <c r="DR509" s="607">
        <f t="shared" si="619"/>
        <v>0</v>
      </c>
      <c r="DS509" s="606">
        <f t="shared" si="620"/>
        <v>0</v>
      </c>
      <c r="DT509" s="607">
        <f t="shared" si="621"/>
        <v>0</v>
      </c>
      <c r="DU509" s="606">
        <f t="shared" si="622"/>
        <v>0</v>
      </c>
      <c r="DV509" s="607">
        <f t="shared" si="623"/>
        <v>0</v>
      </c>
      <c r="DW509" s="608">
        <f t="shared" si="624"/>
        <v>0</v>
      </c>
      <c r="DX509" s="607">
        <f t="shared" si="625"/>
        <v>356927.25</v>
      </c>
      <c r="DY509" s="608">
        <f t="shared" si="626"/>
        <v>297216</v>
      </c>
      <c r="DZ509" s="607">
        <f t="shared" si="627"/>
        <v>356927.25</v>
      </c>
      <c r="EA509" s="608">
        <f t="shared" si="628"/>
        <v>297216</v>
      </c>
    </row>
    <row r="510" spans="1:131" x14ac:dyDescent="0.2">
      <c r="A510" s="482" t="s">
        <v>42</v>
      </c>
      <c r="B510" s="431" t="s">
        <v>955</v>
      </c>
      <c r="C510" s="581"/>
      <c r="D510" s="480">
        <v>221281</v>
      </c>
      <c r="E510" s="418">
        <v>13</v>
      </c>
      <c r="F510" s="598"/>
      <c r="G510" s="599"/>
      <c r="H510" s="600"/>
      <c r="I510" s="601"/>
      <c r="J510" s="600"/>
      <c r="K510" s="599"/>
      <c r="L510" s="600"/>
      <c r="M510" s="601"/>
      <c r="N510" s="600"/>
      <c r="O510" s="599"/>
      <c r="P510" s="600"/>
      <c r="Q510" s="601"/>
      <c r="R510" s="600"/>
      <c r="S510" s="599"/>
      <c r="T510" s="600"/>
      <c r="U510" s="601"/>
      <c r="V510" s="600"/>
      <c r="W510" s="599"/>
      <c r="X510" s="600"/>
      <c r="Y510" s="601"/>
      <c r="Z510" s="600"/>
      <c r="AA510" s="599"/>
      <c r="AB510" s="600"/>
      <c r="AC510" s="601"/>
      <c r="AD510" s="600"/>
      <c r="AE510" s="599"/>
      <c r="AF510" s="600"/>
      <c r="AG510" s="601"/>
      <c r="AH510" s="600"/>
      <c r="AI510" s="599"/>
      <c r="AJ510" s="600"/>
      <c r="AK510" s="601"/>
      <c r="AL510" s="600"/>
      <c r="AM510" s="599"/>
      <c r="AN510" s="600"/>
      <c r="AO510" s="601"/>
      <c r="AP510" s="600"/>
      <c r="AQ510" s="599"/>
      <c r="AR510" s="600"/>
      <c r="AS510" s="601"/>
      <c r="AT510" s="600"/>
      <c r="AU510" s="599"/>
      <c r="AV510" s="600"/>
      <c r="AW510" s="601"/>
      <c r="AX510" s="600"/>
      <c r="AY510" s="599"/>
      <c r="AZ510" s="621">
        <v>12</v>
      </c>
      <c r="BA510" s="601">
        <v>18</v>
      </c>
      <c r="BB510" s="602">
        <v>0</v>
      </c>
      <c r="BC510" s="599"/>
      <c r="BD510" s="600">
        <v>0</v>
      </c>
      <c r="BE510" s="599"/>
      <c r="BF510" s="600">
        <v>0</v>
      </c>
      <c r="BG510" s="599"/>
      <c r="BH510" s="600">
        <v>0</v>
      </c>
      <c r="BI510" s="599"/>
      <c r="BJ510" s="600">
        <v>0</v>
      </c>
      <c r="BK510" s="615"/>
      <c r="BL510" s="621">
        <v>542236</v>
      </c>
      <c r="BM510" s="604">
        <v>846682</v>
      </c>
      <c r="BN510" s="605">
        <f t="shared" si="563"/>
        <v>0</v>
      </c>
      <c r="BO510" s="606">
        <f t="shared" si="564"/>
        <v>0</v>
      </c>
      <c r="BP510" s="607">
        <f t="shared" si="565"/>
        <v>0</v>
      </c>
      <c r="BQ510" s="606">
        <f t="shared" si="566"/>
        <v>0</v>
      </c>
      <c r="BR510" s="607">
        <f t="shared" si="567"/>
        <v>0</v>
      </c>
      <c r="BS510" s="606">
        <f t="shared" si="568"/>
        <v>0</v>
      </c>
      <c r="BT510" s="607">
        <f t="shared" si="569"/>
        <v>0</v>
      </c>
      <c r="BU510" s="606">
        <f t="shared" si="570"/>
        <v>0</v>
      </c>
      <c r="BV510" s="607">
        <f t="shared" si="571"/>
        <v>0</v>
      </c>
      <c r="BW510" s="608">
        <f t="shared" si="572"/>
        <v>0</v>
      </c>
      <c r="BX510" s="607">
        <f t="shared" si="573"/>
        <v>144</v>
      </c>
      <c r="BY510" s="608">
        <f t="shared" si="574"/>
        <v>216</v>
      </c>
      <c r="BZ510" s="607">
        <f t="shared" si="575"/>
        <v>0</v>
      </c>
      <c r="CA510" s="608">
        <f t="shared" si="576"/>
        <v>0</v>
      </c>
      <c r="CB510" s="607">
        <f t="shared" si="577"/>
        <v>0</v>
      </c>
      <c r="CC510" s="608">
        <f t="shared" si="578"/>
        <v>0</v>
      </c>
      <c r="CD510" s="607">
        <f t="shared" si="579"/>
        <v>0</v>
      </c>
      <c r="CE510" s="608">
        <f t="shared" si="580"/>
        <v>0</v>
      </c>
      <c r="CF510" s="607">
        <f t="shared" si="581"/>
        <v>0</v>
      </c>
      <c r="CG510" s="608">
        <f t="shared" si="582"/>
        <v>0</v>
      </c>
      <c r="CH510" s="607">
        <f t="shared" si="583"/>
        <v>0</v>
      </c>
      <c r="CI510" s="608">
        <f t="shared" si="584"/>
        <v>0</v>
      </c>
      <c r="CJ510" s="607">
        <f t="shared" si="585"/>
        <v>3765.5277777777778</v>
      </c>
      <c r="CK510" s="608">
        <f t="shared" si="586"/>
        <v>3919.8240740740739</v>
      </c>
      <c r="CL510" s="609">
        <f t="shared" si="587"/>
        <v>0</v>
      </c>
      <c r="CM510" s="608">
        <f t="shared" si="588"/>
        <v>0</v>
      </c>
      <c r="CN510" s="610">
        <f t="shared" si="589"/>
        <v>0</v>
      </c>
      <c r="CO510" s="606">
        <f t="shared" si="590"/>
        <v>0</v>
      </c>
      <c r="CP510" s="607">
        <f t="shared" si="591"/>
        <v>0</v>
      </c>
      <c r="CQ510" s="606">
        <f t="shared" si="592"/>
        <v>0</v>
      </c>
      <c r="CR510" s="607">
        <f t="shared" si="593"/>
        <v>0</v>
      </c>
      <c r="CS510" s="606">
        <f t="shared" si="594"/>
        <v>0</v>
      </c>
      <c r="CT510" s="607">
        <f t="shared" si="595"/>
        <v>0</v>
      </c>
      <c r="CU510" s="608">
        <f t="shared" si="596"/>
        <v>0</v>
      </c>
      <c r="CV510" s="610">
        <f t="shared" si="597"/>
        <v>33889.75</v>
      </c>
      <c r="CW510" s="608">
        <f t="shared" si="598"/>
        <v>35278.416666666664</v>
      </c>
      <c r="CX510" s="610">
        <f t="shared" si="599"/>
        <v>33889.75</v>
      </c>
      <c r="CY510" s="611">
        <f t="shared" si="600"/>
        <v>35278.416666666664</v>
      </c>
      <c r="CZ510" s="605">
        <f t="shared" si="601"/>
        <v>0</v>
      </c>
      <c r="DA510" s="612">
        <f t="shared" si="602"/>
        <v>0</v>
      </c>
      <c r="DB510" s="607">
        <f t="shared" si="603"/>
        <v>0</v>
      </c>
      <c r="DC510" s="606">
        <f t="shared" si="604"/>
        <v>0</v>
      </c>
      <c r="DD510" s="607">
        <f t="shared" si="605"/>
        <v>0</v>
      </c>
      <c r="DE510" s="606">
        <f t="shared" si="606"/>
        <v>0</v>
      </c>
      <c r="DF510" s="607">
        <f t="shared" si="607"/>
        <v>0</v>
      </c>
      <c r="DG510" s="606">
        <f t="shared" si="608"/>
        <v>0</v>
      </c>
      <c r="DH510" s="607">
        <f t="shared" si="609"/>
        <v>0</v>
      </c>
      <c r="DI510" s="608">
        <f t="shared" si="610"/>
        <v>0</v>
      </c>
      <c r="DJ510" s="607">
        <f t="shared" si="611"/>
        <v>12</v>
      </c>
      <c r="DK510" s="608">
        <f t="shared" si="612"/>
        <v>18</v>
      </c>
      <c r="DL510" s="607">
        <f t="shared" si="613"/>
        <v>12</v>
      </c>
      <c r="DM510" s="608">
        <f t="shared" si="614"/>
        <v>18</v>
      </c>
      <c r="DN510" s="607">
        <f t="shared" si="615"/>
        <v>0</v>
      </c>
      <c r="DO510" s="612">
        <f t="shared" si="616"/>
        <v>0</v>
      </c>
      <c r="DP510" s="607">
        <f t="shared" si="617"/>
        <v>0</v>
      </c>
      <c r="DQ510" s="606">
        <f t="shared" si="618"/>
        <v>0</v>
      </c>
      <c r="DR510" s="607">
        <f t="shared" si="619"/>
        <v>0</v>
      </c>
      <c r="DS510" s="606">
        <f t="shared" si="620"/>
        <v>0</v>
      </c>
      <c r="DT510" s="607">
        <f t="shared" si="621"/>
        <v>0</v>
      </c>
      <c r="DU510" s="606">
        <f t="shared" si="622"/>
        <v>0</v>
      </c>
      <c r="DV510" s="607">
        <f t="shared" si="623"/>
        <v>0</v>
      </c>
      <c r="DW510" s="608">
        <f t="shared" si="624"/>
        <v>0</v>
      </c>
      <c r="DX510" s="607">
        <f t="shared" si="625"/>
        <v>406677</v>
      </c>
      <c r="DY510" s="608">
        <f t="shared" si="626"/>
        <v>635011.5</v>
      </c>
      <c r="DZ510" s="607">
        <f t="shared" si="627"/>
        <v>406677</v>
      </c>
      <c r="EA510" s="608">
        <f t="shared" si="628"/>
        <v>635011.5</v>
      </c>
    </row>
    <row r="511" spans="1:131" x14ac:dyDescent="0.2">
      <c r="A511" s="482" t="s">
        <v>42</v>
      </c>
      <c r="B511" s="431" t="s">
        <v>956</v>
      </c>
      <c r="C511" s="581"/>
      <c r="D511" s="480">
        <v>221333</v>
      </c>
      <c r="E511" s="418">
        <v>13</v>
      </c>
      <c r="F511" s="598"/>
      <c r="G511" s="599"/>
      <c r="H511" s="600"/>
      <c r="I511" s="601"/>
      <c r="J511" s="600"/>
      <c r="K511" s="599"/>
      <c r="L511" s="600"/>
      <c r="M511" s="601"/>
      <c r="N511" s="600"/>
      <c r="O511" s="599"/>
      <c r="P511" s="600"/>
      <c r="Q511" s="601"/>
      <c r="R511" s="600"/>
      <c r="S511" s="599"/>
      <c r="T511" s="600"/>
      <c r="U511" s="601"/>
      <c r="V511" s="600"/>
      <c r="W511" s="599"/>
      <c r="X511" s="600"/>
      <c r="Y511" s="601"/>
      <c r="Z511" s="600"/>
      <c r="AA511" s="599"/>
      <c r="AB511" s="600"/>
      <c r="AC511" s="601"/>
      <c r="AD511" s="600"/>
      <c r="AE511" s="599"/>
      <c r="AF511" s="600"/>
      <c r="AG511" s="601"/>
      <c r="AH511" s="600"/>
      <c r="AI511" s="599"/>
      <c r="AJ511" s="600"/>
      <c r="AK511" s="601"/>
      <c r="AL511" s="600"/>
      <c r="AM511" s="599"/>
      <c r="AN511" s="600"/>
      <c r="AO511" s="601"/>
      <c r="AP511" s="600"/>
      <c r="AQ511" s="599"/>
      <c r="AR511" s="600"/>
      <c r="AS511" s="601"/>
      <c r="AT511" s="600"/>
      <c r="AU511" s="599"/>
      <c r="AV511" s="600"/>
      <c r="AW511" s="601"/>
      <c r="AX511" s="600"/>
      <c r="AY511" s="599"/>
      <c r="AZ511" s="621">
        <v>16</v>
      </c>
      <c r="BA511" s="601">
        <v>18</v>
      </c>
      <c r="BB511" s="602">
        <v>0</v>
      </c>
      <c r="BC511" s="599"/>
      <c r="BD511" s="600">
        <v>0</v>
      </c>
      <c r="BE511" s="599"/>
      <c r="BF511" s="600">
        <v>0</v>
      </c>
      <c r="BG511" s="599"/>
      <c r="BH511" s="600">
        <v>0</v>
      </c>
      <c r="BI511" s="599"/>
      <c r="BJ511" s="600">
        <v>0</v>
      </c>
      <c r="BK511" s="615"/>
      <c r="BL511" s="621">
        <v>761158</v>
      </c>
      <c r="BM511" s="604">
        <v>865318</v>
      </c>
      <c r="BN511" s="605">
        <f t="shared" si="563"/>
        <v>0</v>
      </c>
      <c r="BO511" s="606">
        <f t="shared" si="564"/>
        <v>0</v>
      </c>
      <c r="BP511" s="607">
        <f t="shared" si="565"/>
        <v>0</v>
      </c>
      <c r="BQ511" s="606">
        <f t="shared" si="566"/>
        <v>0</v>
      </c>
      <c r="BR511" s="607">
        <f t="shared" si="567"/>
        <v>0</v>
      </c>
      <c r="BS511" s="606">
        <f t="shared" si="568"/>
        <v>0</v>
      </c>
      <c r="BT511" s="607">
        <f t="shared" si="569"/>
        <v>0</v>
      </c>
      <c r="BU511" s="606">
        <f t="shared" si="570"/>
        <v>0</v>
      </c>
      <c r="BV511" s="607">
        <f t="shared" si="571"/>
        <v>0</v>
      </c>
      <c r="BW511" s="608">
        <f t="shared" si="572"/>
        <v>0</v>
      </c>
      <c r="BX511" s="607">
        <f t="shared" si="573"/>
        <v>192</v>
      </c>
      <c r="BY511" s="608">
        <f t="shared" si="574"/>
        <v>216</v>
      </c>
      <c r="BZ511" s="607">
        <f t="shared" si="575"/>
        <v>0</v>
      </c>
      <c r="CA511" s="608">
        <f t="shared" si="576"/>
        <v>0</v>
      </c>
      <c r="CB511" s="607">
        <f t="shared" si="577"/>
        <v>0</v>
      </c>
      <c r="CC511" s="608">
        <f t="shared" si="578"/>
        <v>0</v>
      </c>
      <c r="CD511" s="607">
        <f t="shared" si="579"/>
        <v>0</v>
      </c>
      <c r="CE511" s="608">
        <f t="shared" si="580"/>
        <v>0</v>
      </c>
      <c r="CF511" s="607">
        <f t="shared" si="581"/>
        <v>0</v>
      </c>
      <c r="CG511" s="608">
        <f t="shared" si="582"/>
        <v>0</v>
      </c>
      <c r="CH511" s="607">
        <f t="shared" si="583"/>
        <v>0</v>
      </c>
      <c r="CI511" s="608">
        <f t="shared" si="584"/>
        <v>0</v>
      </c>
      <c r="CJ511" s="607">
        <f t="shared" si="585"/>
        <v>3964.3645833333335</v>
      </c>
      <c r="CK511" s="608">
        <f t="shared" si="586"/>
        <v>4006.1018518518517</v>
      </c>
      <c r="CL511" s="609">
        <f t="shared" si="587"/>
        <v>0</v>
      </c>
      <c r="CM511" s="608">
        <f t="shared" si="588"/>
        <v>0</v>
      </c>
      <c r="CN511" s="610">
        <f t="shared" si="589"/>
        <v>0</v>
      </c>
      <c r="CO511" s="606">
        <f t="shared" si="590"/>
        <v>0</v>
      </c>
      <c r="CP511" s="607">
        <f t="shared" si="591"/>
        <v>0</v>
      </c>
      <c r="CQ511" s="606">
        <f t="shared" si="592"/>
        <v>0</v>
      </c>
      <c r="CR511" s="607">
        <f t="shared" si="593"/>
        <v>0</v>
      </c>
      <c r="CS511" s="606">
        <f t="shared" si="594"/>
        <v>0</v>
      </c>
      <c r="CT511" s="607">
        <f t="shared" si="595"/>
        <v>0</v>
      </c>
      <c r="CU511" s="608">
        <f t="shared" si="596"/>
        <v>0</v>
      </c>
      <c r="CV511" s="610">
        <f t="shared" si="597"/>
        <v>35679.28125</v>
      </c>
      <c r="CW511" s="608">
        <f t="shared" si="598"/>
        <v>36054.916666666664</v>
      </c>
      <c r="CX511" s="610">
        <f t="shared" si="599"/>
        <v>35679.28125</v>
      </c>
      <c r="CY511" s="611">
        <f t="shared" si="600"/>
        <v>36054.916666666664</v>
      </c>
      <c r="CZ511" s="605">
        <f t="shared" si="601"/>
        <v>0</v>
      </c>
      <c r="DA511" s="612">
        <f t="shared" si="602"/>
        <v>0</v>
      </c>
      <c r="DB511" s="607">
        <f t="shared" si="603"/>
        <v>0</v>
      </c>
      <c r="DC511" s="606">
        <f t="shared" si="604"/>
        <v>0</v>
      </c>
      <c r="DD511" s="607">
        <f t="shared" si="605"/>
        <v>0</v>
      </c>
      <c r="DE511" s="606">
        <f t="shared" si="606"/>
        <v>0</v>
      </c>
      <c r="DF511" s="607">
        <f t="shared" si="607"/>
        <v>0</v>
      </c>
      <c r="DG511" s="606">
        <f t="shared" si="608"/>
        <v>0</v>
      </c>
      <c r="DH511" s="607">
        <f t="shared" si="609"/>
        <v>0</v>
      </c>
      <c r="DI511" s="608">
        <f t="shared" si="610"/>
        <v>0</v>
      </c>
      <c r="DJ511" s="607">
        <f t="shared" si="611"/>
        <v>16</v>
      </c>
      <c r="DK511" s="608">
        <f t="shared" si="612"/>
        <v>18</v>
      </c>
      <c r="DL511" s="607">
        <f t="shared" si="613"/>
        <v>16</v>
      </c>
      <c r="DM511" s="608">
        <f t="shared" si="614"/>
        <v>18</v>
      </c>
      <c r="DN511" s="607">
        <f t="shared" si="615"/>
        <v>0</v>
      </c>
      <c r="DO511" s="612">
        <f t="shared" si="616"/>
        <v>0</v>
      </c>
      <c r="DP511" s="607">
        <f t="shared" si="617"/>
        <v>0</v>
      </c>
      <c r="DQ511" s="606">
        <f t="shared" si="618"/>
        <v>0</v>
      </c>
      <c r="DR511" s="607">
        <f t="shared" si="619"/>
        <v>0</v>
      </c>
      <c r="DS511" s="606">
        <f t="shared" si="620"/>
        <v>0</v>
      </c>
      <c r="DT511" s="607">
        <f t="shared" si="621"/>
        <v>0</v>
      </c>
      <c r="DU511" s="606">
        <f t="shared" si="622"/>
        <v>0</v>
      </c>
      <c r="DV511" s="607">
        <f t="shared" si="623"/>
        <v>0</v>
      </c>
      <c r="DW511" s="608">
        <f t="shared" si="624"/>
        <v>0</v>
      </c>
      <c r="DX511" s="607">
        <f t="shared" si="625"/>
        <v>570868.5</v>
      </c>
      <c r="DY511" s="608">
        <f t="shared" si="626"/>
        <v>648988.5</v>
      </c>
      <c r="DZ511" s="607">
        <f t="shared" si="627"/>
        <v>570868.5</v>
      </c>
      <c r="EA511" s="608">
        <f t="shared" si="628"/>
        <v>648988.5</v>
      </c>
    </row>
    <row r="512" spans="1:131" x14ac:dyDescent="0.2">
      <c r="A512" s="482" t="s">
        <v>42</v>
      </c>
      <c r="B512" s="431" t="s">
        <v>957</v>
      </c>
      <c r="C512" s="581"/>
      <c r="D512" s="480">
        <v>221388</v>
      </c>
      <c r="E512" s="418">
        <v>13</v>
      </c>
      <c r="F512" s="598"/>
      <c r="G512" s="599"/>
      <c r="H512" s="600"/>
      <c r="I512" s="601"/>
      <c r="J512" s="600"/>
      <c r="K512" s="599"/>
      <c r="L512" s="600"/>
      <c r="M512" s="601"/>
      <c r="N512" s="600"/>
      <c r="O512" s="599"/>
      <c r="P512" s="600"/>
      <c r="Q512" s="601"/>
      <c r="R512" s="600"/>
      <c r="S512" s="599"/>
      <c r="T512" s="600"/>
      <c r="U512" s="601"/>
      <c r="V512" s="600"/>
      <c r="W512" s="599"/>
      <c r="X512" s="600"/>
      <c r="Y512" s="601"/>
      <c r="Z512" s="600"/>
      <c r="AA512" s="599"/>
      <c r="AB512" s="600"/>
      <c r="AC512" s="601"/>
      <c r="AD512" s="600"/>
      <c r="AE512" s="599"/>
      <c r="AF512" s="600"/>
      <c r="AG512" s="601"/>
      <c r="AH512" s="600"/>
      <c r="AI512" s="599"/>
      <c r="AJ512" s="600"/>
      <c r="AK512" s="601"/>
      <c r="AL512" s="600"/>
      <c r="AM512" s="599"/>
      <c r="AN512" s="600"/>
      <c r="AO512" s="601"/>
      <c r="AP512" s="600"/>
      <c r="AQ512" s="599"/>
      <c r="AR512" s="600"/>
      <c r="AS512" s="601"/>
      <c r="AT512" s="600"/>
      <c r="AU512" s="599"/>
      <c r="AV512" s="600"/>
      <c r="AW512" s="601"/>
      <c r="AX512" s="600"/>
      <c r="AY512" s="599"/>
      <c r="AZ512" s="621">
        <v>8</v>
      </c>
      <c r="BA512" s="601">
        <v>9</v>
      </c>
      <c r="BB512" s="602">
        <v>0</v>
      </c>
      <c r="BC512" s="599"/>
      <c r="BD512" s="600">
        <v>0</v>
      </c>
      <c r="BE512" s="599"/>
      <c r="BF512" s="600">
        <v>0</v>
      </c>
      <c r="BG512" s="599"/>
      <c r="BH512" s="600">
        <v>0</v>
      </c>
      <c r="BI512" s="599"/>
      <c r="BJ512" s="600">
        <v>0</v>
      </c>
      <c r="BK512" s="615"/>
      <c r="BL512" s="621">
        <v>371814</v>
      </c>
      <c r="BM512" s="634">
        <v>432918</v>
      </c>
      <c r="BN512" s="605">
        <f t="shared" si="563"/>
        <v>0</v>
      </c>
      <c r="BO512" s="606">
        <f t="shared" si="564"/>
        <v>0</v>
      </c>
      <c r="BP512" s="607">
        <f t="shared" si="565"/>
        <v>0</v>
      </c>
      <c r="BQ512" s="606">
        <f t="shared" si="566"/>
        <v>0</v>
      </c>
      <c r="BR512" s="607">
        <f t="shared" si="567"/>
        <v>0</v>
      </c>
      <c r="BS512" s="606">
        <f t="shared" si="568"/>
        <v>0</v>
      </c>
      <c r="BT512" s="607">
        <f t="shared" si="569"/>
        <v>0</v>
      </c>
      <c r="BU512" s="606">
        <f t="shared" si="570"/>
        <v>0</v>
      </c>
      <c r="BV512" s="607">
        <f t="shared" si="571"/>
        <v>0</v>
      </c>
      <c r="BW512" s="608">
        <f t="shared" si="572"/>
        <v>0</v>
      </c>
      <c r="BX512" s="607">
        <f t="shared" si="573"/>
        <v>96</v>
      </c>
      <c r="BY512" s="608">
        <f t="shared" si="574"/>
        <v>108</v>
      </c>
      <c r="BZ512" s="607">
        <f t="shared" si="575"/>
        <v>0</v>
      </c>
      <c r="CA512" s="608">
        <f t="shared" si="576"/>
        <v>0</v>
      </c>
      <c r="CB512" s="607">
        <f t="shared" si="577"/>
        <v>0</v>
      </c>
      <c r="CC512" s="608">
        <f t="shared" si="578"/>
        <v>0</v>
      </c>
      <c r="CD512" s="607">
        <f t="shared" si="579"/>
        <v>0</v>
      </c>
      <c r="CE512" s="608">
        <f t="shared" si="580"/>
        <v>0</v>
      </c>
      <c r="CF512" s="607">
        <f t="shared" si="581"/>
        <v>0</v>
      </c>
      <c r="CG512" s="608">
        <f t="shared" si="582"/>
        <v>0</v>
      </c>
      <c r="CH512" s="607">
        <f t="shared" si="583"/>
        <v>0</v>
      </c>
      <c r="CI512" s="608">
        <f t="shared" si="584"/>
        <v>0</v>
      </c>
      <c r="CJ512" s="607">
        <f t="shared" si="585"/>
        <v>3873.0625</v>
      </c>
      <c r="CK512" s="608">
        <f t="shared" si="586"/>
        <v>4008.5</v>
      </c>
      <c r="CL512" s="609">
        <f t="shared" si="587"/>
        <v>0</v>
      </c>
      <c r="CM512" s="608">
        <f t="shared" si="588"/>
        <v>0</v>
      </c>
      <c r="CN512" s="610">
        <f t="shared" si="589"/>
        <v>0</v>
      </c>
      <c r="CO512" s="606">
        <f t="shared" si="590"/>
        <v>0</v>
      </c>
      <c r="CP512" s="607">
        <f t="shared" si="591"/>
        <v>0</v>
      </c>
      <c r="CQ512" s="606">
        <f t="shared" si="592"/>
        <v>0</v>
      </c>
      <c r="CR512" s="607">
        <f t="shared" si="593"/>
        <v>0</v>
      </c>
      <c r="CS512" s="606">
        <f t="shared" si="594"/>
        <v>0</v>
      </c>
      <c r="CT512" s="607">
        <f t="shared" si="595"/>
        <v>0</v>
      </c>
      <c r="CU512" s="608">
        <f t="shared" si="596"/>
        <v>0</v>
      </c>
      <c r="CV512" s="610">
        <f t="shared" si="597"/>
        <v>34857.5625</v>
      </c>
      <c r="CW512" s="608">
        <f t="shared" si="598"/>
        <v>36076.5</v>
      </c>
      <c r="CX512" s="610">
        <f t="shared" si="599"/>
        <v>34857.5625</v>
      </c>
      <c r="CY512" s="611">
        <f t="shared" si="600"/>
        <v>36076.5</v>
      </c>
      <c r="CZ512" s="605">
        <f t="shared" si="601"/>
        <v>0</v>
      </c>
      <c r="DA512" s="612">
        <f t="shared" si="602"/>
        <v>0</v>
      </c>
      <c r="DB512" s="607">
        <f t="shared" si="603"/>
        <v>0</v>
      </c>
      <c r="DC512" s="606">
        <f t="shared" si="604"/>
        <v>0</v>
      </c>
      <c r="DD512" s="607">
        <f t="shared" si="605"/>
        <v>0</v>
      </c>
      <c r="DE512" s="606">
        <f t="shared" si="606"/>
        <v>0</v>
      </c>
      <c r="DF512" s="607">
        <f t="shared" si="607"/>
        <v>0</v>
      </c>
      <c r="DG512" s="606">
        <f t="shared" si="608"/>
        <v>0</v>
      </c>
      <c r="DH512" s="607">
        <f t="shared" si="609"/>
        <v>0</v>
      </c>
      <c r="DI512" s="608">
        <f t="shared" si="610"/>
        <v>0</v>
      </c>
      <c r="DJ512" s="607">
        <f t="shared" si="611"/>
        <v>8</v>
      </c>
      <c r="DK512" s="608">
        <f t="shared" si="612"/>
        <v>9</v>
      </c>
      <c r="DL512" s="607">
        <f t="shared" si="613"/>
        <v>8</v>
      </c>
      <c r="DM512" s="608">
        <f t="shared" si="614"/>
        <v>9</v>
      </c>
      <c r="DN512" s="607">
        <f t="shared" si="615"/>
        <v>0</v>
      </c>
      <c r="DO512" s="612">
        <f t="shared" si="616"/>
        <v>0</v>
      </c>
      <c r="DP512" s="607">
        <f t="shared" si="617"/>
        <v>0</v>
      </c>
      <c r="DQ512" s="606">
        <f t="shared" si="618"/>
        <v>0</v>
      </c>
      <c r="DR512" s="607">
        <f t="shared" si="619"/>
        <v>0</v>
      </c>
      <c r="DS512" s="606">
        <f t="shared" si="620"/>
        <v>0</v>
      </c>
      <c r="DT512" s="607">
        <f t="shared" si="621"/>
        <v>0</v>
      </c>
      <c r="DU512" s="606">
        <f t="shared" si="622"/>
        <v>0</v>
      </c>
      <c r="DV512" s="607">
        <f t="shared" si="623"/>
        <v>0</v>
      </c>
      <c r="DW512" s="608">
        <f t="shared" si="624"/>
        <v>0</v>
      </c>
      <c r="DX512" s="607">
        <f t="shared" si="625"/>
        <v>278860.5</v>
      </c>
      <c r="DY512" s="608">
        <f t="shared" si="626"/>
        <v>324688.5</v>
      </c>
      <c r="DZ512" s="607">
        <f t="shared" si="627"/>
        <v>278860.5</v>
      </c>
      <c r="EA512" s="608">
        <f t="shared" si="628"/>
        <v>324688.5</v>
      </c>
    </row>
    <row r="513" spans="1:131" x14ac:dyDescent="0.2">
      <c r="A513" s="480" t="s">
        <v>42</v>
      </c>
      <c r="B513" s="431" t="s">
        <v>958</v>
      </c>
      <c r="C513" s="581"/>
      <c r="D513" s="480">
        <v>221494</v>
      </c>
      <c r="E513" s="418">
        <v>13</v>
      </c>
      <c r="F513" s="598"/>
      <c r="G513" s="599"/>
      <c r="H513" s="600"/>
      <c r="I513" s="601"/>
      <c r="J513" s="600"/>
      <c r="K513" s="599"/>
      <c r="L513" s="600"/>
      <c r="M513" s="601"/>
      <c r="N513" s="600"/>
      <c r="O513" s="599"/>
      <c r="P513" s="600"/>
      <c r="Q513" s="601"/>
      <c r="R513" s="600"/>
      <c r="S513" s="599"/>
      <c r="T513" s="600"/>
      <c r="U513" s="601"/>
      <c r="V513" s="600"/>
      <c r="W513" s="599"/>
      <c r="X513" s="600"/>
      <c r="Y513" s="601"/>
      <c r="Z513" s="600"/>
      <c r="AA513" s="599"/>
      <c r="AB513" s="600"/>
      <c r="AC513" s="601"/>
      <c r="AD513" s="600"/>
      <c r="AE513" s="599"/>
      <c r="AF513" s="600"/>
      <c r="AG513" s="601"/>
      <c r="AH513" s="600"/>
      <c r="AI513" s="599"/>
      <c r="AJ513" s="600"/>
      <c r="AK513" s="601"/>
      <c r="AL513" s="600"/>
      <c r="AM513" s="599"/>
      <c r="AN513" s="600"/>
      <c r="AO513" s="601"/>
      <c r="AP513" s="600"/>
      <c r="AQ513" s="599"/>
      <c r="AR513" s="600"/>
      <c r="AS513" s="601"/>
      <c r="AT513" s="600"/>
      <c r="AU513" s="599"/>
      <c r="AV513" s="600"/>
      <c r="AW513" s="601"/>
      <c r="AX513" s="600"/>
      <c r="AY513" s="599"/>
      <c r="AZ513" s="621">
        <v>20</v>
      </c>
      <c r="BA513" s="601">
        <v>21</v>
      </c>
      <c r="BB513" s="602">
        <v>0</v>
      </c>
      <c r="BC513" s="599"/>
      <c r="BD513" s="600">
        <v>0</v>
      </c>
      <c r="BE513" s="599"/>
      <c r="BF513" s="600">
        <v>0</v>
      </c>
      <c r="BG513" s="599"/>
      <c r="BH513" s="600">
        <v>0</v>
      </c>
      <c r="BI513" s="599"/>
      <c r="BJ513" s="600">
        <v>0</v>
      </c>
      <c r="BK513" s="615"/>
      <c r="BL513" s="621">
        <v>964124</v>
      </c>
      <c r="BM513" s="604">
        <v>1019960</v>
      </c>
      <c r="BN513" s="605">
        <f t="shared" si="563"/>
        <v>0</v>
      </c>
      <c r="BO513" s="606">
        <f t="shared" si="564"/>
        <v>0</v>
      </c>
      <c r="BP513" s="607">
        <f t="shared" si="565"/>
        <v>0</v>
      </c>
      <c r="BQ513" s="606">
        <f t="shared" si="566"/>
        <v>0</v>
      </c>
      <c r="BR513" s="607">
        <f t="shared" si="567"/>
        <v>0</v>
      </c>
      <c r="BS513" s="606">
        <f t="shared" si="568"/>
        <v>0</v>
      </c>
      <c r="BT513" s="607">
        <f t="shared" si="569"/>
        <v>0</v>
      </c>
      <c r="BU513" s="606">
        <f t="shared" si="570"/>
        <v>0</v>
      </c>
      <c r="BV513" s="607">
        <f t="shared" si="571"/>
        <v>0</v>
      </c>
      <c r="BW513" s="608">
        <f t="shared" si="572"/>
        <v>0</v>
      </c>
      <c r="BX513" s="607">
        <f t="shared" si="573"/>
        <v>240</v>
      </c>
      <c r="BY513" s="608">
        <f t="shared" si="574"/>
        <v>252</v>
      </c>
      <c r="BZ513" s="607">
        <f t="shared" si="575"/>
        <v>0</v>
      </c>
      <c r="CA513" s="608">
        <f t="shared" si="576"/>
        <v>0</v>
      </c>
      <c r="CB513" s="607">
        <f t="shared" si="577"/>
        <v>0</v>
      </c>
      <c r="CC513" s="608">
        <f t="shared" si="578"/>
        <v>0</v>
      </c>
      <c r="CD513" s="607">
        <f t="shared" si="579"/>
        <v>0</v>
      </c>
      <c r="CE513" s="608">
        <f t="shared" si="580"/>
        <v>0</v>
      </c>
      <c r="CF513" s="607">
        <f t="shared" si="581"/>
        <v>0</v>
      </c>
      <c r="CG513" s="608">
        <f t="shared" si="582"/>
        <v>0</v>
      </c>
      <c r="CH513" s="607">
        <f t="shared" si="583"/>
        <v>0</v>
      </c>
      <c r="CI513" s="608">
        <f t="shared" si="584"/>
        <v>0</v>
      </c>
      <c r="CJ513" s="607">
        <f t="shared" si="585"/>
        <v>4017.1833333333334</v>
      </c>
      <c r="CK513" s="608">
        <f t="shared" si="586"/>
        <v>4047.4603174603176</v>
      </c>
      <c r="CL513" s="609">
        <f t="shared" si="587"/>
        <v>0</v>
      </c>
      <c r="CM513" s="608">
        <f t="shared" si="588"/>
        <v>0</v>
      </c>
      <c r="CN513" s="610">
        <f t="shared" si="589"/>
        <v>0</v>
      </c>
      <c r="CO513" s="606">
        <f t="shared" si="590"/>
        <v>0</v>
      </c>
      <c r="CP513" s="607">
        <f t="shared" si="591"/>
        <v>0</v>
      </c>
      <c r="CQ513" s="606">
        <f t="shared" si="592"/>
        <v>0</v>
      </c>
      <c r="CR513" s="607">
        <f t="shared" si="593"/>
        <v>0</v>
      </c>
      <c r="CS513" s="606">
        <f t="shared" si="594"/>
        <v>0</v>
      </c>
      <c r="CT513" s="607">
        <f t="shared" si="595"/>
        <v>0</v>
      </c>
      <c r="CU513" s="608">
        <f t="shared" si="596"/>
        <v>0</v>
      </c>
      <c r="CV513" s="610">
        <f t="shared" si="597"/>
        <v>36154.65</v>
      </c>
      <c r="CW513" s="608">
        <f t="shared" si="598"/>
        <v>36427.142857142855</v>
      </c>
      <c r="CX513" s="610">
        <f t="shared" si="599"/>
        <v>36154.65</v>
      </c>
      <c r="CY513" s="611">
        <f t="shared" si="600"/>
        <v>36427.142857142855</v>
      </c>
      <c r="CZ513" s="605">
        <f t="shared" si="601"/>
        <v>0</v>
      </c>
      <c r="DA513" s="612">
        <f t="shared" si="602"/>
        <v>0</v>
      </c>
      <c r="DB513" s="607">
        <f t="shared" si="603"/>
        <v>0</v>
      </c>
      <c r="DC513" s="606">
        <f t="shared" si="604"/>
        <v>0</v>
      </c>
      <c r="DD513" s="607">
        <f t="shared" si="605"/>
        <v>0</v>
      </c>
      <c r="DE513" s="606">
        <f t="shared" si="606"/>
        <v>0</v>
      </c>
      <c r="DF513" s="607">
        <f t="shared" si="607"/>
        <v>0</v>
      </c>
      <c r="DG513" s="606">
        <f t="shared" si="608"/>
        <v>0</v>
      </c>
      <c r="DH513" s="607">
        <f t="shared" si="609"/>
        <v>0</v>
      </c>
      <c r="DI513" s="608">
        <f t="shared" si="610"/>
        <v>0</v>
      </c>
      <c r="DJ513" s="607">
        <f t="shared" si="611"/>
        <v>20</v>
      </c>
      <c r="DK513" s="608">
        <f t="shared" si="612"/>
        <v>21</v>
      </c>
      <c r="DL513" s="607">
        <f t="shared" si="613"/>
        <v>20</v>
      </c>
      <c r="DM513" s="608">
        <f t="shared" si="614"/>
        <v>21</v>
      </c>
      <c r="DN513" s="607">
        <f t="shared" si="615"/>
        <v>0</v>
      </c>
      <c r="DO513" s="612">
        <f t="shared" si="616"/>
        <v>0</v>
      </c>
      <c r="DP513" s="607">
        <f t="shared" si="617"/>
        <v>0</v>
      </c>
      <c r="DQ513" s="606">
        <f t="shared" si="618"/>
        <v>0</v>
      </c>
      <c r="DR513" s="607">
        <f t="shared" si="619"/>
        <v>0</v>
      </c>
      <c r="DS513" s="606">
        <f t="shared" si="620"/>
        <v>0</v>
      </c>
      <c r="DT513" s="607">
        <f t="shared" si="621"/>
        <v>0</v>
      </c>
      <c r="DU513" s="606">
        <f t="shared" si="622"/>
        <v>0</v>
      </c>
      <c r="DV513" s="607">
        <f t="shared" si="623"/>
        <v>0</v>
      </c>
      <c r="DW513" s="608">
        <f t="shared" si="624"/>
        <v>0</v>
      </c>
      <c r="DX513" s="607">
        <f t="shared" si="625"/>
        <v>723093</v>
      </c>
      <c r="DY513" s="608">
        <f t="shared" si="626"/>
        <v>764970</v>
      </c>
      <c r="DZ513" s="607">
        <f t="shared" si="627"/>
        <v>723093</v>
      </c>
      <c r="EA513" s="608">
        <f t="shared" si="628"/>
        <v>764970</v>
      </c>
    </row>
    <row r="514" spans="1:131" x14ac:dyDescent="0.2">
      <c r="A514" s="480" t="s">
        <v>42</v>
      </c>
      <c r="B514" s="431" t="s">
        <v>959</v>
      </c>
      <c r="C514" s="581"/>
      <c r="D514" s="480">
        <v>221634</v>
      </c>
      <c r="E514" s="418">
        <v>13</v>
      </c>
      <c r="F514" s="598"/>
      <c r="G514" s="599"/>
      <c r="H514" s="600"/>
      <c r="I514" s="601"/>
      <c r="J514" s="600"/>
      <c r="K514" s="599"/>
      <c r="L514" s="600"/>
      <c r="M514" s="601"/>
      <c r="N514" s="600"/>
      <c r="O514" s="599"/>
      <c r="P514" s="600"/>
      <c r="Q514" s="601"/>
      <c r="R514" s="600"/>
      <c r="S514" s="599"/>
      <c r="T514" s="600"/>
      <c r="U514" s="601"/>
      <c r="V514" s="600"/>
      <c r="W514" s="599"/>
      <c r="X514" s="600"/>
      <c r="Y514" s="601"/>
      <c r="Z514" s="600"/>
      <c r="AA514" s="599"/>
      <c r="AB514" s="600"/>
      <c r="AC514" s="601"/>
      <c r="AD514" s="600"/>
      <c r="AE514" s="599"/>
      <c r="AF514" s="600"/>
      <c r="AG514" s="601"/>
      <c r="AH514" s="600"/>
      <c r="AI514" s="599"/>
      <c r="AJ514" s="600"/>
      <c r="AK514" s="601"/>
      <c r="AL514" s="600"/>
      <c r="AM514" s="599"/>
      <c r="AN514" s="600"/>
      <c r="AO514" s="601"/>
      <c r="AP514" s="600"/>
      <c r="AQ514" s="599"/>
      <c r="AR514" s="600"/>
      <c r="AS514" s="601"/>
      <c r="AT514" s="600"/>
      <c r="AU514" s="599"/>
      <c r="AV514" s="600"/>
      <c r="AW514" s="601"/>
      <c r="AX514" s="600"/>
      <c r="AY514" s="599"/>
      <c r="AZ514" s="621">
        <v>8</v>
      </c>
      <c r="BA514" s="601">
        <v>8</v>
      </c>
      <c r="BB514" s="602">
        <v>0</v>
      </c>
      <c r="BC514" s="599"/>
      <c r="BD514" s="600">
        <v>0</v>
      </c>
      <c r="BE514" s="599"/>
      <c r="BF514" s="600">
        <v>0</v>
      </c>
      <c r="BG514" s="599"/>
      <c r="BH514" s="600">
        <v>0</v>
      </c>
      <c r="BI514" s="599"/>
      <c r="BJ514" s="600">
        <v>0</v>
      </c>
      <c r="BK514" s="615"/>
      <c r="BL514" s="621">
        <v>390218</v>
      </c>
      <c r="BM514" s="604">
        <v>407976</v>
      </c>
      <c r="BN514" s="605">
        <f t="shared" si="563"/>
        <v>0</v>
      </c>
      <c r="BO514" s="606">
        <f t="shared" si="564"/>
        <v>0</v>
      </c>
      <c r="BP514" s="607">
        <f t="shared" si="565"/>
        <v>0</v>
      </c>
      <c r="BQ514" s="606">
        <f t="shared" si="566"/>
        <v>0</v>
      </c>
      <c r="BR514" s="607">
        <f t="shared" si="567"/>
        <v>0</v>
      </c>
      <c r="BS514" s="606">
        <f t="shared" si="568"/>
        <v>0</v>
      </c>
      <c r="BT514" s="607">
        <f t="shared" si="569"/>
        <v>0</v>
      </c>
      <c r="BU514" s="606">
        <f t="shared" si="570"/>
        <v>0</v>
      </c>
      <c r="BV514" s="607">
        <f t="shared" si="571"/>
        <v>0</v>
      </c>
      <c r="BW514" s="608">
        <f t="shared" si="572"/>
        <v>0</v>
      </c>
      <c r="BX514" s="607">
        <f t="shared" si="573"/>
        <v>96</v>
      </c>
      <c r="BY514" s="608">
        <f t="shared" si="574"/>
        <v>96</v>
      </c>
      <c r="BZ514" s="607">
        <f t="shared" si="575"/>
        <v>0</v>
      </c>
      <c r="CA514" s="608">
        <f t="shared" si="576"/>
        <v>0</v>
      </c>
      <c r="CB514" s="607">
        <f t="shared" si="577"/>
        <v>0</v>
      </c>
      <c r="CC514" s="608">
        <f t="shared" si="578"/>
        <v>0</v>
      </c>
      <c r="CD514" s="607">
        <f t="shared" si="579"/>
        <v>0</v>
      </c>
      <c r="CE514" s="608">
        <f t="shared" si="580"/>
        <v>0</v>
      </c>
      <c r="CF514" s="607">
        <f t="shared" si="581"/>
        <v>0</v>
      </c>
      <c r="CG514" s="608">
        <f t="shared" si="582"/>
        <v>0</v>
      </c>
      <c r="CH514" s="607">
        <f t="shared" si="583"/>
        <v>0</v>
      </c>
      <c r="CI514" s="608">
        <f t="shared" si="584"/>
        <v>0</v>
      </c>
      <c r="CJ514" s="607">
        <f t="shared" si="585"/>
        <v>4064.7708333333335</v>
      </c>
      <c r="CK514" s="608">
        <f t="shared" si="586"/>
        <v>4249.75</v>
      </c>
      <c r="CL514" s="609">
        <f t="shared" si="587"/>
        <v>0</v>
      </c>
      <c r="CM514" s="608">
        <f t="shared" si="588"/>
        <v>0</v>
      </c>
      <c r="CN514" s="610">
        <f t="shared" si="589"/>
        <v>0</v>
      </c>
      <c r="CO514" s="606">
        <f t="shared" si="590"/>
        <v>0</v>
      </c>
      <c r="CP514" s="607">
        <f t="shared" si="591"/>
        <v>0</v>
      </c>
      <c r="CQ514" s="606">
        <f t="shared" si="592"/>
        <v>0</v>
      </c>
      <c r="CR514" s="607">
        <f t="shared" si="593"/>
        <v>0</v>
      </c>
      <c r="CS514" s="606">
        <f t="shared" si="594"/>
        <v>0</v>
      </c>
      <c r="CT514" s="607">
        <f t="shared" si="595"/>
        <v>0</v>
      </c>
      <c r="CU514" s="608">
        <f t="shared" si="596"/>
        <v>0</v>
      </c>
      <c r="CV514" s="610">
        <f t="shared" si="597"/>
        <v>36582.9375</v>
      </c>
      <c r="CW514" s="608">
        <f t="shared" si="598"/>
        <v>38247.75</v>
      </c>
      <c r="CX514" s="610">
        <f t="shared" si="599"/>
        <v>36582.9375</v>
      </c>
      <c r="CY514" s="611">
        <f t="shared" si="600"/>
        <v>38247.75</v>
      </c>
      <c r="CZ514" s="605">
        <f t="shared" si="601"/>
        <v>0</v>
      </c>
      <c r="DA514" s="612">
        <f t="shared" si="602"/>
        <v>0</v>
      </c>
      <c r="DB514" s="607">
        <f t="shared" si="603"/>
        <v>0</v>
      </c>
      <c r="DC514" s="606">
        <f t="shared" si="604"/>
        <v>0</v>
      </c>
      <c r="DD514" s="607">
        <f t="shared" si="605"/>
        <v>0</v>
      </c>
      <c r="DE514" s="606">
        <f t="shared" si="606"/>
        <v>0</v>
      </c>
      <c r="DF514" s="607">
        <f t="shared" si="607"/>
        <v>0</v>
      </c>
      <c r="DG514" s="606">
        <f t="shared" si="608"/>
        <v>0</v>
      </c>
      <c r="DH514" s="607">
        <f t="shared" si="609"/>
        <v>0</v>
      </c>
      <c r="DI514" s="608">
        <f t="shared" si="610"/>
        <v>0</v>
      </c>
      <c r="DJ514" s="607">
        <f t="shared" si="611"/>
        <v>8</v>
      </c>
      <c r="DK514" s="608">
        <f t="shared" si="612"/>
        <v>8</v>
      </c>
      <c r="DL514" s="607">
        <f t="shared" si="613"/>
        <v>8</v>
      </c>
      <c r="DM514" s="608">
        <f t="shared" si="614"/>
        <v>8</v>
      </c>
      <c r="DN514" s="607">
        <f t="shared" si="615"/>
        <v>0</v>
      </c>
      <c r="DO514" s="612">
        <f t="shared" si="616"/>
        <v>0</v>
      </c>
      <c r="DP514" s="607">
        <f t="shared" si="617"/>
        <v>0</v>
      </c>
      <c r="DQ514" s="606">
        <f t="shared" si="618"/>
        <v>0</v>
      </c>
      <c r="DR514" s="607">
        <f t="shared" si="619"/>
        <v>0</v>
      </c>
      <c r="DS514" s="606">
        <f t="shared" si="620"/>
        <v>0</v>
      </c>
      <c r="DT514" s="607">
        <f t="shared" si="621"/>
        <v>0</v>
      </c>
      <c r="DU514" s="606">
        <f t="shared" si="622"/>
        <v>0</v>
      </c>
      <c r="DV514" s="607">
        <f t="shared" si="623"/>
        <v>0</v>
      </c>
      <c r="DW514" s="608">
        <f t="shared" si="624"/>
        <v>0</v>
      </c>
      <c r="DX514" s="607">
        <f t="shared" si="625"/>
        <v>292663.5</v>
      </c>
      <c r="DY514" s="608">
        <f t="shared" si="626"/>
        <v>305982</v>
      </c>
      <c r="DZ514" s="607">
        <f t="shared" si="627"/>
        <v>292663.5</v>
      </c>
      <c r="EA514" s="608">
        <f t="shared" si="628"/>
        <v>305982</v>
      </c>
    </row>
    <row r="515" spans="1:131" x14ac:dyDescent="0.2">
      <c r="A515" s="483" t="s">
        <v>43</v>
      </c>
      <c r="B515" s="354" t="s">
        <v>439</v>
      </c>
      <c r="C515" s="566"/>
      <c r="D515" s="362">
        <v>228723</v>
      </c>
      <c r="E515" s="363">
        <v>1</v>
      </c>
      <c r="F515" s="598">
        <v>427</v>
      </c>
      <c r="G515" s="599">
        <v>394</v>
      </c>
      <c r="H515" s="600"/>
      <c r="I515" s="601">
        <v>41</v>
      </c>
      <c r="J515" s="600">
        <v>429</v>
      </c>
      <c r="K515" s="599">
        <v>15</v>
      </c>
      <c r="L515" s="600"/>
      <c r="M515" s="601">
        <v>391</v>
      </c>
      <c r="N515" s="600">
        <v>309</v>
      </c>
      <c r="O515" s="599">
        <v>271</v>
      </c>
      <c r="P515" s="600"/>
      <c r="Q515" s="601">
        <v>45</v>
      </c>
      <c r="R515" s="600">
        <v>274</v>
      </c>
      <c r="S515" s="599">
        <v>6</v>
      </c>
      <c r="T515" s="600"/>
      <c r="U515" s="601">
        <v>263</v>
      </c>
      <c r="V515" s="600">
        <v>282</v>
      </c>
      <c r="W515" s="599">
        <v>216</v>
      </c>
      <c r="X515" s="600"/>
      <c r="Y515" s="601">
        <v>17</v>
      </c>
      <c r="Z515" s="600">
        <v>239</v>
      </c>
      <c r="AA515" s="599">
        <v>13</v>
      </c>
      <c r="AB515" s="600"/>
      <c r="AC515" s="601">
        <v>172</v>
      </c>
      <c r="AD515" s="600">
        <v>67</v>
      </c>
      <c r="AE515" s="599">
        <v>65</v>
      </c>
      <c r="AF515" s="600"/>
      <c r="AG515" s="601">
        <v>8</v>
      </c>
      <c r="AH515" s="600">
        <v>48</v>
      </c>
      <c r="AI515" s="599">
        <v>1</v>
      </c>
      <c r="AJ515" s="600"/>
      <c r="AK515" s="601">
        <v>50</v>
      </c>
      <c r="AL515" s="600">
        <v>145</v>
      </c>
      <c r="AM515" s="599">
        <v>146</v>
      </c>
      <c r="AN515" s="600"/>
      <c r="AO515" s="601">
        <v>24</v>
      </c>
      <c r="AP515" s="600">
        <v>91</v>
      </c>
      <c r="AQ515" s="599">
        <v>6</v>
      </c>
      <c r="AR515" s="600"/>
      <c r="AS515" s="601">
        <v>71</v>
      </c>
      <c r="AT515" s="600"/>
      <c r="AU515" s="599"/>
      <c r="AV515" s="600"/>
      <c r="AW515" s="601"/>
      <c r="AX515" s="600"/>
      <c r="AY515" s="599"/>
      <c r="AZ515" s="600"/>
      <c r="BA515" s="601"/>
      <c r="BB515" s="602">
        <v>121067625</v>
      </c>
      <c r="BC515" s="599">
        <v>120387238</v>
      </c>
      <c r="BD515" s="600">
        <v>55711270</v>
      </c>
      <c r="BE515" s="599">
        <v>56437804</v>
      </c>
      <c r="BF515" s="600">
        <v>42617129</v>
      </c>
      <c r="BG515" s="599">
        <v>34394933</v>
      </c>
      <c r="BH515" s="600">
        <v>5250760</v>
      </c>
      <c r="BI515" s="599">
        <v>6178296</v>
      </c>
      <c r="BJ515" s="600">
        <v>6928838.3626373624</v>
      </c>
      <c r="BK515" s="615">
        <v>12647716</v>
      </c>
      <c r="BL515" s="600">
        <v>0</v>
      </c>
      <c r="BM515" s="604"/>
      <c r="BN515" s="605">
        <f t="shared" si="563"/>
        <v>8562</v>
      </c>
      <c r="BO515" s="606">
        <f t="shared" si="564"/>
        <v>8813</v>
      </c>
      <c r="BP515" s="607">
        <f t="shared" si="565"/>
        <v>5795</v>
      </c>
      <c r="BQ515" s="606">
        <f t="shared" si="566"/>
        <v>6111</v>
      </c>
      <c r="BR515" s="607">
        <f t="shared" si="567"/>
        <v>5167</v>
      </c>
      <c r="BS515" s="606">
        <f t="shared" si="568"/>
        <v>4321</v>
      </c>
      <c r="BT515" s="607">
        <f t="shared" si="569"/>
        <v>1131</v>
      </c>
      <c r="BU515" s="606">
        <f t="shared" si="570"/>
        <v>1276</v>
      </c>
      <c r="BV515" s="607">
        <f t="shared" si="571"/>
        <v>2306</v>
      </c>
      <c r="BW515" s="608">
        <f t="shared" si="572"/>
        <v>2472</v>
      </c>
      <c r="BX515" s="607">
        <f t="shared" si="573"/>
        <v>0</v>
      </c>
      <c r="BY515" s="608">
        <f t="shared" si="574"/>
        <v>0</v>
      </c>
      <c r="BZ515" s="607">
        <f t="shared" si="575"/>
        <v>14140.110371408549</v>
      </c>
      <c r="CA515" s="608">
        <f t="shared" si="576"/>
        <v>13660.188131169863</v>
      </c>
      <c r="CB515" s="607">
        <f t="shared" si="577"/>
        <v>9613.6790336496979</v>
      </c>
      <c r="CC515" s="608">
        <f t="shared" si="578"/>
        <v>9235.4449353624605</v>
      </c>
      <c r="CD515" s="607">
        <f t="shared" si="579"/>
        <v>8247.9444551964389</v>
      </c>
      <c r="CE515" s="608">
        <f t="shared" si="580"/>
        <v>7959.947465864383</v>
      </c>
      <c r="CF515" s="607">
        <f t="shared" si="581"/>
        <v>4642.5817860300622</v>
      </c>
      <c r="CG515" s="608">
        <f t="shared" si="582"/>
        <v>4841.9247648902819</v>
      </c>
      <c r="CH515" s="607">
        <f t="shared" si="583"/>
        <v>3004.7000705279111</v>
      </c>
      <c r="CI515" s="608">
        <f t="shared" si="584"/>
        <v>5116.3899676375404</v>
      </c>
      <c r="CJ515" s="607">
        <f t="shared" si="585"/>
        <v>0</v>
      </c>
      <c r="CK515" s="608">
        <f t="shared" si="586"/>
        <v>0</v>
      </c>
      <c r="CL515" s="609">
        <f t="shared" si="587"/>
        <v>127260.99334267694</v>
      </c>
      <c r="CM515" s="608">
        <f t="shared" si="588"/>
        <v>122941.69318052877</v>
      </c>
      <c r="CN515" s="610">
        <f t="shared" si="589"/>
        <v>86523.111302847276</v>
      </c>
      <c r="CO515" s="606">
        <f t="shared" si="590"/>
        <v>83119.00441826215</v>
      </c>
      <c r="CP515" s="607">
        <f t="shared" si="591"/>
        <v>74231.500096767952</v>
      </c>
      <c r="CQ515" s="606">
        <f t="shared" si="592"/>
        <v>71639.527192779453</v>
      </c>
      <c r="CR515" s="607">
        <f t="shared" si="593"/>
        <v>41783.236074270557</v>
      </c>
      <c r="CS515" s="606">
        <f t="shared" si="594"/>
        <v>43577.322884012538</v>
      </c>
      <c r="CT515" s="607">
        <f t="shared" si="595"/>
        <v>27042.300634751198</v>
      </c>
      <c r="CU515" s="608">
        <f t="shared" si="596"/>
        <v>46047.509708737867</v>
      </c>
      <c r="CV515" s="610">
        <f t="shared" si="597"/>
        <v>0</v>
      </c>
      <c r="CW515" s="608">
        <f t="shared" si="598"/>
        <v>0</v>
      </c>
      <c r="CX515" s="610">
        <f t="shared" si="599"/>
        <v>90540.913387992186</v>
      </c>
      <c r="CY515" s="611">
        <f t="shared" si="600"/>
        <v>89725.158849555635</v>
      </c>
      <c r="CZ515" s="605">
        <f t="shared" si="601"/>
        <v>856</v>
      </c>
      <c r="DA515" s="612">
        <f t="shared" si="602"/>
        <v>841</v>
      </c>
      <c r="DB515" s="607">
        <f t="shared" si="603"/>
        <v>583</v>
      </c>
      <c r="DC515" s="606">
        <f t="shared" si="604"/>
        <v>585</v>
      </c>
      <c r="DD515" s="607">
        <f t="shared" si="605"/>
        <v>521</v>
      </c>
      <c r="DE515" s="606">
        <f t="shared" si="606"/>
        <v>418</v>
      </c>
      <c r="DF515" s="607">
        <f t="shared" si="607"/>
        <v>115</v>
      </c>
      <c r="DG515" s="606">
        <f t="shared" si="608"/>
        <v>124</v>
      </c>
      <c r="DH515" s="607">
        <f t="shared" si="609"/>
        <v>236</v>
      </c>
      <c r="DI515" s="608">
        <f t="shared" si="610"/>
        <v>247</v>
      </c>
      <c r="DJ515" s="607">
        <f t="shared" si="611"/>
        <v>0</v>
      </c>
      <c r="DK515" s="608">
        <f t="shared" si="612"/>
        <v>0</v>
      </c>
      <c r="DL515" s="607">
        <f t="shared" si="613"/>
        <v>2311</v>
      </c>
      <c r="DM515" s="608">
        <f t="shared" si="614"/>
        <v>2215</v>
      </c>
      <c r="DN515" s="607">
        <f t="shared" si="615"/>
        <v>108935410.30133146</v>
      </c>
      <c r="DO515" s="612">
        <f t="shared" si="616"/>
        <v>103393963.96482471</v>
      </c>
      <c r="DP515" s="607">
        <f t="shared" si="617"/>
        <v>50442973.889559962</v>
      </c>
      <c r="DQ515" s="606">
        <f t="shared" si="618"/>
        <v>48624617.584683359</v>
      </c>
      <c r="DR515" s="607">
        <f t="shared" si="619"/>
        <v>38674611.550416104</v>
      </c>
      <c r="DS515" s="606">
        <f t="shared" si="620"/>
        <v>29945322.366581813</v>
      </c>
      <c r="DT515" s="607">
        <f t="shared" si="621"/>
        <v>4805072.1485411143</v>
      </c>
      <c r="DU515" s="606">
        <f t="shared" si="622"/>
        <v>5403588.0376175549</v>
      </c>
      <c r="DV515" s="607">
        <f t="shared" si="623"/>
        <v>6381982.949801283</v>
      </c>
      <c r="DW515" s="608">
        <f t="shared" si="624"/>
        <v>11373734.898058252</v>
      </c>
      <c r="DX515" s="607">
        <f t="shared" si="625"/>
        <v>0</v>
      </c>
      <c r="DY515" s="608">
        <f t="shared" si="626"/>
        <v>0</v>
      </c>
      <c r="DZ515" s="607">
        <f t="shared" si="627"/>
        <v>209240050.83964995</v>
      </c>
      <c r="EA515" s="608">
        <f t="shared" si="628"/>
        <v>198741226.85176572</v>
      </c>
    </row>
    <row r="516" spans="1:131" x14ac:dyDescent="0.2">
      <c r="A516" s="483" t="s">
        <v>43</v>
      </c>
      <c r="B516" s="354" t="s">
        <v>440</v>
      </c>
      <c r="C516" s="566"/>
      <c r="D516" s="362">
        <v>229115</v>
      </c>
      <c r="E516" s="363">
        <v>1</v>
      </c>
      <c r="F516" s="598">
        <v>279</v>
      </c>
      <c r="G516" s="599">
        <v>271</v>
      </c>
      <c r="H516" s="600"/>
      <c r="I516" s="601">
        <v>0</v>
      </c>
      <c r="J516" s="600">
        <v>30</v>
      </c>
      <c r="K516" s="599">
        <v>1</v>
      </c>
      <c r="L516" s="600"/>
      <c r="M516" s="601">
        <v>30</v>
      </c>
      <c r="N516" s="600">
        <v>367</v>
      </c>
      <c r="O516" s="599">
        <v>366</v>
      </c>
      <c r="P516" s="600"/>
      <c r="Q516" s="601">
        <v>0</v>
      </c>
      <c r="R516" s="600">
        <v>9</v>
      </c>
      <c r="S516" s="599">
        <v>0</v>
      </c>
      <c r="T516" s="600"/>
      <c r="U516" s="601">
        <v>13</v>
      </c>
      <c r="V516" s="600">
        <v>273</v>
      </c>
      <c r="W516" s="599">
        <v>259</v>
      </c>
      <c r="X516" s="600"/>
      <c r="Y516" s="601">
        <v>0</v>
      </c>
      <c r="Z516" s="600">
        <v>8</v>
      </c>
      <c r="AA516" s="599">
        <v>0</v>
      </c>
      <c r="AB516" s="600"/>
      <c r="AC516" s="601">
        <v>6</v>
      </c>
      <c r="AD516" s="600">
        <v>173</v>
      </c>
      <c r="AE516" s="599">
        <v>194</v>
      </c>
      <c r="AF516" s="600"/>
      <c r="AG516" s="601">
        <v>0</v>
      </c>
      <c r="AH516" s="600">
        <v>11</v>
      </c>
      <c r="AI516" s="599">
        <v>0</v>
      </c>
      <c r="AJ516" s="600"/>
      <c r="AK516" s="601">
        <v>16</v>
      </c>
      <c r="AL516" s="600">
        <v>0</v>
      </c>
      <c r="AM516" s="599">
        <v>0</v>
      </c>
      <c r="AN516" s="600"/>
      <c r="AO516" s="601">
        <v>0</v>
      </c>
      <c r="AP516" s="600">
        <v>0</v>
      </c>
      <c r="AQ516" s="599">
        <v>0</v>
      </c>
      <c r="AR516" s="600"/>
      <c r="AS516" s="601">
        <v>0</v>
      </c>
      <c r="AT516" s="600"/>
      <c r="AU516" s="599"/>
      <c r="AV516" s="600"/>
      <c r="AW516" s="601"/>
      <c r="AX516" s="600"/>
      <c r="AY516" s="599"/>
      <c r="AZ516" s="600"/>
      <c r="BA516" s="601"/>
      <c r="BB516" s="602">
        <v>33354179</v>
      </c>
      <c r="BC516" s="599">
        <v>34242327</v>
      </c>
      <c r="BD516" s="600">
        <v>27828615</v>
      </c>
      <c r="BE516" s="599">
        <v>29043668</v>
      </c>
      <c r="BF516" s="600">
        <v>18626882</v>
      </c>
      <c r="BG516" s="599">
        <v>18369395</v>
      </c>
      <c r="BH516" s="600">
        <v>8271384</v>
      </c>
      <c r="BI516" s="599">
        <v>10295382</v>
      </c>
      <c r="BJ516" s="600">
        <v>0</v>
      </c>
      <c r="BK516" s="615">
        <v>0</v>
      </c>
      <c r="BL516" s="600">
        <v>0</v>
      </c>
      <c r="BM516" s="604"/>
      <c r="BN516" s="605">
        <f t="shared" si="563"/>
        <v>2841</v>
      </c>
      <c r="BO516" s="606">
        <f t="shared" si="564"/>
        <v>2810</v>
      </c>
      <c r="BP516" s="607">
        <f t="shared" si="565"/>
        <v>3402</v>
      </c>
      <c r="BQ516" s="606">
        <f t="shared" si="566"/>
        <v>3450</v>
      </c>
      <c r="BR516" s="607">
        <f t="shared" si="567"/>
        <v>2545</v>
      </c>
      <c r="BS516" s="606">
        <f t="shared" si="568"/>
        <v>2403</v>
      </c>
      <c r="BT516" s="607">
        <f t="shared" si="569"/>
        <v>1678</v>
      </c>
      <c r="BU516" s="606">
        <f t="shared" si="570"/>
        <v>1938</v>
      </c>
      <c r="BV516" s="607">
        <f t="shared" si="571"/>
        <v>0</v>
      </c>
      <c r="BW516" s="608">
        <f t="shared" si="572"/>
        <v>0</v>
      </c>
      <c r="BX516" s="607">
        <f t="shared" si="573"/>
        <v>0</v>
      </c>
      <c r="BY516" s="608">
        <f t="shared" si="574"/>
        <v>0</v>
      </c>
      <c r="BZ516" s="607">
        <f t="shared" si="575"/>
        <v>11740.295318549806</v>
      </c>
      <c r="CA516" s="608">
        <f t="shared" si="576"/>
        <v>12185.881494661922</v>
      </c>
      <c r="CB516" s="607">
        <f t="shared" si="577"/>
        <v>8180.0749559082897</v>
      </c>
      <c r="CC516" s="608">
        <f t="shared" si="578"/>
        <v>8418.4544927536226</v>
      </c>
      <c r="CD516" s="607">
        <f t="shared" si="579"/>
        <v>7319.0106090373283</v>
      </c>
      <c r="CE516" s="608">
        <f t="shared" si="580"/>
        <v>7644.3591344153137</v>
      </c>
      <c r="CF516" s="607">
        <f t="shared" si="581"/>
        <v>4929.3110846245527</v>
      </c>
      <c r="CG516" s="608">
        <f t="shared" si="582"/>
        <v>5312.3746130030959</v>
      </c>
      <c r="CH516" s="607">
        <f t="shared" si="583"/>
        <v>0</v>
      </c>
      <c r="CI516" s="608">
        <f t="shared" si="584"/>
        <v>0</v>
      </c>
      <c r="CJ516" s="607">
        <f t="shared" si="585"/>
        <v>0</v>
      </c>
      <c r="CK516" s="608">
        <f t="shared" si="586"/>
        <v>0</v>
      </c>
      <c r="CL516" s="609">
        <f t="shared" si="587"/>
        <v>105662.65786694826</v>
      </c>
      <c r="CM516" s="608">
        <f t="shared" si="588"/>
        <v>109672.9334519573</v>
      </c>
      <c r="CN516" s="610">
        <f t="shared" si="589"/>
        <v>73620.674603174601</v>
      </c>
      <c r="CO516" s="606">
        <f t="shared" si="590"/>
        <v>75766.0904347826</v>
      </c>
      <c r="CP516" s="607">
        <f t="shared" si="591"/>
        <v>65871.095481335957</v>
      </c>
      <c r="CQ516" s="606">
        <f t="shared" si="592"/>
        <v>68799.23220973782</v>
      </c>
      <c r="CR516" s="607">
        <f t="shared" si="593"/>
        <v>44363.799761620976</v>
      </c>
      <c r="CS516" s="606">
        <f t="shared" si="594"/>
        <v>47811.371517027859</v>
      </c>
      <c r="CT516" s="607">
        <f t="shared" si="595"/>
        <v>0</v>
      </c>
      <c r="CU516" s="608">
        <f t="shared" si="596"/>
        <v>0</v>
      </c>
      <c r="CV516" s="610">
        <f t="shared" si="597"/>
        <v>0</v>
      </c>
      <c r="CW516" s="608">
        <f t="shared" si="598"/>
        <v>0</v>
      </c>
      <c r="CX516" s="610">
        <f t="shared" si="599"/>
        <v>75655.523407021159</v>
      </c>
      <c r="CY516" s="611">
        <f t="shared" si="600"/>
        <v>77948.75322788069</v>
      </c>
      <c r="CZ516" s="605">
        <f t="shared" si="601"/>
        <v>309</v>
      </c>
      <c r="DA516" s="612">
        <f t="shared" si="602"/>
        <v>302</v>
      </c>
      <c r="DB516" s="607">
        <f t="shared" si="603"/>
        <v>376</v>
      </c>
      <c r="DC516" s="606">
        <f t="shared" si="604"/>
        <v>379</v>
      </c>
      <c r="DD516" s="607">
        <f t="shared" si="605"/>
        <v>281</v>
      </c>
      <c r="DE516" s="606">
        <f t="shared" si="606"/>
        <v>265</v>
      </c>
      <c r="DF516" s="607">
        <f t="shared" si="607"/>
        <v>184</v>
      </c>
      <c r="DG516" s="606">
        <f t="shared" si="608"/>
        <v>210</v>
      </c>
      <c r="DH516" s="607">
        <f t="shared" si="609"/>
        <v>0</v>
      </c>
      <c r="DI516" s="608">
        <f t="shared" si="610"/>
        <v>0</v>
      </c>
      <c r="DJ516" s="607">
        <f t="shared" si="611"/>
        <v>0</v>
      </c>
      <c r="DK516" s="608">
        <f t="shared" si="612"/>
        <v>0</v>
      </c>
      <c r="DL516" s="607">
        <f t="shared" si="613"/>
        <v>1150</v>
      </c>
      <c r="DM516" s="608">
        <f t="shared" si="614"/>
        <v>1156</v>
      </c>
      <c r="DN516" s="607">
        <f t="shared" si="615"/>
        <v>32649761.280887011</v>
      </c>
      <c r="DO516" s="612">
        <f t="shared" si="616"/>
        <v>33121225.902491104</v>
      </c>
      <c r="DP516" s="607">
        <f t="shared" si="617"/>
        <v>27681373.650793649</v>
      </c>
      <c r="DQ516" s="606">
        <f t="shared" si="618"/>
        <v>28715348.274782605</v>
      </c>
      <c r="DR516" s="607">
        <f t="shared" si="619"/>
        <v>18509777.830255404</v>
      </c>
      <c r="DS516" s="606">
        <f t="shared" si="620"/>
        <v>18231796.535580523</v>
      </c>
      <c r="DT516" s="607">
        <f t="shared" si="621"/>
        <v>8162939.1561382599</v>
      </c>
      <c r="DU516" s="606">
        <f t="shared" si="622"/>
        <v>10040388.018575851</v>
      </c>
      <c r="DV516" s="607">
        <f t="shared" si="623"/>
        <v>0</v>
      </c>
      <c r="DW516" s="608">
        <f t="shared" si="624"/>
        <v>0</v>
      </c>
      <c r="DX516" s="607">
        <f t="shared" si="625"/>
        <v>0</v>
      </c>
      <c r="DY516" s="608">
        <f t="shared" si="626"/>
        <v>0</v>
      </c>
      <c r="DZ516" s="607">
        <f t="shared" si="627"/>
        <v>87003851.91807434</v>
      </c>
      <c r="EA516" s="608">
        <f t="shared" si="628"/>
        <v>90108758.731430084</v>
      </c>
    </row>
    <row r="517" spans="1:131" x14ac:dyDescent="0.2">
      <c r="A517" s="483" t="s">
        <v>43</v>
      </c>
      <c r="B517" s="354" t="s">
        <v>441</v>
      </c>
      <c r="C517" s="566"/>
      <c r="D517" s="362">
        <v>225511</v>
      </c>
      <c r="E517" s="363">
        <v>1</v>
      </c>
      <c r="F517" s="598">
        <v>385</v>
      </c>
      <c r="G517" s="599">
        <v>370</v>
      </c>
      <c r="H517" s="600"/>
      <c r="I517" s="601">
        <v>0</v>
      </c>
      <c r="J517" s="600">
        <v>14</v>
      </c>
      <c r="K517" s="599">
        <v>10</v>
      </c>
      <c r="L517" s="600"/>
      <c r="M517" s="601">
        <v>5</v>
      </c>
      <c r="N517" s="600">
        <v>294</v>
      </c>
      <c r="O517" s="599">
        <v>301</v>
      </c>
      <c r="P517" s="600"/>
      <c r="Q517" s="601">
        <v>0</v>
      </c>
      <c r="R517" s="600">
        <v>12</v>
      </c>
      <c r="S517" s="599">
        <v>8</v>
      </c>
      <c r="T517" s="600"/>
      <c r="U517" s="601">
        <v>3</v>
      </c>
      <c r="V517" s="600">
        <v>202</v>
      </c>
      <c r="W517" s="599">
        <v>202</v>
      </c>
      <c r="X517" s="600"/>
      <c r="Y517" s="601">
        <v>0</v>
      </c>
      <c r="Z517" s="600">
        <v>11</v>
      </c>
      <c r="AA517" s="599">
        <v>14</v>
      </c>
      <c r="AB517" s="600"/>
      <c r="AC517" s="601">
        <v>0</v>
      </c>
      <c r="AD517" s="600"/>
      <c r="AE517" s="599">
        <v>0</v>
      </c>
      <c r="AF517" s="600"/>
      <c r="AG517" s="601">
        <v>0</v>
      </c>
      <c r="AH517" s="600"/>
      <c r="AI517" s="599">
        <v>0</v>
      </c>
      <c r="AJ517" s="600"/>
      <c r="AK517" s="601">
        <v>0</v>
      </c>
      <c r="AL517" s="600">
        <v>246</v>
      </c>
      <c r="AM517" s="599">
        <v>238</v>
      </c>
      <c r="AN517" s="600"/>
      <c r="AO517" s="601">
        <v>2</v>
      </c>
      <c r="AP517" s="600">
        <v>70</v>
      </c>
      <c r="AQ517" s="599">
        <v>21</v>
      </c>
      <c r="AR517" s="600"/>
      <c r="AS517" s="601">
        <v>85</v>
      </c>
      <c r="AT517" s="600"/>
      <c r="AU517" s="599"/>
      <c r="AV517" s="600"/>
      <c r="AW517" s="601"/>
      <c r="AX517" s="600"/>
      <c r="AY517" s="599"/>
      <c r="AZ517" s="600"/>
      <c r="BA517" s="601"/>
      <c r="BB517" s="602">
        <v>51050022</v>
      </c>
      <c r="BC517" s="599">
        <v>51214416</v>
      </c>
      <c r="BD517" s="600">
        <v>25679404.000000004</v>
      </c>
      <c r="BE517" s="599">
        <v>27538898</v>
      </c>
      <c r="BF517" s="600">
        <v>17372765</v>
      </c>
      <c r="BG517" s="599">
        <v>18575550</v>
      </c>
      <c r="BH517" s="600">
        <v>0</v>
      </c>
      <c r="BI517" s="599">
        <v>0</v>
      </c>
      <c r="BJ517" s="600">
        <v>20377024</v>
      </c>
      <c r="BK517" s="615">
        <v>22216112</v>
      </c>
      <c r="BL517" s="600">
        <v>0</v>
      </c>
      <c r="BM517" s="604"/>
      <c r="BN517" s="605">
        <f t="shared" si="563"/>
        <v>3619</v>
      </c>
      <c r="BO517" s="606">
        <f t="shared" si="564"/>
        <v>3500</v>
      </c>
      <c r="BP517" s="607">
        <f t="shared" si="565"/>
        <v>2778</v>
      </c>
      <c r="BQ517" s="606">
        <f t="shared" si="566"/>
        <v>2833</v>
      </c>
      <c r="BR517" s="607">
        <f t="shared" si="567"/>
        <v>1939</v>
      </c>
      <c r="BS517" s="606">
        <f t="shared" si="568"/>
        <v>1972</v>
      </c>
      <c r="BT517" s="607">
        <f t="shared" si="569"/>
        <v>0</v>
      </c>
      <c r="BU517" s="606">
        <f t="shared" si="570"/>
        <v>0</v>
      </c>
      <c r="BV517" s="607">
        <f t="shared" si="571"/>
        <v>2984</v>
      </c>
      <c r="BW517" s="608">
        <f t="shared" si="572"/>
        <v>3413</v>
      </c>
      <c r="BX517" s="607">
        <f t="shared" si="573"/>
        <v>0</v>
      </c>
      <c r="BY517" s="608">
        <f t="shared" si="574"/>
        <v>0</v>
      </c>
      <c r="BZ517" s="607">
        <f t="shared" si="575"/>
        <v>14106.112738325504</v>
      </c>
      <c r="CA517" s="608">
        <f t="shared" si="576"/>
        <v>14632.690285714285</v>
      </c>
      <c r="CB517" s="607">
        <f t="shared" si="577"/>
        <v>9243.8459323254156</v>
      </c>
      <c r="CC517" s="608">
        <f t="shared" si="578"/>
        <v>9720.7546770208264</v>
      </c>
      <c r="CD517" s="607">
        <f t="shared" si="579"/>
        <v>8959.6518824136147</v>
      </c>
      <c r="CE517" s="608">
        <f t="shared" si="580"/>
        <v>9419.6501014198784</v>
      </c>
      <c r="CF517" s="607">
        <f t="shared" si="581"/>
        <v>0</v>
      </c>
      <c r="CG517" s="608">
        <f t="shared" si="582"/>
        <v>0</v>
      </c>
      <c r="CH517" s="607">
        <f t="shared" si="583"/>
        <v>6828.7613941018762</v>
      </c>
      <c r="CI517" s="608">
        <f t="shared" si="584"/>
        <v>6509.262232639906</v>
      </c>
      <c r="CJ517" s="607">
        <f t="shared" si="585"/>
        <v>0</v>
      </c>
      <c r="CK517" s="608">
        <f t="shared" si="586"/>
        <v>0</v>
      </c>
      <c r="CL517" s="609">
        <f t="shared" si="587"/>
        <v>126955.01464492954</v>
      </c>
      <c r="CM517" s="608">
        <f t="shared" si="588"/>
        <v>131694.21257142856</v>
      </c>
      <c r="CN517" s="610">
        <f t="shared" si="589"/>
        <v>83194.613390928746</v>
      </c>
      <c r="CO517" s="606">
        <f t="shared" si="590"/>
        <v>87486.79209318744</v>
      </c>
      <c r="CP517" s="607">
        <f t="shared" si="591"/>
        <v>80636.866941722532</v>
      </c>
      <c r="CQ517" s="606">
        <f t="shared" si="592"/>
        <v>84776.8509127789</v>
      </c>
      <c r="CR517" s="607">
        <f t="shared" si="593"/>
        <v>0</v>
      </c>
      <c r="CS517" s="606">
        <f t="shared" si="594"/>
        <v>0</v>
      </c>
      <c r="CT517" s="607">
        <f t="shared" si="595"/>
        <v>61458.852546916889</v>
      </c>
      <c r="CU517" s="608">
        <f t="shared" si="596"/>
        <v>58583.360093759155</v>
      </c>
      <c r="CV517" s="610">
        <f t="shared" si="597"/>
        <v>0</v>
      </c>
      <c r="CW517" s="608">
        <f t="shared" si="598"/>
        <v>0</v>
      </c>
      <c r="CX517" s="610">
        <f t="shared" si="599"/>
        <v>91336.509403860386</v>
      </c>
      <c r="CY517" s="611">
        <f t="shared" si="600"/>
        <v>92597.135315866064</v>
      </c>
      <c r="CZ517" s="605">
        <f t="shared" si="601"/>
        <v>399</v>
      </c>
      <c r="DA517" s="612">
        <f t="shared" si="602"/>
        <v>385</v>
      </c>
      <c r="DB517" s="607">
        <f t="shared" si="603"/>
        <v>306</v>
      </c>
      <c r="DC517" s="606">
        <f t="shared" si="604"/>
        <v>312</v>
      </c>
      <c r="DD517" s="607">
        <f t="shared" si="605"/>
        <v>213</v>
      </c>
      <c r="DE517" s="606">
        <f t="shared" si="606"/>
        <v>216</v>
      </c>
      <c r="DF517" s="607">
        <f t="shared" si="607"/>
        <v>0</v>
      </c>
      <c r="DG517" s="606">
        <f t="shared" si="608"/>
        <v>0</v>
      </c>
      <c r="DH517" s="607">
        <f t="shared" si="609"/>
        <v>316</v>
      </c>
      <c r="DI517" s="608">
        <f t="shared" si="610"/>
        <v>346</v>
      </c>
      <c r="DJ517" s="607">
        <f t="shared" si="611"/>
        <v>0</v>
      </c>
      <c r="DK517" s="608">
        <f t="shared" si="612"/>
        <v>0</v>
      </c>
      <c r="DL517" s="607">
        <f t="shared" si="613"/>
        <v>1234</v>
      </c>
      <c r="DM517" s="608">
        <f t="shared" si="614"/>
        <v>1259</v>
      </c>
      <c r="DN517" s="607">
        <f t="shared" si="615"/>
        <v>50655050.843326889</v>
      </c>
      <c r="DO517" s="612">
        <f t="shared" si="616"/>
        <v>50702271.839999996</v>
      </c>
      <c r="DP517" s="607">
        <f t="shared" si="617"/>
        <v>25457551.697624195</v>
      </c>
      <c r="DQ517" s="606">
        <f t="shared" si="618"/>
        <v>27295879.133074481</v>
      </c>
      <c r="DR517" s="607">
        <f t="shared" si="619"/>
        <v>17175652.658586901</v>
      </c>
      <c r="DS517" s="606">
        <f t="shared" si="620"/>
        <v>18311799.797160242</v>
      </c>
      <c r="DT517" s="607">
        <f t="shared" si="621"/>
        <v>0</v>
      </c>
      <c r="DU517" s="606">
        <f t="shared" si="622"/>
        <v>0</v>
      </c>
      <c r="DV517" s="607">
        <f t="shared" si="623"/>
        <v>19420997.404825736</v>
      </c>
      <c r="DW517" s="608">
        <f t="shared" si="624"/>
        <v>20269842.592440668</v>
      </c>
      <c r="DX517" s="607">
        <f t="shared" si="625"/>
        <v>0</v>
      </c>
      <c r="DY517" s="608">
        <f t="shared" si="626"/>
        <v>0</v>
      </c>
      <c r="DZ517" s="607">
        <f t="shared" si="627"/>
        <v>112709252.60436371</v>
      </c>
      <c r="EA517" s="608">
        <f t="shared" si="628"/>
        <v>116579793.36267537</v>
      </c>
    </row>
    <row r="518" spans="1:131" x14ac:dyDescent="0.2">
      <c r="A518" s="483" t="s">
        <v>43</v>
      </c>
      <c r="B518" s="354" t="s">
        <v>442</v>
      </c>
      <c r="C518" s="566"/>
      <c r="D518" s="362">
        <v>227216</v>
      </c>
      <c r="E518" s="363">
        <v>1</v>
      </c>
      <c r="F518" s="598">
        <v>245</v>
      </c>
      <c r="G518" s="599">
        <v>246</v>
      </c>
      <c r="H518" s="600"/>
      <c r="I518" s="601">
        <v>0</v>
      </c>
      <c r="J518" s="600">
        <v>36</v>
      </c>
      <c r="K518" s="599">
        <v>0</v>
      </c>
      <c r="L518" s="600"/>
      <c r="M518" s="601">
        <v>40</v>
      </c>
      <c r="N518" s="600">
        <v>260</v>
      </c>
      <c r="O518" s="599">
        <v>283</v>
      </c>
      <c r="P518" s="600"/>
      <c r="Q518" s="601">
        <v>0</v>
      </c>
      <c r="R518" s="600">
        <v>16</v>
      </c>
      <c r="S518" s="599">
        <v>0</v>
      </c>
      <c r="T518" s="600"/>
      <c r="U518" s="601">
        <v>14</v>
      </c>
      <c r="V518" s="600">
        <v>219</v>
      </c>
      <c r="W518" s="599">
        <v>201</v>
      </c>
      <c r="X518" s="600"/>
      <c r="Y518" s="601">
        <v>0</v>
      </c>
      <c r="Z518" s="600"/>
      <c r="AA518" s="599">
        <v>0</v>
      </c>
      <c r="AB518" s="600"/>
      <c r="AC518" s="601">
        <v>0</v>
      </c>
      <c r="AD518" s="600">
        <v>6</v>
      </c>
      <c r="AE518" s="599">
        <v>6</v>
      </c>
      <c r="AF518" s="600"/>
      <c r="AG518" s="601">
        <v>0</v>
      </c>
      <c r="AH518" s="600">
        <v>1</v>
      </c>
      <c r="AI518" s="599">
        <v>0</v>
      </c>
      <c r="AJ518" s="600"/>
      <c r="AK518" s="601">
        <v>9</v>
      </c>
      <c r="AL518" s="600">
        <v>219</v>
      </c>
      <c r="AM518" s="599">
        <v>280</v>
      </c>
      <c r="AN518" s="600"/>
      <c r="AO518" s="601">
        <v>0</v>
      </c>
      <c r="AP518" s="600">
        <v>5</v>
      </c>
      <c r="AQ518" s="599">
        <v>0</v>
      </c>
      <c r="AR518" s="600"/>
      <c r="AS518" s="601">
        <v>41</v>
      </c>
      <c r="AT518" s="600"/>
      <c r="AU518" s="599"/>
      <c r="AV518" s="600"/>
      <c r="AW518" s="601"/>
      <c r="AX518" s="600"/>
      <c r="AY518" s="599"/>
      <c r="AZ518" s="600"/>
      <c r="BA518" s="601"/>
      <c r="BB518" s="602">
        <v>31302856</v>
      </c>
      <c r="BC518" s="599">
        <v>35555641</v>
      </c>
      <c r="BD518" s="600">
        <v>22421146</v>
      </c>
      <c r="BE518" s="599">
        <v>27850875</v>
      </c>
      <c r="BF518" s="600">
        <v>14573929.000000002</v>
      </c>
      <c r="BG518" s="599">
        <v>15302455</v>
      </c>
      <c r="BH518" s="600">
        <v>402900</v>
      </c>
      <c r="BI518" s="599">
        <v>356182</v>
      </c>
      <c r="BJ518" s="600">
        <v>11642497</v>
      </c>
      <c r="BK518" s="615">
        <v>16377830</v>
      </c>
      <c r="BL518" s="600">
        <v>0</v>
      </c>
      <c r="BM518" s="604"/>
      <c r="BN518" s="605">
        <f t="shared" si="563"/>
        <v>2601</v>
      </c>
      <c r="BO518" s="606">
        <f t="shared" si="564"/>
        <v>2694</v>
      </c>
      <c r="BP518" s="607">
        <f t="shared" si="565"/>
        <v>2516</v>
      </c>
      <c r="BQ518" s="606">
        <f t="shared" si="566"/>
        <v>2715</v>
      </c>
      <c r="BR518" s="607">
        <f t="shared" si="567"/>
        <v>1971</v>
      </c>
      <c r="BS518" s="606">
        <f t="shared" si="568"/>
        <v>1809</v>
      </c>
      <c r="BT518" s="607">
        <f t="shared" si="569"/>
        <v>65</v>
      </c>
      <c r="BU518" s="606">
        <f t="shared" si="570"/>
        <v>162</v>
      </c>
      <c r="BV518" s="607">
        <f t="shared" si="571"/>
        <v>2026</v>
      </c>
      <c r="BW518" s="608">
        <f t="shared" si="572"/>
        <v>3012</v>
      </c>
      <c r="BX518" s="607">
        <f t="shared" si="573"/>
        <v>0</v>
      </c>
      <c r="BY518" s="608">
        <f t="shared" si="574"/>
        <v>0</v>
      </c>
      <c r="BZ518" s="607">
        <f t="shared" si="575"/>
        <v>12034.931180315263</v>
      </c>
      <c r="CA518" s="608">
        <f t="shared" si="576"/>
        <v>13198.085003711953</v>
      </c>
      <c r="CB518" s="607">
        <f t="shared" si="577"/>
        <v>8911.4252782193962</v>
      </c>
      <c r="CC518" s="608">
        <f t="shared" si="578"/>
        <v>10258.149171270717</v>
      </c>
      <c r="CD518" s="607">
        <f t="shared" si="579"/>
        <v>7394.1801116184688</v>
      </c>
      <c r="CE518" s="608">
        <f t="shared" si="580"/>
        <v>8459.0685461580979</v>
      </c>
      <c r="CF518" s="607">
        <f t="shared" si="581"/>
        <v>6198.4615384615381</v>
      </c>
      <c r="CG518" s="608">
        <f t="shared" si="582"/>
        <v>2198.6543209876545</v>
      </c>
      <c r="CH518" s="607">
        <f t="shared" si="583"/>
        <v>5746.5434353405726</v>
      </c>
      <c r="CI518" s="608">
        <f t="shared" si="584"/>
        <v>5437.5265604249671</v>
      </c>
      <c r="CJ518" s="607">
        <f t="shared" si="585"/>
        <v>0</v>
      </c>
      <c r="CK518" s="608">
        <f t="shared" si="586"/>
        <v>0</v>
      </c>
      <c r="CL518" s="609">
        <f t="shared" si="587"/>
        <v>108314.38062283737</v>
      </c>
      <c r="CM518" s="608">
        <f t="shared" si="588"/>
        <v>118782.76503340757</v>
      </c>
      <c r="CN518" s="610">
        <f t="shared" si="589"/>
        <v>80202.827503974564</v>
      </c>
      <c r="CO518" s="606">
        <f t="shared" si="590"/>
        <v>92323.342541436461</v>
      </c>
      <c r="CP518" s="607">
        <f t="shared" si="591"/>
        <v>66547.621004566216</v>
      </c>
      <c r="CQ518" s="606">
        <f t="shared" si="592"/>
        <v>76131.616915422885</v>
      </c>
      <c r="CR518" s="607">
        <f t="shared" si="593"/>
        <v>55786.153846153844</v>
      </c>
      <c r="CS518" s="606">
        <f t="shared" si="594"/>
        <v>19787.888888888891</v>
      </c>
      <c r="CT518" s="607">
        <f t="shared" si="595"/>
        <v>51718.890918065154</v>
      </c>
      <c r="CU518" s="608">
        <f t="shared" si="596"/>
        <v>48937.739043824702</v>
      </c>
      <c r="CV518" s="610">
        <f t="shared" si="597"/>
        <v>0</v>
      </c>
      <c r="CW518" s="608">
        <f t="shared" si="598"/>
        <v>0</v>
      </c>
      <c r="CX518" s="610">
        <f t="shared" si="599"/>
        <v>78571.782511106197</v>
      </c>
      <c r="CY518" s="611">
        <f t="shared" si="600"/>
        <v>82768.027768537722</v>
      </c>
      <c r="CZ518" s="605">
        <f t="shared" si="601"/>
        <v>281</v>
      </c>
      <c r="DA518" s="612">
        <f t="shared" si="602"/>
        <v>286</v>
      </c>
      <c r="DB518" s="607">
        <f t="shared" si="603"/>
        <v>276</v>
      </c>
      <c r="DC518" s="606">
        <f t="shared" si="604"/>
        <v>297</v>
      </c>
      <c r="DD518" s="607">
        <f t="shared" si="605"/>
        <v>219</v>
      </c>
      <c r="DE518" s="606">
        <f t="shared" si="606"/>
        <v>201</v>
      </c>
      <c r="DF518" s="607">
        <f t="shared" si="607"/>
        <v>7</v>
      </c>
      <c r="DG518" s="606">
        <f t="shared" si="608"/>
        <v>15</v>
      </c>
      <c r="DH518" s="607">
        <f t="shared" si="609"/>
        <v>224</v>
      </c>
      <c r="DI518" s="608">
        <f t="shared" si="610"/>
        <v>321</v>
      </c>
      <c r="DJ518" s="607">
        <f t="shared" si="611"/>
        <v>0</v>
      </c>
      <c r="DK518" s="608">
        <f t="shared" si="612"/>
        <v>0</v>
      </c>
      <c r="DL518" s="607">
        <f t="shared" si="613"/>
        <v>1007</v>
      </c>
      <c r="DM518" s="608">
        <f t="shared" si="614"/>
        <v>1120</v>
      </c>
      <c r="DN518" s="607">
        <f t="shared" si="615"/>
        <v>30436340.955017302</v>
      </c>
      <c r="DO518" s="612">
        <f t="shared" si="616"/>
        <v>33971870.799554564</v>
      </c>
      <c r="DP518" s="607">
        <f t="shared" si="617"/>
        <v>22135980.391096979</v>
      </c>
      <c r="DQ518" s="606">
        <f t="shared" si="618"/>
        <v>27420032.734806631</v>
      </c>
      <c r="DR518" s="607">
        <f t="shared" si="619"/>
        <v>14573929.000000002</v>
      </c>
      <c r="DS518" s="606">
        <f t="shared" si="620"/>
        <v>15302455</v>
      </c>
      <c r="DT518" s="607">
        <f t="shared" si="621"/>
        <v>390503.07692307688</v>
      </c>
      <c r="DU518" s="606">
        <f t="shared" si="622"/>
        <v>296818.33333333337</v>
      </c>
      <c r="DV518" s="607">
        <f t="shared" si="623"/>
        <v>11585031.565646594</v>
      </c>
      <c r="DW518" s="608">
        <f t="shared" si="624"/>
        <v>15709014.233067729</v>
      </c>
      <c r="DX518" s="607">
        <f t="shared" si="625"/>
        <v>0</v>
      </c>
      <c r="DY518" s="608">
        <f t="shared" si="626"/>
        <v>0</v>
      </c>
      <c r="DZ518" s="607">
        <f t="shared" si="627"/>
        <v>79121784.988683939</v>
      </c>
      <c r="EA518" s="608">
        <f t="shared" si="628"/>
        <v>92700191.100762248</v>
      </c>
    </row>
    <row r="519" spans="1:131" x14ac:dyDescent="0.2">
      <c r="A519" s="483" t="s">
        <v>43</v>
      </c>
      <c r="B519" s="354" t="s">
        <v>443</v>
      </c>
      <c r="C519" s="566"/>
      <c r="D519" s="362">
        <v>228769</v>
      </c>
      <c r="E519" s="363">
        <v>1</v>
      </c>
      <c r="F519" s="598">
        <v>170</v>
      </c>
      <c r="G519" s="599">
        <v>167</v>
      </c>
      <c r="H519" s="600"/>
      <c r="I519" s="601">
        <v>0</v>
      </c>
      <c r="J519" s="600"/>
      <c r="K519" s="599">
        <v>0</v>
      </c>
      <c r="L519" s="600"/>
      <c r="M519" s="601">
        <v>0</v>
      </c>
      <c r="N519" s="600">
        <v>205</v>
      </c>
      <c r="O519" s="599">
        <v>211</v>
      </c>
      <c r="P519" s="600"/>
      <c r="Q519" s="601">
        <v>0</v>
      </c>
      <c r="R519" s="600"/>
      <c r="S519" s="599">
        <v>0</v>
      </c>
      <c r="T519" s="600"/>
      <c r="U519" s="601">
        <v>0</v>
      </c>
      <c r="V519" s="600">
        <v>200</v>
      </c>
      <c r="W519" s="599">
        <v>176</v>
      </c>
      <c r="X519" s="600"/>
      <c r="Y519" s="601">
        <v>0</v>
      </c>
      <c r="Z519" s="600"/>
      <c r="AA519" s="599">
        <v>0</v>
      </c>
      <c r="AB519" s="600"/>
      <c r="AC519" s="601">
        <v>0</v>
      </c>
      <c r="AD519" s="600"/>
      <c r="AE519" s="599">
        <v>0</v>
      </c>
      <c r="AF519" s="600"/>
      <c r="AG519" s="601">
        <v>0</v>
      </c>
      <c r="AH519" s="600"/>
      <c r="AI519" s="599">
        <v>0</v>
      </c>
      <c r="AJ519" s="600"/>
      <c r="AK519" s="601">
        <v>0</v>
      </c>
      <c r="AL519" s="600">
        <v>276</v>
      </c>
      <c r="AM519" s="599">
        <v>278</v>
      </c>
      <c r="AN519" s="600"/>
      <c r="AO519" s="601">
        <v>0</v>
      </c>
      <c r="AP519" s="600">
        <v>0</v>
      </c>
      <c r="AQ519" s="599">
        <v>0</v>
      </c>
      <c r="AR519" s="600"/>
      <c r="AS519" s="601">
        <v>0</v>
      </c>
      <c r="AT519" s="600"/>
      <c r="AU519" s="599"/>
      <c r="AV519" s="600"/>
      <c r="AW519" s="601"/>
      <c r="AX519" s="600"/>
      <c r="AY519" s="599"/>
      <c r="AZ519" s="600"/>
      <c r="BA519" s="601"/>
      <c r="BB519" s="602">
        <v>18112340</v>
      </c>
      <c r="BC519" s="599">
        <v>17718588</v>
      </c>
      <c r="BD519" s="600">
        <v>16400804</v>
      </c>
      <c r="BE519" s="599">
        <v>17062776</v>
      </c>
      <c r="BF519" s="600">
        <v>14509712</v>
      </c>
      <c r="BG519" s="599">
        <v>12180728</v>
      </c>
      <c r="BH519" s="600">
        <v>0</v>
      </c>
      <c r="BI519" s="599">
        <v>0</v>
      </c>
      <c r="BJ519" s="600">
        <v>13985264</v>
      </c>
      <c r="BK519" s="615">
        <v>15546684</v>
      </c>
      <c r="BL519" s="600">
        <v>0</v>
      </c>
      <c r="BM519" s="604"/>
      <c r="BN519" s="605">
        <f t="shared" si="563"/>
        <v>1530</v>
      </c>
      <c r="BO519" s="606">
        <f t="shared" si="564"/>
        <v>1503</v>
      </c>
      <c r="BP519" s="607">
        <f t="shared" si="565"/>
        <v>1845</v>
      </c>
      <c r="BQ519" s="606">
        <f t="shared" si="566"/>
        <v>1899</v>
      </c>
      <c r="BR519" s="607">
        <f t="shared" si="567"/>
        <v>1800</v>
      </c>
      <c r="BS519" s="606">
        <f t="shared" si="568"/>
        <v>1584</v>
      </c>
      <c r="BT519" s="607">
        <f t="shared" si="569"/>
        <v>0</v>
      </c>
      <c r="BU519" s="606">
        <f t="shared" si="570"/>
        <v>0</v>
      </c>
      <c r="BV519" s="607">
        <f t="shared" si="571"/>
        <v>2484</v>
      </c>
      <c r="BW519" s="608">
        <f t="shared" si="572"/>
        <v>2502</v>
      </c>
      <c r="BX519" s="607">
        <f t="shared" si="573"/>
        <v>0</v>
      </c>
      <c r="BY519" s="608">
        <f t="shared" si="574"/>
        <v>0</v>
      </c>
      <c r="BZ519" s="607">
        <f t="shared" si="575"/>
        <v>11838.130718954248</v>
      </c>
      <c r="CA519" s="608">
        <f t="shared" si="576"/>
        <v>11788.814371257486</v>
      </c>
      <c r="CB519" s="607">
        <f t="shared" si="577"/>
        <v>8889.3246612466119</v>
      </c>
      <c r="CC519" s="608">
        <f t="shared" si="578"/>
        <v>8985.1374407582935</v>
      </c>
      <c r="CD519" s="607">
        <f t="shared" si="579"/>
        <v>8060.9511111111115</v>
      </c>
      <c r="CE519" s="608">
        <f t="shared" si="580"/>
        <v>7689.8535353535353</v>
      </c>
      <c r="CF519" s="607">
        <f t="shared" si="581"/>
        <v>0</v>
      </c>
      <c r="CG519" s="608">
        <f t="shared" si="582"/>
        <v>0</v>
      </c>
      <c r="CH519" s="607">
        <f t="shared" si="583"/>
        <v>5630.1384863123994</v>
      </c>
      <c r="CI519" s="608">
        <f t="shared" si="584"/>
        <v>6213.702637889688</v>
      </c>
      <c r="CJ519" s="607">
        <f t="shared" si="585"/>
        <v>0</v>
      </c>
      <c r="CK519" s="608">
        <f t="shared" si="586"/>
        <v>0</v>
      </c>
      <c r="CL519" s="609">
        <f t="shared" si="587"/>
        <v>106543.17647058822</v>
      </c>
      <c r="CM519" s="608">
        <f t="shared" si="588"/>
        <v>106099.32934131737</v>
      </c>
      <c r="CN519" s="610">
        <f t="shared" si="589"/>
        <v>80003.921951219512</v>
      </c>
      <c r="CO519" s="606">
        <f t="shared" si="590"/>
        <v>80866.236966824639</v>
      </c>
      <c r="CP519" s="607">
        <f t="shared" si="591"/>
        <v>72548.56</v>
      </c>
      <c r="CQ519" s="606">
        <f t="shared" si="592"/>
        <v>69208.681818181823</v>
      </c>
      <c r="CR519" s="607">
        <f t="shared" si="593"/>
        <v>0</v>
      </c>
      <c r="CS519" s="606">
        <f t="shared" si="594"/>
        <v>0</v>
      </c>
      <c r="CT519" s="607">
        <f t="shared" si="595"/>
        <v>50671.246376811592</v>
      </c>
      <c r="CU519" s="608">
        <f t="shared" si="596"/>
        <v>55923.323741007189</v>
      </c>
      <c r="CV519" s="610">
        <f t="shared" si="597"/>
        <v>0</v>
      </c>
      <c r="CW519" s="608">
        <f t="shared" si="598"/>
        <v>0</v>
      </c>
      <c r="CX519" s="610">
        <f t="shared" si="599"/>
        <v>74040.094007050531</v>
      </c>
      <c r="CY519" s="611">
        <f t="shared" si="600"/>
        <v>75130.74038461539</v>
      </c>
      <c r="CZ519" s="605">
        <f t="shared" si="601"/>
        <v>170</v>
      </c>
      <c r="DA519" s="612">
        <f t="shared" si="602"/>
        <v>167</v>
      </c>
      <c r="DB519" s="607">
        <f t="shared" si="603"/>
        <v>205</v>
      </c>
      <c r="DC519" s="606">
        <f t="shared" si="604"/>
        <v>211</v>
      </c>
      <c r="DD519" s="607">
        <f t="shared" si="605"/>
        <v>200</v>
      </c>
      <c r="DE519" s="606">
        <f t="shared" si="606"/>
        <v>176</v>
      </c>
      <c r="DF519" s="607">
        <f t="shared" si="607"/>
        <v>0</v>
      </c>
      <c r="DG519" s="606">
        <f t="shared" si="608"/>
        <v>0</v>
      </c>
      <c r="DH519" s="607">
        <f t="shared" si="609"/>
        <v>276</v>
      </c>
      <c r="DI519" s="608">
        <f t="shared" si="610"/>
        <v>278</v>
      </c>
      <c r="DJ519" s="607">
        <f t="shared" si="611"/>
        <v>0</v>
      </c>
      <c r="DK519" s="608">
        <f t="shared" si="612"/>
        <v>0</v>
      </c>
      <c r="DL519" s="607">
        <f t="shared" si="613"/>
        <v>851</v>
      </c>
      <c r="DM519" s="608">
        <f t="shared" si="614"/>
        <v>832</v>
      </c>
      <c r="DN519" s="607">
        <f t="shared" si="615"/>
        <v>18112339.999999996</v>
      </c>
      <c r="DO519" s="612">
        <f t="shared" si="616"/>
        <v>17718588</v>
      </c>
      <c r="DP519" s="607">
        <f t="shared" si="617"/>
        <v>16400804</v>
      </c>
      <c r="DQ519" s="606">
        <f t="shared" si="618"/>
        <v>17062776</v>
      </c>
      <c r="DR519" s="607">
        <f t="shared" si="619"/>
        <v>14509712</v>
      </c>
      <c r="DS519" s="606">
        <f t="shared" si="620"/>
        <v>12180728</v>
      </c>
      <c r="DT519" s="607">
        <f t="shared" si="621"/>
        <v>0</v>
      </c>
      <c r="DU519" s="606">
        <f t="shared" si="622"/>
        <v>0</v>
      </c>
      <c r="DV519" s="607">
        <f t="shared" si="623"/>
        <v>13985264</v>
      </c>
      <c r="DW519" s="608">
        <f t="shared" si="624"/>
        <v>15546683.999999998</v>
      </c>
      <c r="DX519" s="607">
        <f t="shared" si="625"/>
        <v>0</v>
      </c>
      <c r="DY519" s="608">
        <f t="shared" si="626"/>
        <v>0</v>
      </c>
      <c r="DZ519" s="607">
        <f t="shared" si="627"/>
        <v>63008120</v>
      </c>
      <c r="EA519" s="608">
        <f t="shared" si="628"/>
        <v>62508776.000000007</v>
      </c>
    </row>
    <row r="520" spans="1:131" x14ac:dyDescent="0.2">
      <c r="A520" s="353" t="s">
        <v>43</v>
      </c>
      <c r="B520" s="354" t="s">
        <v>444</v>
      </c>
      <c r="C520" s="566"/>
      <c r="D520" s="362">
        <v>228778</v>
      </c>
      <c r="E520" s="363">
        <v>1</v>
      </c>
      <c r="F520" s="598">
        <v>982</v>
      </c>
      <c r="G520" s="599">
        <v>983</v>
      </c>
      <c r="H520" s="600"/>
      <c r="I520" s="601">
        <v>0</v>
      </c>
      <c r="J520" s="600"/>
      <c r="K520" s="599">
        <v>0</v>
      </c>
      <c r="L520" s="600"/>
      <c r="M520" s="601">
        <v>0</v>
      </c>
      <c r="N520" s="600">
        <v>527</v>
      </c>
      <c r="O520" s="599">
        <v>528</v>
      </c>
      <c r="P520" s="600"/>
      <c r="Q520" s="601">
        <v>0</v>
      </c>
      <c r="R520" s="600"/>
      <c r="S520" s="599">
        <v>0</v>
      </c>
      <c r="T520" s="600"/>
      <c r="U520" s="601">
        <v>0</v>
      </c>
      <c r="V520" s="600">
        <v>400</v>
      </c>
      <c r="W520" s="599">
        <v>398</v>
      </c>
      <c r="X520" s="600"/>
      <c r="Y520" s="601">
        <v>0</v>
      </c>
      <c r="Z520" s="600"/>
      <c r="AA520" s="599">
        <v>0</v>
      </c>
      <c r="AB520" s="600"/>
      <c r="AC520" s="601">
        <v>0</v>
      </c>
      <c r="AD520" s="600"/>
      <c r="AE520" s="599">
        <v>1</v>
      </c>
      <c r="AF520" s="600"/>
      <c r="AG520" s="601">
        <v>0</v>
      </c>
      <c r="AH520" s="600"/>
      <c r="AI520" s="599">
        <v>0</v>
      </c>
      <c r="AJ520" s="600"/>
      <c r="AK520" s="601">
        <v>0</v>
      </c>
      <c r="AL520" s="600">
        <v>553</v>
      </c>
      <c r="AM520" s="599">
        <v>616</v>
      </c>
      <c r="AN520" s="600"/>
      <c r="AO520" s="601">
        <v>0</v>
      </c>
      <c r="AP520" s="600">
        <v>0</v>
      </c>
      <c r="AQ520" s="599">
        <v>0</v>
      </c>
      <c r="AR520" s="600"/>
      <c r="AS520" s="601">
        <v>0</v>
      </c>
      <c r="AT520" s="600"/>
      <c r="AU520" s="599"/>
      <c r="AV520" s="600"/>
      <c r="AW520" s="601"/>
      <c r="AX520" s="600"/>
      <c r="AY520" s="599"/>
      <c r="AZ520" s="600"/>
      <c r="BA520" s="601"/>
      <c r="BB520" s="602">
        <v>138052223</v>
      </c>
      <c r="BC520" s="599">
        <v>141373705</v>
      </c>
      <c r="BD520" s="600">
        <v>47377936</v>
      </c>
      <c r="BE520" s="599">
        <v>48999138</v>
      </c>
      <c r="BF520" s="600">
        <v>33559596</v>
      </c>
      <c r="BG520" s="599">
        <v>34208227</v>
      </c>
      <c r="BH520" s="600">
        <v>0</v>
      </c>
      <c r="BI520" s="599">
        <v>95000</v>
      </c>
      <c r="BJ520" s="600">
        <v>32753740</v>
      </c>
      <c r="BK520" s="615">
        <v>36822828</v>
      </c>
      <c r="BL520" s="600">
        <v>0</v>
      </c>
      <c r="BM520" s="604"/>
      <c r="BN520" s="605">
        <f t="shared" si="563"/>
        <v>8838</v>
      </c>
      <c r="BO520" s="606">
        <f t="shared" si="564"/>
        <v>8847</v>
      </c>
      <c r="BP520" s="607">
        <f t="shared" si="565"/>
        <v>4743</v>
      </c>
      <c r="BQ520" s="606">
        <f t="shared" si="566"/>
        <v>4752</v>
      </c>
      <c r="BR520" s="607">
        <f t="shared" si="567"/>
        <v>3600</v>
      </c>
      <c r="BS520" s="606">
        <f t="shared" si="568"/>
        <v>3582</v>
      </c>
      <c r="BT520" s="607">
        <f t="shared" si="569"/>
        <v>0</v>
      </c>
      <c r="BU520" s="606">
        <f t="shared" si="570"/>
        <v>9</v>
      </c>
      <c r="BV520" s="607">
        <f t="shared" si="571"/>
        <v>4977</v>
      </c>
      <c r="BW520" s="608">
        <f t="shared" si="572"/>
        <v>5544</v>
      </c>
      <c r="BX520" s="607">
        <f t="shared" si="573"/>
        <v>0</v>
      </c>
      <c r="BY520" s="608">
        <f t="shared" si="574"/>
        <v>0</v>
      </c>
      <c r="BZ520" s="607">
        <f t="shared" si="575"/>
        <v>15620.301312514144</v>
      </c>
      <c r="CA520" s="608">
        <f t="shared" si="576"/>
        <v>15979.846840736973</v>
      </c>
      <c r="CB520" s="607">
        <f t="shared" si="577"/>
        <v>9989.0229812355046</v>
      </c>
      <c r="CC520" s="608">
        <f t="shared" si="578"/>
        <v>10311.266414141413</v>
      </c>
      <c r="CD520" s="607">
        <f t="shared" si="579"/>
        <v>9322.11</v>
      </c>
      <c r="CE520" s="608">
        <f t="shared" si="580"/>
        <v>9550.0354550530428</v>
      </c>
      <c r="CF520" s="607">
        <f t="shared" si="581"/>
        <v>0</v>
      </c>
      <c r="CG520" s="608">
        <f t="shared" si="582"/>
        <v>10555.555555555555</v>
      </c>
      <c r="CH520" s="607">
        <f t="shared" si="583"/>
        <v>6581.0206951979108</v>
      </c>
      <c r="CI520" s="608">
        <f t="shared" si="584"/>
        <v>6641.924242424242</v>
      </c>
      <c r="CJ520" s="607">
        <f t="shared" si="585"/>
        <v>0</v>
      </c>
      <c r="CK520" s="608">
        <f t="shared" si="586"/>
        <v>0</v>
      </c>
      <c r="CL520" s="609">
        <f t="shared" si="587"/>
        <v>140582.7118126273</v>
      </c>
      <c r="CM520" s="608">
        <f t="shared" si="588"/>
        <v>143818.62156663276</v>
      </c>
      <c r="CN520" s="610">
        <f t="shared" si="589"/>
        <v>89901.206831119547</v>
      </c>
      <c r="CO520" s="606">
        <f t="shared" si="590"/>
        <v>92801.397727272721</v>
      </c>
      <c r="CP520" s="607">
        <f t="shared" si="591"/>
        <v>83898.99</v>
      </c>
      <c r="CQ520" s="606">
        <f t="shared" si="592"/>
        <v>85950.319095477389</v>
      </c>
      <c r="CR520" s="607">
        <f t="shared" si="593"/>
        <v>0</v>
      </c>
      <c r="CS520" s="606">
        <f t="shared" si="594"/>
        <v>95000</v>
      </c>
      <c r="CT520" s="607">
        <f t="shared" si="595"/>
        <v>59229.186256781199</v>
      </c>
      <c r="CU520" s="608">
        <f t="shared" si="596"/>
        <v>59777.318181818177</v>
      </c>
      <c r="CV520" s="610">
        <f t="shared" si="597"/>
        <v>0</v>
      </c>
      <c r="CW520" s="608">
        <f t="shared" si="598"/>
        <v>0</v>
      </c>
      <c r="CX520" s="610">
        <f t="shared" si="599"/>
        <v>102251.62266450041</v>
      </c>
      <c r="CY520" s="611">
        <f t="shared" si="600"/>
        <v>103522.92082343626</v>
      </c>
      <c r="CZ520" s="605">
        <f t="shared" si="601"/>
        <v>982</v>
      </c>
      <c r="DA520" s="612">
        <f t="shared" si="602"/>
        <v>983</v>
      </c>
      <c r="DB520" s="607">
        <f t="shared" si="603"/>
        <v>527</v>
      </c>
      <c r="DC520" s="606">
        <f t="shared" si="604"/>
        <v>528</v>
      </c>
      <c r="DD520" s="607">
        <f t="shared" si="605"/>
        <v>400</v>
      </c>
      <c r="DE520" s="606">
        <f t="shared" si="606"/>
        <v>398</v>
      </c>
      <c r="DF520" s="607">
        <f t="shared" si="607"/>
        <v>0</v>
      </c>
      <c r="DG520" s="606">
        <f t="shared" si="608"/>
        <v>1</v>
      </c>
      <c r="DH520" s="607">
        <f t="shared" si="609"/>
        <v>553</v>
      </c>
      <c r="DI520" s="608">
        <f t="shared" si="610"/>
        <v>616</v>
      </c>
      <c r="DJ520" s="607">
        <f t="shared" si="611"/>
        <v>0</v>
      </c>
      <c r="DK520" s="608">
        <f t="shared" si="612"/>
        <v>0</v>
      </c>
      <c r="DL520" s="607">
        <f t="shared" si="613"/>
        <v>2462</v>
      </c>
      <c r="DM520" s="608">
        <f t="shared" si="614"/>
        <v>2526</v>
      </c>
      <c r="DN520" s="607">
        <f t="shared" si="615"/>
        <v>138052223</v>
      </c>
      <c r="DO520" s="612">
        <f t="shared" si="616"/>
        <v>141373705</v>
      </c>
      <c r="DP520" s="607">
        <f t="shared" si="617"/>
        <v>47377936</v>
      </c>
      <c r="DQ520" s="606">
        <f t="shared" si="618"/>
        <v>48999138</v>
      </c>
      <c r="DR520" s="607">
        <f t="shared" si="619"/>
        <v>33559596</v>
      </c>
      <c r="DS520" s="606">
        <f t="shared" si="620"/>
        <v>34208227</v>
      </c>
      <c r="DT520" s="607">
        <f t="shared" si="621"/>
        <v>0</v>
      </c>
      <c r="DU520" s="606">
        <f t="shared" si="622"/>
        <v>95000</v>
      </c>
      <c r="DV520" s="607">
        <f t="shared" si="623"/>
        <v>32753740.000000004</v>
      </c>
      <c r="DW520" s="608">
        <f t="shared" si="624"/>
        <v>36822828</v>
      </c>
      <c r="DX520" s="607">
        <f t="shared" si="625"/>
        <v>0</v>
      </c>
      <c r="DY520" s="608">
        <f t="shared" si="626"/>
        <v>0</v>
      </c>
      <c r="DZ520" s="607">
        <f t="shared" si="627"/>
        <v>251743495</v>
      </c>
      <c r="EA520" s="608">
        <f t="shared" si="628"/>
        <v>261498898</v>
      </c>
    </row>
    <row r="521" spans="1:131" x14ac:dyDescent="0.2">
      <c r="A521" s="353" t="s">
        <v>43</v>
      </c>
      <c r="B521" s="354" t="s">
        <v>445</v>
      </c>
      <c r="C521" s="566"/>
      <c r="D521" s="362">
        <v>228787</v>
      </c>
      <c r="E521" s="363">
        <v>1</v>
      </c>
      <c r="F521" s="598">
        <v>203</v>
      </c>
      <c r="G521" s="599">
        <v>233</v>
      </c>
      <c r="H521" s="600"/>
      <c r="I521" s="601">
        <v>0</v>
      </c>
      <c r="J521" s="600"/>
      <c r="K521" s="599">
        <v>0</v>
      </c>
      <c r="L521" s="600"/>
      <c r="M521" s="601">
        <v>0</v>
      </c>
      <c r="N521" s="600">
        <v>119</v>
      </c>
      <c r="O521" s="599">
        <v>129</v>
      </c>
      <c r="P521" s="600"/>
      <c r="Q521" s="601">
        <v>0</v>
      </c>
      <c r="R521" s="600"/>
      <c r="S521" s="599">
        <v>0</v>
      </c>
      <c r="T521" s="600"/>
      <c r="U521" s="601">
        <v>0</v>
      </c>
      <c r="V521" s="600">
        <v>113</v>
      </c>
      <c r="W521" s="599">
        <v>127</v>
      </c>
      <c r="X521" s="600"/>
      <c r="Y521" s="601">
        <v>0</v>
      </c>
      <c r="Z521" s="600"/>
      <c r="AA521" s="599">
        <v>0</v>
      </c>
      <c r="AB521" s="600"/>
      <c r="AC521" s="601">
        <v>0</v>
      </c>
      <c r="AD521" s="600"/>
      <c r="AE521" s="599">
        <v>0</v>
      </c>
      <c r="AF521" s="600"/>
      <c r="AG521" s="601">
        <v>0</v>
      </c>
      <c r="AH521" s="600"/>
      <c r="AI521" s="599">
        <v>0</v>
      </c>
      <c r="AJ521" s="600"/>
      <c r="AK521" s="601">
        <v>0</v>
      </c>
      <c r="AL521" s="600">
        <v>199</v>
      </c>
      <c r="AM521" s="599">
        <v>166</v>
      </c>
      <c r="AN521" s="600"/>
      <c r="AO521" s="601">
        <v>0</v>
      </c>
      <c r="AP521" s="600">
        <v>0</v>
      </c>
      <c r="AQ521" s="599">
        <v>0</v>
      </c>
      <c r="AR521" s="600"/>
      <c r="AS521" s="601">
        <v>0</v>
      </c>
      <c r="AT521" s="600"/>
      <c r="AU521" s="599"/>
      <c r="AV521" s="600"/>
      <c r="AW521" s="601"/>
      <c r="AX521" s="600"/>
      <c r="AY521" s="599"/>
      <c r="AZ521" s="600"/>
      <c r="BA521" s="601"/>
      <c r="BB521" s="602">
        <v>30520164</v>
      </c>
      <c r="BC521" s="599">
        <v>35761619</v>
      </c>
      <c r="BD521" s="600">
        <v>12954133</v>
      </c>
      <c r="BE521" s="599">
        <v>13699099</v>
      </c>
      <c r="BF521" s="600">
        <v>11417972</v>
      </c>
      <c r="BG521" s="599">
        <v>12495652</v>
      </c>
      <c r="BH521" s="600">
        <v>0</v>
      </c>
      <c r="BI521" s="599">
        <v>0</v>
      </c>
      <c r="BJ521" s="600">
        <v>12805426</v>
      </c>
      <c r="BK521" s="615">
        <v>10575843</v>
      </c>
      <c r="BL521" s="600">
        <v>0</v>
      </c>
      <c r="BM521" s="604"/>
      <c r="BN521" s="605">
        <f t="shared" ref="BN521:BN584" si="629">((F521*9)+(H521*10)+(J521*11)+(L521*12))</f>
        <v>1827</v>
      </c>
      <c r="BO521" s="606">
        <f t="shared" ref="BO521:BO584" si="630">((G521*9)+(I521*10)+(K521*11)+(M521*12))</f>
        <v>2097</v>
      </c>
      <c r="BP521" s="607">
        <f t="shared" ref="BP521:BP584" si="631">((N521*9)+(P521*10)+(R521*11)+(T521*12))</f>
        <v>1071</v>
      </c>
      <c r="BQ521" s="606">
        <f t="shared" ref="BQ521:BQ584" si="632">((O521*9)+(Q521*10)+(S521*11)+(U521*12))</f>
        <v>1161</v>
      </c>
      <c r="BR521" s="607">
        <f t="shared" ref="BR521:BR584" si="633">((V521*9)+(X521*10)+(Z521*11)+(AB521*12))</f>
        <v>1017</v>
      </c>
      <c r="BS521" s="606">
        <f t="shared" ref="BS521:BS584" si="634">((W521*9)+(Y521*10)+(AA521*11)+(AC521*12))</f>
        <v>1143</v>
      </c>
      <c r="BT521" s="607">
        <f t="shared" ref="BT521:BT584" si="635">((AD521*9)+(AF521*10)+(AH521*11)+(AJ521*12))</f>
        <v>0</v>
      </c>
      <c r="BU521" s="606">
        <f t="shared" ref="BU521:BU584" si="636">((AE521*9)+(AG521*10)+(AI521*11)+(AK521*12))</f>
        <v>0</v>
      </c>
      <c r="BV521" s="607">
        <f t="shared" ref="BV521:BV584" si="637">((AL521*9)+(AN521*10)+(AP521*11)+(AR521*12))</f>
        <v>1791</v>
      </c>
      <c r="BW521" s="608">
        <f t="shared" ref="BW521:BW584" si="638">((AM521*9)+(AO521*10)+(AQ521*11)+(AS521*12))</f>
        <v>1494</v>
      </c>
      <c r="BX521" s="607">
        <f t="shared" ref="BX521:BX584" si="639">((AT521*9)+(AV521*10)+(AX521*11)+(AZ521*12))</f>
        <v>0</v>
      </c>
      <c r="BY521" s="608">
        <f t="shared" ref="BY521:BY584" si="640">((AU521*9)+(AW521*10)+(AY521*11)+(BA521*12))</f>
        <v>0</v>
      </c>
      <c r="BZ521" s="607">
        <f t="shared" ref="BZ521:BZ584" si="641">IF(BN521&gt;0,BB521/BN521,)</f>
        <v>16705.070607553367</v>
      </c>
      <c r="CA521" s="608">
        <f t="shared" ref="CA521:CA584" si="642">IF(BO521&gt;0,BC521/BO521,)</f>
        <v>17053.704816404388</v>
      </c>
      <c r="CB521" s="607">
        <f t="shared" ref="CB521:CB584" si="643">IF(BP521&gt;0,BD521/BP521,)</f>
        <v>12095.362278244631</v>
      </c>
      <c r="CC521" s="608">
        <f t="shared" ref="CC521:CC584" si="644">IF(BQ521&gt;0,BE521/BQ521,)</f>
        <v>11799.396210163652</v>
      </c>
      <c r="CD521" s="607">
        <f t="shared" ref="CD521:CD584" si="645">IF(BR521&gt;0,BF521/BR521,)</f>
        <v>11227.111111111111</v>
      </c>
      <c r="CE521" s="608">
        <f t="shared" ref="CE521:CE584" si="646">IF(BS521&gt;0,BG521/BS521,)</f>
        <v>10932.32895888014</v>
      </c>
      <c r="CF521" s="607">
        <f t="shared" ref="CF521:CF584" si="647">IF(BT521&gt;0,BH521/BT521,)</f>
        <v>0</v>
      </c>
      <c r="CG521" s="608">
        <f t="shared" ref="CG521:CG584" si="648">IF(BU521&gt;0,BI521/BU521,)</f>
        <v>0</v>
      </c>
      <c r="CH521" s="607">
        <f t="shared" ref="CH521:CH584" si="649">IF(BV521&gt;0,BJ521/BV521,)</f>
        <v>7149.8749302065889</v>
      </c>
      <c r="CI521" s="608">
        <f t="shared" ref="CI521:CI584" si="650">IF(BW521&gt;0,BK521/BW521,)</f>
        <v>7078.8775100401608</v>
      </c>
      <c r="CJ521" s="607">
        <f t="shared" ref="CJ521:CJ584" si="651">IF(BX521&gt;0,BL521/BX521,)</f>
        <v>0</v>
      </c>
      <c r="CK521" s="608">
        <f t="shared" ref="CK521:CK584" si="652">IF(BY521&gt;0,BM521/BY521,)</f>
        <v>0</v>
      </c>
      <c r="CL521" s="609">
        <f t="shared" ref="CL521:CL584" si="653">+BZ521*9</f>
        <v>150345.63546798029</v>
      </c>
      <c r="CM521" s="608">
        <f t="shared" ref="CM521:CM584" si="654">+CA521*9</f>
        <v>153483.34334763949</v>
      </c>
      <c r="CN521" s="610">
        <f t="shared" ref="CN521:CN584" si="655">+CB521*9</f>
        <v>108858.26050420168</v>
      </c>
      <c r="CO521" s="606">
        <f t="shared" ref="CO521:CO584" si="656">+CC521*9</f>
        <v>106194.56589147287</v>
      </c>
      <c r="CP521" s="607">
        <f t="shared" ref="CP521:CP584" si="657">+CD521*9</f>
        <v>101044</v>
      </c>
      <c r="CQ521" s="606">
        <f t="shared" ref="CQ521:CQ584" si="658">+CE521*9</f>
        <v>98390.960629921261</v>
      </c>
      <c r="CR521" s="607">
        <f t="shared" ref="CR521:CR584" si="659">+CF521*9</f>
        <v>0</v>
      </c>
      <c r="CS521" s="606">
        <f t="shared" ref="CS521:CS584" si="660">+CG521*9</f>
        <v>0</v>
      </c>
      <c r="CT521" s="607">
        <f t="shared" ref="CT521:CT584" si="661">+CH521*9</f>
        <v>64348.874371859303</v>
      </c>
      <c r="CU521" s="608">
        <f t="shared" ref="CU521:CU584" si="662">+CI521*9</f>
        <v>63709.897590361448</v>
      </c>
      <c r="CV521" s="610">
        <f t="shared" ref="CV521:CV584" si="663">+CJ521*9</f>
        <v>0</v>
      </c>
      <c r="CW521" s="608">
        <f t="shared" ref="CW521:CW584" si="664">+CK521*9</f>
        <v>0</v>
      </c>
      <c r="CX521" s="610">
        <f t="shared" ref="CX521:CX584" si="665">IF(DL521&gt;0,((CL521*CZ521)+(CN521*DB521)+(CP521*DD521)+(CR521*DF521)+(CT521*DH521)+(CV521*DJ521))/DL521,)</f>
        <v>106778.69873817035</v>
      </c>
      <c r="CY521" s="611">
        <f t="shared" ref="CY521:CY584" si="666">IF(DM521&gt;0,((CM521*DA521)+(CO521*DC521)+(CQ521*DE521)+(CS521*DG521)+(CU521*DI521)+(CW521*DK521))/DM521,)</f>
        <v>110736.20305343512</v>
      </c>
      <c r="CZ521" s="605">
        <f t="shared" ref="CZ521:CZ584" si="667">+F521+H521+J521+L521</f>
        <v>203</v>
      </c>
      <c r="DA521" s="612">
        <f t="shared" ref="DA521:DA584" si="668">+G521+I521+K521+M521</f>
        <v>233</v>
      </c>
      <c r="DB521" s="607">
        <f t="shared" ref="DB521:DB584" si="669">+N521+P521+R521+T521</f>
        <v>119</v>
      </c>
      <c r="DC521" s="606">
        <f t="shared" ref="DC521:DC584" si="670">+O521+Q521+S521+U521</f>
        <v>129</v>
      </c>
      <c r="DD521" s="607">
        <f t="shared" ref="DD521:DD584" si="671">+V521+X521+Z521+AB521</f>
        <v>113</v>
      </c>
      <c r="DE521" s="606">
        <f t="shared" ref="DE521:DE584" si="672">+W521+Y521+AA521+AC521</f>
        <v>127</v>
      </c>
      <c r="DF521" s="607">
        <f t="shared" ref="DF521:DF584" si="673">+AD521+AF521+AH521+AJ521</f>
        <v>0</v>
      </c>
      <c r="DG521" s="606">
        <f t="shared" ref="DG521:DG584" si="674">+AE521+AG521+AI521+AK521</f>
        <v>0</v>
      </c>
      <c r="DH521" s="607">
        <f t="shared" ref="DH521:DH584" si="675">+AL521+AN521+AP521+AR521</f>
        <v>199</v>
      </c>
      <c r="DI521" s="608">
        <f t="shared" ref="DI521:DI584" si="676">+AM521+AO521+AQ521+AS521</f>
        <v>166</v>
      </c>
      <c r="DJ521" s="607">
        <f t="shared" ref="DJ521:DJ584" si="677">+AT521+AV521+AX521+AZ521</f>
        <v>0</v>
      </c>
      <c r="DK521" s="608">
        <f t="shared" ref="DK521:DK584" si="678">+AU521+AW521+AY521+BA521</f>
        <v>0</v>
      </c>
      <c r="DL521" s="607">
        <f t="shared" ref="DL521:DL584" si="679">+CZ521+DB521+DD521+DF521+DH521+DJ521</f>
        <v>634</v>
      </c>
      <c r="DM521" s="608">
        <f t="shared" ref="DM521:DM584" si="680">+DA521+DC521+DE521+DG521+DI521+DK521</f>
        <v>655</v>
      </c>
      <c r="DN521" s="607">
        <f t="shared" ref="DN521:DN584" si="681">+CZ521*CL521</f>
        <v>30520164</v>
      </c>
      <c r="DO521" s="612">
        <f t="shared" ref="DO521:DO584" si="682">+DA521*CM521</f>
        <v>35761619</v>
      </c>
      <c r="DP521" s="607">
        <f t="shared" ref="DP521:DP584" si="683">+DB521*CN521</f>
        <v>12954133</v>
      </c>
      <c r="DQ521" s="606">
        <f t="shared" ref="DQ521:DQ584" si="684">+DC521*CO521</f>
        <v>13699099</v>
      </c>
      <c r="DR521" s="607">
        <f t="shared" ref="DR521:DR584" si="685">+DD521*CP521</f>
        <v>11417972</v>
      </c>
      <c r="DS521" s="606">
        <f t="shared" ref="DS521:DS584" si="686">+DE521*CQ521</f>
        <v>12495652</v>
      </c>
      <c r="DT521" s="607">
        <f t="shared" ref="DT521:DT584" si="687">+DF521*CR521</f>
        <v>0</v>
      </c>
      <c r="DU521" s="606">
        <f t="shared" ref="DU521:DU584" si="688">+DG521*CS521</f>
        <v>0</v>
      </c>
      <c r="DV521" s="607">
        <f t="shared" ref="DV521:DV584" si="689">+DH521*CT521</f>
        <v>12805426.000000002</v>
      </c>
      <c r="DW521" s="608">
        <f t="shared" ref="DW521:DW584" si="690">+DI521*CU521</f>
        <v>10575843</v>
      </c>
      <c r="DX521" s="607">
        <f t="shared" ref="DX521:DX584" si="691">+DJ521*CV521</f>
        <v>0</v>
      </c>
      <c r="DY521" s="608">
        <f t="shared" ref="DY521:DY584" si="692">+DK521*CW521</f>
        <v>0</v>
      </c>
      <c r="DZ521" s="607">
        <f t="shared" ref="DZ521:DZ584" si="693">+DL521*CX521</f>
        <v>67697695</v>
      </c>
      <c r="EA521" s="608">
        <f t="shared" ref="EA521:EA584" si="694">+DM521*CY521</f>
        <v>72532213</v>
      </c>
    </row>
    <row r="522" spans="1:131" x14ac:dyDescent="0.2">
      <c r="A522" s="353" t="s">
        <v>43</v>
      </c>
      <c r="B522" s="356" t="s">
        <v>446</v>
      </c>
      <c r="C522" s="566"/>
      <c r="D522" s="362">
        <v>229179</v>
      </c>
      <c r="E522" s="363">
        <v>2</v>
      </c>
      <c r="F522" s="598">
        <v>51</v>
      </c>
      <c r="G522" s="599">
        <v>45</v>
      </c>
      <c r="H522" s="600"/>
      <c r="I522" s="601">
        <v>0</v>
      </c>
      <c r="J522" s="600"/>
      <c r="K522" s="599">
        <v>0</v>
      </c>
      <c r="L522" s="600"/>
      <c r="M522" s="601">
        <v>0</v>
      </c>
      <c r="N522" s="600">
        <v>78</v>
      </c>
      <c r="O522" s="599">
        <v>71</v>
      </c>
      <c r="P522" s="600"/>
      <c r="Q522" s="601">
        <v>0</v>
      </c>
      <c r="R522" s="600"/>
      <c r="S522" s="599">
        <v>0</v>
      </c>
      <c r="T522" s="600"/>
      <c r="U522" s="601">
        <v>0</v>
      </c>
      <c r="V522" s="600">
        <v>93</v>
      </c>
      <c r="W522" s="599">
        <v>91</v>
      </c>
      <c r="X522" s="600"/>
      <c r="Y522" s="601">
        <v>0</v>
      </c>
      <c r="Z522" s="600"/>
      <c r="AA522" s="599">
        <v>0</v>
      </c>
      <c r="AB522" s="600"/>
      <c r="AC522" s="601">
        <v>0</v>
      </c>
      <c r="AD522" s="600">
        <v>11</v>
      </c>
      <c r="AE522" s="599">
        <v>11</v>
      </c>
      <c r="AF522" s="600"/>
      <c r="AG522" s="601">
        <v>0</v>
      </c>
      <c r="AH522" s="600"/>
      <c r="AI522" s="599">
        <v>0</v>
      </c>
      <c r="AJ522" s="600"/>
      <c r="AK522" s="601">
        <v>0</v>
      </c>
      <c r="AL522" s="600">
        <v>168</v>
      </c>
      <c r="AM522" s="599">
        <v>185</v>
      </c>
      <c r="AN522" s="600"/>
      <c r="AO522" s="601">
        <v>0</v>
      </c>
      <c r="AP522" s="600">
        <v>0</v>
      </c>
      <c r="AQ522" s="599">
        <v>0</v>
      </c>
      <c r="AR522" s="600"/>
      <c r="AS522" s="601">
        <v>0</v>
      </c>
      <c r="AT522" s="600"/>
      <c r="AU522" s="599"/>
      <c r="AV522" s="600"/>
      <c r="AW522" s="601"/>
      <c r="AX522" s="600"/>
      <c r="AY522" s="599"/>
      <c r="AZ522" s="600"/>
      <c r="BA522" s="601"/>
      <c r="BB522" s="602">
        <v>4560810</v>
      </c>
      <c r="BC522" s="599">
        <v>3874142</v>
      </c>
      <c r="BD522" s="600">
        <v>5798494</v>
      </c>
      <c r="BE522" s="599">
        <v>5359014</v>
      </c>
      <c r="BF522" s="600">
        <v>5959672</v>
      </c>
      <c r="BG522" s="599">
        <v>6091320</v>
      </c>
      <c r="BH522" s="600">
        <v>549843</v>
      </c>
      <c r="BI522" s="599">
        <v>560674</v>
      </c>
      <c r="BJ522" s="600">
        <v>9872178</v>
      </c>
      <c r="BK522" s="615">
        <v>10851789</v>
      </c>
      <c r="BL522" s="600">
        <v>0</v>
      </c>
      <c r="BM522" s="604"/>
      <c r="BN522" s="605">
        <f t="shared" si="629"/>
        <v>459</v>
      </c>
      <c r="BO522" s="606">
        <f t="shared" si="630"/>
        <v>405</v>
      </c>
      <c r="BP522" s="607">
        <f t="shared" si="631"/>
        <v>702</v>
      </c>
      <c r="BQ522" s="606">
        <f t="shared" si="632"/>
        <v>639</v>
      </c>
      <c r="BR522" s="607">
        <f t="shared" si="633"/>
        <v>837</v>
      </c>
      <c r="BS522" s="606">
        <f t="shared" si="634"/>
        <v>819</v>
      </c>
      <c r="BT522" s="607">
        <f t="shared" si="635"/>
        <v>99</v>
      </c>
      <c r="BU522" s="606">
        <f t="shared" si="636"/>
        <v>99</v>
      </c>
      <c r="BV522" s="607">
        <f t="shared" si="637"/>
        <v>1512</v>
      </c>
      <c r="BW522" s="608">
        <f t="shared" si="638"/>
        <v>1665</v>
      </c>
      <c r="BX522" s="607">
        <f t="shared" si="639"/>
        <v>0</v>
      </c>
      <c r="BY522" s="608">
        <f t="shared" si="640"/>
        <v>0</v>
      </c>
      <c r="BZ522" s="607">
        <f t="shared" si="641"/>
        <v>9936.4052287581708</v>
      </c>
      <c r="CA522" s="608">
        <f t="shared" si="642"/>
        <v>9565.7827160493835</v>
      </c>
      <c r="CB522" s="607">
        <f t="shared" si="643"/>
        <v>8259.9629629629635</v>
      </c>
      <c r="CC522" s="608">
        <f t="shared" si="644"/>
        <v>8386.5633802816901</v>
      </c>
      <c r="CD522" s="607">
        <f t="shared" si="645"/>
        <v>7120.2771804062122</v>
      </c>
      <c r="CE522" s="608">
        <f t="shared" si="646"/>
        <v>7437.5091575091574</v>
      </c>
      <c r="CF522" s="607">
        <f t="shared" si="647"/>
        <v>5553.969696969697</v>
      </c>
      <c r="CG522" s="608">
        <f t="shared" si="648"/>
        <v>5663.3737373737376</v>
      </c>
      <c r="CH522" s="607">
        <f t="shared" si="649"/>
        <v>6529.2182539682535</v>
      </c>
      <c r="CI522" s="608">
        <f t="shared" si="650"/>
        <v>6517.5909909909906</v>
      </c>
      <c r="CJ522" s="607">
        <f t="shared" si="651"/>
        <v>0</v>
      </c>
      <c r="CK522" s="608">
        <f t="shared" si="652"/>
        <v>0</v>
      </c>
      <c r="CL522" s="609">
        <f t="shared" si="653"/>
        <v>89427.647058823539</v>
      </c>
      <c r="CM522" s="608">
        <f t="shared" si="654"/>
        <v>86092.044444444444</v>
      </c>
      <c r="CN522" s="610">
        <f t="shared" si="655"/>
        <v>74339.666666666672</v>
      </c>
      <c r="CO522" s="606">
        <f t="shared" si="656"/>
        <v>75479.070422535209</v>
      </c>
      <c r="CP522" s="607">
        <f t="shared" si="657"/>
        <v>64082.494623655912</v>
      </c>
      <c r="CQ522" s="606">
        <f t="shared" si="658"/>
        <v>66937.582417582424</v>
      </c>
      <c r="CR522" s="607">
        <f t="shared" si="659"/>
        <v>49985.727272727272</v>
      </c>
      <c r="CS522" s="606">
        <f t="shared" si="660"/>
        <v>50970.36363636364</v>
      </c>
      <c r="CT522" s="607">
        <f t="shared" si="661"/>
        <v>58762.964285714283</v>
      </c>
      <c r="CU522" s="608">
        <f t="shared" si="662"/>
        <v>58658.318918918914</v>
      </c>
      <c r="CV522" s="610">
        <f t="shared" si="663"/>
        <v>0</v>
      </c>
      <c r="CW522" s="608">
        <f t="shared" si="664"/>
        <v>0</v>
      </c>
      <c r="CX522" s="610">
        <f t="shared" si="665"/>
        <v>66685.778054862836</v>
      </c>
      <c r="CY522" s="611">
        <f t="shared" si="666"/>
        <v>66344.761786600502</v>
      </c>
      <c r="CZ522" s="605">
        <f t="shared" si="667"/>
        <v>51</v>
      </c>
      <c r="DA522" s="612">
        <f t="shared" si="668"/>
        <v>45</v>
      </c>
      <c r="DB522" s="607">
        <f t="shared" si="669"/>
        <v>78</v>
      </c>
      <c r="DC522" s="606">
        <f t="shared" si="670"/>
        <v>71</v>
      </c>
      <c r="DD522" s="607">
        <f t="shared" si="671"/>
        <v>93</v>
      </c>
      <c r="DE522" s="606">
        <f t="shared" si="672"/>
        <v>91</v>
      </c>
      <c r="DF522" s="607">
        <f t="shared" si="673"/>
        <v>11</v>
      </c>
      <c r="DG522" s="606">
        <f t="shared" si="674"/>
        <v>11</v>
      </c>
      <c r="DH522" s="607">
        <f t="shared" si="675"/>
        <v>168</v>
      </c>
      <c r="DI522" s="608">
        <f t="shared" si="676"/>
        <v>185</v>
      </c>
      <c r="DJ522" s="607">
        <f t="shared" si="677"/>
        <v>0</v>
      </c>
      <c r="DK522" s="608">
        <f t="shared" si="678"/>
        <v>0</v>
      </c>
      <c r="DL522" s="607">
        <f t="shared" si="679"/>
        <v>401</v>
      </c>
      <c r="DM522" s="608">
        <f t="shared" si="680"/>
        <v>403</v>
      </c>
      <c r="DN522" s="607">
        <f t="shared" si="681"/>
        <v>4560810.0000000009</v>
      </c>
      <c r="DO522" s="612">
        <f t="shared" si="682"/>
        <v>3874142</v>
      </c>
      <c r="DP522" s="607">
        <f t="shared" si="683"/>
        <v>5798494</v>
      </c>
      <c r="DQ522" s="606">
        <f t="shared" si="684"/>
        <v>5359014</v>
      </c>
      <c r="DR522" s="607">
        <f t="shared" si="685"/>
        <v>5959672</v>
      </c>
      <c r="DS522" s="606">
        <f t="shared" si="686"/>
        <v>6091320.0000000009</v>
      </c>
      <c r="DT522" s="607">
        <f t="shared" si="687"/>
        <v>549843</v>
      </c>
      <c r="DU522" s="606">
        <f t="shared" si="688"/>
        <v>560674</v>
      </c>
      <c r="DV522" s="607">
        <f t="shared" si="689"/>
        <v>9872178</v>
      </c>
      <c r="DW522" s="608">
        <f t="shared" si="690"/>
        <v>10851789</v>
      </c>
      <c r="DX522" s="607">
        <f t="shared" si="691"/>
        <v>0</v>
      </c>
      <c r="DY522" s="608">
        <f t="shared" si="692"/>
        <v>0</v>
      </c>
      <c r="DZ522" s="607">
        <f t="shared" si="693"/>
        <v>26740996.999999996</v>
      </c>
      <c r="EA522" s="608">
        <f t="shared" si="694"/>
        <v>26736939.000000004</v>
      </c>
    </row>
    <row r="523" spans="1:131" x14ac:dyDescent="0.2">
      <c r="A523" s="353" t="s">
        <v>43</v>
      </c>
      <c r="B523" s="354" t="s">
        <v>447</v>
      </c>
      <c r="C523" s="566"/>
      <c r="D523" s="362">
        <v>228796</v>
      </c>
      <c r="E523" s="363">
        <v>2</v>
      </c>
      <c r="F523" s="598">
        <v>142</v>
      </c>
      <c r="G523" s="599">
        <v>151</v>
      </c>
      <c r="H523" s="600"/>
      <c r="I523" s="601">
        <v>0</v>
      </c>
      <c r="J523" s="600"/>
      <c r="K523" s="599">
        <v>0</v>
      </c>
      <c r="L523" s="600"/>
      <c r="M523" s="601">
        <v>0</v>
      </c>
      <c r="N523" s="600">
        <v>198</v>
      </c>
      <c r="O523" s="599">
        <v>195</v>
      </c>
      <c r="P523" s="600"/>
      <c r="Q523" s="601">
        <v>0</v>
      </c>
      <c r="R523" s="600"/>
      <c r="S523" s="599">
        <v>0</v>
      </c>
      <c r="T523" s="600"/>
      <c r="U523" s="601">
        <v>0</v>
      </c>
      <c r="V523" s="600">
        <v>145</v>
      </c>
      <c r="W523" s="599">
        <v>141</v>
      </c>
      <c r="X523" s="600"/>
      <c r="Y523" s="601">
        <v>0</v>
      </c>
      <c r="Z523" s="600"/>
      <c r="AA523" s="599">
        <v>0</v>
      </c>
      <c r="AB523" s="600"/>
      <c r="AC523" s="601">
        <v>0</v>
      </c>
      <c r="AD523" s="600"/>
      <c r="AE523" s="599">
        <v>0</v>
      </c>
      <c r="AF523" s="600"/>
      <c r="AG523" s="601">
        <v>0</v>
      </c>
      <c r="AH523" s="600"/>
      <c r="AI523" s="599">
        <v>0</v>
      </c>
      <c r="AJ523" s="600"/>
      <c r="AK523" s="601">
        <v>0</v>
      </c>
      <c r="AL523" s="600">
        <v>193</v>
      </c>
      <c r="AM523" s="599">
        <v>185</v>
      </c>
      <c r="AN523" s="600"/>
      <c r="AO523" s="601">
        <v>0</v>
      </c>
      <c r="AP523" s="600">
        <v>0</v>
      </c>
      <c r="AQ523" s="599">
        <v>0</v>
      </c>
      <c r="AR523" s="600"/>
      <c r="AS523" s="601">
        <v>0</v>
      </c>
      <c r="AT523" s="600"/>
      <c r="AU523" s="599"/>
      <c r="AV523" s="600"/>
      <c r="AW523" s="601"/>
      <c r="AX523" s="600"/>
      <c r="AY523" s="599"/>
      <c r="AZ523" s="600"/>
      <c r="BA523" s="601"/>
      <c r="BB523" s="602">
        <v>14229626</v>
      </c>
      <c r="BC523" s="599">
        <v>15774472</v>
      </c>
      <c r="BD523" s="600">
        <v>14703007.999999998</v>
      </c>
      <c r="BE523" s="599">
        <v>14788061</v>
      </c>
      <c r="BF523" s="600">
        <v>9868418</v>
      </c>
      <c r="BG523" s="599">
        <v>9875255</v>
      </c>
      <c r="BH523" s="600">
        <v>0</v>
      </c>
      <c r="BI523" s="599">
        <v>0</v>
      </c>
      <c r="BJ523" s="600">
        <v>8838966</v>
      </c>
      <c r="BK523" s="615">
        <v>8892604</v>
      </c>
      <c r="BL523" s="600">
        <v>0</v>
      </c>
      <c r="BM523" s="604"/>
      <c r="BN523" s="605">
        <f t="shared" si="629"/>
        <v>1278</v>
      </c>
      <c r="BO523" s="606">
        <f t="shared" si="630"/>
        <v>1359</v>
      </c>
      <c r="BP523" s="607">
        <f t="shared" si="631"/>
        <v>1782</v>
      </c>
      <c r="BQ523" s="606">
        <f t="shared" si="632"/>
        <v>1755</v>
      </c>
      <c r="BR523" s="607">
        <f t="shared" si="633"/>
        <v>1305</v>
      </c>
      <c r="BS523" s="606">
        <f t="shared" si="634"/>
        <v>1269</v>
      </c>
      <c r="BT523" s="607">
        <f t="shared" si="635"/>
        <v>0</v>
      </c>
      <c r="BU523" s="606">
        <f t="shared" si="636"/>
        <v>0</v>
      </c>
      <c r="BV523" s="607">
        <f t="shared" si="637"/>
        <v>1737</v>
      </c>
      <c r="BW523" s="608">
        <f t="shared" si="638"/>
        <v>1665</v>
      </c>
      <c r="BX523" s="607">
        <f t="shared" si="639"/>
        <v>0</v>
      </c>
      <c r="BY523" s="608">
        <f t="shared" si="640"/>
        <v>0</v>
      </c>
      <c r="BZ523" s="607">
        <f t="shared" si="641"/>
        <v>11134.292644757434</v>
      </c>
      <c r="CA523" s="608">
        <f t="shared" si="642"/>
        <v>11607.411331861664</v>
      </c>
      <c r="CB523" s="607">
        <f t="shared" si="643"/>
        <v>8250.8462401795732</v>
      </c>
      <c r="CC523" s="608">
        <f t="shared" si="644"/>
        <v>8426.2455840455841</v>
      </c>
      <c r="CD523" s="607">
        <f t="shared" si="645"/>
        <v>7562.0061302681988</v>
      </c>
      <c r="CE523" s="608">
        <f t="shared" si="646"/>
        <v>7781.9188337273445</v>
      </c>
      <c r="CF523" s="607">
        <f t="shared" si="647"/>
        <v>0</v>
      </c>
      <c r="CG523" s="608">
        <f t="shared" si="648"/>
        <v>0</v>
      </c>
      <c r="CH523" s="607">
        <f t="shared" si="649"/>
        <v>5088.6390328151983</v>
      </c>
      <c r="CI523" s="608">
        <f t="shared" si="650"/>
        <v>5340.9033033033029</v>
      </c>
      <c r="CJ523" s="607">
        <f t="shared" si="651"/>
        <v>0</v>
      </c>
      <c r="CK523" s="608">
        <f t="shared" si="652"/>
        <v>0</v>
      </c>
      <c r="CL523" s="609">
        <f t="shared" si="653"/>
        <v>100208.6338028169</v>
      </c>
      <c r="CM523" s="608">
        <f t="shared" si="654"/>
        <v>104466.70198675497</v>
      </c>
      <c r="CN523" s="610">
        <f t="shared" si="655"/>
        <v>74257.616161616155</v>
      </c>
      <c r="CO523" s="606">
        <f t="shared" si="656"/>
        <v>75836.210256410253</v>
      </c>
      <c r="CP523" s="607">
        <f t="shared" si="657"/>
        <v>68058.055172413791</v>
      </c>
      <c r="CQ523" s="606">
        <f t="shared" si="658"/>
        <v>70037.269503546093</v>
      </c>
      <c r="CR523" s="607">
        <f t="shared" si="659"/>
        <v>0</v>
      </c>
      <c r="CS523" s="606">
        <f t="shared" si="660"/>
        <v>0</v>
      </c>
      <c r="CT523" s="607">
        <f t="shared" si="661"/>
        <v>45797.751295336784</v>
      </c>
      <c r="CU523" s="608">
        <f t="shared" si="662"/>
        <v>48068.129729729728</v>
      </c>
      <c r="CV523" s="610">
        <f t="shared" si="663"/>
        <v>0</v>
      </c>
      <c r="CW523" s="608">
        <f t="shared" si="664"/>
        <v>0</v>
      </c>
      <c r="CX523" s="610">
        <f t="shared" si="665"/>
        <v>70265.513274336277</v>
      </c>
      <c r="CY523" s="611">
        <f t="shared" si="666"/>
        <v>73408.321428571435</v>
      </c>
      <c r="CZ523" s="605">
        <f t="shared" si="667"/>
        <v>142</v>
      </c>
      <c r="DA523" s="612">
        <f t="shared" si="668"/>
        <v>151</v>
      </c>
      <c r="DB523" s="607">
        <f t="shared" si="669"/>
        <v>198</v>
      </c>
      <c r="DC523" s="606">
        <f t="shared" si="670"/>
        <v>195</v>
      </c>
      <c r="DD523" s="607">
        <f t="shared" si="671"/>
        <v>145</v>
      </c>
      <c r="DE523" s="606">
        <f t="shared" si="672"/>
        <v>141</v>
      </c>
      <c r="DF523" s="607">
        <f t="shared" si="673"/>
        <v>0</v>
      </c>
      <c r="DG523" s="606">
        <f t="shared" si="674"/>
        <v>0</v>
      </c>
      <c r="DH523" s="607">
        <f t="shared" si="675"/>
        <v>193</v>
      </c>
      <c r="DI523" s="608">
        <f t="shared" si="676"/>
        <v>185</v>
      </c>
      <c r="DJ523" s="607">
        <f t="shared" si="677"/>
        <v>0</v>
      </c>
      <c r="DK523" s="608">
        <f t="shared" si="678"/>
        <v>0</v>
      </c>
      <c r="DL523" s="607">
        <f t="shared" si="679"/>
        <v>678</v>
      </c>
      <c r="DM523" s="608">
        <f t="shared" si="680"/>
        <v>672</v>
      </c>
      <c r="DN523" s="607">
        <f t="shared" si="681"/>
        <v>14229626</v>
      </c>
      <c r="DO523" s="612">
        <f t="shared" si="682"/>
        <v>15774472</v>
      </c>
      <c r="DP523" s="607">
        <f t="shared" si="683"/>
        <v>14703007.999999998</v>
      </c>
      <c r="DQ523" s="606">
        <f t="shared" si="684"/>
        <v>14788061</v>
      </c>
      <c r="DR523" s="607">
        <f t="shared" si="685"/>
        <v>9868418</v>
      </c>
      <c r="DS523" s="606">
        <f t="shared" si="686"/>
        <v>9875255</v>
      </c>
      <c r="DT523" s="607">
        <f t="shared" si="687"/>
        <v>0</v>
      </c>
      <c r="DU523" s="606">
        <f t="shared" si="688"/>
        <v>0</v>
      </c>
      <c r="DV523" s="607">
        <f t="shared" si="689"/>
        <v>8838966</v>
      </c>
      <c r="DW523" s="608">
        <f t="shared" si="690"/>
        <v>8892604</v>
      </c>
      <c r="DX523" s="607">
        <f t="shared" si="691"/>
        <v>0</v>
      </c>
      <c r="DY523" s="608">
        <f t="shared" si="692"/>
        <v>0</v>
      </c>
      <c r="DZ523" s="607">
        <f t="shared" si="693"/>
        <v>47640017.999999993</v>
      </c>
      <c r="EA523" s="608">
        <f t="shared" si="694"/>
        <v>49330392.000000007</v>
      </c>
    </row>
    <row r="524" spans="1:131" x14ac:dyDescent="0.2">
      <c r="A524" s="353" t="s">
        <v>43</v>
      </c>
      <c r="B524" s="354" t="s">
        <v>448</v>
      </c>
      <c r="C524" s="566"/>
      <c r="D524" s="362">
        <v>229027</v>
      </c>
      <c r="E524" s="363">
        <v>2</v>
      </c>
      <c r="F524" s="598">
        <v>195</v>
      </c>
      <c r="G524" s="599">
        <v>198</v>
      </c>
      <c r="H524" s="600"/>
      <c r="I524" s="601">
        <v>0</v>
      </c>
      <c r="J524" s="600"/>
      <c r="K524" s="599">
        <v>0</v>
      </c>
      <c r="L524" s="600"/>
      <c r="M524" s="601">
        <v>0</v>
      </c>
      <c r="N524" s="600">
        <v>207</v>
      </c>
      <c r="O524" s="599">
        <v>206</v>
      </c>
      <c r="P524" s="600"/>
      <c r="Q524" s="601">
        <v>0</v>
      </c>
      <c r="R524" s="600"/>
      <c r="S524" s="599">
        <v>0</v>
      </c>
      <c r="T524" s="600"/>
      <c r="U524" s="601">
        <v>0</v>
      </c>
      <c r="V524" s="600">
        <v>152</v>
      </c>
      <c r="W524" s="599">
        <v>155</v>
      </c>
      <c r="X524" s="600"/>
      <c r="Y524" s="601">
        <v>0</v>
      </c>
      <c r="Z524" s="600"/>
      <c r="AA524" s="599">
        <v>0</v>
      </c>
      <c r="AB524" s="600"/>
      <c r="AC524" s="601">
        <v>0</v>
      </c>
      <c r="AD524" s="600"/>
      <c r="AE524" s="599">
        <v>0</v>
      </c>
      <c r="AF524" s="600"/>
      <c r="AG524" s="601">
        <v>0</v>
      </c>
      <c r="AH524" s="600"/>
      <c r="AI524" s="599">
        <v>0</v>
      </c>
      <c r="AJ524" s="600"/>
      <c r="AK524" s="601">
        <v>0</v>
      </c>
      <c r="AL524" s="600">
        <v>322</v>
      </c>
      <c r="AM524" s="599">
        <v>149</v>
      </c>
      <c r="AN524" s="600"/>
      <c r="AO524" s="601">
        <v>0</v>
      </c>
      <c r="AP524" s="600">
        <v>0</v>
      </c>
      <c r="AQ524" s="599">
        <v>0</v>
      </c>
      <c r="AR524" s="600"/>
      <c r="AS524" s="601">
        <v>0</v>
      </c>
      <c r="AT524" s="600"/>
      <c r="AU524" s="599"/>
      <c r="AV524" s="600"/>
      <c r="AW524" s="601"/>
      <c r="AX524" s="600"/>
      <c r="AY524" s="599"/>
      <c r="AZ524" s="600"/>
      <c r="BA524" s="601"/>
      <c r="BB524" s="602">
        <v>22368728</v>
      </c>
      <c r="BC524" s="599">
        <v>22930673</v>
      </c>
      <c r="BD524" s="600">
        <v>16741734</v>
      </c>
      <c r="BE524" s="599">
        <v>16592758</v>
      </c>
      <c r="BF524" s="600">
        <v>10768701</v>
      </c>
      <c r="BG524" s="599">
        <v>11246788</v>
      </c>
      <c r="BH524" s="600">
        <v>0</v>
      </c>
      <c r="BI524" s="599">
        <v>0</v>
      </c>
      <c r="BJ524" s="600">
        <v>10996348</v>
      </c>
      <c r="BK524" s="615">
        <v>6570238</v>
      </c>
      <c r="BL524" s="600">
        <v>0</v>
      </c>
      <c r="BM524" s="604"/>
      <c r="BN524" s="605">
        <f t="shared" si="629"/>
        <v>1755</v>
      </c>
      <c r="BO524" s="606">
        <f t="shared" si="630"/>
        <v>1782</v>
      </c>
      <c r="BP524" s="607">
        <f t="shared" si="631"/>
        <v>1863</v>
      </c>
      <c r="BQ524" s="606">
        <f t="shared" si="632"/>
        <v>1854</v>
      </c>
      <c r="BR524" s="607">
        <f t="shared" si="633"/>
        <v>1368</v>
      </c>
      <c r="BS524" s="606">
        <f t="shared" si="634"/>
        <v>1395</v>
      </c>
      <c r="BT524" s="607">
        <f t="shared" si="635"/>
        <v>0</v>
      </c>
      <c r="BU524" s="606">
        <f t="shared" si="636"/>
        <v>0</v>
      </c>
      <c r="BV524" s="607">
        <f t="shared" si="637"/>
        <v>2898</v>
      </c>
      <c r="BW524" s="608">
        <f t="shared" si="638"/>
        <v>1341</v>
      </c>
      <c r="BX524" s="607">
        <f t="shared" si="639"/>
        <v>0</v>
      </c>
      <c r="BY524" s="608">
        <f t="shared" si="640"/>
        <v>0</v>
      </c>
      <c r="BZ524" s="607">
        <f t="shared" si="641"/>
        <v>12745.713960113961</v>
      </c>
      <c r="CA524" s="608">
        <f t="shared" si="642"/>
        <v>12867.942199775533</v>
      </c>
      <c r="CB524" s="607">
        <f t="shared" si="643"/>
        <v>8986.4380032206118</v>
      </c>
      <c r="CC524" s="608">
        <f t="shared" si="644"/>
        <v>8949.7076591154255</v>
      </c>
      <c r="CD524" s="607">
        <f t="shared" si="645"/>
        <v>7871.8574561403511</v>
      </c>
      <c r="CE524" s="608">
        <f t="shared" si="646"/>
        <v>8062.213620071685</v>
      </c>
      <c r="CF524" s="607">
        <f t="shared" si="647"/>
        <v>0</v>
      </c>
      <c r="CG524" s="608">
        <f t="shared" si="648"/>
        <v>0</v>
      </c>
      <c r="CH524" s="607">
        <f t="shared" si="649"/>
        <v>3794.4610075914425</v>
      </c>
      <c r="CI524" s="608">
        <f t="shared" si="650"/>
        <v>4899.5063385533185</v>
      </c>
      <c r="CJ524" s="607">
        <f t="shared" si="651"/>
        <v>0</v>
      </c>
      <c r="CK524" s="608">
        <f t="shared" si="652"/>
        <v>0</v>
      </c>
      <c r="CL524" s="609">
        <f t="shared" si="653"/>
        <v>114711.42564102565</v>
      </c>
      <c r="CM524" s="608">
        <f t="shared" si="654"/>
        <v>115811.47979797979</v>
      </c>
      <c r="CN524" s="610">
        <f t="shared" si="655"/>
        <v>80877.942028985504</v>
      </c>
      <c r="CO524" s="606">
        <f t="shared" si="656"/>
        <v>80547.368932038837</v>
      </c>
      <c r="CP524" s="607">
        <f t="shared" si="657"/>
        <v>70846.71710526316</v>
      </c>
      <c r="CQ524" s="606">
        <f t="shared" si="658"/>
        <v>72559.922580645158</v>
      </c>
      <c r="CR524" s="607">
        <f t="shared" si="659"/>
        <v>0</v>
      </c>
      <c r="CS524" s="606">
        <f t="shared" si="660"/>
        <v>0</v>
      </c>
      <c r="CT524" s="607">
        <f t="shared" si="661"/>
        <v>34150.149068322979</v>
      </c>
      <c r="CU524" s="608">
        <f t="shared" si="662"/>
        <v>44095.557046979869</v>
      </c>
      <c r="CV524" s="610">
        <f t="shared" si="663"/>
        <v>0</v>
      </c>
      <c r="CW524" s="608">
        <f t="shared" si="664"/>
        <v>0</v>
      </c>
      <c r="CX524" s="610">
        <f t="shared" si="665"/>
        <v>69492.59246575342</v>
      </c>
      <c r="CY524" s="611">
        <f t="shared" si="666"/>
        <v>80989.346045197744</v>
      </c>
      <c r="CZ524" s="605">
        <f t="shared" si="667"/>
        <v>195</v>
      </c>
      <c r="DA524" s="612">
        <f t="shared" si="668"/>
        <v>198</v>
      </c>
      <c r="DB524" s="607">
        <f t="shared" si="669"/>
        <v>207</v>
      </c>
      <c r="DC524" s="606">
        <f t="shared" si="670"/>
        <v>206</v>
      </c>
      <c r="DD524" s="607">
        <f t="shared" si="671"/>
        <v>152</v>
      </c>
      <c r="DE524" s="606">
        <f t="shared" si="672"/>
        <v>155</v>
      </c>
      <c r="DF524" s="607">
        <f t="shared" si="673"/>
        <v>0</v>
      </c>
      <c r="DG524" s="606">
        <f t="shared" si="674"/>
        <v>0</v>
      </c>
      <c r="DH524" s="607">
        <f t="shared" si="675"/>
        <v>322</v>
      </c>
      <c r="DI524" s="608">
        <f t="shared" si="676"/>
        <v>149</v>
      </c>
      <c r="DJ524" s="607">
        <f t="shared" si="677"/>
        <v>0</v>
      </c>
      <c r="DK524" s="608">
        <f t="shared" si="678"/>
        <v>0</v>
      </c>
      <c r="DL524" s="607">
        <f t="shared" si="679"/>
        <v>876</v>
      </c>
      <c r="DM524" s="608">
        <f t="shared" si="680"/>
        <v>708</v>
      </c>
      <c r="DN524" s="607">
        <f t="shared" si="681"/>
        <v>22368728</v>
      </c>
      <c r="DO524" s="612">
        <f t="shared" si="682"/>
        <v>22930672.999999996</v>
      </c>
      <c r="DP524" s="607">
        <f t="shared" si="683"/>
        <v>16741734</v>
      </c>
      <c r="DQ524" s="606">
        <f t="shared" si="684"/>
        <v>16592758</v>
      </c>
      <c r="DR524" s="607">
        <f t="shared" si="685"/>
        <v>10768701</v>
      </c>
      <c r="DS524" s="606">
        <f t="shared" si="686"/>
        <v>11246788</v>
      </c>
      <c r="DT524" s="607">
        <f t="shared" si="687"/>
        <v>0</v>
      </c>
      <c r="DU524" s="606">
        <f t="shared" si="688"/>
        <v>0</v>
      </c>
      <c r="DV524" s="607">
        <f t="shared" si="689"/>
        <v>10996348</v>
      </c>
      <c r="DW524" s="608">
        <f t="shared" si="690"/>
        <v>6570238.0000000009</v>
      </c>
      <c r="DX524" s="607">
        <f t="shared" si="691"/>
        <v>0</v>
      </c>
      <c r="DY524" s="608">
        <f t="shared" si="692"/>
        <v>0</v>
      </c>
      <c r="DZ524" s="607">
        <f t="shared" si="693"/>
        <v>60875510.999999993</v>
      </c>
      <c r="EA524" s="608">
        <f t="shared" si="694"/>
        <v>57340457</v>
      </c>
    </row>
    <row r="525" spans="1:131" x14ac:dyDescent="0.2">
      <c r="A525" s="353" t="s">
        <v>43</v>
      </c>
      <c r="B525" s="354" t="s">
        <v>449</v>
      </c>
      <c r="C525" s="566"/>
      <c r="D525" s="362">
        <v>222831</v>
      </c>
      <c r="E525" s="363">
        <v>3</v>
      </c>
      <c r="F525" s="598">
        <v>68</v>
      </c>
      <c r="G525" s="599">
        <v>63</v>
      </c>
      <c r="H525" s="600"/>
      <c r="I525" s="601">
        <v>0</v>
      </c>
      <c r="J525" s="600">
        <v>4</v>
      </c>
      <c r="K525" s="599">
        <v>1</v>
      </c>
      <c r="L525" s="600"/>
      <c r="M525" s="601">
        <v>5</v>
      </c>
      <c r="N525" s="600">
        <v>52</v>
      </c>
      <c r="O525" s="599">
        <v>44</v>
      </c>
      <c r="P525" s="600"/>
      <c r="Q525" s="601">
        <v>0</v>
      </c>
      <c r="R525" s="600"/>
      <c r="S525" s="599">
        <v>1</v>
      </c>
      <c r="T525" s="600"/>
      <c r="U525" s="601">
        <v>1</v>
      </c>
      <c r="V525" s="600">
        <v>78</v>
      </c>
      <c r="W525" s="599">
        <v>85</v>
      </c>
      <c r="X525" s="600"/>
      <c r="Y525" s="601">
        <v>0</v>
      </c>
      <c r="Z525" s="600">
        <v>3</v>
      </c>
      <c r="AA525" s="599">
        <v>4</v>
      </c>
      <c r="AB525" s="600"/>
      <c r="AC525" s="601">
        <v>2</v>
      </c>
      <c r="AD525" s="600">
        <v>14</v>
      </c>
      <c r="AE525" s="599">
        <v>37</v>
      </c>
      <c r="AF525" s="600"/>
      <c r="AG525" s="601">
        <v>0</v>
      </c>
      <c r="AH525" s="600">
        <v>2</v>
      </c>
      <c r="AI525" s="599">
        <v>0</v>
      </c>
      <c r="AJ525" s="600"/>
      <c r="AK525" s="601">
        <v>3</v>
      </c>
      <c r="AL525" s="600">
        <v>45</v>
      </c>
      <c r="AM525" s="599">
        <v>27</v>
      </c>
      <c r="AN525" s="600"/>
      <c r="AO525" s="601">
        <v>0</v>
      </c>
      <c r="AP525" s="600">
        <v>2</v>
      </c>
      <c r="AQ525" s="599">
        <v>0</v>
      </c>
      <c r="AR525" s="600"/>
      <c r="AS525" s="601">
        <v>0</v>
      </c>
      <c r="AT525" s="600"/>
      <c r="AU525" s="599"/>
      <c r="AV525" s="600"/>
      <c r="AW525" s="601"/>
      <c r="AX525" s="600"/>
      <c r="AY525" s="599"/>
      <c r="AZ525" s="600"/>
      <c r="BA525" s="601"/>
      <c r="BB525" s="602">
        <v>5534844</v>
      </c>
      <c r="BC525" s="599">
        <v>5474587</v>
      </c>
      <c r="BD525" s="600">
        <v>3411735.0000000005</v>
      </c>
      <c r="BE525" s="599">
        <v>3072061</v>
      </c>
      <c r="BF525" s="600">
        <v>4761441</v>
      </c>
      <c r="BG525" s="599">
        <v>5551631</v>
      </c>
      <c r="BH525" s="600">
        <v>669155</v>
      </c>
      <c r="BI525" s="599">
        <v>1554845</v>
      </c>
      <c r="BJ525" s="600">
        <v>2138739</v>
      </c>
      <c r="BK525" s="615">
        <v>1472956</v>
      </c>
      <c r="BL525" s="600">
        <v>0</v>
      </c>
      <c r="BM525" s="604"/>
      <c r="BN525" s="605">
        <f t="shared" si="629"/>
        <v>656</v>
      </c>
      <c r="BO525" s="606">
        <f t="shared" si="630"/>
        <v>638</v>
      </c>
      <c r="BP525" s="607">
        <f t="shared" si="631"/>
        <v>468</v>
      </c>
      <c r="BQ525" s="606">
        <f t="shared" si="632"/>
        <v>419</v>
      </c>
      <c r="BR525" s="607">
        <f t="shared" si="633"/>
        <v>735</v>
      </c>
      <c r="BS525" s="606">
        <f t="shared" si="634"/>
        <v>833</v>
      </c>
      <c r="BT525" s="607">
        <f t="shared" si="635"/>
        <v>148</v>
      </c>
      <c r="BU525" s="606">
        <f t="shared" si="636"/>
        <v>369</v>
      </c>
      <c r="BV525" s="607">
        <f t="shared" si="637"/>
        <v>427</v>
      </c>
      <c r="BW525" s="608">
        <f t="shared" si="638"/>
        <v>243</v>
      </c>
      <c r="BX525" s="607">
        <f t="shared" si="639"/>
        <v>0</v>
      </c>
      <c r="BY525" s="608">
        <f t="shared" si="640"/>
        <v>0</v>
      </c>
      <c r="BZ525" s="607">
        <f t="shared" si="641"/>
        <v>8437.2621951219517</v>
      </c>
      <c r="CA525" s="608">
        <f t="shared" si="642"/>
        <v>8580.8573667711607</v>
      </c>
      <c r="CB525" s="607">
        <f t="shared" si="643"/>
        <v>7290.0320512820526</v>
      </c>
      <c r="CC525" s="608">
        <f t="shared" si="644"/>
        <v>7331.887828162291</v>
      </c>
      <c r="CD525" s="607">
        <f t="shared" si="645"/>
        <v>6478.1510204081633</v>
      </c>
      <c r="CE525" s="608">
        <f t="shared" si="646"/>
        <v>6664.6230492196883</v>
      </c>
      <c r="CF525" s="607">
        <f t="shared" si="647"/>
        <v>4521.3175675675675</v>
      </c>
      <c r="CG525" s="608">
        <f t="shared" si="648"/>
        <v>4213.6720867208669</v>
      </c>
      <c r="CH525" s="607">
        <f t="shared" si="649"/>
        <v>5008.7564402810303</v>
      </c>
      <c r="CI525" s="608">
        <f t="shared" si="650"/>
        <v>6061.5473251028807</v>
      </c>
      <c r="CJ525" s="607">
        <f t="shared" si="651"/>
        <v>0</v>
      </c>
      <c r="CK525" s="608">
        <f t="shared" si="652"/>
        <v>0</v>
      </c>
      <c r="CL525" s="609">
        <f t="shared" si="653"/>
        <v>75935.359756097561</v>
      </c>
      <c r="CM525" s="608">
        <f t="shared" si="654"/>
        <v>77227.716300940447</v>
      </c>
      <c r="CN525" s="610">
        <f t="shared" si="655"/>
        <v>65610.288461538468</v>
      </c>
      <c r="CO525" s="606">
        <f t="shared" si="656"/>
        <v>65986.990453460618</v>
      </c>
      <c r="CP525" s="607">
        <f t="shared" si="657"/>
        <v>58303.35918367347</v>
      </c>
      <c r="CQ525" s="606">
        <f t="shared" si="658"/>
        <v>59981.607442977198</v>
      </c>
      <c r="CR525" s="607">
        <f t="shared" si="659"/>
        <v>40691.858108108107</v>
      </c>
      <c r="CS525" s="606">
        <f t="shared" si="660"/>
        <v>37923.048780487799</v>
      </c>
      <c r="CT525" s="607">
        <f t="shared" si="661"/>
        <v>45078.807962529274</v>
      </c>
      <c r="CU525" s="608">
        <f t="shared" si="662"/>
        <v>54553.925925925927</v>
      </c>
      <c r="CV525" s="610">
        <f t="shared" si="663"/>
        <v>0</v>
      </c>
      <c r="CW525" s="608">
        <f t="shared" si="664"/>
        <v>0</v>
      </c>
      <c r="CX525" s="610">
        <f t="shared" si="665"/>
        <v>61087.413060765604</v>
      </c>
      <c r="CY525" s="611">
        <f t="shared" si="666"/>
        <v>61583.583202031208</v>
      </c>
      <c r="CZ525" s="605">
        <f t="shared" si="667"/>
        <v>72</v>
      </c>
      <c r="DA525" s="612">
        <f t="shared" si="668"/>
        <v>69</v>
      </c>
      <c r="DB525" s="607">
        <f t="shared" si="669"/>
        <v>52</v>
      </c>
      <c r="DC525" s="606">
        <f t="shared" si="670"/>
        <v>46</v>
      </c>
      <c r="DD525" s="607">
        <f t="shared" si="671"/>
        <v>81</v>
      </c>
      <c r="DE525" s="606">
        <f t="shared" si="672"/>
        <v>91</v>
      </c>
      <c r="DF525" s="607">
        <f t="shared" si="673"/>
        <v>16</v>
      </c>
      <c r="DG525" s="606">
        <f t="shared" si="674"/>
        <v>40</v>
      </c>
      <c r="DH525" s="607">
        <f t="shared" si="675"/>
        <v>47</v>
      </c>
      <c r="DI525" s="608">
        <f t="shared" si="676"/>
        <v>27</v>
      </c>
      <c r="DJ525" s="607">
        <f t="shared" si="677"/>
        <v>0</v>
      </c>
      <c r="DK525" s="608">
        <f t="shared" si="678"/>
        <v>0</v>
      </c>
      <c r="DL525" s="607">
        <f t="shared" si="679"/>
        <v>268</v>
      </c>
      <c r="DM525" s="608">
        <f t="shared" si="680"/>
        <v>273</v>
      </c>
      <c r="DN525" s="607">
        <f t="shared" si="681"/>
        <v>5467345.9024390243</v>
      </c>
      <c r="DO525" s="612">
        <f t="shared" si="682"/>
        <v>5328712.4247648912</v>
      </c>
      <c r="DP525" s="607">
        <f t="shared" si="683"/>
        <v>3411735.0000000005</v>
      </c>
      <c r="DQ525" s="606">
        <f t="shared" si="684"/>
        <v>3035401.5608591884</v>
      </c>
      <c r="DR525" s="607">
        <f t="shared" si="685"/>
        <v>4722572.0938775511</v>
      </c>
      <c r="DS525" s="606">
        <f t="shared" si="686"/>
        <v>5458326.2773109246</v>
      </c>
      <c r="DT525" s="607">
        <f t="shared" si="687"/>
        <v>651069.7297297297</v>
      </c>
      <c r="DU525" s="606">
        <f t="shared" si="688"/>
        <v>1516921.9512195119</v>
      </c>
      <c r="DV525" s="607">
        <f t="shared" si="689"/>
        <v>2118703.9742388758</v>
      </c>
      <c r="DW525" s="608">
        <f t="shared" si="690"/>
        <v>1472956</v>
      </c>
      <c r="DX525" s="607">
        <f t="shared" si="691"/>
        <v>0</v>
      </c>
      <c r="DY525" s="608">
        <f t="shared" si="692"/>
        <v>0</v>
      </c>
      <c r="DZ525" s="607">
        <f t="shared" si="693"/>
        <v>16371426.700285181</v>
      </c>
      <c r="EA525" s="608">
        <f t="shared" si="694"/>
        <v>16812318.214154519</v>
      </c>
    </row>
    <row r="526" spans="1:131" x14ac:dyDescent="0.2">
      <c r="A526" s="353" t="s">
        <v>43</v>
      </c>
      <c r="B526" s="354" t="s">
        <v>450</v>
      </c>
      <c r="C526" s="566"/>
      <c r="D526" s="362">
        <v>226091</v>
      </c>
      <c r="E526" s="363">
        <v>3</v>
      </c>
      <c r="F526" s="598">
        <v>97</v>
      </c>
      <c r="G526" s="599">
        <v>96</v>
      </c>
      <c r="H526" s="600"/>
      <c r="I526" s="601">
        <v>0</v>
      </c>
      <c r="J526" s="600"/>
      <c r="K526" s="599">
        <v>0</v>
      </c>
      <c r="L526" s="600"/>
      <c r="M526" s="601">
        <v>0</v>
      </c>
      <c r="N526" s="600">
        <v>105</v>
      </c>
      <c r="O526" s="599">
        <v>110</v>
      </c>
      <c r="P526" s="600"/>
      <c r="Q526" s="601">
        <v>0</v>
      </c>
      <c r="R526" s="600">
        <v>1</v>
      </c>
      <c r="S526" s="599">
        <v>0</v>
      </c>
      <c r="T526" s="600"/>
      <c r="U526" s="601">
        <v>1</v>
      </c>
      <c r="V526" s="600">
        <v>81</v>
      </c>
      <c r="W526" s="599">
        <v>92</v>
      </c>
      <c r="X526" s="600"/>
      <c r="Y526" s="601">
        <v>0</v>
      </c>
      <c r="Z526" s="600"/>
      <c r="AA526" s="599">
        <v>0</v>
      </c>
      <c r="AB526" s="600"/>
      <c r="AC526" s="601">
        <v>0</v>
      </c>
      <c r="AD526" s="600">
        <v>94</v>
      </c>
      <c r="AE526" s="599">
        <v>101</v>
      </c>
      <c r="AF526" s="600"/>
      <c r="AG526" s="601">
        <v>0</v>
      </c>
      <c r="AH526" s="600"/>
      <c r="AI526" s="599">
        <v>0</v>
      </c>
      <c r="AJ526" s="600"/>
      <c r="AK526" s="601">
        <v>0</v>
      </c>
      <c r="AL526" s="600">
        <v>10</v>
      </c>
      <c r="AM526" s="599">
        <v>0</v>
      </c>
      <c r="AN526" s="600"/>
      <c r="AO526" s="601">
        <v>0</v>
      </c>
      <c r="AP526" s="600">
        <v>0</v>
      </c>
      <c r="AQ526" s="599">
        <v>0</v>
      </c>
      <c r="AR526" s="600"/>
      <c r="AS526" s="601">
        <v>0</v>
      </c>
      <c r="AT526" s="600"/>
      <c r="AU526" s="599"/>
      <c r="AV526" s="600"/>
      <c r="AW526" s="601"/>
      <c r="AX526" s="600"/>
      <c r="AY526" s="599"/>
      <c r="AZ526" s="600"/>
      <c r="BA526" s="601"/>
      <c r="BB526" s="602">
        <v>8762586</v>
      </c>
      <c r="BC526" s="599">
        <v>8584908</v>
      </c>
      <c r="BD526" s="600">
        <v>7622932.9999999991</v>
      </c>
      <c r="BE526" s="599">
        <v>7967644</v>
      </c>
      <c r="BF526" s="600">
        <v>4887599</v>
      </c>
      <c r="BG526" s="599">
        <v>5547076</v>
      </c>
      <c r="BH526" s="600">
        <v>3970281</v>
      </c>
      <c r="BI526" s="599">
        <v>4281827</v>
      </c>
      <c r="BJ526" s="600">
        <v>451193</v>
      </c>
      <c r="BK526" s="615">
        <v>0</v>
      </c>
      <c r="BL526" s="600">
        <v>0</v>
      </c>
      <c r="BM526" s="604"/>
      <c r="BN526" s="605">
        <f t="shared" si="629"/>
        <v>873</v>
      </c>
      <c r="BO526" s="606">
        <f t="shared" si="630"/>
        <v>864</v>
      </c>
      <c r="BP526" s="607">
        <f t="shared" si="631"/>
        <v>956</v>
      </c>
      <c r="BQ526" s="606">
        <f t="shared" si="632"/>
        <v>1002</v>
      </c>
      <c r="BR526" s="607">
        <f t="shared" si="633"/>
        <v>729</v>
      </c>
      <c r="BS526" s="606">
        <f t="shared" si="634"/>
        <v>828</v>
      </c>
      <c r="BT526" s="607">
        <f t="shared" si="635"/>
        <v>846</v>
      </c>
      <c r="BU526" s="606">
        <f t="shared" si="636"/>
        <v>909</v>
      </c>
      <c r="BV526" s="607">
        <f t="shared" si="637"/>
        <v>90</v>
      </c>
      <c r="BW526" s="608">
        <f t="shared" si="638"/>
        <v>0</v>
      </c>
      <c r="BX526" s="607">
        <f t="shared" si="639"/>
        <v>0</v>
      </c>
      <c r="BY526" s="608">
        <f t="shared" si="640"/>
        <v>0</v>
      </c>
      <c r="BZ526" s="607">
        <f t="shared" si="641"/>
        <v>10037.326460481099</v>
      </c>
      <c r="CA526" s="608">
        <f t="shared" si="642"/>
        <v>9936.2361111111113</v>
      </c>
      <c r="CB526" s="607">
        <f t="shared" si="643"/>
        <v>7973.7792887029282</v>
      </c>
      <c r="CC526" s="608">
        <f t="shared" si="644"/>
        <v>7951.7405189620758</v>
      </c>
      <c r="CD526" s="607">
        <f t="shared" si="645"/>
        <v>6704.5253772290807</v>
      </c>
      <c r="CE526" s="608">
        <f t="shared" si="646"/>
        <v>6699.3671497584537</v>
      </c>
      <c r="CF526" s="607">
        <f t="shared" si="647"/>
        <v>4693.0035460992904</v>
      </c>
      <c r="CG526" s="608">
        <f t="shared" si="648"/>
        <v>4710.4807480748077</v>
      </c>
      <c r="CH526" s="607">
        <f t="shared" si="649"/>
        <v>5013.2555555555555</v>
      </c>
      <c r="CI526" s="608">
        <f t="shared" si="650"/>
        <v>0</v>
      </c>
      <c r="CJ526" s="607">
        <f t="shared" si="651"/>
        <v>0</v>
      </c>
      <c r="CK526" s="608">
        <f t="shared" si="652"/>
        <v>0</v>
      </c>
      <c r="CL526" s="609">
        <f t="shared" si="653"/>
        <v>90335.938144329892</v>
      </c>
      <c r="CM526" s="608">
        <f t="shared" si="654"/>
        <v>89426.125</v>
      </c>
      <c r="CN526" s="610">
        <f t="shared" si="655"/>
        <v>71764.013598326361</v>
      </c>
      <c r="CO526" s="606">
        <f t="shared" si="656"/>
        <v>71565.664670658676</v>
      </c>
      <c r="CP526" s="607">
        <f t="shared" si="657"/>
        <v>60340.728395061727</v>
      </c>
      <c r="CQ526" s="606">
        <f t="shared" si="658"/>
        <v>60294.304347826081</v>
      </c>
      <c r="CR526" s="607">
        <f t="shared" si="659"/>
        <v>42237.031914893611</v>
      </c>
      <c r="CS526" s="606">
        <f t="shared" si="660"/>
        <v>42394.326732673268</v>
      </c>
      <c r="CT526" s="607">
        <f t="shared" si="661"/>
        <v>45119.3</v>
      </c>
      <c r="CU526" s="608">
        <f t="shared" si="662"/>
        <v>0</v>
      </c>
      <c r="CV526" s="610">
        <f t="shared" si="663"/>
        <v>0</v>
      </c>
      <c r="CW526" s="608">
        <f t="shared" si="664"/>
        <v>0</v>
      </c>
      <c r="CX526" s="610">
        <f t="shared" si="665"/>
        <v>66182.073302635559</v>
      </c>
      <c r="CY526" s="611">
        <f t="shared" si="666"/>
        <v>65893.999446107788</v>
      </c>
      <c r="CZ526" s="605">
        <f t="shared" si="667"/>
        <v>97</v>
      </c>
      <c r="DA526" s="612">
        <f t="shared" si="668"/>
        <v>96</v>
      </c>
      <c r="DB526" s="607">
        <f t="shared" si="669"/>
        <v>106</v>
      </c>
      <c r="DC526" s="606">
        <f t="shared" si="670"/>
        <v>111</v>
      </c>
      <c r="DD526" s="607">
        <f t="shared" si="671"/>
        <v>81</v>
      </c>
      <c r="DE526" s="606">
        <f t="shared" si="672"/>
        <v>92</v>
      </c>
      <c r="DF526" s="607">
        <f t="shared" si="673"/>
        <v>94</v>
      </c>
      <c r="DG526" s="606">
        <f t="shared" si="674"/>
        <v>101</v>
      </c>
      <c r="DH526" s="607">
        <f t="shared" si="675"/>
        <v>10</v>
      </c>
      <c r="DI526" s="608">
        <f t="shared" si="676"/>
        <v>0</v>
      </c>
      <c r="DJ526" s="607">
        <f t="shared" si="677"/>
        <v>0</v>
      </c>
      <c r="DK526" s="608">
        <f t="shared" si="678"/>
        <v>0</v>
      </c>
      <c r="DL526" s="607">
        <f t="shared" si="679"/>
        <v>388</v>
      </c>
      <c r="DM526" s="608">
        <f t="shared" si="680"/>
        <v>400</v>
      </c>
      <c r="DN526" s="607">
        <f t="shared" si="681"/>
        <v>8762586</v>
      </c>
      <c r="DO526" s="612">
        <f t="shared" si="682"/>
        <v>8584908</v>
      </c>
      <c r="DP526" s="607">
        <f t="shared" si="683"/>
        <v>7606985.4414225947</v>
      </c>
      <c r="DQ526" s="606">
        <f t="shared" si="684"/>
        <v>7943788.778443113</v>
      </c>
      <c r="DR526" s="607">
        <f t="shared" si="685"/>
        <v>4887599</v>
      </c>
      <c r="DS526" s="606">
        <f t="shared" si="686"/>
        <v>5547075.9999999991</v>
      </c>
      <c r="DT526" s="607">
        <f t="shared" si="687"/>
        <v>3970280.9999999995</v>
      </c>
      <c r="DU526" s="606">
        <f t="shared" si="688"/>
        <v>4281827</v>
      </c>
      <c r="DV526" s="607">
        <f t="shared" si="689"/>
        <v>451193</v>
      </c>
      <c r="DW526" s="608">
        <f t="shared" si="690"/>
        <v>0</v>
      </c>
      <c r="DX526" s="607">
        <f t="shared" si="691"/>
        <v>0</v>
      </c>
      <c r="DY526" s="608">
        <f t="shared" si="692"/>
        <v>0</v>
      </c>
      <c r="DZ526" s="607">
        <f t="shared" si="693"/>
        <v>25678644.441422597</v>
      </c>
      <c r="EA526" s="608">
        <f t="shared" si="694"/>
        <v>26357599.778443117</v>
      </c>
    </row>
    <row r="527" spans="1:131" x14ac:dyDescent="0.2">
      <c r="A527" s="353" t="s">
        <v>43</v>
      </c>
      <c r="B527" s="354" t="s">
        <v>451</v>
      </c>
      <c r="C527" s="566"/>
      <c r="D527" s="362">
        <v>226833</v>
      </c>
      <c r="E527" s="363">
        <v>3</v>
      </c>
      <c r="F527" s="598">
        <v>52</v>
      </c>
      <c r="G527" s="599">
        <v>46</v>
      </c>
      <c r="H527" s="600"/>
      <c r="I527" s="601">
        <v>0</v>
      </c>
      <c r="J527" s="600"/>
      <c r="K527" s="599">
        <v>0</v>
      </c>
      <c r="L527" s="600"/>
      <c r="M527" s="601">
        <v>0</v>
      </c>
      <c r="N527" s="600">
        <v>43</v>
      </c>
      <c r="O527" s="599">
        <v>54</v>
      </c>
      <c r="P527" s="600"/>
      <c r="Q527" s="601">
        <v>0</v>
      </c>
      <c r="R527" s="600"/>
      <c r="S527" s="599">
        <v>0</v>
      </c>
      <c r="T527" s="600"/>
      <c r="U527" s="601">
        <v>0</v>
      </c>
      <c r="V527" s="600">
        <v>77</v>
      </c>
      <c r="W527" s="599">
        <v>72</v>
      </c>
      <c r="X527" s="600"/>
      <c r="Y527" s="601">
        <v>0</v>
      </c>
      <c r="Z527" s="600"/>
      <c r="AA527" s="599">
        <v>0</v>
      </c>
      <c r="AB527" s="600"/>
      <c r="AC527" s="601">
        <v>0</v>
      </c>
      <c r="AD527" s="600">
        <v>17</v>
      </c>
      <c r="AE527" s="599">
        <v>19</v>
      </c>
      <c r="AF527" s="600"/>
      <c r="AG527" s="601">
        <v>0</v>
      </c>
      <c r="AH527" s="600"/>
      <c r="AI527" s="599">
        <v>0</v>
      </c>
      <c r="AJ527" s="600"/>
      <c r="AK527" s="601">
        <v>0</v>
      </c>
      <c r="AL527" s="600">
        <v>0</v>
      </c>
      <c r="AM527" s="599">
        <v>1</v>
      </c>
      <c r="AN527" s="600"/>
      <c r="AO527" s="601">
        <v>0</v>
      </c>
      <c r="AP527" s="600">
        <v>0</v>
      </c>
      <c r="AQ527" s="599">
        <v>0</v>
      </c>
      <c r="AR527" s="600"/>
      <c r="AS527" s="601">
        <v>0</v>
      </c>
      <c r="AT527" s="600"/>
      <c r="AU527" s="599"/>
      <c r="AV527" s="600"/>
      <c r="AW527" s="601"/>
      <c r="AX527" s="600"/>
      <c r="AY527" s="599"/>
      <c r="AZ527" s="600"/>
      <c r="BA527" s="601"/>
      <c r="BB527" s="602">
        <v>3952160</v>
      </c>
      <c r="BC527" s="599">
        <v>3686891</v>
      </c>
      <c r="BD527" s="600">
        <v>2881282</v>
      </c>
      <c r="BE527" s="599">
        <v>3596249</v>
      </c>
      <c r="BF527" s="600">
        <v>4401562</v>
      </c>
      <c r="BG527" s="599">
        <v>4082316</v>
      </c>
      <c r="BH527" s="600">
        <v>677020</v>
      </c>
      <c r="BI527" s="599">
        <v>833392</v>
      </c>
      <c r="BJ527" s="600">
        <v>0</v>
      </c>
      <c r="BK527" s="615">
        <v>75000</v>
      </c>
      <c r="BL527" s="600">
        <v>0</v>
      </c>
      <c r="BM527" s="604"/>
      <c r="BN527" s="605">
        <f t="shared" si="629"/>
        <v>468</v>
      </c>
      <c r="BO527" s="606">
        <f t="shared" si="630"/>
        <v>414</v>
      </c>
      <c r="BP527" s="607">
        <f t="shared" si="631"/>
        <v>387</v>
      </c>
      <c r="BQ527" s="606">
        <f t="shared" si="632"/>
        <v>486</v>
      </c>
      <c r="BR527" s="607">
        <f t="shared" si="633"/>
        <v>693</v>
      </c>
      <c r="BS527" s="606">
        <f t="shared" si="634"/>
        <v>648</v>
      </c>
      <c r="BT527" s="607">
        <f t="shared" si="635"/>
        <v>153</v>
      </c>
      <c r="BU527" s="606">
        <f t="shared" si="636"/>
        <v>171</v>
      </c>
      <c r="BV527" s="607">
        <f t="shared" si="637"/>
        <v>0</v>
      </c>
      <c r="BW527" s="608">
        <f t="shared" si="638"/>
        <v>9</v>
      </c>
      <c r="BX527" s="607">
        <f t="shared" si="639"/>
        <v>0</v>
      </c>
      <c r="BY527" s="608">
        <f t="shared" si="640"/>
        <v>0</v>
      </c>
      <c r="BZ527" s="607">
        <f t="shared" si="641"/>
        <v>8444.7863247863243</v>
      </c>
      <c r="CA527" s="608">
        <f t="shared" si="642"/>
        <v>8905.5338164251207</v>
      </c>
      <c r="CB527" s="607">
        <f t="shared" si="643"/>
        <v>7445.1731266149873</v>
      </c>
      <c r="CC527" s="608">
        <f t="shared" si="644"/>
        <v>7399.6893004115227</v>
      </c>
      <c r="CD527" s="607">
        <f t="shared" si="645"/>
        <v>6351.4603174603171</v>
      </c>
      <c r="CE527" s="608">
        <f t="shared" si="646"/>
        <v>6299.8703703703704</v>
      </c>
      <c r="CF527" s="607">
        <f t="shared" si="647"/>
        <v>4424.9673202614376</v>
      </c>
      <c r="CG527" s="608">
        <f t="shared" si="648"/>
        <v>4873.6374269005846</v>
      </c>
      <c r="CH527" s="607">
        <f t="shared" si="649"/>
        <v>0</v>
      </c>
      <c r="CI527" s="608">
        <f t="shared" si="650"/>
        <v>8333.3333333333339</v>
      </c>
      <c r="CJ527" s="607">
        <f t="shared" si="651"/>
        <v>0</v>
      </c>
      <c r="CK527" s="608">
        <f t="shared" si="652"/>
        <v>0</v>
      </c>
      <c r="CL527" s="609">
        <f t="shared" si="653"/>
        <v>76003.076923076922</v>
      </c>
      <c r="CM527" s="608">
        <f t="shared" si="654"/>
        <v>80149.804347826081</v>
      </c>
      <c r="CN527" s="610">
        <f t="shared" si="655"/>
        <v>67006.558139534885</v>
      </c>
      <c r="CO527" s="606">
        <f t="shared" si="656"/>
        <v>66597.203703703708</v>
      </c>
      <c r="CP527" s="607">
        <f t="shared" si="657"/>
        <v>57163.142857142855</v>
      </c>
      <c r="CQ527" s="606">
        <f t="shared" si="658"/>
        <v>56698.833333333336</v>
      </c>
      <c r="CR527" s="607">
        <f t="shared" si="659"/>
        <v>39824.705882352937</v>
      </c>
      <c r="CS527" s="606">
        <f t="shared" si="660"/>
        <v>43862.73684210526</v>
      </c>
      <c r="CT527" s="607">
        <f t="shared" si="661"/>
        <v>0</v>
      </c>
      <c r="CU527" s="608">
        <f t="shared" si="662"/>
        <v>75000</v>
      </c>
      <c r="CV527" s="610">
        <f t="shared" si="663"/>
        <v>0</v>
      </c>
      <c r="CW527" s="608">
        <f t="shared" si="664"/>
        <v>0</v>
      </c>
      <c r="CX527" s="610">
        <f t="shared" si="665"/>
        <v>63026.582010582009</v>
      </c>
      <c r="CY527" s="611">
        <f t="shared" si="666"/>
        <v>63926.291666666664</v>
      </c>
      <c r="CZ527" s="605">
        <f t="shared" si="667"/>
        <v>52</v>
      </c>
      <c r="DA527" s="612">
        <f t="shared" si="668"/>
        <v>46</v>
      </c>
      <c r="DB527" s="607">
        <f t="shared" si="669"/>
        <v>43</v>
      </c>
      <c r="DC527" s="606">
        <f t="shared" si="670"/>
        <v>54</v>
      </c>
      <c r="DD527" s="607">
        <f t="shared" si="671"/>
        <v>77</v>
      </c>
      <c r="DE527" s="606">
        <f t="shared" si="672"/>
        <v>72</v>
      </c>
      <c r="DF527" s="607">
        <f t="shared" si="673"/>
        <v>17</v>
      </c>
      <c r="DG527" s="606">
        <f t="shared" si="674"/>
        <v>19</v>
      </c>
      <c r="DH527" s="607">
        <f t="shared" si="675"/>
        <v>0</v>
      </c>
      <c r="DI527" s="608">
        <f t="shared" si="676"/>
        <v>1</v>
      </c>
      <c r="DJ527" s="607">
        <f t="shared" si="677"/>
        <v>0</v>
      </c>
      <c r="DK527" s="608">
        <f t="shared" si="678"/>
        <v>0</v>
      </c>
      <c r="DL527" s="607">
        <f t="shared" si="679"/>
        <v>189</v>
      </c>
      <c r="DM527" s="608">
        <f t="shared" si="680"/>
        <v>192</v>
      </c>
      <c r="DN527" s="607">
        <f t="shared" si="681"/>
        <v>3952160</v>
      </c>
      <c r="DO527" s="612">
        <f t="shared" si="682"/>
        <v>3686890.9999999995</v>
      </c>
      <c r="DP527" s="607">
        <f t="shared" si="683"/>
        <v>2881282</v>
      </c>
      <c r="DQ527" s="606">
        <f t="shared" si="684"/>
        <v>3596249</v>
      </c>
      <c r="DR527" s="607">
        <f t="shared" si="685"/>
        <v>4401562</v>
      </c>
      <c r="DS527" s="606">
        <f t="shared" si="686"/>
        <v>4082316</v>
      </c>
      <c r="DT527" s="607">
        <f t="shared" si="687"/>
        <v>677019.99999999988</v>
      </c>
      <c r="DU527" s="606">
        <f t="shared" si="688"/>
        <v>833391.99999999988</v>
      </c>
      <c r="DV527" s="607">
        <f t="shared" si="689"/>
        <v>0</v>
      </c>
      <c r="DW527" s="608">
        <f t="shared" si="690"/>
        <v>75000</v>
      </c>
      <c r="DX527" s="607">
        <f t="shared" si="691"/>
        <v>0</v>
      </c>
      <c r="DY527" s="608">
        <f t="shared" si="692"/>
        <v>0</v>
      </c>
      <c r="DZ527" s="607">
        <f t="shared" si="693"/>
        <v>11912024</v>
      </c>
      <c r="EA527" s="608">
        <f t="shared" si="694"/>
        <v>12273848</v>
      </c>
    </row>
    <row r="528" spans="1:131" x14ac:dyDescent="0.2">
      <c r="A528" s="353" t="s">
        <v>43</v>
      </c>
      <c r="B528" s="354" t="s">
        <v>452</v>
      </c>
      <c r="C528" s="566"/>
      <c r="D528" s="362">
        <v>227526</v>
      </c>
      <c r="E528" s="363">
        <v>3</v>
      </c>
      <c r="F528" s="598">
        <v>43</v>
      </c>
      <c r="G528" s="599">
        <v>38</v>
      </c>
      <c r="H528" s="600"/>
      <c r="I528" s="601">
        <v>0</v>
      </c>
      <c r="J528" s="600">
        <v>19</v>
      </c>
      <c r="K528" s="599">
        <v>0</v>
      </c>
      <c r="L528" s="600"/>
      <c r="M528" s="601">
        <v>20</v>
      </c>
      <c r="N528" s="600">
        <v>73</v>
      </c>
      <c r="O528" s="599">
        <v>77</v>
      </c>
      <c r="P528" s="600"/>
      <c r="Q528" s="601">
        <v>0</v>
      </c>
      <c r="R528" s="600">
        <v>18</v>
      </c>
      <c r="S528" s="599">
        <v>0</v>
      </c>
      <c r="T528" s="600"/>
      <c r="U528" s="601">
        <v>17</v>
      </c>
      <c r="V528" s="600">
        <v>52</v>
      </c>
      <c r="W528" s="599">
        <v>51</v>
      </c>
      <c r="X528" s="600"/>
      <c r="Y528" s="601">
        <v>0</v>
      </c>
      <c r="Z528" s="600">
        <v>3</v>
      </c>
      <c r="AA528" s="599">
        <v>0</v>
      </c>
      <c r="AB528" s="600"/>
      <c r="AC528" s="601">
        <v>5</v>
      </c>
      <c r="AD528" s="600">
        <v>2</v>
      </c>
      <c r="AE528" s="599">
        <v>2</v>
      </c>
      <c r="AF528" s="600"/>
      <c r="AG528" s="601">
        <v>0</v>
      </c>
      <c r="AH528" s="600"/>
      <c r="AI528" s="599">
        <v>0</v>
      </c>
      <c r="AJ528" s="600"/>
      <c r="AK528" s="601">
        <v>0</v>
      </c>
      <c r="AL528" s="600">
        <v>107</v>
      </c>
      <c r="AM528" s="599">
        <v>131</v>
      </c>
      <c r="AN528" s="600"/>
      <c r="AO528" s="601">
        <v>0</v>
      </c>
      <c r="AP528" s="600">
        <v>13</v>
      </c>
      <c r="AQ528" s="599">
        <v>0</v>
      </c>
      <c r="AR528" s="600"/>
      <c r="AS528" s="601">
        <v>32</v>
      </c>
      <c r="AT528" s="600"/>
      <c r="AU528" s="599"/>
      <c r="AV528" s="600"/>
      <c r="AW528" s="601"/>
      <c r="AX528" s="600"/>
      <c r="AY528" s="599"/>
      <c r="AZ528" s="600"/>
      <c r="BA528" s="601"/>
      <c r="BB528" s="602">
        <v>5834269</v>
      </c>
      <c r="BC528" s="599">
        <v>5875410</v>
      </c>
      <c r="BD528" s="600">
        <v>6732676.0000000009</v>
      </c>
      <c r="BE528" s="599">
        <v>6897192</v>
      </c>
      <c r="BF528" s="600">
        <v>3331505</v>
      </c>
      <c r="BG528" s="599">
        <v>3505325</v>
      </c>
      <c r="BH528" s="600">
        <v>99236</v>
      </c>
      <c r="BI528" s="599">
        <v>101665</v>
      </c>
      <c r="BJ528" s="600">
        <v>5634452</v>
      </c>
      <c r="BK528" s="615">
        <v>8535812</v>
      </c>
      <c r="BL528" s="600">
        <v>0</v>
      </c>
      <c r="BM528" s="604"/>
      <c r="BN528" s="605">
        <f t="shared" si="629"/>
        <v>596</v>
      </c>
      <c r="BO528" s="606">
        <f t="shared" si="630"/>
        <v>582</v>
      </c>
      <c r="BP528" s="607">
        <f t="shared" si="631"/>
        <v>855</v>
      </c>
      <c r="BQ528" s="606">
        <f t="shared" si="632"/>
        <v>897</v>
      </c>
      <c r="BR528" s="607">
        <f t="shared" si="633"/>
        <v>501</v>
      </c>
      <c r="BS528" s="606">
        <f t="shared" si="634"/>
        <v>519</v>
      </c>
      <c r="BT528" s="607">
        <f t="shared" si="635"/>
        <v>18</v>
      </c>
      <c r="BU528" s="606">
        <f t="shared" si="636"/>
        <v>18</v>
      </c>
      <c r="BV528" s="607">
        <f t="shared" si="637"/>
        <v>1106</v>
      </c>
      <c r="BW528" s="608">
        <f t="shared" si="638"/>
        <v>1563</v>
      </c>
      <c r="BX528" s="607">
        <f t="shared" si="639"/>
        <v>0</v>
      </c>
      <c r="BY528" s="608">
        <f t="shared" si="640"/>
        <v>0</v>
      </c>
      <c r="BZ528" s="607">
        <f t="shared" si="641"/>
        <v>9789.0419463087255</v>
      </c>
      <c r="CA528" s="608">
        <f t="shared" si="642"/>
        <v>10095.206185567011</v>
      </c>
      <c r="CB528" s="607">
        <f t="shared" si="643"/>
        <v>7874.4748538011709</v>
      </c>
      <c r="CC528" s="608">
        <f t="shared" si="644"/>
        <v>7689.1772575250834</v>
      </c>
      <c r="CD528" s="607">
        <f t="shared" si="645"/>
        <v>6649.710578842315</v>
      </c>
      <c r="CE528" s="608">
        <f t="shared" si="646"/>
        <v>6753.9980732177264</v>
      </c>
      <c r="CF528" s="607">
        <f t="shared" si="647"/>
        <v>5513.1111111111113</v>
      </c>
      <c r="CG528" s="608">
        <f t="shared" si="648"/>
        <v>5648.0555555555557</v>
      </c>
      <c r="CH528" s="607">
        <f t="shared" si="649"/>
        <v>5094.4412296564196</v>
      </c>
      <c r="CI528" s="608">
        <f t="shared" si="650"/>
        <v>5461.1721049264233</v>
      </c>
      <c r="CJ528" s="607">
        <f t="shared" si="651"/>
        <v>0</v>
      </c>
      <c r="CK528" s="608">
        <f t="shared" si="652"/>
        <v>0</v>
      </c>
      <c r="CL528" s="609">
        <f t="shared" si="653"/>
        <v>88101.377516778535</v>
      </c>
      <c r="CM528" s="608">
        <f t="shared" si="654"/>
        <v>90856.855670103105</v>
      </c>
      <c r="CN528" s="610">
        <f t="shared" si="655"/>
        <v>70870.273684210537</v>
      </c>
      <c r="CO528" s="606">
        <f t="shared" si="656"/>
        <v>69202.595317725747</v>
      </c>
      <c r="CP528" s="607">
        <f t="shared" si="657"/>
        <v>59847.395209580834</v>
      </c>
      <c r="CQ528" s="606">
        <f t="shared" si="658"/>
        <v>60785.98265895954</v>
      </c>
      <c r="CR528" s="607">
        <f t="shared" si="659"/>
        <v>49618</v>
      </c>
      <c r="CS528" s="606">
        <f t="shared" si="660"/>
        <v>50832.5</v>
      </c>
      <c r="CT528" s="607">
        <f t="shared" si="661"/>
        <v>45849.971066907776</v>
      </c>
      <c r="CU528" s="608">
        <f t="shared" si="662"/>
        <v>49150.54894433781</v>
      </c>
      <c r="CV528" s="610">
        <f t="shared" si="663"/>
        <v>0</v>
      </c>
      <c r="CW528" s="608">
        <f t="shared" si="664"/>
        <v>0</v>
      </c>
      <c r="CX528" s="610">
        <f t="shared" si="665"/>
        <v>63043.392654119118</v>
      </c>
      <c r="CY528" s="611">
        <f t="shared" si="666"/>
        <v>62444.935913032168</v>
      </c>
      <c r="CZ528" s="605">
        <f t="shared" si="667"/>
        <v>62</v>
      </c>
      <c r="DA528" s="612">
        <f t="shared" si="668"/>
        <v>58</v>
      </c>
      <c r="DB528" s="607">
        <f t="shared" si="669"/>
        <v>91</v>
      </c>
      <c r="DC528" s="606">
        <f t="shared" si="670"/>
        <v>94</v>
      </c>
      <c r="DD528" s="607">
        <f t="shared" si="671"/>
        <v>55</v>
      </c>
      <c r="DE528" s="606">
        <f t="shared" si="672"/>
        <v>56</v>
      </c>
      <c r="DF528" s="607">
        <f t="shared" si="673"/>
        <v>2</v>
      </c>
      <c r="DG528" s="606">
        <f t="shared" si="674"/>
        <v>2</v>
      </c>
      <c r="DH528" s="607">
        <f t="shared" si="675"/>
        <v>120</v>
      </c>
      <c r="DI528" s="608">
        <f t="shared" si="676"/>
        <v>163</v>
      </c>
      <c r="DJ528" s="607">
        <f t="shared" si="677"/>
        <v>0</v>
      </c>
      <c r="DK528" s="608">
        <f t="shared" si="678"/>
        <v>0</v>
      </c>
      <c r="DL528" s="607">
        <f t="shared" si="679"/>
        <v>330</v>
      </c>
      <c r="DM528" s="608">
        <f t="shared" si="680"/>
        <v>373</v>
      </c>
      <c r="DN528" s="607">
        <f t="shared" si="681"/>
        <v>5462285.406040269</v>
      </c>
      <c r="DO528" s="612">
        <f t="shared" si="682"/>
        <v>5269697.6288659796</v>
      </c>
      <c r="DP528" s="607">
        <f t="shared" si="683"/>
        <v>6449194.9052631585</v>
      </c>
      <c r="DQ528" s="606">
        <f t="shared" si="684"/>
        <v>6505043.9598662201</v>
      </c>
      <c r="DR528" s="607">
        <f t="shared" si="685"/>
        <v>3291606.7365269461</v>
      </c>
      <c r="DS528" s="606">
        <f t="shared" si="686"/>
        <v>3404015.0289017344</v>
      </c>
      <c r="DT528" s="607">
        <f t="shared" si="687"/>
        <v>99236</v>
      </c>
      <c r="DU528" s="606">
        <f t="shared" si="688"/>
        <v>101665</v>
      </c>
      <c r="DV528" s="607">
        <f t="shared" si="689"/>
        <v>5501996.5280289333</v>
      </c>
      <c r="DW528" s="608">
        <f t="shared" si="690"/>
        <v>8011539.4779270627</v>
      </c>
      <c r="DX528" s="607">
        <f t="shared" si="691"/>
        <v>0</v>
      </c>
      <c r="DY528" s="608">
        <f t="shared" si="692"/>
        <v>0</v>
      </c>
      <c r="DZ528" s="607">
        <f t="shared" si="693"/>
        <v>20804319.575859308</v>
      </c>
      <c r="EA528" s="608">
        <f t="shared" si="694"/>
        <v>23291961.095560998</v>
      </c>
    </row>
    <row r="529" spans="1:131" x14ac:dyDescent="0.2">
      <c r="A529" s="353" t="s">
        <v>43</v>
      </c>
      <c r="B529" s="354" t="s">
        <v>453</v>
      </c>
      <c r="C529" s="566"/>
      <c r="D529" s="362">
        <v>227881</v>
      </c>
      <c r="E529" s="363">
        <v>3</v>
      </c>
      <c r="F529" s="598">
        <v>138</v>
      </c>
      <c r="G529" s="599">
        <v>148</v>
      </c>
      <c r="H529" s="600"/>
      <c r="I529" s="601">
        <v>0</v>
      </c>
      <c r="J529" s="600"/>
      <c r="K529" s="599">
        <v>0</v>
      </c>
      <c r="L529" s="600"/>
      <c r="M529" s="601">
        <v>0</v>
      </c>
      <c r="N529" s="600">
        <v>152</v>
      </c>
      <c r="O529" s="599">
        <v>163</v>
      </c>
      <c r="P529" s="600"/>
      <c r="Q529" s="601">
        <v>0</v>
      </c>
      <c r="R529" s="600"/>
      <c r="S529" s="599">
        <v>0</v>
      </c>
      <c r="T529" s="600"/>
      <c r="U529" s="601">
        <v>0</v>
      </c>
      <c r="V529" s="600">
        <v>172</v>
      </c>
      <c r="W529" s="599">
        <v>190</v>
      </c>
      <c r="X529" s="600"/>
      <c r="Y529" s="601">
        <v>0</v>
      </c>
      <c r="Z529" s="600"/>
      <c r="AA529" s="599">
        <v>0</v>
      </c>
      <c r="AB529" s="600"/>
      <c r="AC529" s="601">
        <v>0</v>
      </c>
      <c r="AD529" s="600">
        <v>1</v>
      </c>
      <c r="AE529" s="599">
        <v>1</v>
      </c>
      <c r="AF529" s="600"/>
      <c r="AG529" s="601">
        <v>0</v>
      </c>
      <c r="AH529" s="600"/>
      <c r="AI529" s="599">
        <v>0</v>
      </c>
      <c r="AJ529" s="600"/>
      <c r="AK529" s="601">
        <v>0</v>
      </c>
      <c r="AL529" s="600">
        <v>35</v>
      </c>
      <c r="AM529" s="599">
        <v>130</v>
      </c>
      <c r="AN529" s="600"/>
      <c r="AO529" s="601">
        <v>0</v>
      </c>
      <c r="AP529" s="600">
        <v>0</v>
      </c>
      <c r="AQ529" s="599">
        <v>0</v>
      </c>
      <c r="AR529" s="600"/>
      <c r="AS529" s="601">
        <v>0</v>
      </c>
      <c r="AT529" s="600"/>
      <c r="AU529" s="599"/>
      <c r="AV529" s="600"/>
      <c r="AW529" s="601"/>
      <c r="AX529" s="600"/>
      <c r="AY529" s="599"/>
      <c r="AZ529" s="600"/>
      <c r="BA529" s="601"/>
      <c r="BB529" s="602">
        <v>12042927</v>
      </c>
      <c r="BC529" s="599">
        <v>13385196</v>
      </c>
      <c r="BD529" s="600">
        <v>10488879</v>
      </c>
      <c r="BE529" s="599">
        <v>11486979</v>
      </c>
      <c r="BF529" s="600">
        <v>10286100</v>
      </c>
      <c r="BG529" s="599">
        <v>11366271</v>
      </c>
      <c r="BH529" s="600">
        <v>54720</v>
      </c>
      <c r="BI529" s="599">
        <v>56736</v>
      </c>
      <c r="BJ529" s="600">
        <v>1696482</v>
      </c>
      <c r="BK529" s="615">
        <v>2991555</v>
      </c>
      <c r="BL529" s="600">
        <v>0</v>
      </c>
      <c r="BM529" s="604"/>
      <c r="BN529" s="605">
        <f t="shared" si="629"/>
        <v>1242</v>
      </c>
      <c r="BO529" s="606">
        <f t="shared" si="630"/>
        <v>1332</v>
      </c>
      <c r="BP529" s="607">
        <f t="shared" si="631"/>
        <v>1368</v>
      </c>
      <c r="BQ529" s="606">
        <f t="shared" si="632"/>
        <v>1467</v>
      </c>
      <c r="BR529" s="607">
        <f t="shared" si="633"/>
        <v>1548</v>
      </c>
      <c r="BS529" s="606">
        <f t="shared" si="634"/>
        <v>1710</v>
      </c>
      <c r="BT529" s="607">
        <f t="shared" si="635"/>
        <v>9</v>
      </c>
      <c r="BU529" s="606">
        <f t="shared" si="636"/>
        <v>9</v>
      </c>
      <c r="BV529" s="607">
        <f t="shared" si="637"/>
        <v>315</v>
      </c>
      <c r="BW529" s="608">
        <f t="shared" si="638"/>
        <v>1170</v>
      </c>
      <c r="BX529" s="607">
        <f t="shared" si="639"/>
        <v>0</v>
      </c>
      <c r="BY529" s="608">
        <f t="shared" si="640"/>
        <v>0</v>
      </c>
      <c r="BZ529" s="607">
        <f t="shared" si="641"/>
        <v>9696.398550724638</v>
      </c>
      <c r="CA529" s="608">
        <f t="shared" si="642"/>
        <v>10048.945945945947</v>
      </c>
      <c r="CB529" s="607">
        <f t="shared" si="643"/>
        <v>7667.3092105263158</v>
      </c>
      <c r="CC529" s="608">
        <f t="shared" si="644"/>
        <v>7830.251533742331</v>
      </c>
      <c r="CD529" s="607">
        <f t="shared" si="645"/>
        <v>6644.7674418604647</v>
      </c>
      <c r="CE529" s="608">
        <f t="shared" si="646"/>
        <v>6646.9421052631578</v>
      </c>
      <c r="CF529" s="607">
        <f t="shared" si="647"/>
        <v>6080</v>
      </c>
      <c r="CG529" s="608">
        <f t="shared" si="648"/>
        <v>6304</v>
      </c>
      <c r="CH529" s="607">
        <f t="shared" si="649"/>
        <v>5385.6571428571433</v>
      </c>
      <c r="CI529" s="608">
        <f t="shared" si="650"/>
        <v>2556.8846153846152</v>
      </c>
      <c r="CJ529" s="607">
        <f t="shared" si="651"/>
        <v>0</v>
      </c>
      <c r="CK529" s="608">
        <f t="shared" si="652"/>
        <v>0</v>
      </c>
      <c r="CL529" s="609">
        <f t="shared" si="653"/>
        <v>87267.586956521744</v>
      </c>
      <c r="CM529" s="608">
        <f t="shared" si="654"/>
        <v>90440.513513513521</v>
      </c>
      <c r="CN529" s="610">
        <f t="shared" si="655"/>
        <v>69005.78289473684</v>
      </c>
      <c r="CO529" s="606">
        <f t="shared" si="656"/>
        <v>70472.26380368098</v>
      </c>
      <c r="CP529" s="607">
        <f t="shared" si="657"/>
        <v>59802.906976744183</v>
      </c>
      <c r="CQ529" s="606">
        <f t="shared" si="658"/>
        <v>59822.478947368421</v>
      </c>
      <c r="CR529" s="607">
        <f t="shared" si="659"/>
        <v>54720</v>
      </c>
      <c r="CS529" s="606">
        <f t="shared" si="660"/>
        <v>56736</v>
      </c>
      <c r="CT529" s="607">
        <f t="shared" si="661"/>
        <v>48470.914285714287</v>
      </c>
      <c r="CU529" s="608">
        <f t="shared" si="662"/>
        <v>23011.961538461539</v>
      </c>
      <c r="CV529" s="610">
        <f t="shared" si="663"/>
        <v>0</v>
      </c>
      <c r="CW529" s="608">
        <f t="shared" si="664"/>
        <v>0</v>
      </c>
      <c r="CX529" s="610">
        <f t="shared" si="665"/>
        <v>69415.879518072295</v>
      </c>
      <c r="CY529" s="611">
        <f t="shared" si="666"/>
        <v>62162.5585443038</v>
      </c>
      <c r="CZ529" s="605">
        <f t="shared" si="667"/>
        <v>138</v>
      </c>
      <c r="DA529" s="612">
        <f t="shared" si="668"/>
        <v>148</v>
      </c>
      <c r="DB529" s="607">
        <f t="shared" si="669"/>
        <v>152</v>
      </c>
      <c r="DC529" s="606">
        <f t="shared" si="670"/>
        <v>163</v>
      </c>
      <c r="DD529" s="607">
        <f t="shared" si="671"/>
        <v>172</v>
      </c>
      <c r="DE529" s="606">
        <f t="shared" si="672"/>
        <v>190</v>
      </c>
      <c r="DF529" s="607">
        <f t="shared" si="673"/>
        <v>1</v>
      </c>
      <c r="DG529" s="606">
        <f t="shared" si="674"/>
        <v>1</v>
      </c>
      <c r="DH529" s="607">
        <f t="shared" si="675"/>
        <v>35</v>
      </c>
      <c r="DI529" s="608">
        <f t="shared" si="676"/>
        <v>130</v>
      </c>
      <c r="DJ529" s="607">
        <f t="shared" si="677"/>
        <v>0</v>
      </c>
      <c r="DK529" s="608">
        <f t="shared" si="678"/>
        <v>0</v>
      </c>
      <c r="DL529" s="607">
        <f t="shared" si="679"/>
        <v>498</v>
      </c>
      <c r="DM529" s="608">
        <f t="shared" si="680"/>
        <v>632</v>
      </c>
      <c r="DN529" s="607">
        <f t="shared" si="681"/>
        <v>12042927</v>
      </c>
      <c r="DO529" s="612">
        <f t="shared" si="682"/>
        <v>13385196.000000002</v>
      </c>
      <c r="DP529" s="607">
        <f t="shared" si="683"/>
        <v>10488879</v>
      </c>
      <c r="DQ529" s="606">
        <f t="shared" si="684"/>
        <v>11486979</v>
      </c>
      <c r="DR529" s="607">
        <f t="shared" si="685"/>
        <v>10286100</v>
      </c>
      <c r="DS529" s="606">
        <f t="shared" si="686"/>
        <v>11366271</v>
      </c>
      <c r="DT529" s="607">
        <f t="shared" si="687"/>
        <v>54720</v>
      </c>
      <c r="DU529" s="606">
        <f t="shared" si="688"/>
        <v>56736</v>
      </c>
      <c r="DV529" s="607">
        <f t="shared" si="689"/>
        <v>1696482</v>
      </c>
      <c r="DW529" s="608">
        <f t="shared" si="690"/>
        <v>2991555</v>
      </c>
      <c r="DX529" s="607">
        <f t="shared" si="691"/>
        <v>0</v>
      </c>
      <c r="DY529" s="608">
        <f t="shared" si="692"/>
        <v>0</v>
      </c>
      <c r="DZ529" s="607">
        <f t="shared" si="693"/>
        <v>34569108</v>
      </c>
      <c r="EA529" s="608">
        <f t="shared" si="694"/>
        <v>39286737</v>
      </c>
    </row>
    <row r="530" spans="1:131" x14ac:dyDescent="0.2">
      <c r="A530" s="353" t="s">
        <v>43</v>
      </c>
      <c r="B530" s="354" t="s">
        <v>454</v>
      </c>
      <c r="C530" s="566"/>
      <c r="D530" s="362">
        <v>228431</v>
      </c>
      <c r="E530" s="363">
        <v>3</v>
      </c>
      <c r="F530" s="598">
        <v>91</v>
      </c>
      <c r="G530" s="599">
        <v>90</v>
      </c>
      <c r="H530" s="600"/>
      <c r="I530" s="601">
        <v>0</v>
      </c>
      <c r="J530" s="600">
        <v>12</v>
      </c>
      <c r="K530" s="599">
        <v>9</v>
      </c>
      <c r="L530" s="600"/>
      <c r="M530" s="601">
        <v>15</v>
      </c>
      <c r="N530" s="600">
        <v>99</v>
      </c>
      <c r="O530" s="599">
        <v>107</v>
      </c>
      <c r="P530" s="600"/>
      <c r="Q530" s="601">
        <v>0</v>
      </c>
      <c r="R530" s="600">
        <v>2</v>
      </c>
      <c r="S530" s="599">
        <v>4</v>
      </c>
      <c r="T530" s="600"/>
      <c r="U530" s="601">
        <v>4</v>
      </c>
      <c r="V530" s="600">
        <v>112</v>
      </c>
      <c r="W530" s="599">
        <v>120</v>
      </c>
      <c r="X530" s="600"/>
      <c r="Y530" s="601">
        <v>0</v>
      </c>
      <c r="Z530" s="600"/>
      <c r="AA530" s="599">
        <v>1</v>
      </c>
      <c r="AB530" s="600"/>
      <c r="AC530" s="601">
        <v>1</v>
      </c>
      <c r="AD530" s="600">
        <v>24</v>
      </c>
      <c r="AE530" s="599">
        <v>47</v>
      </c>
      <c r="AF530" s="600"/>
      <c r="AG530" s="601">
        <v>0</v>
      </c>
      <c r="AH530" s="600">
        <v>1</v>
      </c>
      <c r="AI530" s="599">
        <v>1</v>
      </c>
      <c r="AJ530" s="600"/>
      <c r="AK530" s="601">
        <v>1</v>
      </c>
      <c r="AL530" s="600">
        <v>138</v>
      </c>
      <c r="AM530" s="599">
        <v>52</v>
      </c>
      <c r="AN530" s="600"/>
      <c r="AO530" s="601">
        <v>0</v>
      </c>
      <c r="AP530" s="600">
        <v>11</v>
      </c>
      <c r="AQ530" s="599">
        <v>0</v>
      </c>
      <c r="AR530" s="600"/>
      <c r="AS530" s="601">
        <v>2</v>
      </c>
      <c r="AT530" s="600"/>
      <c r="AU530" s="599"/>
      <c r="AV530" s="600"/>
      <c r="AW530" s="601"/>
      <c r="AX530" s="600"/>
      <c r="AY530" s="599"/>
      <c r="AZ530" s="600"/>
      <c r="BA530" s="601"/>
      <c r="BB530" s="602">
        <v>8677645</v>
      </c>
      <c r="BC530" s="599">
        <v>9714065</v>
      </c>
      <c r="BD530" s="600">
        <v>6411957</v>
      </c>
      <c r="BE530" s="599">
        <v>7388030</v>
      </c>
      <c r="BF530" s="600">
        <v>6017958</v>
      </c>
      <c r="BG530" s="599">
        <v>6677351</v>
      </c>
      <c r="BH530" s="600">
        <v>1224736</v>
      </c>
      <c r="BI530" s="599">
        <v>2633385</v>
      </c>
      <c r="BJ530" s="600">
        <v>6697769</v>
      </c>
      <c r="BK530" s="615">
        <v>2341402</v>
      </c>
      <c r="BL530" s="600">
        <v>0</v>
      </c>
      <c r="BM530" s="604"/>
      <c r="BN530" s="605">
        <f t="shared" si="629"/>
        <v>951</v>
      </c>
      <c r="BO530" s="606">
        <f t="shared" si="630"/>
        <v>1089</v>
      </c>
      <c r="BP530" s="607">
        <f t="shared" si="631"/>
        <v>913</v>
      </c>
      <c r="BQ530" s="606">
        <f t="shared" si="632"/>
        <v>1055</v>
      </c>
      <c r="BR530" s="607">
        <f t="shared" si="633"/>
        <v>1008</v>
      </c>
      <c r="BS530" s="606">
        <f t="shared" si="634"/>
        <v>1103</v>
      </c>
      <c r="BT530" s="607">
        <f t="shared" si="635"/>
        <v>227</v>
      </c>
      <c r="BU530" s="606">
        <f t="shared" si="636"/>
        <v>446</v>
      </c>
      <c r="BV530" s="607">
        <f t="shared" si="637"/>
        <v>1363</v>
      </c>
      <c r="BW530" s="608">
        <f t="shared" si="638"/>
        <v>492</v>
      </c>
      <c r="BX530" s="607">
        <f t="shared" si="639"/>
        <v>0</v>
      </c>
      <c r="BY530" s="608">
        <f t="shared" si="640"/>
        <v>0</v>
      </c>
      <c r="BZ530" s="607">
        <f t="shared" si="641"/>
        <v>9124.7581493165089</v>
      </c>
      <c r="CA530" s="608">
        <f t="shared" si="642"/>
        <v>8920.1698806244258</v>
      </c>
      <c r="CB530" s="607">
        <f t="shared" si="643"/>
        <v>7022.9539978094199</v>
      </c>
      <c r="CC530" s="608">
        <f t="shared" si="644"/>
        <v>7002.8720379146916</v>
      </c>
      <c r="CD530" s="607">
        <f t="shared" si="645"/>
        <v>5970.1964285714284</v>
      </c>
      <c r="CE530" s="608">
        <f t="shared" si="646"/>
        <v>6053.8087035358112</v>
      </c>
      <c r="CF530" s="607">
        <f t="shared" si="647"/>
        <v>5395.3127753303961</v>
      </c>
      <c r="CG530" s="608">
        <f t="shared" si="648"/>
        <v>5904.4506726457403</v>
      </c>
      <c r="CH530" s="607">
        <f t="shared" si="649"/>
        <v>4913.990462215701</v>
      </c>
      <c r="CI530" s="608">
        <f t="shared" si="650"/>
        <v>4758.9471544715443</v>
      </c>
      <c r="CJ530" s="607">
        <f t="shared" si="651"/>
        <v>0</v>
      </c>
      <c r="CK530" s="608">
        <f t="shared" si="652"/>
        <v>0</v>
      </c>
      <c r="CL530" s="609">
        <f t="shared" si="653"/>
        <v>82122.823343848577</v>
      </c>
      <c r="CM530" s="608">
        <f t="shared" si="654"/>
        <v>80281.52892561983</v>
      </c>
      <c r="CN530" s="610">
        <f t="shared" si="655"/>
        <v>63206.585980284777</v>
      </c>
      <c r="CO530" s="606">
        <f t="shared" si="656"/>
        <v>63025.848341232224</v>
      </c>
      <c r="CP530" s="607">
        <f t="shared" si="657"/>
        <v>53731.767857142855</v>
      </c>
      <c r="CQ530" s="606">
        <f t="shared" si="658"/>
        <v>54484.278331822301</v>
      </c>
      <c r="CR530" s="607">
        <f t="shared" si="659"/>
        <v>48557.814977973569</v>
      </c>
      <c r="CS530" s="606">
        <f t="shared" si="660"/>
        <v>53140.056053811662</v>
      </c>
      <c r="CT530" s="607">
        <f t="shared" si="661"/>
        <v>44225.914159941312</v>
      </c>
      <c r="CU530" s="608">
        <f t="shared" si="662"/>
        <v>42830.524390243896</v>
      </c>
      <c r="CV530" s="610">
        <f t="shared" si="663"/>
        <v>0</v>
      </c>
      <c r="CW530" s="608">
        <f t="shared" si="664"/>
        <v>0</v>
      </c>
      <c r="CX530" s="610">
        <f t="shared" si="665"/>
        <v>58498.123617766862</v>
      </c>
      <c r="CY530" s="611">
        <f t="shared" si="666"/>
        <v>61594.40501531856</v>
      </c>
      <c r="CZ530" s="605">
        <f t="shared" si="667"/>
        <v>103</v>
      </c>
      <c r="DA530" s="612">
        <f t="shared" si="668"/>
        <v>114</v>
      </c>
      <c r="DB530" s="607">
        <f t="shared" si="669"/>
        <v>101</v>
      </c>
      <c r="DC530" s="606">
        <f t="shared" si="670"/>
        <v>115</v>
      </c>
      <c r="DD530" s="607">
        <f t="shared" si="671"/>
        <v>112</v>
      </c>
      <c r="DE530" s="606">
        <f t="shared" si="672"/>
        <v>122</v>
      </c>
      <c r="DF530" s="607">
        <f t="shared" si="673"/>
        <v>25</v>
      </c>
      <c r="DG530" s="606">
        <f t="shared" si="674"/>
        <v>49</v>
      </c>
      <c r="DH530" s="607">
        <f t="shared" si="675"/>
        <v>149</v>
      </c>
      <c r="DI530" s="608">
        <f t="shared" si="676"/>
        <v>54</v>
      </c>
      <c r="DJ530" s="607">
        <f t="shared" si="677"/>
        <v>0</v>
      </c>
      <c r="DK530" s="608">
        <f t="shared" si="678"/>
        <v>0</v>
      </c>
      <c r="DL530" s="607">
        <f t="shared" si="679"/>
        <v>490</v>
      </c>
      <c r="DM530" s="608">
        <f t="shared" si="680"/>
        <v>454</v>
      </c>
      <c r="DN530" s="607">
        <f t="shared" si="681"/>
        <v>8458650.8044164032</v>
      </c>
      <c r="DO530" s="612">
        <f t="shared" si="682"/>
        <v>9152094.2975206599</v>
      </c>
      <c r="DP530" s="607">
        <f t="shared" si="683"/>
        <v>6383865.1840087622</v>
      </c>
      <c r="DQ530" s="606">
        <f t="shared" si="684"/>
        <v>7247972.5592417056</v>
      </c>
      <c r="DR530" s="607">
        <f t="shared" si="685"/>
        <v>6017958</v>
      </c>
      <c r="DS530" s="606">
        <f t="shared" si="686"/>
        <v>6647081.956482321</v>
      </c>
      <c r="DT530" s="607">
        <f t="shared" si="687"/>
        <v>1213945.3744493392</v>
      </c>
      <c r="DU530" s="606">
        <f t="shared" si="688"/>
        <v>2603862.7466367716</v>
      </c>
      <c r="DV530" s="607">
        <f t="shared" si="689"/>
        <v>6589661.2098312555</v>
      </c>
      <c r="DW530" s="608">
        <f t="shared" si="690"/>
        <v>2312848.3170731706</v>
      </c>
      <c r="DX530" s="607">
        <f t="shared" si="691"/>
        <v>0</v>
      </c>
      <c r="DY530" s="608">
        <f t="shared" si="692"/>
        <v>0</v>
      </c>
      <c r="DZ530" s="607">
        <f t="shared" si="693"/>
        <v>28664080.572705761</v>
      </c>
      <c r="EA530" s="608">
        <f t="shared" si="694"/>
        <v>27963859.876954626</v>
      </c>
    </row>
    <row r="531" spans="1:131" x14ac:dyDescent="0.2">
      <c r="A531" s="353" t="s">
        <v>43</v>
      </c>
      <c r="B531" s="354" t="s">
        <v>455</v>
      </c>
      <c r="C531" s="566"/>
      <c r="D531" s="364">
        <v>228501</v>
      </c>
      <c r="E531" s="355">
        <v>3</v>
      </c>
      <c r="F531" s="598">
        <v>33</v>
      </c>
      <c r="G531" s="599">
        <v>34</v>
      </c>
      <c r="H531" s="600"/>
      <c r="I531" s="601">
        <v>0</v>
      </c>
      <c r="J531" s="600">
        <v>4</v>
      </c>
      <c r="K531" s="599">
        <v>0</v>
      </c>
      <c r="L531" s="600"/>
      <c r="M531" s="601">
        <v>3</v>
      </c>
      <c r="N531" s="600">
        <v>32</v>
      </c>
      <c r="O531" s="599">
        <v>31</v>
      </c>
      <c r="P531" s="600"/>
      <c r="Q531" s="601">
        <v>0</v>
      </c>
      <c r="R531" s="600">
        <v>1</v>
      </c>
      <c r="S531" s="599">
        <v>0</v>
      </c>
      <c r="T531" s="600"/>
      <c r="U531" s="601">
        <v>2</v>
      </c>
      <c r="V531" s="600">
        <v>23</v>
      </c>
      <c r="W531" s="599">
        <v>21</v>
      </c>
      <c r="X531" s="600"/>
      <c r="Y531" s="601">
        <v>0</v>
      </c>
      <c r="Z531" s="600"/>
      <c r="AA531" s="599">
        <v>0</v>
      </c>
      <c r="AB531" s="600"/>
      <c r="AC531" s="601">
        <v>1</v>
      </c>
      <c r="AD531" s="600">
        <v>2</v>
      </c>
      <c r="AE531" s="599">
        <v>3</v>
      </c>
      <c r="AF531" s="600"/>
      <c r="AG531" s="601">
        <v>0</v>
      </c>
      <c r="AH531" s="600">
        <v>1</v>
      </c>
      <c r="AI531" s="599">
        <v>0</v>
      </c>
      <c r="AJ531" s="600"/>
      <c r="AK531" s="601">
        <v>1</v>
      </c>
      <c r="AL531" s="600">
        <v>22</v>
      </c>
      <c r="AM531" s="599">
        <v>18</v>
      </c>
      <c r="AN531" s="600"/>
      <c r="AO531" s="601">
        <v>0</v>
      </c>
      <c r="AP531" s="600">
        <v>1</v>
      </c>
      <c r="AQ531" s="599">
        <v>0</v>
      </c>
      <c r="AR531" s="600"/>
      <c r="AS531" s="601">
        <v>1</v>
      </c>
      <c r="AT531" s="600"/>
      <c r="AU531" s="599"/>
      <c r="AV531" s="600"/>
      <c r="AW531" s="601"/>
      <c r="AX531" s="600"/>
      <c r="AY531" s="599"/>
      <c r="AZ531" s="600"/>
      <c r="BA531" s="601"/>
      <c r="BB531" s="602">
        <v>2666800</v>
      </c>
      <c r="BC531" s="599">
        <v>2611016</v>
      </c>
      <c r="BD531" s="600">
        <v>1792101</v>
      </c>
      <c r="BE531" s="599">
        <v>1828443</v>
      </c>
      <c r="BF531" s="600">
        <v>1095470</v>
      </c>
      <c r="BG531" s="599">
        <v>1052083</v>
      </c>
      <c r="BH531" s="600">
        <v>126782</v>
      </c>
      <c r="BI531" s="599">
        <v>158469</v>
      </c>
      <c r="BJ531" s="600">
        <v>965459</v>
      </c>
      <c r="BK531" s="615">
        <v>849840</v>
      </c>
      <c r="BL531" s="600">
        <v>0</v>
      </c>
      <c r="BM531" s="604"/>
      <c r="BN531" s="605">
        <f t="shared" si="629"/>
        <v>341</v>
      </c>
      <c r="BO531" s="606">
        <f t="shared" si="630"/>
        <v>342</v>
      </c>
      <c r="BP531" s="607">
        <f t="shared" si="631"/>
        <v>299</v>
      </c>
      <c r="BQ531" s="606">
        <f t="shared" si="632"/>
        <v>303</v>
      </c>
      <c r="BR531" s="607">
        <f t="shared" si="633"/>
        <v>207</v>
      </c>
      <c r="BS531" s="606">
        <f t="shared" si="634"/>
        <v>201</v>
      </c>
      <c r="BT531" s="607">
        <f t="shared" si="635"/>
        <v>29</v>
      </c>
      <c r="BU531" s="606">
        <f t="shared" si="636"/>
        <v>39</v>
      </c>
      <c r="BV531" s="607">
        <f t="shared" si="637"/>
        <v>209</v>
      </c>
      <c r="BW531" s="608">
        <f t="shared" si="638"/>
        <v>174</v>
      </c>
      <c r="BX531" s="607">
        <f t="shared" si="639"/>
        <v>0</v>
      </c>
      <c r="BY531" s="608">
        <f t="shared" si="640"/>
        <v>0</v>
      </c>
      <c r="BZ531" s="607">
        <f t="shared" si="641"/>
        <v>7820.5278592375371</v>
      </c>
      <c r="CA531" s="608">
        <f t="shared" si="642"/>
        <v>7634.5497076023394</v>
      </c>
      <c r="CB531" s="607">
        <f t="shared" si="643"/>
        <v>5993.6488294314386</v>
      </c>
      <c r="CC531" s="608">
        <f t="shared" si="644"/>
        <v>6034.4653465346537</v>
      </c>
      <c r="CD531" s="607">
        <f t="shared" si="645"/>
        <v>5292.1256038647343</v>
      </c>
      <c r="CE531" s="608">
        <f t="shared" si="646"/>
        <v>5234.2437810945275</v>
      </c>
      <c r="CF531" s="607">
        <f t="shared" si="647"/>
        <v>4371.7931034482763</v>
      </c>
      <c r="CG531" s="608">
        <f t="shared" si="648"/>
        <v>4063.3076923076924</v>
      </c>
      <c r="CH531" s="607">
        <f t="shared" si="649"/>
        <v>4619.4210526315792</v>
      </c>
      <c r="CI531" s="608">
        <f t="shared" si="650"/>
        <v>4884.1379310344828</v>
      </c>
      <c r="CJ531" s="607">
        <f t="shared" si="651"/>
        <v>0</v>
      </c>
      <c r="CK531" s="608">
        <f t="shared" si="652"/>
        <v>0</v>
      </c>
      <c r="CL531" s="609">
        <f t="shared" si="653"/>
        <v>70384.750733137829</v>
      </c>
      <c r="CM531" s="608">
        <f t="shared" si="654"/>
        <v>68710.947368421053</v>
      </c>
      <c r="CN531" s="610">
        <f t="shared" si="655"/>
        <v>53942.839464882949</v>
      </c>
      <c r="CO531" s="606">
        <f t="shared" si="656"/>
        <v>54310.188118811886</v>
      </c>
      <c r="CP531" s="607">
        <f t="shared" si="657"/>
        <v>47629.130434782608</v>
      </c>
      <c r="CQ531" s="606">
        <f t="shared" si="658"/>
        <v>47108.194029850747</v>
      </c>
      <c r="CR531" s="607">
        <f t="shared" si="659"/>
        <v>39346.137931034486</v>
      </c>
      <c r="CS531" s="606">
        <f t="shared" si="660"/>
        <v>36569.769230769234</v>
      </c>
      <c r="CT531" s="607">
        <f t="shared" si="661"/>
        <v>41574.789473684214</v>
      </c>
      <c r="CU531" s="608">
        <f t="shared" si="662"/>
        <v>43957.241379310348</v>
      </c>
      <c r="CV531" s="610">
        <f t="shared" si="663"/>
        <v>0</v>
      </c>
      <c r="CW531" s="608">
        <f t="shared" si="664"/>
        <v>0</v>
      </c>
      <c r="CX531" s="610">
        <f t="shared" si="665"/>
        <v>55076.286144160324</v>
      </c>
      <c r="CY531" s="611">
        <f t="shared" si="666"/>
        <v>55238.158194252705</v>
      </c>
      <c r="CZ531" s="605">
        <f t="shared" si="667"/>
        <v>37</v>
      </c>
      <c r="DA531" s="612">
        <f t="shared" si="668"/>
        <v>37</v>
      </c>
      <c r="DB531" s="607">
        <f t="shared" si="669"/>
        <v>33</v>
      </c>
      <c r="DC531" s="606">
        <f t="shared" si="670"/>
        <v>33</v>
      </c>
      <c r="DD531" s="607">
        <f t="shared" si="671"/>
        <v>23</v>
      </c>
      <c r="DE531" s="606">
        <f t="shared" si="672"/>
        <v>22</v>
      </c>
      <c r="DF531" s="607">
        <f t="shared" si="673"/>
        <v>3</v>
      </c>
      <c r="DG531" s="606">
        <f t="shared" si="674"/>
        <v>4</v>
      </c>
      <c r="DH531" s="607">
        <f t="shared" si="675"/>
        <v>23</v>
      </c>
      <c r="DI531" s="608">
        <f t="shared" si="676"/>
        <v>19</v>
      </c>
      <c r="DJ531" s="607">
        <f t="shared" si="677"/>
        <v>0</v>
      </c>
      <c r="DK531" s="608">
        <f t="shared" si="678"/>
        <v>0</v>
      </c>
      <c r="DL531" s="607">
        <f t="shared" si="679"/>
        <v>119</v>
      </c>
      <c r="DM531" s="608">
        <f t="shared" si="680"/>
        <v>115</v>
      </c>
      <c r="DN531" s="607">
        <f t="shared" si="681"/>
        <v>2604235.7771260999</v>
      </c>
      <c r="DO531" s="612">
        <f t="shared" si="682"/>
        <v>2542305.0526315789</v>
      </c>
      <c r="DP531" s="607">
        <f t="shared" si="683"/>
        <v>1780113.7023411372</v>
      </c>
      <c r="DQ531" s="606">
        <f t="shared" si="684"/>
        <v>1792236.2079207923</v>
      </c>
      <c r="DR531" s="607">
        <f t="shared" si="685"/>
        <v>1095470</v>
      </c>
      <c r="DS531" s="606">
        <f t="shared" si="686"/>
        <v>1036380.2686567164</v>
      </c>
      <c r="DT531" s="607">
        <f t="shared" si="687"/>
        <v>118038.41379310345</v>
      </c>
      <c r="DU531" s="606">
        <f t="shared" si="688"/>
        <v>146279.07692307694</v>
      </c>
      <c r="DV531" s="607">
        <f t="shared" si="689"/>
        <v>956220.15789473685</v>
      </c>
      <c r="DW531" s="608">
        <f t="shared" si="690"/>
        <v>835187.58620689658</v>
      </c>
      <c r="DX531" s="607">
        <f t="shared" si="691"/>
        <v>0</v>
      </c>
      <c r="DY531" s="608">
        <f t="shared" si="692"/>
        <v>0</v>
      </c>
      <c r="DZ531" s="607">
        <f t="shared" si="693"/>
        <v>6554078.0511550782</v>
      </c>
      <c r="EA531" s="608">
        <f t="shared" si="694"/>
        <v>6352388.1923390608</v>
      </c>
    </row>
    <row r="532" spans="1:131" x14ac:dyDescent="0.2">
      <c r="A532" s="353" t="s">
        <v>43</v>
      </c>
      <c r="B532" s="354" t="s">
        <v>456</v>
      </c>
      <c r="C532" s="566"/>
      <c r="D532" s="364">
        <v>228529</v>
      </c>
      <c r="E532" s="355">
        <v>3</v>
      </c>
      <c r="F532" s="598">
        <v>48</v>
      </c>
      <c r="G532" s="599">
        <v>45</v>
      </c>
      <c r="H532" s="600"/>
      <c r="I532" s="601">
        <v>0</v>
      </c>
      <c r="J532" s="600">
        <v>14</v>
      </c>
      <c r="K532" s="599">
        <v>0</v>
      </c>
      <c r="L532" s="600"/>
      <c r="M532" s="601">
        <v>15</v>
      </c>
      <c r="N532" s="600">
        <v>60</v>
      </c>
      <c r="O532" s="599">
        <v>59</v>
      </c>
      <c r="P532" s="600"/>
      <c r="Q532" s="601">
        <v>1</v>
      </c>
      <c r="R532" s="600">
        <v>22</v>
      </c>
      <c r="S532" s="599">
        <v>0</v>
      </c>
      <c r="T532" s="600"/>
      <c r="U532" s="601">
        <v>29</v>
      </c>
      <c r="V532" s="600">
        <v>123</v>
      </c>
      <c r="W532" s="599">
        <v>124</v>
      </c>
      <c r="X532" s="600"/>
      <c r="Y532" s="601">
        <v>4</v>
      </c>
      <c r="Z532" s="600">
        <v>22</v>
      </c>
      <c r="AA532" s="599">
        <v>0</v>
      </c>
      <c r="AB532" s="600"/>
      <c r="AC532" s="601">
        <v>31</v>
      </c>
      <c r="AD532" s="600">
        <v>42</v>
      </c>
      <c r="AE532" s="599">
        <v>43</v>
      </c>
      <c r="AF532" s="600"/>
      <c r="AG532" s="601">
        <v>1</v>
      </c>
      <c r="AH532" s="600">
        <v>26</v>
      </c>
      <c r="AI532" s="599">
        <v>2</v>
      </c>
      <c r="AJ532" s="600"/>
      <c r="AK532" s="601">
        <v>30</v>
      </c>
      <c r="AL532" s="600">
        <v>11</v>
      </c>
      <c r="AM532" s="599">
        <v>3</v>
      </c>
      <c r="AN532" s="600"/>
      <c r="AO532" s="601">
        <v>7</v>
      </c>
      <c r="AP532" s="600">
        <v>5</v>
      </c>
      <c r="AQ532" s="599">
        <v>1</v>
      </c>
      <c r="AR532" s="600"/>
      <c r="AS532" s="601">
        <v>5</v>
      </c>
      <c r="AT532" s="600"/>
      <c r="AU532" s="599"/>
      <c r="AV532" s="600"/>
      <c r="AW532" s="601"/>
      <c r="AX532" s="600"/>
      <c r="AY532" s="599"/>
      <c r="AZ532" s="600"/>
      <c r="BA532" s="601"/>
      <c r="BB532" s="602">
        <v>5227333</v>
      </c>
      <c r="BC532" s="599">
        <v>5230808</v>
      </c>
      <c r="BD532" s="600">
        <v>6030920</v>
      </c>
      <c r="BE532" s="599">
        <v>6913202</v>
      </c>
      <c r="BF532" s="600">
        <v>8283491</v>
      </c>
      <c r="BG532" s="599">
        <v>10092199</v>
      </c>
      <c r="BH532" s="600">
        <v>3316856</v>
      </c>
      <c r="BI532" s="599">
        <v>3906163</v>
      </c>
      <c r="BJ532" s="600">
        <v>472644.4</v>
      </c>
      <c r="BK532" s="615">
        <v>804038</v>
      </c>
      <c r="BL532" s="600">
        <v>0</v>
      </c>
      <c r="BM532" s="604"/>
      <c r="BN532" s="605">
        <f t="shared" si="629"/>
        <v>586</v>
      </c>
      <c r="BO532" s="606">
        <f t="shared" si="630"/>
        <v>585</v>
      </c>
      <c r="BP532" s="607">
        <f t="shared" si="631"/>
        <v>782</v>
      </c>
      <c r="BQ532" s="606">
        <f t="shared" si="632"/>
        <v>889</v>
      </c>
      <c r="BR532" s="607">
        <f t="shared" si="633"/>
        <v>1349</v>
      </c>
      <c r="BS532" s="606">
        <f t="shared" si="634"/>
        <v>1528</v>
      </c>
      <c r="BT532" s="607">
        <f t="shared" si="635"/>
        <v>664</v>
      </c>
      <c r="BU532" s="606">
        <f t="shared" si="636"/>
        <v>779</v>
      </c>
      <c r="BV532" s="607">
        <f t="shared" si="637"/>
        <v>154</v>
      </c>
      <c r="BW532" s="608">
        <f t="shared" si="638"/>
        <v>168</v>
      </c>
      <c r="BX532" s="607">
        <f t="shared" si="639"/>
        <v>0</v>
      </c>
      <c r="BY532" s="608">
        <f t="shared" si="640"/>
        <v>0</v>
      </c>
      <c r="BZ532" s="607">
        <f t="shared" si="641"/>
        <v>8920.3634812286691</v>
      </c>
      <c r="CA532" s="608">
        <f t="shared" si="642"/>
        <v>8941.552136752136</v>
      </c>
      <c r="CB532" s="607">
        <f t="shared" si="643"/>
        <v>7712.173913043478</v>
      </c>
      <c r="CC532" s="608">
        <f t="shared" si="644"/>
        <v>7776.380202474691</v>
      </c>
      <c r="CD532" s="607">
        <f t="shared" si="645"/>
        <v>6140.4677538917713</v>
      </c>
      <c r="CE532" s="608">
        <f t="shared" si="646"/>
        <v>6604.8422774869114</v>
      </c>
      <c r="CF532" s="607">
        <f t="shared" si="647"/>
        <v>4995.265060240964</v>
      </c>
      <c r="CG532" s="608">
        <f t="shared" si="648"/>
        <v>5014.3299101412067</v>
      </c>
      <c r="CH532" s="607">
        <f t="shared" si="649"/>
        <v>3069.1194805194805</v>
      </c>
      <c r="CI532" s="608">
        <f t="shared" si="650"/>
        <v>4785.9404761904761</v>
      </c>
      <c r="CJ532" s="607">
        <f t="shared" si="651"/>
        <v>0</v>
      </c>
      <c r="CK532" s="608">
        <f t="shared" si="652"/>
        <v>0</v>
      </c>
      <c r="CL532" s="609">
        <f t="shared" si="653"/>
        <v>80283.271331058029</v>
      </c>
      <c r="CM532" s="608">
        <f t="shared" si="654"/>
        <v>80473.969230769231</v>
      </c>
      <c r="CN532" s="610">
        <f t="shared" si="655"/>
        <v>69409.565217391297</v>
      </c>
      <c r="CO532" s="606">
        <f t="shared" si="656"/>
        <v>69987.421822272212</v>
      </c>
      <c r="CP532" s="607">
        <f t="shared" si="657"/>
        <v>55264.209785025945</v>
      </c>
      <c r="CQ532" s="606">
        <f t="shared" si="658"/>
        <v>59443.580497382201</v>
      </c>
      <c r="CR532" s="607">
        <f t="shared" si="659"/>
        <v>44957.385542168675</v>
      </c>
      <c r="CS532" s="606">
        <f t="shared" si="660"/>
        <v>45128.969191270859</v>
      </c>
      <c r="CT532" s="607">
        <f t="shared" si="661"/>
        <v>27622.075324675323</v>
      </c>
      <c r="CU532" s="608">
        <f t="shared" si="662"/>
        <v>43073.464285714283</v>
      </c>
      <c r="CV532" s="610">
        <f t="shared" si="663"/>
        <v>0</v>
      </c>
      <c r="CW532" s="608">
        <f t="shared" si="664"/>
        <v>0</v>
      </c>
      <c r="CX532" s="610">
        <f t="shared" si="665"/>
        <v>59467.863300918827</v>
      </c>
      <c r="CY532" s="611">
        <f t="shared" si="666"/>
        <v>61569.562705550408</v>
      </c>
      <c r="CZ532" s="605">
        <f t="shared" si="667"/>
        <v>62</v>
      </c>
      <c r="DA532" s="612">
        <f t="shared" si="668"/>
        <v>60</v>
      </c>
      <c r="DB532" s="607">
        <f t="shared" si="669"/>
        <v>82</v>
      </c>
      <c r="DC532" s="606">
        <f t="shared" si="670"/>
        <v>89</v>
      </c>
      <c r="DD532" s="607">
        <f t="shared" si="671"/>
        <v>145</v>
      </c>
      <c r="DE532" s="606">
        <f t="shared" si="672"/>
        <v>159</v>
      </c>
      <c r="DF532" s="607">
        <f t="shared" si="673"/>
        <v>68</v>
      </c>
      <c r="DG532" s="606">
        <f t="shared" si="674"/>
        <v>76</v>
      </c>
      <c r="DH532" s="607">
        <f t="shared" si="675"/>
        <v>16</v>
      </c>
      <c r="DI532" s="608">
        <f t="shared" si="676"/>
        <v>16</v>
      </c>
      <c r="DJ532" s="607">
        <f t="shared" si="677"/>
        <v>0</v>
      </c>
      <c r="DK532" s="608">
        <f t="shared" si="678"/>
        <v>0</v>
      </c>
      <c r="DL532" s="607">
        <f t="shared" si="679"/>
        <v>373</v>
      </c>
      <c r="DM532" s="608">
        <f t="shared" si="680"/>
        <v>400</v>
      </c>
      <c r="DN532" s="607">
        <f t="shared" si="681"/>
        <v>4977562.8225255981</v>
      </c>
      <c r="DO532" s="612">
        <f t="shared" si="682"/>
        <v>4828438.153846154</v>
      </c>
      <c r="DP532" s="607">
        <f t="shared" si="683"/>
        <v>5691584.347826086</v>
      </c>
      <c r="DQ532" s="606">
        <f t="shared" si="684"/>
        <v>6228880.5421822267</v>
      </c>
      <c r="DR532" s="607">
        <f t="shared" si="685"/>
        <v>8013310.4188287621</v>
      </c>
      <c r="DS532" s="606">
        <f t="shared" si="686"/>
        <v>9451529.2990837693</v>
      </c>
      <c r="DT532" s="607">
        <f t="shared" si="687"/>
        <v>3057102.2168674697</v>
      </c>
      <c r="DU532" s="606">
        <f t="shared" si="688"/>
        <v>3429801.658536585</v>
      </c>
      <c r="DV532" s="607">
        <f t="shared" si="689"/>
        <v>441953.20519480517</v>
      </c>
      <c r="DW532" s="608">
        <f t="shared" si="690"/>
        <v>689175.42857142852</v>
      </c>
      <c r="DX532" s="607">
        <f t="shared" si="691"/>
        <v>0</v>
      </c>
      <c r="DY532" s="608">
        <f t="shared" si="692"/>
        <v>0</v>
      </c>
      <c r="DZ532" s="607">
        <f t="shared" si="693"/>
        <v>22181513.011242721</v>
      </c>
      <c r="EA532" s="608">
        <f t="shared" si="694"/>
        <v>24627825.082220163</v>
      </c>
    </row>
    <row r="533" spans="1:131" x14ac:dyDescent="0.2">
      <c r="A533" s="353" t="s">
        <v>43</v>
      </c>
      <c r="B533" s="354" t="s">
        <v>457</v>
      </c>
      <c r="C533" s="566"/>
      <c r="D533" s="364">
        <v>226152</v>
      </c>
      <c r="E533" s="355">
        <v>3</v>
      </c>
      <c r="F533" s="598">
        <v>17</v>
      </c>
      <c r="G533" s="599">
        <v>17</v>
      </c>
      <c r="H533" s="600"/>
      <c r="I533" s="601">
        <v>2</v>
      </c>
      <c r="J533" s="600">
        <v>10</v>
      </c>
      <c r="K533" s="599">
        <v>0</v>
      </c>
      <c r="L533" s="600"/>
      <c r="M533" s="601">
        <v>9</v>
      </c>
      <c r="N533" s="600">
        <v>44</v>
      </c>
      <c r="O533" s="599">
        <v>39</v>
      </c>
      <c r="P533" s="600"/>
      <c r="Q533" s="601">
        <v>4</v>
      </c>
      <c r="R533" s="600">
        <v>6</v>
      </c>
      <c r="S533" s="599">
        <v>0</v>
      </c>
      <c r="T533" s="600"/>
      <c r="U533" s="601">
        <v>7</v>
      </c>
      <c r="V533" s="600">
        <v>77</v>
      </c>
      <c r="W533" s="599">
        <v>63</v>
      </c>
      <c r="X533" s="600"/>
      <c r="Y533" s="601">
        <v>5</v>
      </c>
      <c r="Z533" s="600">
        <v>6</v>
      </c>
      <c r="AA533" s="599">
        <v>0</v>
      </c>
      <c r="AB533" s="600"/>
      <c r="AC533" s="601">
        <v>4</v>
      </c>
      <c r="AD533" s="600">
        <v>29</v>
      </c>
      <c r="AE533" s="599">
        <v>33</v>
      </c>
      <c r="AF533" s="600"/>
      <c r="AG533" s="601">
        <v>0</v>
      </c>
      <c r="AH533" s="600">
        <v>1</v>
      </c>
      <c r="AI533" s="599">
        <v>0</v>
      </c>
      <c r="AJ533" s="600"/>
      <c r="AK533" s="601">
        <v>1</v>
      </c>
      <c r="AL533" s="600">
        <v>1</v>
      </c>
      <c r="AM533" s="599">
        <v>3</v>
      </c>
      <c r="AN533" s="600"/>
      <c r="AO533" s="601">
        <v>0</v>
      </c>
      <c r="AP533" s="600">
        <v>0</v>
      </c>
      <c r="AQ533" s="599">
        <v>0</v>
      </c>
      <c r="AR533" s="600"/>
      <c r="AS533" s="601">
        <v>0</v>
      </c>
      <c r="AT533" s="600"/>
      <c r="AU533" s="599"/>
      <c r="AV533" s="600"/>
      <c r="AW533" s="601"/>
      <c r="AX533" s="600"/>
      <c r="AY533" s="599"/>
      <c r="AZ533" s="600"/>
      <c r="BA533" s="601"/>
      <c r="BB533" s="602">
        <v>2778767</v>
      </c>
      <c r="BC533" s="599">
        <v>2929360</v>
      </c>
      <c r="BD533" s="600">
        <v>3663887</v>
      </c>
      <c r="BE533" s="599">
        <v>3885913</v>
      </c>
      <c r="BF533" s="600">
        <v>5402891</v>
      </c>
      <c r="BG533" s="599">
        <v>4928606</v>
      </c>
      <c r="BH533" s="600">
        <v>1306002</v>
      </c>
      <c r="BI533" s="599">
        <v>1556318</v>
      </c>
      <c r="BJ533" s="600">
        <v>105723</v>
      </c>
      <c r="BK533" s="615">
        <v>218788</v>
      </c>
      <c r="BL533" s="600">
        <v>0</v>
      </c>
      <c r="BM533" s="604"/>
      <c r="BN533" s="605">
        <f t="shared" si="629"/>
        <v>263</v>
      </c>
      <c r="BO533" s="606">
        <f t="shared" si="630"/>
        <v>281</v>
      </c>
      <c r="BP533" s="607">
        <f t="shared" si="631"/>
        <v>462</v>
      </c>
      <c r="BQ533" s="606">
        <f t="shared" si="632"/>
        <v>475</v>
      </c>
      <c r="BR533" s="607">
        <f t="shared" si="633"/>
        <v>759</v>
      </c>
      <c r="BS533" s="606">
        <f t="shared" si="634"/>
        <v>665</v>
      </c>
      <c r="BT533" s="607">
        <f t="shared" si="635"/>
        <v>272</v>
      </c>
      <c r="BU533" s="606">
        <f t="shared" si="636"/>
        <v>309</v>
      </c>
      <c r="BV533" s="607">
        <f t="shared" si="637"/>
        <v>9</v>
      </c>
      <c r="BW533" s="608">
        <f t="shared" si="638"/>
        <v>27</v>
      </c>
      <c r="BX533" s="607">
        <f t="shared" si="639"/>
        <v>0</v>
      </c>
      <c r="BY533" s="608">
        <f t="shared" si="640"/>
        <v>0</v>
      </c>
      <c r="BZ533" s="607">
        <f t="shared" si="641"/>
        <v>10565.653992395437</v>
      </c>
      <c r="CA533" s="608">
        <f t="shared" si="642"/>
        <v>10424.768683274022</v>
      </c>
      <c r="CB533" s="607">
        <f t="shared" si="643"/>
        <v>7930.4913419913419</v>
      </c>
      <c r="CC533" s="608">
        <f t="shared" si="644"/>
        <v>8180.8694736842108</v>
      </c>
      <c r="CD533" s="607">
        <f t="shared" si="645"/>
        <v>7118.433465085639</v>
      </c>
      <c r="CE533" s="608">
        <f t="shared" si="646"/>
        <v>7411.4375939849624</v>
      </c>
      <c r="CF533" s="607">
        <f t="shared" si="647"/>
        <v>4801.4779411764703</v>
      </c>
      <c r="CG533" s="608">
        <f t="shared" si="648"/>
        <v>5036.62783171521</v>
      </c>
      <c r="CH533" s="607">
        <f t="shared" si="649"/>
        <v>11747</v>
      </c>
      <c r="CI533" s="608">
        <f t="shared" si="650"/>
        <v>8103.2592592592591</v>
      </c>
      <c r="CJ533" s="607">
        <f t="shared" si="651"/>
        <v>0</v>
      </c>
      <c r="CK533" s="608">
        <f t="shared" si="652"/>
        <v>0</v>
      </c>
      <c r="CL533" s="609">
        <f t="shared" si="653"/>
        <v>95090.885931558936</v>
      </c>
      <c r="CM533" s="608">
        <f t="shared" si="654"/>
        <v>93822.91814946619</v>
      </c>
      <c r="CN533" s="610">
        <f t="shared" si="655"/>
        <v>71374.422077922078</v>
      </c>
      <c r="CO533" s="606">
        <f t="shared" si="656"/>
        <v>73627.825263157894</v>
      </c>
      <c r="CP533" s="607">
        <f t="shared" si="657"/>
        <v>64065.901185770752</v>
      </c>
      <c r="CQ533" s="606">
        <f t="shared" si="658"/>
        <v>66702.938345864663</v>
      </c>
      <c r="CR533" s="607">
        <f t="shared" si="659"/>
        <v>43213.301470588231</v>
      </c>
      <c r="CS533" s="606">
        <f t="shared" si="660"/>
        <v>45329.65048543689</v>
      </c>
      <c r="CT533" s="607">
        <f t="shared" si="661"/>
        <v>105723</v>
      </c>
      <c r="CU533" s="608">
        <f t="shared" si="662"/>
        <v>72929.333333333328</v>
      </c>
      <c r="CV533" s="610">
        <f t="shared" si="663"/>
        <v>0</v>
      </c>
      <c r="CW533" s="608">
        <f t="shared" si="664"/>
        <v>0</v>
      </c>
      <c r="CX533" s="610">
        <f t="shared" si="665"/>
        <v>67307.679929763413</v>
      </c>
      <c r="CY533" s="611">
        <f t="shared" si="666"/>
        <v>68829.094378342546</v>
      </c>
      <c r="CZ533" s="605">
        <f t="shared" si="667"/>
        <v>27</v>
      </c>
      <c r="DA533" s="612">
        <f t="shared" si="668"/>
        <v>28</v>
      </c>
      <c r="DB533" s="607">
        <f t="shared" si="669"/>
        <v>50</v>
      </c>
      <c r="DC533" s="606">
        <f t="shared" si="670"/>
        <v>50</v>
      </c>
      <c r="DD533" s="607">
        <f t="shared" si="671"/>
        <v>83</v>
      </c>
      <c r="DE533" s="606">
        <f t="shared" si="672"/>
        <v>72</v>
      </c>
      <c r="DF533" s="607">
        <f t="shared" si="673"/>
        <v>30</v>
      </c>
      <c r="DG533" s="606">
        <f t="shared" si="674"/>
        <v>34</v>
      </c>
      <c r="DH533" s="607">
        <f t="shared" si="675"/>
        <v>1</v>
      </c>
      <c r="DI533" s="608">
        <f t="shared" si="676"/>
        <v>3</v>
      </c>
      <c r="DJ533" s="607">
        <f t="shared" si="677"/>
        <v>0</v>
      </c>
      <c r="DK533" s="608">
        <f t="shared" si="678"/>
        <v>0</v>
      </c>
      <c r="DL533" s="607">
        <f t="shared" si="679"/>
        <v>191</v>
      </c>
      <c r="DM533" s="608">
        <f t="shared" si="680"/>
        <v>187</v>
      </c>
      <c r="DN533" s="607">
        <f t="shared" si="681"/>
        <v>2567453.9201520914</v>
      </c>
      <c r="DO533" s="612">
        <f t="shared" si="682"/>
        <v>2627041.7081850534</v>
      </c>
      <c r="DP533" s="607">
        <f t="shared" si="683"/>
        <v>3568721.1038961038</v>
      </c>
      <c r="DQ533" s="606">
        <f t="shared" si="684"/>
        <v>3681391.2631578948</v>
      </c>
      <c r="DR533" s="607">
        <f t="shared" si="685"/>
        <v>5317469.7984189726</v>
      </c>
      <c r="DS533" s="606">
        <f t="shared" si="686"/>
        <v>4802611.5609022556</v>
      </c>
      <c r="DT533" s="607">
        <f t="shared" si="687"/>
        <v>1296399.044117647</v>
      </c>
      <c r="DU533" s="606">
        <f t="shared" si="688"/>
        <v>1541208.1165048543</v>
      </c>
      <c r="DV533" s="607">
        <f t="shared" si="689"/>
        <v>105723</v>
      </c>
      <c r="DW533" s="608">
        <f t="shared" si="690"/>
        <v>218788</v>
      </c>
      <c r="DX533" s="607">
        <f t="shared" si="691"/>
        <v>0</v>
      </c>
      <c r="DY533" s="608">
        <f t="shared" si="692"/>
        <v>0</v>
      </c>
      <c r="DZ533" s="607">
        <f t="shared" si="693"/>
        <v>12855766.866584811</v>
      </c>
      <c r="EA533" s="608">
        <f t="shared" si="694"/>
        <v>12871040.648750056</v>
      </c>
    </row>
    <row r="534" spans="1:131" x14ac:dyDescent="0.2">
      <c r="A534" s="353" t="s">
        <v>43</v>
      </c>
      <c r="B534" s="354" t="s">
        <v>458</v>
      </c>
      <c r="C534" s="566"/>
      <c r="D534" s="364">
        <v>224554</v>
      </c>
      <c r="E534" s="355">
        <v>3</v>
      </c>
      <c r="F534" s="598">
        <v>58</v>
      </c>
      <c r="G534" s="599">
        <v>45</v>
      </c>
      <c r="H534" s="600"/>
      <c r="I534" s="601">
        <v>0</v>
      </c>
      <c r="J534" s="600">
        <v>2</v>
      </c>
      <c r="K534" s="599">
        <v>0</v>
      </c>
      <c r="L534" s="600"/>
      <c r="M534" s="601">
        <v>16</v>
      </c>
      <c r="N534" s="600">
        <v>53</v>
      </c>
      <c r="O534" s="599">
        <v>50</v>
      </c>
      <c r="P534" s="600"/>
      <c r="Q534" s="601">
        <v>0</v>
      </c>
      <c r="R534" s="600"/>
      <c r="S534" s="599">
        <v>0</v>
      </c>
      <c r="T534" s="600"/>
      <c r="U534" s="601">
        <v>0</v>
      </c>
      <c r="V534" s="600">
        <v>112</v>
      </c>
      <c r="W534" s="599">
        <v>119</v>
      </c>
      <c r="X534" s="600"/>
      <c r="Y534" s="601">
        <v>0</v>
      </c>
      <c r="Z534" s="600">
        <v>5</v>
      </c>
      <c r="AA534" s="599">
        <v>4</v>
      </c>
      <c r="AB534" s="600"/>
      <c r="AC534" s="601">
        <v>4</v>
      </c>
      <c r="AD534" s="600">
        <v>54</v>
      </c>
      <c r="AE534" s="599">
        <v>45</v>
      </c>
      <c r="AF534" s="600"/>
      <c r="AG534" s="601">
        <v>0</v>
      </c>
      <c r="AH534" s="600">
        <v>1</v>
      </c>
      <c r="AI534" s="599">
        <v>0</v>
      </c>
      <c r="AJ534" s="600"/>
      <c r="AK534" s="601">
        <v>3</v>
      </c>
      <c r="AL534" s="600">
        <v>0</v>
      </c>
      <c r="AM534" s="599">
        <v>0</v>
      </c>
      <c r="AN534" s="600"/>
      <c r="AO534" s="601">
        <v>0</v>
      </c>
      <c r="AP534" s="600">
        <v>0</v>
      </c>
      <c r="AQ534" s="599">
        <v>0</v>
      </c>
      <c r="AR534" s="600"/>
      <c r="AS534" s="601">
        <v>0</v>
      </c>
      <c r="AT534" s="600"/>
      <c r="AU534" s="599"/>
      <c r="AV534" s="600"/>
      <c r="AW534" s="601"/>
      <c r="AX534" s="600"/>
      <c r="AY534" s="599"/>
      <c r="AZ534" s="600"/>
      <c r="BA534" s="601"/>
      <c r="BB534" s="602">
        <v>5141975</v>
      </c>
      <c r="BC534" s="599">
        <v>5678533</v>
      </c>
      <c r="BD534" s="600">
        <v>3465045</v>
      </c>
      <c r="BE534" s="599">
        <v>3316682</v>
      </c>
      <c r="BF534" s="600">
        <v>7076900</v>
      </c>
      <c r="BG534" s="599">
        <v>7999396</v>
      </c>
      <c r="BH534" s="600">
        <v>2761283</v>
      </c>
      <c r="BI534" s="599">
        <v>2830831</v>
      </c>
      <c r="BJ534" s="600">
        <v>0</v>
      </c>
      <c r="BK534" s="615">
        <v>0</v>
      </c>
      <c r="BL534" s="600">
        <v>0</v>
      </c>
      <c r="BM534" s="604"/>
      <c r="BN534" s="605">
        <f t="shared" si="629"/>
        <v>544</v>
      </c>
      <c r="BO534" s="606">
        <f t="shared" si="630"/>
        <v>597</v>
      </c>
      <c r="BP534" s="607">
        <f t="shared" si="631"/>
        <v>477</v>
      </c>
      <c r="BQ534" s="606">
        <f t="shared" si="632"/>
        <v>450</v>
      </c>
      <c r="BR534" s="607">
        <f t="shared" si="633"/>
        <v>1063</v>
      </c>
      <c r="BS534" s="606">
        <f t="shared" si="634"/>
        <v>1163</v>
      </c>
      <c r="BT534" s="607">
        <f t="shared" si="635"/>
        <v>497</v>
      </c>
      <c r="BU534" s="606">
        <f t="shared" si="636"/>
        <v>441</v>
      </c>
      <c r="BV534" s="607">
        <f t="shared" si="637"/>
        <v>0</v>
      </c>
      <c r="BW534" s="608">
        <f t="shared" si="638"/>
        <v>0</v>
      </c>
      <c r="BX534" s="607">
        <f t="shared" si="639"/>
        <v>0</v>
      </c>
      <c r="BY534" s="608">
        <f t="shared" si="640"/>
        <v>0</v>
      </c>
      <c r="BZ534" s="607">
        <f t="shared" si="641"/>
        <v>9452.1599264705874</v>
      </c>
      <c r="CA534" s="608">
        <f t="shared" si="642"/>
        <v>9511.7805695142379</v>
      </c>
      <c r="CB534" s="607">
        <f t="shared" si="643"/>
        <v>7264.2452830188677</v>
      </c>
      <c r="CC534" s="608">
        <f t="shared" si="644"/>
        <v>7370.4044444444444</v>
      </c>
      <c r="CD534" s="607">
        <f t="shared" si="645"/>
        <v>6657.4788334901223</v>
      </c>
      <c r="CE534" s="608">
        <f t="shared" si="646"/>
        <v>6878.2424763542558</v>
      </c>
      <c r="CF534" s="607">
        <f t="shared" si="647"/>
        <v>5555.9014084507044</v>
      </c>
      <c r="CG534" s="608">
        <f t="shared" si="648"/>
        <v>6419.1179138321995</v>
      </c>
      <c r="CH534" s="607">
        <f t="shared" si="649"/>
        <v>0</v>
      </c>
      <c r="CI534" s="608">
        <f t="shared" si="650"/>
        <v>0</v>
      </c>
      <c r="CJ534" s="607">
        <f t="shared" si="651"/>
        <v>0</v>
      </c>
      <c r="CK534" s="608">
        <f t="shared" si="652"/>
        <v>0</v>
      </c>
      <c r="CL534" s="609">
        <f t="shared" si="653"/>
        <v>85069.439338235286</v>
      </c>
      <c r="CM534" s="608">
        <f t="shared" si="654"/>
        <v>85606.025125628134</v>
      </c>
      <c r="CN534" s="610">
        <f t="shared" si="655"/>
        <v>65378.207547169812</v>
      </c>
      <c r="CO534" s="606">
        <f t="shared" si="656"/>
        <v>66333.64</v>
      </c>
      <c r="CP534" s="607">
        <f t="shared" si="657"/>
        <v>59917.309501411102</v>
      </c>
      <c r="CQ534" s="606">
        <f t="shared" si="658"/>
        <v>61904.182287188305</v>
      </c>
      <c r="CR534" s="607">
        <f t="shared" si="659"/>
        <v>50003.112676056342</v>
      </c>
      <c r="CS534" s="606">
        <f t="shared" si="660"/>
        <v>57772.061224489793</v>
      </c>
      <c r="CT534" s="607">
        <f t="shared" si="661"/>
        <v>0</v>
      </c>
      <c r="CU534" s="608">
        <f t="shared" si="662"/>
        <v>0</v>
      </c>
      <c r="CV534" s="610">
        <f t="shared" si="663"/>
        <v>0</v>
      </c>
      <c r="CW534" s="608">
        <f t="shared" si="664"/>
        <v>0</v>
      </c>
      <c r="CX534" s="610">
        <f t="shared" si="665"/>
        <v>64314.764102253735</v>
      </c>
      <c r="CY534" s="611">
        <f t="shared" si="666"/>
        <v>67040.348328362728</v>
      </c>
      <c r="CZ534" s="605">
        <f t="shared" si="667"/>
        <v>60</v>
      </c>
      <c r="DA534" s="612">
        <f t="shared" si="668"/>
        <v>61</v>
      </c>
      <c r="DB534" s="607">
        <f t="shared" si="669"/>
        <v>53</v>
      </c>
      <c r="DC534" s="606">
        <f t="shared" si="670"/>
        <v>50</v>
      </c>
      <c r="DD534" s="607">
        <f t="shared" si="671"/>
        <v>117</v>
      </c>
      <c r="DE534" s="606">
        <f t="shared" si="672"/>
        <v>127</v>
      </c>
      <c r="DF534" s="607">
        <f t="shared" si="673"/>
        <v>55</v>
      </c>
      <c r="DG534" s="606">
        <f t="shared" si="674"/>
        <v>48</v>
      </c>
      <c r="DH534" s="607">
        <f t="shared" si="675"/>
        <v>0</v>
      </c>
      <c r="DI534" s="608">
        <f t="shared" si="676"/>
        <v>0</v>
      </c>
      <c r="DJ534" s="607">
        <f t="shared" si="677"/>
        <v>0</v>
      </c>
      <c r="DK534" s="608">
        <f t="shared" si="678"/>
        <v>0</v>
      </c>
      <c r="DL534" s="607">
        <f t="shared" si="679"/>
        <v>285</v>
      </c>
      <c r="DM534" s="608">
        <f t="shared" si="680"/>
        <v>286</v>
      </c>
      <c r="DN534" s="607">
        <f t="shared" si="681"/>
        <v>5104166.3602941176</v>
      </c>
      <c r="DO534" s="612">
        <f t="shared" si="682"/>
        <v>5221967.5326633165</v>
      </c>
      <c r="DP534" s="607">
        <f t="shared" si="683"/>
        <v>3465045</v>
      </c>
      <c r="DQ534" s="606">
        <f t="shared" si="684"/>
        <v>3316682</v>
      </c>
      <c r="DR534" s="607">
        <f t="shared" si="685"/>
        <v>7010325.2116650986</v>
      </c>
      <c r="DS534" s="606">
        <f t="shared" si="686"/>
        <v>7861831.1504729148</v>
      </c>
      <c r="DT534" s="607">
        <f t="shared" si="687"/>
        <v>2750171.1971830986</v>
      </c>
      <c r="DU534" s="606">
        <f t="shared" si="688"/>
        <v>2773058.9387755101</v>
      </c>
      <c r="DV534" s="607">
        <f t="shared" si="689"/>
        <v>0</v>
      </c>
      <c r="DW534" s="608">
        <f t="shared" si="690"/>
        <v>0</v>
      </c>
      <c r="DX534" s="607">
        <f t="shared" si="691"/>
        <v>0</v>
      </c>
      <c r="DY534" s="608">
        <f t="shared" si="692"/>
        <v>0</v>
      </c>
      <c r="DZ534" s="607">
        <f t="shared" si="693"/>
        <v>18329707.769142315</v>
      </c>
      <c r="EA534" s="608">
        <f t="shared" si="694"/>
        <v>19173539.621911742</v>
      </c>
    </row>
    <row r="535" spans="1:131" x14ac:dyDescent="0.2">
      <c r="A535" s="353" t="s">
        <v>43</v>
      </c>
      <c r="B535" s="354" t="s">
        <v>459</v>
      </c>
      <c r="C535" s="566"/>
      <c r="D535" s="364">
        <v>224147</v>
      </c>
      <c r="E535" s="355">
        <v>3</v>
      </c>
      <c r="F535" s="598">
        <v>85</v>
      </c>
      <c r="G535" s="599">
        <v>82</v>
      </c>
      <c r="H535" s="600"/>
      <c r="I535" s="601">
        <v>0</v>
      </c>
      <c r="J535" s="600"/>
      <c r="K535" s="599">
        <v>0</v>
      </c>
      <c r="L535" s="600"/>
      <c r="M535" s="601">
        <v>0</v>
      </c>
      <c r="N535" s="600">
        <v>80</v>
      </c>
      <c r="O535" s="599">
        <v>93</v>
      </c>
      <c r="P535" s="600"/>
      <c r="Q535" s="601">
        <v>0</v>
      </c>
      <c r="R535" s="600"/>
      <c r="S535" s="599">
        <v>0</v>
      </c>
      <c r="T535" s="600"/>
      <c r="U535" s="601">
        <v>0</v>
      </c>
      <c r="V535" s="600">
        <v>70</v>
      </c>
      <c r="W535" s="599">
        <v>76</v>
      </c>
      <c r="X535" s="600"/>
      <c r="Y535" s="601">
        <v>0</v>
      </c>
      <c r="Z535" s="600"/>
      <c r="AA535" s="599">
        <v>0</v>
      </c>
      <c r="AB535" s="600"/>
      <c r="AC535" s="601">
        <v>0</v>
      </c>
      <c r="AD535" s="600"/>
      <c r="AE535" s="599">
        <v>0</v>
      </c>
      <c r="AF535" s="600"/>
      <c r="AG535" s="601">
        <v>0</v>
      </c>
      <c r="AH535" s="600"/>
      <c r="AI535" s="599">
        <v>0</v>
      </c>
      <c r="AJ535" s="600"/>
      <c r="AK535" s="601">
        <v>0</v>
      </c>
      <c r="AL535" s="600">
        <v>0</v>
      </c>
      <c r="AM535" s="599">
        <v>100</v>
      </c>
      <c r="AN535" s="600"/>
      <c r="AO535" s="601">
        <v>0</v>
      </c>
      <c r="AP535" s="600">
        <v>0</v>
      </c>
      <c r="AQ535" s="599">
        <v>0</v>
      </c>
      <c r="AR535" s="600"/>
      <c r="AS535" s="601">
        <v>0</v>
      </c>
      <c r="AT535" s="600"/>
      <c r="AU535" s="599"/>
      <c r="AV535" s="600"/>
      <c r="AW535" s="601"/>
      <c r="AX535" s="600"/>
      <c r="AY535" s="599"/>
      <c r="AZ535" s="600"/>
      <c r="BA535" s="601"/>
      <c r="BB535" s="602">
        <v>7392486</v>
      </c>
      <c r="BC535" s="599">
        <v>7091942</v>
      </c>
      <c r="BD535" s="600">
        <v>5670318</v>
      </c>
      <c r="BE535" s="599">
        <v>6485772</v>
      </c>
      <c r="BF535" s="600">
        <v>4376344</v>
      </c>
      <c r="BG535" s="599">
        <v>4778206</v>
      </c>
      <c r="BH535" s="600">
        <v>0</v>
      </c>
      <c r="BI535" s="599">
        <v>0</v>
      </c>
      <c r="BJ535" s="600">
        <v>0</v>
      </c>
      <c r="BK535" s="615">
        <v>4403088</v>
      </c>
      <c r="BL535" s="600">
        <v>0</v>
      </c>
      <c r="BM535" s="604"/>
      <c r="BN535" s="605">
        <f t="shared" si="629"/>
        <v>765</v>
      </c>
      <c r="BO535" s="606">
        <f t="shared" si="630"/>
        <v>738</v>
      </c>
      <c r="BP535" s="607">
        <f t="shared" si="631"/>
        <v>720</v>
      </c>
      <c r="BQ535" s="606">
        <f t="shared" si="632"/>
        <v>837</v>
      </c>
      <c r="BR535" s="607">
        <f t="shared" si="633"/>
        <v>630</v>
      </c>
      <c r="BS535" s="606">
        <f t="shared" si="634"/>
        <v>684</v>
      </c>
      <c r="BT535" s="607">
        <f t="shared" si="635"/>
        <v>0</v>
      </c>
      <c r="BU535" s="606">
        <f t="shared" si="636"/>
        <v>0</v>
      </c>
      <c r="BV535" s="607">
        <f t="shared" si="637"/>
        <v>0</v>
      </c>
      <c r="BW535" s="608">
        <f t="shared" si="638"/>
        <v>900</v>
      </c>
      <c r="BX535" s="607">
        <f t="shared" si="639"/>
        <v>0</v>
      </c>
      <c r="BY535" s="608">
        <f t="shared" si="640"/>
        <v>0</v>
      </c>
      <c r="BZ535" s="607">
        <f t="shared" si="641"/>
        <v>9663.3803921568633</v>
      </c>
      <c r="CA535" s="608">
        <f t="shared" si="642"/>
        <v>9609.6775067750677</v>
      </c>
      <c r="CB535" s="607">
        <f t="shared" si="643"/>
        <v>7875.4416666666666</v>
      </c>
      <c r="CC535" s="608">
        <f t="shared" si="644"/>
        <v>7748.8315412186375</v>
      </c>
      <c r="CD535" s="607">
        <f t="shared" si="645"/>
        <v>6946.5777777777776</v>
      </c>
      <c r="CE535" s="608">
        <f t="shared" si="646"/>
        <v>6985.6812865497077</v>
      </c>
      <c r="CF535" s="607">
        <f t="shared" si="647"/>
        <v>0</v>
      </c>
      <c r="CG535" s="608">
        <f t="shared" si="648"/>
        <v>0</v>
      </c>
      <c r="CH535" s="607">
        <f t="shared" si="649"/>
        <v>0</v>
      </c>
      <c r="CI535" s="608">
        <f t="shared" si="650"/>
        <v>4892.32</v>
      </c>
      <c r="CJ535" s="607">
        <f t="shared" si="651"/>
        <v>0</v>
      </c>
      <c r="CK535" s="608">
        <f t="shared" si="652"/>
        <v>0</v>
      </c>
      <c r="CL535" s="609">
        <f t="shared" si="653"/>
        <v>86970.423529411768</v>
      </c>
      <c r="CM535" s="608">
        <f t="shared" si="654"/>
        <v>86487.097560975613</v>
      </c>
      <c r="CN535" s="610">
        <f t="shared" si="655"/>
        <v>70878.975000000006</v>
      </c>
      <c r="CO535" s="606">
        <f t="shared" si="656"/>
        <v>69739.483870967742</v>
      </c>
      <c r="CP535" s="607">
        <f t="shared" si="657"/>
        <v>62519.199999999997</v>
      </c>
      <c r="CQ535" s="606">
        <f t="shared" si="658"/>
        <v>62871.131578947367</v>
      </c>
      <c r="CR535" s="607">
        <f t="shared" si="659"/>
        <v>0</v>
      </c>
      <c r="CS535" s="606">
        <f t="shared" si="660"/>
        <v>0</v>
      </c>
      <c r="CT535" s="607">
        <f t="shared" si="661"/>
        <v>0</v>
      </c>
      <c r="CU535" s="608">
        <f t="shared" si="662"/>
        <v>44030.879999999997</v>
      </c>
      <c r="CV535" s="610">
        <f t="shared" si="663"/>
        <v>0</v>
      </c>
      <c r="CW535" s="608">
        <f t="shared" si="664"/>
        <v>0</v>
      </c>
      <c r="CX535" s="610">
        <f t="shared" si="665"/>
        <v>74209.140425531921</v>
      </c>
      <c r="CY535" s="611">
        <f t="shared" si="666"/>
        <v>64840.478632478633</v>
      </c>
      <c r="CZ535" s="605">
        <f t="shared" si="667"/>
        <v>85</v>
      </c>
      <c r="DA535" s="612">
        <f t="shared" si="668"/>
        <v>82</v>
      </c>
      <c r="DB535" s="607">
        <f t="shared" si="669"/>
        <v>80</v>
      </c>
      <c r="DC535" s="606">
        <f t="shared" si="670"/>
        <v>93</v>
      </c>
      <c r="DD535" s="607">
        <f t="shared" si="671"/>
        <v>70</v>
      </c>
      <c r="DE535" s="606">
        <f t="shared" si="672"/>
        <v>76</v>
      </c>
      <c r="DF535" s="607">
        <f t="shared" si="673"/>
        <v>0</v>
      </c>
      <c r="DG535" s="606">
        <f t="shared" si="674"/>
        <v>0</v>
      </c>
      <c r="DH535" s="607">
        <f t="shared" si="675"/>
        <v>0</v>
      </c>
      <c r="DI535" s="608">
        <f t="shared" si="676"/>
        <v>100</v>
      </c>
      <c r="DJ535" s="607">
        <f t="shared" si="677"/>
        <v>0</v>
      </c>
      <c r="DK535" s="608">
        <f t="shared" si="678"/>
        <v>0</v>
      </c>
      <c r="DL535" s="607">
        <f t="shared" si="679"/>
        <v>235</v>
      </c>
      <c r="DM535" s="608">
        <f t="shared" si="680"/>
        <v>351</v>
      </c>
      <c r="DN535" s="607">
        <f t="shared" si="681"/>
        <v>7392486</v>
      </c>
      <c r="DO535" s="612">
        <f t="shared" si="682"/>
        <v>7091942</v>
      </c>
      <c r="DP535" s="607">
        <f t="shared" si="683"/>
        <v>5670318</v>
      </c>
      <c r="DQ535" s="606">
        <f t="shared" si="684"/>
        <v>6485772</v>
      </c>
      <c r="DR535" s="607">
        <f t="shared" si="685"/>
        <v>4376344</v>
      </c>
      <c r="DS535" s="606">
        <f t="shared" si="686"/>
        <v>4778206</v>
      </c>
      <c r="DT535" s="607">
        <f t="shared" si="687"/>
        <v>0</v>
      </c>
      <c r="DU535" s="606">
        <f t="shared" si="688"/>
        <v>0</v>
      </c>
      <c r="DV535" s="607">
        <f t="shared" si="689"/>
        <v>0</v>
      </c>
      <c r="DW535" s="608">
        <f t="shared" si="690"/>
        <v>4403088</v>
      </c>
      <c r="DX535" s="607">
        <f t="shared" si="691"/>
        <v>0</v>
      </c>
      <c r="DY535" s="608">
        <f t="shared" si="692"/>
        <v>0</v>
      </c>
      <c r="DZ535" s="607">
        <f t="shared" si="693"/>
        <v>17439148</v>
      </c>
      <c r="EA535" s="608">
        <f t="shared" si="694"/>
        <v>22759008</v>
      </c>
    </row>
    <row r="536" spans="1:131" x14ac:dyDescent="0.2">
      <c r="A536" s="353" t="s">
        <v>43</v>
      </c>
      <c r="B536" s="354" t="s">
        <v>460</v>
      </c>
      <c r="C536" s="566"/>
      <c r="D536" s="364">
        <v>228705</v>
      </c>
      <c r="E536" s="355">
        <v>3</v>
      </c>
      <c r="F536" s="598">
        <v>70</v>
      </c>
      <c r="G536" s="599">
        <v>1</v>
      </c>
      <c r="H536" s="600"/>
      <c r="I536" s="601">
        <v>71</v>
      </c>
      <c r="J536" s="600">
        <v>15</v>
      </c>
      <c r="K536" s="599">
        <v>0</v>
      </c>
      <c r="L536" s="600"/>
      <c r="M536" s="601">
        <v>23</v>
      </c>
      <c r="N536" s="600">
        <v>72</v>
      </c>
      <c r="O536" s="599">
        <v>0</v>
      </c>
      <c r="P536" s="600"/>
      <c r="Q536" s="601">
        <v>67</v>
      </c>
      <c r="R536" s="600">
        <v>8</v>
      </c>
      <c r="S536" s="599">
        <v>0</v>
      </c>
      <c r="T536" s="600"/>
      <c r="U536" s="601">
        <v>9</v>
      </c>
      <c r="V536" s="600">
        <v>118</v>
      </c>
      <c r="W536" s="599">
        <v>1</v>
      </c>
      <c r="X536" s="600"/>
      <c r="Y536" s="601">
        <v>139</v>
      </c>
      <c r="Z536" s="600">
        <v>21</v>
      </c>
      <c r="AA536" s="599">
        <v>0</v>
      </c>
      <c r="AB536" s="600"/>
      <c r="AC536" s="601">
        <v>5</v>
      </c>
      <c r="AD536" s="600">
        <v>2</v>
      </c>
      <c r="AE536" s="599">
        <v>0</v>
      </c>
      <c r="AF536" s="600"/>
      <c r="AG536" s="601">
        <v>0</v>
      </c>
      <c r="AH536" s="600"/>
      <c r="AI536" s="599">
        <v>0</v>
      </c>
      <c r="AJ536" s="600"/>
      <c r="AK536" s="601">
        <v>0</v>
      </c>
      <c r="AL536" s="600">
        <v>84</v>
      </c>
      <c r="AM536" s="599">
        <v>30</v>
      </c>
      <c r="AN536" s="600"/>
      <c r="AO536" s="601">
        <v>58</v>
      </c>
      <c r="AP536" s="600">
        <v>0</v>
      </c>
      <c r="AQ536" s="599">
        <v>0</v>
      </c>
      <c r="AR536" s="600"/>
      <c r="AS536" s="601">
        <v>0</v>
      </c>
      <c r="AT536" s="600"/>
      <c r="AU536" s="599"/>
      <c r="AV536" s="600"/>
      <c r="AW536" s="601"/>
      <c r="AX536" s="600"/>
      <c r="AY536" s="599"/>
      <c r="AZ536" s="600"/>
      <c r="BA536" s="601"/>
      <c r="BB536" s="602">
        <v>7350380</v>
      </c>
      <c r="BC536" s="599">
        <v>8099561</v>
      </c>
      <c r="BD536" s="600">
        <v>5402204</v>
      </c>
      <c r="BE536" s="599">
        <v>5365408</v>
      </c>
      <c r="BF536" s="600">
        <v>8621705</v>
      </c>
      <c r="BG536" s="599">
        <v>8908136</v>
      </c>
      <c r="BH536" s="600">
        <v>113998</v>
      </c>
      <c r="BI536" s="599">
        <v>0</v>
      </c>
      <c r="BJ536" s="600">
        <v>2129566</v>
      </c>
      <c r="BK536" s="615">
        <v>2764235</v>
      </c>
      <c r="BL536" s="600">
        <v>0</v>
      </c>
      <c r="BM536" s="604"/>
      <c r="BN536" s="605">
        <f t="shared" si="629"/>
        <v>795</v>
      </c>
      <c r="BO536" s="606">
        <f t="shared" si="630"/>
        <v>995</v>
      </c>
      <c r="BP536" s="607">
        <f t="shared" si="631"/>
        <v>736</v>
      </c>
      <c r="BQ536" s="606">
        <f t="shared" si="632"/>
        <v>778</v>
      </c>
      <c r="BR536" s="607">
        <f t="shared" si="633"/>
        <v>1293</v>
      </c>
      <c r="BS536" s="606">
        <f t="shared" si="634"/>
        <v>1459</v>
      </c>
      <c r="BT536" s="607">
        <f t="shared" si="635"/>
        <v>18</v>
      </c>
      <c r="BU536" s="606">
        <f t="shared" si="636"/>
        <v>0</v>
      </c>
      <c r="BV536" s="607">
        <f t="shared" si="637"/>
        <v>756</v>
      </c>
      <c r="BW536" s="608">
        <f t="shared" si="638"/>
        <v>850</v>
      </c>
      <c r="BX536" s="607">
        <f t="shared" si="639"/>
        <v>0</v>
      </c>
      <c r="BY536" s="608">
        <f t="shared" si="640"/>
        <v>0</v>
      </c>
      <c r="BZ536" s="607">
        <f t="shared" si="641"/>
        <v>9245.7610062893091</v>
      </c>
      <c r="CA536" s="608">
        <f t="shared" si="642"/>
        <v>8140.262311557789</v>
      </c>
      <c r="CB536" s="607">
        <f t="shared" si="643"/>
        <v>7339.951086956522</v>
      </c>
      <c r="CC536" s="608">
        <f t="shared" si="644"/>
        <v>6896.4113110539847</v>
      </c>
      <c r="CD536" s="607">
        <f t="shared" si="645"/>
        <v>6667.9853054911064</v>
      </c>
      <c r="CE536" s="608">
        <f t="shared" si="646"/>
        <v>6105.6449623029475</v>
      </c>
      <c r="CF536" s="607">
        <f t="shared" si="647"/>
        <v>6333.2222222222226</v>
      </c>
      <c r="CG536" s="608">
        <f t="shared" si="648"/>
        <v>0</v>
      </c>
      <c r="CH536" s="607">
        <f t="shared" si="649"/>
        <v>2816.8862433862432</v>
      </c>
      <c r="CI536" s="608">
        <f t="shared" si="650"/>
        <v>3252.0411764705882</v>
      </c>
      <c r="CJ536" s="607">
        <f t="shared" si="651"/>
        <v>0</v>
      </c>
      <c r="CK536" s="608">
        <f t="shared" si="652"/>
        <v>0</v>
      </c>
      <c r="CL536" s="609">
        <f t="shared" si="653"/>
        <v>83211.84905660378</v>
      </c>
      <c r="CM536" s="608">
        <f t="shared" si="654"/>
        <v>73262.360804020107</v>
      </c>
      <c r="CN536" s="610">
        <f t="shared" si="655"/>
        <v>66059.559782608703</v>
      </c>
      <c r="CO536" s="606">
        <f t="shared" si="656"/>
        <v>62067.701799485862</v>
      </c>
      <c r="CP536" s="607">
        <f t="shared" si="657"/>
        <v>60011.867749419958</v>
      </c>
      <c r="CQ536" s="606">
        <f t="shared" si="658"/>
        <v>54950.804660726528</v>
      </c>
      <c r="CR536" s="607">
        <f t="shared" si="659"/>
        <v>56999</v>
      </c>
      <c r="CS536" s="606">
        <f t="shared" si="660"/>
        <v>0</v>
      </c>
      <c r="CT536" s="607">
        <f t="shared" si="661"/>
        <v>25351.976190476191</v>
      </c>
      <c r="CU536" s="608">
        <f t="shared" si="662"/>
        <v>29268.370588235295</v>
      </c>
      <c r="CV536" s="610">
        <f t="shared" si="663"/>
        <v>0</v>
      </c>
      <c r="CW536" s="608">
        <f t="shared" si="664"/>
        <v>0</v>
      </c>
      <c r="CX536" s="610">
        <f t="shared" si="665"/>
        <v>58828.168127152283</v>
      </c>
      <c r="CY536" s="611">
        <f t="shared" si="666"/>
        <v>55001.368566121011</v>
      </c>
      <c r="CZ536" s="605">
        <f t="shared" si="667"/>
        <v>85</v>
      </c>
      <c r="DA536" s="612">
        <f t="shared" si="668"/>
        <v>95</v>
      </c>
      <c r="DB536" s="607">
        <f t="shared" si="669"/>
        <v>80</v>
      </c>
      <c r="DC536" s="606">
        <f t="shared" si="670"/>
        <v>76</v>
      </c>
      <c r="DD536" s="607">
        <f t="shared" si="671"/>
        <v>139</v>
      </c>
      <c r="DE536" s="606">
        <f t="shared" si="672"/>
        <v>145</v>
      </c>
      <c r="DF536" s="607">
        <f t="shared" si="673"/>
        <v>2</v>
      </c>
      <c r="DG536" s="606">
        <f t="shared" si="674"/>
        <v>0</v>
      </c>
      <c r="DH536" s="607">
        <f t="shared" si="675"/>
        <v>84</v>
      </c>
      <c r="DI536" s="608">
        <f t="shared" si="676"/>
        <v>88</v>
      </c>
      <c r="DJ536" s="607">
        <f t="shared" si="677"/>
        <v>0</v>
      </c>
      <c r="DK536" s="608">
        <f t="shared" si="678"/>
        <v>0</v>
      </c>
      <c r="DL536" s="607">
        <f t="shared" si="679"/>
        <v>390</v>
      </c>
      <c r="DM536" s="608">
        <f t="shared" si="680"/>
        <v>404</v>
      </c>
      <c r="DN536" s="607">
        <f t="shared" si="681"/>
        <v>7073007.1698113214</v>
      </c>
      <c r="DO536" s="612">
        <f t="shared" si="682"/>
        <v>6959924.2763819098</v>
      </c>
      <c r="DP536" s="607">
        <f t="shared" si="683"/>
        <v>5284764.7826086963</v>
      </c>
      <c r="DQ536" s="606">
        <f t="shared" si="684"/>
        <v>4717145.3367609251</v>
      </c>
      <c r="DR536" s="607">
        <f t="shared" si="685"/>
        <v>8341649.6171693746</v>
      </c>
      <c r="DS536" s="606">
        <f t="shared" si="686"/>
        <v>7967866.6758053461</v>
      </c>
      <c r="DT536" s="607">
        <f t="shared" si="687"/>
        <v>113998</v>
      </c>
      <c r="DU536" s="606">
        <f t="shared" si="688"/>
        <v>0</v>
      </c>
      <c r="DV536" s="607">
        <f t="shared" si="689"/>
        <v>2129566</v>
      </c>
      <c r="DW536" s="608">
        <f t="shared" si="690"/>
        <v>2575616.6117647057</v>
      </c>
      <c r="DX536" s="607">
        <f t="shared" si="691"/>
        <v>0</v>
      </c>
      <c r="DY536" s="608">
        <f t="shared" si="692"/>
        <v>0</v>
      </c>
      <c r="DZ536" s="607">
        <f t="shared" si="693"/>
        <v>22942985.569589391</v>
      </c>
      <c r="EA536" s="608">
        <f t="shared" si="694"/>
        <v>22220552.900712889</v>
      </c>
    </row>
    <row r="537" spans="1:131" x14ac:dyDescent="0.2">
      <c r="A537" s="353" t="s">
        <v>43</v>
      </c>
      <c r="B537" s="354" t="s">
        <v>461</v>
      </c>
      <c r="C537" s="566"/>
      <c r="D537" s="364">
        <v>229063</v>
      </c>
      <c r="E537" s="355">
        <v>3</v>
      </c>
      <c r="F537" s="598">
        <v>27</v>
      </c>
      <c r="G537" s="599">
        <v>28</v>
      </c>
      <c r="H537" s="600"/>
      <c r="I537" s="601">
        <v>0</v>
      </c>
      <c r="J537" s="600">
        <v>88</v>
      </c>
      <c r="K537" s="599">
        <v>1</v>
      </c>
      <c r="L537" s="600"/>
      <c r="M537" s="601">
        <v>98</v>
      </c>
      <c r="N537" s="600">
        <v>39</v>
      </c>
      <c r="O537" s="599">
        <v>32</v>
      </c>
      <c r="P537" s="600"/>
      <c r="Q537" s="601">
        <v>0</v>
      </c>
      <c r="R537" s="600">
        <v>79</v>
      </c>
      <c r="S537" s="599">
        <v>0</v>
      </c>
      <c r="T537" s="600"/>
      <c r="U537" s="601">
        <v>89</v>
      </c>
      <c r="V537" s="600">
        <v>39</v>
      </c>
      <c r="W537" s="599">
        <v>34</v>
      </c>
      <c r="X537" s="600"/>
      <c r="Y537" s="601">
        <v>0</v>
      </c>
      <c r="Z537" s="600">
        <v>44</v>
      </c>
      <c r="AA537" s="599">
        <v>1</v>
      </c>
      <c r="AB537" s="600"/>
      <c r="AC537" s="601">
        <v>36</v>
      </c>
      <c r="AD537" s="600">
        <v>1</v>
      </c>
      <c r="AE537" s="599">
        <v>4</v>
      </c>
      <c r="AF537" s="600"/>
      <c r="AG537" s="601">
        <v>0</v>
      </c>
      <c r="AH537" s="600">
        <v>5</v>
      </c>
      <c r="AI537" s="599">
        <v>0</v>
      </c>
      <c r="AJ537" s="600"/>
      <c r="AK537" s="601">
        <v>6</v>
      </c>
      <c r="AL537" s="600">
        <v>33</v>
      </c>
      <c r="AM537" s="599">
        <v>39</v>
      </c>
      <c r="AN537" s="600"/>
      <c r="AO537" s="601">
        <v>0</v>
      </c>
      <c r="AP537" s="600">
        <v>45</v>
      </c>
      <c r="AQ537" s="599">
        <v>0</v>
      </c>
      <c r="AR537" s="600"/>
      <c r="AS537" s="601">
        <v>71</v>
      </c>
      <c r="AT537" s="600"/>
      <c r="AU537" s="599"/>
      <c r="AV537" s="600"/>
      <c r="AW537" s="601"/>
      <c r="AX537" s="600"/>
      <c r="AY537" s="599"/>
      <c r="AZ537" s="600"/>
      <c r="BA537" s="601"/>
      <c r="BB537" s="602">
        <v>13070069</v>
      </c>
      <c r="BC537" s="599">
        <v>14914140</v>
      </c>
      <c r="BD537" s="600">
        <v>10385627</v>
      </c>
      <c r="BE537" s="599">
        <v>11162548</v>
      </c>
      <c r="BF537" s="600">
        <v>5723089</v>
      </c>
      <c r="BG537" s="599">
        <v>5173820</v>
      </c>
      <c r="BH537" s="600">
        <v>329472</v>
      </c>
      <c r="BI537" s="599">
        <v>539414</v>
      </c>
      <c r="BJ537" s="600">
        <v>3720355</v>
      </c>
      <c r="BK537" s="615">
        <v>4918487</v>
      </c>
      <c r="BL537" s="600">
        <v>0</v>
      </c>
      <c r="BM537" s="604"/>
      <c r="BN537" s="605">
        <f t="shared" si="629"/>
        <v>1211</v>
      </c>
      <c r="BO537" s="606">
        <f t="shared" si="630"/>
        <v>1439</v>
      </c>
      <c r="BP537" s="607">
        <f t="shared" si="631"/>
        <v>1220</v>
      </c>
      <c r="BQ537" s="606">
        <f t="shared" si="632"/>
        <v>1356</v>
      </c>
      <c r="BR537" s="607">
        <f t="shared" si="633"/>
        <v>835</v>
      </c>
      <c r="BS537" s="606">
        <f t="shared" si="634"/>
        <v>749</v>
      </c>
      <c r="BT537" s="607">
        <f t="shared" si="635"/>
        <v>64</v>
      </c>
      <c r="BU537" s="606">
        <f t="shared" si="636"/>
        <v>108</v>
      </c>
      <c r="BV537" s="607">
        <f t="shared" si="637"/>
        <v>792</v>
      </c>
      <c r="BW537" s="608">
        <f t="shared" si="638"/>
        <v>1203</v>
      </c>
      <c r="BX537" s="607">
        <f t="shared" si="639"/>
        <v>0</v>
      </c>
      <c r="BY537" s="608">
        <f t="shared" si="640"/>
        <v>0</v>
      </c>
      <c r="BZ537" s="607">
        <f t="shared" si="641"/>
        <v>10792.790255986787</v>
      </c>
      <c r="CA537" s="608">
        <f t="shared" si="642"/>
        <v>10364.239054899235</v>
      </c>
      <c r="CB537" s="607">
        <f t="shared" si="643"/>
        <v>8512.809016393443</v>
      </c>
      <c r="CC537" s="608">
        <f t="shared" si="644"/>
        <v>8231.9675516224197</v>
      </c>
      <c r="CD537" s="607">
        <f t="shared" si="645"/>
        <v>6853.9988023952092</v>
      </c>
      <c r="CE537" s="608">
        <f t="shared" si="646"/>
        <v>6907.6368491321764</v>
      </c>
      <c r="CF537" s="607">
        <f t="shared" si="647"/>
        <v>5148</v>
      </c>
      <c r="CG537" s="608">
        <f t="shared" si="648"/>
        <v>4994.5740740740739</v>
      </c>
      <c r="CH537" s="607">
        <f t="shared" si="649"/>
        <v>4697.4179292929293</v>
      </c>
      <c r="CI537" s="608">
        <f t="shared" si="650"/>
        <v>4088.5178719866999</v>
      </c>
      <c r="CJ537" s="607">
        <f t="shared" si="651"/>
        <v>0</v>
      </c>
      <c r="CK537" s="608">
        <f t="shared" si="652"/>
        <v>0</v>
      </c>
      <c r="CL537" s="609">
        <f t="shared" si="653"/>
        <v>97135.112303881091</v>
      </c>
      <c r="CM537" s="608">
        <f t="shared" si="654"/>
        <v>93278.151494093123</v>
      </c>
      <c r="CN537" s="610">
        <f t="shared" si="655"/>
        <v>76615.281147540984</v>
      </c>
      <c r="CO537" s="606">
        <f t="shared" si="656"/>
        <v>74087.707964601781</v>
      </c>
      <c r="CP537" s="607">
        <f t="shared" si="657"/>
        <v>61685.989221556883</v>
      </c>
      <c r="CQ537" s="606">
        <f t="shared" si="658"/>
        <v>62168.731642189588</v>
      </c>
      <c r="CR537" s="607">
        <f t="shared" si="659"/>
        <v>46332</v>
      </c>
      <c r="CS537" s="606">
        <f t="shared" si="660"/>
        <v>44951.166666666664</v>
      </c>
      <c r="CT537" s="607">
        <f t="shared" si="661"/>
        <v>42276.761363636368</v>
      </c>
      <c r="CU537" s="608">
        <f t="shared" si="662"/>
        <v>36796.660847880295</v>
      </c>
      <c r="CV537" s="610">
        <f t="shared" si="663"/>
        <v>0</v>
      </c>
      <c r="CW537" s="608">
        <f t="shared" si="664"/>
        <v>0</v>
      </c>
      <c r="CX537" s="610">
        <f t="shared" si="665"/>
        <v>72266.643955272564</v>
      </c>
      <c r="CY537" s="611">
        <f t="shared" si="666"/>
        <v>67704.014145775858</v>
      </c>
      <c r="CZ537" s="605">
        <f t="shared" si="667"/>
        <v>115</v>
      </c>
      <c r="DA537" s="612">
        <f t="shared" si="668"/>
        <v>127</v>
      </c>
      <c r="DB537" s="607">
        <f t="shared" si="669"/>
        <v>118</v>
      </c>
      <c r="DC537" s="606">
        <f t="shared" si="670"/>
        <v>121</v>
      </c>
      <c r="DD537" s="607">
        <f t="shared" si="671"/>
        <v>83</v>
      </c>
      <c r="DE537" s="606">
        <f t="shared" si="672"/>
        <v>71</v>
      </c>
      <c r="DF537" s="607">
        <f t="shared" si="673"/>
        <v>6</v>
      </c>
      <c r="DG537" s="606">
        <f t="shared" si="674"/>
        <v>10</v>
      </c>
      <c r="DH537" s="607">
        <f t="shared" si="675"/>
        <v>78</v>
      </c>
      <c r="DI537" s="608">
        <f t="shared" si="676"/>
        <v>110</v>
      </c>
      <c r="DJ537" s="607">
        <f t="shared" si="677"/>
        <v>0</v>
      </c>
      <c r="DK537" s="608">
        <f t="shared" si="678"/>
        <v>0</v>
      </c>
      <c r="DL537" s="607">
        <f t="shared" si="679"/>
        <v>400</v>
      </c>
      <c r="DM537" s="608">
        <f t="shared" si="680"/>
        <v>439</v>
      </c>
      <c r="DN537" s="607">
        <f t="shared" si="681"/>
        <v>11170537.914946325</v>
      </c>
      <c r="DO537" s="612">
        <f t="shared" si="682"/>
        <v>11846325.239749826</v>
      </c>
      <c r="DP537" s="607">
        <f t="shared" si="683"/>
        <v>9040603.1754098367</v>
      </c>
      <c r="DQ537" s="606">
        <f t="shared" si="684"/>
        <v>8964612.6637168154</v>
      </c>
      <c r="DR537" s="607">
        <f t="shared" si="685"/>
        <v>5119937.1053892216</v>
      </c>
      <c r="DS537" s="606">
        <f t="shared" si="686"/>
        <v>4413979.9465954611</v>
      </c>
      <c r="DT537" s="607">
        <f t="shared" si="687"/>
        <v>277992</v>
      </c>
      <c r="DU537" s="606">
        <f t="shared" si="688"/>
        <v>449511.66666666663</v>
      </c>
      <c r="DV537" s="607">
        <f t="shared" si="689"/>
        <v>3297587.3863636367</v>
      </c>
      <c r="DW537" s="608">
        <f t="shared" si="690"/>
        <v>4047632.6932668323</v>
      </c>
      <c r="DX537" s="607">
        <f t="shared" si="691"/>
        <v>0</v>
      </c>
      <c r="DY537" s="608">
        <f t="shared" si="692"/>
        <v>0</v>
      </c>
      <c r="DZ537" s="607">
        <f t="shared" si="693"/>
        <v>28906657.582109027</v>
      </c>
      <c r="EA537" s="608">
        <f t="shared" si="694"/>
        <v>29722062.209995601</v>
      </c>
    </row>
    <row r="538" spans="1:131" x14ac:dyDescent="0.2">
      <c r="A538" s="353" t="s">
        <v>43</v>
      </c>
      <c r="B538" s="357" t="s">
        <v>462</v>
      </c>
      <c r="C538" s="582"/>
      <c r="D538" s="364">
        <v>228459</v>
      </c>
      <c r="E538" s="355">
        <v>3</v>
      </c>
      <c r="F538" s="598">
        <v>237</v>
      </c>
      <c r="G538" s="599">
        <v>231</v>
      </c>
      <c r="H538" s="600"/>
      <c r="I538" s="601">
        <v>0</v>
      </c>
      <c r="J538" s="600">
        <v>31</v>
      </c>
      <c r="K538" s="599">
        <v>0</v>
      </c>
      <c r="L538" s="600"/>
      <c r="M538" s="601">
        <v>31</v>
      </c>
      <c r="N538" s="600">
        <v>219</v>
      </c>
      <c r="O538" s="599">
        <v>235</v>
      </c>
      <c r="P538" s="600"/>
      <c r="Q538" s="601">
        <v>0</v>
      </c>
      <c r="R538" s="600">
        <v>8</v>
      </c>
      <c r="S538" s="599">
        <v>0</v>
      </c>
      <c r="T538" s="600"/>
      <c r="U538" s="601">
        <v>9</v>
      </c>
      <c r="V538" s="600">
        <v>263</v>
      </c>
      <c r="W538" s="599">
        <v>228</v>
      </c>
      <c r="X538" s="600"/>
      <c r="Y538" s="601">
        <v>0</v>
      </c>
      <c r="Z538" s="600"/>
      <c r="AA538" s="599">
        <v>0</v>
      </c>
      <c r="AB538" s="600"/>
      <c r="AC538" s="601">
        <v>0</v>
      </c>
      <c r="AD538" s="600">
        <v>4</v>
      </c>
      <c r="AE538" s="599">
        <v>2</v>
      </c>
      <c r="AF538" s="600"/>
      <c r="AG538" s="601">
        <v>0</v>
      </c>
      <c r="AH538" s="600"/>
      <c r="AI538" s="599">
        <v>0</v>
      </c>
      <c r="AJ538" s="600"/>
      <c r="AK538" s="601">
        <v>0</v>
      </c>
      <c r="AL538" s="600">
        <v>313</v>
      </c>
      <c r="AM538" s="599">
        <v>398</v>
      </c>
      <c r="AN538" s="600"/>
      <c r="AO538" s="601">
        <v>0</v>
      </c>
      <c r="AP538" s="600">
        <v>0</v>
      </c>
      <c r="AQ538" s="599">
        <v>0</v>
      </c>
      <c r="AR538" s="600"/>
      <c r="AS538" s="601">
        <v>0</v>
      </c>
      <c r="AT538" s="600"/>
      <c r="AU538" s="599"/>
      <c r="AV538" s="600"/>
      <c r="AW538" s="601"/>
      <c r="AX538" s="600"/>
      <c r="AY538" s="599"/>
      <c r="AZ538" s="600"/>
      <c r="BA538" s="601"/>
      <c r="BB538" s="602">
        <v>25098039</v>
      </c>
      <c r="BC538" s="599">
        <v>25426637</v>
      </c>
      <c r="BD538" s="600">
        <v>15877053</v>
      </c>
      <c r="BE538" s="599">
        <v>18584678</v>
      </c>
      <c r="BF538" s="600">
        <v>16449971</v>
      </c>
      <c r="BG538" s="599">
        <v>14638153</v>
      </c>
      <c r="BH538" s="600">
        <v>187835</v>
      </c>
      <c r="BI538" s="599">
        <v>96791</v>
      </c>
      <c r="BJ538" s="600">
        <v>13501867</v>
      </c>
      <c r="BK538" s="615">
        <v>17449904</v>
      </c>
      <c r="BL538" s="600">
        <v>0</v>
      </c>
      <c r="BM538" s="604"/>
      <c r="BN538" s="605">
        <f t="shared" si="629"/>
        <v>2474</v>
      </c>
      <c r="BO538" s="606">
        <f t="shared" si="630"/>
        <v>2451</v>
      </c>
      <c r="BP538" s="607">
        <f t="shared" si="631"/>
        <v>2059</v>
      </c>
      <c r="BQ538" s="606">
        <f t="shared" si="632"/>
        <v>2223</v>
      </c>
      <c r="BR538" s="607">
        <f t="shared" si="633"/>
        <v>2367</v>
      </c>
      <c r="BS538" s="606">
        <f t="shared" si="634"/>
        <v>2052</v>
      </c>
      <c r="BT538" s="607">
        <f t="shared" si="635"/>
        <v>36</v>
      </c>
      <c r="BU538" s="606">
        <f t="shared" si="636"/>
        <v>18</v>
      </c>
      <c r="BV538" s="607">
        <f t="shared" si="637"/>
        <v>2817</v>
      </c>
      <c r="BW538" s="608">
        <f t="shared" si="638"/>
        <v>3582</v>
      </c>
      <c r="BX538" s="607">
        <f t="shared" si="639"/>
        <v>0</v>
      </c>
      <c r="BY538" s="608">
        <f t="shared" si="640"/>
        <v>0</v>
      </c>
      <c r="BZ538" s="607">
        <f t="shared" si="641"/>
        <v>10144.720695230397</v>
      </c>
      <c r="CA538" s="608">
        <f t="shared" si="642"/>
        <v>10373.984904120767</v>
      </c>
      <c r="CB538" s="607">
        <f t="shared" si="643"/>
        <v>7711.0505099562897</v>
      </c>
      <c r="CC538" s="608">
        <f t="shared" si="644"/>
        <v>8360.1790373369313</v>
      </c>
      <c r="CD538" s="607">
        <f t="shared" si="645"/>
        <v>6949.713138994508</v>
      </c>
      <c r="CE538" s="608">
        <f t="shared" si="646"/>
        <v>7133.6028265107216</v>
      </c>
      <c r="CF538" s="607">
        <f t="shared" si="647"/>
        <v>5217.6388888888887</v>
      </c>
      <c r="CG538" s="608">
        <f t="shared" si="648"/>
        <v>5377.2777777777774</v>
      </c>
      <c r="CH538" s="607">
        <f t="shared" si="649"/>
        <v>4792.9950301739436</v>
      </c>
      <c r="CI538" s="608">
        <f t="shared" si="650"/>
        <v>4871.5533221663873</v>
      </c>
      <c r="CJ538" s="607">
        <f t="shared" si="651"/>
        <v>0</v>
      </c>
      <c r="CK538" s="608">
        <f t="shared" si="652"/>
        <v>0</v>
      </c>
      <c r="CL538" s="609">
        <f t="shared" si="653"/>
        <v>91302.486257073571</v>
      </c>
      <c r="CM538" s="608">
        <f t="shared" si="654"/>
        <v>93365.864137086901</v>
      </c>
      <c r="CN538" s="610">
        <f t="shared" si="655"/>
        <v>69399.454589606612</v>
      </c>
      <c r="CO538" s="606">
        <f t="shared" si="656"/>
        <v>75241.61133603238</v>
      </c>
      <c r="CP538" s="607">
        <f t="shared" si="657"/>
        <v>62547.41825095057</v>
      </c>
      <c r="CQ538" s="606">
        <f t="shared" si="658"/>
        <v>64202.425438596496</v>
      </c>
      <c r="CR538" s="607">
        <f t="shared" si="659"/>
        <v>46958.75</v>
      </c>
      <c r="CS538" s="606">
        <f t="shared" si="660"/>
        <v>48395.5</v>
      </c>
      <c r="CT538" s="607">
        <f t="shared" si="661"/>
        <v>43136.955271565494</v>
      </c>
      <c r="CU538" s="608">
        <f t="shared" si="662"/>
        <v>43843.979899497484</v>
      </c>
      <c r="CV538" s="610">
        <f t="shared" si="663"/>
        <v>0</v>
      </c>
      <c r="CW538" s="608">
        <f t="shared" si="664"/>
        <v>0</v>
      </c>
      <c r="CX538" s="610">
        <f t="shared" si="665"/>
        <v>65453.409775568762</v>
      </c>
      <c r="CY538" s="611">
        <f t="shared" si="666"/>
        <v>66142.555176286318</v>
      </c>
      <c r="CZ538" s="605">
        <f t="shared" si="667"/>
        <v>268</v>
      </c>
      <c r="DA538" s="612">
        <f t="shared" si="668"/>
        <v>262</v>
      </c>
      <c r="DB538" s="607">
        <f t="shared" si="669"/>
        <v>227</v>
      </c>
      <c r="DC538" s="606">
        <f t="shared" si="670"/>
        <v>244</v>
      </c>
      <c r="DD538" s="607">
        <f t="shared" si="671"/>
        <v>263</v>
      </c>
      <c r="DE538" s="606">
        <f t="shared" si="672"/>
        <v>228</v>
      </c>
      <c r="DF538" s="607">
        <f t="shared" si="673"/>
        <v>4</v>
      </c>
      <c r="DG538" s="606">
        <f t="shared" si="674"/>
        <v>2</v>
      </c>
      <c r="DH538" s="607">
        <f t="shared" si="675"/>
        <v>313</v>
      </c>
      <c r="DI538" s="608">
        <f t="shared" si="676"/>
        <v>398</v>
      </c>
      <c r="DJ538" s="607">
        <f t="shared" si="677"/>
        <v>0</v>
      </c>
      <c r="DK538" s="608">
        <f t="shared" si="678"/>
        <v>0</v>
      </c>
      <c r="DL538" s="607">
        <f t="shared" si="679"/>
        <v>1075</v>
      </c>
      <c r="DM538" s="608">
        <f t="shared" si="680"/>
        <v>1134</v>
      </c>
      <c r="DN538" s="607">
        <f t="shared" si="681"/>
        <v>24469066.316895716</v>
      </c>
      <c r="DO538" s="612">
        <f t="shared" si="682"/>
        <v>24461856.403916769</v>
      </c>
      <c r="DP538" s="607">
        <f t="shared" si="683"/>
        <v>15753676.191840701</v>
      </c>
      <c r="DQ538" s="606">
        <f t="shared" si="684"/>
        <v>18358953.165991902</v>
      </c>
      <c r="DR538" s="607">
        <f t="shared" si="685"/>
        <v>16449971</v>
      </c>
      <c r="DS538" s="606">
        <f t="shared" si="686"/>
        <v>14638153.000000002</v>
      </c>
      <c r="DT538" s="607">
        <f t="shared" si="687"/>
        <v>187835</v>
      </c>
      <c r="DU538" s="606">
        <f t="shared" si="688"/>
        <v>96791</v>
      </c>
      <c r="DV538" s="607">
        <f t="shared" si="689"/>
        <v>13501867</v>
      </c>
      <c r="DW538" s="608">
        <f t="shared" si="690"/>
        <v>17449904</v>
      </c>
      <c r="DX538" s="607">
        <f t="shared" si="691"/>
        <v>0</v>
      </c>
      <c r="DY538" s="608">
        <f t="shared" si="692"/>
        <v>0</v>
      </c>
      <c r="DZ538" s="607">
        <f t="shared" si="693"/>
        <v>70362415.508736417</v>
      </c>
      <c r="EA538" s="608">
        <f t="shared" si="694"/>
        <v>75005657.569908679</v>
      </c>
    </row>
    <row r="539" spans="1:131" x14ac:dyDescent="0.2">
      <c r="A539" s="353" t="s">
        <v>43</v>
      </c>
      <c r="B539" s="354" t="s">
        <v>463</v>
      </c>
      <c r="C539" s="566"/>
      <c r="D539" s="364">
        <v>225414</v>
      </c>
      <c r="E539" s="355">
        <v>3</v>
      </c>
      <c r="F539" s="598">
        <v>42</v>
      </c>
      <c r="G539" s="599">
        <v>49</v>
      </c>
      <c r="H539" s="600"/>
      <c r="I539" s="601">
        <v>0</v>
      </c>
      <c r="J539" s="600">
        <v>1</v>
      </c>
      <c r="K539" s="599">
        <v>0</v>
      </c>
      <c r="L539" s="600"/>
      <c r="M539" s="601">
        <v>1</v>
      </c>
      <c r="N539" s="600">
        <v>83</v>
      </c>
      <c r="O539" s="599">
        <v>92</v>
      </c>
      <c r="P539" s="600"/>
      <c r="Q539" s="601">
        <v>0</v>
      </c>
      <c r="R539" s="600"/>
      <c r="S539" s="599">
        <v>0</v>
      </c>
      <c r="T539" s="600"/>
      <c r="U539" s="601">
        <v>0</v>
      </c>
      <c r="V539" s="600">
        <v>70</v>
      </c>
      <c r="W539" s="599">
        <v>71</v>
      </c>
      <c r="X539" s="600"/>
      <c r="Y539" s="601">
        <v>0</v>
      </c>
      <c r="Z539" s="600"/>
      <c r="AA539" s="599">
        <v>0</v>
      </c>
      <c r="AB539" s="600"/>
      <c r="AC539" s="601">
        <v>0</v>
      </c>
      <c r="AD539" s="600">
        <v>1</v>
      </c>
      <c r="AE539" s="599">
        <v>0</v>
      </c>
      <c r="AF539" s="600"/>
      <c r="AG539" s="601">
        <v>0</v>
      </c>
      <c r="AH539" s="600"/>
      <c r="AI539" s="599">
        <v>0</v>
      </c>
      <c r="AJ539" s="600"/>
      <c r="AK539" s="601">
        <v>0</v>
      </c>
      <c r="AL539" s="600">
        <v>37</v>
      </c>
      <c r="AM539" s="599">
        <v>35</v>
      </c>
      <c r="AN539" s="600"/>
      <c r="AO539" s="601">
        <v>0</v>
      </c>
      <c r="AP539" s="600">
        <v>3</v>
      </c>
      <c r="AQ539" s="599">
        <v>0</v>
      </c>
      <c r="AR539" s="600"/>
      <c r="AS539" s="601">
        <v>3</v>
      </c>
      <c r="AT539" s="600"/>
      <c r="AU539" s="599"/>
      <c r="AV539" s="600"/>
      <c r="AW539" s="601"/>
      <c r="AX539" s="600"/>
      <c r="AY539" s="599"/>
      <c r="AZ539" s="600"/>
      <c r="BA539" s="601"/>
      <c r="BB539" s="602">
        <v>4082782</v>
      </c>
      <c r="BC539" s="599">
        <v>4617110</v>
      </c>
      <c r="BD539" s="600">
        <v>6023691</v>
      </c>
      <c r="BE539" s="599">
        <v>6567001</v>
      </c>
      <c r="BF539" s="600">
        <v>4304950</v>
      </c>
      <c r="BG539" s="599">
        <v>4475975</v>
      </c>
      <c r="BH539" s="600">
        <v>46700</v>
      </c>
      <c r="BI539" s="599">
        <v>0</v>
      </c>
      <c r="BJ539" s="600">
        <v>2031571.6666666667</v>
      </c>
      <c r="BK539" s="615">
        <v>2066166</v>
      </c>
      <c r="BL539" s="600">
        <v>0</v>
      </c>
      <c r="BM539" s="604"/>
      <c r="BN539" s="605">
        <f t="shared" si="629"/>
        <v>389</v>
      </c>
      <c r="BO539" s="606">
        <f t="shared" si="630"/>
        <v>453</v>
      </c>
      <c r="BP539" s="607">
        <f t="shared" si="631"/>
        <v>747</v>
      </c>
      <c r="BQ539" s="606">
        <f t="shared" si="632"/>
        <v>828</v>
      </c>
      <c r="BR539" s="607">
        <f t="shared" si="633"/>
        <v>630</v>
      </c>
      <c r="BS539" s="606">
        <f t="shared" si="634"/>
        <v>639</v>
      </c>
      <c r="BT539" s="607">
        <f t="shared" si="635"/>
        <v>9</v>
      </c>
      <c r="BU539" s="606">
        <f t="shared" si="636"/>
        <v>0</v>
      </c>
      <c r="BV539" s="607">
        <f t="shared" si="637"/>
        <v>366</v>
      </c>
      <c r="BW539" s="608">
        <f t="shared" si="638"/>
        <v>351</v>
      </c>
      <c r="BX539" s="607">
        <f t="shared" si="639"/>
        <v>0</v>
      </c>
      <c r="BY539" s="608">
        <f t="shared" si="640"/>
        <v>0</v>
      </c>
      <c r="BZ539" s="607">
        <f t="shared" si="641"/>
        <v>10495.583547557841</v>
      </c>
      <c r="CA539" s="608">
        <f t="shared" si="642"/>
        <v>10192.295805739514</v>
      </c>
      <c r="CB539" s="607">
        <f t="shared" si="643"/>
        <v>8063.8433734939763</v>
      </c>
      <c r="CC539" s="608">
        <f t="shared" si="644"/>
        <v>7931.1606280193237</v>
      </c>
      <c r="CD539" s="607">
        <f t="shared" si="645"/>
        <v>6833.2539682539682</v>
      </c>
      <c r="CE539" s="608">
        <f t="shared" si="646"/>
        <v>7004.6557120500784</v>
      </c>
      <c r="CF539" s="607">
        <f t="shared" si="647"/>
        <v>5188.8888888888887</v>
      </c>
      <c r="CG539" s="608">
        <f t="shared" si="648"/>
        <v>0</v>
      </c>
      <c r="CH539" s="607">
        <f t="shared" si="649"/>
        <v>5550.7422586520952</v>
      </c>
      <c r="CI539" s="608">
        <f t="shared" si="650"/>
        <v>5886.5128205128203</v>
      </c>
      <c r="CJ539" s="607">
        <f t="shared" si="651"/>
        <v>0</v>
      </c>
      <c r="CK539" s="608">
        <f t="shared" si="652"/>
        <v>0</v>
      </c>
      <c r="CL539" s="609">
        <f t="shared" si="653"/>
        <v>94460.25192802056</v>
      </c>
      <c r="CM539" s="608">
        <f t="shared" si="654"/>
        <v>91730.662251655624</v>
      </c>
      <c r="CN539" s="610">
        <f t="shared" si="655"/>
        <v>72574.590361445793</v>
      </c>
      <c r="CO539" s="606">
        <f t="shared" si="656"/>
        <v>71380.445652173919</v>
      </c>
      <c r="CP539" s="607">
        <f t="shared" si="657"/>
        <v>61499.28571428571</v>
      </c>
      <c r="CQ539" s="606">
        <f t="shared" si="658"/>
        <v>63041.901408450707</v>
      </c>
      <c r="CR539" s="607">
        <f t="shared" si="659"/>
        <v>46700</v>
      </c>
      <c r="CS539" s="606">
        <f t="shared" si="660"/>
        <v>0</v>
      </c>
      <c r="CT539" s="607">
        <f t="shared" si="661"/>
        <v>49956.68032786886</v>
      </c>
      <c r="CU539" s="608">
        <f t="shared" si="662"/>
        <v>52978.615384615383</v>
      </c>
      <c r="CV539" s="610">
        <f t="shared" si="663"/>
        <v>0</v>
      </c>
      <c r="CW539" s="608">
        <f t="shared" si="664"/>
        <v>0</v>
      </c>
      <c r="CX539" s="610">
        <f t="shared" si="665"/>
        <v>69347.675299660928</v>
      </c>
      <c r="CY539" s="611">
        <f t="shared" si="666"/>
        <v>70289.62747887717</v>
      </c>
      <c r="CZ539" s="605">
        <f t="shared" si="667"/>
        <v>43</v>
      </c>
      <c r="DA539" s="612">
        <f t="shared" si="668"/>
        <v>50</v>
      </c>
      <c r="DB539" s="607">
        <f t="shared" si="669"/>
        <v>83</v>
      </c>
      <c r="DC539" s="606">
        <f t="shared" si="670"/>
        <v>92</v>
      </c>
      <c r="DD539" s="607">
        <f t="shared" si="671"/>
        <v>70</v>
      </c>
      <c r="DE539" s="606">
        <f t="shared" si="672"/>
        <v>71</v>
      </c>
      <c r="DF539" s="607">
        <f t="shared" si="673"/>
        <v>1</v>
      </c>
      <c r="DG539" s="606">
        <f t="shared" si="674"/>
        <v>0</v>
      </c>
      <c r="DH539" s="607">
        <f t="shared" si="675"/>
        <v>40</v>
      </c>
      <c r="DI539" s="608">
        <f t="shared" si="676"/>
        <v>38</v>
      </c>
      <c r="DJ539" s="607">
        <f t="shared" si="677"/>
        <v>0</v>
      </c>
      <c r="DK539" s="608">
        <f t="shared" si="678"/>
        <v>0</v>
      </c>
      <c r="DL539" s="607">
        <f t="shared" si="679"/>
        <v>237</v>
      </c>
      <c r="DM539" s="608">
        <f t="shared" si="680"/>
        <v>251</v>
      </c>
      <c r="DN539" s="607">
        <f t="shared" si="681"/>
        <v>4061790.8329048841</v>
      </c>
      <c r="DO539" s="612">
        <f t="shared" si="682"/>
        <v>4586533.1125827814</v>
      </c>
      <c r="DP539" s="607">
        <f t="shared" si="683"/>
        <v>6023691.0000000009</v>
      </c>
      <c r="DQ539" s="606">
        <f t="shared" si="684"/>
        <v>6567001.0000000009</v>
      </c>
      <c r="DR539" s="607">
        <f t="shared" si="685"/>
        <v>4304950</v>
      </c>
      <c r="DS539" s="606">
        <f t="shared" si="686"/>
        <v>4475975</v>
      </c>
      <c r="DT539" s="607">
        <f t="shared" si="687"/>
        <v>46700</v>
      </c>
      <c r="DU539" s="606">
        <f t="shared" si="688"/>
        <v>0</v>
      </c>
      <c r="DV539" s="607">
        <f t="shared" si="689"/>
        <v>1998267.2131147543</v>
      </c>
      <c r="DW539" s="608">
        <f t="shared" si="690"/>
        <v>2013187.3846153845</v>
      </c>
      <c r="DX539" s="607">
        <f t="shared" si="691"/>
        <v>0</v>
      </c>
      <c r="DY539" s="608">
        <f t="shared" si="692"/>
        <v>0</v>
      </c>
      <c r="DZ539" s="607">
        <f t="shared" si="693"/>
        <v>16435399.04601964</v>
      </c>
      <c r="EA539" s="608">
        <f t="shared" si="694"/>
        <v>17642696.497198168</v>
      </c>
    </row>
    <row r="540" spans="1:131" x14ac:dyDescent="0.2">
      <c r="A540" s="353" t="s">
        <v>43</v>
      </c>
      <c r="B540" s="356" t="s">
        <v>464</v>
      </c>
      <c r="C540" s="566"/>
      <c r="D540" s="364">
        <v>227377</v>
      </c>
      <c r="E540" s="365">
        <v>3</v>
      </c>
      <c r="F540" s="598">
        <v>55</v>
      </c>
      <c r="G540" s="599">
        <v>55</v>
      </c>
      <c r="H540" s="600"/>
      <c r="I540" s="601">
        <v>0</v>
      </c>
      <c r="J540" s="600">
        <v>1</v>
      </c>
      <c r="K540" s="599">
        <v>0</v>
      </c>
      <c r="L540" s="600"/>
      <c r="M540" s="601">
        <v>1</v>
      </c>
      <c r="N540" s="600">
        <v>121</v>
      </c>
      <c r="O540" s="599">
        <v>100</v>
      </c>
      <c r="P540" s="600"/>
      <c r="Q540" s="601">
        <v>0</v>
      </c>
      <c r="R540" s="600">
        <v>9</v>
      </c>
      <c r="S540" s="599">
        <v>0</v>
      </c>
      <c r="T540" s="600"/>
      <c r="U540" s="601">
        <v>9</v>
      </c>
      <c r="V540" s="600">
        <v>123</v>
      </c>
      <c r="W540" s="599">
        <v>82</v>
      </c>
      <c r="X540" s="600"/>
      <c r="Y540" s="601">
        <v>0</v>
      </c>
      <c r="Z540" s="600">
        <v>14</v>
      </c>
      <c r="AA540" s="599">
        <v>0</v>
      </c>
      <c r="AB540" s="600"/>
      <c r="AC540" s="601">
        <v>2</v>
      </c>
      <c r="AD540" s="600">
        <v>2</v>
      </c>
      <c r="AE540" s="599">
        <v>48</v>
      </c>
      <c r="AF540" s="600"/>
      <c r="AG540" s="601">
        <v>0</v>
      </c>
      <c r="AH540" s="600"/>
      <c r="AI540" s="599">
        <v>0</v>
      </c>
      <c r="AJ540" s="600"/>
      <c r="AK540" s="601">
        <v>21</v>
      </c>
      <c r="AL540" s="600">
        <v>68</v>
      </c>
      <c r="AM540" s="599">
        <v>70</v>
      </c>
      <c r="AN540" s="600"/>
      <c r="AO540" s="601">
        <v>0</v>
      </c>
      <c r="AP540" s="600">
        <v>15</v>
      </c>
      <c r="AQ540" s="599">
        <v>0</v>
      </c>
      <c r="AR540" s="600"/>
      <c r="AS540" s="601">
        <v>5</v>
      </c>
      <c r="AT540" s="600"/>
      <c r="AU540" s="599"/>
      <c r="AV540" s="600"/>
      <c r="AW540" s="601"/>
      <c r="AX540" s="600"/>
      <c r="AY540" s="599"/>
      <c r="AZ540" s="600"/>
      <c r="BA540" s="601"/>
      <c r="BB540" s="602">
        <v>4502931</v>
      </c>
      <c r="BC540" s="599">
        <v>4603792</v>
      </c>
      <c r="BD540" s="600">
        <v>8735344</v>
      </c>
      <c r="BE540" s="599">
        <v>7158453</v>
      </c>
      <c r="BF540" s="600">
        <v>7904223</v>
      </c>
      <c r="BG540" s="599">
        <v>4994907</v>
      </c>
      <c r="BH540" s="600">
        <v>98500</v>
      </c>
      <c r="BI540" s="599">
        <v>3912501</v>
      </c>
      <c r="BJ540" s="600">
        <v>3405217.5</v>
      </c>
      <c r="BK540" s="615">
        <v>3297882</v>
      </c>
      <c r="BL540" s="600">
        <v>0</v>
      </c>
      <c r="BM540" s="604"/>
      <c r="BN540" s="605">
        <f t="shared" si="629"/>
        <v>506</v>
      </c>
      <c r="BO540" s="606">
        <f t="shared" si="630"/>
        <v>507</v>
      </c>
      <c r="BP540" s="607">
        <f t="shared" si="631"/>
        <v>1188</v>
      </c>
      <c r="BQ540" s="606">
        <f t="shared" si="632"/>
        <v>1008</v>
      </c>
      <c r="BR540" s="607">
        <f t="shared" si="633"/>
        <v>1261</v>
      </c>
      <c r="BS540" s="606">
        <f t="shared" si="634"/>
        <v>762</v>
      </c>
      <c r="BT540" s="607">
        <f t="shared" si="635"/>
        <v>18</v>
      </c>
      <c r="BU540" s="606">
        <f t="shared" si="636"/>
        <v>684</v>
      </c>
      <c r="BV540" s="607">
        <f t="shared" si="637"/>
        <v>777</v>
      </c>
      <c r="BW540" s="608">
        <f t="shared" si="638"/>
        <v>690</v>
      </c>
      <c r="BX540" s="607">
        <f t="shared" si="639"/>
        <v>0</v>
      </c>
      <c r="BY540" s="608">
        <f t="shared" si="640"/>
        <v>0</v>
      </c>
      <c r="BZ540" s="607">
        <f t="shared" si="641"/>
        <v>8899.073122529644</v>
      </c>
      <c r="CA540" s="608">
        <f t="shared" si="642"/>
        <v>9080.457593688363</v>
      </c>
      <c r="CB540" s="607">
        <f t="shared" si="643"/>
        <v>7352.9831649831649</v>
      </c>
      <c r="CC540" s="608">
        <f t="shared" si="644"/>
        <v>7101.6398809523807</v>
      </c>
      <c r="CD540" s="607">
        <f t="shared" si="645"/>
        <v>6268.218080888184</v>
      </c>
      <c r="CE540" s="608">
        <f t="shared" si="646"/>
        <v>6554.9960629921261</v>
      </c>
      <c r="CF540" s="607">
        <f t="shared" si="647"/>
        <v>5472.2222222222226</v>
      </c>
      <c r="CG540" s="608">
        <f t="shared" si="648"/>
        <v>5720.0307017543855</v>
      </c>
      <c r="CH540" s="607">
        <f t="shared" si="649"/>
        <v>4382.5193050193047</v>
      </c>
      <c r="CI540" s="608">
        <f t="shared" si="650"/>
        <v>4779.5391304347822</v>
      </c>
      <c r="CJ540" s="607">
        <f t="shared" si="651"/>
        <v>0</v>
      </c>
      <c r="CK540" s="608">
        <f t="shared" si="652"/>
        <v>0</v>
      </c>
      <c r="CL540" s="609">
        <f t="shared" si="653"/>
        <v>80091.6581027668</v>
      </c>
      <c r="CM540" s="608">
        <f t="shared" si="654"/>
        <v>81724.118343195267</v>
      </c>
      <c r="CN540" s="610">
        <f t="shared" si="655"/>
        <v>66176.84848484848</v>
      </c>
      <c r="CO540" s="606">
        <f t="shared" si="656"/>
        <v>63914.758928571428</v>
      </c>
      <c r="CP540" s="607">
        <f t="shared" si="657"/>
        <v>56413.962727993654</v>
      </c>
      <c r="CQ540" s="606">
        <f t="shared" si="658"/>
        <v>58994.964566929135</v>
      </c>
      <c r="CR540" s="607">
        <f t="shared" si="659"/>
        <v>49250</v>
      </c>
      <c r="CS540" s="606">
        <f t="shared" si="660"/>
        <v>51480.276315789466</v>
      </c>
      <c r="CT540" s="607">
        <f t="shared" si="661"/>
        <v>39442.673745173743</v>
      </c>
      <c r="CU540" s="608">
        <f t="shared" si="662"/>
        <v>43015.852173913037</v>
      </c>
      <c r="CV540" s="610">
        <f t="shared" si="663"/>
        <v>0</v>
      </c>
      <c r="CW540" s="608">
        <f t="shared" si="664"/>
        <v>0</v>
      </c>
      <c r="CX540" s="610">
        <f t="shared" si="665"/>
        <v>59286.955812180859</v>
      </c>
      <c r="CY540" s="611">
        <f t="shared" si="666"/>
        <v>59229.425834321155</v>
      </c>
      <c r="CZ540" s="605">
        <f t="shared" si="667"/>
        <v>56</v>
      </c>
      <c r="DA540" s="612">
        <f t="shared" si="668"/>
        <v>56</v>
      </c>
      <c r="DB540" s="607">
        <f t="shared" si="669"/>
        <v>130</v>
      </c>
      <c r="DC540" s="606">
        <f t="shared" si="670"/>
        <v>109</v>
      </c>
      <c r="DD540" s="607">
        <f t="shared" si="671"/>
        <v>137</v>
      </c>
      <c r="DE540" s="606">
        <f t="shared" si="672"/>
        <v>84</v>
      </c>
      <c r="DF540" s="607">
        <f t="shared" si="673"/>
        <v>2</v>
      </c>
      <c r="DG540" s="606">
        <f t="shared" si="674"/>
        <v>69</v>
      </c>
      <c r="DH540" s="607">
        <f t="shared" si="675"/>
        <v>83</v>
      </c>
      <c r="DI540" s="608">
        <f t="shared" si="676"/>
        <v>75</v>
      </c>
      <c r="DJ540" s="607">
        <f t="shared" si="677"/>
        <v>0</v>
      </c>
      <c r="DK540" s="608">
        <f t="shared" si="678"/>
        <v>0</v>
      </c>
      <c r="DL540" s="607">
        <f t="shared" si="679"/>
        <v>408</v>
      </c>
      <c r="DM540" s="608">
        <f t="shared" si="680"/>
        <v>393</v>
      </c>
      <c r="DN540" s="607">
        <f t="shared" si="681"/>
        <v>4485132.8537549404</v>
      </c>
      <c r="DO540" s="612">
        <f t="shared" si="682"/>
        <v>4576550.6272189347</v>
      </c>
      <c r="DP540" s="607">
        <f t="shared" si="683"/>
        <v>8602990.3030303027</v>
      </c>
      <c r="DQ540" s="606">
        <f t="shared" si="684"/>
        <v>6966708.7232142854</v>
      </c>
      <c r="DR540" s="607">
        <f t="shared" si="685"/>
        <v>7728712.8937351303</v>
      </c>
      <c r="DS540" s="606">
        <f t="shared" si="686"/>
        <v>4955577.0236220472</v>
      </c>
      <c r="DT540" s="607">
        <f t="shared" si="687"/>
        <v>98500</v>
      </c>
      <c r="DU540" s="606">
        <f t="shared" si="688"/>
        <v>3552139.0657894732</v>
      </c>
      <c r="DV540" s="607">
        <f t="shared" si="689"/>
        <v>3273741.9208494206</v>
      </c>
      <c r="DW540" s="608">
        <f t="shared" si="690"/>
        <v>3226188.9130434776</v>
      </c>
      <c r="DX540" s="607">
        <f t="shared" si="691"/>
        <v>0</v>
      </c>
      <c r="DY540" s="608">
        <f t="shared" si="692"/>
        <v>0</v>
      </c>
      <c r="DZ540" s="607">
        <f t="shared" si="693"/>
        <v>24189077.971369792</v>
      </c>
      <c r="EA540" s="608">
        <f t="shared" si="694"/>
        <v>23277164.352888215</v>
      </c>
    </row>
    <row r="541" spans="1:131" x14ac:dyDescent="0.2">
      <c r="A541" s="353" t="s">
        <v>43</v>
      </c>
      <c r="B541" s="354" t="s">
        <v>465</v>
      </c>
      <c r="C541" s="566"/>
      <c r="D541" s="364">
        <v>228802</v>
      </c>
      <c r="E541" s="355">
        <v>3</v>
      </c>
      <c r="F541" s="598">
        <v>53</v>
      </c>
      <c r="G541" s="599">
        <v>48</v>
      </c>
      <c r="H541" s="600"/>
      <c r="I541" s="601">
        <v>0</v>
      </c>
      <c r="J541" s="600"/>
      <c r="K541" s="599">
        <v>0</v>
      </c>
      <c r="L541" s="600"/>
      <c r="M541" s="601">
        <v>0</v>
      </c>
      <c r="N541" s="600">
        <v>68</v>
      </c>
      <c r="O541" s="599">
        <v>68</v>
      </c>
      <c r="P541" s="600"/>
      <c r="Q541" s="601">
        <v>0</v>
      </c>
      <c r="R541" s="600"/>
      <c r="S541" s="599">
        <v>0</v>
      </c>
      <c r="T541" s="600"/>
      <c r="U541" s="601">
        <v>0</v>
      </c>
      <c r="V541" s="600">
        <v>71</v>
      </c>
      <c r="W541" s="599">
        <v>79</v>
      </c>
      <c r="X541" s="600"/>
      <c r="Y541" s="601">
        <v>0</v>
      </c>
      <c r="Z541" s="600"/>
      <c r="AA541" s="599">
        <v>0</v>
      </c>
      <c r="AB541" s="600"/>
      <c r="AC541" s="601">
        <v>0</v>
      </c>
      <c r="AD541" s="600">
        <v>41</v>
      </c>
      <c r="AE541" s="599">
        <v>48</v>
      </c>
      <c r="AF541" s="600"/>
      <c r="AG541" s="601">
        <v>0</v>
      </c>
      <c r="AH541" s="600"/>
      <c r="AI541" s="599">
        <v>0</v>
      </c>
      <c r="AJ541" s="600"/>
      <c r="AK541" s="601">
        <v>0</v>
      </c>
      <c r="AL541" s="600">
        <v>43</v>
      </c>
      <c r="AM541" s="599">
        <v>43</v>
      </c>
      <c r="AN541" s="600"/>
      <c r="AO541" s="601">
        <v>0</v>
      </c>
      <c r="AP541" s="600">
        <v>0</v>
      </c>
      <c r="AQ541" s="599">
        <v>0</v>
      </c>
      <c r="AR541" s="600"/>
      <c r="AS541" s="601">
        <v>0</v>
      </c>
      <c r="AT541" s="600"/>
      <c r="AU541" s="599"/>
      <c r="AV541" s="600"/>
      <c r="AW541" s="601"/>
      <c r="AX541" s="600"/>
      <c r="AY541" s="599"/>
      <c r="AZ541" s="600"/>
      <c r="BA541" s="601"/>
      <c r="BB541" s="602">
        <v>4357851</v>
      </c>
      <c r="BC541" s="599">
        <v>4090515</v>
      </c>
      <c r="BD541" s="600">
        <v>4503798</v>
      </c>
      <c r="BE541" s="599">
        <v>4537611</v>
      </c>
      <c r="BF541" s="600">
        <v>4247676</v>
      </c>
      <c r="BG541" s="599">
        <v>4965570</v>
      </c>
      <c r="BH541" s="600">
        <v>1927008</v>
      </c>
      <c r="BI541" s="599">
        <v>2310129</v>
      </c>
      <c r="BJ541" s="600">
        <v>1939194</v>
      </c>
      <c r="BK541" s="615">
        <v>1964013</v>
      </c>
      <c r="BL541" s="600">
        <v>0</v>
      </c>
      <c r="BM541" s="604"/>
      <c r="BN541" s="605">
        <f t="shared" si="629"/>
        <v>477</v>
      </c>
      <c r="BO541" s="606">
        <f t="shared" si="630"/>
        <v>432</v>
      </c>
      <c r="BP541" s="607">
        <f t="shared" si="631"/>
        <v>612</v>
      </c>
      <c r="BQ541" s="606">
        <f t="shared" si="632"/>
        <v>612</v>
      </c>
      <c r="BR541" s="607">
        <f t="shared" si="633"/>
        <v>639</v>
      </c>
      <c r="BS541" s="606">
        <f t="shared" si="634"/>
        <v>711</v>
      </c>
      <c r="BT541" s="607">
        <f t="shared" si="635"/>
        <v>369</v>
      </c>
      <c r="BU541" s="606">
        <f t="shared" si="636"/>
        <v>432</v>
      </c>
      <c r="BV541" s="607">
        <f t="shared" si="637"/>
        <v>387</v>
      </c>
      <c r="BW541" s="608">
        <f t="shared" si="638"/>
        <v>387</v>
      </c>
      <c r="BX541" s="607">
        <f t="shared" si="639"/>
        <v>0</v>
      </c>
      <c r="BY541" s="608">
        <f t="shared" si="640"/>
        <v>0</v>
      </c>
      <c r="BZ541" s="607">
        <f t="shared" si="641"/>
        <v>9135.9559748427673</v>
      </c>
      <c r="CA541" s="608">
        <f t="shared" si="642"/>
        <v>9468.7847222222226</v>
      </c>
      <c r="CB541" s="607">
        <f t="shared" si="643"/>
        <v>7359.1470588235297</v>
      </c>
      <c r="CC541" s="608">
        <f t="shared" si="644"/>
        <v>7414.3970588235297</v>
      </c>
      <c r="CD541" s="607">
        <f t="shared" si="645"/>
        <v>6647.3802816901407</v>
      </c>
      <c r="CE541" s="608">
        <f t="shared" si="646"/>
        <v>6983.9240506329115</v>
      </c>
      <c r="CF541" s="607">
        <f t="shared" si="647"/>
        <v>5222.2439024390242</v>
      </c>
      <c r="CG541" s="608">
        <f t="shared" si="648"/>
        <v>5347.520833333333</v>
      </c>
      <c r="CH541" s="607">
        <f t="shared" si="649"/>
        <v>5010.8372093023254</v>
      </c>
      <c r="CI541" s="608">
        <f t="shared" si="650"/>
        <v>5074.968992248062</v>
      </c>
      <c r="CJ541" s="607">
        <f t="shared" si="651"/>
        <v>0</v>
      </c>
      <c r="CK541" s="608">
        <f t="shared" si="652"/>
        <v>0</v>
      </c>
      <c r="CL541" s="609">
        <f t="shared" si="653"/>
        <v>82223.60377358491</v>
      </c>
      <c r="CM541" s="608">
        <f t="shared" si="654"/>
        <v>85219.0625</v>
      </c>
      <c r="CN541" s="610">
        <f t="shared" si="655"/>
        <v>66232.323529411762</v>
      </c>
      <c r="CO541" s="606">
        <f t="shared" si="656"/>
        <v>66729.573529411762</v>
      </c>
      <c r="CP541" s="607">
        <f t="shared" si="657"/>
        <v>59826.42253521127</v>
      </c>
      <c r="CQ541" s="606">
        <f t="shared" si="658"/>
        <v>62855.3164556962</v>
      </c>
      <c r="CR541" s="607">
        <f t="shared" si="659"/>
        <v>47000.195121951219</v>
      </c>
      <c r="CS541" s="606">
        <f t="shared" si="660"/>
        <v>48127.6875</v>
      </c>
      <c r="CT541" s="607">
        <f t="shared" si="661"/>
        <v>45097.534883720931</v>
      </c>
      <c r="CU541" s="608">
        <f t="shared" si="662"/>
        <v>45674.720930232557</v>
      </c>
      <c r="CV541" s="610">
        <f t="shared" si="663"/>
        <v>0</v>
      </c>
      <c r="CW541" s="608">
        <f t="shared" si="664"/>
        <v>0</v>
      </c>
      <c r="CX541" s="610">
        <f t="shared" si="665"/>
        <v>61505.532608695656</v>
      </c>
      <c r="CY541" s="611">
        <f t="shared" si="666"/>
        <v>62474.958041958045</v>
      </c>
      <c r="CZ541" s="605">
        <f t="shared" si="667"/>
        <v>53</v>
      </c>
      <c r="DA541" s="612">
        <f t="shared" si="668"/>
        <v>48</v>
      </c>
      <c r="DB541" s="607">
        <f t="shared" si="669"/>
        <v>68</v>
      </c>
      <c r="DC541" s="606">
        <f t="shared" si="670"/>
        <v>68</v>
      </c>
      <c r="DD541" s="607">
        <f t="shared" si="671"/>
        <v>71</v>
      </c>
      <c r="DE541" s="606">
        <f t="shared" si="672"/>
        <v>79</v>
      </c>
      <c r="DF541" s="607">
        <f t="shared" si="673"/>
        <v>41</v>
      </c>
      <c r="DG541" s="606">
        <f t="shared" si="674"/>
        <v>48</v>
      </c>
      <c r="DH541" s="607">
        <f t="shared" si="675"/>
        <v>43</v>
      </c>
      <c r="DI541" s="608">
        <f t="shared" si="676"/>
        <v>43</v>
      </c>
      <c r="DJ541" s="607">
        <f t="shared" si="677"/>
        <v>0</v>
      </c>
      <c r="DK541" s="608">
        <f t="shared" si="678"/>
        <v>0</v>
      </c>
      <c r="DL541" s="607">
        <f t="shared" si="679"/>
        <v>276</v>
      </c>
      <c r="DM541" s="608">
        <f t="shared" si="680"/>
        <v>286</v>
      </c>
      <c r="DN541" s="607">
        <f t="shared" si="681"/>
        <v>4357851</v>
      </c>
      <c r="DO541" s="612">
        <f t="shared" si="682"/>
        <v>4090515</v>
      </c>
      <c r="DP541" s="607">
        <f t="shared" si="683"/>
        <v>4503798</v>
      </c>
      <c r="DQ541" s="606">
        <f t="shared" si="684"/>
        <v>4537611</v>
      </c>
      <c r="DR541" s="607">
        <f t="shared" si="685"/>
        <v>4247676</v>
      </c>
      <c r="DS541" s="606">
        <f t="shared" si="686"/>
        <v>4965570</v>
      </c>
      <c r="DT541" s="607">
        <f t="shared" si="687"/>
        <v>1927008</v>
      </c>
      <c r="DU541" s="606">
        <f t="shared" si="688"/>
        <v>2310129</v>
      </c>
      <c r="DV541" s="607">
        <f t="shared" si="689"/>
        <v>1939194</v>
      </c>
      <c r="DW541" s="608">
        <f t="shared" si="690"/>
        <v>1964013</v>
      </c>
      <c r="DX541" s="607">
        <f t="shared" si="691"/>
        <v>0</v>
      </c>
      <c r="DY541" s="608">
        <f t="shared" si="692"/>
        <v>0</v>
      </c>
      <c r="DZ541" s="607">
        <f t="shared" si="693"/>
        <v>16975527</v>
      </c>
      <c r="EA541" s="608">
        <f t="shared" si="694"/>
        <v>17867838</v>
      </c>
    </row>
    <row r="542" spans="1:131" x14ac:dyDescent="0.2">
      <c r="A542" s="353" t="s">
        <v>43</v>
      </c>
      <c r="B542" s="356" t="s">
        <v>466</v>
      </c>
      <c r="C542" s="583"/>
      <c r="D542" s="364">
        <v>229018</v>
      </c>
      <c r="E542" s="365">
        <v>3</v>
      </c>
      <c r="F542" s="598">
        <v>22</v>
      </c>
      <c r="G542" s="599">
        <v>20</v>
      </c>
      <c r="H542" s="600"/>
      <c r="I542" s="601">
        <v>0</v>
      </c>
      <c r="J542" s="600"/>
      <c r="K542" s="599">
        <v>0</v>
      </c>
      <c r="L542" s="600"/>
      <c r="M542" s="601">
        <v>0</v>
      </c>
      <c r="N542" s="600">
        <v>39</v>
      </c>
      <c r="O542" s="599">
        <v>38</v>
      </c>
      <c r="P542" s="600"/>
      <c r="Q542" s="601">
        <v>0</v>
      </c>
      <c r="R542" s="600"/>
      <c r="S542" s="599">
        <v>0</v>
      </c>
      <c r="T542" s="600"/>
      <c r="U542" s="601">
        <v>0</v>
      </c>
      <c r="V542" s="600">
        <v>30</v>
      </c>
      <c r="W542" s="599">
        <v>22</v>
      </c>
      <c r="X542" s="600"/>
      <c r="Y542" s="601">
        <v>0</v>
      </c>
      <c r="Z542" s="600"/>
      <c r="AA542" s="599">
        <v>0</v>
      </c>
      <c r="AB542" s="600"/>
      <c r="AC542" s="601">
        <v>0</v>
      </c>
      <c r="AD542" s="600"/>
      <c r="AE542" s="599">
        <v>0</v>
      </c>
      <c r="AF542" s="600"/>
      <c r="AG542" s="601">
        <v>0</v>
      </c>
      <c r="AH542" s="600"/>
      <c r="AI542" s="599">
        <v>0</v>
      </c>
      <c r="AJ542" s="600"/>
      <c r="AK542" s="601">
        <v>0</v>
      </c>
      <c r="AL542" s="600">
        <v>28</v>
      </c>
      <c r="AM542" s="599">
        <v>26</v>
      </c>
      <c r="AN542" s="600"/>
      <c r="AO542" s="601">
        <v>0</v>
      </c>
      <c r="AP542" s="600">
        <v>0</v>
      </c>
      <c r="AQ542" s="599">
        <v>0</v>
      </c>
      <c r="AR542" s="600"/>
      <c r="AS542" s="601">
        <v>0</v>
      </c>
      <c r="AT542" s="600"/>
      <c r="AU542" s="599"/>
      <c r="AV542" s="600"/>
      <c r="AW542" s="601"/>
      <c r="AX542" s="600"/>
      <c r="AY542" s="599"/>
      <c r="AZ542" s="600"/>
      <c r="BA542" s="601"/>
      <c r="BB542" s="602">
        <v>1705998</v>
      </c>
      <c r="BC542" s="599">
        <v>1826048</v>
      </c>
      <c r="BD542" s="600">
        <v>2618327</v>
      </c>
      <c r="BE542" s="599">
        <v>2635884</v>
      </c>
      <c r="BF542" s="600">
        <v>1803719</v>
      </c>
      <c r="BG542" s="599">
        <v>1274157</v>
      </c>
      <c r="BH542" s="600">
        <v>0</v>
      </c>
      <c r="BI542" s="599">
        <v>0</v>
      </c>
      <c r="BJ542" s="600">
        <v>1213679</v>
      </c>
      <c r="BK542" s="615">
        <v>1088224</v>
      </c>
      <c r="BL542" s="600">
        <v>0</v>
      </c>
      <c r="BM542" s="604"/>
      <c r="BN542" s="605">
        <f t="shared" si="629"/>
        <v>198</v>
      </c>
      <c r="BO542" s="606">
        <f t="shared" si="630"/>
        <v>180</v>
      </c>
      <c r="BP542" s="607">
        <f t="shared" si="631"/>
        <v>351</v>
      </c>
      <c r="BQ542" s="606">
        <f t="shared" si="632"/>
        <v>342</v>
      </c>
      <c r="BR542" s="607">
        <f t="shared" si="633"/>
        <v>270</v>
      </c>
      <c r="BS542" s="606">
        <f t="shared" si="634"/>
        <v>198</v>
      </c>
      <c r="BT542" s="607">
        <f t="shared" si="635"/>
        <v>0</v>
      </c>
      <c r="BU542" s="606">
        <f t="shared" si="636"/>
        <v>0</v>
      </c>
      <c r="BV542" s="607">
        <f t="shared" si="637"/>
        <v>252</v>
      </c>
      <c r="BW542" s="608">
        <f t="shared" si="638"/>
        <v>234</v>
      </c>
      <c r="BX542" s="607">
        <f t="shared" si="639"/>
        <v>0</v>
      </c>
      <c r="BY542" s="608">
        <f t="shared" si="640"/>
        <v>0</v>
      </c>
      <c r="BZ542" s="607">
        <f t="shared" si="641"/>
        <v>8616.1515151515159</v>
      </c>
      <c r="CA542" s="608">
        <f t="shared" si="642"/>
        <v>10144.711111111112</v>
      </c>
      <c r="CB542" s="607">
        <f t="shared" si="643"/>
        <v>7459.6210826210827</v>
      </c>
      <c r="CC542" s="608">
        <f t="shared" si="644"/>
        <v>7707.2631578947367</v>
      </c>
      <c r="CD542" s="607">
        <f t="shared" si="645"/>
        <v>6680.4407407407407</v>
      </c>
      <c r="CE542" s="608">
        <f t="shared" si="646"/>
        <v>6435.136363636364</v>
      </c>
      <c r="CF542" s="607">
        <f t="shared" si="647"/>
        <v>0</v>
      </c>
      <c r="CG542" s="608">
        <f t="shared" si="648"/>
        <v>0</v>
      </c>
      <c r="CH542" s="607">
        <f t="shared" si="649"/>
        <v>4816.186507936508</v>
      </c>
      <c r="CI542" s="608">
        <f t="shared" si="650"/>
        <v>4650.5299145299141</v>
      </c>
      <c r="CJ542" s="607">
        <f t="shared" si="651"/>
        <v>0</v>
      </c>
      <c r="CK542" s="608">
        <f t="shared" si="652"/>
        <v>0</v>
      </c>
      <c r="CL542" s="609">
        <f t="shared" si="653"/>
        <v>77545.363636363647</v>
      </c>
      <c r="CM542" s="608">
        <f t="shared" si="654"/>
        <v>91302.400000000009</v>
      </c>
      <c r="CN542" s="610">
        <f t="shared" si="655"/>
        <v>67136.58974358975</v>
      </c>
      <c r="CO542" s="606">
        <f t="shared" si="656"/>
        <v>69365.368421052626</v>
      </c>
      <c r="CP542" s="607">
        <f t="shared" si="657"/>
        <v>60123.966666666667</v>
      </c>
      <c r="CQ542" s="606">
        <f t="shared" si="658"/>
        <v>57916.227272727279</v>
      </c>
      <c r="CR542" s="607">
        <f t="shared" si="659"/>
        <v>0</v>
      </c>
      <c r="CS542" s="606">
        <f t="shared" si="660"/>
        <v>0</v>
      </c>
      <c r="CT542" s="607">
        <f t="shared" si="661"/>
        <v>43345.678571428572</v>
      </c>
      <c r="CU542" s="608">
        <f t="shared" si="662"/>
        <v>41854.769230769227</v>
      </c>
      <c r="CV542" s="610">
        <f t="shared" si="663"/>
        <v>0</v>
      </c>
      <c r="CW542" s="608">
        <f t="shared" si="664"/>
        <v>0</v>
      </c>
      <c r="CX542" s="610">
        <f t="shared" si="665"/>
        <v>61695.151260504201</v>
      </c>
      <c r="CY542" s="611">
        <f t="shared" si="666"/>
        <v>64380.311320754714</v>
      </c>
      <c r="CZ542" s="605">
        <f t="shared" si="667"/>
        <v>22</v>
      </c>
      <c r="DA542" s="612">
        <f t="shared" si="668"/>
        <v>20</v>
      </c>
      <c r="DB542" s="607">
        <f t="shared" si="669"/>
        <v>39</v>
      </c>
      <c r="DC542" s="606">
        <f t="shared" si="670"/>
        <v>38</v>
      </c>
      <c r="DD542" s="607">
        <f t="shared" si="671"/>
        <v>30</v>
      </c>
      <c r="DE542" s="606">
        <f t="shared" si="672"/>
        <v>22</v>
      </c>
      <c r="DF542" s="607">
        <f t="shared" si="673"/>
        <v>0</v>
      </c>
      <c r="DG542" s="606">
        <f t="shared" si="674"/>
        <v>0</v>
      </c>
      <c r="DH542" s="607">
        <f t="shared" si="675"/>
        <v>28</v>
      </c>
      <c r="DI542" s="608">
        <f t="shared" si="676"/>
        <v>26</v>
      </c>
      <c r="DJ542" s="607">
        <f t="shared" si="677"/>
        <v>0</v>
      </c>
      <c r="DK542" s="608">
        <f t="shared" si="678"/>
        <v>0</v>
      </c>
      <c r="DL542" s="607">
        <f t="shared" si="679"/>
        <v>119</v>
      </c>
      <c r="DM542" s="608">
        <f t="shared" si="680"/>
        <v>106</v>
      </c>
      <c r="DN542" s="607">
        <f t="shared" si="681"/>
        <v>1705998.0000000002</v>
      </c>
      <c r="DO542" s="612">
        <f t="shared" si="682"/>
        <v>1826048.0000000002</v>
      </c>
      <c r="DP542" s="607">
        <f t="shared" si="683"/>
        <v>2618327</v>
      </c>
      <c r="DQ542" s="606">
        <f t="shared" si="684"/>
        <v>2635884</v>
      </c>
      <c r="DR542" s="607">
        <f t="shared" si="685"/>
        <v>1803719</v>
      </c>
      <c r="DS542" s="606">
        <f t="shared" si="686"/>
        <v>1274157.0000000002</v>
      </c>
      <c r="DT542" s="607">
        <f t="shared" si="687"/>
        <v>0</v>
      </c>
      <c r="DU542" s="606">
        <f t="shared" si="688"/>
        <v>0</v>
      </c>
      <c r="DV542" s="607">
        <f t="shared" si="689"/>
        <v>1213679</v>
      </c>
      <c r="DW542" s="608">
        <f t="shared" si="690"/>
        <v>1088224</v>
      </c>
      <c r="DX542" s="607">
        <f t="shared" si="691"/>
        <v>0</v>
      </c>
      <c r="DY542" s="608">
        <f t="shared" si="692"/>
        <v>0</v>
      </c>
      <c r="DZ542" s="607">
        <f t="shared" si="693"/>
        <v>7341723</v>
      </c>
      <c r="EA542" s="608">
        <f t="shared" si="694"/>
        <v>6824313</v>
      </c>
    </row>
    <row r="543" spans="1:131" x14ac:dyDescent="0.2">
      <c r="A543" s="353" t="s">
        <v>43</v>
      </c>
      <c r="B543" s="354" t="s">
        <v>467</v>
      </c>
      <c r="C543" s="566"/>
      <c r="D543" s="364">
        <v>227368</v>
      </c>
      <c r="E543" s="355">
        <v>3</v>
      </c>
      <c r="F543" s="598">
        <v>120</v>
      </c>
      <c r="G543" s="599">
        <v>110</v>
      </c>
      <c r="H543" s="600"/>
      <c r="I543" s="601">
        <v>0</v>
      </c>
      <c r="J543" s="600">
        <v>1</v>
      </c>
      <c r="K543" s="599">
        <v>0</v>
      </c>
      <c r="L543" s="600"/>
      <c r="M543" s="601">
        <v>1</v>
      </c>
      <c r="N543" s="600">
        <v>172</v>
      </c>
      <c r="O543" s="599">
        <v>185</v>
      </c>
      <c r="P543" s="600"/>
      <c r="Q543" s="601">
        <v>0</v>
      </c>
      <c r="R543" s="600">
        <v>1</v>
      </c>
      <c r="S543" s="599">
        <v>0</v>
      </c>
      <c r="T543" s="600"/>
      <c r="U543" s="601">
        <v>1</v>
      </c>
      <c r="V543" s="600">
        <v>165</v>
      </c>
      <c r="W543" s="599">
        <v>141</v>
      </c>
      <c r="X543" s="600"/>
      <c r="Y543" s="601">
        <v>0</v>
      </c>
      <c r="Z543" s="600">
        <v>1</v>
      </c>
      <c r="AA543" s="599">
        <v>0</v>
      </c>
      <c r="AB543" s="600"/>
      <c r="AC543" s="601">
        <v>4</v>
      </c>
      <c r="AD543" s="600"/>
      <c r="AE543" s="599">
        <v>0</v>
      </c>
      <c r="AF543" s="600"/>
      <c r="AG543" s="601">
        <v>0</v>
      </c>
      <c r="AH543" s="600"/>
      <c r="AI543" s="599">
        <v>0</v>
      </c>
      <c r="AJ543" s="600"/>
      <c r="AK543" s="601">
        <v>0</v>
      </c>
      <c r="AL543" s="600">
        <v>158</v>
      </c>
      <c r="AM543" s="599">
        <v>190</v>
      </c>
      <c r="AN543" s="600"/>
      <c r="AO543" s="601">
        <v>0</v>
      </c>
      <c r="AP543" s="600">
        <v>13</v>
      </c>
      <c r="AQ543" s="599">
        <v>0</v>
      </c>
      <c r="AR543" s="600"/>
      <c r="AS543" s="601">
        <v>9</v>
      </c>
      <c r="AT543" s="600"/>
      <c r="AU543" s="599"/>
      <c r="AV543" s="600"/>
      <c r="AW543" s="601"/>
      <c r="AX543" s="600"/>
      <c r="AY543" s="599"/>
      <c r="AZ543" s="600"/>
      <c r="BA543" s="601"/>
      <c r="BB543" s="602">
        <v>10572197</v>
      </c>
      <c r="BC543" s="599">
        <v>10059127</v>
      </c>
      <c r="BD543" s="600">
        <v>11599295.000000002</v>
      </c>
      <c r="BE543" s="599">
        <v>13092244</v>
      </c>
      <c r="BF543" s="600">
        <v>10306385</v>
      </c>
      <c r="BG543" s="599">
        <v>9750313</v>
      </c>
      <c r="BH543" s="600">
        <v>0</v>
      </c>
      <c r="BI543" s="599">
        <v>0</v>
      </c>
      <c r="BJ543" s="600">
        <v>8582648</v>
      </c>
      <c r="BK543" s="615">
        <v>9777233</v>
      </c>
      <c r="BL543" s="600">
        <v>0</v>
      </c>
      <c r="BM543" s="604"/>
      <c r="BN543" s="605">
        <f t="shared" si="629"/>
        <v>1091</v>
      </c>
      <c r="BO543" s="606">
        <f t="shared" si="630"/>
        <v>1002</v>
      </c>
      <c r="BP543" s="607">
        <f t="shared" si="631"/>
        <v>1559</v>
      </c>
      <c r="BQ543" s="606">
        <f t="shared" si="632"/>
        <v>1677</v>
      </c>
      <c r="BR543" s="607">
        <f t="shared" si="633"/>
        <v>1496</v>
      </c>
      <c r="BS543" s="606">
        <f t="shared" si="634"/>
        <v>1317</v>
      </c>
      <c r="BT543" s="607">
        <f t="shared" si="635"/>
        <v>0</v>
      </c>
      <c r="BU543" s="606">
        <f t="shared" si="636"/>
        <v>0</v>
      </c>
      <c r="BV543" s="607">
        <f t="shared" si="637"/>
        <v>1565</v>
      </c>
      <c r="BW543" s="608">
        <f t="shared" si="638"/>
        <v>1818</v>
      </c>
      <c r="BX543" s="607">
        <f t="shared" si="639"/>
        <v>0</v>
      </c>
      <c r="BY543" s="608">
        <f t="shared" si="640"/>
        <v>0</v>
      </c>
      <c r="BZ543" s="607">
        <f t="shared" si="641"/>
        <v>9690.3730522456462</v>
      </c>
      <c r="CA543" s="608">
        <f t="shared" si="642"/>
        <v>10039.048902195609</v>
      </c>
      <c r="CB543" s="607">
        <f t="shared" si="643"/>
        <v>7440.2148813341901</v>
      </c>
      <c r="CC543" s="608">
        <f t="shared" si="644"/>
        <v>7806.9433512224214</v>
      </c>
      <c r="CD543" s="607">
        <f t="shared" si="645"/>
        <v>6889.2947860962568</v>
      </c>
      <c r="CE543" s="608">
        <f t="shared" si="646"/>
        <v>7403.4267274107824</v>
      </c>
      <c r="CF543" s="607">
        <f t="shared" si="647"/>
        <v>0</v>
      </c>
      <c r="CG543" s="608">
        <f t="shared" si="648"/>
        <v>0</v>
      </c>
      <c r="CH543" s="607">
        <f t="shared" si="649"/>
        <v>5484.120127795527</v>
      </c>
      <c r="CI543" s="608">
        <f t="shared" si="650"/>
        <v>5378.0159515951591</v>
      </c>
      <c r="CJ543" s="607">
        <f t="shared" si="651"/>
        <v>0</v>
      </c>
      <c r="CK543" s="608">
        <f t="shared" si="652"/>
        <v>0</v>
      </c>
      <c r="CL543" s="609">
        <f t="shared" si="653"/>
        <v>87213.357470210816</v>
      </c>
      <c r="CM543" s="608">
        <f t="shared" si="654"/>
        <v>90351.440119760489</v>
      </c>
      <c r="CN543" s="610">
        <f t="shared" si="655"/>
        <v>66961.933932007712</v>
      </c>
      <c r="CO543" s="606">
        <f t="shared" si="656"/>
        <v>70262.490161001799</v>
      </c>
      <c r="CP543" s="607">
        <f t="shared" si="657"/>
        <v>62003.653074866314</v>
      </c>
      <c r="CQ543" s="606">
        <f t="shared" si="658"/>
        <v>66630.840546697043</v>
      </c>
      <c r="CR543" s="607">
        <f t="shared" si="659"/>
        <v>0</v>
      </c>
      <c r="CS543" s="606">
        <f t="shared" si="660"/>
        <v>0</v>
      </c>
      <c r="CT543" s="607">
        <f t="shared" si="661"/>
        <v>49357.081150159742</v>
      </c>
      <c r="CU543" s="608">
        <f t="shared" si="662"/>
        <v>48402.143564356433</v>
      </c>
      <c r="CV543" s="610">
        <f t="shared" si="663"/>
        <v>0</v>
      </c>
      <c r="CW543" s="608">
        <f t="shared" si="664"/>
        <v>0</v>
      </c>
      <c r="CX543" s="610">
        <f t="shared" si="665"/>
        <v>64770.044550297898</v>
      </c>
      <c r="CY543" s="611">
        <f t="shared" si="666"/>
        <v>66133.12242093253</v>
      </c>
      <c r="CZ543" s="605">
        <f t="shared" si="667"/>
        <v>121</v>
      </c>
      <c r="DA543" s="612">
        <f t="shared" si="668"/>
        <v>111</v>
      </c>
      <c r="DB543" s="607">
        <f t="shared" si="669"/>
        <v>173</v>
      </c>
      <c r="DC543" s="606">
        <f t="shared" si="670"/>
        <v>186</v>
      </c>
      <c r="DD543" s="607">
        <f t="shared" si="671"/>
        <v>166</v>
      </c>
      <c r="DE543" s="606">
        <f t="shared" si="672"/>
        <v>145</v>
      </c>
      <c r="DF543" s="607">
        <f t="shared" si="673"/>
        <v>0</v>
      </c>
      <c r="DG543" s="606">
        <f t="shared" si="674"/>
        <v>0</v>
      </c>
      <c r="DH543" s="607">
        <f t="shared" si="675"/>
        <v>171</v>
      </c>
      <c r="DI543" s="608">
        <f t="shared" si="676"/>
        <v>199</v>
      </c>
      <c r="DJ543" s="607">
        <f t="shared" si="677"/>
        <v>0</v>
      </c>
      <c r="DK543" s="608">
        <f t="shared" si="678"/>
        <v>0</v>
      </c>
      <c r="DL543" s="607">
        <f t="shared" si="679"/>
        <v>631</v>
      </c>
      <c r="DM543" s="608">
        <f t="shared" si="680"/>
        <v>641</v>
      </c>
      <c r="DN543" s="607">
        <f t="shared" si="681"/>
        <v>10552816.253895508</v>
      </c>
      <c r="DO543" s="612">
        <f t="shared" si="682"/>
        <v>10029009.853293415</v>
      </c>
      <c r="DP543" s="607">
        <f t="shared" si="683"/>
        <v>11584414.570237335</v>
      </c>
      <c r="DQ543" s="606">
        <f t="shared" si="684"/>
        <v>13068823.169946335</v>
      </c>
      <c r="DR543" s="607">
        <f t="shared" si="685"/>
        <v>10292606.410427809</v>
      </c>
      <c r="DS543" s="606">
        <f t="shared" si="686"/>
        <v>9661471.8792710714</v>
      </c>
      <c r="DT543" s="607">
        <f t="shared" si="687"/>
        <v>0</v>
      </c>
      <c r="DU543" s="606">
        <f t="shared" si="688"/>
        <v>0</v>
      </c>
      <c r="DV543" s="607">
        <f t="shared" si="689"/>
        <v>8440060.8766773157</v>
      </c>
      <c r="DW543" s="608">
        <f t="shared" si="690"/>
        <v>9632026.5693069305</v>
      </c>
      <c r="DX543" s="607">
        <f t="shared" si="691"/>
        <v>0</v>
      </c>
      <c r="DY543" s="608">
        <f t="shared" si="692"/>
        <v>0</v>
      </c>
      <c r="DZ543" s="607">
        <f t="shared" si="693"/>
        <v>40869898.111237973</v>
      </c>
      <c r="EA543" s="608">
        <f t="shared" si="694"/>
        <v>42391331.471817754</v>
      </c>
    </row>
    <row r="544" spans="1:131" x14ac:dyDescent="0.2">
      <c r="A544" s="353" t="s">
        <v>43</v>
      </c>
      <c r="B544" s="354" t="s">
        <v>468</v>
      </c>
      <c r="C544" s="566"/>
      <c r="D544" s="364">
        <v>229814</v>
      </c>
      <c r="E544" s="355">
        <v>3</v>
      </c>
      <c r="F544" s="598">
        <v>38</v>
      </c>
      <c r="G544" s="599">
        <v>40</v>
      </c>
      <c r="H544" s="600"/>
      <c r="I544" s="601">
        <v>0</v>
      </c>
      <c r="J544" s="600">
        <v>6</v>
      </c>
      <c r="K544" s="599">
        <v>0</v>
      </c>
      <c r="L544" s="600"/>
      <c r="M544" s="601">
        <v>10</v>
      </c>
      <c r="N544" s="600">
        <v>50</v>
      </c>
      <c r="O544" s="599">
        <v>54</v>
      </c>
      <c r="P544" s="600"/>
      <c r="Q544" s="601">
        <v>0</v>
      </c>
      <c r="R544" s="600">
        <v>3</v>
      </c>
      <c r="S544" s="599">
        <v>0</v>
      </c>
      <c r="T544" s="600"/>
      <c r="U544" s="601">
        <v>3</v>
      </c>
      <c r="V544" s="600">
        <v>82</v>
      </c>
      <c r="W544" s="599">
        <v>75</v>
      </c>
      <c r="X544" s="600"/>
      <c r="Y544" s="601">
        <v>0</v>
      </c>
      <c r="Z544" s="600">
        <v>3</v>
      </c>
      <c r="AA544" s="599">
        <v>0</v>
      </c>
      <c r="AB544" s="600"/>
      <c r="AC544" s="601">
        <v>5</v>
      </c>
      <c r="AD544" s="600">
        <v>63</v>
      </c>
      <c r="AE544" s="599">
        <v>66</v>
      </c>
      <c r="AF544" s="600"/>
      <c r="AG544" s="601">
        <v>1</v>
      </c>
      <c r="AH544" s="600">
        <v>4</v>
      </c>
      <c r="AI544" s="599">
        <v>0</v>
      </c>
      <c r="AJ544" s="600"/>
      <c r="AK544" s="601">
        <v>2</v>
      </c>
      <c r="AL544" s="600">
        <v>0</v>
      </c>
      <c r="AM544" s="599">
        <v>0</v>
      </c>
      <c r="AN544" s="600"/>
      <c r="AO544" s="601">
        <v>0</v>
      </c>
      <c r="AP544" s="600">
        <v>0</v>
      </c>
      <c r="AQ544" s="599">
        <v>0</v>
      </c>
      <c r="AR544" s="600"/>
      <c r="AS544" s="601">
        <v>0</v>
      </c>
      <c r="AT544" s="600"/>
      <c r="AU544" s="599"/>
      <c r="AV544" s="600"/>
      <c r="AW544" s="601"/>
      <c r="AX544" s="600"/>
      <c r="AY544" s="599"/>
      <c r="AZ544" s="600"/>
      <c r="BA544" s="601"/>
      <c r="BB544" s="602">
        <v>3726921</v>
      </c>
      <c r="BC544" s="599">
        <v>4361941</v>
      </c>
      <c r="BD544" s="600">
        <v>3557639</v>
      </c>
      <c r="BE544" s="599">
        <v>3813063</v>
      </c>
      <c r="BF544" s="600">
        <v>5280845</v>
      </c>
      <c r="BG544" s="599">
        <v>5135617</v>
      </c>
      <c r="BH544" s="600">
        <v>3156813</v>
      </c>
      <c r="BI544" s="599">
        <v>3211481</v>
      </c>
      <c r="BJ544" s="600">
        <v>0</v>
      </c>
      <c r="BK544" s="615">
        <v>0</v>
      </c>
      <c r="BL544" s="600">
        <v>0</v>
      </c>
      <c r="BM544" s="604"/>
      <c r="BN544" s="605">
        <f t="shared" si="629"/>
        <v>408</v>
      </c>
      <c r="BO544" s="606">
        <f t="shared" si="630"/>
        <v>480</v>
      </c>
      <c r="BP544" s="607">
        <f t="shared" si="631"/>
        <v>483</v>
      </c>
      <c r="BQ544" s="606">
        <f t="shared" si="632"/>
        <v>522</v>
      </c>
      <c r="BR544" s="607">
        <f t="shared" si="633"/>
        <v>771</v>
      </c>
      <c r="BS544" s="606">
        <f t="shared" si="634"/>
        <v>735</v>
      </c>
      <c r="BT544" s="607">
        <f t="shared" si="635"/>
        <v>611</v>
      </c>
      <c r="BU544" s="606">
        <f t="shared" si="636"/>
        <v>628</v>
      </c>
      <c r="BV544" s="607">
        <f t="shared" si="637"/>
        <v>0</v>
      </c>
      <c r="BW544" s="608">
        <f t="shared" si="638"/>
        <v>0</v>
      </c>
      <c r="BX544" s="607">
        <f t="shared" si="639"/>
        <v>0</v>
      </c>
      <c r="BY544" s="608">
        <f t="shared" si="640"/>
        <v>0</v>
      </c>
      <c r="BZ544" s="607">
        <f t="shared" si="641"/>
        <v>9134.6102941176468</v>
      </c>
      <c r="CA544" s="608">
        <f t="shared" si="642"/>
        <v>9087.3770833333328</v>
      </c>
      <c r="CB544" s="607">
        <f t="shared" si="643"/>
        <v>7365.7122153209111</v>
      </c>
      <c r="CC544" s="608">
        <f t="shared" si="644"/>
        <v>7304.7183908045981</v>
      </c>
      <c r="CD544" s="607">
        <f t="shared" si="645"/>
        <v>6849.345006485084</v>
      </c>
      <c r="CE544" s="608">
        <f t="shared" si="646"/>
        <v>6987.2340136054418</v>
      </c>
      <c r="CF544" s="607">
        <f t="shared" si="647"/>
        <v>5166.6333878887071</v>
      </c>
      <c r="CG544" s="608">
        <f t="shared" si="648"/>
        <v>5113.8232484076434</v>
      </c>
      <c r="CH544" s="607">
        <f t="shared" si="649"/>
        <v>0</v>
      </c>
      <c r="CI544" s="608">
        <f t="shared" si="650"/>
        <v>0</v>
      </c>
      <c r="CJ544" s="607">
        <f t="shared" si="651"/>
        <v>0</v>
      </c>
      <c r="CK544" s="608">
        <f t="shared" si="652"/>
        <v>0</v>
      </c>
      <c r="CL544" s="609">
        <f t="shared" si="653"/>
        <v>82211.492647058825</v>
      </c>
      <c r="CM544" s="608">
        <f t="shared" si="654"/>
        <v>81786.393749999988</v>
      </c>
      <c r="CN544" s="610">
        <f t="shared" si="655"/>
        <v>66291.409937888195</v>
      </c>
      <c r="CO544" s="606">
        <f t="shared" si="656"/>
        <v>65742.465517241377</v>
      </c>
      <c r="CP544" s="607">
        <f t="shared" si="657"/>
        <v>61644.105058365756</v>
      </c>
      <c r="CQ544" s="606">
        <f t="shared" si="658"/>
        <v>62885.106122448975</v>
      </c>
      <c r="CR544" s="607">
        <f t="shared" si="659"/>
        <v>46499.700490998366</v>
      </c>
      <c r="CS544" s="606">
        <f t="shared" si="660"/>
        <v>46024.409235668791</v>
      </c>
      <c r="CT544" s="607">
        <f t="shared" si="661"/>
        <v>0</v>
      </c>
      <c r="CU544" s="608">
        <f t="shared" si="662"/>
        <v>0</v>
      </c>
      <c r="CV544" s="610">
        <f t="shared" si="663"/>
        <v>0</v>
      </c>
      <c r="CW544" s="608">
        <f t="shared" si="664"/>
        <v>0</v>
      </c>
      <c r="CX544" s="610">
        <f t="shared" si="665"/>
        <v>62192.687815408193</v>
      </c>
      <c r="CY544" s="611">
        <f t="shared" si="666"/>
        <v>62668.488082186806</v>
      </c>
      <c r="CZ544" s="605">
        <f t="shared" si="667"/>
        <v>44</v>
      </c>
      <c r="DA544" s="612">
        <f t="shared" si="668"/>
        <v>50</v>
      </c>
      <c r="DB544" s="607">
        <f t="shared" si="669"/>
        <v>53</v>
      </c>
      <c r="DC544" s="606">
        <f t="shared" si="670"/>
        <v>57</v>
      </c>
      <c r="DD544" s="607">
        <f t="shared" si="671"/>
        <v>85</v>
      </c>
      <c r="DE544" s="606">
        <f t="shared" si="672"/>
        <v>80</v>
      </c>
      <c r="DF544" s="607">
        <f t="shared" si="673"/>
        <v>67</v>
      </c>
      <c r="DG544" s="606">
        <f t="shared" si="674"/>
        <v>69</v>
      </c>
      <c r="DH544" s="607">
        <f t="shared" si="675"/>
        <v>0</v>
      </c>
      <c r="DI544" s="608">
        <f t="shared" si="676"/>
        <v>0</v>
      </c>
      <c r="DJ544" s="607">
        <f t="shared" si="677"/>
        <v>0</v>
      </c>
      <c r="DK544" s="608">
        <f t="shared" si="678"/>
        <v>0</v>
      </c>
      <c r="DL544" s="607">
        <f t="shared" si="679"/>
        <v>249</v>
      </c>
      <c r="DM544" s="608">
        <f t="shared" si="680"/>
        <v>256</v>
      </c>
      <c r="DN544" s="607">
        <f t="shared" si="681"/>
        <v>3617305.6764705884</v>
      </c>
      <c r="DO544" s="612">
        <f t="shared" si="682"/>
        <v>4089319.6874999995</v>
      </c>
      <c r="DP544" s="607">
        <f t="shared" si="683"/>
        <v>3513444.7267080741</v>
      </c>
      <c r="DQ544" s="606">
        <f t="shared" si="684"/>
        <v>3747320.5344827585</v>
      </c>
      <c r="DR544" s="607">
        <f t="shared" si="685"/>
        <v>5239748.929961089</v>
      </c>
      <c r="DS544" s="606">
        <f t="shared" si="686"/>
        <v>5030808.4897959176</v>
      </c>
      <c r="DT544" s="607">
        <f t="shared" si="687"/>
        <v>3115479.9328968907</v>
      </c>
      <c r="DU544" s="606">
        <f t="shared" si="688"/>
        <v>3175684.2372611468</v>
      </c>
      <c r="DV544" s="607">
        <f t="shared" si="689"/>
        <v>0</v>
      </c>
      <c r="DW544" s="608">
        <f t="shared" si="690"/>
        <v>0</v>
      </c>
      <c r="DX544" s="607">
        <f t="shared" si="691"/>
        <v>0</v>
      </c>
      <c r="DY544" s="608">
        <f t="shared" si="692"/>
        <v>0</v>
      </c>
      <c r="DZ544" s="607">
        <f t="shared" si="693"/>
        <v>15485979.266036641</v>
      </c>
      <c r="EA544" s="608">
        <f t="shared" si="694"/>
        <v>16043132.949039822</v>
      </c>
    </row>
    <row r="545" spans="1:131" x14ac:dyDescent="0.2">
      <c r="A545" s="490" t="s">
        <v>43</v>
      </c>
      <c r="B545" s="356" t="s">
        <v>544</v>
      </c>
      <c r="C545" s="583" t="s">
        <v>550</v>
      </c>
      <c r="D545" s="370" t="s">
        <v>537</v>
      </c>
      <c r="E545" s="371">
        <v>4</v>
      </c>
      <c r="F545" s="598"/>
      <c r="G545" s="599">
        <v>0</v>
      </c>
      <c r="H545" s="600"/>
      <c r="I545" s="601">
        <v>0</v>
      </c>
      <c r="J545" s="600"/>
      <c r="K545" s="599">
        <v>0</v>
      </c>
      <c r="L545" s="600"/>
      <c r="M545" s="601">
        <v>0</v>
      </c>
      <c r="N545" s="600"/>
      <c r="O545" s="599">
        <v>0</v>
      </c>
      <c r="P545" s="600"/>
      <c r="Q545" s="601">
        <v>0</v>
      </c>
      <c r="R545" s="600"/>
      <c r="S545" s="599">
        <v>0</v>
      </c>
      <c r="T545" s="600"/>
      <c r="U545" s="601">
        <v>0</v>
      </c>
      <c r="V545" s="600"/>
      <c r="W545" s="599">
        <v>0</v>
      </c>
      <c r="X545" s="600"/>
      <c r="Y545" s="601">
        <v>0</v>
      </c>
      <c r="Z545" s="600"/>
      <c r="AA545" s="599">
        <v>0</v>
      </c>
      <c r="AB545" s="600"/>
      <c r="AC545" s="601">
        <v>0</v>
      </c>
      <c r="AD545" s="600"/>
      <c r="AE545" s="599">
        <v>0</v>
      </c>
      <c r="AF545" s="600"/>
      <c r="AG545" s="601">
        <v>0</v>
      </c>
      <c r="AH545" s="600"/>
      <c r="AI545" s="599">
        <v>0</v>
      </c>
      <c r="AJ545" s="600"/>
      <c r="AK545" s="601">
        <v>0</v>
      </c>
      <c r="AL545" s="600"/>
      <c r="AM545" s="599">
        <v>0</v>
      </c>
      <c r="AN545" s="600"/>
      <c r="AO545" s="601">
        <v>0</v>
      </c>
      <c r="AP545" s="600"/>
      <c r="AQ545" s="599">
        <v>0</v>
      </c>
      <c r="AR545" s="600"/>
      <c r="AS545" s="601">
        <v>0</v>
      </c>
      <c r="AT545" s="600"/>
      <c r="AU545" s="599"/>
      <c r="AV545" s="600"/>
      <c r="AW545" s="601"/>
      <c r="AX545" s="600"/>
      <c r="AY545" s="599"/>
      <c r="AZ545" s="600"/>
      <c r="BA545" s="601"/>
      <c r="BB545" s="602">
        <v>0</v>
      </c>
      <c r="BC545" s="599">
        <v>0</v>
      </c>
      <c r="BD545" s="600">
        <v>0</v>
      </c>
      <c r="BE545" s="599">
        <v>0</v>
      </c>
      <c r="BF545" s="600">
        <v>0</v>
      </c>
      <c r="BG545" s="599">
        <v>0</v>
      </c>
      <c r="BH545" s="600">
        <v>0</v>
      </c>
      <c r="BI545" s="599">
        <v>0</v>
      </c>
      <c r="BJ545" s="600">
        <v>0</v>
      </c>
      <c r="BK545" s="615">
        <v>0</v>
      </c>
      <c r="BL545" s="600">
        <v>0</v>
      </c>
      <c r="BM545" s="604"/>
      <c r="BN545" s="605">
        <f t="shared" si="629"/>
        <v>0</v>
      </c>
      <c r="BO545" s="606">
        <f t="shared" si="630"/>
        <v>0</v>
      </c>
      <c r="BP545" s="607">
        <f t="shared" si="631"/>
        <v>0</v>
      </c>
      <c r="BQ545" s="606">
        <f t="shared" si="632"/>
        <v>0</v>
      </c>
      <c r="BR545" s="607">
        <f t="shared" si="633"/>
        <v>0</v>
      </c>
      <c r="BS545" s="606">
        <f t="shared" si="634"/>
        <v>0</v>
      </c>
      <c r="BT545" s="607">
        <f t="shared" si="635"/>
        <v>0</v>
      </c>
      <c r="BU545" s="606">
        <f t="shared" si="636"/>
        <v>0</v>
      </c>
      <c r="BV545" s="607">
        <f t="shared" si="637"/>
        <v>0</v>
      </c>
      <c r="BW545" s="608">
        <f t="shared" si="638"/>
        <v>0</v>
      </c>
      <c r="BX545" s="607">
        <f t="shared" si="639"/>
        <v>0</v>
      </c>
      <c r="BY545" s="608">
        <f t="shared" si="640"/>
        <v>0</v>
      </c>
      <c r="BZ545" s="607">
        <f t="shared" si="641"/>
        <v>0</v>
      </c>
      <c r="CA545" s="608">
        <f t="shared" si="642"/>
        <v>0</v>
      </c>
      <c r="CB545" s="607">
        <f t="shared" si="643"/>
        <v>0</v>
      </c>
      <c r="CC545" s="608">
        <f t="shared" si="644"/>
        <v>0</v>
      </c>
      <c r="CD545" s="607">
        <f t="shared" si="645"/>
        <v>0</v>
      </c>
      <c r="CE545" s="608">
        <f t="shared" si="646"/>
        <v>0</v>
      </c>
      <c r="CF545" s="607">
        <f t="shared" si="647"/>
        <v>0</v>
      </c>
      <c r="CG545" s="608">
        <f t="shared" si="648"/>
        <v>0</v>
      </c>
      <c r="CH545" s="607">
        <f t="shared" si="649"/>
        <v>0</v>
      </c>
      <c r="CI545" s="608">
        <f t="shared" si="650"/>
        <v>0</v>
      </c>
      <c r="CJ545" s="607">
        <f t="shared" si="651"/>
        <v>0</v>
      </c>
      <c r="CK545" s="608">
        <f t="shared" si="652"/>
        <v>0</v>
      </c>
      <c r="CL545" s="609">
        <f t="shared" si="653"/>
        <v>0</v>
      </c>
      <c r="CM545" s="608">
        <f t="shared" si="654"/>
        <v>0</v>
      </c>
      <c r="CN545" s="610">
        <f t="shared" si="655"/>
        <v>0</v>
      </c>
      <c r="CO545" s="606">
        <f t="shared" si="656"/>
        <v>0</v>
      </c>
      <c r="CP545" s="607">
        <f t="shared" si="657"/>
        <v>0</v>
      </c>
      <c r="CQ545" s="606">
        <f t="shared" si="658"/>
        <v>0</v>
      </c>
      <c r="CR545" s="607">
        <f t="shared" si="659"/>
        <v>0</v>
      </c>
      <c r="CS545" s="606">
        <f t="shared" si="660"/>
        <v>0</v>
      </c>
      <c r="CT545" s="607">
        <f t="shared" si="661"/>
        <v>0</v>
      </c>
      <c r="CU545" s="608">
        <f t="shared" si="662"/>
        <v>0</v>
      </c>
      <c r="CV545" s="610">
        <f t="shared" si="663"/>
        <v>0</v>
      </c>
      <c r="CW545" s="608">
        <f t="shared" si="664"/>
        <v>0</v>
      </c>
      <c r="CX545" s="610">
        <f t="shared" si="665"/>
        <v>0</v>
      </c>
      <c r="CY545" s="611">
        <f t="shared" si="666"/>
        <v>0</v>
      </c>
      <c r="CZ545" s="605">
        <f t="shared" si="667"/>
        <v>0</v>
      </c>
      <c r="DA545" s="612">
        <f t="shared" si="668"/>
        <v>0</v>
      </c>
      <c r="DB545" s="607">
        <f t="shared" si="669"/>
        <v>0</v>
      </c>
      <c r="DC545" s="606">
        <f t="shared" si="670"/>
        <v>0</v>
      </c>
      <c r="DD545" s="607">
        <f t="shared" si="671"/>
        <v>0</v>
      </c>
      <c r="DE545" s="606">
        <f t="shared" si="672"/>
        <v>0</v>
      </c>
      <c r="DF545" s="607">
        <f t="shared" si="673"/>
        <v>0</v>
      </c>
      <c r="DG545" s="606">
        <f t="shared" si="674"/>
        <v>0</v>
      </c>
      <c r="DH545" s="607">
        <f t="shared" si="675"/>
        <v>0</v>
      </c>
      <c r="DI545" s="608">
        <f t="shared" si="676"/>
        <v>0</v>
      </c>
      <c r="DJ545" s="607">
        <f t="shared" si="677"/>
        <v>0</v>
      </c>
      <c r="DK545" s="608">
        <f t="shared" si="678"/>
        <v>0</v>
      </c>
      <c r="DL545" s="607">
        <f t="shared" si="679"/>
        <v>0</v>
      </c>
      <c r="DM545" s="608">
        <f t="shared" si="680"/>
        <v>0</v>
      </c>
      <c r="DN545" s="607">
        <f t="shared" si="681"/>
        <v>0</v>
      </c>
      <c r="DO545" s="612">
        <f t="shared" si="682"/>
        <v>0</v>
      </c>
      <c r="DP545" s="607">
        <f t="shared" si="683"/>
        <v>0</v>
      </c>
      <c r="DQ545" s="606">
        <f t="shared" si="684"/>
        <v>0</v>
      </c>
      <c r="DR545" s="607">
        <f t="shared" si="685"/>
        <v>0</v>
      </c>
      <c r="DS545" s="606">
        <f t="shared" si="686"/>
        <v>0</v>
      </c>
      <c r="DT545" s="607">
        <f t="shared" si="687"/>
        <v>0</v>
      </c>
      <c r="DU545" s="606">
        <f t="shared" si="688"/>
        <v>0</v>
      </c>
      <c r="DV545" s="607">
        <f t="shared" si="689"/>
        <v>0</v>
      </c>
      <c r="DW545" s="608">
        <f t="shared" si="690"/>
        <v>0</v>
      </c>
      <c r="DX545" s="607">
        <f t="shared" si="691"/>
        <v>0</v>
      </c>
      <c r="DY545" s="608">
        <f t="shared" si="692"/>
        <v>0</v>
      </c>
      <c r="DZ545" s="607">
        <f t="shared" si="693"/>
        <v>0</v>
      </c>
      <c r="EA545" s="608">
        <f t="shared" si="694"/>
        <v>0</v>
      </c>
    </row>
    <row r="546" spans="1:131" x14ac:dyDescent="0.2">
      <c r="A546" s="483" t="s">
        <v>43</v>
      </c>
      <c r="B546" s="354" t="s">
        <v>469</v>
      </c>
      <c r="C546" s="566"/>
      <c r="D546" s="364">
        <v>224545</v>
      </c>
      <c r="E546" s="355">
        <v>4</v>
      </c>
      <c r="F546" s="598">
        <v>21</v>
      </c>
      <c r="G546" s="599">
        <v>21</v>
      </c>
      <c r="H546" s="600"/>
      <c r="I546" s="601">
        <v>0</v>
      </c>
      <c r="J546" s="600">
        <v>3</v>
      </c>
      <c r="K546" s="599">
        <v>0</v>
      </c>
      <c r="L546" s="600"/>
      <c r="M546" s="601">
        <v>3</v>
      </c>
      <c r="N546" s="600">
        <v>19</v>
      </c>
      <c r="O546" s="599">
        <v>21</v>
      </c>
      <c r="P546" s="600"/>
      <c r="Q546" s="601">
        <v>0</v>
      </c>
      <c r="R546" s="600">
        <v>1</v>
      </c>
      <c r="S546" s="599">
        <v>0</v>
      </c>
      <c r="T546" s="600"/>
      <c r="U546" s="601">
        <v>1</v>
      </c>
      <c r="V546" s="600">
        <v>13</v>
      </c>
      <c r="W546" s="599">
        <v>15</v>
      </c>
      <c r="X546" s="600"/>
      <c r="Y546" s="601">
        <v>0</v>
      </c>
      <c r="Z546" s="600">
        <v>3</v>
      </c>
      <c r="AA546" s="599">
        <v>0</v>
      </c>
      <c r="AB546" s="600"/>
      <c r="AC546" s="601">
        <v>2</v>
      </c>
      <c r="AD546" s="600">
        <v>4</v>
      </c>
      <c r="AE546" s="599">
        <v>8</v>
      </c>
      <c r="AF546" s="600"/>
      <c r="AG546" s="601">
        <v>0</v>
      </c>
      <c r="AH546" s="600">
        <v>5</v>
      </c>
      <c r="AI546" s="599">
        <v>0</v>
      </c>
      <c r="AJ546" s="600"/>
      <c r="AK546" s="601">
        <v>0</v>
      </c>
      <c r="AL546" s="600">
        <v>0</v>
      </c>
      <c r="AM546" s="599">
        <v>0</v>
      </c>
      <c r="AN546" s="600"/>
      <c r="AO546" s="601">
        <v>0</v>
      </c>
      <c r="AP546" s="600">
        <v>0</v>
      </c>
      <c r="AQ546" s="599">
        <v>0</v>
      </c>
      <c r="AR546" s="600"/>
      <c r="AS546" s="601">
        <v>0</v>
      </c>
      <c r="AT546" s="600"/>
      <c r="AU546" s="599"/>
      <c r="AV546" s="600"/>
      <c r="AW546" s="601"/>
      <c r="AX546" s="600"/>
      <c r="AY546" s="599"/>
      <c r="AZ546" s="600"/>
      <c r="BA546" s="601"/>
      <c r="BB546" s="602">
        <v>2139921</v>
      </c>
      <c r="BC546" s="599">
        <v>2160496</v>
      </c>
      <c r="BD546" s="600">
        <v>1298711</v>
      </c>
      <c r="BE546" s="599">
        <v>1518748</v>
      </c>
      <c r="BF546" s="600">
        <v>1023819</v>
      </c>
      <c r="BG546" s="599">
        <v>1052424</v>
      </c>
      <c r="BH546" s="600">
        <v>539885</v>
      </c>
      <c r="BI546" s="599">
        <v>426182</v>
      </c>
      <c r="BJ546" s="600">
        <v>0</v>
      </c>
      <c r="BK546" s="615">
        <v>0</v>
      </c>
      <c r="BL546" s="600">
        <v>0</v>
      </c>
      <c r="BM546" s="604"/>
      <c r="BN546" s="605">
        <f t="shared" si="629"/>
        <v>222</v>
      </c>
      <c r="BO546" s="606">
        <f t="shared" si="630"/>
        <v>225</v>
      </c>
      <c r="BP546" s="607">
        <f t="shared" si="631"/>
        <v>182</v>
      </c>
      <c r="BQ546" s="606">
        <f t="shared" si="632"/>
        <v>201</v>
      </c>
      <c r="BR546" s="607">
        <f t="shared" si="633"/>
        <v>150</v>
      </c>
      <c r="BS546" s="606">
        <f t="shared" si="634"/>
        <v>159</v>
      </c>
      <c r="BT546" s="607">
        <f t="shared" si="635"/>
        <v>91</v>
      </c>
      <c r="BU546" s="606">
        <f t="shared" si="636"/>
        <v>72</v>
      </c>
      <c r="BV546" s="607">
        <f t="shared" si="637"/>
        <v>0</v>
      </c>
      <c r="BW546" s="608">
        <f t="shared" si="638"/>
        <v>0</v>
      </c>
      <c r="BX546" s="607">
        <f t="shared" si="639"/>
        <v>0</v>
      </c>
      <c r="BY546" s="608">
        <f t="shared" si="640"/>
        <v>0</v>
      </c>
      <c r="BZ546" s="607">
        <f t="shared" si="641"/>
        <v>9639.2837837837833</v>
      </c>
      <c r="CA546" s="608">
        <f t="shared" si="642"/>
        <v>9602.2044444444437</v>
      </c>
      <c r="CB546" s="607">
        <f t="shared" si="643"/>
        <v>7135.7747252747249</v>
      </c>
      <c r="CC546" s="608">
        <f t="shared" si="644"/>
        <v>7555.960199004975</v>
      </c>
      <c r="CD546" s="607">
        <f t="shared" si="645"/>
        <v>6825.46</v>
      </c>
      <c r="CE546" s="608">
        <f t="shared" si="646"/>
        <v>6619.0188679245284</v>
      </c>
      <c r="CF546" s="607">
        <f t="shared" si="647"/>
        <v>5932.802197802198</v>
      </c>
      <c r="CG546" s="608">
        <f t="shared" si="648"/>
        <v>5919.1944444444443</v>
      </c>
      <c r="CH546" s="607">
        <f t="shared" si="649"/>
        <v>0</v>
      </c>
      <c r="CI546" s="608">
        <f t="shared" si="650"/>
        <v>0</v>
      </c>
      <c r="CJ546" s="607">
        <f t="shared" si="651"/>
        <v>0</v>
      </c>
      <c r="CK546" s="608">
        <f t="shared" si="652"/>
        <v>0</v>
      </c>
      <c r="CL546" s="609">
        <f t="shared" si="653"/>
        <v>86753.554054054053</v>
      </c>
      <c r="CM546" s="608">
        <f t="shared" si="654"/>
        <v>86419.839999999997</v>
      </c>
      <c r="CN546" s="610">
        <f t="shared" si="655"/>
        <v>64221.972527472521</v>
      </c>
      <c r="CO546" s="606">
        <f t="shared" si="656"/>
        <v>68003.641791044778</v>
      </c>
      <c r="CP546" s="607">
        <f t="shared" si="657"/>
        <v>61429.14</v>
      </c>
      <c r="CQ546" s="606">
        <f t="shared" si="658"/>
        <v>59571.169811320753</v>
      </c>
      <c r="CR546" s="607">
        <f t="shared" si="659"/>
        <v>53395.219780219784</v>
      </c>
      <c r="CS546" s="606">
        <f t="shared" si="660"/>
        <v>53272.75</v>
      </c>
      <c r="CT546" s="607">
        <f t="shared" si="661"/>
        <v>0</v>
      </c>
      <c r="CU546" s="608">
        <f t="shared" si="662"/>
        <v>0</v>
      </c>
      <c r="CV546" s="610">
        <f t="shared" si="663"/>
        <v>0</v>
      </c>
      <c r="CW546" s="608">
        <f t="shared" si="664"/>
        <v>0</v>
      </c>
      <c r="CX546" s="610">
        <f t="shared" si="665"/>
        <v>69999.245882155461</v>
      </c>
      <c r="CY546" s="611">
        <f t="shared" si="666"/>
        <v>70549.974171766735</v>
      </c>
      <c r="CZ546" s="605">
        <f t="shared" si="667"/>
        <v>24</v>
      </c>
      <c r="DA546" s="612">
        <f t="shared" si="668"/>
        <v>24</v>
      </c>
      <c r="DB546" s="607">
        <f t="shared" si="669"/>
        <v>20</v>
      </c>
      <c r="DC546" s="606">
        <f t="shared" si="670"/>
        <v>22</v>
      </c>
      <c r="DD546" s="607">
        <f t="shared" si="671"/>
        <v>16</v>
      </c>
      <c r="DE546" s="606">
        <f t="shared" si="672"/>
        <v>17</v>
      </c>
      <c r="DF546" s="607">
        <f t="shared" si="673"/>
        <v>9</v>
      </c>
      <c r="DG546" s="606">
        <f t="shared" si="674"/>
        <v>8</v>
      </c>
      <c r="DH546" s="607">
        <f t="shared" si="675"/>
        <v>0</v>
      </c>
      <c r="DI546" s="608">
        <f t="shared" si="676"/>
        <v>0</v>
      </c>
      <c r="DJ546" s="607">
        <f t="shared" si="677"/>
        <v>0</v>
      </c>
      <c r="DK546" s="608">
        <f t="shared" si="678"/>
        <v>0</v>
      </c>
      <c r="DL546" s="607">
        <f t="shared" si="679"/>
        <v>69</v>
      </c>
      <c r="DM546" s="608">
        <f t="shared" si="680"/>
        <v>71</v>
      </c>
      <c r="DN546" s="607">
        <f t="shared" si="681"/>
        <v>2082085.2972972973</v>
      </c>
      <c r="DO546" s="612">
        <f t="shared" si="682"/>
        <v>2074076.1599999999</v>
      </c>
      <c r="DP546" s="607">
        <f t="shared" si="683"/>
        <v>1284439.4505494505</v>
      </c>
      <c r="DQ546" s="606">
        <f t="shared" si="684"/>
        <v>1496080.1194029851</v>
      </c>
      <c r="DR546" s="607">
        <f t="shared" si="685"/>
        <v>982866.24</v>
      </c>
      <c r="DS546" s="606">
        <f t="shared" si="686"/>
        <v>1012709.8867924528</v>
      </c>
      <c r="DT546" s="607">
        <f t="shared" si="687"/>
        <v>480556.97802197805</v>
      </c>
      <c r="DU546" s="606">
        <f t="shared" si="688"/>
        <v>426182</v>
      </c>
      <c r="DV546" s="607">
        <f t="shared" si="689"/>
        <v>0</v>
      </c>
      <c r="DW546" s="608">
        <f t="shared" si="690"/>
        <v>0</v>
      </c>
      <c r="DX546" s="607">
        <f t="shared" si="691"/>
        <v>0</v>
      </c>
      <c r="DY546" s="608">
        <f t="shared" si="692"/>
        <v>0</v>
      </c>
      <c r="DZ546" s="607">
        <f t="shared" si="693"/>
        <v>4829947.9658687264</v>
      </c>
      <c r="EA546" s="608">
        <f t="shared" si="694"/>
        <v>5009048.1661954382</v>
      </c>
    </row>
    <row r="547" spans="1:131" x14ac:dyDescent="0.2">
      <c r="A547" s="483" t="s">
        <v>43</v>
      </c>
      <c r="B547" s="356" t="s">
        <v>470</v>
      </c>
      <c r="C547" s="566"/>
      <c r="D547" s="364">
        <v>225502</v>
      </c>
      <c r="E547" s="355">
        <v>4</v>
      </c>
      <c r="F547" s="598">
        <v>18</v>
      </c>
      <c r="G547" s="599">
        <v>17</v>
      </c>
      <c r="H547" s="600"/>
      <c r="I547" s="601">
        <v>0</v>
      </c>
      <c r="J547" s="600">
        <v>6</v>
      </c>
      <c r="K547" s="599">
        <v>0</v>
      </c>
      <c r="L547" s="600"/>
      <c r="M547" s="601">
        <v>0</v>
      </c>
      <c r="N547" s="600">
        <v>30</v>
      </c>
      <c r="O547" s="599">
        <v>31</v>
      </c>
      <c r="P547" s="600"/>
      <c r="Q547" s="601">
        <v>0</v>
      </c>
      <c r="R547" s="600">
        <v>1</v>
      </c>
      <c r="S547" s="599">
        <v>0</v>
      </c>
      <c r="T547" s="600"/>
      <c r="U547" s="601">
        <v>0</v>
      </c>
      <c r="V547" s="600">
        <v>54</v>
      </c>
      <c r="W547" s="599">
        <v>40</v>
      </c>
      <c r="X547" s="600"/>
      <c r="Y547" s="601">
        <v>0</v>
      </c>
      <c r="Z547" s="600"/>
      <c r="AA547" s="599">
        <v>0</v>
      </c>
      <c r="AB547" s="600"/>
      <c r="AC547" s="601">
        <v>0</v>
      </c>
      <c r="AD547" s="600"/>
      <c r="AE547" s="599">
        <v>8</v>
      </c>
      <c r="AF547" s="600"/>
      <c r="AG547" s="601">
        <v>0</v>
      </c>
      <c r="AH547" s="600"/>
      <c r="AI547" s="599">
        <v>0</v>
      </c>
      <c r="AJ547" s="600"/>
      <c r="AK547" s="601">
        <v>0</v>
      </c>
      <c r="AL547" s="600">
        <v>15</v>
      </c>
      <c r="AM547" s="599">
        <v>20</v>
      </c>
      <c r="AN547" s="600"/>
      <c r="AO547" s="601">
        <v>0</v>
      </c>
      <c r="AP547" s="600">
        <v>0</v>
      </c>
      <c r="AQ547" s="599">
        <v>0</v>
      </c>
      <c r="AR547" s="600"/>
      <c r="AS547" s="601">
        <v>0</v>
      </c>
      <c r="AT547" s="600"/>
      <c r="AU547" s="599"/>
      <c r="AV547" s="600"/>
      <c r="AW547" s="601"/>
      <c r="AX547" s="600"/>
      <c r="AY547" s="599"/>
      <c r="AZ547" s="600"/>
      <c r="BA547" s="601"/>
      <c r="BB547" s="602">
        <v>2411836</v>
      </c>
      <c r="BC547" s="599">
        <v>1525830</v>
      </c>
      <c r="BD547" s="600">
        <v>2505984</v>
      </c>
      <c r="BE547" s="599">
        <v>2557269</v>
      </c>
      <c r="BF547" s="600">
        <v>3801949</v>
      </c>
      <c r="BG547" s="599">
        <v>2885272</v>
      </c>
      <c r="BH547" s="600">
        <v>0</v>
      </c>
      <c r="BI547" s="599">
        <v>354640</v>
      </c>
      <c r="BJ547" s="600">
        <v>662322</v>
      </c>
      <c r="BK547" s="615">
        <v>1134219</v>
      </c>
      <c r="BL547" s="600">
        <v>0</v>
      </c>
      <c r="BM547" s="604"/>
      <c r="BN547" s="605">
        <f t="shared" si="629"/>
        <v>228</v>
      </c>
      <c r="BO547" s="606">
        <f t="shared" si="630"/>
        <v>153</v>
      </c>
      <c r="BP547" s="607">
        <f t="shared" si="631"/>
        <v>281</v>
      </c>
      <c r="BQ547" s="606">
        <f t="shared" si="632"/>
        <v>279</v>
      </c>
      <c r="BR547" s="607">
        <f t="shared" si="633"/>
        <v>486</v>
      </c>
      <c r="BS547" s="606">
        <f t="shared" si="634"/>
        <v>360</v>
      </c>
      <c r="BT547" s="607">
        <f t="shared" si="635"/>
        <v>0</v>
      </c>
      <c r="BU547" s="606">
        <f t="shared" si="636"/>
        <v>72</v>
      </c>
      <c r="BV547" s="607">
        <f t="shared" si="637"/>
        <v>135</v>
      </c>
      <c r="BW547" s="608">
        <f t="shared" si="638"/>
        <v>180</v>
      </c>
      <c r="BX547" s="607">
        <f t="shared" si="639"/>
        <v>0</v>
      </c>
      <c r="BY547" s="608">
        <f t="shared" si="640"/>
        <v>0</v>
      </c>
      <c r="BZ547" s="607">
        <f t="shared" si="641"/>
        <v>10578.228070175439</v>
      </c>
      <c r="CA547" s="608">
        <f t="shared" si="642"/>
        <v>9972.745098039215</v>
      </c>
      <c r="CB547" s="607">
        <f t="shared" si="643"/>
        <v>8918.0925266903923</v>
      </c>
      <c r="CC547" s="608">
        <f t="shared" si="644"/>
        <v>9165.8387096774186</v>
      </c>
      <c r="CD547" s="607">
        <f t="shared" si="645"/>
        <v>7822.9403292181069</v>
      </c>
      <c r="CE547" s="608">
        <f t="shared" si="646"/>
        <v>8014.6444444444442</v>
      </c>
      <c r="CF547" s="607">
        <f t="shared" si="647"/>
        <v>0</v>
      </c>
      <c r="CG547" s="608">
        <f t="shared" si="648"/>
        <v>4925.5555555555557</v>
      </c>
      <c r="CH547" s="607">
        <f t="shared" si="649"/>
        <v>4906.0888888888885</v>
      </c>
      <c r="CI547" s="608">
        <f t="shared" si="650"/>
        <v>6301.2166666666662</v>
      </c>
      <c r="CJ547" s="607">
        <f t="shared" si="651"/>
        <v>0</v>
      </c>
      <c r="CK547" s="608">
        <f t="shared" si="652"/>
        <v>0</v>
      </c>
      <c r="CL547" s="609">
        <f t="shared" si="653"/>
        <v>95204.052631578947</v>
      </c>
      <c r="CM547" s="608">
        <f t="shared" si="654"/>
        <v>89754.705882352937</v>
      </c>
      <c r="CN547" s="610">
        <f t="shared" si="655"/>
        <v>80262.832740213533</v>
      </c>
      <c r="CO547" s="606">
        <f t="shared" si="656"/>
        <v>82492.548387096773</v>
      </c>
      <c r="CP547" s="607">
        <f t="shared" si="657"/>
        <v>70406.462962962964</v>
      </c>
      <c r="CQ547" s="606">
        <f t="shared" si="658"/>
        <v>72131.8</v>
      </c>
      <c r="CR547" s="607">
        <f t="shared" si="659"/>
        <v>0</v>
      </c>
      <c r="CS547" s="606">
        <f t="shared" si="660"/>
        <v>44330</v>
      </c>
      <c r="CT547" s="607">
        <f t="shared" si="661"/>
        <v>44154.799999999996</v>
      </c>
      <c r="CU547" s="608">
        <f t="shared" si="662"/>
        <v>56710.95</v>
      </c>
      <c r="CV547" s="610">
        <f t="shared" si="663"/>
        <v>0</v>
      </c>
      <c r="CW547" s="608">
        <f t="shared" si="664"/>
        <v>0</v>
      </c>
      <c r="CX547" s="610">
        <f t="shared" si="665"/>
        <v>74494.484500842853</v>
      </c>
      <c r="CY547" s="611">
        <f t="shared" si="666"/>
        <v>72907.155172413797</v>
      </c>
      <c r="CZ547" s="605">
        <f t="shared" si="667"/>
        <v>24</v>
      </c>
      <c r="DA547" s="612">
        <f t="shared" si="668"/>
        <v>17</v>
      </c>
      <c r="DB547" s="607">
        <f t="shared" si="669"/>
        <v>31</v>
      </c>
      <c r="DC547" s="606">
        <f t="shared" si="670"/>
        <v>31</v>
      </c>
      <c r="DD547" s="607">
        <f t="shared" si="671"/>
        <v>54</v>
      </c>
      <c r="DE547" s="606">
        <f t="shared" si="672"/>
        <v>40</v>
      </c>
      <c r="DF547" s="607">
        <f t="shared" si="673"/>
        <v>0</v>
      </c>
      <c r="DG547" s="606">
        <f t="shared" si="674"/>
        <v>8</v>
      </c>
      <c r="DH547" s="607">
        <f t="shared" si="675"/>
        <v>15</v>
      </c>
      <c r="DI547" s="608">
        <f t="shared" si="676"/>
        <v>20</v>
      </c>
      <c r="DJ547" s="607">
        <f t="shared" si="677"/>
        <v>0</v>
      </c>
      <c r="DK547" s="608">
        <f t="shared" si="678"/>
        <v>0</v>
      </c>
      <c r="DL547" s="607">
        <f t="shared" si="679"/>
        <v>124</v>
      </c>
      <c r="DM547" s="608">
        <f t="shared" si="680"/>
        <v>116</v>
      </c>
      <c r="DN547" s="607">
        <f t="shared" si="681"/>
        <v>2284897.2631578948</v>
      </c>
      <c r="DO547" s="612">
        <f t="shared" si="682"/>
        <v>1525830</v>
      </c>
      <c r="DP547" s="607">
        <f t="shared" si="683"/>
        <v>2488147.8149466193</v>
      </c>
      <c r="DQ547" s="606">
        <f t="shared" si="684"/>
        <v>2557269</v>
      </c>
      <c r="DR547" s="607">
        <f t="shared" si="685"/>
        <v>3801949</v>
      </c>
      <c r="DS547" s="606">
        <f t="shared" si="686"/>
        <v>2885272</v>
      </c>
      <c r="DT547" s="607">
        <f t="shared" si="687"/>
        <v>0</v>
      </c>
      <c r="DU547" s="606">
        <f t="shared" si="688"/>
        <v>354640</v>
      </c>
      <c r="DV547" s="607">
        <f t="shared" si="689"/>
        <v>662321.99999999988</v>
      </c>
      <c r="DW547" s="608">
        <f t="shared" si="690"/>
        <v>1134219</v>
      </c>
      <c r="DX547" s="607">
        <f t="shared" si="691"/>
        <v>0</v>
      </c>
      <c r="DY547" s="608">
        <f t="shared" si="692"/>
        <v>0</v>
      </c>
      <c r="DZ547" s="607">
        <f t="shared" si="693"/>
        <v>9237316.0781045146</v>
      </c>
      <c r="EA547" s="608">
        <f t="shared" si="694"/>
        <v>8457230</v>
      </c>
    </row>
    <row r="548" spans="1:131" x14ac:dyDescent="0.2">
      <c r="A548" s="483" t="s">
        <v>43</v>
      </c>
      <c r="B548" s="354" t="s">
        <v>471</v>
      </c>
      <c r="C548" s="566"/>
      <c r="D548" s="364" t="s">
        <v>472</v>
      </c>
      <c r="E548" s="355">
        <v>5</v>
      </c>
      <c r="F548" s="598"/>
      <c r="G548" s="599">
        <v>0</v>
      </c>
      <c r="H548" s="600"/>
      <c r="I548" s="601">
        <v>0</v>
      </c>
      <c r="J548" s="600"/>
      <c r="K548" s="599">
        <v>0</v>
      </c>
      <c r="L548" s="600"/>
      <c r="M548" s="601">
        <v>0</v>
      </c>
      <c r="N548" s="600"/>
      <c r="O548" s="599">
        <v>0</v>
      </c>
      <c r="P548" s="600"/>
      <c r="Q548" s="601">
        <v>0</v>
      </c>
      <c r="R548" s="600"/>
      <c r="S548" s="599">
        <v>0</v>
      </c>
      <c r="T548" s="600"/>
      <c r="U548" s="601">
        <v>0</v>
      </c>
      <c r="V548" s="600"/>
      <c r="W548" s="599">
        <v>0</v>
      </c>
      <c r="X548" s="600"/>
      <c r="Y548" s="601">
        <v>0</v>
      </c>
      <c r="Z548" s="600"/>
      <c r="AA548" s="599">
        <v>0</v>
      </c>
      <c r="AB548" s="600"/>
      <c r="AC548" s="601">
        <v>0</v>
      </c>
      <c r="AD548" s="600"/>
      <c r="AE548" s="599">
        <v>0</v>
      </c>
      <c r="AF548" s="600"/>
      <c r="AG548" s="601">
        <v>0</v>
      </c>
      <c r="AH548" s="600"/>
      <c r="AI548" s="599">
        <v>0</v>
      </c>
      <c r="AJ548" s="600"/>
      <c r="AK548" s="601">
        <v>0</v>
      </c>
      <c r="AL548" s="600">
        <v>0</v>
      </c>
      <c r="AM548" s="599">
        <v>0</v>
      </c>
      <c r="AN548" s="600"/>
      <c r="AO548" s="601">
        <v>0</v>
      </c>
      <c r="AP548" s="600">
        <v>0</v>
      </c>
      <c r="AQ548" s="599">
        <v>0</v>
      </c>
      <c r="AR548" s="600"/>
      <c r="AS548" s="601">
        <v>0</v>
      </c>
      <c r="AT548" s="600"/>
      <c r="AU548" s="599"/>
      <c r="AV548" s="600"/>
      <c r="AW548" s="601"/>
      <c r="AX548" s="600"/>
      <c r="AY548" s="599"/>
      <c r="AZ548" s="600"/>
      <c r="BA548" s="601"/>
      <c r="BB548" s="602">
        <v>0</v>
      </c>
      <c r="BC548" s="599">
        <v>0</v>
      </c>
      <c r="BD548" s="600">
        <v>0</v>
      </c>
      <c r="BE548" s="599">
        <v>0</v>
      </c>
      <c r="BF548" s="600">
        <v>0</v>
      </c>
      <c r="BG548" s="624">
        <v>0</v>
      </c>
      <c r="BH548" s="600">
        <v>0</v>
      </c>
      <c r="BI548" s="599">
        <v>0</v>
      </c>
      <c r="BJ548" s="600">
        <v>0</v>
      </c>
      <c r="BK548" s="615">
        <v>0</v>
      </c>
      <c r="BL548" s="600">
        <v>0</v>
      </c>
      <c r="BM548" s="604"/>
      <c r="BN548" s="605">
        <f t="shared" si="629"/>
        <v>0</v>
      </c>
      <c r="BO548" s="606">
        <f t="shared" si="630"/>
        <v>0</v>
      </c>
      <c r="BP548" s="607">
        <f t="shared" si="631"/>
        <v>0</v>
      </c>
      <c r="BQ548" s="606">
        <f t="shared" si="632"/>
        <v>0</v>
      </c>
      <c r="BR548" s="607">
        <f t="shared" si="633"/>
        <v>0</v>
      </c>
      <c r="BS548" s="606">
        <f t="shared" si="634"/>
        <v>0</v>
      </c>
      <c r="BT548" s="607">
        <f t="shared" si="635"/>
        <v>0</v>
      </c>
      <c r="BU548" s="606">
        <f t="shared" si="636"/>
        <v>0</v>
      </c>
      <c r="BV548" s="607">
        <f t="shared" si="637"/>
        <v>0</v>
      </c>
      <c r="BW548" s="608">
        <f t="shared" si="638"/>
        <v>0</v>
      </c>
      <c r="BX548" s="607">
        <f t="shared" si="639"/>
        <v>0</v>
      </c>
      <c r="BY548" s="608">
        <f t="shared" si="640"/>
        <v>0</v>
      </c>
      <c r="BZ548" s="607">
        <f t="shared" si="641"/>
        <v>0</v>
      </c>
      <c r="CA548" s="608">
        <f t="shared" si="642"/>
        <v>0</v>
      </c>
      <c r="CB548" s="607">
        <f t="shared" si="643"/>
        <v>0</v>
      </c>
      <c r="CC548" s="608">
        <f t="shared" si="644"/>
        <v>0</v>
      </c>
      <c r="CD548" s="607">
        <f t="shared" si="645"/>
        <v>0</v>
      </c>
      <c r="CE548" s="608">
        <f t="shared" si="646"/>
        <v>0</v>
      </c>
      <c r="CF548" s="607">
        <f t="shared" si="647"/>
        <v>0</v>
      </c>
      <c r="CG548" s="608">
        <f t="shared" si="648"/>
        <v>0</v>
      </c>
      <c r="CH548" s="607">
        <f t="shared" si="649"/>
        <v>0</v>
      </c>
      <c r="CI548" s="608">
        <f t="shared" si="650"/>
        <v>0</v>
      </c>
      <c r="CJ548" s="607">
        <f t="shared" si="651"/>
        <v>0</v>
      </c>
      <c r="CK548" s="608">
        <f t="shared" si="652"/>
        <v>0</v>
      </c>
      <c r="CL548" s="609">
        <f t="shared" si="653"/>
        <v>0</v>
      </c>
      <c r="CM548" s="608">
        <f t="shared" si="654"/>
        <v>0</v>
      </c>
      <c r="CN548" s="610">
        <f t="shared" si="655"/>
        <v>0</v>
      </c>
      <c r="CO548" s="606">
        <f t="shared" si="656"/>
        <v>0</v>
      </c>
      <c r="CP548" s="607">
        <f t="shared" si="657"/>
        <v>0</v>
      </c>
      <c r="CQ548" s="606">
        <f t="shared" si="658"/>
        <v>0</v>
      </c>
      <c r="CR548" s="607">
        <f t="shared" si="659"/>
        <v>0</v>
      </c>
      <c r="CS548" s="606">
        <f t="shared" si="660"/>
        <v>0</v>
      </c>
      <c r="CT548" s="607">
        <f t="shared" si="661"/>
        <v>0</v>
      </c>
      <c r="CU548" s="608">
        <f t="shared" si="662"/>
        <v>0</v>
      </c>
      <c r="CV548" s="610">
        <f t="shared" si="663"/>
        <v>0</v>
      </c>
      <c r="CW548" s="608">
        <f t="shared" si="664"/>
        <v>0</v>
      </c>
      <c r="CX548" s="610">
        <f t="shared" si="665"/>
        <v>0</v>
      </c>
      <c r="CY548" s="611">
        <f t="shared" si="666"/>
        <v>0</v>
      </c>
      <c r="CZ548" s="605">
        <f t="shared" si="667"/>
        <v>0</v>
      </c>
      <c r="DA548" s="612">
        <f t="shared" si="668"/>
        <v>0</v>
      </c>
      <c r="DB548" s="607">
        <f t="shared" si="669"/>
        <v>0</v>
      </c>
      <c r="DC548" s="606">
        <f t="shared" si="670"/>
        <v>0</v>
      </c>
      <c r="DD548" s="607">
        <f t="shared" si="671"/>
        <v>0</v>
      </c>
      <c r="DE548" s="606">
        <f t="shared" si="672"/>
        <v>0</v>
      </c>
      <c r="DF548" s="607">
        <f t="shared" si="673"/>
        <v>0</v>
      </c>
      <c r="DG548" s="606">
        <f t="shared" si="674"/>
        <v>0</v>
      </c>
      <c r="DH548" s="607">
        <f t="shared" si="675"/>
        <v>0</v>
      </c>
      <c r="DI548" s="608">
        <f t="shared" si="676"/>
        <v>0</v>
      </c>
      <c r="DJ548" s="607">
        <f t="shared" si="677"/>
        <v>0</v>
      </c>
      <c r="DK548" s="608">
        <f t="shared" si="678"/>
        <v>0</v>
      </c>
      <c r="DL548" s="607">
        <f t="shared" si="679"/>
        <v>0</v>
      </c>
      <c r="DM548" s="608">
        <f t="shared" si="680"/>
        <v>0</v>
      </c>
      <c r="DN548" s="607">
        <f t="shared" si="681"/>
        <v>0</v>
      </c>
      <c r="DO548" s="612">
        <f t="shared" si="682"/>
        <v>0</v>
      </c>
      <c r="DP548" s="607">
        <f t="shared" si="683"/>
        <v>0</v>
      </c>
      <c r="DQ548" s="606">
        <f t="shared" si="684"/>
        <v>0</v>
      </c>
      <c r="DR548" s="607">
        <f t="shared" si="685"/>
        <v>0</v>
      </c>
      <c r="DS548" s="606">
        <f t="shared" si="686"/>
        <v>0</v>
      </c>
      <c r="DT548" s="607">
        <f t="shared" si="687"/>
        <v>0</v>
      </c>
      <c r="DU548" s="606">
        <f t="shared" si="688"/>
        <v>0</v>
      </c>
      <c r="DV548" s="607">
        <f t="shared" si="689"/>
        <v>0</v>
      </c>
      <c r="DW548" s="608">
        <f t="shared" si="690"/>
        <v>0</v>
      </c>
      <c r="DX548" s="607">
        <f t="shared" si="691"/>
        <v>0</v>
      </c>
      <c r="DY548" s="608">
        <f t="shared" si="692"/>
        <v>0</v>
      </c>
      <c r="DZ548" s="607">
        <f t="shared" si="693"/>
        <v>0</v>
      </c>
      <c r="EA548" s="608">
        <f t="shared" si="694"/>
        <v>0</v>
      </c>
    </row>
    <row r="549" spans="1:131" x14ac:dyDescent="0.2">
      <c r="A549" s="490" t="s">
        <v>43</v>
      </c>
      <c r="B549" s="356" t="s">
        <v>545</v>
      </c>
      <c r="C549" s="583" t="s">
        <v>551</v>
      </c>
      <c r="D549" s="362">
        <v>870501</v>
      </c>
      <c r="E549" s="371">
        <v>5</v>
      </c>
      <c r="F549" s="598"/>
      <c r="G549" s="599">
        <v>0</v>
      </c>
      <c r="H549" s="600"/>
      <c r="I549" s="601">
        <v>0</v>
      </c>
      <c r="J549" s="600"/>
      <c r="K549" s="599">
        <v>0</v>
      </c>
      <c r="L549" s="600"/>
      <c r="M549" s="601">
        <v>0</v>
      </c>
      <c r="N549" s="600"/>
      <c r="O549" s="599">
        <v>0</v>
      </c>
      <c r="P549" s="600"/>
      <c r="Q549" s="601">
        <v>0</v>
      </c>
      <c r="R549" s="600"/>
      <c r="S549" s="599">
        <v>0</v>
      </c>
      <c r="T549" s="600"/>
      <c r="U549" s="601">
        <v>0</v>
      </c>
      <c r="V549" s="600"/>
      <c r="W549" s="599">
        <v>0</v>
      </c>
      <c r="X549" s="600"/>
      <c r="Y549" s="601">
        <v>0</v>
      </c>
      <c r="Z549" s="600"/>
      <c r="AA549" s="599">
        <v>0</v>
      </c>
      <c r="AB549" s="600"/>
      <c r="AC549" s="601">
        <v>0</v>
      </c>
      <c r="AD549" s="600"/>
      <c r="AE549" s="599">
        <v>0</v>
      </c>
      <c r="AF549" s="600"/>
      <c r="AG549" s="601">
        <v>0</v>
      </c>
      <c r="AH549" s="600"/>
      <c r="AI549" s="599">
        <v>0</v>
      </c>
      <c r="AJ549" s="600"/>
      <c r="AK549" s="601">
        <v>0</v>
      </c>
      <c r="AL549" s="600"/>
      <c r="AM549" s="599">
        <v>0</v>
      </c>
      <c r="AN549" s="600"/>
      <c r="AO549" s="601">
        <v>0</v>
      </c>
      <c r="AP549" s="600"/>
      <c r="AQ549" s="599">
        <v>0</v>
      </c>
      <c r="AR549" s="600"/>
      <c r="AS549" s="601">
        <v>0</v>
      </c>
      <c r="AT549" s="600"/>
      <c r="AU549" s="599"/>
      <c r="AV549" s="600"/>
      <c r="AW549" s="601"/>
      <c r="AX549" s="600"/>
      <c r="AY549" s="599"/>
      <c r="AZ549" s="600"/>
      <c r="BA549" s="601"/>
      <c r="BB549" s="602">
        <v>0</v>
      </c>
      <c r="BC549" s="599">
        <v>0</v>
      </c>
      <c r="BD549" s="600">
        <v>0</v>
      </c>
      <c r="BE549" s="599">
        <v>0</v>
      </c>
      <c r="BF549" s="600">
        <v>0</v>
      </c>
      <c r="BG549" s="599">
        <v>0</v>
      </c>
      <c r="BH549" s="600">
        <v>0</v>
      </c>
      <c r="BI549" s="599">
        <v>0</v>
      </c>
      <c r="BJ549" s="600">
        <v>0</v>
      </c>
      <c r="BK549" s="615">
        <v>0</v>
      </c>
      <c r="BL549" s="600">
        <v>0</v>
      </c>
      <c r="BM549" s="604"/>
      <c r="BN549" s="605">
        <f t="shared" si="629"/>
        <v>0</v>
      </c>
      <c r="BO549" s="606">
        <f t="shared" si="630"/>
        <v>0</v>
      </c>
      <c r="BP549" s="607">
        <f t="shared" si="631"/>
        <v>0</v>
      </c>
      <c r="BQ549" s="606">
        <f t="shared" si="632"/>
        <v>0</v>
      </c>
      <c r="BR549" s="607">
        <f t="shared" si="633"/>
        <v>0</v>
      </c>
      <c r="BS549" s="606">
        <f t="shared" si="634"/>
        <v>0</v>
      </c>
      <c r="BT549" s="607">
        <f t="shared" si="635"/>
        <v>0</v>
      </c>
      <c r="BU549" s="606">
        <f t="shared" si="636"/>
        <v>0</v>
      </c>
      <c r="BV549" s="607">
        <f t="shared" si="637"/>
        <v>0</v>
      </c>
      <c r="BW549" s="608">
        <f t="shared" si="638"/>
        <v>0</v>
      </c>
      <c r="BX549" s="607">
        <f t="shared" si="639"/>
        <v>0</v>
      </c>
      <c r="BY549" s="608">
        <f t="shared" si="640"/>
        <v>0</v>
      </c>
      <c r="BZ549" s="607">
        <f t="shared" si="641"/>
        <v>0</v>
      </c>
      <c r="CA549" s="608">
        <f t="shared" si="642"/>
        <v>0</v>
      </c>
      <c r="CB549" s="607">
        <f t="shared" si="643"/>
        <v>0</v>
      </c>
      <c r="CC549" s="608">
        <f t="shared" si="644"/>
        <v>0</v>
      </c>
      <c r="CD549" s="607">
        <f t="shared" si="645"/>
        <v>0</v>
      </c>
      <c r="CE549" s="608">
        <f t="shared" si="646"/>
        <v>0</v>
      </c>
      <c r="CF549" s="607">
        <f t="shared" si="647"/>
        <v>0</v>
      </c>
      <c r="CG549" s="608">
        <f t="shared" si="648"/>
        <v>0</v>
      </c>
      <c r="CH549" s="607">
        <f t="shared" si="649"/>
        <v>0</v>
      </c>
      <c r="CI549" s="608">
        <f t="shared" si="650"/>
        <v>0</v>
      </c>
      <c r="CJ549" s="607">
        <f t="shared" si="651"/>
        <v>0</v>
      </c>
      <c r="CK549" s="608">
        <f t="shared" si="652"/>
        <v>0</v>
      </c>
      <c r="CL549" s="609">
        <f t="shared" si="653"/>
        <v>0</v>
      </c>
      <c r="CM549" s="608">
        <f t="shared" si="654"/>
        <v>0</v>
      </c>
      <c r="CN549" s="610">
        <f t="shared" si="655"/>
        <v>0</v>
      </c>
      <c r="CO549" s="606">
        <f t="shared" si="656"/>
        <v>0</v>
      </c>
      <c r="CP549" s="607">
        <f t="shared" si="657"/>
        <v>0</v>
      </c>
      <c r="CQ549" s="606">
        <f t="shared" si="658"/>
        <v>0</v>
      </c>
      <c r="CR549" s="607">
        <f t="shared" si="659"/>
        <v>0</v>
      </c>
      <c r="CS549" s="606">
        <f t="shared" si="660"/>
        <v>0</v>
      </c>
      <c r="CT549" s="607">
        <f t="shared" si="661"/>
        <v>0</v>
      </c>
      <c r="CU549" s="608">
        <f t="shared" si="662"/>
        <v>0</v>
      </c>
      <c r="CV549" s="610">
        <f t="shared" si="663"/>
        <v>0</v>
      </c>
      <c r="CW549" s="608">
        <f t="shared" si="664"/>
        <v>0</v>
      </c>
      <c r="CX549" s="610">
        <f t="shared" si="665"/>
        <v>0</v>
      </c>
      <c r="CY549" s="611">
        <f t="shared" si="666"/>
        <v>0</v>
      </c>
      <c r="CZ549" s="605">
        <f t="shared" si="667"/>
        <v>0</v>
      </c>
      <c r="DA549" s="612">
        <f t="shared" si="668"/>
        <v>0</v>
      </c>
      <c r="DB549" s="607">
        <f t="shared" si="669"/>
        <v>0</v>
      </c>
      <c r="DC549" s="606">
        <f t="shared" si="670"/>
        <v>0</v>
      </c>
      <c r="DD549" s="607">
        <f t="shared" si="671"/>
        <v>0</v>
      </c>
      <c r="DE549" s="606">
        <f t="shared" si="672"/>
        <v>0</v>
      </c>
      <c r="DF549" s="607">
        <f t="shared" si="673"/>
        <v>0</v>
      </c>
      <c r="DG549" s="606">
        <f t="shared" si="674"/>
        <v>0</v>
      </c>
      <c r="DH549" s="607">
        <f t="shared" si="675"/>
        <v>0</v>
      </c>
      <c r="DI549" s="608">
        <f t="shared" si="676"/>
        <v>0</v>
      </c>
      <c r="DJ549" s="607">
        <f t="shared" si="677"/>
        <v>0</v>
      </c>
      <c r="DK549" s="608">
        <f t="shared" si="678"/>
        <v>0</v>
      </c>
      <c r="DL549" s="607">
        <f t="shared" si="679"/>
        <v>0</v>
      </c>
      <c r="DM549" s="608">
        <f t="shared" si="680"/>
        <v>0</v>
      </c>
      <c r="DN549" s="607">
        <f t="shared" si="681"/>
        <v>0</v>
      </c>
      <c r="DO549" s="612">
        <f t="shared" si="682"/>
        <v>0</v>
      </c>
      <c r="DP549" s="607">
        <f t="shared" si="683"/>
        <v>0</v>
      </c>
      <c r="DQ549" s="606">
        <f t="shared" si="684"/>
        <v>0</v>
      </c>
      <c r="DR549" s="607">
        <f t="shared" si="685"/>
        <v>0</v>
      </c>
      <c r="DS549" s="606">
        <f t="shared" si="686"/>
        <v>0</v>
      </c>
      <c r="DT549" s="607">
        <f t="shared" si="687"/>
        <v>0</v>
      </c>
      <c r="DU549" s="606">
        <f t="shared" si="688"/>
        <v>0</v>
      </c>
      <c r="DV549" s="607">
        <f t="shared" si="689"/>
        <v>0</v>
      </c>
      <c r="DW549" s="608">
        <f t="shared" si="690"/>
        <v>0</v>
      </c>
      <c r="DX549" s="607">
        <f t="shared" si="691"/>
        <v>0</v>
      </c>
      <c r="DY549" s="608">
        <f t="shared" si="692"/>
        <v>0</v>
      </c>
      <c r="DZ549" s="607">
        <f t="shared" si="693"/>
        <v>0</v>
      </c>
      <c r="EA549" s="608">
        <f t="shared" si="694"/>
        <v>0</v>
      </c>
    </row>
    <row r="550" spans="1:131" x14ac:dyDescent="0.2">
      <c r="A550" s="483" t="s">
        <v>43</v>
      </c>
      <c r="B550" s="354" t="s">
        <v>473</v>
      </c>
      <c r="C550" s="566"/>
      <c r="D550" s="364">
        <v>225432</v>
      </c>
      <c r="E550" s="355">
        <v>5</v>
      </c>
      <c r="F550" s="598">
        <v>52</v>
      </c>
      <c r="G550" s="599">
        <v>50</v>
      </c>
      <c r="H550" s="600"/>
      <c r="I550" s="601">
        <v>0</v>
      </c>
      <c r="J550" s="600">
        <v>4</v>
      </c>
      <c r="K550" s="599">
        <v>0</v>
      </c>
      <c r="L550" s="600"/>
      <c r="M550" s="601">
        <v>6</v>
      </c>
      <c r="N550" s="600">
        <v>97</v>
      </c>
      <c r="O550" s="599">
        <v>105</v>
      </c>
      <c r="P550" s="600"/>
      <c r="Q550" s="601">
        <v>0</v>
      </c>
      <c r="R550" s="600">
        <v>7</v>
      </c>
      <c r="S550" s="599">
        <v>0</v>
      </c>
      <c r="T550" s="600"/>
      <c r="U550" s="601">
        <v>4</v>
      </c>
      <c r="V550" s="600">
        <v>86</v>
      </c>
      <c r="W550" s="599">
        <v>81</v>
      </c>
      <c r="X550" s="600"/>
      <c r="Y550" s="601">
        <v>0</v>
      </c>
      <c r="Z550" s="600"/>
      <c r="AA550" s="599">
        <v>0</v>
      </c>
      <c r="AB550" s="600"/>
      <c r="AC550" s="601">
        <v>0</v>
      </c>
      <c r="AD550" s="600">
        <v>3</v>
      </c>
      <c r="AE550" s="599">
        <v>1</v>
      </c>
      <c r="AF550" s="600"/>
      <c r="AG550" s="601">
        <v>0</v>
      </c>
      <c r="AH550" s="600"/>
      <c r="AI550" s="599">
        <v>0</v>
      </c>
      <c r="AJ550" s="600"/>
      <c r="AK550" s="601">
        <v>0</v>
      </c>
      <c r="AL550" s="600">
        <v>54</v>
      </c>
      <c r="AM550" s="599">
        <v>72</v>
      </c>
      <c r="AN550" s="600"/>
      <c r="AO550" s="601">
        <v>0</v>
      </c>
      <c r="AP550" s="600">
        <v>6</v>
      </c>
      <c r="AQ550" s="599">
        <v>0</v>
      </c>
      <c r="AR550" s="600"/>
      <c r="AS550" s="601">
        <v>9</v>
      </c>
      <c r="AT550" s="600"/>
      <c r="AU550" s="599"/>
      <c r="AV550" s="600"/>
      <c r="AW550" s="601"/>
      <c r="AX550" s="600"/>
      <c r="AY550" s="599"/>
      <c r="AZ550" s="600"/>
      <c r="BA550" s="601"/>
      <c r="BB550" s="602">
        <v>4928794</v>
      </c>
      <c r="BC550" s="599">
        <v>5005257</v>
      </c>
      <c r="BD550" s="600">
        <v>7260629</v>
      </c>
      <c r="BE550" s="599">
        <v>7315106</v>
      </c>
      <c r="BF550" s="600">
        <v>4918701</v>
      </c>
      <c r="BG550" s="599">
        <v>4823201</v>
      </c>
      <c r="BH550" s="600">
        <v>186000</v>
      </c>
      <c r="BI550" s="599">
        <v>55000</v>
      </c>
      <c r="BJ550" s="600">
        <v>2957065</v>
      </c>
      <c r="BK550" s="615">
        <v>3709596</v>
      </c>
      <c r="BL550" s="600">
        <v>0</v>
      </c>
      <c r="BM550" s="604"/>
      <c r="BN550" s="605">
        <f t="shared" si="629"/>
        <v>512</v>
      </c>
      <c r="BO550" s="606">
        <f t="shared" si="630"/>
        <v>522</v>
      </c>
      <c r="BP550" s="607">
        <f t="shared" si="631"/>
        <v>950</v>
      </c>
      <c r="BQ550" s="606">
        <f t="shared" si="632"/>
        <v>993</v>
      </c>
      <c r="BR550" s="607">
        <f t="shared" si="633"/>
        <v>774</v>
      </c>
      <c r="BS550" s="606">
        <f t="shared" si="634"/>
        <v>729</v>
      </c>
      <c r="BT550" s="607">
        <f t="shared" si="635"/>
        <v>27</v>
      </c>
      <c r="BU550" s="606">
        <f t="shared" si="636"/>
        <v>9</v>
      </c>
      <c r="BV550" s="607">
        <f t="shared" si="637"/>
        <v>552</v>
      </c>
      <c r="BW550" s="608">
        <f t="shared" si="638"/>
        <v>756</v>
      </c>
      <c r="BX550" s="607">
        <f t="shared" si="639"/>
        <v>0</v>
      </c>
      <c r="BY550" s="608">
        <f t="shared" si="640"/>
        <v>0</v>
      </c>
      <c r="BZ550" s="607">
        <f t="shared" si="641"/>
        <v>9626.55078125</v>
      </c>
      <c r="CA550" s="608">
        <f t="shared" si="642"/>
        <v>9588.6149425287349</v>
      </c>
      <c r="CB550" s="607">
        <f t="shared" si="643"/>
        <v>7642.7673684210522</v>
      </c>
      <c r="CC550" s="608">
        <f t="shared" si="644"/>
        <v>7366.6727089627393</v>
      </c>
      <c r="CD550" s="607">
        <f t="shared" si="645"/>
        <v>6354.9108527131784</v>
      </c>
      <c r="CE550" s="608">
        <f t="shared" si="646"/>
        <v>6616.1879286694102</v>
      </c>
      <c r="CF550" s="607">
        <f t="shared" si="647"/>
        <v>6888.8888888888887</v>
      </c>
      <c r="CG550" s="608">
        <f t="shared" si="648"/>
        <v>6111.1111111111113</v>
      </c>
      <c r="CH550" s="607">
        <f t="shared" si="649"/>
        <v>5357.001811594203</v>
      </c>
      <c r="CI550" s="608">
        <f t="shared" si="650"/>
        <v>4906.8730158730159</v>
      </c>
      <c r="CJ550" s="607">
        <f t="shared" si="651"/>
        <v>0</v>
      </c>
      <c r="CK550" s="608">
        <f t="shared" si="652"/>
        <v>0</v>
      </c>
      <c r="CL550" s="609">
        <f t="shared" si="653"/>
        <v>86638.95703125</v>
      </c>
      <c r="CM550" s="608">
        <f t="shared" si="654"/>
        <v>86297.534482758609</v>
      </c>
      <c r="CN550" s="610">
        <f t="shared" si="655"/>
        <v>68784.906315789471</v>
      </c>
      <c r="CO550" s="606">
        <f t="shared" si="656"/>
        <v>66300.05438066466</v>
      </c>
      <c r="CP550" s="607">
        <f t="shared" si="657"/>
        <v>57194.197674418603</v>
      </c>
      <c r="CQ550" s="606">
        <f t="shared" si="658"/>
        <v>59545.691358024691</v>
      </c>
      <c r="CR550" s="607">
        <f t="shared" si="659"/>
        <v>62000</v>
      </c>
      <c r="CS550" s="606">
        <f t="shared" si="660"/>
        <v>55000</v>
      </c>
      <c r="CT550" s="607">
        <f t="shared" si="661"/>
        <v>48213.016304347824</v>
      </c>
      <c r="CU550" s="608">
        <f t="shared" si="662"/>
        <v>44161.857142857145</v>
      </c>
      <c r="CV550" s="610">
        <f t="shared" si="663"/>
        <v>0</v>
      </c>
      <c r="CW550" s="608">
        <f t="shared" si="664"/>
        <v>0</v>
      </c>
      <c r="CX550" s="610">
        <f t="shared" si="665"/>
        <v>64734.284235770152</v>
      </c>
      <c r="CY550" s="611">
        <f t="shared" si="666"/>
        <v>62544.753924080367</v>
      </c>
      <c r="CZ550" s="605">
        <f t="shared" si="667"/>
        <v>56</v>
      </c>
      <c r="DA550" s="612">
        <f t="shared" si="668"/>
        <v>56</v>
      </c>
      <c r="DB550" s="607">
        <f t="shared" si="669"/>
        <v>104</v>
      </c>
      <c r="DC550" s="606">
        <f t="shared" si="670"/>
        <v>109</v>
      </c>
      <c r="DD550" s="607">
        <f t="shared" si="671"/>
        <v>86</v>
      </c>
      <c r="DE550" s="606">
        <f t="shared" si="672"/>
        <v>81</v>
      </c>
      <c r="DF550" s="607">
        <f t="shared" si="673"/>
        <v>3</v>
      </c>
      <c r="DG550" s="606">
        <f t="shared" si="674"/>
        <v>1</v>
      </c>
      <c r="DH550" s="607">
        <f t="shared" si="675"/>
        <v>60</v>
      </c>
      <c r="DI550" s="608">
        <f t="shared" si="676"/>
        <v>81</v>
      </c>
      <c r="DJ550" s="607">
        <f t="shared" si="677"/>
        <v>0</v>
      </c>
      <c r="DK550" s="608">
        <f t="shared" si="678"/>
        <v>0</v>
      </c>
      <c r="DL550" s="607">
        <f t="shared" si="679"/>
        <v>309</v>
      </c>
      <c r="DM550" s="608">
        <f t="shared" si="680"/>
        <v>328</v>
      </c>
      <c r="DN550" s="607">
        <f t="shared" si="681"/>
        <v>4851781.59375</v>
      </c>
      <c r="DO550" s="612">
        <f t="shared" si="682"/>
        <v>4832661.9310344821</v>
      </c>
      <c r="DP550" s="607">
        <f t="shared" si="683"/>
        <v>7153630.2568421047</v>
      </c>
      <c r="DQ550" s="606">
        <f t="shared" si="684"/>
        <v>7226705.9274924481</v>
      </c>
      <c r="DR550" s="607">
        <f t="shared" si="685"/>
        <v>4918701</v>
      </c>
      <c r="DS550" s="606">
        <f t="shared" si="686"/>
        <v>4823201</v>
      </c>
      <c r="DT550" s="607">
        <f t="shared" si="687"/>
        <v>186000</v>
      </c>
      <c r="DU550" s="606">
        <f t="shared" si="688"/>
        <v>55000</v>
      </c>
      <c r="DV550" s="607">
        <f t="shared" si="689"/>
        <v>2892780.9782608696</v>
      </c>
      <c r="DW550" s="608">
        <f t="shared" si="690"/>
        <v>3577110.4285714286</v>
      </c>
      <c r="DX550" s="607">
        <f t="shared" si="691"/>
        <v>0</v>
      </c>
      <c r="DY550" s="608">
        <f t="shared" si="692"/>
        <v>0</v>
      </c>
      <c r="DZ550" s="607">
        <f t="shared" si="693"/>
        <v>20002893.828852978</v>
      </c>
      <c r="EA550" s="608">
        <f t="shared" si="694"/>
        <v>20514679.287098359</v>
      </c>
    </row>
    <row r="551" spans="1:131" x14ac:dyDescent="0.2">
      <c r="A551" s="483" t="s">
        <v>43</v>
      </c>
      <c r="B551" s="354" t="s">
        <v>474</v>
      </c>
      <c r="C551" s="566"/>
      <c r="D551" s="364">
        <v>228714</v>
      </c>
      <c r="E551" s="355">
        <v>6</v>
      </c>
      <c r="F551" s="598">
        <v>22</v>
      </c>
      <c r="G551" s="599">
        <v>19</v>
      </c>
      <c r="H551" s="600"/>
      <c r="I551" s="601">
        <v>0</v>
      </c>
      <c r="J551" s="600">
        <v>5</v>
      </c>
      <c r="K551" s="599">
        <v>0</v>
      </c>
      <c r="L551" s="600"/>
      <c r="M551" s="601">
        <v>4</v>
      </c>
      <c r="N551" s="600">
        <v>14</v>
      </c>
      <c r="O551" s="599">
        <v>14</v>
      </c>
      <c r="P551" s="600"/>
      <c r="Q551" s="601">
        <v>0</v>
      </c>
      <c r="R551" s="600"/>
      <c r="S551" s="599">
        <v>0</v>
      </c>
      <c r="T551" s="600"/>
      <c r="U551" s="601">
        <v>1</v>
      </c>
      <c r="V551" s="600">
        <v>15</v>
      </c>
      <c r="W551" s="599">
        <v>17</v>
      </c>
      <c r="X551" s="600"/>
      <c r="Y551" s="601">
        <v>0</v>
      </c>
      <c r="Z551" s="600"/>
      <c r="AA551" s="599">
        <v>0</v>
      </c>
      <c r="AB551" s="600"/>
      <c r="AC551" s="601">
        <v>0</v>
      </c>
      <c r="AD551" s="600"/>
      <c r="AE551" s="599">
        <v>18</v>
      </c>
      <c r="AF551" s="600"/>
      <c r="AG551" s="601">
        <v>3</v>
      </c>
      <c r="AH551" s="600"/>
      <c r="AI551" s="599">
        <v>0</v>
      </c>
      <c r="AJ551" s="600"/>
      <c r="AK551" s="601">
        <v>10</v>
      </c>
      <c r="AL551" s="600">
        <v>34</v>
      </c>
      <c r="AM551" s="599">
        <v>9</v>
      </c>
      <c r="AN551" s="600"/>
      <c r="AO551" s="601">
        <v>0</v>
      </c>
      <c r="AP551" s="600">
        <v>11</v>
      </c>
      <c r="AQ551" s="599">
        <v>0</v>
      </c>
      <c r="AR551" s="600"/>
      <c r="AS551" s="601">
        <v>4</v>
      </c>
      <c r="AT551" s="600"/>
      <c r="AU551" s="599"/>
      <c r="AV551" s="600"/>
      <c r="AW551" s="601"/>
      <c r="AX551" s="600"/>
      <c r="AY551" s="599"/>
      <c r="AZ551" s="600"/>
      <c r="BA551" s="601"/>
      <c r="BB551" s="602">
        <v>2865992</v>
      </c>
      <c r="BC551" s="599">
        <v>2576708</v>
      </c>
      <c r="BD551" s="600">
        <v>942846</v>
      </c>
      <c r="BE551" s="599">
        <v>1083490</v>
      </c>
      <c r="BF551" s="600">
        <v>976074</v>
      </c>
      <c r="BG551" s="599">
        <v>1145292</v>
      </c>
      <c r="BH551" s="600">
        <v>0</v>
      </c>
      <c r="BI551" s="599">
        <v>2032531</v>
      </c>
      <c r="BJ551" s="600">
        <v>1645868.8181818181</v>
      </c>
      <c r="BK551" s="615">
        <v>680013</v>
      </c>
      <c r="BL551" s="600">
        <v>0</v>
      </c>
      <c r="BM551" s="604"/>
      <c r="BN551" s="605">
        <f t="shared" si="629"/>
        <v>253</v>
      </c>
      <c r="BO551" s="606">
        <f t="shared" si="630"/>
        <v>219</v>
      </c>
      <c r="BP551" s="607">
        <f t="shared" si="631"/>
        <v>126</v>
      </c>
      <c r="BQ551" s="606">
        <f t="shared" si="632"/>
        <v>138</v>
      </c>
      <c r="BR551" s="607">
        <f t="shared" si="633"/>
        <v>135</v>
      </c>
      <c r="BS551" s="606">
        <f t="shared" si="634"/>
        <v>153</v>
      </c>
      <c r="BT551" s="607">
        <f t="shared" si="635"/>
        <v>0</v>
      </c>
      <c r="BU551" s="606">
        <f t="shared" si="636"/>
        <v>312</v>
      </c>
      <c r="BV551" s="607">
        <f t="shared" si="637"/>
        <v>427</v>
      </c>
      <c r="BW551" s="608">
        <f t="shared" si="638"/>
        <v>129</v>
      </c>
      <c r="BX551" s="607">
        <f t="shared" si="639"/>
        <v>0</v>
      </c>
      <c r="BY551" s="608">
        <f t="shared" si="640"/>
        <v>0</v>
      </c>
      <c r="BZ551" s="607">
        <f t="shared" si="641"/>
        <v>11328.03162055336</v>
      </c>
      <c r="CA551" s="608">
        <f t="shared" si="642"/>
        <v>11765.789954337899</v>
      </c>
      <c r="CB551" s="607">
        <f t="shared" si="643"/>
        <v>7482.9047619047615</v>
      </c>
      <c r="CC551" s="608">
        <f t="shared" si="644"/>
        <v>7851.376811594203</v>
      </c>
      <c r="CD551" s="607">
        <f t="shared" si="645"/>
        <v>7230.1777777777779</v>
      </c>
      <c r="CE551" s="608">
        <f t="shared" si="646"/>
        <v>7485.5686274509808</v>
      </c>
      <c r="CF551" s="607">
        <f t="shared" si="647"/>
        <v>0</v>
      </c>
      <c r="CG551" s="608">
        <f t="shared" si="648"/>
        <v>6514.5224358974356</v>
      </c>
      <c r="CH551" s="607">
        <f t="shared" si="649"/>
        <v>3854.4937193953588</v>
      </c>
      <c r="CI551" s="608">
        <f t="shared" si="650"/>
        <v>5271.4186046511632</v>
      </c>
      <c r="CJ551" s="607">
        <f t="shared" si="651"/>
        <v>0</v>
      </c>
      <c r="CK551" s="608">
        <f t="shared" si="652"/>
        <v>0</v>
      </c>
      <c r="CL551" s="609">
        <f t="shared" si="653"/>
        <v>101952.28458498024</v>
      </c>
      <c r="CM551" s="608">
        <f t="shared" si="654"/>
        <v>105892.10958904109</v>
      </c>
      <c r="CN551" s="610">
        <f t="shared" si="655"/>
        <v>67346.142857142855</v>
      </c>
      <c r="CO551" s="606">
        <f t="shared" si="656"/>
        <v>70662.391304347824</v>
      </c>
      <c r="CP551" s="607">
        <f t="shared" si="657"/>
        <v>65071.6</v>
      </c>
      <c r="CQ551" s="606">
        <f t="shared" si="658"/>
        <v>67370.117647058825</v>
      </c>
      <c r="CR551" s="607">
        <f t="shared" si="659"/>
        <v>0</v>
      </c>
      <c r="CS551" s="606">
        <f t="shared" si="660"/>
        <v>58630.701923076922</v>
      </c>
      <c r="CT551" s="607">
        <f t="shared" si="661"/>
        <v>34690.443474558226</v>
      </c>
      <c r="CU551" s="608">
        <f t="shared" si="662"/>
        <v>47442.767441860466</v>
      </c>
      <c r="CV551" s="610">
        <f t="shared" si="663"/>
        <v>0</v>
      </c>
      <c r="CW551" s="608">
        <f t="shared" si="664"/>
        <v>0</v>
      </c>
      <c r="CX551" s="610">
        <f t="shared" si="665"/>
        <v>61709.917229203827</v>
      </c>
      <c r="CY551" s="611">
        <f t="shared" si="666"/>
        <v>71465.193196694265</v>
      </c>
      <c r="CZ551" s="605">
        <f t="shared" si="667"/>
        <v>27</v>
      </c>
      <c r="DA551" s="612">
        <f t="shared" si="668"/>
        <v>23</v>
      </c>
      <c r="DB551" s="607">
        <f t="shared" si="669"/>
        <v>14</v>
      </c>
      <c r="DC551" s="606">
        <f t="shared" si="670"/>
        <v>15</v>
      </c>
      <c r="DD551" s="607">
        <f t="shared" si="671"/>
        <v>15</v>
      </c>
      <c r="DE551" s="606">
        <f t="shared" si="672"/>
        <v>17</v>
      </c>
      <c r="DF551" s="607">
        <f t="shared" si="673"/>
        <v>0</v>
      </c>
      <c r="DG551" s="606">
        <f t="shared" si="674"/>
        <v>31</v>
      </c>
      <c r="DH551" s="607">
        <f t="shared" si="675"/>
        <v>45</v>
      </c>
      <c r="DI551" s="608">
        <f t="shared" si="676"/>
        <v>13</v>
      </c>
      <c r="DJ551" s="607">
        <f t="shared" si="677"/>
        <v>0</v>
      </c>
      <c r="DK551" s="608">
        <f t="shared" si="678"/>
        <v>0</v>
      </c>
      <c r="DL551" s="607">
        <f t="shared" si="679"/>
        <v>101</v>
      </c>
      <c r="DM551" s="608">
        <f t="shared" si="680"/>
        <v>99</v>
      </c>
      <c r="DN551" s="607">
        <f t="shared" si="681"/>
        <v>2752711.6837944663</v>
      </c>
      <c r="DO551" s="612">
        <f t="shared" si="682"/>
        <v>2435518.5205479451</v>
      </c>
      <c r="DP551" s="607">
        <f t="shared" si="683"/>
        <v>942846</v>
      </c>
      <c r="DQ551" s="606">
        <f t="shared" si="684"/>
        <v>1059935.8695652173</v>
      </c>
      <c r="DR551" s="607">
        <f t="shared" si="685"/>
        <v>976074</v>
      </c>
      <c r="DS551" s="606">
        <f t="shared" si="686"/>
        <v>1145292</v>
      </c>
      <c r="DT551" s="607">
        <f t="shared" si="687"/>
        <v>0</v>
      </c>
      <c r="DU551" s="606">
        <f t="shared" si="688"/>
        <v>1817551.7596153845</v>
      </c>
      <c r="DV551" s="607">
        <f t="shared" si="689"/>
        <v>1561069.9563551201</v>
      </c>
      <c r="DW551" s="608">
        <f t="shared" si="690"/>
        <v>616755.97674418602</v>
      </c>
      <c r="DX551" s="607">
        <f t="shared" si="691"/>
        <v>0</v>
      </c>
      <c r="DY551" s="608">
        <f t="shared" si="692"/>
        <v>0</v>
      </c>
      <c r="DZ551" s="607">
        <f t="shared" si="693"/>
        <v>6232701.6401495868</v>
      </c>
      <c r="EA551" s="608">
        <f t="shared" si="694"/>
        <v>7075054.1264727321</v>
      </c>
    </row>
    <row r="552" spans="1:131" x14ac:dyDescent="0.2">
      <c r="A552" s="483" t="s">
        <v>43</v>
      </c>
      <c r="B552" s="358" t="s">
        <v>475</v>
      </c>
      <c r="C552" s="584"/>
      <c r="D552" s="362">
        <v>223506</v>
      </c>
      <c r="E552" s="366">
        <v>7</v>
      </c>
      <c r="F552" s="598">
        <v>17</v>
      </c>
      <c r="G552" s="599">
        <v>16</v>
      </c>
      <c r="H552" s="600"/>
      <c r="I552" s="601">
        <v>0</v>
      </c>
      <c r="J552" s="600"/>
      <c r="K552" s="599">
        <v>0</v>
      </c>
      <c r="L552" s="600"/>
      <c r="M552" s="601">
        <v>0</v>
      </c>
      <c r="N552" s="600">
        <v>21</v>
      </c>
      <c r="O552" s="599">
        <v>22</v>
      </c>
      <c r="P552" s="600"/>
      <c r="Q552" s="601">
        <v>0</v>
      </c>
      <c r="R552" s="600">
        <v>1</v>
      </c>
      <c r="S552" s="599">
        <v>0</v>
      </c>
      <c r="T552" s="600"/>
      <c r="U552" s="601">
        <v>0</v>
      </c>
      <c r="V552" s="600">
        <v>28</v>
      </c>
      <c r="W552" s="599">
        <v>28</v>
      </c>
      <c r="X552" s="600"/>
      <c r="Y552" s="601">
        <v>0</v>
      </c>
      <c r="Z552" s="600"/>
      <c r="AA552" s="599">
        <v>0</v>
      </c>
      <c r="AB552" s="600"/>
      <c r="AC552" s="601">
        <v>0</v>
      </c>
      <c r="AD552" s="600">
        <v>17</v>
      </c>
      <c r="AE552" s="599">
        <v>18</v>
      </c>
      <c r="AF552" s="600"/>
      <c r="AG552" s="601">
        <v>0</v>
      </c>
      <c r="AH552" s="600">
        <v>1</v>
      </c>
      <c r="AI552" s="599">
        <v>0</v>
      </c>
      <c r="AJ552" s="600"/>
      <c r="AK552" s="601">
        <v>0</v>
      </c>
      <c r="AL552" s="600"/>
      <c r="AM552" s="599">
        <v>0</v>
      </c>
      <c r="AN552" s="600"/>
      <c r="AO552" s="601">
        <v>0</v>
      </c>
      <c r="AP552" s="600"/>
      <c r="AQ552" s="599">
        <v>0</v>
      </c>
      <c r="AR552" s="600"/>
      <c r="AS552" s="601">
        <v>0</v>
      </c>
      <c r="AT552" s="600"/>
      <c r="AU552" s="599">
        <v>0</v>
      </c>
      <c r="AV552" s="600"/>
      <c r="AW552" s="601">
        <v>0</v>
      </c>
      <c r="AX552" s="600">
        <v>1</v>
      </c>
      <c r="AY552" s="599">
        <v>0</v>
      </c>
      <c r="AZ552" s="600"/>
      <c r="BA552" s="601">
        <v>0</v>
      </c>
      <c r="BB552" s="602">
        <v>1226029</v>
      </c>
      <c r="BC552" s="599">
        <v>1157610</v>
      </c>
      <c r="BD552" s="600">
        <v>1182199</v>
      </c>
      <c r="BE552" s="599">
        <v>1200816</v>
      </c>
      <c r="BF552" s="600">
        <v>1337769</v>
      </c>
      <c r="BG552" s="599">
        <v>1366473</v>
      </c>
      <c r="BH552" s="600">
        <v>766325</v>
      </c>
      <c r="BI552" s="599">
        <v>815415</v>
      </c>
      <c r="BJ552" s="600">
        <v>0</v>
      </c>
      <c r="BK552" s="615">
        <v>0</v>
      </c>
      <c r="BL552" s="600">
        <v>55872</v>
      </c>
      <c r="BM552" s="604">
        <v>0</v>
      </c>
      <c r="BN552" s="605">
        <f t="shared" si="629"/>
        <v>153</v>
      </c>
      <c r="BO552" s="606">
        <f t="shared" si="630"/>
        <v>144</v>
      </c>
      <c r="BP552" s="607">
        <f t="shared" si="631"/>
        <v>200</v>
      </c>
      <c r="BQ552" s="606">
        <f t="shared" si="632"/>
        <v>198</v>
      </c>
      <c r="BR552" s="607">
        <f t="shared" si="633"/>
        <v>252</v>
      </c>
      <c r="BS552" s="606">
        <f t="shared" si="634"/>
        <v>252</v>
      </c>
      <c r="BT552" s="607">
        <f t="shared" si="635"/>
        <v>164</v>
      </c>
      <c r="BU552" s="606">
        <f t="shared" si="636"/>
        <v>162</v>
      </c>
      <c r="BV552" s="607">
        <f t="shared" si="637"/>
        <v>0</v>
      </c>
      <c r="BW552" s="608">
        <f t="shared" si="638"/>
        <v>0</v>
      </c>
      <c r="BX552" s="607">
        <f t="shared" si="639"/>
        <v>11</v>
      </c>
      <c r="BY552" s="608">
        <f t="shared" si="640"/>
        <v>0</v>
      </c>
      <c r="BZ552" s="607">
        <f t="shared" si="641"/>
        <v>8013.2614379084971</v>
      </c>
      <c r="CA552" s="608">
        <f t="shared" si="642"/>
        <v>8038.958333333333</v>
      </c>
      <c r="CB552" s="607">
        <f t="shared" si="643"/>
        <v>5910.9949999999999</v>
      </c>
      <c r="CC552" s="608">
        <f t="shared" si="644"/>
        <v>6064.727272727273</v>
      </c>
      <c r="CD552" s="607">
        <f t="shared" si="645"/>
        <v>5308.6071428571431</v>
      </c>
      <c r="CE552" s="608">
        <f t="shared" si="646"/>
        <v>5422.5119047619046</v>
      </c>
      <c r="CF552" s="607">
        <f t="shared" si="647"/>
        <v>4672.7134146341459</v>
      </c>
      <c r="CG552" s="608">
        <f t="shared" si="648"/>
        <v>5033.4259259259261</v>
      </c>
      <c r="CH552" s="607">
        <f t="shared" si="649"/>
        <v>0</v>
      </c>
      <c r="CI552" s="608">
        <f t="shared" si="650"/>
        <v>0</v>
      </c>
      <c r="CJ552" s="607">
        <f t="shared" si="651"/>
        <v>5079.272727272727</v>
      </c>
      <c r="CK552" s="608">
        <f t="shared" si="652"/>
        <v>0</v>
      </c>
      <c r="CL552" s="609">
        <f t="shared" si="653"/>
        <v>72119.352941176476</v>
      </c>
      <c r="CM552" s="608">
        <f t="shared" si="654"/>
        <v>72350.625</v>
      </c>
      <c r="CN552" s="610">
        <f t="shared" si="655"/>
        <v>53198.955000000002</v>
      </c>
      <c r="CO552" s="606">
        <f t="shared" si="656"/>
        <v>54582.545454545456</v>
      </c>
      <c r="CP552" s="607">
        <f t="shared" si="657"/>
        <v>47777.46428571429</v>
      </c>
      <c r="CQ552" s="606">
        <f t="shared" si="658"/>
        <v>48802.607142857145</v>
      </c>
      <c r="CR552" s="607">
        <f t="shared" si="659"/>
        <v>42054.420731707316</v>
      </c>
      <c r="CS552" s="606">
        <f t="shared" si="660"/>
        <v>45300.833333333336</v>
      </c>
      <c r="CT552" s="607">
        <f t="shared" si="661"/>
        <v>0</v>
      </c>
      <c r="CU552" s="608">
        <f t="shared" si="662"/>
        <v>0</v>
      </c>
      <c r="CV552" s="610">
        <f t="shared" si="663"/>
        <v>45713.454545454544</v>
      </c>
      <c r="CW552" s="608">
        <f t="shared" si="664"/>
        <v>0</v>
      </c>
      <c r="CX552" s="610">
        <f t="shared" si="665"/>
        <v>52754.279508327738</v>
      </c>
      <c r="CY552" s="611">
        <f t="shared" si="666"/>
        <v>54051.357142857145</v>
      </c>
      <c r="CZ552" s="605">
        <f t="shared" si="667"/>
        <v>17</v>
      </c>
      <c r="DA552" s="612">
        <f t="shared" si="668"/>
        <v>16</v>
      </c>
      <c r="DB552" s="607">
        <f t="shared" si="669"/>
        <v>22</v>
      </c>
      <c r="DC552" s="606">
        <f t="shared" si="670"/>
        <v>22</v>
      </c>
      <c r="DD552" s="607">
        <f t="shared" si="671"/>
        <v>28</v>
      </c>
      <c r="DE552" s="606">
        <f t="shared" si="672"/>
        <v>28</v>
      </c>
      <c r="DF552" s="607">
        <f t="shared" si="673"/>
        <v>18</v>
      </c>
      <c r="DG552" s="606">
        <f t="shared" si="674"/>
        <v>18</v>
      </c>
      <c r="DH552" s="607">
        <f t="shared" si="675"/>
        <v>0</v>
      </c>
      <c r="DI552" s="608">
        <f t="shared" si="676"/>
        <v>0</v>
      </c>
      <c r="DJ552" s="607">
        <f t="shared" si="677"/>
        <v>1</v>
      </c>
      <c r="DK552" s="608">
        <f t="shared" si="678"/>
        <v>0</v>
      </c>
      <c r="DL552" s="607">
        <f t="shared" si="679"/>
        <v>86</v>
      </c>
      <c r="DM552" s="608">
        <f t="shared" si="680"/>
        <v>84</v>
      </c>
      <c r="DN552" s="607">
        <f t="shared" si="681"/>
        <v>1226029</v>
      </c>
      <c r="DO552" s="612">
        <f t="shared" si="682"/>
        <v>1157610</v>
      </c>
      <c r="DP552" s="607">
        <f t="shared" si="683"/>
        <v>1170377.01</v>
      </c>
      <c r="DQ552" s="606">
        <f t="shared" si="684"/>
        <v>1200816</v>
      </c>
      <c r="DR552" s="607">
        <f t="shared" si="685"/>
        <v>1337769</v>
      </c>
      <c r="DS552" s="606">
        <f t="shared" si="686"/>
        <v>1366473</v>
      </c>
      <c r="DT552" s="607">
        <f t="shared" si="687"/>
        <v>756979.57317073166</v>
      </c>
      <c r="DU552" s="606">
        <f t="shared" si="688"/>
        <v>815415</v>
      </c>
      <c r="DV552" s="607">
        <f t="shared" si="689"/>
        <v>0</v>
      </c>
      <c r="DW552" s="608">
        <f t="shared" si="690"/>
        <v>0</v>
      </c>
      <c r="DX552" s="607">
        <f t="shared" si="691"/>
        <v>45713.454545454544</v>
      </c>
      <c r="DY552" s="608">
        <f t="shared" si="692"/>
        <v>0</v>
      </c>
      <c r="DZ552" s="607">
        <f t="shared" si="693"/>
        <v>4536868.0377161857</v>
      </c>
      <c r="EA552" s="608">
        <f t="shared" si="694"/>
        <v>4540314</v>
      </c>
    </row>
    <row r="553" spans="1:131" x14ac:dyDescent="0.2">
      <c r="A553" s="483" t="s">
        <v>43</v>
      </c>
      <c r="B553" s="358" t="s">
        <v>476</v>
      </c>
      <c r="C553" s="584"/>
      <c r="D553" s="362">
        <v>226806</v>
      </c>
      <c r="E553" s="366">
        <v>7</v>
      </c>
      <c r="F553" s="598">
        <v>30</v>
      </c>
      <c r="G553" s="599">
        <v>36</v>
      </c>
      <c r="H553" s="600"/>
      <c r="I553" s="601">
        <v>1</v>
      </c>
      <c r="J553" s="600">
        <v>7</v>
      </c>
      <c r="K553" s="599">
        <v>1</v>
      </c>
      <c r="L553" s="600"/>
      <c r="M553" s="601">
        <v>6</v>
      </c>
      <c r="N553" s="600">
        <v>18</v>
      </c>
      <c r="O553" s="599">
        <v>15</v>
      </c>
      <c r="P553" s="600"/>
      <c r="Q553" s="601">
        <v>2</v>
      </c>
      <c r="R553" s="600">
        <v>12</v>
      </c>
      <c r="S553" s="599">
        <v>0</v>
      </c>
      <c r="T553" s="600"/>
      <c r="U553" s="601">
        <v>8</v>
      </c>
      <c r="V553" s="600">
        <v>21</v>
      </c>
      <c r="W553" s="599">
        <v>13</v>
      </c>
      <c r="X553" s="600"/>
      <c r="Y553" s="601">
        <v>3</v>
      </c>
      <c r="Z553" s="600">
        <v>3</v>
      </c>
      <c r="AA553" s="599">
        <v>0</v>
      </c>
      <c r="AB553" s="600"/>
      <c r="AC553" s="601">
        <v>3</v>
      </c>
      <c r="AD553" s="600">
        <v>23</v>
      </c>
      <c r="AE553" s="599">
        <v>23</v>
      </c>
      <c r="AF553" s="600"/>
      <c r="AG553" s="601">
        <v>3</v>
      </c>
      <c r="AH553" s="600">
        <v>6</v>
      </c>
      <c r="AI553" s="599">
        <v>0</v>
      </c>
      <c r="AJ553" s="600"/>
      <c r="AK553" s="601">
        <v>6</v>
      </c>
      <c r="AL553" s="600"/>
      <c r="AM553" s="599">
        <v>0</v>
      </c>
      <c r="AN553" s="600"/>
      <c r="AO553" s="601">
        <v>0</v>
      </c>
      <c r="AP553" s="600"/>
      <c r="AQ553" s="599">
        <v>0</v>
      </c>
      <c r="AR553" s="600"/>
      <c r="AS553" s="601">
        <v>0</v>
      </c>
      <c r="AT553" s="600"/>
      <c r="AU553" s="599">
        <v>0</v>
      </c>
      <c r="AV553" s="600"/>
      <c r="AW553" s="601">
        <v>0</v>
      </c>
      <c r="AX553" s="600">
        <v>9</v>
      </c>
      <c r="AY553" s="599">
        <v>1</v>
      </c>
      <c r="AZ553" s="600"/>
      <c r="BA553" s="601">
        <v>0</v>
      </c>
      <c r="BB553" s="602">
        <v>2455934</v>
      </c>
      <c r="BC553" s="599">
        <v>2924345</v>
      </c>
      <c r="BD553" s="600">
        <v>1581087</v>
      </c>
      <c r="BE553" s="599">
        <v>1416446</v>
      </c>
      <c r="BF553" s="600">
        <v>1239748</v>
      </c>
      <c r="BG553" s="599">
        <v>1062445</v>
      </c>
      <c r="BH553" s="600">
        <v>1437217</v>
      </c>
      <c r="BI553" s="599">
        <v>1666895</v>
      </c>
      <c r="BJ553" s="600">
        <v>0</v>
      </c>
      <c r="BK553" s="615">
        <v>0</v>
      </c>
      <c r="BL553" s="600">
        <v>471688</v>
      </c>
      <c r="BM553" s="604">
        <v>79422</v>
      </c>
      <c r="BN553" s="605">
        <f t="shared" si="629"/>
        <v>347</v>
      </c>
      <c r="BO553" s="606">
        <f t="shared" si="630"/>
        <v>417</v>
      </c>
      <c r="BP553" s="607">
        <f t="shared" si="631"/>
        <v>294</v>
      </c>
      <c r="BQ553" s="606">
        <f t="shared" si="632"/>
        <v>251</v>
      </c>
      <c r="BR553" s="607">
        <f t="shared" si="633"/>
        <v>222</v>
      </c>
      <c r="BS553" s="606">
        <f t="shared" si="634"/>
        <v>183</v>
      </c>
      <c r="BT553" s="607">
        <f t="shared" si="635"/>
        <v>273</v>
      </c>
      <c r="BU553" s="606">
        <f t="shared" si="636"/>
        <v>309</v>
      </c>
      <c r="BV553" s="607">
        <f t="shared" si="637"/>
        <v>0</v>
      </c>
      <c r="BW553" s="608">
        <f t="shared" si="638"/>
        <v>0</v>
      </c>
      <c r="BX553" s="607">
        <f t="shared" si="639"/>
        <v>99</v>
      </c>
      <c r="BY553" s="608">
        <f t="shared" si="640"/>
        <v>11</v>
      </c>
      <c r="BZ553" s="607">
        <f t="shared" si="641"/>
        <v>7077.6195965417864</v>
      </c>
      <c r="CA553" s="608">
        <f t="shared" si="642"/>
        <v>7012.817745803357</v>
      </c>
      <c r="CB553" s="607">
        <f t="shared" si="643"/>
        <v>5377.8469387755104</v>
      </c>
      <c r="CC553" s="608">
        <f t="shared" si="644"/>
        <v>5643.2111553784862</v>
      </c>
      <c r="CD553" s="607">
        <f t="shared" si="645"/>
        <v>5584.4504504504503</v>
      </c>
      <c r="CE553" s="608">
        <f t="shared" si="646"/>
        <v>5805.710382513661</v>
      </c>
      <c r="CF553" s="607">
        <f t="shared" si="647"/>
        <v>5264.5311355311351</v>
      </c>
      <c r="CG553" s="608">
        <f t="shared" si="648"/>
        <v>5394.4822006472496</v>
      </c>
      <c r="CH553" s="607">
        <f t="shared" si="649"/>
        <v>0</v>
      </c>
      <c r="CI553" s="608">
        <f t="shared" si="650"/>
        <v>0</v>
      </c>
      <c r="CJ553" s="607">
        <f t="shared" si="651"/>
        <v>4764.5252525252527</v>
      </c>
      <c r="CK553" s="608">
        <f t="shared" si="652"/>
        <v>7220.181818181818</v>
      </c>
      <c r="CL553" s="609">
        <f t="shared" si="653"/>
        <v>63698.576368876078</v>
      </c>
      <c r="CM553" s="608">
        <f t="shared" si="654"/>
        <v>63115.359712230216</v>
      </c>
      <c r="CN553" s="610">
        <f t="shared" si="655"/>
        <v>48400.622448979593</v>
      </c>
      <c r="CO553" s="606">
        <f t="shared" si="656"/>
        <v>50788.900398406375</v>
      </c>
      <c r="CP553" s="607">
        <f t="shared" si="657"/>
        <v>50260.054054054053</v>
      </c>
      <c r="CQ553" s="606">
        <f t="shared" si="658"/>
        <v>52251.393442622946</v>
      </c>
      <c r="CR553" s="607">
        <f t="shared" si="659"/>
        <v>47380.780219780216</v>
      </c>
      <c r="CS553" s="606">
        <f t="shared" si="660"/>
        <v>48550.33980582525</v>
      </c>
      <c r="CT553" s="607">
        <f t="shared" si="661"/>
        <v>0</v>
      </c>
      <c r="CU553" s="608">
        <f t="shared" si="662"/>
        <v>0</v>
      </c>
      <c r="CV553" s="610">
        <f t="shared" si="663"/>
        <v>42880.727272727272</v>
      </c>
      <c r="CW553" s="608">
        <f t="shared" si="664"/>
        <v>64981.63636363636</v>
      </c>
      <c r="CX553" s="610">
        <f t="shared" si="665"/>
        <v>52519.97262204087</v>
      </c>
      <c r="CY553" s="611">
        <f t="shared" si="666"/>
        <v>55026.176221968344</v>
      </c>
      <c r="CZ553" s="605">
        <f t="shared" si="667"/>
        <v>37</v>
      </c>
      <c r="DA553" s="612">
        <f t="shared" si="668"/>
        <v>44</v>
      </c>
      <c r="DB553" s="607">
        <f t="shared" si="669"/>
        <v>30</v>
      </c>
      <c r="DC553" s="606">
        <f t="shared" si="670"/>
        <v>25</v>
      </c>
      <c r="DD553" s="607">
        <f t="shared" si="671"/>
        <v>24</v>
      </c>
      <c r="DE553" s="606">
        <f t="shared" si="672"/>
        <v>19</v>
      </c>
      <c r="DF553" s="607">
        <f t="shared" si="673"/>
        <v>29</v>
      </c>
      <c r="DG553" s="606">
        <f t="shared" si="674"/>
        <v>32</v>
      </c>
      <c r="DH553" s="607">
        <f t="shared" si="675"/>
        <v>0</v>
      </c>
      <c r="DI553" s="608">
        <f t="shared" si="676"/>
        <v>0</v>
      </c>
      <c r="DJ553" s="607">
        <f t="shared" si="677"/>
        <v>9</v>
      </c>
      <c r="DK553" s="608">
        <f t="shared" si="678"/>
        <v>1</v>
      </c>
      <c r="DL553" s="607">
        <f t="shared" si="679"/>
        <v>129</v>
      </c>
      <c r="DM553" s="608">
        <f t="shared" si="680"/>
        <v>121</v>
      </c>
      <c r="DN553" s="607">
        <f t="shared" si="681"/>
        <v>2356847.3256484149</v>
      </c>
      <c r="DO553" s="612">
        <f t="shared" si="682"/>
        <v>2777075.8273381293</v>
      </c>
      <c r="DP553" s="607">
        <f t="shared" si="683"/>
        <v>1452018.6734693877</v>
      </c>
      <c r="DQ553" s="606">
        <f t="shared" si="684"/>
        <v>1269722.5099601594</v>
      </c>
      <c r="DR553" s="607">
        <f t="shared" si="685"/>
        <v>1206241.2972972973</v>
      </c>
      <c r="DS553" s="606">
        <f t="shared" si="686"/>
        <v>992776.47540983593</v>
      </c>
      <c r="DT553" s="607">
        <f t="shared" si="687"/>
        <v>1374042.6263736263</v>
      </c>
      <c r="DU553" s="606">
        <f t="shared" si="688"/>
        <v>1553610.873786408</v>
      </c>
      <c r="DV553" s="607">
        <f t="shared" si="689"/>
        <v>0</v>
      </c>
      <c r="DW553" s="608">
        <f t="shared" si="690"/>
        <v>0</v>
      </c>
      <c r="DX553" s="607">
        <f t="shared" si="691"/>
        <v>385926.54545454547</v>
      </c>
      <c r="DY553" s="608">
        <f t="shared" si="692"/>
        <v>64981.63636363636</v>
      </c>
      <c r="DZ553" s="607">
        <f t="shared" si="693"/>
        <v>6775076.468243272</v>
      </c>
      <c r="EA553" s="608">
        <f t="shared" si="694"/>
        <v>6658167.3228581697</v>
      </c>
    </row>
    <row r="554" spans="1:131" x14ac:dyDescent="0.2">
      <c r="A554" s="492" t="s">
        <v>43</v>
      </c>
      <c r="B554" s="358" t="s">
        <v>477</v>
      </c>
      <c r="C554" s="584"/>
      <c r="D554" s="367">
        <v>409315</v>
      </c>
      <c r="E554" s="368">
        <v>7</v>
      </c>
      <c r="F554" s="598">
        <v>8</v>
      </c>
      <c r="G554" s="599">
        <v>8</v>
      </c>
      <c r="H554" s="600"/>
      <c r="I554" s="601">
        <v>0</v>
      </c>
      <c r="J554" s="600"/>
      <c r="K554" s="599">
        <v>0</v>
      </c>
      <c r="L554" s="600"/>
      <c r="M554" s="601">
        <v>0</v>
      </c>
      <c r="N554" s="600">
        <v>22</v>
      </c>
      <c r="O554" s="599">
        <v>24</v>
      </c>
      <c r="P554" s="600"/>
      <c r="Q554" s="601">
        <v>0</v>
      </c>
      <c r="R554" s="600"/>
      <c r="S554" s="599">
        <v>0</v>
      </c>
      <c r="T554" s="600"/>
      <c r="U554" s="601">
        <v>0</v>
      </c>
      <c r="V554" s="600">
        <v>28</v>
      </c>
      <c r="W554" s="599">
        <v>26</v>
      </c>
      <c r="X554" s="600"/>
      <c r="Y554" s="601">
        <v>0</v>
      </c>
      <c r="Z554" s="600"/>
      <c r="AA554" s="599">
        <v>0</v>
      </c>
      <c r="AB554" s="600"/>
      <c r="AC554" s="601">
        <v>0</v>
      </c>
      <c r="AD554" s="600">
        <v>450</v>
      </c>
      <c r="AE554" s="599">
        <v>431</v>
      </c>
      <c r="AF554" s="600"/>
      <c r="AG554" s="601">
        <v>31</v>
      </c>
      <c r="AH554" s="600">
        <v>1</v>
      </c>
      <c r="AI554" s="599">
        <v>0</v>
      </c>
      <c r="AJ554" s="600"/>
      <c r="AK554" s="601">
        <v>0</v>
      </c>
      <c r="AL554" s="600"/>
      <c r="AM554" s="599">
        <v>0</v>
      </c>
      <c r="AN554" s="600"/>
      <c r="AO554" s="601">
        <v>0</v>
      </c>
      <c r="AP554" s="600"/>
      <c r="AQ554" s="599">
        <v>0</v>
      </c>
      <c r="AR554" s="600"/>
      <c r="AS554" s="601">
        <v>0</v>
      </c>
      <c r="AT554" s="600"/>
      <c r="AU554" s="599">
        <v>0</v>
      </c>
      <c r="AV554" s="600"/>
      <c r="AW554" s="601">
        <v>0</v>
      </c>
      <c r="AX554" s="600"/>
      <c r="AY554" s="599">
        <v>0</v>
      </c>
      <c r="AZ554" s="600"/>
      <c r="BA554" s="601">
        <v>0</v>
      </c>
      <c r="BB554" s="602">
        <v>501320</v>
      </c>
      <c r="BC554" s="599">
        <v>517365</v>
      </c>
      <c r="BD554" s="600">
        <v>1259226</v>
      </c>
      <c r="BE554" s="599">
        <v>1415998</v>
      </c>
      <c r="BF554" s="600">
        <v>1417710</v>
      </c>
      <c r="BG554" s="599">
        <v>1361730</v>
      </c>
      <c r="BH554" s="600">
        <v>23244016</v>
      </c>
      <c r="BI554" s="599">
        <v>24210840</v>
      </c>
      <c r="BJ554" s="600">
        <v>0</v>
      </c>
      <c r="BK554" s="615">
        <v>0</v>
      </c>
      <c r="BL554" s="600">
        <v>0</v>
      </c>
      <c r="BM554" s="604">
        <v>0</v>
      </c>
      <c r="BN554" s="605">
        <f t="shared" si="629"/>
        <v>72</v>
      </c>
      <c r="BO554" s="606">
        <f t="shared" si="630"/>
        <v>72</v>
      </c>
      <c r="BP554" s="607">
        <f t="shared" si="631"/>
        <v>198</v>
      </c>
      <c r="BQ554" s="606">
        <f t="shared" si="632"/>
        <v>216</v>
      </c>
      <c r="BR554" s="607">
        <f t="shared" si="633"/>
        <v>252</v>
      </c>
      <c r="BS554" s="606">
        <f t="shared" si="634"/>
        <v>234</v>
      </c>
      <c r="BT554" s="607">
        <f t="shared" si="635"/>
        <v>4061</v>
      </c>
      <c r="BU554" s="606">
        <f t="shared" si="636"/>
        <v>4189</v>
      </c>
      <c r="BV554" s="607">
        <f t="shared" si="637"/>
        <v>0</v>
      </c>
      <c r="BW554" s="608">
        <f t="shared" si="638"/>
        <v>0</v>
      </c>
      <c r="BX554" s="607">
        <f t="shared" si="639"/>
        <v>0</v>
      </c>
      <c r="BY554" s="608">
        <f t="shared" si="640"/>
        <v>0</v>
      </c>
      <c r="BZ554" s="607">
        <f t="shared" si="641"/>
        <v>6962.7777777777774</v>
      </c>
      <c r="CA554" s="608">
        <f t="shared" si="642"/>
        <v>7185.625</v>
      </c>
      <c r="CB554" s="607">
        <f t="shared" si="643"/>
        <v>6359.727272727273</v>
      </c>
      <c r="CC554" s="608">
        <f t="shared" si="644"/>
        <v>6555.5462962962965</v>
      </c>
      <c r="CD554" s="607">
        <f t="shared" si="645"/>
        <v>5625.833333333333</v>
      </c>
      <c r="CE554" s="608">
        <f t="shared" si="646"/>
        <v>5819.3589743589746</v>
      </c>
      <c r="CF554" s="607">
        <f t="shared" si="647"/>
        <v>5723.7173110071408</v>
      </c>
      <c r="CG554" s="608">
        <f t="shared" si="648"/>
        <v>5779.6228216758172</v>
      </c>
      <c r="CH554" s="607">
        <f t="shared" si="649"/>
        <v>0</v>
      </c>
      <c r="CI554" s="608">
        <f t="shared" si="650"/>
        <v>0</v>
      </c>
      <c r="CJ554" s="607">
        <f t="shared" si="651"/>
        <v>0</v>
      </c>
      <c r="CK554" s="608">
        <f t="shared" si="652"/>
        <v>0</v>
      </c>
      <c r="CL554" s="609">
        <f t="shared" si="653"/>
        <v>62665</v>
      </c>
      <c r="CM554" s="608">
        <f t="shared" si="654"/>
        <v>64670.625</v>
      </c>
      <c r="CN554" s="610">
        <f t="shared" si="655"/>
        <v>57237.545454545456</v>
      </c>
      <c r="CO554" s="606">
        <f t="shared" si="656"/>
        <v>58999.916666666672</v>
      </c>
      <c r="CP554" s="607">
        <f t="shared" si="657"/>
        <v>50632.5</v>
      </c>
      <c r="CQ554" s="606">
        <f t="shared" si="658"/>
        <v>52374.230769230773</v>
      </c>
      <c r="CR554" s="607">
        <f t="shared" si="659"/>
        <v>51513.455799064264</v>
      </c>
      <c r="CS554" s="606">
        <f t="shared" si="660"/>
        <v>52016.605395082355</v>
      </c>
      <c r="CT554" s="607">
        <f t="shared" si="661"/>
        <v>0</v>
      </c>
      <c r="CU554" s="608">
        <f t="shared" si="662"/>
        <v>0</v>
      </c>
      <c r="CV554" s="610">
        <f t="shared" si="663"/>
        <v>0</v>
      </c>
      <c r="CW554" s="608">
        <f t="shared" si="664"/>
        <v>0</v>
      </c>
      <c r="CX554" s="610">
        <f t="shared" si="665"/>
        <v>51887.671051823148</v>
      </c>
      <c r="CY554" s="611">
        <f t="shared" si="666"/>
        <v>52551.470562553935</v>
      </c>
      <c r="CZ554" s="605">
        <f t="shared" si="667"/>
        <v>8</v>
      </c>
      <c r="DA554" s="612">
        <f t="shared" si="668"/>
        <v>8</v>
      </c>
      <c r="DB554" s="607">
        <f t="shared" si="669"/>
        <v>22</v>
      </c>
      <c r="DC554" s="606">
        <f t="shared" si="670"/>
        <v>24</v>
      </c>
      <c r="DD554" s="607">
        <f t="shared" si="671"/>
        <v>28</v>
      </c>
      <c r="DE554" s="606">
        <f t="shared" si="672"/>
        <v>26</v>
      </c>
      <c r="DF554" s="607">
        <f t="shared" si="673"/>
        <v>451</v>
      </c>
      <c r="DG554" s="606">
        <f t="shared" si="674"/>
        <v>462</v>
      </c>
      <c r="DH554" s="607">
        <f t="shared" si="675"/>
        <v>0</v>
      </c>
      <c r="DI554" s="608">
        <f t="shared" si="676"/>
        <v>0</v>
      </c>
      <c r="DJ554" s="607">
        <f t="shared" si="677"/>
        <v>0</v>
      </c>
      <c r="DK554" s="608">
        <f t="shared" si="678"/>
        <v>0</v>
      </c>
      <c r="DL554" s="607">
        <f t="shared" si="679"/>
        <v>509</v>
      </c>
      <c r="DM554" s="608">
        <f t="shared" si="680"/>
        <v>520</v>
      </c>
      <c r="DN554" s="607">
        <f t="shared" si="681"/>
        <v>501320</v>
      </c>
      <c r="DO554" s="612">
        <f t="shared" si="682"/>
        <v>517365</v>
      </c>
      <c r="DP554" s="607">
        <f t="shared" si="683"/>
        <v>1259226</v>
      </c>
      <c r="DQ554" s="606">
        <f t="shared" si="684"/>
        <v>1415998</v>
      </c>
      <c r="DR554" s="607">
        <f t="shared" si="685"/>
        <v>1417710</v>
      </c>
      <c r="DS554" s="606">
        <f t="shared" si="686"/>
        <v>1361730</v>
      </c>
      <c r="DT554" s="607">
        <f t="shared" si="687"/>
        <v>23232568.565377984</v>
      </c>
      <c r="DU554" s="606">
        <f t="shared" si="688"/>
        <v>24031671.692528047</v>
      </c>
      <c r="DV554" s="607">
        <f t="shared" si="689"/>
        <v>0</v>
      </c>
      <c r="DW554" s="608">
        <f t="shared" si="690"/>
        <v>0</v>
      </c>
      <c r="DX554" s="607">
        <f t="shared" si="691"/>
        <v>0</v>
      </c>
      <c r="DY554" s="608">
        <f t="shared" si="692"/>
        <v>0</v>
      </c>
      <c r="DZ554" s="607">
        <f t="shared" si="693"/>
        <v>26410824.565377984</v>
      </c>
      <c r="EA554" s="608">
        <f t="shared" si="694"/>
        <v>27326764.692528047</v>
      </c>
    </row>
    <row r="555" spans="1:131" x14ac:dyDescent="0.2">
      <c r="A555" s="483" t="s">
        <v>43</v>
      </c>
      <c r="B555" s="354" t="s">
        <v>478</v>
      </c>
      <c r="C555" s="585"/>
      <c r="D555" s="362">
        <v>222576</v>
      </c>
      <c r="E555" s="366">
        <v>8</v>
      </c>
      <c r="F555" s="598">
        <v>32</v>
      </c>
      <c r="G555" s="599">
        <v>28</v>
      </c>
      <c r="H555" s="600"/>
      <c r="I555" s="601">
        <v>4</v>
      </c>
      <c r="J555" s="600">
        <v>5</v>
      </c>
      <c r="K555" s="599">
        <v>5</v>
      </c>
      <c r="L555" s="600"/>
      <c r="M555" s="601">
        <v>2</v>
      </c>
      <c r="N555" s="600">
        <v>20</v>
      </c>
      <c r="O555" s="599">
        <v>20</v>
      </c>
      <c r="P555" s="600"/>
      <c r="Q555" s="601">
        <v>0</v>
      </c>
      <c r="R555" s="600">
        <v>5</v>
      </c>
      <c r="S555" s="599">
        <v>2</v>
      </c>
      <c r="T555" s="600"/>
      <c r="U555" s="601">
        <v>0</v>
      </c>
      <c r="V555" s="600">
        <v>26</v>
      </c>
      <c r="W555" s="599">
        <v>30</v>
      </c>
      <c r="X555" s="600"/>
      <c r="Y555" s="601">
        <v>4</v>
      </c>
      <c r="Z555" s="600">
        <v>8</v>
      </c>
      <c r="AA555" s="599">
        <v>7</v>
      </c>
      <c r="AB555" s="600"/>
      <c r="AC555" s="601">
        <v>3</v>
      </c>
      <c r="AD555" s="600">
        <v>103</v>
      </c>
      <c r="AE555" s="599">
        <v>83</v>
      </c>
      <c r="AF555" s="600"/>
      <c r="AG555" s="601">
        <v>7</v>
      </c>
      <c r="AH555" s="600">
        <v>23</v>
      </c>
      <c r="AI555" s="599">
        <v>20</v>
      </c>
      <c r="AJ555" s="600"/>
      <c r="AK555" s="601">
        <v>1</v>
      </c>
      <c r="AL555" s="600"/>
      <c r="AM555" s="599">
        <v>0</v>
      </c>
      <c r="AN555" s="600"/>
      <c r="AO555" s="601">
        <v>0</v>
      </c>
      <c r="AP555" s="600"/>
      <c r="AQ555" s="599">
        <v>0</v>
      </c>
      <c r="AR555" s="600"/>
      <c r="AS555" s="601">
        <v>0</v>
      </c>
      <c r="AT555" s="600"/>
      <c r="AU555" s="599">
        <v>0</v>
      </c>
      <c r="AV555" s="600"/>
      <c r="AW555" s="601">
        <v>0</v>
      </c>
      <c r="AX555" s="600"/>
      <c r="AY555" s="599">
        <v>0</v>
      </c>
      <c r="AZ555" s="600"/>
      <c r="BA555" s="601">
        <v>0</v>
      </c>
      <c r="BB555" s="602">
        <v>2433314</v>
      </c>
      <c r="BC555" s="599">
        <v>2669919</v>
      </c>
      <c r="BD555" s="600">
        <v>1464397</v>
      </c>
      <c r="BE555" s="599">
        <v>1271494</v>
      </c>
      <c r="BF555" s="600">
        <v>1920466</v>
      </c>
      <c r="BG555" s="599">
        <v>2472263</v>
      </c>
      <c r="BH555" s="600">
        <v>6096986</v>
      </c>
      <c r="BI555" s="599">
        <v>5639426</v>
      </c>
      <c r="BJ555" s="600">
        <v>0</v>
      </c>
      <c r="BK555" s="615">
        <v>0</v>
      </c>
      <c r="BL555" s="600">
        <v>0</v>
      </c>
      <c r="BM555" s="604">
        <v>0</v>
      </c>
      <c r="BN555" s="605">
        <f t="shared" si="629"/>
        <v>343</v>
      </c>
      <c r="BO555" s="606">
        <f t="shared" si="630"/>
        <v>371</v>
      </c>
      <c r="BP555" s="607">
        <f t="shared" si="631"/>
        <v>235</v>
      </c>
      <c r="BQ555" s="606">
        <f t="shared" si="632"/>
        <v>202</v>
      </c>
      <c r="BR555" s="607">
        <f t="shared" si="633"/>
        <v>322</v>
      </c>
      <c r="BS555" s="606">
        <f t="shared" si="634"/>
        <v>423</v>
      </c>
      <c r="BT555" s="607">
        <f t="shared" si="635"/>
        <v>1180</v>
      </c>
      <c r="BU555" s="606">
        <f t="shared" si="636"/>
        <v>1049</v>
      </c>
      <c r="BV555" s="607">
        <f t="shared" si="637"/>
        <v>0</v>
      </c>
      <c r="BW555" s="608">
        <f t="shared" si="638"/>
        <v>0</v>
      </c>
      <c r="BX555" s="607">
        <f t="shared" si="639"/>
        <v>0</v>
      </c>
      <c r="BY555" s="608">
        <f t="shared" si="640"/>
        <v>0</v>
      </c>
      <c r="BZ555" s="607">
        <f t="shared" si="641"/>
        <v>7094.209912536443</v>
      </c>
      <c r="CA555" s="608">
        <f t="shared" si="642"/>
        <v>7196.5471698113206</v>
      </c>
      <c r="CB555" s="607">
        <f t="shared" si="643"/>
        <v>6231.4765957446807</v>
      </c>
      <c r="CC555" s="608">
        <f t="shared" si="644"/>
        <v>6294.5247524752476</v>
      </c>
      <c r="CD555" s="607">
        <f t="shared" si="645"/>
        <v>5964.1801242236024</v>
      </c>
      <c r="CE555" s="608">
        <f t="shared" si="646"/>
        <v>5844.5933806146568</v>
      </c>
      <c r="CF555" s="607">
        <f t="shared" si="647"/>
        <v>5166.937288135593</v>
      </c>
      <c r="CG555" s="608">
        <f t="shared" si="648"/>
        <v>5376.0019065776933</v>
      </c>
      <c r="CH555" s="607">
        <f t="shared" si="649"/>
        <v>0</v>
      </c>
      <c r="CI555" s="608">
        <f t="shared" si="650"/>
        <v>0</v>
      </c>
      <c r="CJ555" s="607">
        <f t="shared" si="651"/>
        <v>0</v>
      </c>
      <c r="CK555" s="608">
        <f t="shared" si="652"/>
        <v>0</v>
      </c>
      <c r="CL555" s="609">
        <f t="shared" si="653"/>
        <v>63847.889212827984</v>
      </c>
      <c r="CM555" s="608">
        <f t="shared" si="654"/>
        <v>64768.924528301883</v>
      </c>
      <c r="CN555" s="610">
        <f t="shared" si="655"/>
        <v>56083.289361702125</v>
      </c>
      <c r="CO555" s="606">
        <f t="shared" si="656"/>
        <v>56650.72277227723</v>
      </c>
      <c r="CP555" s="607">
        <f t="shared" si="657"/>
        <v>53677.621118012423</v>
      </c>
      <c r="CQ555" s="606">
        <f t="shared" si="658"/>
        <v>52601.340425531911</v>
      </c>
      <c r="CR555" s="607">
        <f t="shared" si="659"/>
        <v>46502.43559322034</v>
      </c>
      <c r="CS555" s="606">
        <f t="shared" si="660"/>
        <v>48384.01715919924</v>
      </c>
      <c r="CT555" s="607">
        <f t="shared" si="661"/>
        <v>0</v>
      </c>
      <c r="CU555" s="608">
        <f t="shared" si="662"/>
        <v>0</v>
      </c>
      <c r="CV555" s="610">
        <f t="shared" si="663"/>
        <v>0</v>
      </c>
      <c r="CW555" s="608">
        <f t="shared" si="664"/>
        <v>0</v>
      </c>
      <c r="CX555" s="610">
        <f t="shared" si="665"/>
        <v>51571.171791330518</v>
      </c>
      <c r="CY555" s="611">
        <f t="shared" si="666"/>
        <v>53043.466856427738</v>
      </c>
      <c r="CZ555" s="605">
        <f t="shared" si="667"/>
        <v>37</v>
      </c>
      <c r="DA555" s="612">
        <f t="shared" si="668"/>
        <v>39</v>
      </c>
      <c r="DB555" s="607">
        <f t="shared" si="669"/>
        <v>25</v>
      </c>
      <c r="DC555" s="606">
        <f t="shared" si="670"/>
        <v>22</v>
      </c>
      <c r="DD555" s="607">
        <f t="shared" si="671"/>
        <v>34</v>
      </c>
      <c r="DE555" s="606">
        <f t="shared" si="672"/>
        <v>44</v>
      </c>
      <c r="DF555" s="607">
        <f t="shared" si="673"/>
        <v>126</v>
      </c>
      <c r="DG555" s="606">
        <f t="shared" si="674"/>
        <v>111</v>
      </c>
      <c r="DH555" s="607">
        <f t="shared" si="675"/>
        <v>0</v>
      </c>
      <c r="DI555" s="608">
        <f t="shared" si="676"/>
        <v>0</v>
      </c>
      <c r="DJ555" s="607">
        <f t="shared" si="677"/>
        <v>0</v>
      </c>
      <c r="DK555" s="608">
        <f t="shared" si="678"/>
        <v>0</v>
      </c>
      <c r="DL555" s="607">
        <f t="shared" si="679"/>
        <v>222</v>
      </c>
      <c r="DM555" s="608">
        <f t="shared" si="680"/>
        <v>216</v>
      </c>
      <c r="DN555" s="607">
        <f t="shared" si="681"/>
        <v>2362371.9008746352</v>
      </c>
      <c r="DO555" s="612">
        <f t="shared" si="682"/>
        <v>2525988.0566037735</v>
      </c>
      <c r="DP555" s="607">
        <f t="shared" si="683"/>
        <v>1402082.2340425532</v>
      </c>
      <c r="DQ555" s="606">
        <f t="shared" si="684"/>
        <v>1246315.9009900989</v>
      </c>
      <c r="DR555" s="607">
        <f t="shared" si="685"/>
        <v>1825039.1180124225</v>
      </c>
      <c r="DS555" s="606">
        <f t="shared" si="686"/>
        <v>2314458.978723404</v>
      </c>
      <c r="DT555" s="607">
        <f t="shared" si="687"/>
        <v>5859306.8847457627</v>
      </c>
      <c r="DU555" s="606">
        <f t="shared" si="688"/>
        <v>5370625.9046711158</v>
      </c>
      <c r="DV555" s="607">
        <f t="shared" si="689"/>
        <v>0</v>
      </c>
      <c r="DW555" s="608">
        <f t="shared" si="690"/>
        <v>0</v>
      </c>
      <c r="DX555" s="607">
        <f t="shared" si="691"/>
        <v>0</v>
      </c>
      <c r="DY555" s="608">
        <f t="shared" si="692"/>
        <v>0</v>
      </c>
      <c r="DZ555" s="607">
        <f t="shared" si="693"/>
        <v>11448800.137675375</v>
      </c>
      <c r="EA555" s="608">
        <f t="shared" si="694"/>
        <v>11457388.840988392</v>
      </c>
    </row>
    <row r="556" spans="1:131" x14ac:dyDescent="0.2">
      <c r="A556" s="483" t="s">
        <v>43</v>
      </c>
      <c r="B556" s="354" t="s">
        <v>479</v>
      </c>
      <c r="C556" s="585"/>
      <c r="D556" s="362">
        <v>222992</v>
      </c>
      <c r="E556" s="366">
        <v>8</v>
      </c>
      <c r="F556" s="598">
        <v>33</v>
      </c>
      <c r="G556" s="599">
        <v>36</v>
      </c>
      <c r="H556" s="600"/>
      <c r="I556" s="601">
        <v>0</v>
      </c>
      <c r="J556" s="600">
        <v>323</v>
      </c>
      <c r="K556" s="599">
        <v>285</v>
      </c>
      <c r="L556" s="600"/>
      <c r="M556" s="601">
        <v>23</v>
      </c>
      <c r="N556" s="600">
        <v>24</v>
      </c>
      <c r="O556" s="599">
        <v>26</v>
      </c>
      <c r="P556" s="600"/>
      <c r="Q556" s="601">
        <v>0</v>
      </c>
      <c r="R556" s="600">
        <v>158</v>
      </c>
      <c r="S556" s="599">
        <v>107</v>
      </c>
      <c r="T556" s="600"/>
      <c r="U556" s="601">
        <v>20</v>
      </c>
      <c r="V556" s="600">
        <v>8</v>
      </c>
      <c r="W556" s="599">
        <v>5</v>
      </c>
      <c r="X556" s="600"/>
      <c r="Y556" s="601">
        <v>0</v>
      </c>
      <c r="Z556" s="600">
        <v>72</v>
      </c>
      <c r="AA556" s="599">
        <v>40</v>
      </c>
      <c r="AB556" s="600"/>
      <c r="AC556" s="601">
        <v>6</v>
      </c>
      <c r="AD556" s="600"/>
      <c r="AE556" s="599">
        <v>0</v>
      </c>
      <c r="AF556" s="600"/>
      <c r="AG556" s="601">
        <v>0</v>
      </c>
      <c r="AH556" s="600"/>
      <c r="AI556" s="599">
        <v>0</v>
      </c>
      <c r="AJ556" s="600"/>
      <c r="AK556" s="601">
        <v>0</v>
      </c>
      <c r="AL556" s="600"/>
      <c r="AM556" s="599">
        <v>0</v>
      </c>
      <c r="AN556" s="600"/>
      <c r="AO556" s="601">
        <v>0</v>
      </c>
      <c r="AP556" s="600"/>
      <c r="AQ556" s="599">
        <v>0</v>
      </c>
      <c r="AR556" s="600"/>
      <c r="AS556" s="601">
        <v>0</v>
      </c>
      <c r="AT556" s="600"/>
      <c r="AU556" s="599">
        <v>0</v>
      </c>
      <c r="AV556" s="600"/>
      <c r="AW556" s="601">
        <v>0</v>
      </c>
      <c r="AX556" s="600"/>
      <c r="AY556" s="599">
        <v>0</v>
      </c>
      <c r="AZ556" s="600"/>
      <c r="BA556" s="601">
        <v>0</v>
      </c>
      <c r="BB556" s="602">
        <v>29852421.000000004</v>
      </c>
      <c r="BC556" s="599">
        <v>28723043</v>
      </c>
      <c r="BD556" s="600">
        <v>11584628</v>
      </c>
      <c r="BE556" s="599">
        <v>9721242</v>
      </c>
      <c r="BF556" s="600">
        <v>4494356</v>
      </c>
      <c r="BG556" s="599">
        <v>2864641</v>
      </c>
      <c r="BH556" s="600">
        <v>0</v>
      </c>
      <c r="BI556" s="599">
        <v>0</v>
      </c>
      <c r="BJ556" s="600">
        <v>0</v>
      </c>
      <c r="BK556" s="615">
        <v>0</v>
      </c>
      <c r="BL556" s="600">
        <v>0</v>
      </c>
      <c r="BM556" s="604">
        <v>0</v>
      </c>
      <c r="BN556" s="605">
        <f t="shared" si="629"/>
        <v>3850</v>
      </c>
      <c r="BO556" s="606">
        <f t="shared" si="630"/>
        <v>3735</v>
      </c>
      <c r="BP556" s="607">
        <f t="shared" si="631"/>
        <v>1954</v>
      </c>
      <c r="BQ556" s="606">
        <f t="shared" si="632"/>
        <v>1651</v>
      </c>
      <c r="BR556" s="607">
        <f t="shared" si="633"/>
        <v>864</v>
      </c>
      <c r="BS556" s="606">
        <f t="shared" si="634"/>
        <v>557</v>
      </c>
      <c r="BT556" s="607">
        <f t="shared" si="635"/>
        <v>0</v>
      </c>
      <c r="BU556" s="606">
        <f t="shared" si="636"/>
        <v>0</v>
      </c>
      <c r="BV556" s="607">
        <f t="shared" si="637"/>
        <v>0</v>
      </c>
      <c r="BW556" s="608">
        <f t="shared" si="638"/>
        <v>0</v>
      </c>
      <c r="BX556" s="607">
        <f t="shared" si="639"/>
        <v>0</v>
      </c>
      <c r="BY556" s="608">
        <f t="shared" si="640"/>
        <v>0</v>
      </c>
      <c r="BZ556" s="607">
        <f t="shared" si="641"/>
        <v>7753.8755844155858</v>
      </c>
      <c r="CA556" s="608">
        <f t="shared" si="642"/>
        <v>7690.2390896921015</v>
      </c>
      <c r="CB556" s="607">
        <f t="shared" si="643"/>
        <v>5928.6734902763565</v>
      </c>
      <c r="CC556" s="608">
        <f t="shared" si="644"/>
        <v>5888.0932768019384</v>
      </c>
      <c r="CD556" s="607">
        <f t="shared" si="645"/>
        <v>5201.8009259259261</v>
      </c>
      <c r="CE556" s="608">
        <f t="shared" si="646"/>
        <v>5142.9820466786359</v>
      </c>
      <c r="CF556" s="607">
        <f t="shared" si="647"/>
        <v>0</v>
      </c>
      <c r="CG556" s="608">
        <f t="shared" si="648"/>
        <v>0</v>
      </c>
      <c r="CH556" s="607">
        <f t="shared" si="649"/>
        <v>0</v>
      </c>
      <c r="CI556" s="608">
        <f t="shared" si="650"/>
        <v>0</v>
      </c>
      <c r="CJ556" s="607">
        <f t="shared" si="651"/>
        <v>0</v>
      </c>
      <c r="CK556" s="608">
        <f t="shared" si="652"/>
        <v>0</v>
      </c>
      <c r="CL556" s="609">
        <f t="shared" si="653"/>
        <v>69784.880259740268</v>
      </c>
      <c r="CM556" s="608">
        <f t="shared" si="654"/>
        <v>69212.151807228918</v>
      </c>
      <c r="CN556" s="610">
        <f t="shared" si="655"/>
        <v>53358.061412487208</v>
      </c>
      <c r="CO556" s="606">
        <f t="shared" si="656"/>
        <v>52992.839491217448</v>
      </c>
      <c r="CP556" s="607">
        <f t="shared" si="657"/>
        <v>46816.208333333336</v>
      </c>
      <c r="CQ556" s="606">
        <f t="shared" si="658"/>
        <v>46286.838420107721</v>
      </c>
      <c r="CR556" s="607">
        <f t="shared" si="659"/>
        <v>0</v>
      </c>
      <c r="CS556" s="606">
        <f t="shared" si="660"/>
        <v>0</v>
      </c>
      <c r="CT556" s="607">
        <f t="shared" si="661"/>
        <v>0</v>
      </c>
      <c r="CU556" s="608">
        <f t="shared" si="662"/>
        <v>0</v>
      </c>
      <c r="CV556" s="610">
        <f t="shared" si="663"/>
        <v>0</v>
      </c>
      <c r="CW556" s="608">
        <f t="shared" si="664"/>
        <v>0</v>
      </c>
      <c r="CX556" s="610">
        <f t="shared" si="665"/>
        <v>61973.91782557746</v>
      </c>
      <c r="CY556" s="611">
        <f t="shared" si="666"/>
        <v>62550.20697676736</v>
      </c>
      <c r="CZ556" s="605">
        <f t="shared" si="667"/>
        <v>356</v>
      </c>
      <c r="DA556" s="612">
        <f t="shared" si="668"/>
        <v>344</v>
      </c>
      <c r="DB556" s="607">
        <f t="shared" si="669"/>
        <v>182</v>
      </c>
      <c r="DC556" s="606">
        <f t="shared" si="670"/>
        <v>153</v>
      </c>
      <c r="DD556" s="607">
        <f t="shared" si="671"/>
        <v>80</v>
      </c>
      <c r="DE556" s="606">
        <f t="shared" si="672"/>
        <v>51</v>
      </c>
      <c r="DF556" s="607">
        <f t="shared" si="673"/>
        <v>0</v>
      </c>
      <c r="DG556" s="606">
        <f t="shared" si="674"/>
        <v>0</v>
      </c>
      <c r="DH556" s="607">
        <f t="shared" si="675"/>
        <v>0</v>
      </c>
      <c r="DI556" s="608">
        <f t="shared" si="676"/>
        <v>0</v>
      </c>
      <c r="DJ556" s="607">
        <f t="shared" si="677"/>
        <v>0</v>
      </c>
      <c r="DK556" s="608">
        <f t="shared" si="678"/>
        <v>0</v>
      </c>
      <c r="DL556" s="607">
        <f t="shared" si="679"/>
        <v>618</v>
      </c>
      <c r="DM556" s="608">
        <f t="shared" si="680"/>
        <v>548</v>
      </c>
      <c r="DN556" s="607">
        <f t="shared" si="681"/>
        <v>24843417.372467536</v>
      </c>
      <c r="DO556" s="612">
        <f t="shared" si="682"/>
        <v>23808980.221686747</v>
      </c>
      <c r="DP556" s="607">
        <f t="shared" si="683"/>
        <v>9711167.1770726722</v>
      </c>
      <c r="DQ556" s="606">
        <f t="shared" si="684"/>
        <v>8107904.4421562692</v>
      </c>
      <c r="DR556" s="607">
        <f t="shared" si="685"/>
        <v>3745296.666666667</v>
      </c>
      <c r="DS556" s="606">
        <f t="shared" si="686"/>
        <v>2360628.7594254939</v>
      </c>
      <c r="DT556" s="607">
        <f t="shared" si="687"/>
        <v>0</v>
      </c>
      <c r="DU556" s="606">
        <f t="shared" si="688"/>
        <v>0</v>
      </c>
      <c r="DV556" s="607">
        <f t="shared" si="689"/>
        <v>0</v>
      </c>
      <c r="DW556" s="608">
        <f t="shared" si="690"/>
        <v>0</v>
      </c>
      <c r="DX556" s="607">
        <f t="shared" si="691"/>
        <v>0</v>
      </c>
      <c r="DY556" s="608">
        <f t="shared" si="692"/>
        <v>0</v>
      </c>
      <c r="DZ556" s="607">
        <f t="shared" si="693"/>
        <v>38299881.216206871</v>
      </c>
      <c r="EA556" s="608">
        <f t="shared" si="694"/>
        <v>34277513.423268512</v>
      </c>
    </row>
    <row r="557" spans="1:131" x14ac:dyDescent="0.2">
      <c r="A557" s="483" t="s">
        <v>43</v>
      </c>
      <c r="B557" s="354" t="s">
        <v>480</v>
      </c>
      <c r="C557" s="585"/>
      <c r="D557" s="362">
        <v>223427</v>
      </c>
      <c r="E557" s="366">
        <v>8</v>
      </c>
      <c r="F557" s="598"/>
      <c r="G557" s="599">
        <v>185</v>
      </c>
      <c r="H557" s="600"/>
      <c r="I557" s="601">
        <v>2</v>
      </c>
      <c r="J557" s="600"/>
      <c r="K557" s="599">
        <v>5</v>
      </c>
      <c r="L557" s="600"/>
      <c r="M557" s="601">
        <v>11</v>
      </c>
      <c r="N557" s="600"/>
      <c r="O557" s="599">
        <v>0</v>
      </c>
      <c r="P557" s="600"/>
      <c r="Q557" s="601">
        <v>0</v>
      </c>
      <c r="R557" s="600"/>
      <c r="S557" s="599">
        <v>0</v>
      </c>
      <c r="T557" s="600"/>
      <c r="U557" s="601">
        <v>0</v>
      </c>
      <c r="V557" s="600"/>
      <c r="W557" s="599">
        <v>0</v>
      </c>
      <c r="X557" s="600"/>
      <c r="Y557" s="601">
        <v>0</v>
      </c>
      <c r="Z557" s="600"/>
      <c r="AA557" s="599">
        <v>0</v>
      </c>
      <c r="AB557" s="600"/>
      <c r="AC557" s="601">
        <v>0</v>
      </c>
      <c r="AD557" s="600"/>
      <c r="AE557" s="599">
        <v>126</v>
      </c>
      <c r="AF557" s="600"/>
      <c r="AG557" s="601">
        <v>1</v>
      </c>
      <c r="AH557" s="600"/>
      <c r="AI557" s="599">
        <v>17</v>
      </c>
      <c r="AJ557" s="600"/>
      <c r="AK557" s="601">
        <v>14</v>
      </c>
      <c r="AL557" s="600"/>
      <c r="AM557" s="599">
        <v>0</v>
      </c>
      <c r="AN557" s="600"/>
      <c r="AO557" s="601">
        <v>0</v>
      </c>
      <c r="AP557" s="600"/>
      <c r="AQ557" s="599">
        <v>0</v>
      </c>
      <c r="AR557" s="600"/>
      <c r="AS557" s="601">
        <v>0</v>
      </c>
      <c r="AT557" s="600">
        <v>322</v>
      </c>
      <c r="AU557" s="599">
        <v>0</v>
      </c>
      <c r="AV557" s="600"/>
      <c r="AW557" s="601">
        <v>0</v>
      </c>
      <c r="AX557" s="600">
        <v>48</v>
      </c>
      <c r="AY557" s="599">
        <v>0</v>
      </c>
      <c r="AZ557" s="600"/>
      <c r="BA557" s="601">
        <v>0</v>
      </c>
      <c r="BB557" s="602">
        <v>0</v>
      </c>
      <c r="BC557" s="599">
        <v>11073420</v>
      </c>
      <c r="BD557" s="600">
        <v>0</v>
      </c>
      <c r="BE557" s="599">
        <v>0</v>
      </c>
      <c r="BF557" s="600">
        <v>0</v>
      </c>
      <c r="BG557" s="599">
        <v>0</v>
      </c>
      <c r="BH557" s="600">
        <v>0</v>
      </c>
      <c r="BI557" s="599">
        <v>7455655</v>
      </c>
      <c r="BJ557" s="600">
        <v>0</v>
      </c>
      <c r="BK557" s="615">
        <v>0</v>
      </c>
      <c r="BL557" s="600">
        <v>18217950</v>
      </c>
      <c r="BM557" s="604">
        <v>0</v>
      </c>
      <c r="BN557" s="605">
        <f t="shared" si="629"/>
        <v>0</v>
      </c>
      <c r="BO557" s="606">
        <f t="shared" si="630"/>
        <v>1872</v>
      </c>
      <c r="BP557" s="607">
        <f t="shared" si="631"/>
        <v>0</v>
      </c>
      <c r="BQ557" s="606">
        <f t="shared" si="632"/>
        <v>0</v>
      </c>
      <c r="BR557" s="607">
        <f t="shared" si="633"/>
        <v>0</v>
      </c>
      <c r="BS557" s="606">
        <f t="shared" si="634"/>
        <v>0</v>
      </c>
      <c r="BT557" s="607">
        <f t="shared" si="635"/>
        <v>0</v>
      </c>
      <c r="BU557" s="606">
        <f t="shared" si="636"/>
        <v>1499</v>
      </c>
      <c r="BV557" s="607">
        <f t="shared" si="637"/>
        <v>0</v>
      </c>
      <c r="BW557" s="608">
        <f t="shared" si="638"/>
        <v>0</v>
      </c>
      <c r="BX557" s="607">
        <f t="shared" si="639"/>
        <v>3426</v>
      </c>
      <c r="BY557" s="608">
        <f t="shared" si="640"/>
        <v>0</v>
      </c>
      <c r="BZ557" s="607">
        <f t="shared" si="641"/>
        <v>0</v>
      </c>
      <c r="CA557" s="608">
        <f t="shared" si="642"/>
        <v>5915.2884615384619</v>
      </c>
      <c r="CB557" s="607">
        <f t="shared" si="643"/>
        <v>0</v>
      </c>
      <c r="CC557" s="608">
        <f t="shared" si="644"/>
        <v>0</v>
      </c>
      <c r="CD557" s="607">
        <f t="shared" si="645"/>
        <v>0</v>
      </c>
      <c r="CE557" s="608">
        <f t="shared" si="646"/>
        <v>0</v>
      </c>
      <c r="CF557" s="607">
        <f t="shared" si="647"/>
        <v>0</v>
      </c>
      <c r="CG557" s="608">
        <f t="shared" si="648"/>
        <v>4973.7525016677782</v>
      </c>
      <c r="CH557" s="607">
        <f t="shared" si="649"/>
        <v>0</v>
      </c>
      <c r="CI557" s="608">
        <f t="shared" si="650"/>
        <v>0</v>
      </c>
      <c r="CJ557" s="607">
        <f t="shared" si="651"/>
        <v>5317.5569176882664</v>
      </c>
      <c r="CK557" s="608">
        <f t="shared" si="652"/>
        <v>0</v>
      </c>
      <c r="CL557" s="609">
        <f t="shared" si="653"/>
        <v>0</v>
      </c>
      <c r="CM557" s="608">
        <f t="shared" si="654"/>
        <v>53237.596153846156</v>
      </c>
      <c r="CN557" s="610">
        <f t="shared" si="655"/>
        <v>0</v>
      </c>
      <c r="CO557" s="606">
        <f t="shared" si="656"/>
        <v>0</v>
      </c>
      <c r="CP557" s="607">
        <f t="shared" si="657"/>
        <v>0</v>
      </c>
      <c r="CQ557" s="606">
        <f t="shared" si="658"/>
        <v>0</v>
      </c>
      <c r="CR557" s="607">
        <f t="shared" si="659"/>
        <v>0</v>
      </c>
      <c r="CS557" s="606">
        <f t="shared" si="660"/>
        <v>44763.772515010001</v>
      </c>
      <c r="CT557" s="607">
        <f t="shared" si="661"/>
        <v>0</v>
      </c>
      <c r="CU557" s="608">
        <f t="shared" si="662"/>
        <v>0</v>
      </c>
      <c r="CV557" s="610">
        <f t="shared" si="663"/>
        <v>47858.012259194395</v>
      </c>
      <c r="CW557" s="608">
        <f t="shared" si="664"/>
        <v>0</v>
      </c>
      <c r="CX557" s="610">
        <f t="shared" si="665"/>
        <v>47858.012259194395</v>
      </c>
      <c r="CY557" s="611">
        <f t="shared" si="666"/>
        <v>49528.831237125625</v>
      </c>
      <c r="CZ557" s="605">
        <f t="shared" si="667"/>
        <v>0</v>
      </c>
      <c r="DA557" s="612">
        <f t="shared" si="668"/>
        <v>203</v>
      </c>
      <c r="DB557" s="607">
        <f t="shared" si="669"/>
        <v>0</v>
      </c>
      <c r="DC557" s="606">
        <f t="shared" si="670"/>
        <v>0</v>
      </c>
      <c r="DD557" s="607">
        <f t="shared" si="671"/>
        <v>0</v>
      </c>
      <c r="DE557" s="606">
        <f t="shared" si="672"/>
        <v>0</v>
      </c>
      <c r="DF557" s="607">
        <f t="shared" si="673"/>
        <v>0</v>
      </c>
      <c r="DG557" s="606">
        <f t="shared" si="674"/>
        <v>158</v>
      </c>
      <c r="DH557" s="607">
        <f t="shared" si="675"/>
        <v>0</v>
      </c>
      <c r="DI557" s="608">
        <f t="shared" si="676"/>
        <v>0</v>
      </c>
      <c r="DJ557" s="607">
        <f t="shared" si="677"/>
        <v>370</v>
      </c>
      <c r="DK557" s="608">
        <f t="shared" si="678"/>
        <v>0</v>
      </c>
      <c r="DL557" s="607">
        <f t="shared" si="679"/>
        <v>370</v>
      </c>
      <c r="DM557" s="608">
        <f t="shared" si="680"/>
        <v>361</v>
      </c>
      <c r="DN557" s="607">
        <f t="shared" si="681"/>
        <v>0</v>
      </c>
      <c r="DO557" s="612">
        <f t="shared" si="682"/>
        <v>10807232.01923077</v>
      </c>
      <c r="DP557" s="607">
        <f t="shared" si="683"/>
        <v>0</v>
      </c>
      <c r="DQ557" s="606">
        <f t="shared" si="684"/>
        <v>0</v>
      </c>
      <c r="DR557" s="607">
        <f t="shared" si="685"/>
        <v>0</v>
      </c>
      <c r="DS557" s="606">
        <f t="shared" si="686"/>
        <v>0</v>
      </c>
      <c r="DT557" s="607">
        <f t="shared" si="687"/>
        <v>0</v>
      </c>
      <c r="DU557" s="606">
        <f t="shared" si="688"/>
        <v>7072676.05737158</v>
      </c>
      <c r="DV557" s="607">
        <f t="shared" si="689"/>
        <v>0</v>
      </c>
      <c r="DW557" s="608">
        <f t="shared" si="690"/>
        <v>0</v>
      </c>
      <c r="DX557" s="607">
        <f t="shared" si="691"/>
        <v>17707464.535901926</v>
      </c>
      <c r="DY557" s="608">
        <f t="shared" si="692"/>
        <v>0</v>
      </c>
      <c r="DZ557" s="607">
        <f t="shared" si="693"/>
        <v>17707464.535901926</v>
      </c>
      <c r="EA557" s="608">
        <f t="shared" si="694"/>
        <v>17879908.076602351</v>
      </c>
    </row>
    <row r="558" spans="1:131" x14ac:dyDescent="0.2">
      <c r="A558" s="483" t="s">
        <v>43</v>
      </c>
      <c r="B558" s="354" t="s">
        <v>481</v>
      </c>
      <c r="C558" s="585"/>
      <c r="D558" s="362">
        <v>223524</v>
      </c>
      <c r="E558" s="366">
        <v>8</v>
      </c>
      <c r="F558" s="598"/>
      <c r="G558" s="599">
        <v>0</v>
      </c>
      <c r="H558" s="600"/>
      <c r="I558" s="601">
        <v>0</v>
      </c>
      <c r="J558" s="600"/>
      <c r="K558" s="599">
        <v>0</v>
      </c>
      <c r="L558" s="600"/>
      <c r="M558" s="601">
        <v>0</v>
      </c>
      <c r="N558" s="600"/>
      <c r="O558" s="599">
        <v>0</v>
      </c>
      <c r="P558" s="600"/>
      <c r="Q558" s="601">
        <v>0</v>
      </c>
      <c r="R558" s="600"/>
      <c r="S558" s="599">
        <v>0</v>
      </c>
      <c r="T558" s="600"/>
      <c r="U558" s="601">
        <v>0</v>
      </c>
      <c r="V558" s="600"/>
      <c r="W558" s="599">
        <v>0</v>
      </c>
      <c r="X558" s="600"/>
      <c r="Y558" s="601">
        <v>0</v>
      </c>
      <c r="Z558" s="600"/>
      <c r="AA558" s="599">
        <v>0</v>
      </c>
      <c r="AB558" s="600"/>
      <c r="AC558" s="601">
        <v>0</v>
      </c>
      <c r="AD558" s="600"/>
      <c r="AE558" s="599">
        <v>0</v>
      </c>
      <c r="AF558" s="600"/>
      <c r="AG558" s="601">
        <v>0</v>
      </c>
      <c r="AH558" s="600"/>
      <c r="AI558" s="599">
        <v>0</v>
      </c>
      <c r="AJ558" s="600"/>
      <c r="AK558" s="601">
        <v>0</v>
      </c>
      <c r="AL558" s="600"/>
      <c r="AM558" s="599">
        <v>0</v>
      </c>
      <c r="AN558" s="600"/>
      <c r="AO558" s="601">
        <v>0</v>
      </c>
      <c r="AP558" s="600"/>
      <c r="AQ558" s="599">
        <v>0</v>
      </c>
      <c r="AR558" s="600"/>
      <c r="AS558" s="601">
        <v>0</v>
      </c>
      <c r="AT558" s="600">
        <v>128</v>
      </c>
      <c r="AU558" s="599">
        <v>125</v>
      </c>
      <c r="AV558" s="600"/>
      <c r="AW558" s="601">
        <v>0</v>
      </c>
      <c r="AX558" s="600"/>
      <c r="AY558" s="599">
        <v>0</v>
      </c>
      <c r="AZ558" s="600"/>
      <c r="BA558" s="601">
        <v>0</v>
      </c>
      <c r="BB558" s="602">
        <v>0</v>
      </c>
      <c r="BC558" s="599">
        <v>0</v>
      </c>
      <c r="BD558" s="600">
        <v>0</v>
      </c>
      <c r="BE558" s="599">
        <v>0</v>
      </c>
      <c r="BF558" s="600">
        <v>0</v>
      </c>
      <c r="BG558" s="599">
        <v>0</v>
      </c>
      <c r="BH558" s="600">
        <v>0</v>
      </c>
      <c r="BI558" s="599">
        <v>0</v>
      </c>
      <c r="BJ558" s="600">
        <v>0</v>
      </c>
      <c r="BK558" s="615">
        <v>0</v>
      </c>
      <c r="BL558" s="600">
        <v>7257779</v>
      </c>
      <c r="BM558" s="604">
        <v>7800284</v>
      </c>
      <c r="BN558" s="605">
        <f t="shared" si="629"/>
        <v>0</v>
      </c>
      <c r="BO558" s="606">
        <f t="shared" si="630"/>
        <v>0</v>
      </c>
      <c r="BP558" s="607">
        <f t="shared" si="631"/>
        <v>0</v>
      </c>
      <c r="BQ558" s="606">
        <f t="shared" si="632"/>
        <v>0</v>
      </c>
      <c r="BR558" s="607">
        <f t="shared" si="633"/>
        <v>0</v>
      </c>
      <c r="BS558" s="606">
        <f t="shared" si="634"/>
        <v>0</v>
      </c>
      <c r="BT558" s="607">
        <f t="shared" si="635"/>
        <v>0</v>
      </c>
      <c r="BU558" s="606">
        <f t="shared" si="636"/>
        <v>0</v>
      </c>
      <c r="BV558" s="607">
        <f t="shared" si="637"/>
        <v>0</v>
      </c>
      <c r="BW558" s="608">
        <f t="shared" si="638"/>
        <v>0</v>
      </c>
      <c r="BX558" s="607">
        <f t="shared" si="639"/>
        <v>1152</v>
      </c>
      <c r="BY558" s="608">
        <f t="shared" si="640"/>
        <v>1125</v>
      </c>
      <c r="BZ558" s="607">
        <f t="shared" si="641"/>
        <v>0</v>
      </c>
      <c r="CA558" s="608">
        <f t="shared" si="642"/>
        <v>0</v>
      </c>
      <c r="CB558" s="607">
        <f t="shared" si="643"/>
        <v>0</v>
      </c>
      <c r="CC558" s="608">
        <f t="shared" si="644"/>
        <v>0</v>
      </c>
      <c r="CD558" s="607">
        <f t="shared" si="645"/>
        <v>0</v>
      </c>
      <c r="CE558" s="608">
        <f t="shared" si="646"/>
        <v>0</v>
      </c>
      <c r="CF558" s="607">
        <f t="shared" si="647"/>
        <v>0</v>
      </c>
      <c r="CG558" s="608">
        <f t="shared" si="648"/>
        <v>0</v>
      </c>
      <c r="CH558" s="607">
        <f t="shared" si="649"/>
        <v>0</v>
      </c>
      <c r="CI558" s="608">
        <f t="shared" si="650"/>
        <v>0</v>
      </c>
      <c r="CJ558" s="607">
        <f t="shared" si="651"/>
        <v>6300.1553819444443</v>
      </c>
      <c r="CK558" s="608">
        <f t="shared" si="652"/>
        <v>6933.5857777777774</v>
      </c>
      <c r="CL558" s="609">
        <f t="shared" si="653"/>
        <v>0</v>
      </c>
      <c r="CM558" s="608">
        <f t="shared" si="654"/>
        <v>0</v>
      </c>
      <c r="CN558" s="610">
        <f t="shared" si="655"/>
        <v>0</v>
      </c>
      <c r="CO558" s="606">
        <f t="shared" si="656"/>
        <v>0</v>
      </c>
      <c r="CP558" s="607">
        <f t="shared" si="657"/>
        <v>0</v>
      </c>
      <c r="CQ558" s="606">
        <f t="shared" si="658"/>
        <v>0</v>
      </c>
      <c r="CR558" s="607">
        <f t="shared" si="659"/>
        <v>0</v>
      </c>
      <c r="CS558" s="606">
        <f t="shared" si="660"/>
        <v>0</v>
      </c>
      <c r="CT558" s="607">
        <f t="shared" si="661"/>
        <v>0</v>
      </c>
      <c r="CU558" s="608">
        <f t="shared" si="662"/>
        <v>0</v>
      </c>
      <c r="CV558" s="610">
        <f t="shared" si="663"/>
        <v>56701.3984375</v>
      </c>
      <c r="CW558" s="608">
        <f t="shared" si="664"/>
        <v>62402.271999999997</v>
      </c>
      <c r="CX558" s="610">
        <f t="shared" si="665"/>
        <v>56701.3984375</v>
      </c>
      <c r="CY558" s="611">
        <f t="shared" si="666"/>
        <v>62402.271999999997</v>
      </c>
      <c r="CZ558" s="605">
        <f t="shared" si="667"/>
        <v>0</v>
      </c>
      <c r="DA558" s="612">
        <f t="shared" si="668"/>
        <v>0</v>
      </c>
      <c r="DB558" s="607">
        <f t="shared" si="669"/>
        <v>0</v>
      </c>
      <c r="DC558" s="606">
        <f t="shared" si="670"/>
        <v>0</v>
      </c>
      <c r="DD558" s="607">
        <f t="shared" si="671"/>
        <v>0</v>
      </c>
      <c r="DE558" s="606">
        <f t="shared" si="672"/>
        <v>0</v>
      </c>
      <c r="DF558" s="607">
        <f t="shared" si="673"/>
        <v>0</v>
      </c>
      <c r="DG558" s="606">
        <f t="shared" si="674"/>
        <v>0</v>
      </c>
      <c r="DH558" s="607">
        <f t="shared" si="675"/>
        <v>0</v>
      </c>
      <c r="DI558" s="608">
        <f t="shared" si="676"/>
        <v>0</v>
      </c>
      <c r="DJ558" s="607">
        <f t="shared" si="677"/>
        <v>128</v>
      </c>
      <c r="DK558" s="608">
        <f t="shared" si="678"/>
        <v>125</v>
      </c>
      <c r="DL558" s="607">
        <f t="shared" si="679"/>
        <v>128</v>
      </c>
      <c r="DM558" s="608">
        <f t="shared" si="680"/>
        <v>125</v>
      </c>
      <c r="DN558" s="607">
        <f t="shared" si="681"/>
        <v>0</v>
      </c>
      <c r="DO558" s="612">
        <f t="shared" si="682"/>
        <v>0</v>
      </c>
      <c r="DP558" s="607">
        <f t="shared" si="683"/>
        <v>0</v>
      </c>
      <c r="DQ558" s="606">
        <f t="shared" si="684"/>
        <v>0</v>
      </c>
      <c r="DR558" s="607">
        <f t="shared" si="685"/>
        <v>0</v>
      </c>
      <c r="DS558" s="606">
        <f t="shared" si="686"/>
        <v>0</v>
      </c>
      <c r="DT558" s="607">
        <f t="shared" si="687"/>
        <v>0</v>
      </c>
      <c r="DU558" s="606">
        <f t="shared" si="688"/>
        <v>0</v>
      </c>
      <c r="DV558" s="607">
        <f t="shared" si="689"/>
        <v>0</v>
      </c>
      <c r="DW558" s="608">
        <f t="shared" si="690"/>
        <v>0</v>
      </c>
      <c r="DX558" s="607">
        <f t="shared" si="691"/>
        <v>7257779</v>
      </c>
      <c r="DY558" s="608">
        <f t="shared" si="692"/>
        <v>7800284</v>
      </c>
      <c r="DZ558" s="607">
        <f t="shared" si="693"/>
        <v>7257779</v>
      </c>
      <c r="EA558" s="608">
        <f t="shared" si="694"/>
        <v>7800284</v>
      </c>
    </row>
    <row r="559" spans="1:131" x14ac:dyDescent="0.2">
      <c r="A559" s="483" t="s">
        <v>43</v>
      </c>
      <c r="B559" s="354" t="s">
        <v>482</v>
      </c>
      <c r="C559" s="585"/>
      <c r="D559" s="362">
        <v>223816</v>
      </c>
      <c r="E559" s="366">
        <v>8</v>
      </c>
      <c r="F559" s="598">
        <v>85</v>
      </c>
      <c r="G559" s="599">
        <v>82</v>
      </c>
      <c r="H559" s="600"/>
      <c r="I559" s="601">
        <v>6</v>
      </c>
      <c r="J559" s="600">
        <v>77</v>
      </c>
      <c r="K559" s="599">
        <v>11</v>
      </c>
      <c r="L559" s="600"/>
      <c r="M559" s="601">
        <v>65</v>
      </c>
      <c r="N559" s="600"/>
      <c r="O559" s="599">
        <v>0</v>
      </c>
      <c r="P559" s="600"/>
      <c r="Q559" s="601">
        <v>0</v>
      </c>
      <c r="R559" s="600"/>
      <c r="S559" s="599">
        <v>0</v>
      </c>
      <c r="T559" s="600"/>
      <c r="U559" s="601">
        <v>0</v>
      </c>
      <c r="V559" s="600"/>
      <c r="W559" s="599">
        <v>0</v>
      </c>
      <c r="X559" s="600"/>
      <c r="Y559" s="601">
        <v>0</v>
      </c>
      <c r="Z559" s="600"/>
      <c r="AA559" s="599">
        <v>0</v>
      </c>
      <c r="AB559" s="600"/>
      <c r="AC559" s="601">
        <v>0</v>
      </c>
      <c r="AD559" s="600"/>
      <c r="AE559" s="599">
        <v>0</v>
      </c>
      <c r="AF559" s="600"/>
      <c r="AG559" s="601">
        <v>0</v>
      </c>
      <c r="AH559" s="600">
        <v>76</v>
      </c>
      <c r="AI559" s="599">
        <v>0</v>
      </c>
      <c r="AJ559" s="600"/>
      <c r="AK559" s="601">
        <v>0</v>
      </c>
      <c r="AL559" s="600"/>
      <c r="AM559" s="599">
        <v>0</v>
      </c>
      <c r="AN559" s="600"/>
      <c r="AO559" s="601">
        <v>0</v>
      </c>
      <c r="AP559" s="600"/>
      <c r="AQ559" s="599">
        <v>0</v>
      </c>
      <c r="AR559" s="600"/>
      <c r="AS559" s="601">
        <v>0</v>
      </c>
      <c r="AT559" s="600"/>
      <c r="AU559" s="599">
        <v>0</v>
      </c>
      <c r="AV559" s="600"/>
      <c r="AW559" s="601">
        <v>0</v>
      </c>
      <c r="AX559" s="600"/>
      <c r="AY559" s="599">
        <v>0</v>
      </c>
      <c r="AZ559" s="600"/>
      <c r="BA559" s="601">
        <v>0</v>
      </c>
      <c r="BB559" s="602">
        <v>10362747</v>
      </c>
      <c r="BC559" s="599">
        <v>8942482</v>
      </c>
      <c r="BD559" s="600">
        <v>0</v>
      </c>
      <c r="BE559" s="599">
        <v>0</v>
      </c>
      <c r="BF559" s="600">
        <v>0</v>
      </c>
      <c r="BG559" s="599">
        <v>0</v>
      </c>
      <c r="BH559" s="600">
        <v>3356284</v>
      </c>
      <c r="BI559" s="599">
        <v>0</v>
      </c>
      <c r="BJ559" s="600">
        <v>0</v>
      </c>
      <c r="BK559" s="615">
        <v>0</v>
      </c>
      <c r="BL559" s="600">
        <v>0</v>
      </c>
      <c r="BM559" s="604">
        <v>0</v>
      </c>
      <c r="BN559" s="605">
        <f t="shared" si="629"/>
        <v>1612</v>
      </c>
      <c r="BO559" s="606">
        <f t="shared" si="630"/>
        <v>1699</v>
      </c>
      <c r="BP559" s="607">
        <f t="shared" si="631"/>
        <v>0</v>
      </c>
      <c r="BQ559" s="606">
        <f t="shared" si="632"/>
        <v>0</v>
      </c>
      <c r="BR559" s="607">
        <f t="shared" si="633"/>
        <v>0</v>
      </c>
      <c r="BS559" s="606">
        <f t="shared" si="634"/>
        <v>0</v>
      </c>
      <c r="BT559" s="607">
        <f t="shared" si="635"/>
        <v>836</v>
      </c>
      <c r="BU559" s="606">
        <f t="shared" si="636"/>
        <v>0</v>
      </c>
      <c r="BV559" s="607">
        <f t="shared" si="637"/>
        <v>0</v>
      </c>
      <c r="BW559" s="608">
        <f t="shared" si="638"/>
        <v>0</v>
      </c>
      <c r="BX559" s="607">
        <f t="shared" si="639"/>
        <v>0</v>
      </c>
      <c r="BY559" s="608">
        <f t="shared" si="640"/>
        <v>0</v>
      </c>
      <c r="BZ559" s="607">
        <f t="shared" si="641"/>
        <v>6428.5031017369729</v>
      </c>
      <c r="CA559" s="608">
        <f t="shared" si="642"/>
        <v>5263.3796350794582</v>
      </c>
      <c r="CB559" s="607">
        <f t="shared" si="643"/>
        <v>0</v>
      </c>
      <c r="CC559" s="608">
        <f t="shared" si="644"/>
        <v>0</v>
      </c>
      <c r="CD559" s="607">
        <f t="shared" si="645"/>
        <v>0</v>
      </c>
      <c r="CE559" s="608">
        <f t="shared" si="646"/>
        <v>0</v>
      </c>
      <c r="CF559" s="607">
        <f t="shared" si="647"/>
        <v>4014.6937799043062</v>
      </c>
      <c r="CG559" s="608">
        <f t="shared" si="648"/>
        <v>0</v>
      </c>
      <c r="CH559" s="607">
        <f t="shared" si="649"/>
        <v>0</v>
      </c>
      <c r="CI559" s="608">
        <f t="shared" si="650"/>
        <v>0</v>
      </c>
      <c r="CJ559" s="607">
        <f t="shared" si="651"/>
        <v>0</v>
      </c>
      <c r="CK559" s="608">
        <f t="shared" si="652"/>
        <v>0</v>
      </c>
      <c r="CL559" s="609">
        <f t="shared" si="653"/>
        <v>57856.52791563276</v>
      </c>
      <c r="CM559" s="608">
        <f t="shared" si="654"/>
        <v>47370.416715715124</v>
      </c>
      <c r="CN559" s="610">
        <f t="shared" si="655"/>
        <v>0</v>
      </c>
      <c r="CO559" s="606">
        <f t="shared" si="656"/>
        <v>0</v>
      </c>
      <c r="CP559" s="607">
        <f t="shared" si="657"/>
        <v>0</v>
      </c>
      <c r="CQ559" s="606">
        <f t="shared" si="658"/>
        <v>0</v>
      </c>
      <c r="CR559" s="607">
        <f t="shared" si="659"/>
        <v>36132.244019138758</v>
      </c>
      <c r="CS559" s="606">
        <f t="shared" si="660"/>
        <v>0</v>
      </c>
      <c r="CT559" s="607">
        <f t="shared" si="661"/>
        <v>0</v>
      </c>
      <c r="CU559" s="608">
        <f t="shared" si="662"/>
        <v>0</v>
      </c>
      <c r="CV559" s="610">
        <f t="shared" si="663"/>
        <v>0</v>
      </c>
      <c r="CW559" s="608">
        <f t="shared" si="664"/>
        <v>0</v>
      </c>
      <c r="CX559" s="610">
        <f t="shared" si="665"/>
        <v>50919.361629357358</v>
      </c>
      <c r="CY559" s="611">
        <f t="shared" si="666"/>
        <v>47370.416715715124</v>
      </c>
      <c r="CZ559" s="605">
        <f t="shared" si="667"/>
        <v>162</v>
      </c>
      <c r="DA559" s="612">
        <f t="shared" si="668"/>
        <v>164</v>
      </c>
      <c r="DB559" s="607">
        <f t="shared" si="669"/>
        <v>0</v>
      </c>
      <c r="DC559" s="606">
        <f t="shared" si="670"/>
        <v>0</v>
      </c>
      <c r="DD559" s="607">
        <f t="shared" si="671"/>
        <v>0</v>
      </c>
      <c r="DE559" s="606">
        <f t="shared" si="672"/>
        <v>0</v>
      </c>
      <c r="DF559" s="607">
        <f t="shared" si="673"/>
        <v>76</v>
      </c>
      <c r="DG559" s="606">
        <f t="shared" si="674"/>
        <v>0</v>
      </c>
      <c r="DH559" s="607">
        <f t="shared" si="675"/>
        <v>0</v>
      </c>
      <c r="DI559" s="608">
        <f t="shared" si="676"/>
        <v>0</v>
      </c>
      <c r="DJ559" s="607">
        <f t="shared" si="677"/>
        <v>0</v>
      </c>
      <c r="DK559" s="608">
        <f t="shared" si="678"/>
        <v>0</v>
      </c>
      <c r="DL559" s="607">
        <f t="shared" si="679"/>
        <v>238</v>
      </c>
      <c r="DM559" s="608">
        <f t="shared" si="680"/>
        <v>164</v>
      </c>
      <c r="DN559" s="607">
        <f t="shared" si="681"/>
        <v>9372757.5223325063</v>
      </c>
      <c r="DO559" s="612">
        <f t="shared" si="682"/>
        <v>7768748.3413772807</v>
      </c>
      <c r="DP559" s="607">
        <f t="shared" si="683"/>
        <v>0</v>
      </c>
      <c r="DQ559" s="606">
        <f t="shared" si="684"/>
        <v>0</v>
      </c>
      <c r="DR559" s="607">
        <f t="shared" si="685"/>
        <v>0</v>
      </c>
      <c r="DS559" s="606">
        <f t="shared" si="686"/>
        <v>0</v>
      </c>
      <c r="DT559" s="607">
        <f t="shared" si="687"/>
        <v>2746050.5454545454</v>
      </c>
      <c r="DU559" s="606">
        <f t="shared" si="688"/>
        <v>0</v>
      </c>
      <c r="DV559" s="607">
        <f t="shared" si="689"/>
        <v>0</v>
      </c>
      <c r="DW559" s="608">
        <f t="shared" si="690"/>
        <v>0</v>
      </c>
      <c r="DX559" s="607">
        <f t="shared" si="691"/>
        <v>0</v>
      </c>
      <c r="DY559" s="608">
        <f t="shared" si="692"/>
        <v>0</v>
      </c>
      <c r="DZ559" s="607">
        <f t="shared" si="693"/>
        <v>12118808.067787051</v>
      </c>
      <c r="EA559" s="608">
        <f t="shared" si="694"/>
        <v>7768748.3413772807</v>
      </c>
    </row>
    <row r="560" spans="1:131" x14ac:dyDescent="0.2">
      <c r="A560" s="483" t="s">
        <v>43</v>
      </c>
      <c r="B560" s="354" t="s">
        <v>483</v>
      </c>
      <c r="C560" s="585"/>
      <c r="D560" s="362">
        <v>247834</v>
      </c>
      <c r="E560" s="366">
        <v>8</v>
      </c>
      <c r="F560" s="598"/>
      <c r="G560" s="599">
        <v>0</v>
      </c>
      <c r="H560" s="600"/>
      <c r="I560" s="601">
        <v>0</v>
      </c>
      <c r="J560" s="600"/>
      <c r="K560" s="599">
        <v>0</v>
      </c>
      <c r="L560" s="600"/>
      <c r="M560" s="601">
        <v>0</v>
      </c>
      <c r="N560" s="600"/>
      <c r="O560" s="599">
        <v>0</v>
      </c>
      <c r="P560" s="600"/>
      <c r="Q560" s="601">
        <v>0</v>
      </c>
      <c r="R560" s="600"/>
      <c r="S560" s="599">
        <v>0</v>
      </c>
      <c r="T560" s="600"/>
      <c r="U560" s="601">
        <v>0</v>
      </c>
      <c r="V560" s="600"/>
      <c r="W560" s="599">
        <v>0</v>
      </c>
      <c r="X560" s="600"/>
      <c r="Y560" s="601">
        <v>0</v>
      </c>
      <c r="Z560" s="600"/>
      <c r="AA560" s="599">
        <v>0</v>
      </c>
      <c r="AB560" s="600"/>
      <c r="AC560" s="601">
        <v>0</v>
      </c>
      <c r="AD560" s="600"/>
      <c r="AE560" s="599">
        <v>0</v>
      </c>
      <c r="AF560" s="600"/>
      <c r="AG560" s="601">
        <v>0</v>
      </c>
      <c r="AH560" s="600"/>
      <c r="AI560" s="599">
        <v>0</v>
      </c>
      <c r="AJ560" s="600"/>
      <c r="AK560" s="601">
        <v>0</v>
      </c>
      <c r="AL560" s="600"/>
      <c r="AM560" s="599">
        <v>0</v>
      </c>
      <c r="AN560" s="600"/>
      <c r="AO560" s="601">
        <v>0</v>
      </c>
      <c r="AP560" s="600"/>
      <c r="AQ560" s="599">
        <v>0</v>
      </c>
      <c r="AR560" s="600"/>
      <c r="AS560" s="601">
        <v>0</v>
      </c>
      <c r="AT560" s="600">
        <v>356</v>
      </c>
      <c r="AU560" s="599">
        <v>365</v>
      </c>
      <c r="AV560" s="600"/>
      <c r="AW560" s="601">
        <v>0</v>
      </c>
      <c r="AX560" s="600">
        <v>2</v>
      </c>
      <c r="AY560" s="599">
        <v>0</v>
      </c>
      <c r="AZ560" s="600"/>
      <c r="BA560" s="601">
        <v>3</v>
      </c>
      <c r="BB560" s="602">
        <v>0</v>
      </c>
      <c r="BC560" s="599">
        <v>0</v>
      </c>
      <c r="BD560" s="600">
        <v>0</v>
      </c>
      <c r="BE560" s="599">
        <v>0</v>
      </c>
      <c r="BF560" s="600">
        <v>0</v>
      </c>
      <c r="BG560" s="599">
        <v>0</v>
      </c>
      <c r="BH560" s="600">
        <v>0</v>
      </c>
      <c r="BI560" s="599">
        <v>0</v>
      </c>
      <c r="BJ560" s="600">
        <v>0</v>
      </c>
      <c r="BK560" s="615">
        <v>0</v>
      </c>
      <c r="BL560" s="600">
        <v>19577819</v>
      </c>
      <c r="BM560" s="604">
        <v>20723972</v>
      </c>
      <c r="BN560" s="605">
        <f t="shared" si="629"/>
        <v>0</v>
      </c>
      <c r="BO560" s="606">
        <f t="shared" si="630"/>
        <v>0</v>
      </c>
      <c r="BP560" s="607">
        <f t="shared" si="631"/>
        <v>0</v>
      </c>
      <c r="BQ560" s="606">
        <f t="shared" si="632"/>
        <v>0</v>
      </c>
      <c r="BR560" s="607">
        <f t="shared" si="633"/>
        <v>0</v>
      </c>
      <c r="BS560" s="606">
        <f t="shared" si="634"/>
        <v>0</v>
      </c>
      <c r="BT560" s="607">
        <f t="shared" si="635"/>
        <v>0</v>
      </c>
      <c r="BU560" s="606">
        <f t="shared" si="636"/>
        <v>0</v>
      </c>
      <c r="BV560" s="607">
        <f t="shared" si="637"/>
        <v>0</v>
      </c>
      <c r="BW560" s="608">
        <f t="shared" si="638"/>
        <v>0</v>
      </c>
      <c r="BX560" s="607">
        <f t="shared" si="639"/>
        <v>3226</v>
      </c>
      <c r="BY560" s="608">
        <f t="shared" si="640"/>
        <v>3321</v>
      </c>
      <c r="BZ560" s="607">
        <f t="shared" si="641"/>
        <v>0</v>
      </c>
      <c r="CA560" s="608">
        <f t="shared" si="642"/>
        <v>0</v>
      </c>
      <c r="CB560" s="607">
        <f t="shared" si="643"/>
        <v>0</v>
      </c>
      <c r="CC560" s="608">
        <f t="shared" si="644"/>
        <v>0</v>
      </c>
      <c r="CD560" s="607">
        <f t="shared" si="645"/>
        <v>0</v>
      </c>
      <c r="CE560" s="608">
        <f t="shared" si="646"/>
        <v>0</v>
      </c>
      <c r="CF560" s="607">
        <f t="shared" si="647"/>
        <v>0</v>
      </c>
      <c r="CG560" s="608">
        <f t="shared" si="648"/>
        <v>0</v>
      </c>
      <c r="CH560" s="607">
        <f t="shared" si="649"/>
        <v>0</v>
      </c>
      <c r="CI560" s="608">
        <f t="shared" si="650"/>
        <v>0</v>
      </c>
      <c r="CJ560" s="607">
        <f t="shared" si="651"/>
        <v>6068.7597644141351</v>
      </c>
      <c r="CK560" s="608">
        <f t="shared" si="652"/>
        <v>6240.2806383619391</v>
      </c>
      <c r="CL560" s="609">
        <f t="shared" si="653"/>
        <v>0</v>
      </c>
      <c r="CM560" s="608">
        <f t="shared" si="654"/>
        <v>0</v>
      </c>
      <c r="CN560" s="610">
        <f t="shared" si="655"/>
        <v>0</v>
      </c>
      <c r="CO560" s="606">
        <f t="shared" si="656"/>
        <v>0</v>
      </c>
      <c r="CP560" s="607">
        <f t="shared" si="657"/>
        <v>0</v>
      </c>
      <c r="CQ560" s="606">
        <f t="shared" si="658"/>
        <v>0</v>
      </c>
      <c r="CR560" s="607">
        <f t="shared" si="659"/>
        <v>0</v>
      </c>
      <c r="CS560" s="606">
        <f t="shared" si="660"/>
        <v>0</v>
      </c>
      <c r="CT560" s="607">
        <f t="shared" si="661"/>
        <v>0</v>
      </c>
      <c r="CU560" s="608">
        <f t="shared" si="662"/>
        <v>0</v>
      </c>
      <c r="CV560" s="610">
        <f t="shared" si="663"/>
        <v>54618.837879727216</v>
      </c>
      <c r="CW560" s="608">
        <f t="shared" si="664"/>
        <v>56162.525745257451</v>
      </c>
      <c r="CX560" s="610">
        <f t="shared" si="665"/>
        <v>54618.837879727216</v>
      </c>
      <c r="CY560" s="611">
        <f t="shared" si="666"/>
        <v>56162.525745257451</v>
      </c>
      <c r="CZ560" s="605">
        <f t="shared" si="667"/>
        <v>0</v>
      </c>
      <c r="DA560" s="612">
        <f t="shared" si="668"/>
        <v>0</v>
      </c>
      <c r="DB560" s="607">
        <f t="shared" si="669"/>
        <v>0</v>
      </c>
      <c r="DC560" s="606">
        <f t="shared" si="670"/>
        <v>0</v>
      </c>
      <c r="DD560" s="607">
        <f t="shared" si="671"/>
        <v>0</v>
      </c>
      <c r="DE560" s="606">
        <f t="shared" si="672"/>
        <v>0</v>
      </c>
      <c r="DF560" s="607">
        <f t="shared" si="673"/>
        <v>0</v>
      </c>
      <c r="DG560" s="606">
        <f t="shared" si="674"/>
        <v>0</v>
      </c>
      <c r="DH560" s="607">
        <f t="shared" si="675"/>
        <v>0</v>
      </c>
      <c r="DI560" s="608">
        <f t="shared" si="676"/>
        <v>0</v>
      </c>
      <c r="DJ560" s="607">
        <f t="shared" si="677"/>
        <v>358</v>
      </c>
      <c r="DK560" s="608">
        <f t="shared" si="678"/>
        <v>368</v>
      </c>
      <c r="DL560" s="607">
        <f t="shared" si="679"/>
        <v>358</v>
      </c>
      <c r="DM560" s="608">
        <f t="shared" si="680"/>
        <v>368</v>
      </c>
      <c r="DN560" s="607">
        <f t="shared" si="681"/>
        <v>0</v>
      </c>
      <c r="DO560" s="612">
        <f t="shared" si="682"/>
        <v>0</v>
      </c>
      <c r="DP560" s="607">
        <f t="shared" si="683"/>
        <v>0</v>
      </c>
      <c r="DQ560" s="606">
        <f t="shared" si="684"/>
        <v>0</v>
      </c>
      <c r="DR560" s="607">
        <f t="shared" si="685"/>
        <v>0</v>
      </c>
      <c r="DS560" s="606">
        <f t="shared" si="686"/>
        <v>0</v>
      </c>
      <c r="DT560" s="607">
        <f t="shared" si="687"/>
        <v>0</v>
      </c>
      <c r="DU560" s="606">
        <f t="shared" si="688"/>
        <v>0</v>
      </c>
      <c r="DV560" s="607">
        <f t="shared" si="689"/>
        <v>0</v>
      </c>
      <c r="DW560" s="608">
        <f t="shared" si="690"/>
        <v>0</v>
      </c>
      <c r="DX560" s="607">
        <f t="shared" si="691"/>
        <v>19553543.960942343</v>
      </c>
      <c r="DY560" s="608">
        <f t="shared" si="692"/>
        <v>20667809.474254742</v>
      </c>
      <c r="DZ560" s="607">
        <f t="shared" si="693"/>
        <v>19553543.960942343</v>
      </c>
      <c r="EA560" s="608">
        <f t="shared" si="694"/>
        <v>20667809.474254742</v>
      </c>
    </row>
    <row r="561" spans="1:131" x14ac:dyDescent="0.2">
      <c r="A561" s="483" t="s">
        <v>43</v>
      </c>
      <c r="B561" s="354" t="s">
        <v>484</v>
      </c>
      <c r="C561" s="585"/>
      <c r="D561" s="362">
        <v>224350</v>
      </c>
      <c r="E561" s="366">
        <v>8</v>
      </c>
      <c r="F561" s="598">
        <v>83</v>
      </c>
      <c r="G561" s="599">
        <v>76</v>
      </c>
      <c r="H561" s="600"/>
      <c r="I561" s="601">
        <v>0</v>
      </c>
      <c r="J561" s="600">
        <v>4</v>
      </c>
      <c r="K561" s="599">
        <v>0</v>
      </c>
      <c r="L561" s="600"/>
      <c r="M561" s="601">
        <v>0</v>
      </c>
      <c r="N561" s="600">
        <v>63</v>
      </c>
      <c r="O561" s="599">
        <v>56</v>
      </c>
      <c r="P561" s="600"/>
      <c r="Q561" s="601">
        <v>0</v>
      </c>
      <c r="R561" s="600"/>
      <c r="S561" s="599">
        <v>0</v>
      </c>
      <c r="T561" s="600"/>
      <c r="U561" s="601">
        <v>0</v>
      </c>
      <c r="V561" s="600">
        <v>61</v>
      </c>
      <c r="W561" s="599">
        <v>77</v>
      </c>
      <c r="X561" s="600"/>
      <c r="Y561" s="601">
        <v>0</v>
      </c>
      <c r="Z561" s="600"/>
      <c r="AA561" s="599">
        <v>0</v>
      </c>
      <c r="AB561" s="600"/>
      <c r="AC561" s="601">
        <v>0</v>
      </c>
      <c r="AD561" s="600">
        <v>79</v>
      </c>
      <c r="AE561" s="599">
        <v>56</v>
      </c>
      <c r="AF561" s="600"/>
      <c r="AG561" s="601">
        <v>0</v>
      </c>
      <c r="AH561" s="600"/>
      <c r="AI561" s="599">
        <v>0</v>
      </c>
      <c r="AJ561" s="600"/>
      <c r="AK561" s="601">
        <v>16</v>
      </c>
      <c r="AL561" s="600"/>
      <c r="AM561" s="599">
        <v>0</v>
      </c>
      <c r="AN561" s="600"/>
      <c r="AO561" s="601">
        <v>0</v>
      </c>
      <c r="AP561" s="600"/>
      <c r="AQ561" s="599">
        <v>0</v>
      </c>
      <c r="AR561" s="600"/>
      <c r="AS561" s="601">
        <v>0</v>
      </c>
      <c r="AT561" s="600"/>
      <c r="AU561" s="599">
        <v>0</v>
      </c>
      <c r="AV561" s="600"/>
      <c r="AW561" s="601">
        <v>0</v>
      </c>
      <c r="AX561" s="600"/>
      <c r="AY561" s="599">
        <v>0</v>
      </c>
      <c r="AZ561" s="600"/>
      <c r="BA561" s="601">
        <v>2</v>
      </c>
      <c r="BB561" s="602">
        <v>6136806</v>
      </c>
      <c r="BC561" s="599">
        <v>5159619</v>
      </c>
      <c r="BD561" s="600">
        <v>3560432</v>
      </c>
      <c r="BE561" s="599">
        <v>3173327</v>
      </c>
      <c r="BF561" s="600">
        <v>3089153</v>
      </c>
      <c r="BG561" s="599">
        <v>3841599</v>
      </c>
      <c r="BH561" s="600">
        <v>3532970</v>
      </c>
      <c r="BI561" s="599">
        <v>3240247</v>
      </c>
      <c r="BJ561" s="600">
        <v>0</v>
      </c>
      <c r="BK561" s="615">
        <v>0</v>
      </c>
      <c r="BL561" s="600">
        <v>0</v>
      </c>
      <c r="BM561" s="604">
        <v>104200</v>
      </c>
      <c r="BN561" s="605">
        <f t="shared" si="629"/>
        <v>791</v>
      </c>
      <c r="BO561" s="606">
        <f t="shared" si="630"/>
        <v>684</v>
      </c>
      <c r="BP561" s="607">
        <f t="shared" si="631"/>
        <v>567</v>
      </c>
      <c r="BQ561" s="606">
        <f t="shared" si="632"/>
        <v>504</v>
      </c>
      <c r="BR561" s="607">
        <f t="shared" si="633"/>
        <v>549</v>
      </c>
      <c r="BS561" s="606">
        <f t="shared" si="634"/>
        <v>693</v>
      </c>
      <c r="BT561" s="607">
        <f t="shared" si="635"/>
        <v>711</v>
      </c>
      <c r="BU561" s="606">
        <f t="shared" si="636"/>
        <v>696</v>
      </c>
      <c r="BV561" s="607">
        <f t="shared" si="637"/>
        <v>0</v>
      </c>
      <c r="BW561" s="608">
        <f t="shared" si="638"/>
        <v>0</v>
      </c>
      <c r="BX561" s="607">
        <f t="shared" si="639"/>
        <v>0</v>
      </c>
      <c r="BY561" s="608">
        <f t="shared" si="640"/>
        <v>24</v>
      </c>
      <c r="BZ561" s="607">
        <f t="shared" si="641"/>
        <v>7758.2882427307204</v>
      </c>
      <c r="CA561" s="608">
        <f t="shared" si="642"/>
        <v>7543.3026315789475</v>
      </c>
      <c r="CB561" s="607">
        <f t="shared" si="643"/>
        <v>6279.42151675485</v>
      </c>
      <c r="CC561" s="608">
        <f t="shared" si="644"/>
        <v>6296.2837301587306</v>
      </c>
      <c r="CD561" s="607">
        <f t="shared" si="645"/>
        <v>5626.8724954462659</v>
      </c>
      <c r="CE561" s="608">
        <f t="shared" si="646"/>
        <v>5543.4329004329002</v>
      </c>
      <c r="CF561" s="607">
        <f t="shared" si="647"/>
        <v>4969.0154711673695</v>
      </c>
      <c r="CG561" s="608">
        <f t="shared" si="648"/>
        <v>4655.5272988505749</v>
      </c>
      <c r="CH561" s="607">
        <f t="shared" si="649"/>
        <v>0</v>
      </c>
      <c r="CI561" s="608">
        <f t="shared" si="650"/>
        <v>0</v>
      </c>
      <c r="CJ561" s="607">
        <f t="shared" si="651"/>
        <v>0</v>
      </c>
      <c r="CK561" s="608">
        <f t="shared" si="652"/>
        <v>4341.666666666667</v>
      </c>
      <c r="CL561" s="609">
        <f t="shared" si="653"/>
        <v>69824.59418457649</v>
      </c>
      <c r="CM561" s="608">
        <f t="shared" si="654"/>
        <v>67889.723684210534</v>
      </c>
      <c r="CN561" s="610">
        <f t="shared" si="655"/>
        <v>56514.793650793654</v>
      </c>
      <c r="CO561" s="606">
        <f t="shared" si="656"/>
        <v>56666.553571428572</v>
      </c>
      <c r="CP561" s="607">
        <f t="shared" si="657"/>
        <v>50641.852459016394</v>
      </c>
      <c r="CQ561" s="606">
        <f t="shared" si="658"/>
        <v>49890.896103896099</v>
      </c>
      <c r="CR561" s="607">
        <f t="shared" si="659"/>
        <v>44721.139240506323</v>
      </c>
      <c r="CS561" s="606">
        <f t="shared" si="660"/>
        <v>41899.745689655174</v>
      </c>
      <c r="CT561" s="607">
        <f t="shared" si="661"/>
        <v>0</v>
      </c>
      <c r="CU561" s="608">
        <f t="shared" si="662"/>
        <v>0</v>
      </c>
      <c r="CV561" s="610">
        <f t="shared" si="663"/>
        <v>0</v>
      </c>
      <c r="CW561" s="608">
        <f t="shared" si="664"/>
        <v>39075</v>
      </c>
      <c r="CX561" s="610">
        <f t="shared" si="665"/>
        <v>56059.636876062599</v>
      </c>
      <c r="CY561" s="611">
        <f t="shared" si="666"/>
        <v>53955.748019982944</v>
      </c>
      <c r="CZ561" s="605">
        <f t="shared" si="667"/>
        <v>87</v>
      </c>
      <c r="DA561" s="612">
        <f t="shared" si="668"/>
        <v>76</v>
      </c>
      <c r="DB561" s="607">
        <f t="shared" si="669"/>
        <v>63</v>
      </c>
      <c r="DC561" s="606">
        <f t="shared" si="670"/>
        <v>56</v>
      </c>
      <c r="DD561" s="607">
        <f t="shared" si="671"/>
        <v>61</v>
      </c>
      <c r="DE561" s="606">
        <f t="shared" si="672"/>
        <v>77</v>
      </c>
      <c r="DF561" s="607">
        <f t="shared" si="673"/>
        <v>79</v>
      </c>
      <c r="DG561" s="606">
        <f t="shared" si="674"/>
        <v>72</v>
      </c>
      <c r="DH561" s="607">
        <f t="shared" si="675"/>
        <v>0</v>
      </c>
      <c r="DI561" s="608">
        <f t="shared" si="676"/>
        <v>0</v>
      </c>
      <c r="DJ561" s="607">
        <f t="shared" si="677"/>
        <v>0</v>
      </c>
      <c r="DK561" s="608">
        <f t="shared" si="678"/>
        <v>2</v>
      </c>
      <c r="DL561" s="607">
        <f t="shared" si="679"/>
        <v>290</v>
      </c>
      <c r="DM561" s="608">
        <f t="shared" si="680"/>
        <v>283</v>
      </c>
      <c r="DN561" s="607">
        <f t="shared" si="681"/>
        <v>6074739.6940581547</v>
      </c>
      <c r="DO561" s="612">
        <f t="shared" si="682"/>
        <v>5159619.0000000009</v>
      </c>
      <c r="DP561" s="607">
        <f t="shared" si="683"/>
        <v>3560432</v>
      </c>
      <c r="DQ561" s="606">
        <f t="shared" si="684"/>
        <v>3173327</v>
      </c>
      <c r="DR561" s="607">
        <f t="shared" si="685"/>
        <v>3089153</v>
      </c>
      <c r="DS561" s="606">
        <f t="shared" si="686"/>
        <v>3841598.9999999995</v>
      </c>
      <c r="DT561" s="607">
        <f t="shared" si="687"/>
        <v>3532969.9999999995</v>
      </c>
      <c r="DU561" s="606">
        <f t="shared" si="688"/>
        <v>3016781.6896551726</v>
      </c>
      <c r="DV561" s="607">
        <f t="shared" si="689"/>
        <v>0</v>
      </c>
      <c r="DW561" s="608">
        <f t="shared" si="690"/>
        <v>0</v>
      </c>
      <c r="DX561" s="607">
        <f t="shared" si="691"/>
        <v>0</v>
      </c>
      <c r="DY561" s="608">
        <f t="shared" si="692"/>
        <v>78150</v>
      </c>
      <c r="DZ561" s="607">
        <f t="shared" si="693"/>
        <v>16257294.694058154</v>
      </c>
      <c r="EA561" s="608">
        <f t="shared" si="694"/>
        <v>15269476.689655174</v>
      </c>
    </row>
    <row r="562" spans="1:131" x14ac:dyDescent="0.2">
      <c r="A562" s="483" t="s">
        <v>43</v>
      </c>
      <c r="B562" s="354" t="s">
        <v>485</v>
      </c>
      <c r="C562" s="585"/>
      <c r="D562" s="362">
        <v>224572</v>
      </c>
      <c r="E562" s="366">
        <v>8</v>
      </c>
      <c r="F562" s="598"/>
      <c r="G562" s="599">
        <v>0</v>
      </c>
      <c r="H562" s="600"/>
      <c r="I562" s="601">
        <v>0</v>
      </c>
      <c r="J562" s="600"/>
      <c r="K562" s="599">
        <v>0</v>
      </c>
      <c r="L562" s="600"/>
      <c r="M562" s="601">
        <v>0</v>
      </c>
      <c r="N562" s="600"/>
      <c r="O562" s="599">
        <v>0</v>
      </c>
      <c r="P562" s="600"/>
      <c r="Q562" s="601">
        <v>0</v>
      </c>
      <c r="R562" s="600"/>
      <c r="S562" s="599">
        <v>0</v>
      </c>
      <c r="T562" s="600"/>
      <c r="U562" s="601">
        <v>0</v>
      </c>
      <c r="V562" s="600"/>
      <c r="W562" s="599">
        <v>0</v>
      </c>
      <c r="X562" s="600"/>
      <c r="Y562" s="601">
        <v>0</v>
      </c>
      <c r="Z562" s="600"/>
      <c r="AA562" s="599">
        <v>0</v>
      </c>
      <c r="AB562" s="600"/>
      <c r="AC562" s="601">
        <v>0</v>
      </c>
      <c r="AD562" s="600"/>
      <c r="AE562" s="599">
        <v>0</v>
      </c>
      <c r="AF562" s="600"/>
      <c r="AG562" s="601">
        <v>0</v>
      </c>
      <c r="AH562" s="600"/>
      <c r="AI562" s="599">
        <v>0</v>
      </c>
      <c r="AJ562" s="600"/>
      <c r="AK562" s="601">
        <v>0</v>
      </c>
      <c r="AL562" s="600"/>
      <c r="AM562" s="599">
        <v>0</v>
      </c>
      <c r="AN562" s="600"/>
      <c r="AO562" s="601">
        <v>0</v>
      </c>
      <c r="AP562" s="600"/>
      <c r="AQ562" s="599">
        <v>0</v>
      </c>
      <c r="AR562" s="600"/>
      <c r="AS562" s="601">
        <v>0</v>
      </c>
      <c r="AT562" s="600">
        <v>119</v>
      </c>
      <c r="AU562" s="599">
        <v>0</v>
      </c>
      <c r="AV562" s="600"/>
      <c r="AW562" s="601">
        <v>0</v>
      </c>
      <c r="AX562" s="600"/>
      <c r="AY562" s="599">
        <v>0</v>
      </c>
      <c r="AZ562" s="600"/>
      <c r="BA562" s="601">
        <v>0</v>
      </c>
      <c r="BB562" s="602">
        <v>0</v>
      </c>
      <c r="BC562" s="599">
        <v>0</v>
      </c>
      <c r="BD562" s="600">
        <v>0</v>
      </c>
      <c r="BE562" s="599">
        <v>0</v>
      </c>
      <c r="BF562" s="600">
        <v>0</v>
      </c>
      <c r="BG562" s="599">
        <v>0</v>
      </c>
      <c r="BH562" s="600">
        <v>0</v>
      </c>
      <c r="BI562" s="599">
        <v>0</v>
      </c>
      <c r="BJ562" s="600">
        <v>0</v>
      </c>
      <c r="BK562" s="615">
        <v>0</v>
      </c>
      <c r="BL562" s="600">
        <v>6649862</v>
      </c>
      <c r="BM562" s="604">
        <v>0</v>
      </c>
      <c r="BN562" s="605">
        <f t="shared" si="629"/>
        <v>0</v>
      </c>
      <c r="BO562" s="606">
        <f t="shared" si="630"/>
        <v>0</v>
      </c>
      <c r="BP562" s="607">
        <f t="shared" si="631"/>
        <v>0</v>
      </c>
      <c r="BQ562" s="606">
        <f t="shared" si="632"/>
        <v>0</v>
      </c>
      <c r="BR562" s="607">
        <f t="shared" si="633"/>
        <v>0</v>
      </c>
      <c r="BS562" s="606">
        <f t="shared" si="634"/>
        <v>0</v>
      </c>
      <c r="BT562" s="607">
        <f t="shared" si="635"/>
        <v>0</v>
      </c>
      <c r="BU562" s="606">
        <f t="shared" si="636"/>
        <v>0</v>
      </c>
      <c r="BV562" s="607">
        <f t="shared" si="637"/>
        <v>0</v>
      </c>
      <c r="BW562" s="608">
        <f t="shared" si="638"/>
        <v>0</v>
      </c>
      <c r="BX562" s="607">
        <f t="shared" si="639"/>
        <v>1071</v>
      </c>
      <c r="BY562" s="608">
        <f t="shared" si="640"/>
        <v>0</v>
      </c>
      <c r="BZ562" s="607">
        <f t="shared" si="641"/>
        <v>0</v>
      </c>
      <c r="CA562" s="608">
        <f t="shared" si="642"/>
        <v>0</v>
      </c>
      <c r="CB562" s="607">
        <f t="shared" si="643"/>
        <v>0</v>
      </c>
      <c r="CC562" s="608">
        <f t="shared" si="644"/>
        <v>0</v>
      </c>
      <c r="CD562" s="607">
        <f t="shared" si="645"/>
        <v>0</v>
      </c>
      <c r="CE562" s="608">
        <f t="shared" si="646"/>
        <v>0</v>
      </c>
      <c r="CF562" s="607">
        <f t="shared" si="647"/>
        <v>0</v>
      </c>
      <c r="CG562" s="608">
        <f t="shared" si="648"/>
        <v>0</v>
      </c>
      <c r="CH562" s="607">
        <f t="shared" si="649"/>
        <v>0</v>
      </c>
      <c r="CI562" s="608">
        <f t="shared" si="650"/>
        <v>0</v>
      </c>
      <c r="CJ562" s="607">
        <f t="shared" si="651"/>
        <v>6209.021475256769</v>
      </c>
      <c r="CK562" s="608">
        <f t="shared" si="652"/>
        <v>0</v>
      </c>
      <c r="CL562" s="609">
        <f t="shared" si="653"/>
        <v>0</v>
      </c>
      <c r="CM562" s="608">
        <f t="shared" si="654"/>
        <v>0</v>
      </c>
      <c r="CN562" s="610">
        <f t="shared" si="655"/>
        <v>0</v>
      </c>
      <c r="CO562" s="606">
        <f t="shared" si="656"/>
        <v>0</v>
      </c>
      <c r="CP562" s="607">
        <f t="shared" si="657"/>
        <v>0</v>
      </c>
      <c r="CQ562" s="606">
        <f t="shared" si="658"/>
        <v>0</v>
      </c>
      <c r="CR562" s="607">
        <f t="shared" si="659"/>
        <v>0</v>
      </c>
      <c r="CS562" s="606">
        <f t="shared" si="660"/>
        <v>0</v>
      </c>
      <c r="CT562" s="607">
        <f t="shared" si="661"/>
        <v>0</v>
      </c>
      <c r="CU562" s="608">
        <f t="shared" si="662"/>
        <v>0</v>
      </c>
      <c r="CV562" s="610">
        <f t="shared" si="663"/>
        <v>55881.193277310922</v>
      </c>
      <c r="CW562" s="608">
        <f t="shared" si="664"/>
        <v>0</v>
      </c>
      <c r="CX562" s="610">
        <f t="shared" si="665"/>
        <v>55881.193277310922</v>
      </c>
      <c r="CY562" s="611">
        <f t="shared" si="666"/>
        <v>0</v>
      </c>
      <c r="CZ562" s="605">
        <f t="shared" si="667"/>
        <v>0</v>
      </c>
      <c r="DA562" s="612">
        <f t="shared" si="668"/>
        <v>0</v>
      </c>
      <c r="DB562" s="607">
        <f t="shared" si="669"/>
        <v>0</v>
      </c>
      <c r="DC562" s="606">
        <f t="shared" si="670"/>
        <v>0</v>
      </c>
      <c r="DD562" s="607">
        <f t="shared" si="671"/>
        <v>0</v>
      </c>
      <c r="DE562" s="606">
        <f t="shared" si="672"/>
        <v>0</v>
      </c>
      <c r="DF562" s="607">
        <f t="shared" si="673"/>
        <v>0</v>
      </c>
      <c r="DG562" s="606">
        <f t="shared" si="674"/>
        <v>0</v>
      </c>
      <c r="DH562" s="607">
        <f t="shared" si="675"/>
        <v>0</v>
      </c>
      <c r="DI562" s="608">
        <f t="shared" si="676"/>
        <v>0</v>
      </c>
      <c r="DJ562" s="607">
        <f t="shared" si="677"/>
        <v>119</v>
      </c>
      <c r="DK562" s="608">
        <f t="shared" si="678"/>
        <v>0</v>
      </c>
      <c r="DL562" s="607">
        <f t="shared" si="679"/>
        <v>119</v>
      </c>
      <c r="DM562" s="608">
        <f t="shared" si="680"/>
        <v>0</v>
      </c>
      <c r="DN562" s="607">
        <f t="shared" si="681"/>
        <v>0</v>
      </c>
      <c r="DO562" s="612">
        <f t="shared" si="682"/>
        <v>0</v>
      </c>
      <c r="DP562" s="607">
        <f t="shared" si="683"/>
        <v>0</v>
      </c>
      <c r="DQ562" s="606">
        <f t="shared" si="684"/>
        <v>0</v>
      </c>
      <c r="DR562" s="607">
        <f t="shared" si="685"/>
        <v>0</v>
      </c>
      <c r="DS562" s="606">
        <f t="shared" si="686"/>
        <v>0</v>
      </c>
      <c r="DT562" s="607">
        <f t="shared" si="687"/>
        <v>0</v>
      </c>
      <c r="DU562" s="606">
        <f t="shared" si="688"/>
        <v>0</v>
      </c>
      <c r="DV562" s="607">
        <f t="shared" si="689"/>
        <v>0</v>
      </c>
      <c r="DW562" s="608">
        <f t="shared" si="690"/>
        <v>0</v>
      </c>
      <c r="DX562" s="607">
        <f t="shared" si="691"/>
        <v>6649862</v>
      </c>
      <c r="DY562" s="608">
        <f t="shared" si="692"/>
        <v>0</v>
      </c>
      <c r="DZ562" s="607">
        <f t="shared" si="693"/>
        <v>6649862</v>
      </c>
      <c r="EA562" s="608">
        <f t="shared" si="694"/>
        <v>0</v>
      </c>
    </row>
    <row r="563" spans="1:131" x14ac:dyDescent="0.2">
      <c r="A563" s="483" t="s">
        <v>43</v>
      </c>
      <c r="B563" s="358" t="s">
        <v>486</v>
      </c>
      <c r="C563" s="584"/>
      <c r="D563" s="364">
        <v>224615</v>
      </c>
      <c r="E563" s="365">
        <v>8</v>
      </c>
      <c r="F563" s="598"/>
      <c r="G563" s="599">
        <v>0</v>
      </c>
      <c r="H563" s="600"/>
      <c r="I563" s="601">
        <v>0</v>
      </c>
      <c r="J563" s="600"/>
      <c r="K563" s="599">
        <v>0</v>
      </c>
      <c r="L563" s="600"/>
      <c r="M563" s="601">
        <v>0</v>
      </c>
      <c r="N563" s="600"/>
      <c r="O563" s="599">
        <v>0</v>
      </c>
      <c r="P563" s="600"/>
      <c r="Q563" s="601">
        <v>0</v>
      </c>
      <c r="R563" s="600"/>
      <c r="S563" s="599">
        <v>0</v>
      </c>
      <c r="T563" s="600"/>
      <c r="U563" s="601">
        <v>0</v>
      </c>
      <c r="V563" s="600"/>
      <c r="W563" s="599">
        <v>0</v>
      </c>
      <c r="X563" s="600"/>
      <c r="Y563" s="601">
        <v>0</v>
      </c>
      <c r="Z563" s="600"/>
      <c r="AA563" s="599">
        <v>0</v>
      </c>
      <c r="AB563" s="600"/>
      <c r="AC563" s="601">
        <v>0</v>
      </c>
      <c r="AD563" s="600"/>
      <c r="AE563" s="599">
        <v>0</v>
      </c>
      <c r="AF563" s="600"/>
      <c r="AG563" s="601">
        <v>0</v>
      </c>
      <c r="AH563" s="600"/>
      <c r="AI563" s="599">
        <v>0</v>
      </c>
      <c r="AJ563" s="600"/>
      <c r="AK563" s="601">
        <v>0</v>
      </c>
      <c r="AL563" s="600"/>
      <c r="AM563" s="599">
        <v>0</v>
      </c>
      <c r="AN563" s="600"/>
      <c r="AO563" s="601">
        <v>0</v>
      </c>
      <c r="AP563" s="600"/>
      <c r="AQ563" s="599">
        <v>0</v>
      </c>
      <c r="AR563" s="600"/>
      <c r="AS563" s="601">
        <v>0</v>
      </c>
      <c r="AT563" s="600">
        <v>140</v>
      </c>
      <c r="AU563" s="599">
        <v>141</v>
      </c>
      <c r="AV563" s="600"/>
      <c r="AW563" s="601">
        <v>0</v>
      </c>
      <c r="AX563" s="600"/>
      <c r="AY563" s="599">
        <v>0</v>
      </c>
      <c r="AZ563" s="600"/>
      <c r="BA563" s="601">
        <v>0</v>
      </c>
      <c r="BB563" s="602">
        <v>0</v>
      </c>
      <c r="BC563" s="599">
        <v>0</v>
      </c>
      <c r="BD563" s="600">
        <v>0</v>
      </c>
      <c r="BE563" s="599">
        <v>0</v>
      </c>
      <c r="BF563" s="600">
        <v>0</v>
      </c>
      <c r="BG563" s="599">
        <v>0</v>
      </c>
      <c r="BH563" s="600">
        <v>0</v>
      </c>
      <c r="BI563" s="599">
        <v>0</v>
      </c>
      <c r="BJ563" s="600">
        <v>0</v>
      </c>
      <c r="BK563" s="615">
        <v>0</v>
      </c>
      <c r="BL563" s="600">
        <v>7326635</v>
      </c>
      <c r="BM563" s="604">
        <v>8042690</v>
      </c>
      <c r="BN563" s="605">
        <f t="shared" si="629"/>
        <v>0</v>
      </c>
      <c r="BO563" s="606">
        <f t="shared" si="630"/>
        <v>0</v>
      </c>
      <c r="BP563" s="607">
        <f t="shared" si="631"/>
        <v>0</v>
      </c>
      <c r="BQ563" s="606">
        <f t="shared" si="632"/>
        <v>0</v>
      </c>
      <c r="BR563" s="607">
        <f t="shared" si="633"/>
        <v>0</v>
      </c>
      <c r="BS563" s="606">
        <f t="shared" si="634"/>
        <v>0</v>
      </c>
      <c r="BT563" s="607">
        <f t="shared" si="635"/>
        <v>0</v>
      </c>
      <c r="BU563" s="606">
        <f t="shared" si="636"/>
        <v>0</v>
      </c>
      <c r="BV563" s="607">
        <f t="shared" si="637"/>
        <v>0</v>
      </c>
      <c r="BW563" s="608">
        <f t="shared" si="638"/>
        <v>0</v>
      </c>
      <c r="BX563" s="607">
        <f t="shared" si="639"/>
        <v>1260</v>
      </c>
      <c r="BY563" s="608">
        <f t="shared" si="640"/>
        <v>1269</v>
      </c>
      <c r="BZ563" s="607">
        <f t="shared" si="641"/>
        <v>0</v>
      </c>
      <c r="CA563" s="608">
        <f t="shared" si="642"/>
        <v>0</v>
      </c>
      <c r="CB563" s="607">
        <f t="shared" si="643"/>
        <v>0</v>
      </c>
      <c r="CC563" s="608">
        <f t="shared" si="644"/>
        <v>0</v>
      </c>
      <c r="CD563" s="607">
        <f t="shared" si="645"/>
        <v>0</v>
      </c>
      <c r="CE563" s="608">
        <f t="shared" si="646"/>
        <v>0</v>
      </c>
      <c r="CF563" s="607">
        <f t="shared" si="647"/>
        <v>0</v>
      </c>
      <c r="CG563" s="608">
        <f t="shared" si="648"/>
        <v>0</v>
      </c>
      <c r="CH563" s="607">
        <f t="shared" si="649"/>
        <v>0</v>
      </c>
      <c r="CI563" s="608">
        <f t="shared" si="650"/>
        <v>0</v>
      </c>
      <c r="CJ563" s="607">
        <f t="shared" si="651"/>
        <v>5814.7896825396829</v>
      </c>
      <c r="CK563" s="608">
        <f t="shared" si="652"/>
        <v>6337.8171788810087</v>
      </c>
      <c r="CL563" s="609">
        <f t="shared" si="653"/>
        <v>0</v>
      </c>
      <c r="CM563" s="608">
        <f t="shared" si="654"/>
        <v>0</v>
      </c>
      <c r="CN563" s="610">
        <f t="shared" si="655"/>
        <v>0</v>
      </c>
      <c r="CO563" s="606">
        <f t="shared" si="656"/>
        <v>0</v>
      </c>
      <c r="CP563" s="607">
        <f t="shared" si="657"/>
        <v>0</v>
      </c>
      <c r="CQ563" s="606">
        <f t="shared" si="658"/>
        <v>0</v>
      </c>
      <c r="CR563" s="607">
        <f t="shared" si="659"/>
        <v>0</v>
      </c>
      <c r="CS563" s="606">
        <f t="shared" si="660"/>
        <v>0</v>
      </c>
      <c r="CT563" s="607">
        <f t="shared" si="661"/>
        <v>0</v>
      </c>
      <c r="CU563" s="608">
        <f t="shared" si="662"/>
        <v>0</v>
      </c>
      <c r="CV563" s="610">
        <f t="shared" si="663"/>
        <v>52333.107142857145</v>
      </c>
      <c r="CW563" s="608">
        <f t="shared" si="664"/>
        <v>57040.354609929076</v>
      </c>
      <c r="CX563" s="610">
        <f t="shared" si="665"/>
        <v>52333.107142857145</v>
      </c>
      <c r="CY563" s="611">
        <f t="shared" si="666"/>
        <v>57040.354609929076</v>
      </c>
      <c r="CZ563" s="605">
        <f t="shared" si="667"/>
        <v>0</v>
      </c>
      <c r="DA563" s="612">
        <f t="shared" si="668"/>
        <v>0</v>
      </c>
      <c r="DB563" s="607">
        <f t="shared" si="669"/>
        <v>0</v>
      </c>
      <c r="DC563" s="606">
        <f t="shared" si="670"/>
        <v>0</v>
      </c>
      <c r="DD563" s="607">
        <f t="shared" si="671"/>
        <v>0</v>
      </c>
      <c r="DE563" s="606">
        <f t="shared" si="672"/>
        <v>0</v>
      </c>
      <c r="DF563" s="607">
        <f t="shared" si="673"/>
        <v>0</v>
      </c>
      <c r="DG563" s="606">
        <f t="shared" si="674"/>
        <v>0</v>
      </c>
      <c r="DH563" s="607">
        <f t="shared" si="675"/>
        <v>0</v>
      </c>
      <c r="DI563" s="608">
        <f t="shared" si="676"/>
        <v>0</v>
      </c>
      <c r="DJ563" s="607">
        <f t="shared" si="677"/>
        <v>140</v>
      </c>
      <c r="DK563" s="608">
        <f t="shared" si="678"/>
        <v>141</v>
      </c>
      <c r="DL563" s="607">
        <f t="shared" si="679"/>
        <v>140</v>
      </c>
      <c r="DM563" s="608">
        <f t="shared" si="680"/>
        <v>141</v>
      </c>
      <c r="DN563" s="607">
        <f t="shared" si="681"/>
        <v>0</v>
      </c>
      <c r="DO563" s="612">
        <f t="shared" si="682"/>
        <v>0</v>
      </c>
      <c r="DP563" s="607">
        <f t="shared" si="683"/>
        <v>0</v>
      </c>
      <c r="DQ563" s="606">
        <f t="shared" si="684"/>
        <v>0</v>
      </c>
      <c r="DR563" s="607">
        <f t="shared" si="685"/>
        <v>0</v>
      </c>
      <c r="DS563" s="606">
        <f t="shared" si="686"/>
        <v>0</v>
      </c>
      <c r="DT563" s="607">
        <f t="shared" si="687"/>
        <v>0</v>
      </c>
      <c r="DU563" s="606">
        <f t="shared" si="688"/>
        <v>0</v>
      </c>
      <c r="DV563" s="607">
        <f t="shared" si="689"/>
        <v>0</v>
      </c>
      <c r="DW563" s="608">
        <f t="shared" si="690"/>
        <v>0</v>
      </c>
      <c r="DX563" s="607">
        <f t="shared" si="691"/>
        <v>7326635</v>
      </c>
      <c r="DY563" s="608">
        <f t="shared" si="692"/>
        <v>8042690</v>
      </c>
      <c r="DZ563" s="607">
        <f t="shared" si="693"/>
        <v>7326635</v>
      </c>
      <c r="EA563" s="608">
        <f t="shared" si="694"/>
        <v>8042690</v>
      </c>
    </row>
    <row r="564" spans="1:131" x14ac:dyDescent="0.2">
      <c r="A564" s="483" t="s">
        <v>43</v>
      </c>
      <c r="B564" s="354" t="s">
        <v>487</v>
      </c>
      <c r="C564" s="585"/>
      <c r="D564" s="362">
        <v>224642</v>
      </c>
      <c r="E564" s="366">
        <v>8</v>
      </c>
      <c r="F564" s="598">
        <v>163</v>
      </c>
      <c r="G564" s="599">
        <v>157</v>
      </c>
      <c r="H564" s="600"/>
      <c r="I564" s="601">
        <v>0</v>
      </c>
      <c r="J564" s="600"/>
      <c r="K564" s="599">
        <v>0</v>
      </c>
      <c r="L564" s="600"/>
      <c r="M564" s="601">
        <v>0</v>
      </c>
      <c r="N564" s="600">
        <v>118</v>
      </c>
      <c r="O564" s="599">
        <v>106</v>
      </c>
      <c r="P564" s="600"/>
      <c r="Q564" s="601">
        <v>0</v>
      </c>
      <c r="R564" s="600"/>
      <c r="S564" s="599">
        <v>0</v>
      </c>
      <c r="T564" s="600"/>
      <c r="U564" s="601">
        <v>0</v>
      </c>
      <c r="V564" s="600">
        <v>58</v>
      </c>
      <c r="W564" s="599">
        <v>65</v>
      </c>
      <c r="X564" s="600"/>
      <c r="Y564" s="601">
        <v>0</v>
      </c>
      <c r="Z564" s="600"/>
      <c r="AA564" s="599">
        <v>0</v>
      </c>
      <c r="AB564" s="600"/>
      <c r="AC564" s="601">
        <v>0</v>
      </c>
      <c r="AD564" s="600"/>
      <c r="AE564" s="599">
        <v>0</v>
      </c>
      <c r="AF564" s="600"/>
      <c r="AG564" s="601">
        <v>0</v>
      </c>
      <c r="AH564" s="600"/>
      <c r="AI564" s="599">
        <v>0</v>
      </c>
      <c r="AJ564" s="600"/>
      <c r="AK564" s="601">
        <v>0</v>
      </c>
      <c r="AL564" s="600">
        <v>53</v>
      </c>
      <c r="AM564" s="599">
        <v>49</v>
      </c>
      <c r="AN564" s="600"/>
      <c r="AO564" s="601">
        <v>0</v>
      </c>
      <c r="AP564" s="600">
        <v>22</v>
      </c>
      <c r="AQ564" s="599">
        <v>0</v>
      </c>
      <c r="AR564" s="600"/>
      <c r="AS564" s="601">
        <v>19</v>
      </c>
      <c r="AT564" s="600"/>
      <c r="AU564" s="599">
        <v>0</v>
      </c>
      <c r="AV564" s="600"/>
      <c r="AW564" s="601">
        <v>0</v>
      </c>
      <c r="AX564" s="600"/>
      <c r="AY564" s="599">
        <v>0</v>
      </c>
      <c r="AZ564" s="600"/>
      <c r="BA564" s="601">
        <v>0</v>
      </c>
      <c r="BB564" s="602">
        <v>10556972</v>
      </c>
      <c r="BC564" s="599">
        <v>9955798</v>
      </c>
      <c r="BD564" s="600">
        <v>5131263</v>
      </c>
      <c r="BE564" s="599">
        <v>5539749</v>
      </c>
      <c r="BF564" s="600">
        <v>2523557</v>
      </c>
      <c r="BG564" s="599">
        <v>2656810</v>
      </c>
      <c r="BH564" s="600">
        <v>0</v>
      </c>
      <c r="BI564" s="599">
        <v>0</v>
      </c>
      <c r="BJ564" s="600">
        <v>3206714</v>
      </c>
      <c r="BK564" s="615">
        <v>2091680</v>
      </c>
      <c r="BL564" s="600">
        <v>0</v>
      </c>
      <c r="BM564" s="604">
        <v>0</v>
      </c>
      <c r="BN564" s="605">
        <f t="shared" si="629"/>
        <v>1467</v>
      </c>
      <c r="BO564" s="606">
        <f t="shared" si="630"/>
        <v>1413</v>
      </c>
      <c r="BP564" s="607">
        <f t="shared" si="631"/>
        <v>1062</v>
      </c>
      <c r="BQ564" s="606">
        <f t="shared" si="632"/>
        <v>954</v>
      </c>
      <c r="BR564" s="607">
        <f t="shared" si="633"/>
        <v>522</v>
      </c>
      <c r="BS564" s="606">
        <f t="shared" si="634"/>
        <v>585</v>
      </c>
      <c r="BT564" s="607">
        <f t="shared" si="635"/>
        <v>0</v>
      </c>
      <c r="BU564" s="606">
        <f t="shared" si="636"/>
        <v>0</v>
      </c>
      <c r="BV564" s="607">
        <f t="shared" si="637"/>
        <v>719</v>
      </c>
      <c r="BW564" s="608">
        <f t="shared" si="638"/>
        <v>669</v>
      </c>
      <c r="BX564" s="607">
        <f t="shared" si="639"/>
        <v>0</v>
      </c>
      <c r="BY564" s="608">
        <f t="shared" si="640"/>
        <v>0</v>
      </c>
      <c r="BZ564" s="607">
        <f t="shared" si="641"/>
        <v>7196.2999318336742</v>
      </c>
      <c r="CA564" s="608">
        <f t="shared" si="642"/>
        <v>7045.858457183298</v>
      </c>
      <c r="CB564" s="607">
        <f t="shared" si="643"/>
        <v>4831.6977401129943</v>
      </c>
      <c r="CC564" s="608">
        <f t="shared" si="644"/>
        <v>5806.864779874214</v>
      </c>
      <c r="CD564" s="607">
        <f t="shared" si="645"/>
        <v>4834.4003831417622</v>
      </c>
      <c r="CE564" s="608">
        <f t="shared" si="646"/>
        <v>4541.5555555555557</v>
      </c>
      <c r="CF564" s="607">
        <f t="shared" si="647"/>
        <v>0</v>
      </c>
      <c r="CG564" s="608">
        <f t="shared" si="648"/>
        <v>0</v>
      </c>
      <c r="CH564" s="607">
        <f t="shared" si="649"/>
        <v>4459.9638386648121</v>
      </c>
      <c r="CI564" s="608">
        <f t="shared" si="650"/>
        <v>3126.576980568012</v>
      </c>
      <c r="CJ564" s="607">
        <f t="shared" si="651"/>
        <v>0</v>
      </c>
      <c r="CK564" s="608">
        <f t="shared" si="652"/>
        <v>0</v>
      </c>
      <c r="CL564" s="609">
        <f t="shared" si="653"/>
        <v>64766.699386503067</v>
      </c>
      <c r="CM564" s="608">
        <f t="shared" si="654"/>
        <v>63412.726114649682</v>
      </c>
      <c r="CN564" s="610">
        <f t="shared" si="655"/>
        <v>43485.279661016946</v>
      </c>
      <c r="CO564" s="606">
        <f t="shared" si="656"/>
        <v>52261.783018867929</v>
      </c>
      <c r="CP564" s="607">
        <f t="shared" si="657"/>
        <v>43509.603448275862</v>
      </c>
      <c r="CQ564" s="606">
        <f t="shared" si="658"/>
        <v>40874</v>
      </c>
      <c r="CR564" s="607">
        <f t="shared" si="659"/>
        <v>0</v>
      </c>
      <c r="CS564" s="606">
        <f t="shared" si="660"/>
        <v>0</v>
      </c>
      <c r="CT564" s="607">
        <f t="shared" si="661"/>
        <v>40139.674547983312</v>
      </c>
      <c r="CU564" s="608">
        <f t="shared" si="662"/>
        <v>28139.192825112106</v>
      </c>
      <c r="CV564" s="610">
        <f t="shared" si="663"/>
        <v>0</v>
      </c>
      <c r="CW564" s="608">
        <f t="shared" si="664"/>
        <v>0</v>
      </c>
      <c r="CX564" s="610">
        <f t="shared" si="665"/>
        <v>51261.515920528378</v>
      </c>
      <c r="CY564" s="611">
        <f t="shared" si="666"/>
        <v>50671.267959867735</v>
      </c>
      <c r="CZ564" s="605">
        <f t="shared" si="667"/>
        <v>163</v>
      </c>
      <c r="DA564" s="612">
        <f t="shared" si="668"/>
        <v>157</v>
      </c>
      <c r="DB564" s="607">
        <f t="shared" si="669"/>
        <v>118</v>
      </c>
      <c r="DC564" s="606">
        <f t="shared" si="670"/>
        <v>106</v>
      </c>
      <c r="DD564" s="607">
        <f t="shared" si="671"/>
        <v>58</v>
      </c>
      <c r="DE564" s="606">
        <f t="shared" si="672"/>
        <v>65</v>
      </c>
      <c r="DF564" s="607">
        <f t="shared" si="673"/>
        <v>0</v>
      </c>
      <c r="DG564" s="606">
        <f t="shared" si="674"/>
        <v>0</v>
      </c>
      <c r="DH564" s="607">
        <f t="shared" si="675"/>
        <v>75</v>
      </c>
      <c r="DI564" s="608">
        <f t="shared" si="676"/>
        <v>68</v>
      </c>
      <c r="DJ564" s="607">
        <f t="shared" si="677"/>
        <v>0</v>
      </c>
      <c r="DK564" s="608">
        <f t="shared" si="678"/>
        <v>0</v>
      </c>
      <c r="DL564" s="607">
        <f t="shared" si="679"/>
        <v>414</v>
      </c>
      <c r="DM564" s="608">
        <f t="shared" si="680"/>
        <v>396</v>
      </c>
      <c r="DN564" s="607">
        <f t="shared" si="681"/>
        <v>10556972</v>
      </c>
      <c r="DO564" s="612">
        <f t="shared" si="682"/>
        <v>9955798</v>
      </c>
      <c r="DP564" s="607">
        <f t="shared" si="683"/>
        <v>5131263</v>
      </c>
      <c r="DQ564" s="606">
        <f t="shared" si="684"/>
        <v>5539749.0000000009</v>
      </c>
      <c r="DR564" s="607">
        <f t="shared" si="685"/>
        <v>2523557</v>
      </c>
      <c r="DS564" s="606">
        <f t="shared" si="686"/>
        <v>2656810</v>
      </c>
      <c r="DT564" s="607">
        <f t="shared" si="687"/>
        <v>0</v>
      </c>
      <c r="DU564" s="606">
        <f t="shared" si="688"/>
        <v>0</v>
      </c>
      <c r="DV564" s="607">
        <f t="shared" si="689"/>
        <v>3010475.5910987481</v>
      </c>
      <c r="DW564" s="608">
        <f t="shared" si="690"/>
        <v>1913465.1121076231</v>
      </c>
      <c r="DX564" s="607">
        <f t="shared" si="691"/>
        <v>0</v>
      </c>
      <c r="DY564" s="608">
        <f t="shared" si="692"/>
        <v>0</v>
      </c>
      <c r="DZ564" s="607">
        <f t="shared" si="693"/>
        <v>21222267.591098748</v>
      </c>
      <c r="EA564" s="608">
        <f t="shared" si="694"/>
        <v>20065822.112107623</v>
      </c>
    </row>
    <row r="565" spans="1:131" x14ac:dyDescent="0.2">
      <c r="A565" s="483" t="s">
        <v>43</v>
      </c>
      <c r="B565" s="354" t="s">
        <v>488</v>
      </c>
      <c r="C565" s="585"/>
      <c r="D565" s="362">
        <v>225423</v>
      </c>
      <c r="E565" s="366">
        <v>8</v>
      </c>
      <c r="F565" s="598"/>
      <c r="G565" s="599">
        <v>0</v>
      </c>
      <c r="H565" s="600"/>
      <c r="I565" s="601">
        <v>0</v>
      </c>
      <c r="J565" s="600"/>
      <c r="K565" s="599">
        <v>0</v>
      </c>
      <c r="L565" s="600"/>
      <c r="M565" s="601">
        <v>0</v>
      </c>
      <c r="N565" s="600"/>
      <c r="O565" s="599">
        <v>0</v>
      </c>
      <c r="P565" s="600"/>
      <c r="Q565" s="601">
        <v>0</v>
      </c>
      <c r="R565" s="600"/>
      <c r="S565" s="599">
        <v>0</v>
      </c>
      <c r="T565" s="600"/>
      <c r="U565" s="601">
        <v>0</v>
      </c>
      <c r="V565" s="600"/>
      <c r="W565" s="599">
        <v>0</v>
      </c>
      <c r="X565" s="600"/>
      <c r="Y565" s="601">
        <v>0</v>
      </c>
      <c r="Z565" s="600"/>
      <c r="AA565" s="599">
        <v>0</v>
      </c>
      <c r="AB565" s="600"/>
      <c r="AC565" s="601">
        <v>0</v>
      </c>
      <c r="AD565" s="600">
        <v>732</v>
      </c>
      <c r="AE565" s="599">
        <v>194</v>
      </c>
      <c r="AF565" s="600"/>
      <c r="AG565" s="601">
        <v>516</v>
      </c>
      <c r="AH565" s="600">
        <v>77</v>
      </c>
      <c r="AI565" s="599">
        <v>0</v>
      </c>
      <c r="AJ565" s="600"/>
      <c r="AK565" s="601">
        <v>79</v>
      </c>
      <c r="AL565" s="600"/>
      <c r="AM565" s="599">
        <v>0</v>
      </c>
      <c r="AN565" s="600"/>
      <c r="AO565" s="601">
        <v>0</v>
      </c>
      <c r="AP565" s="600"/>
      <c r="AQ565" s="599">
        <v>0</v>
      </c>
      <c r="AR565" s="600"/>
      <c r="AS565" s="601">
        <v>0</v>
      </c>
      <c r="AT565" s="600"/>
      <c r="AU565" s="599">
        <v>0</v>
      </c>
      <c r="AV565" s="600"/>
      <c r="AW565" s="601">
        <v>0</v>
      </c>
      <c r="AX565" s="600"/>
      <c r="AY565" s="599">
        <v>0</v>
      </c>
      <c r="AZ565" s="600"/>
      <c r="BA565" s="601">
        <v>0</v>
      </c>
      <c r="BB565" s="602">
        <v>0</v>
      </c>
      <c r="BC565" s="599">
        <v>0</v>
      </c>
      <c r="BD565" s="600">
        <v>0</v>
      </c>
      <c r="BE565" s="599">
        <v>0</v>
      </c>
      <c r="BF565" s="600">
        <v>0</v>
      </c>
      <c r="BG565" s="599">
        <v>0</v>
      </c>
      <c r="BH565" s="600">
        <v>52503207</v>
      </c>
      <c r="BI565" s="599">
        <v>51173017</v>
      </c>
      <c r="BJ565" s="600">
        <v>0</v>
      </c>
      <c r="BK565" s="615">
        <v>0</v>
      </c>
      <c r="BL565" s="600">
        <v>0</v>
      </c>
      <c r="BM565" s="604">
        <v>0</v>
      </c>
      <c r="BN565" s="605">
        <f t="shared" si="629"/>
        <v>0</v>
      </c>
      <c r="BO565" s="606">
        <f t="shared" si="630"/>
        <v>0</v>
      </c>
      <c r="BP565" s="607">
        <f t="shared" si="631"/>
        <v>0</v>
      </c>
      <c r="BQ565" s="606">
        <f t="shared" si="632"/>
        <v>0</v>
      </c>
      <c r="BR565" s="607">
        <f t="shared" si="633"/>
        <v>0</v>
      </c>
      <c r="BS565" s="606">
        <f t="shared" si="634"/>
        <v>0</v>
      </c>
      <c r="BT565" s="607">
        <f t="shared" si="635"/>
        <v>7435</v>
      </c>
      <c r="BU565" s="606">
        <f t="shared" si="636"/>
        <v>7854</v>
      </c>
      <c r="BV565" s="607">
        <f t="shared" si="637"/>
        <v>0</v>
      </c>
      <c r="BW565" s="608">
        <f t="shared" si="638"/>
        <v>0</v>
      </c>
      <c r="BX565" s="607">
        <f t="shared" si="639"/>
        <v>0</v>
      </c>
      <c r="BY565" s="608">
        <f t="shared" si="640"/>
        <v>0</v>
      </c>
      <c r="BZ565" s="607">
        <f t="shared" si="641"/>
        <v>0</v>
      </c>
      <c r="CA565" s="608">
        <f t="shared" si="642"/>
        <v>0</v>
      </c>
      <c r="CB565" s="607">
        <f t="shared" si="643"/>
        <v>0</v>
      </c>
      <c r="CC565" s="608">
        <f t="shared" si="644"/>
        <v>0</v>
      </c>
      <c r="CD565" s="607">
        <f t="shared" si="645"/>
        <v>0</v>
      </c>
      <c r="CE565" s="608">
        <f t="shared" si="646"/>
        <v>0</v>
      </c>
      <c r="CF565" s="607">
        <f t="shared" si="647"/>
        <v>7061.6283792871554</v>
      </c>
      <c r="CG565" s="608">
        <f t="shared" si="648"/>
        <v>6515.5356506238859</v>
      </c>
      <c r="CH565" s="607">
        <f t="shared" si="649"/>
        <v>0</v>
      </c>
      <c r="CI565" s="608">
        <f t="shared" si="650"/>
        <v>0</v>
      </c>
      <c r="CJ565" s="607">
        <f t="shared" si="651"/>
        <v>0</v>
      </c>
      <c r="CK565" s="608">
        <f t="shared" si="652"/>
        <v>0</v>
      </c>
      <c r="CL565" s="609">
        <f t="shared" si="653"/>
        <v>0</v>
      </c>
      <c r="CM565" s="608">
        <f t="shared" si="654"/>
        <v>0</v>
      </c>
      <c r="CN565" s="610">
        <f t="shared" si="655"/>
        <v>0</v>
      </c>
      <c r="CO565" s="606">
        <f t="shared" si="656"/>
        <v>0</v>
      </c>
      <c r="CP565" s="607">
        <f t="shared" si="657"/>
        <v>0</v>
      </c>
      <c r="CQ565" s="606">
        <f t="shared" si="658"/>
        <v>0</v>
      </c>
      <c r="CR565" s="607">
        <f t="shared" si="659"/>
        <v>63554.655413584398</v>
      </c>
      <c r="CS565" s="606">
        <f t="shared" si="660"/>
        <v>58639.820855614977</v>
      </c>
      <c r="CT565" s="607">
        <f t="shared" si="661"/>
        <v>0</v>
      </c>
      <c r="CU565" s="608">
        <f t="shared" si="662"/>
        <v>0</v>
      </c>
      <c r="CV565" s="610">
        <f t="shared" si="663"/>
        <v>0</v>
      </c>
      <c r="CW565" s="608">
        <f t="shared" si="664"/>
        <v>0</v>
      </c>
      <c r="CX565" s="610">
        <f t="shared" si="665"/>
        <v>63554.655413584398</v>
      </c>
      <c r="CY565" s="611">
        <f t="shared" si="666"/>
        <v>58639.820855614977</v>
      </c>
      <c r="CZ565" s="605">
        <f t="shared" si="667"/>
        <v>0</v>
      </c>
      <c r="DA565" s="612">
        <f t="shared" si="668"/>
        <v>0</v>
      </c>
      <c r="DB565" s="607">
        <f t="shared" si="669"/>
        <v>0</v>
      </c>
      <c r="DC565" s="606">
        <f t="shared" si="670"/>
        <v>0</v>
      </c>
      <c r="DD565" s="607">
        <f t="shared" si="671"/>
        <v>0</v>
      </c>
      <c r="DE565" s="606">
        <f t="shared" si="672"/>
        <v>0</v>
      </c>
      <c r="DF565" s="607">
        <f t="shared" si="673"/>
        <v>809</v>
      </c>
      <c r="DG565" s="606">
        <f t="shared" si="674"/>
        <v>789</v>
      </c>
      <c r="DH565" s="607">
        <f t="shared" si="675"/>
        <v>0</v>
      </c>
      <c r="DI565" s="608">
        <f t="shared" si="676"/>
        <v>0</v>
      </c>
      <c r="DJ565" s="607">
        <f t="shared" si="677"/>
        <v>0</v>
      </c>
      <c r="DK565" s="608">
        <f t="shared" si="678"/>
        <v>0</v>
      </c>
      <c r="DL565" s="607">
        <f t="shared" si="679"/>
        <v>809</v>
      </c>
      <c r="DM565" s="608">
        <f t="shared" si="680"/>
        <v>789</v>
      </c>
      <c r="DN565" s="607">
        <f t="shared" si="681"/>
        <v>0</v>
      </c>
      <c r="DO565" s="612">
        <f t="shared" si="682"/>
        <v>0</v>
      </c>
      <c r="DP565" s="607">
        <f t="shared" si="683"/>
        <v>0</v>
      </c>
      <c r="DQ565" s="606">
        <f t="shared" si="684"/>
        <v>0</v>
      </c>
      <c r="DR565" s="607">
        <f t="shared" si="685"/>
        <v>0</v>
      </c>
      <c r="DS565" s="606">
        <f t="shared" si="686"/>
        <v>0</v>
      </c>
      <c r="DT565" s="607">
        <f t="shared" si="687"/>
        <v>51415716.229589775</v>
      </c>
      <c r="DU565" s="606">
        <f t="shared" si="688"/>
        <v>46266818.655080214</v>
      </c>
      <c r="DV565" s="607">
        <f t="shared" si="689"/>
        <v>0</v>
      </c>
      <c r="DW565" s="608">
        <f t="shared" si="690"/>
        <v>0</v>
      </c>
      <c r="DX565" s="607">
        <f t="shared" si="691"/>
        <v>0</v>
      </c>
      <c r="DY565" s="608">
        <f t="shared" si="692"/>
        <v>0</v>
      </c>
      <c r="DZ565" s="607">
        <f t="shared" si="693"/>
        <v>51415716.229589775</v>
      </c>
      <c r="EA565" s="608">
        <f t="shared" si="694"/>
        <v>46266818.655080214</v>
      </c>
    </row>
    <row r="566" spans="1:131" x14ac:dyDescent="0.2">
      <c r="A566" s="483" t="s">
        <v>43</v>
      </c>
      <c r="B566" s="356" t="s">
        <v>489</v>
      </c>
      <c r="C566" s="583"/>
      <c r="D566" s="362">
        <v>226019</v>
      </c>
      <c r="E566" s="365">
        <v>8</v>
      </c>
      <c r="F566" s="598"/>
      <c r="G566" s="599">
        <v>0</v>
      </c>
      <c r="H566" s="600"/>
      <c r="I566" s="601">
        <v>0</v>
      </c>
      <c r="J566" s="600"/>
      <c r="K566" s="599">
        <v>0</v>
      </c>
      <c r="L566" s="600"/>
      <c r="M566" s="601">
        <v>0</v>
      </c>
      <c r="N566" s="600"/>
      <c r="O566" s="599">
        <v>0</v>
      </c>
      <c r="P566" s="600"/>
      <c r="Q566" s="601">
        <v>0</v>
      </c>
      <c r="R566" s="600"/>
      <c r="S566" s="599">
        <v>0</v>
      </c>
      <c r="T566" s="600"/>
      <c r="U566" s="601">
        <v>0</v>
      </c>
      <c r="V566" s="600"/>
      <c r="W566" s="599">
        <v>0</v>
      </c>
      <c r="X566" s="600"/>
      <c r="Y566" s="601">
        <v>0</v>
      </c>
      <c r="Z566" s="600"/>
      <c r="AA566" s="599">
        <v>0</v>
      </c>
      <c r="AB566" s="600"/>
      <c r="AC566" s="601">
        <v>0</v>
      </c>
      <c r="AD566" s="600"/>
      <c r="AE566" s="599">
        <v>98</v>
      </c>
      <c r="AF566" s="600"/>
      <c r="AG566" s="601">
        <v>26</v>
      </c>
      <c r="AH566" s="600"/>
      <c r="AI566" s="599">
        <v>3</v>
      </c>
      <c r="AJ566" s="600"/>
      <c r="AK566" s="601">
        <v>30</v>
      </c>
      <c r="AL566" s="600"/>
      <c r="AM566" s="599">
        <v>0</v>
      </c>
      <c r="AN566" s="600"/>
      <c r="AO566" s="601">
        <v>0</v>
      </c>
      <c r="AP566" s="600"/>
      <c r="AQ566" s="599">
        <v>0</v>
      </c>
      <c r="AR566" s="600"/>
      <c r="AS566" s="601">
        <v>0</v>
      </c>
      <c r="AT566" s="600">
        <v>100</v>
      </c>
      <c r="AU566" s="599">
        <v>0</v>
      </c>
      <c r="AV566" s="600"/>
      <c r="AW566" s="601">
        <v>0</v>
      </c>
      <c r="AX566" s="600">
        <v>55</v>
      </c>
      <c r="AY566" s="599">
        <v>0</v>
      </c>
      <c r="AZ566" s="600"/>
      <c r="BA566" s="601">
        <v>0</v>
      </c>
      <c r="BB566" s="602">
        <v>0</v>
      </c>
      <c r="BC566" s="599">
        <v>0</v>
      </c>
      <c r="BD566" s="600">
        <v>0</v>
      </c>
      <c r="BE566" s="599">
        <v>0</v>
      </c>
      <c r="BF566" s="600">
        <v>0</v>
      </c>
      <c r="BG566" s="599">
        <v>0</v>
      </c>
      <c r="BH566" s="600">
        <v>0</v>
      </c>
      <c r="BI566" s="599">
        <v>8989114</v>
      </c>
      <c r="BJ566" s="600">
        <v>0</v>
      </c>
      <c r="BK566" s="615">
        <v>0</v>
      </c>
      <c r="BL566" s="600">
        <v>8721956</v>
      </c>
      <c r="BM566" s="604">
        <v>0</v>
      </c>
      <c r="BN566" s="605">
        <f t="shared" si="629"/>
        <v>0</v>
      </c>
      <c r="BO566" s="606">
        <f t="shared" si="630"/>
        <v>0</v>
      </c>
      <c r="BP566" s="607">
        <f t="shared" si="631"/>
        <v>0</v>
      </c>
      <c r="BQ566" s="606">
        <f t="shared" si="632"/>
        <v>0</v>
      </c>
      <c r="BR566" s="607">
        <f t="shared" si="633"/>
        <v>0</v>
      </c>
      <c r="BS566" s="606">
        <f t="shared" si="634"/>
        <v>0</v>
      </c>
      <c r="BT566" s="607">
        <f t="shared" si="635"/>
        <v>0</v>
      </c>
      <c r="BU566" s="606">
        <f t="shared" si="636"/>
        <v>1535</v>
      </c>
      <c r="BV566" s="607">
        <f t="shared" si="637"/>
        <v>0</v>
      </c>
      <c r="BW566" s="608">
        <f t="shared" si="638"/>
        <v>0</v>
      </c>
      <c r="BX566" s="607">
        <f t="shared" si="639"/>
        <v>1505</v>
      </c>
      <c r="BY566" s="608">
        <f t="shared" si="640"/>
        <v>0</v>
      </c>
      <c r="BZ566" s="607">
        <f t="shared" si="641"/>
        <v>0</v>
      </c>
      <c r="CA566" s="608">
        <f t="shared" si="642"/>
        <v>0</v>
      </c>
      <c r="CB566" s="607">
        <f t="shared" si="643"/>
        <v>0</v>
      </c>
      <c r="CC566" s="608">
        <f t="shared" si="644"/>
        <v>0</v>
      </c>
      <c r="CD566" s="607">
        <f t="shared" si="645"/>
        <v>0</v>
      </c>
      <c r="CE566" s="608">
        <f t="shared" si="646"/>
        <v>0</v>
      </c>
      <c r="CF566" s="607">
        <f t="shared" si="647"/>
        <v>0</v>
      </c>
      <c r="CG566" s="608">
        <f t="shared" si="648"/>
        <v>5856.1003257328994</v>
      </c>
      <c r="CH566" s="607">
        <f t="shared" si="649"/>
        <v>0</v>
      </c>
      <c r="CI566" s="608">
        <f t="shared" si="650"/>
        <v>0</v>
      </c>
      <c r="CJ566" s="607">
        <f t="shared" si="651"/>
        <v>5795.3196013289034</v>
      </c>
      <c r="CK566" s="608">
        <f t="shared" si="652"/>
        <v>0</v>
      </c>
      <c r="CL566" s="609">
        <f t="shared" si="653"/>
        <v>0</v>
      </c>
      <c r="CM566" s="608">
        <f t="shared" si="654"/>
        <v>0</v>
      </c>
      <c r="CN566" s="610">
        <f t="shared" si="655"/>
        <v>0</v>
      </c>
      <c r="CO566" s="606">
        <f t="shared" si="656"/>
        <v>0</v>
      </c>
      <c r="CP566" s="607">
        <f t="shared" si="657"/>
        <v>0</v>
      </c>
      <c r="CQ566" s="606">
        <f t="shared" si="658"/>
        <v>0</v>
      </c>
      <c r="CR566" s="607">
        <f t="shared" si="659"/>
        <v>0</v>
      </c>
      <c r="CS566" s="606">
        <f t="shared" si="660"/>
        <v>52704.902931596094</v>
      </c>
      <c r="CT566" s="607">
        <f t="shared" si="661"/>
        <v>0</v>
      </c>
      <c r="CU566" s="608">
        <f t="shared" si="662"/>
        <v>0</v>
      </c>
      <c r="CV566" s="610">
        <f t="shared" si="663"/>
        <v>52157.876411960133</v>
      </c>
      <c r="CW566" s="608">
        <f t="shared" si="664"/>
        <v>0</v>
      </c>
      <c r="CX566" s="610">
        <f t="shared" si="665"/>
        <v>52157.876411960133</v>
      </c>
      <c r="CY566" s="611">
        <f t="shared" si="666"/>
        <v>52704.902931596094</v>
      </c>
      <c r="CZ566" s="605">
        <f t="shared" si="667"/>
        <v>0</v>
      </c>
      <c r="DA566" s="612">
        <f t="shared" si="668"/>
        <v>0</v>
      </c>
      <c r="DB566" s="607">
        <f t="shared" si="669"/>
        <v>0</v>
      </c>
      <c r="DC566" s="606">
        <f t="shared" si="670"/>
        <v>0</v>
      </c>
      <c r="DD566" s="607">
        <f t="shared" si="671"/>
        <v>0</v>
      </c>
      <c r="DE566" s="606">
        <f t="shared" si="672"/>
        <v>0</v>
      </c>
      <c r="DF566" s="607">
        <f t="shared" si="673"/>
        <v>0</v>
      </c>
      <c r="DG566" s="606">
        <f t="shared" si="674"/>
        <v>157</v>
      </c>
      <c r="DH566" s="607">
        <f t="shared" si="675"/>
        <v>0</v>
      </c>
      <c r="DI566" s="608">
        <f t="shared" si="676"/>
        <v>0</v>
      </c>
      <c r="DJ566" s="607">
        <f t="shared" si="677"/>
        <v>155</v>
      </c>
      <c r="DK566" s="608">
        <f t="shared" si="678"/>
        <v>0</v>
      </c>
      <c r="DL566" s="607">
        <f t="shared" si="679"/>
        <v>155</v>
      </c>
      <c r="DM566" s="608">
        <f t="shared" si="680"/>
        <v>157</v>
      </c>
      <c r="DN566" s="607">
        <f t="shared" si="681"/>
        <v>0</v>
      </c>
      <c r="DO566" s="612">
        <f t="shared" si="682"/>
        <v>0</v>
      </c>
      <c r="DP566" s="607">
        <f t="shared" si="683"/>
        <v>0</v>
      </c>
      <c r="DQ566" s="606">
        <f t="shared" si="684"/>
        <v>0</v>
      </c>
      <c r="DR566" s="607">
        <f t="shared" si="685"/>
        <v>0</v>
      </c>
      <c r="DS566" s="606">
        <f t="shared" si="686"/>
        <v>0</v>
      </c>
      <c r="DT566" s="607">
        <f t="shared" si="687"/>
        <v>0</v>
      </c>
      <c r="DU566" s="606">
        <f t="shared" si="688"/>
        <v>8274669.7602605866</v>
      </c>
      <c r="DV566" s="607">
        <f t="shared" si="689"/>
        <v>0</v>
      </c>
      <c r="DW566" s="608">
        <f t="shared" si="690"/>
        <v>0</v>
      </c>
      <c r="DX566" s="607">
        <f t="shared" si="691"/>
        <v>8084470.843853821</v>
      </c>
      <c r="DY566" s="608">
        <f t="shared" si="692"/>
        <v>0</v>
      </c>
      <c r="DZ566" s="607">
        <f t="shared" si="693"/>
        <v>8084470.843853821</v>
      </c>
      <c r="EA566" s="608">
        <f t="shared" si="694"/>
        <v>8274669.7602605866</v>
      </c>
    </row>
    <row r="567" spans="1:131" x14ac:dyDescent="0.2">
      <c r="A567" s="483" t="s">
        <v>43</v>
      </c>
      <c r="B567" s="354" t="s">
        <v>490</v>
      </c>
      <c r="C567" s="585"/>
      <c r="D567" s="362">
        <v>226134</v>
      </c>
      <c r="E567" s="366">
        <v>8</v>
      </c>
      <c r="F567" s="598"/>
      <c r="G567" s="599">
        <v>0</v>
      </c>
      <c r="H567" s="600"/>
      <c r="I567" s="601">
        <v>0</v>
      </c>
      <c r="J567" s="600"/>
      <c r="K567" s="599">
        <v>0</v>
      </c>
      <c r="L567" s="600"/>
      <c r="M567" s="601">
        <v>0</v>
      </c>
      <c r="N567" s="600"/>
      <c r="O567" s="599">
        <v>0</v>
      </c>
      <c r="P567" s="600"/>
      <c r="Q567" s="601">
        <v>0</v>
      </c>
      <c r="R567" s="600"/>
      <c r="S567" s="599">
        <v>0</v>
      </c>
      <c r="T567" s="600"/>
      <c r="U567" s="601">
        <v>0</v>
      </c>
      <c r="V567" s="600"/>
      <c r="W567" s="599">
        <v>0</v>
      </c>
      <c r="X567" s="600"/>
      <c r="Y567" s="601">
        <v>0</v>
      </c>
      <c r="Z567" s="600"/>
      <c r="AA567" s="599">
        <v>0</v>
      </c>
      <c r="AB567" s="600"/>
      <c r="AC567" s="601">
        <v>0</v>
      </c>
      <c r="AD567" s="600">
        <v>184</v>
      </c>
      <c r="AE567" s="599">
        <v>175</v>
      </c>
      <c r="AF567" s="600"/>
      <c r="AG567" s="601">
        <v>0</v>
      </c>
      <c r="AH567" s="600">
        <v>12</v>
      </c>
      <c r="AI567" s="599">
        <v>13</v>
      </c>
      <c r="AJ567" s="600"/>
      <c r="AK567" s="601">
        <v>12</v>
      </c>
      <c r="AL567" s="600"/>
      <c r="AM567" s="599">
        <v>0</v>
      </c>
      <c r="AN567" s="600"/>
      <c r="AO567" s="601">
        <v>0</v>
      </c>
      <c r="AP567" s="600"/>
      <c r="AQ567" s="599">
        <v>0</v>
      </c>
      <c r="AR567" s="600"/>
      <c r="AS567" s="601">
        <v>0</v>
      </c>
      <c r="AT567" s="600"/>
      <c r="AU567" s="599">
        <v>0</v>
      </c>
      <c r="AV567" s="600"/>
      <c r="AW567" s="601">
        <v>0</v>
      </c>
      <c r="AX567" s="600"/>
      <c r="AY567" s="599">
        <v>0</v>
      </c>
      <c r="AZ567" s="600"/>
      <c r="BA567" s="601">
        <v>0</v>
      </c>
      <c r="BB567" s="602">
        <v>0</v>
      </c>
      <c r="BC567" s="599">
        <v>0</v>
      </c>
      <c r="BD567" s="600">
        <v>0</v>
      </c>
      <c r="BE567" s="599">
        <v>0</v>
      </c>
      <c r="BF567" s="600">
        <v>0</v>
      </c>
      <c r="BG567" s="599">
        <v>0</v>
      </c>
      <c r="BH567" s="600">
        <v>10858513</v>
      </c>
      <c r="BI567" s="599">
        <v>11461312</v>
      </c>
      <c r="BJ567" s="600">
        <v>0</v>
      </c>
      <c r="BK567" s="615">
        <v>0</v>
      </c>
      <c r="BL567" s="600">
        <v>0</v>
      </c>
      <c r="BM567" s="604">
        <v>0</v>
      </c>
      <c r="BN567" s="605">
        <f t="shared" si="629"/>
        <v>0</v>
      </c>
      <c r="BO567" s="606">
        <f t="shared" si="630"/>
        <v>0</v>
      </c>
      <c r="BP567" s="607">
        <f t="shared" si="631"/>
        <v>0</v>
      </c>
      <c r="BQ567" s="606">
        <f t="shared" si="632"/>
        <v>0</v>
      </c>
      <c r="BR567" s="607">
        <f t="shared" si="633"/>
        <v>0</v>
      </c>
      <c r="BS567" s="606">
        <f t="shared" si="634"/>
        <v>0</v>
      </c>
      <c r="BT567" s="607">
        <f t="shared" si="635"/>
        <v>1788</v>
      </c>
      <c r="BU567" s="606">
        <f t="shared" si="636"/>
        <v>1862</v>
      </c>
      <c r="BV567" s="607">
        <f t="shared" si="637"/>
        <v>0</v>
      </c>
      <c r="BW567" s="608">
        <f t="shared" si="638"/>
        <v>0</v>
      </c>
      <c r="BX567" s="607">
        <f t="shared" si="639"/>
        <v>0</v>
      </c>
      <c r="BY567" s="608">
        <f t="shared" si="640"/>
        <v>0</v>
      </c>
      <c r="BZ567" s="607">
        <f t="shared" si="641"/>
        <v>0</v>
      </c>
      <c r="CA567" s="608">
        <f t="shared" si="642"/>
        <v>0</v>
      </c>
      <c r="CB567" s="607">
        <f t="shared" si="643"/>
        <v>0</v>
      </c>
      <c r="CC567" s="608">
        <f t="shared" si="644"/>
        <v>0</v>
      </c>
      <c r="CD567" s="607">
        <f t="shared" si="645"/>
        <v>0</v>
      </c>
      <c r="CE567" s="608">
        <f t="shared" si="646"/>
        <v>0</v>
      </c>
      <c r="CF567" s="607">
        <f t="shared" si="647"/>
        <v>6072.9938478747199</v>
      </c>
      <c r="CG567" s="608">
        <f t="shared" si="648"/>
        <v>6155.3770139634798</v>
      </c>
      <c r="CH567" s="607">
        <f t="shared" si="649"/>
        <v>0</v>
      </c>
      <c r="CI567" s="608">
        <f t="shared" si="650"/>
        <v>0</v>
      </c>
      <c r="CJ567" s="607">
        <f t="shared" si="651"/>
        <v>0</v>
      </c>
      <c r="CK567" s="608">
        <f t="shared" si="652"/>
        <v>0</v>
      </c>
      <c r="CL567" s="609">
        <f t="shared" si="653"/>
        <v>0</v>
      </c>
      <c r="CM567" s="608">
        <f t="shared" si="654"/>
        <v>0</v>
      </c>
      <c r="CN567" s="610">
        <f t="shared" si="655"/>
        <v>0</v>
      </c>
      <c r="CO567" s="606">
        <f t="shared" si="656"/>
        <v>0</v>
      </c>
      <c r="CP567" s="607">
        <f t="shared" si="657"/>
        <v>0</v>
      </c>
      <c r="CQ567" s="606">
        <f t="shared" si="658"/>
        <v>0</v>
      </c>
      <c r="CR567" s="607">
        <f t="shared" si="659"/>
        <v>54656.94463087248</v>
      </c>
      <c r="CS567" s="606">
        <f t="shared" si="660"/>
        <v>55398.393125671319</v>
      </c>
      <c r="CT567" s="607">
        <f t="shared" si="661"/>
        <v>0</v>
      </c>
      <c r="CU567" s="608">
        <f t="shared" si="662"/>
        <v>0</v>
      </c>
      <c r="CV567" s="610">
        <f t="shared" si="663"/>
        <v>0</v>
      </c>
      <c r="CW567" s="608">
        <f t="shared" si="664"/>
        <v>0</v>
      </c>
      <c r="CX567" s="610">
        <f t="shared" si="665"/>
        <v>54656.94463087248</v>
      </c>
      <c r="CY567" s="611">
        <f t="shared" si="666"/>
        <v>55398.393125671319</v>
      </c>
      <c r="CZ567" s="605">
        <f t="shared" si="667"/>
        <v>0</v>
      </c>
      <c r="DA567" s="612">
        <f t="shared" si="668"/>
        <v>0</v>
      </c>
      <c r="DB567" s="607">
        <f t="shared" si="669"/>
        <v>0</v>
      </c>
      <c r="DC567" s="606">
        <f t="shared" si="670"/>
        <v>0</v>
      </c>
      <c r="DD567" s="607">
        <f t="shared" si="671"/>
        <v>0</v>
      </c>
      <c r="DE567" s="606">
        <f t="shared" si="672"/>
        <v>0</v>
      </c>
      <c r="DF567" s="607">
        <f t="shared" si="673"/>
        <v>196</v>
      </c>
      <c r="DG567" s="606">
        <f t="shared" si="674"/>
        <v>200</v>
      </c>
      <c r="DH567" s="607">
        <f t="shared" si="675"/>
        <v>0</v>
      </c>
      <c r="DI567" s="608">
        <f t="shared" si="676"/>
        <v>0</v>
      </c>
      <c r="DJ567" s="607">
        <f t="shared" si="677"/>
        <v>0</v>
      </c>
      <c r="DK567" s="608">
        <f t="shared" si="678"/>
        <v>0</v>
      </c>
      <c r="DL567" s="607">
        <f t="shared" si="679"/>
        <v>196</v>
      </c>
      <c r="DM567" s="608">
        <f t="shared" si="680"/>
        <v>200</v>
      </c>
      <c r="DN567" s="607">
        <f t="shared" si="681"/>
        <v>0</v>
      </c>
      <c r="DO567" s="612">
        <f t="shared" si="682"/>
        <v>0</v>
      </c>
      <c r="DP567" s="607">
        <f t="shared" si="683"/>
        <v>0</v>
      </c>
      <c r="DQ567" s="606">
        <f t="shared" si="684"/>
        <v>0</v>
      </c>
      <c r="DR567" s="607">
        <f t="shared" si="685"/>
        <v>0</v>
      </c>
      <c r="DS567" s="606">
        <f t="shared" si="686"/>
        <v>0</v>
      </c>
      <c r="DT567" s="607">
        <f t="shared" si="687"/>
        <v>10712761.147651006</v>
      </c>
      <c r="DU567" s="606">
        <f t="shared" si="688"/>
        <v>11079678.625134263</v>
      </c>
      <c r="DV567" s="607">
        <f t="shared" si="689"/>
        <v>0</v>
      </c>
      <c r="DW567" s="608">
        <f t="shared" si="690"/>
        <v>0</v>
      </c>
      <c r="DX567" s="607">
        <f t="shared" si="691"/>
        <v>0</v>
      </c>
      <c r="DY567" s="608">
        <f t="shared" si="692"/>
        <v>0</v>
      </c>
      <c r="DZ567" s="607">
        <f t="shared" si="693"/>
        <v>10712761.147651006</v>
      </c>
      <c r="EA567" s="608">
        <f t="shared" si="694"/>
        <v>11079678.625134263</v>
      </c>
    </row>
    <row r="568" spans="1:131" x14ac:dyDescent="0.2">
      <c r="A568" s="483" t="s">
        <v>43</v>
      </c>
      <c r="B568" s="354" t="s">
        <v>491</v>
      </c>
      <c r="C568" s="566"/>
      <c r="D568" s="362">
        <v>227182</v>
      </c>
      <c r="E568" s="366">
        <v>8</v>
      </c>
      <c r="F568" s="598">
        <v>488</v>
      </c>
      <c r="G568" s="599">
        <v>80</v>
      </c>
      <c r="H568" s="600"/>
      <c r="I568" s="601">
        <v>436</v>
      </c>
      <c r="J568" s="600">
        <v>43</v>
      </c>
      <c r="K568" s="599">
        <v>0</v>
      </c>
      <c r="L568" s="600"/>
      <c r="M568" s="601">
        <v>51</v>
      </c>
      <c r="N568" s="600">
        <v>100</v>
      </c>
      <c r="O568" s="599">
        <v>14</v>
      </c>
      <c r="P568" s="600"/>
      <c r="Q568" s="601">
        <v>78</v>
      </c>
      <c r="R568" s="600">
        <v>22</v>
      </c>
      <c r="S568" s="599">
        <v>0</v>
      </c>
      <c r="T568" s="600"/>
      <c r="U568" s="601">
        <v>9</v>
      </c>
      <c r="V568" s="600">
        <v>23</v>
      </c>
      <c r="W568" s="599">
        <v>9</v>
      </c>
      <c r="X568" s="600"/>
      <c r="Y568" s="601">
        <v>30</v>
      </c>
      <c r="Z568" s="600">
        <v>2</v>
      </c>
      <c r="AA568" s="599">
        <v>0</v>
      </c>
      <c r="AB568" s="600"/>
      <c r="AC568" s="601">
        <v>4</v>
      </c>
      <c r="AD568" s="600">
        <v>1</v>
      </c>
      <c r="AE568" s="599">
        <v>58</v>
      </c>
      <c r="AF568" s="600"/>
      <c r="AG568" s="601">
        <v>0</v>
      </c>
      <c r="AH568" s="600">
        <v>7</v>
      </c>
      <c r="AI568" s="599">
        <v>0</v>
      </c>
      <c r="AJ568" s="600"/>
      <c r="AK568" s="601">
        <v>6</v>
      </c>
      <c r="AL568" s="600"/>
      <c r="AM568" s="599">
        <v>0</v>
      </c>
      <c r="AN568" s="600"/>
      <c r="AO568" s="601">
        <v>0</v>
      </c>
      <c r="AP568" s="600"/>
      <c r="AQ568" s="599">
        <v>0</v>
      </c>
      <c r="AR568" s="600"/>
      <c r="AS568" s="601">
        <v>0</v>
      </c>
      <c r="AT568" s="600"/>
      <c r="AU568" s="599">
        <v>0</v>
      </c>
      <c r="AV568" s="600"/>
      <c r="AW568" s="601">
        <v>0</v>
      </c>
      <c r="AX568" s="600"/>
      <c r="AY568" s="599">
        <v>0</v>
      </c>
      <c r="AZ568" s="600"/>
      <c r="BA568" s="601">
        <v>0</v>
      </c>
      <c r="BB568" s="602">
        <v>36465646</v>
      </c>
      <c r="BC568" s="599">
        <v>38098954</v>
      </c>
      <c r="BD568" s="600">
        <v>6549827</v>
      </c>
      <c r="BE568" s="599">
        <v>5313105</v>
      </c>
      <c r="BF568" s="600">
        <v>1301526</v>
      </c>
      <c r="BG568" s="599">
        <v>2915614</v>
      </c>
      <c r="BH568" s="600">
        <v>412231</v>
      </c>
      <c r="BI568" s="599">
        <v>1310677</v>
      </c>
      <c r="BJ568" s="600">
        <v>0</v>
      </c>
      <c r="BK568" s="615">
        <v>0</v>
      </c>
      <c r="BL568" s="600">
        <v>0</v>
      </c>
      <c r="BM568" s="604">
        <v>0</v>
      </c>
      <c r="BN568" s="605">
        <f t="shared" si="629"/>
        <v>4865</v>
      </c>
      <c r="BO568" s="606">
        <f t="shared" si="630"/>
        <v>5692</v>
      </c>
      <c r="BP568" s="607">
        <f t="shared" si="631"/>
        <v>1142</v>
      </c>
      <c r="BQ568" s="606">
        <f t="shared" si="632"/>
        <v>1014</v>
      </c>
      <c r="BR568" s="607">
        <f t="shared" si="633"/>
        <v>229</v>
      </c>
      <c r="BS568" s="606">
        <f t="shared" si="634"/>
        <v>429</v>
      </c>
      <c r="BT568" s="607">
        <f t="shared" si="635"/>
        <v>86</v>
      </c>
      <c r="BU568" s="606">
        <f t="shared" si="636"/>
        <v>594</v>
      </c>
      <c r="BV568" s="607">
        <f t="shared" si="637"/>
        <v>0</v>
      </c>
      <c r="BW568" s="608">
        <f t="shared" si="638"/>
        <v>0</v>
      </c>
      <c r="BX568" s="607">
        <f t="shared" si="639"/>
        <v>0</v>
      </c>
      <c r="BY568" s="608">
        <f t="shared" si="640"/>
        <v>0</v>
      </c>
      <c r="BZ568" s="607">
        <f t="shared" si="641"/>
        <v>7495.5079136690647</v>
      </c>
      <c r="CA568" s="608">
        <f t="shared" si="642"/>
        <v>6693.4212930428675</v>
      </c>
      <c r="CB568" s="607">
        <f t="shared" si="643"/>
        <v>5735.4001751313481</v>
      </c>
      <c r="CC568" s="608">
        <f t="shared" si="644"/>
        <v>5239.748520710059</v>
      </c>
      <c r="CD568" s="607">
        <f t="shared" si="645"/>
        <v>5683.5196506550219</v>
      </c>
      <c r="CE568" s="608">
        <f t="shared" si="646"/>
        <v>6796.30303030303</v>
      </c>
      <c r="CF568" s="607">
        <f t="shared" si="647"/>
        <v>4793.3837209302328</v>
      </c>
      <c r="CG568" s="608">
        <f t="shared" si="648"/>
        <v>2206.5269360269358</v>
      </c>
      <c r="CH568" s="607">
        <f t="shared" si="649"/>
        <v>0</v>
      </c>
      <c r="CI568" s="608">
        <f t="shared" si="650"/>
        <v>0</v>
      </c>
      <c r="CJ568" s="607">
        <f t="shared" si="651"/>
        <v>0</v>
      </c>
      <c r="CK568" s="608">
        <f t="shared" si="652"/>
        <v>0</v>
      </c>
      <c r="CL568" s="609">
        <f t="shared" si="653"/>
        <v>67459.571223021587</v>
      </c>
      <c r="CM568" s="608">
        <f t="shared" si="654"/>
        <v>60240.79163738581</v>
      </c>
      <c r="CN568" s="610">
        <f t="shared" si="655"/>
        <v>51618.601576182133</v>
      </c>
      <c r="CO568" s="606">
        <f t="shared" si="656"/>
        <v>47157.736686390534</v>
      </c>
      <c r="CP568" s="607">
        <f t="shared" si="657"/>
        <v>51151.676855895195</v>
      </c>
      <c r="CQ568" s="606">
        <f t="shared" si="658"/>
        <v>61166.727272727272</v>
      </c>
      <c r="CR568" s="607">
        <f t="shared" si="659"/>
        <v>43140.453488372092</v>
      </c>
      <c r="CS568" s="606">
        <f t="shared" si="660"/>
        <v>19858.742424242424</v>
      </c>
      <c r="CT568" s="607">
        <f t="shared" si="661"/>
        <v>0</v>
      </c>
      <c r="CU568" s="608">
        <f t="shared" si="662"/>
        <v>0</v>
      </c>
      <c r="CV568" s="610">
        <f t="shared" si="663"/>
        <v>0</v>
      </c>
      <c r="CW568" s="608">
        <f t="shared" si="664"/>
        <v>0</v>
      </c>
      <c r="CX568" s="610">
        <f t="shared" si="665"/>
        <v>63764.456648721636</v>
      </c>
      <c r="CY568" s="611">
        <f t="shared" si="666"/>
        <v>55252.37296980901</v>
      </c>
      <c r="CZ568" s="605">
        <f t="shared" si="667"/>
        <v>531</v>
      </c>
      <c r="DA568" s="612">
        <f t="shared" si="668"/>
        <v>567</v>
      </c>
      <c r="DB568" s="607">
        <f t="shared" si="669"/>
        <v>122</v>
      </c>
      <c r="DC568" s="606">
        <f t="shared" si="670"/>
        <v>101</v>
      </c>
      <c r="DD568" s="607">
        <f t="shared" si="671"/>
        <v>25</v>
      </c>
      <c r="DE568" s="606">
        <f t="shared" si="672"/>
        <v>43</v>
      </c>
      <c r="DF568" s="607">
        <f t="shared" si="673"/>
        <v>8</v>
      </c>
      <c r="DG568" s="606">
        <f t="shared" si="674"/>
        <v>64</v>
      </c>
      <c r="DH568" s="607">
        <f t="shared" si="675"/>
        <v>0</v>
      </c>
      <c r="DI568" s="608">
        <f t="shared" si="676"/>
        <v>0</v>
      </c>
      <c r="DJ568" s="607">
        <f t="shared" si="677"/>
        <v>0</v>
      </c>
      <c r="DK568" s="608">
        <f t="shared" si="678"/>
        <v>0</v>
      </c>
      <c r="DL568" s="607">
        <f t="shared" si="679"/>
        <v>686</v>
      </c>
      <c r="DM568" s="608">
        <f t="shared" si="680"/>
        <v>775</v>
      </c>
      <c r="DN568" s="607">
        <f t="shared" si="681"/>
        <v>35821032.319424465</v>
      </c>
      <c r="DO568" s="612">
        <f t="shared" si="682"/>
        <v>34156528.858397752</v>
      </c>
      <c r="DP568" s="607">
        <f t="shared" si="683"/>
        <v>6297469.3922942206</v>
      </c>
      <c r="DQ568" s="606">
        <f t="shared" si="684"/>
        <v>4762931.4053254435</v>
      </c>
      <c r="DR568" s="607">
        <f t="shared" si="685"/>
        <v>1278791.9213973798</v>
      </c>
      <c r="DS568" s="606">
        <f t="shared" si="686"/>
        <v>2630169.2727272725</v>
      </c>
      <c r="DT568" s="607">
        <f t="shared" si="687"/>
        <v>345123.62790697673</v>
      </c>
      <c r="DU568" s="606">
        <f t="shared" si="688"/>
        <v>1270959.5151515151</v>
      </c>
      <c r="DV568" s="607">
        <f t="shared" si="689"/>
        <v>0</v>
      </c>
      <c r="DW568" s="608">
        <f t="shared" si="690"/>
        <v>0</v>
      </c>
      <c r="DX568" s="607">
        <f t="shared" si="691"/>
        <v>0</v>
      </c>
      <c r="DY568" s="608">
        <f t="shared" si="692"/>
        <v>0</v>
      </c>
      <c r="DZ568" s="607">
        <f t="shared" si="693"/>
        <v>43742417.261023045</v>
      </c>
      <c r="EA568" s="608">
        <f t="shared" si="694"/>
        <v>42820589.051601984</v>
      </c>
    </row>
    <row r="569" spans="1:131" x14ac:dyDescent="0.2">
      <c r="A569" s="483" t="s">
        <v>43</v>
      </c>
      <c r="B569" s="354" t="s">
        <v>492</v>
      </c>
      <c r="C569" s="585"/>
      <c r="D569" s="362">
        <v>226578</v>
      </c>
      <c r="E569" s="366">
        <v>8</v>
      </c>
      <c r="F569" s="598"/>
      <c r="G569" s="599">
        <v>97</v>
      </c>
      <c r="H569" s="600"/>
      <c r="I569" s="601">
        <v>0</v>
      </c>
      <c r="J569" s="600"/>
      <c r="K569" s="599">
        <v>1</v>
      </c>
      <c r="L569" s="600"/>
      <c r="M569" s="601">
        <v>5</v>
      </c>
      <c r="N569" s="600"/>
      <c r="O569" s="599">
        <v>40</v>
      </c>
      <c r="P569" s="600"/>
      <c r="Q569" s="601">
        <v>0</v>
      </c>
      <c r="R569" s="600"/>
      <c r="S569" s="599">
        <v>0</v>
      </c>
      <c r="T569" s="600"/>
      <c r="U569" s="601">
        <v>7</v>
      </c>
      <c r="V569" s="600"/>
      <c r="W569" s="599">
        <v>51</v>
      </c>
      <c r="X569" s="600"/>
      <c r="Y569" s="601">
        <v>0</v>
      </c>
      <c r="Z569" s="600"/>
      <c r="AA569" s="599">
        <v>2</v>
      </c>
      <c r="AB569" s="600"/>
      <c r="AC569" s="601">
        <v>8</v>
      </c>
      <c r="AD569" s="600"/>
      <c r="AE569" s="599">
        <v>14</v>
      </c>
      <c r="AF569" s="600"/>
      <c r="AG569" s="601">
        <v>0</v>
      </c>
      <c r="AH569" s="600"/>
      <c r="AI569" s="599">
        <v>0</v>
      </c>
      <c r="AJ569" s="600"/>
      <c r="AK569" s="601">
        <v>0</v>
      </c>
      <c r="AL569" s="600"/>
      <c r="AM569" s="599">
        <v>0</v>
      </c>
      <c r="AN569" s="600"/>
      <c r="AO569" s="601">
        <v>0</v>
      </c>
      <c r="AP569" s="600"/>
      <c r="AQ569" s="599">
        <v>0</v>
      </c>
      <c r="AR569" s="600"/>
      <c r="AS569" s="601">
        <v>0</v>
      </c>
      <c r="AT569" s="600">
        <v>182</v>
      </c>
      <c r="AU569" s="599">
        <v>0</v>
      </c>
      <c r="AV569" s="600"/>
      <c r="AW569" s="601">
        <v>0</v>
      </c>
      <c r="AX569" s="600">
        <v>21</v>
      </c>
      <c r="AY569" s="599">
        <v>0</v>
      </c>
      <c r="AZ569" s="600"/>
      <c r="BA569" s="601">
        <v>0</v>
      </c>
      <c r="BB569" s="602">
        <v>0</v>
      </c>
      <c r="BC569" s="599">
        <v>7121967</v>
      </c>
      <c r="BD569" s="600">
        <v>0</v>
      </c>
      <c r="BE569" s="599">
        <v>2752516</v>
      </c>
      <c r="BF569" s="600">
        <v>0</v>
      </c>
      <c r="BG569" s="599">
        <v>3225936</v>
      </c>
      <c r="BH569" s="600">
        <v>0</v>
      </c>
      <c r="BI569" s="599">
        <v>726683</v>
      </c>
      <c r="BJ569" s="600">
        <v>0</v>
      </c>
      <c r="BK569" s="615">
        <v>0</v>
      </c>
      <c r="BL569" s="600">
        <v>12379998</v>
      </c>
      <c r="BM569" s="604">
        <v>0</v>
      </c>
      <c r="BN569" s="605">
        <f t="shared" si="629"/>
        <v>0</v>
      </c>
      <c r="BO569" s="606">
        <f t="shared" si="630"/>
        <v>944</v>
      </c>
      <c r="BP569" s="607">
        <f t="shared" si="631"/>
        <v>0</v>
      </c>
      <c r="BQ569" s="606">
        <f t="shared" si="632"/>
        <v>444</v>
      </c>
      <c r="BR569" s="607">
        <f t="shared" si="633"/>
        <v>0</v>
      </c>
      <c r="BS569" s="606">
        <f t="shared" si="634"/>
        <v>577</v>
      </c>
      <c r="BT569" s="607">
        <f t="shared" si="635"/>
        <v>0</v>
      </c>
      <c r="BU569" s="606">
        <f t="shared" si="636"/>
        <v>126</v>
      </c>
      <c r="BV569" s="607">
        <f t="shared" si="637"/>
        <v>0</v>
      </c>
      <c r="BW569" s="608">
        <f t="shared" si="638"/>
        <v>0</v>
      </c>
      <c r="BX569" s="607">
        <f t="shared" si="639"/>
        <v>1869</v>
      </c>
      <c r="BY569" s="608">
        <f t="shared" si="640"/>
        <v>0</v>
      </c>
      <c r="BZ569" s="607">
        <f t="shared" si="641"/>
        <v>0</v>
      </c>
      <c r="CA569" s="608">
        <f t="shared" si="642"/>
        <v>7544.4565677966102</v>
      </c>
      <c r="CB569" s="607">
        <f t="shared" si="643"/>
        <v>0</v>
      </c>
      <c r="CC569" s="608">
        <f t="shared" si="644"/>
        <v>6199.3603603603606</v>
      </c>
      <c r="CD569" s="607">
        <f t="shared" si="645"/>
        <v>0</v>
      </c>
      <c r="CE569" s="608">
        <f t="shared" si="646"/>
        <v>5590.8769497400344</v>
      </c>
      <c r="CF569" s="607">
        <f t="shared" si="647"/>
        <v>0</v>
      </c>
      <c r="CG569" s="608">
        <f t="shared" si="648"/>
        <v>5767.3253968253966</v>
      </c>
      <c r="CH569" s="607">
        <f t="shared" si="649"/>
        <v>0</v>
      </c>
      <c r="CI569" s="608">
        <f t="shared" si="650"/>
        <v>0</v>
      </c>
      <c r="CJ569" s="607">
        <f t="shared" si="651"/>
        <v>6623.8619582664523</v>
      </c>
      <c r="CK569" s="608">
        <f t="shared" si="652"/>
        <v>0</v>
      </c>
      <c r="CL569" s="609">
        <f t="shared" si="653"/>
        <v>0</v>
      </c>
      <c r="CM569" s="608">
        <f t="shared" si="654"/>
        <v>67900.109110169491</v>
      </c>
      <c r="CN569" s="610">
        <f t="shared" si="655"/>
        <v>0</v>
      </c>
      <c r="CO569" s="606">
        <f t="shared" si="656"/>
        <v>55794.243243243247</v>
      </c>
      <c r="CP569" s="607">
        <f t="shared" si="657"/>
        <v>0</v>
      </c>
      <c r="CQ569" s="606">
        <f t="shared" si="658"/>
        <v>50317.892547660311</v>
      </c>
      <c r="CR569" s="607">
        <f t="shared" si="659"/>
        <v>0</v>
      </c>
      <c r="CS569" s="606">
        <f t="shared" si="660"/>
        <v>51905.928571428572</v>
      </c>
      <c r="CT569" s="607">
        <f t="shared" si="661"/>
        <v>0</v>
      </c>
      <c r="CU569" s="608">
        <f t="shared" si="662"/>
        <v>0</v>
      </c>
      <c r="CV569" s="610">
        <f t="shared" si="663"/>
        <v>59614.757624398073</v>
      </c>
      <c r="CW569" s="608">
        <f t="shared" si="664"/>
        <v>0</v>
      </c>
      <c r="CX569" s="610">
        <f t="shared" si="665"/>
        <v>59614.757624398073</v>
      </c>
      <c r="CY569" s="611">
        <f t="shared" si="666"/>
        <v>59609.400516387424</v>
      </c>
      <c r="CZ569" s="605">
        <f t="shared" si="667"/>
        <v>0</v>
      </c>
      <c r="DA569" s="612">
        <f t="shared" si="668"/>
        <v>103</v>
      </c>
      <c r="DB569" s="607">
        <f t="shared" si="669"/>
        <v>0</v>
      </c>
      <c r="DC569" s="606">
        <f t="shared" si="670"/>
        <v>47</v>
      </c>
      <c r="DD569" s="607">
        <f t="shared" si="671"/>
        <v>0</v>
      </c>
      <c r="DE569" s="606">
        <f t="shared" si="672"/>
        <v>61</v>
      </c>
      <c r="DF569" s="607">
        <f t="shared" si="673"/>
        <v>0</v>
      </c>
      <c r="DG569" s="606">
        <f t="shared" si="674"/>
        <v>14</v>
      </c>
      <c r="DH569" s="607">
        <f t="shared" si="675"/>
        <v>0</v>
      </c>
      <c r="DI569" s="608">
        <f t="shared" si="676"/>
        <v>0</v>
      </c>
      <c r="DJ569" s="607">
        <f t="shared" si="677"/>
        <v>203</v>
      </c>
      <c r="DK569" s="608">
        <f t="shared" si="678"/>
        <v>0</v>
      </c>
      <c r="DL569" s="607">
        <f t="shared" si="679"/>
        <v>203</v>
      </c>
      <c r="DM569" s="608">
        <f t="shared" si="680"/>
        <v>225</v>
      </c>
      <c r="DN569" s="607">
        <f t="shared" si="681"/>
        <v>0</v>
      </c>
      <c r="DO569" s="612">
        <f t="shared" si="682"/>
        <v>6993711.2383474577</v>
      </c>
      <c r="DP569" s="607">
        <f t="shared" si="683"/>
        <v>0</v>
      </c>
      <c r="DQ569" s="606">
        <f t="shared" si="684"/>
        <v>2622329.4324324327</v>
      </c>
      <c r="DR569" s="607">
        <f t="shared" si="685"/>
        <v>0</v>
      </c>
      <c r="DS569" s="606">
        <f t="shared" si="686"/>
        <v>3069391.4454072788</v>
      </c>
      <c r="DT569" s="607">
        <f t="shared" si="687"/>
        <v>0</v>
      </c>
      <c r="DU569" s="606">
        <f t="shared" si="688"/>
        <v>726683</v>
      </c>
      <c r="DV569" s="607">
        <f t="shared" si="689"/>
        <v>0</v>
      </c>
      <c r="DW569" s="608">
        <f t="shared" si="690"/>
        <v>0</v>
      </c>
      <c r="DX569" s="607">
        <f t="shared" si="691"/>
        <v>12101795.797752809</v>
      </c>
      <c r="DY569" s="608">
        <f t="shared" si="692"/>
        <v>0</v>
      </c>
      <c r="DZ569" s="607">
        <f t="shared" si="693"/>
        <v>12101795.797752809</v>
      </c>
      <c r="EA569" s="608">
        <f t="shared" si="694"/>
        <v>13412115.11618717</v>
      </c>
    </row>
    <row r="570" spans="1:131" x14ac:dyDescent="0.2">
      <c r="A570" s="492" t="s">
        <v>43</v>
      </c>
      <c r="B570" s="360" t="s">
        <v>493</v>
      </c>
      <c r="C570" s="586"/>
      <c r="D570" s="367">
        <v>227146</v>
      </c>
      <c r="E570" s="368">
        <v>8</v>
      </c>
      <c r="F570" s="598">
        <v>36</v>
      </c>
      <c r="G570" s="599">
        <v>39</v>
      </c>
      <c r="H570" s="600"/>
      <c r="I570" s="601">
        <v>0</v>
      </c>
      <c r="J570" s="600">
        <v>2</v>
      </c>
      <c r="K570" s="599">
        <v>0</v>
      </c>
      <c r="L570" s="600"/>
      <c r="M570" s="601">
        <v>0</v>
      </c>
      <c r="N570" s="600">
        <v>46</v>
      </c>
      <c r="O570" s="599">
        <v>42</v>
      </c>
      <c r="P570" s="600"/>
      <c r="Q570" s="601">
        <v>10</v>
      </c>
      <c r="R570" s="600">
        <v>21</v>
      </c>
      <c r="S570" s="599">
        <v>4</v>
      </c>
      <c r="T570" s="600"/>
      <c r="U570" s="601">
        <v>8</v>
      </c>
      <c r="V570" s="600">
        <v>4</v>
      </c>
      <c r="W570" s="599">
        <v>2</v>
      </c>
      <c r="X570" s="600"/>
      <c r="Y570" s="601">
        <v>3</v>
      </c>
      <c r="Z570" s="600">
        <v>13</v>
      </c>
      <c r="AA570" s="599">
        <v>3</v>
      </c>
      <c r="AB570" s="600"/>
      <c r="AC570" s="601">
        <v>10</v>
      </c>
      <c r="AD570" s="600"/>
      <c r="AE570" s="599">
        <v>0</v>
      </c>
      <c r="AF570" s="600"/>
      <c r="AG570" s="601">
        <v>0</v>
      </c>
      <c r="AH570" s="600"/>
      <c r="AI570" s="599">
        <v>0</v>
      </c>
      <c r="AJ570" s="600"/>
      <c r="AK570" s="601">
        <v>0</v>
      </c>
      <c r="AL570" s="600"/>
      <c r="AM570" s="599">
        <v>0</v>
      </c>
      <c r="AN570" s="600"/>
      <c r="AO570" s="601">
        <v>0</v>
      </c>
      <c r="AP570" s="600"/>
      <c r="AQ570" s="599">
        <v>0</v>
      </c>
      <c r="AR570" s="600"/>
      <c r="AS570" s="601">
        <v>0</v>
      </c>
      <c r="AT570" s="600"/>
      <c r="AU570" s="599">
        <v>0</v>
      </c>
      <c r="AV570" s="600"/>
      <c r="AW570" s="601">
        <v>0</v>
      </c>
      <c r="AX570" s="600"/>
      <c r="AY570" s="599">
        <v>0</v>
      </c>
      <c r="AZ570" s="600"/>
      <c r="BA570" s="601">
        <v>0</v>
      </c>
      <c r="BB570" s="602">
        <v>2242548</v>
      </c>
      <c r="BC570" s="599">
        <v>2429773</v>
      </c>
      <c r="BD570" s="600">
        <v>3749845</v>
      </c>
      <c r="BE570" s="599">
        <v>3727622</v>
      </c>
      <c r="BF570" s="600">
        <v>982648</v>
      </c>
      <c r="BG570" s="599">
        <v>1070397</v>
      </c>
      <c r="BH570" s="600">
        <v>0</v>
      </c>
      <c r="BI570" s="599">
        <v>0</v>
      </c>
      <c r="BJ570" s="600">
        <v>0</v>
      </c>
      <c r="BK570" s="615">
        <v>0</v>
      </c>
      <c r="BL570" s="600">
        <v>0</v>
      </c>
      <c r="BM570" s="604">
        <v>0</v>
      </c>
      <c r="BN570" s="605">
        <f t="shared" si="629"/>
        <v>346</v>
      </c>
      <c r="BO570" s="606">
        <f t="shared" si="630"/>
        <v>351</v>
      </c>
      <c r="BP570" s="607">
        <f t="shared" si="631"/>
        <v>645</v>
      </c>
      <c r="BQ570" s="606">
        <f t="shared" si="632"/>
        <v>618</v>
      </c>
      <c r="BR570" s="607">
        <f t="shared" si="633"/>
        <v>179</v>
      </c>
      <c r="BS570" s="606">
        <f t="shared" si="634"/>
        <v>201</v>
      </c>
      <c r="BT570" s="607">
        <f t="shared" si="635"/>
        <v>0</v>
      </c>
      <c r="BU570" s="606">
        <f t="shared" si="636"/>
        <v>0</v>
      </c>
      <c r="BV570" s="607">
        <f t="shared" si="637"/>
        <v>0</v>
      </c>
      <c r="BW570" s="608">
        <f t="shared" si="638"/>
        <v>0</v>
      </c>
      <c r="BX570" s="607">
        <f t="shared" si="639"/>
        <v>0</v>
      </c>
      <c r="BY570" s="608">
        <f t="shared" si="640"/>
        <v>0</v>
      </c>
      <c r="BZ570" s="607">
        <f t="shared" si="641"/>
        <v>6481.3526011560698</v>
      </c>
      <c r="CA570" s="608">
        <f t="shared" si="642"/>
        <v>6922.4301994301995</v>
      </c>
      <c r="CB570" s="607">
        <f t="shared" si="643"/>
        <v>5813.7131782945735</v>
      </c>
      <c r="CC570" s="608">
        <f t="shared" si="644"/>
        <v>6031.7508090614883</v>
      </c>
      <c r="CD570" s="607">
        <f t="shared" si="645"/>
        <v>5489.6536312849166</v>
      </c>
      <c r="CE570" s="608">
        <f t="shared" si="646"/>
        <v>5325.3582089552237</v>
      </c>
      <c r="CF570" s="607">
        <f t="shared" si="647"/>
        <v>0</v>
      </c>
      <c r="CG570" s="608">
        <f t="shared" si="648"/>
        <v>0</v>
      </c>
      <c r="CH570" s="607">
        <f t="shared" si="649"/>
        <v>0</v>
      </c>
      <c r="CI570" s="608">
        <f t="shared" si="650"/>
        <v>0</v>
      </c>
      <c r="CJ570" s="607">
        <f t="shared" si="651"/>
        <v>0</v>
      </c>
      <c r="CK570" s="608">
        <f t="shared" si="652"/>
        <v>0</v>
      </c>
      <c r="CL570" s="609">
        <f t="shared" si="653"/>
        <v>58332.173410404626</v>
      </c>
      <c r="CM570" s="608">
        <f t="shared" si="654"/>
        <v>62301.871794871797</v>
      </c>
      <c r="CN570" s="610">
        <f t="shared" si="655"/>
        <v>52323.41860465116</v>
      </c>
      <c r="CO570" s="606">
        <f t="shared" si="656"/>
        <v>54285.757281553393</v>
      </c>
      <c r="CP570" s="607">
        <f t="shared" si="657"/>
        <v>49406.882681564253</v>
      </c>
      <c r="CQ570" s="606">
        <f t="shared" si="658"/>
        <v>47928.223880597012</v>
      </c>
      <c r="CR570" s="607">
        <f t="shared" si="659"/>
        <v>0</v>
      </c>
      <c r="CS570" s="606">
        <f t="shared" si="660"/>
        <v>0</v>
      </c>
      <c r="CT570" s="607">
        <f t="shared" si="661"/>
        <v>0</v>
      </c>
      <c r="CU570" s="608">
        <f t="shared" si="662"/>
        <v>0</v>
      </c>
      <c r="CV570" s="610">
        <f t="shared" si="663"/>
        <v>0</v>
      </c>
      <c r="CW570" s="608">
        <f t="shared" si="664"/>
        <v>0</v>
      </c>
      <c r="CX570" s="610">
        <f t="shared" si="665"/>
        <v>53788.595423717998</v>
      </c>
      <c r="CY570" s="611">
        <f t="shared" si="666"/>
        <v>55923.714841902176</v>
      </c>
      <c r="CZ570" s="605">
        <f t="shared" si="667"/>
        <v>38</v>
      </c>
      <c r="DA570" s="612">
        <f t="shared" si="668"/>
        <v>39</v>
      </c>
      <c r="DB570" s="607">
        <f t="shared" si="669"/>
        <v>67</v>
      </c>
      <c r="DC570" s="606">
        <f t="shared" si="670"/>
        <v>64</v>
      </c>
      <c r="DD570" s="607">
        <f t="shared" si="671"/>
        <v>17</v>
      </c>
      <c r="DE570" s="606">
        <f t="shared" si="672"/>
        <v>18</v>
      </c>
      <c r="DF570" s="607">
        <f t="shared" si="673"/>
        <v>0</v>
      </c>
      <c r="DG570" s="606">
        <f t="shared" si="674"/>
        <v>0</v>
      </c>
      <c r="DH570" s="607">
        <f t="shared" si="675"/>
        <v>0</v>
      </c>
      <c r="DI570" s="608">
        <f t="shared" si="676"/>
        <v>0</v>
      </c>
      <c r="DJ570" s="607">
        <f t="shared" si="677"/>
        <v>0</v>
      </c>
      <c r="DK570" s="608">
        <f t="shared" si="678"/>
        <v>0</v>
      </c>
      <c r="DL570" s="607">
        <f t="shared" si="679"/>
        <v>122</v>
      </c>
      <c r="DM570" s="608">
        <f t="shared" si="680"/>
        <v>121</v>
      </c>
      <c r="DN570" s="607">
        <f t="shared" si="681"/>
        <v>2216622.5895953756</v>
      </c>
      <c r="DO570" s="612">
        <f t="shared" si="682"/>
        <v>2429773</v>
      </c>
      <c r="DP570" s="607">
        <f t="shared" si="683"/>
        <v>3505669.0465116277</v>
      </c>
      <c r="DQ570" s="606">
        <f t="shared" si="684"/>
        <v>3474288.4660194172</v>
      </c>
      <c r="DR570" s="607">
        <f t="shared" si="685"/>
        <v>839917.00558659225</v>
      </c>
      <c r="DS570" s="606">
        <f t="shared" si="686"/>
        <v>862708.02985074627</v>
      </c>
      <c r="DT570" s="607">
        <f t="shared" si="687"/>
        <v>0</v>
      </c>
      <c r="DU570" s="606">
        <f t="shared" si="688"/>
        <v>0</v>
      </c>
      <c r="DV570" s="607">
        <f t="shared" si="689"/>
        <v>0</v>
      </c>
      <c r="DW570" s="608">
        <f t="shared" si="690"/>
        <v>0</v>
      </c>
      <c r="DX570" s="607">
        <f t="shared" si="691"/>
        <v>0</v>
      </c>
      <c r="DY570" s="608">
        <f t="shared" si="692"/>
        <v>0</v>
      </c>
      <c r="DZ570" s="607">
        <f t="shared" si="693"/>
        <v>6562208.6416935958</v>
      </c>
      <c r="EA570" s="608">
        <f t="shared" si="694"/>
        <v>6766769.4958701637</v>
      </c>
    </row>
    <row r="571" spans="1:131" x14ac:dyDescent="0.2">
      <c r="A571" s="483" t="s">
        <v>43</v>
      </c>
      <c r="B571" s="358" t="s">
        <v>494</v>
      </c>
      <c r="C571" s="584"/>
      <c r="D571" s="364">
        <v>224110</v>
      </c>
      <c r="E571" s="365">
        <v>8</v>
      </c>
      <c r="F571" s="598"/>
      <c r="G571" s="599">
        <v>0</v>
      </c>
      <c r="H571" s="600"/>
      <c r="I571" s="601">
        <v>0</v>
      </c>
      <c r="J571" s="600"/>
      <c r="K571" s="599">
        <v>0</v>
      </c>
      <c r="L571" s="600"/>
      <c r="M571" s="601">
        <v>0</v>
      </c>
      <c r="N571" s="600"/>
      <c r="O571" s="599">
        <v>0</v>
      </c>
      <c r="P571" s="600"/>
      <c r="Q571" s="601">
        <v>0</v>
      </c>
      <c r="R571" s="600"/>
      <c r="S571" s="599">
        <v>0</v>
      </c>
      <c r="T571" s="600"/>
      <c r="U571" s="601">
        <v>0</v>
      </c>
      <c r="V571" s="600"/>
      <c r="W571" s="599">
        <v>0</v>
      </c>
      <c r="X571" s="600"/>
      <c r="Y571" s="601">
        <v>0</v>
      </c>
      <c r="Z571" s="600"/>
      <c r="AA571" s="599">
        <v>0</v>
      </c>
      <c r="AB571" s="600"/>
      <c r="AC571" s="601">
        <v>0</v>
      </c>
      <c r="AD571" s="600"/>
      <c r="AE571" s="599">
        <v>0</v>
      </c>
      <c r="AF571" s="600"/>
      <c r="AG571" s="601">
        <v>0</v>
      </c>
      <c r="AH571" s="600"/>
      <c r="AI571" s="599">
        <v>0</v>
      </c>
      <c r="AJ571" s="600"/>
      <c r="AK571" s="601">
        <v>0</v>
      </c>
      <c r="AL571" s="600"/>
      <c r="AM571" s="599">
        <v>0</v>
      </c>
      <c r="AN571" s="600"/>
      <c r="AO571" s="601">
        <v>0</v>
      </c>
      <c r="AP571" s="600"/>
      <c r="AQ571" s="599">
        <v>0</v>
      </c>
      <c r="AR571" s="600"/>
      <c r="AS571" s="601">
        <v>0</v>
      </c>
      <c r="AT571" s="600">
        <v>90</v>
      </c>
      <c r="AU571" s="599">
        <v>89</v>
      </c>
      <c r="AV571" s="600"/>
      <c r="AW571" s="601">
        <v>4</v>
      </c>
      <c r="AX571" s="600">
        <v>35</v>
      </c>
      <c r="AY571" s="599">
        <v>35</v>
      </c>
      <c r="AZ571" s="600"/>
      <c r="BA571" s="601">
        <v>1</v>
      </c>
      <c r="BB571" s="602">
        <v>0</v>
      </c>
      <c r="BC571" s="599">
        <v>0</v>
      </c>
      <c r="BD571" s="600">
        <v>0</v>
      </c>
      <c r="BE571" s="599">
        <v>0</v>
      </c>
      <c r="BF571" s="600">
        <v>0</v>
      </c>
      <c r="BG571" s="599">
        <v>0</v>
      </c>
      <c r="BH571" s="600">
        <v>0</v>
      </c>
      <c r="BI571" s="599">
        <v>0</v>
      </c>
      <c r="BJ571" s="600">
        <v>0</v>
      </c>
      <c r="BK571" s="615">
        <v>0</v>
      </c>
      <c r="BL571" s="600">
        <v>6225654</v>
      </c>
      <c r="BM571" s="604">
        <v>6543538</v>
      </c>
      <c r="BN571" s="605">
        <f t="shared" si="629"/>
        <v>0</v>
      </c>
      <c r="BO571" s="606">
        <f t="shared" si="630"/>
        <v>0</v>
      </c>
      <c r="BP571" s="607">
        <f t="shared" si="631"/>
        <v>0</v>
      </c>
      <c r="BQ571" s="606">
        <f t="shared" si="632"/>
        <v>0</v>
      </c>
      <c r="BR571" s="607">
        <f t="shared" si="633"/>
        <v>0</v>
      </c>
      <c r="BS571" s="606">
        <f t="shared" si="634"/>
        <v>0</v>
      </c>
      <c r="BT571" s="607">
        <f t="shared" si="635"/>
        <v>0</v>
      </c>
      <c r="BU571" s="606">
        <f t="shared" si="636"/>
        <v>0</v>
      </c>
      <c r="BV571" s="607">
        <f t="shared" si="637"/>
        <v>0</v>
      </c>
      <c r="BW571" s="608">
        <f t="shared" si="638"/>
        <v>0</v>
      </c>
      <c r="BX571" s="607">
        <f t="shared" si="639"/>
        <v>1195</v>
      </c>
      <c r="BY571" s="608">
        <f t="shared" si="640"/>
        <v>1238</v>
      </c>
      <c r="BZ571" s="607">
        <f t="shared" si="641"/>
        <v>0</v>
      </c>
      <c r="CA571" s="608">
        <f t="shared" si="642"/>
        <v>0</v>
      </c>
      <c r="CB571" s="607">
        <f t="shared" si="643"/>
        <v>0</v>
      </c>
      <c r="CC571" s="608">
        <f t="shared" si="644"/>
        <v>0</v>
      </c>
      <c r="CD571" s="607">
        <f t="shared" si="645"/>
        <v>0</v>
      </c>
      <c r="CE571" s="608">
        <f t="shared" si="646"/>
        <v>0</v>
      </c>
      <c r="CF571" s="607">
        <f t="shared" si="647"/>
        <v>0</v>
      </c>
      <c r="CG571" s="608">
        <f t="shared" si="648"/>
        <v>0</v>
      </c>
      <c r="CH571" s="607">
        <f t="shared" si="649"/>
        <v>0</v>
      </c>
      <c r="CI571" s="608">
        <f t="shared" si="650"/>
        <v>0</v>
      </c>
      <c r="CJ571" s="607">
        <f t="shared" si="651"/>
        <v>5209.7523012552301</v>
      </c>
      <c r="CK571" s="608">
        <f t="shared" si="652"/>
        <v>5285.5718901453956</v>
      </c>
      <c r="CL571" s="609">
        <f t="shared" si="653"/>
        <v>0</v>
      </c>
      <c r="CM571" s="608">
        <f t="shared" si="654"/>
        <v>0</v>
      </c>
      <c r="CN571" s="610">
        <f t="shared" si="655"/>
        <v>0</v>
      </c>
      <c r="CO571" s="606">
        <f t="shared" si="656"/>
        <v>0</v>
      </c>
      <c r="CP571" s="607">
        <f t="shared" si="657"/>
        <v>0</v>
      </c>
      <c r="CQ571" s="606">
        <f t="shared" si="658"/>
        <v>0</v>
      </c>
      <c r="CR571" s="607">
        <f t="shared" si="659"/>
        <v>0</v>
      </c>
      <c r="CS571" s="606">
        <f t="shared" si="660"/>
        <v>0</v>
      </c>
      <c r="CT571" s="607">
        <f t="shared" si="661"/>
        <v>0</v>
      </c>
      <c r="CU571" s="608">
        <f t="shared" si="662"/>
        <v>0</v>
      </c>
      <c r="CV571" s="610">
        <f t="shared" si="663"/>
        <v>46887.770711297067</v>
      </c>
      <c r="CW571" s="608">
        <f t="shared" si="664"/>
        <v>47570.14701130856</v>
      </c>
      <c r="CX571" s="610">
        <f t="shared" si="665"/>
        <v>46887.770711297067</v>
      </c>
      <c r="CY571" s="611">
        <f t="shared" si="666"/>
        <v>47570.14701130856</v>
      </c>
      <c r="CZ571" s="605">
        <f t="shared" si="667"/>
        <v>0</v>
      </c>
      <c r="DA571" s="612">
        <f t="shared" si="668"/>
        <v>0</v>
      </c>
      <c r="DB571" s="607">
        <f t="shared" si="669"/>
        <v>0</v>
      </c>
      <c r="DC571" s="606">
        <f t="shared" si="670"/>
        <v>0</v>
      </c>
      <c r="DD571" s="607">
        <f t="shared" si="671"/>
        <v>0</v>
      </c>
      <c r="DE571" s="606">
        <f t="shared" si="672"/>
        <v>0</v>
      </c>
      <c r="DF571" s="607">
        <f t="shared" si="673"/>
        <v>0</v>
      </c>
      <c r="DG571" s="606">
        <f t="shared" si="674"/>
        <v>0</v>
      </c>
      <c r="DH571" s="607">
        <f t="shared" si="675"/>
        <v>0</v>
      </c>
      <c r="DI571" s="608">
        <f t="shared" si="676"/>
        <v>0</v>
      </c>
      <c r="DJ571" s="607">
        <f t="shared" si="677"/>
        <v>125</v>
      </c>
      <c r="DK571" s="608">
        <f t="shared" si="678"/>
        <v>129</v>
      </c>
      <c r="DL571" s="607">
        <f t="shared" si="679"/>
        <v>125</v>
      </c>
      <c r="DM571" s="608">
        <f t="shared" si="680"/>
        <v>129</v>
      </c>
      <c r="DN571" s="607">
        <f t="shared" si="681"/>
        <v>0</v>
      </c>
      <c r="DO571" s="612">
        <f t="shared" si="682"/>
        <v>0</v>
      </c>
      <c r="DP571" s="607">
        <f t="shared" si="683"/>
        <v>0</v>
      </c>
      <c r="DQ571" s="606">
        <f t="shared" si="684"/>
        <v>0</v>
      </c>
      <c r="DR571" s="607">
        <f t="shared" si="685"/>
        <v>0</v>
      </c>
      <c r="DS571" s="606">
        <f t="shared" si="686"/>
        <v>0</v>
      </c>
      <c r="DT571" s="607">
        <f t="shared" si="687"/>
        <v>0</v>
      </c>
      <c r="DU571" s="606">
        <f t="shared" si="688"/>
        <v>0</v>
      </c>
      <c r="DV571" s="607">
        <f t="shared" si="689"/>
        <v>0</v>
      </c>
      <c r="DW571" s="608">
        <f t="shared" si="690"/>
        <v>0</v>
      </c>
      <c r="DX571" s="607">
        <f t="shared" si="691"/>
        <v>5860971.3389121331</v>
      </c>
      <c r="DY571" s="608">
        <f t="shared" si="692"/>
        <v>6136548.9644588046</v>
      </c>
      <c r="DZ571" s="607">
        <f t="shared" si="693"/>
        <v>5860971.3389121331</v>
      </c>
      <c r="EA571" s="608">
        <f t="shared" si="694"/>
        <v>6136548.9644588046</v>
      </c>
    </row>
    <row r="572" spans="1:131" x14ac:dyDescent="0.2">
      <c r="A572" s="483" t="s">
        <v>43</v>
      </c>
      <c r="B572" s="354" t="s">
        <v>495</v>
      </c>
      <c r="C572" s="585"/>
      <c r="D572" s="362">
        <v>227191</v>
      </c>
      <c r="E572" s="366">
        <v>8</v>
      </c>
      <c r="F572" s="598"/>
      <c r="G572" s="599">
        <v>0</v>
      </c>
      <c r="H572" s="600"/>
      <c r="I572" s="601">
        <v>0</v>
      </c>
      <c r="J572" s="600"/>
      <c r="K572" s="599">
        <v>0</v>
      </c>
      <c r="L572" s="600"/>
      <c r="M572" s="601">
        <v>0</v>
      </c>
      <c r="N572" s="600"/>
      <c r="O572" s="599">
        <v>0</v>
      </c>
      <c r="P572" s="600"/>
      <c r="Q572" s="601">
        <v>0</v>
      </c>
      <c r="R572" s="600"/>
      <c r="S572" s="599">
        <v>0</v>
      </c>
      <c r="T572" s="600"/>
      <c r="U572" s="601">
        <v>0</v>
      </c>
      <c r="V572" s="600"/>
      <c r="W572" s="599">
        <v>0</v>
      </c>
      <c r="X572" s="600"/>
      <c r="Y572" s="601">
        <v>0</v>
      </c>
      <c r="Z572" s="600"/>
      <c r="AA572" s="599">
        <v>0</v>
      </c>
      <c r="AB572" s="600"/>
      <c r="AC572" s="601">
        <v>0</v>
      </c>
      <c r="AD572" s="600"/>
      <c r="AE572" s="599">
        <v>0</v>
      </c>
      <c r="AF572" s="600"/>
      <c r="AG572" s="601">
        <v>0</v>
      </c>
      <c r="AH572" s="600"/>
      <c r="AI572" s="599">
        <v>0</v>
      </c>
      <c r="AJ572" s="600"/>
      <c r="AK572" s="601">
        <v>0</v>
      </c>
      <c r="AL572" s="600"/>
      <c r="AM572" s="599">
        <v>0</v>
      </c>
      <c r="AN572" s="600"/>
      <c r="AO572" s="601">
        <v>0</v>
      </c>
      <c r="AP572" s="600"/>
      <c r="AQ572" s="599">
        <v>0</v>
      </c>
      <c r="AR572" s="600"/>
      <c r="AS572" s="601">
        <v>0</v>
      </c>
      <c r="AT572" s="600">
        <v>108</v>
      </c>
      <c r="AU572" s="599">
        <v>0</v>
      </c>
      <c r="AV572" s="600"/>
      <c r="AW572" s="601">
        <v>0</v>
      </c>
      <c r="AX572" s="600"/>
      <c r="AY572" s="599">
        <v>0</v>
      </c>
      <c r="AZ572" s="600"/>
      <c r="BA572" s="601">
        <v>0</v>
      </c>
      <c r="BB572" s="602">
        <v>0</v>
      </c>
      <c r="BC572" s="599">
        <v>0</v>
      </c>
      <c r="BD572" s="600">
        <v>0</v>
      </c>
      <c r="BE572" s="599">
        <v>0</v>
      </c>
      <c r="BF572" s="600">
        <v>0</v>
      </c>
      <c r="BG572" s="599">
        <v>0</v>
      </c>
      <c r="BH572" s="600">
        <v>0</v>
      </c>
      <c r="BI572" s="599">
        <v>0</v>
      </c>
      <c r="BJ572" s="600">
        <v>0</v>
      </c>
      <c r="BK572" s="615">
        <v>0</v>
      </c>
      <c r="BL572" s="600">
        <v>6144778</v>
      </c>
      <c r="BM572" s="604">
        <v>0</v>
      </c>
      <c r="BN572" s="605">
        <f t="shared" si="629"/>
        <v>0</v>
      </c>
      <c r="BO572" s="606">
        <f t="shared" si="630"/>
        <v>0</v>
      </c>
      <c r="BP572" s="607">
        <f t="shared" si="631"/>
        <v>0</v>
      </c>
      <c r="BQ572" s="606">
        <f t="shared" si="632"/>
        <v>0</v>
      </c>
      <c r="BR572" s="607">
        <f t="shared" si="633"/>
        <v>0</v>
      </c>
      <c r="BS572" s="606">
        <f t="shared" si="634"/>
        <v>0</v>
      </c>
      <c r="BT572" s="607">
        <f t="shared" si="635"/>
        <v>0</v>
      </c>
      <c r="BU572" s="606">
        <f t="shared" si="636"/>
        <v>0</v>
      </c>
      <c r="BV572" s="607">
        <f t="shared" si="637"/>
        <v>0</v>
      </c>
      <c r="BW572" s="608">
        <f t="shared" si="638"/>
        <v>0</v>
      </c>
      <c r="BX572" s="607">
        <f t="shared" si="639"/>
        <v>972</v>
      </c>
      <c r="BY572" s="608">
        <f t="shared" si="640"/>
        <v>0</v>
      </c>
      <c r="BZ572" s="607">
        <f t="shared" si="641"/>
        <v>0</v>
      </c>
      <c r="CA572" s="608">
        <f t="shared" si="642"/>
        <v>0</v>
      </c>
      <c r="CB572" s="607">
        <f t="shared" si="643"/>
        <v>0</v>
      </c>
      <c r="CC572" s="608">
        <f t="shared" si="644"/>
        <v>0</v>
      </c>
      <c r="CD572" s="607">
        <f t="shared" si="645"/>
        <v>0</v>
      </c>
      <c r="CE572" s="608">
        <f t="shared" si="646"/>
        <v>0</v>
      </c>
      <c r="CF572" s="607">
        <f t="shared" si="647"/>
        <v>0</v>
      </c>
      <c r="CG572" s="608">
        <f t="shared" si="648"/>
        <v>0</v>
      </c>
      <c r="CH572" s="607">
        <f t="shared" si="649"/>
        <v>0</v>
      </c>
      <c r="CI572" s="608">
        <f t="shared" si="650"/>
        <v>0</v>
      </c>
      <c r="CJ572" s="607">
        <f t="shared" si="651"/>
        <v>6321.7880658436216</v>
      </c>
      <c r="CK572" s="608">
        <f t="shared" si="652"/>
        <v>0</v>
      </c>
      <c r="CL572" s="609">
        <f t="shared" si="653"/>
        <v>0</v>
      </c>
      <c r="CM572" s="608">
        <f t="shared" si="654"/>
        <v>0</v>
      </c>
      <c r="CN572" s="610">
        <f t="shared" si="655"/>
        <v>0</v>
      </c>
      <c r="CO572" s="606">
        <f t="shared" si="656"/>
        <v>0</v>
      </c>
      <c r="CP572" s="607">
        <f t="shared" si="657"/>
        <v>0</v>
      </c>
      <c r="CQ572" s="606">
        <f t="shared" si="658"/>
        <v>0</v>
      </c>
      <c r="CR572" s="607">
        <f t="shared" si="659"/>
        <v>0</v>
      </c>
      <c r="CS572" s="606">
        <f t="shared" si="660"/>
        <v>0</v>
      </c>
      <c r="CT572" s="607">
        <f t="shared" si="661"/>
        <v>0</v>
      </c>
      <c r="CU572" s="608">
        <f t="shared" si="662"/>
        <v>0</v>
      </c>
      <c r="CV572" s="610">
        <f t="shared" si="663"/>
        <v>56896.092592592591</v>
      </c>
      <c r="CW572" s="608">
        <f t="shared" si="664"/>
        <v>0</v>
      </c>
      <c r="CX572" s="610">
        <f t="shared" si="665"/>
        <v>56896.092592592591</v>
      </c>
      <c r="CY572" s="611">
        <f t="shared" si="666"/>
        <v>0</v>
      </c>
      <c r="CZ572" s="605">
        <f t="shared" si="667"/>
        <v>0</v>
      </c>
      <c r="DA572" s="612">
        <f t="shared" si="668"/>
        <v>0</v>
      </c>
      <c r="DB572" s="607">
        <f t="shared" si="669"/>
        <v>0</v>
      </c>
      <c r="DC572" s="606">
        <f t="shared" si="670"/>
        <v>0</v>
      </c>
      <c r="DD572" s="607">
        <f t="shared" si="671"/>
        <v>0</v>
      </c>
      <c r="DE572" s="606">
        <f t="shared" si="672"/>
        <v>0</v>
      </c>
      <c r="DF572" s="607">
        <f t="shared" si="673"/>
        <v>0</v>
      </c>
      <c r="DG572" s="606">
        <f t="shared" si="674"/>
        <v>0</v>
      </c>
      <c r="DH572" s="607">
        <f t="shared" si="675"/>
        <v>0</v>
      </c>
      <c r="DI572" s="608">
        <f t="shared" si="676"/>
        <v>0</v>
      </c>
      <c r="DJ572" s="607">
        <f t="shared" si="677"/>
        <v>108</v>
      </c>
      <c r="DK572" s="608">
        <f t="shared" si="678"/>
        <v>0</v>
      </c>
      <c r="DL572" s="607">
        <f t="shared" si="679"/>
        <v>108</v>
      </c>
      <c r="DM572" s="608">
        <f t="shared" si="680"/>
        <v>0</v>
      </c>
      <c r="DN572" s="607">
        <f t="shared" si="681"/>
        <v>0</v>
      </c>
      <c r="DO572" s="612">
        <f t="shared" si="682"/>
        <v>0</v>
      </c>
      <c r="DP572" s="607">
        <f t="shared" si="683"/>
        <v>0</v>
      </c>
      <c r="DQ572" s="606">
        <f t="shared" si="684"/>
        <v>0</v>
      </c>
      <c r="DR572" s="607">
        <f t="shared" si="685"/>
        <v>0</v>
      </c>
      <c r="DS572" s="606">
        <f t="shared" si="686"/>
        <v>0</v>
      </c>
      <c r="DT572" s="607">
        <f t="shared" si="687"/>
        <v>0</v>
      </c>
      <c r="DU572" s="606">
        <f t="shared" si="688"/>
        <v>0</v>
      </c>
      <c r="DV572" s="607">
        <f t="shared" si="689"/>
        <v>0</v>
      </c>
      <c r="DW572" s="608">
        <f t="shared" si="690"/>
        <v>0</v>
      </c>
      <c r="DX572" s="607">
        <f t="shared" si="691"/>
        <v>6144778</v>
      </c>
      <c r="DY572" s="608">
        <f t="shared" si="692"/>
        <v>0</v>
      </c>
      <c r="DZ572" s="607">
        <f t="shared" si="693"/>
        <v>6144778</v>
      </c>
      <c r="EA572" s="608">
        <f t="shared" si="694"/>
        <v>0</v>
      </c>
    </row>
    <row r="573" spans="1:131" x14ac:dyDescent="0.2">
      <c r="A573" s="483" t="s">
        <v>43</v>
      </c>
      <c r="B573" s="354" t="s">
        <v>496</v>
      </c>
      <c r="C573" s="585"/>
      <c r="D573" s="362">
        <v>420398</v>
      </c>
      <c r="E573" s="366">
        <v>8</v>
      </c>
      <c r="F573" s="598">
        <v>3</v>
      </c>
      <c r="G573" s="599">
        <v>0</v>
      </c>
      <c r="H573" s="600"/>
      <c r="I573" s="601">
        <v>0</v>
      </c>
      <c r="J573" s="600"/>
      <c r="K573" s="599">
        <v>0</v>
      </c>
      <c r="L573" s="600"/>
      <c r="M573" s="601">
        <v>0</v>
      </c>
      <c r="N573" s="600">
        <v>27</v>
      </c>
      <c r="O573" s="599">
        <v>0</v>
      </c>
      <c r="P573" s="600"/>
      <c r="Q573" s="601">
        <v>0</v>
      </c>
      <c r="R573" s="600">
        <v>2</v>
      </c>
      <c r="S573" s="599">
        <v>0</v>
      </c>
      <c r="T573" s="600"/>
      <c r="U573" s="601">
        <v>0</v>
      </c>
      <c r="V573" s="600">
        <v>43</v>
      </c>
      <c r="W573" s="599">
        <v>0</v>
      </c>
      <c r="X573" s="600"/>
      <c r="Y573" s="601">
        <v>0</v>
      </c>
      <c r="Z573" s="600">
        <v>5</v>
      </c>
      <c r="AA573" s="599">
        <v>0</v>
      </c>
      <c r="AB573" s="600"/>
      <c r="AC573" s="601">
        <v>0</v>
      </c>
      <c r="AD573" s="600">
        <v>58</v>
      </c>
      <c r="AE573" s="599">
        <v>0</v>
      </c>
      <c r="AF573" s="600"/>
      <c r="AG573" s="601">
        <v>0</v>
      </c>
      <c r="AH573" s="600">
        <v>2</v>
      </c>
      <c r="AI573" s="599">
        <v>0</v>
      </c>
      <c r="AJ573" s="600"/>
      <c r="AK573" s="601">
        <v>0</v>
      </c>
      <c r="AL573" s="600"/>
      <c r="AM573" s="599">
        <v>0</v>
      </c>
      <c r="AN573" s="600"/>
      <c r="AO573" s="601">
        <v>0</v>
      </c>
      <c r="AP573" s="600"/>
      <c r="AQ573" s="599">
        <v>0</v>
      </c>
      <c r="AR573" s="600"/>
      <c r="AS573" s="601">
        <v>0</v>
      </c>
      <c r="AT573" s="600"/>
      <c r="AU573" s="599">
        <v>0</v>
      </c>
      <c r="AV573" s="600"/>
      <c r="AW573" s="601">
        <v>0</v>
      </c>
      <c r="AX573" s="600"/>
      <c r="AY573" s="599">
        <v>0</v>
      </c>
      <c r="AZ573" s="600"/>
      <c r="BA573" s="601">
        <v>0</v>
      </c>
      <c r="BB573" s="602">
        <v>203116</v>
      </c>
      <c r="BC573" s="599">
        <v>0</v>
      </c>
      <c r="BD573" s="600">
        <v>1258977</v>
      </c>
      <c r="BE573" s="599">
        <v>0</v>
      </c>
      <c r="BF573" s="600">
        <v>1955819</v>
      </c>
      <c r="BG573" s="599">
        <v>0</v>
      </c>
      <c r="BH573" s="600">
        <v>1573653</v>
      </c>
      <c r="BI573" s="599">
        <v>0</v>
      </c>
      <c r="BJ573" s="600">
        <v>0</v>
      </c>
      <c r="BK573" s="615">
        <v>0</v>
      </c>
      <c r="BL573" s="600">
        <v>0</v>
      </c>
      <c r="BM573" s="604">
        <v>0</v>
      </c>
      <c r="BN573" s="605">
        <f t="shared" si="629"/>
        <v>27</v>
      </c>
      <c r="BO573" s="606">
        <f t="shared" si="630"/>
        <v>0</v>
      </c>
      <c r="BP573" s="607">
        <f t="shared" si="631"/>
        <v>265</v>
      </c>
      <c r="BQ573" s="606">
        <f t="shared" si="632"/>
        <v>0</v>
      </c>
      <c r="BR573" s="607">
        <f t="shared" si="633"/>
        <v>442</v>
      </c>
      <c r="BS573" s="606">
        <f t="shared" si="634"/>
        <v>0</v>
      </c>
      <c r="BT573" s="607">
        <f t="shared" si="635"/>
        <v>544</v>
      </c>
      <c r="BU573" s="606">
        <f t="shared" si="636"/>
        <v>0</v>
      </c>
      <c r="BV573" s="607">
        <f t="shared" si="637"/>
        <v>0</v>
      </c>
      <c r="BW573" s="608">
        <f t="shared" si="638"/>
        <v>0</v>
      </c>
      <c r="BX573" s="607">
        <f t="shared" si="639"/>
        <v>0</v>
      </c>
      <c r="BY573" s="608">
        <f t="shared" si="640"/>
        <v>0</v>
      </c>
      <c r="BZ573" s="607">
        <f t="shared" si="641"/>
        <v>7522.8148148148148</v>
      </c>
      <c r="CA573" s="608">
        <f t="shared" si="642"/>
        <v>0</v>
      </c>
      <c r="CB573" s="607">
        <f t="shared" si="643"/>
        <v>4750.8566037735845</v>
      </c>
      <c r="CC573" s="608">
        <f t="shared" si="644"/>
        <v>0</v>
      </c>
      <c r="CD573" s="607">
        <f t="shared" si="645"/>
        <v>4424.929864253394</v>
      </c>
      <c r="CE573" s="608">
        <f t="shared" si="646"/>
        <v>0</v>
      </c>
      <c r="CF573" s="607">
        <f t="shared" si="647"/>
        <v>2892.7444852941176</v>
      </c>
      <c r="CG573" s="608">
        <f t="shared" si="648"/>
        <v>0</v>
      </c>
      <c r="CH573" s="607">
        <f t="shared" si="649"/>
        <v>0</v>
      </c>
      <c r="CI573" s="608">
        <f t="shared" si="650"/>
        <v>0</v>
      </c>
      <c r="CJ573" s="607">
        <f t="shared" si="651"/>
        <v>0</v>
      </c>
      <c r="CK573" s="608">
        <f t="shared" si="652"/>
        <v>0</v>
      </c>
      <c r="CL573" s="609">
        <f t="shared" si="653"/>
        <v>67705.333333333328</v>
      </c>
      <c r="CM573" s="608">
        <f t="shared" si="654"/>
        <v>0</v>
      </c>
      <c r="CN573" s="610">
        <f t="shared" si="655"/>
        <v>42757.709433962264</v>
      </c>
      <c r="CO573" s="606">
        <f t="shared" si="656"/>
        <v>0</v>
      </c>
      <c r="CP573" s="607">
        <f t="shared" si="657"/>
        <v>39824.36877828055</v>
      </c>
      <c r="CQ573" s="606">
        <f t="shared" si="658"/>
        <v>0</v>
      </c>
      <c r="CR573" s="607">
        <f t="shared" si="659"/>
        <v>26034.700367647059</v>
      </c>
      <c r="CS573" s="606">
        <f t="shared" si="660"/>
        <v>0</v>
      </c>
      <c r="CT573" s="607">
        <f t="shared" si="661"/>
        <v>0</v>
      </c>
      <c r="CU573" s="608">
        <f t="shared" si="662"/>
        <v>0</v>
      </c>
      <c r="CV573" s="610">
        <f t="shared" si="663"/>
        <v>0</v>
      </c>
      <c r="CW573" s="608">
        <f t="shared" si="664"/>
        <v>0</v>
      </c>
      <c r="CX573" s="610">
        <f t="shared" si="665"/>
        <v>35119.580692865689</v>
      </c>
      <c r="CY573" s="611">
        <f t="shared" si="666"/>
        <v>0</v>
      </c>
      <c r="CZ573" s="605">
        <f t="shared" si="667"/>
        <v>3</v>
      </c>
      <c r="DA573" s="612">
        <f t="shared" si="668"/>
        <v>0</v>
      </c>
      <c r="DB573" s="607">
        <f t="shared" si="669"/>
        <v>29</v>
      </c>
      <c r="DC573" s="606">
        <f t="shared" si="670"/>
        <v>0</v>
      </c>
      <c r="DD573" s="607">
        <f t="shared" si="671"/>
        <v>48</v>
      </c>
      <c r="DE573" s="606">
        <f t="shared" si="672"/>
        <v>0</v>
      </c>
      <c r="DF573" s="607">
        <f t="shared" si="673"/>
        <v>60</v>
      </c>
      <c r="DG573" s="606">
        <f t="shared" si="674"/>
        <v>0</v>
      </c>
      <c r="DH573" s="607">
        <f t="shared" si="675"/>
        <v>0</v>
      </c>
      <c r="DI573" s="608">
        <f t="shared" si="676"/>
        <v>0</v>
      </c>
      <c r="DJ573" s="607">
        <f t="shared" si="677"/>
        <v>0</v>
      </c>
      <c r="DK573" s="608">
        <f t="shared" si="678"/>
        <v>0</v>
      </c>
      <c r="DL573" s="607">
        <f t="shared" si="679"/>
        <v>140</v>
      </c>
      <c r="DM573" s="608">
        <f t="shared" si="680"/>
        <v>0</v>
      </c>
      <c r="DN573" s="607">
        <f t="shared" si="681"/>
        <v>203116</v>
      </c>
      <c r="DO573" s="612">
        <f t="shared" si="682"/>
        <v>0</v>
      </c>
      <c r="DP573" s="607">
        <f t="shared" si="683"/>
        <v>1239973.5735849056</v>
      </c>
      <c r="DQ573" s="606">
        <f t="shared" si="684"/>
        <v>0</v>
      </c>
      <c r="DR573" s="607">
        <f t="shared" si="685"/>
        <v>1911569.7013574664</v>
      </c>
      <c r="DS573" s="606">
        <f t="shared" si="686"/>
        <v>0</v>
      </c>
      <c r="DT573" s="607">
        <f t="shared" si="687"/>
        <v>1562082.0220588236</v>
      </c>
      <c r="DU573" s="606">
        <f t="shared" si="688"/>
        <v>0</v>
      </c>
      <c r="DV573" s="607">
        <f t="shared" si="689"/>
        <v>0</v>
      </c>
      <c r="DW573" s="608">
        <f t="shared" si="690"/>
        <v>0</v>
      </c>
      <c r="DX573" s="607">
        <f t="shared" si="691"/>
        <v>0</v>
      </c>
      <c r="DY573" s="608">
        <f t="shared" si="692"/>
        <v>0</v>
      </c>
      <c r="DZ573" s="607">
        <f t="shared" si="693"/>
        <v>4916741.2970011961</v>
      </c>
      <c r="EA573" s="608">
        <f t="shared" si="694"/>
        <v>0</v>
      </c>
    </row>
    <row r="574" spans="1:131" x14ac:dyDescent="0.2">
      <c r="A574" s="483" t="s">
        <v>43</v>
      </c>
      <c r="B574" s="354" t="s">
        <v>497</v>
      </c>
      <c r="C574" s="585"/>
      <c r="D574" s="362">
        <v>246354</v>
      </c>
      <c r="E574" s="366">
        <v>8</v>
      </c>
      <c r="F574" s="598">
        <v>19</v>
      </c>
      <c r="G574" s="599">
        <v>16</v>
      </c>
      <c r="H574" s="600"/>
      <c r="I574" s="601">
        <v>2</v>
      </c>
      <c r="J574" s="600">
        <v>1</v>
      </c>
      <c r="K574" s="599">
        <v>0</v>
      </c>
      <c r="L574" s="600"/>
      <c r="M574" s="601">
        <v>0</v>
      </c>
      <c r="N574" s="600">
        <v>23</v>
      </c>
      <c r="O574" s="599">
        <v>17</v>
      </c>
      <c r="P574" s="600"/>
      <c r="Q574" s="601">
        <v>2</v>
      </c>
      <c r="R574" s="600">
        <v>1</v>
      </c>
      <c r="S574" s="599">
        <v>0</v>
      </c>
      <c r="T574" s="600"/>
      <c r="U574" s="601">
        <v>0</v>
      </c>
      <c r="V574" s="600">
        <v>32</v>
      </c>
      <c r="W574" s="599">
        <v>18</v>
      </c>
      <c r="X574" s="600"/>
      <c r="Y574" s="601">
        <v>5</v>
      </c>
      <c r="Z574" s="600">
        <v>4</v>
      </c>
      <c r="AA574" s="599">
        <v>0</v>
      </c>
      <c r="AB574" s="600"/>
      <c r="AC574" s="601">
        <v>1</v>
      </c>
      <c r="AD574" s="600">
        <v>32</v>
      </c>
      <c r="AE574" s="599">
        <v>49</v>
      </c>
      <c r="AF574" s="600"/>
      <c r="AG574" s="601">
        <v>0</v>
      </c>
      <c r="AH574" s="600">
        <v>2</v>
      </c>
      <c r="AI574" s="599">
        <v>0</v>
      </c>
      <c r="AJ574" s="600"/>
      <c r="AK574" s="601">
        <v>0</v>
      </c>
      <c r="AL574" s="600"/>
      <c r="AM574" s="599">
        <v>0</v>
      </c>
      <c r="AN574" s="600"/>
      <c r="AO574" s="601">
        <v>0</v>
      </c>
      <c r="AP574" s="600"/>
      <c r="AQ574" s="599">
        <v>0</v>
      </c>
      <c r="AR574" s="600"/>
      <c r="AS574" s="601">
        <v>0</v>
      </c>
      <c r="AT574" s="600"/>
      <c r="AU574" s="599">
        <v>0</v>
      </c>
      <c r="AV574" s="600"/>
      <c r="AW574" s="601">
        <v>0</v>
      </c>
      <c r="AX574" s="600"/>
      <c r="AY574" s="599">
        <v>0</v>
      </c>
      <c r="AZ574" s="600"/>
      <c r="BA574" s="601">
        <v>0</v>
      </c>
      <c r="BB574" s="602">
        <v>1309963</v>
      </c>
      <c r="BC574" s="599">
        <v>1291038</v>
      </c>
      <c r="BD574" s="600">
        <v>1319489</v>
      </c>
      <c r="BE574" s="599">
        <v>1185517</v>
      </c>
      <c r="BF574" s="600">
        <v>1832574</v>
      </c>
      <c r="BG574" s="599">
        <v>1445536</v>
      </c>
      <c r="BH574" s="600">
        <v>1200839</v>
      </c>
      <c r="BI574" s="599">
        <v>2659633</v>
      </c>
      <c r="BJ574" s="600">
        <v>0</v>
      </c>
      <c r="BK574" s="615">
        <v>0</v>
      </c>
      <c r="BL574" s="600">
        <v>0</v>
      </c>
      <c r="BM574" s="604">
        <v>0</v>
      </c>
      <c r="BN574" s="605">
        <f t="shared" si="629"/>
        <v>182</v>
      </c>
      <c r="BO574" s="606">
        <f t="shared" si="630"/>
        <v>164</v>
      </c>
      <c r="BP574" s="607">
        <f t="shared" si="631"/>
        <v>218</v>
      </c>
      <c r="BQ574" s="606">
        <f t="shared" si="632"/>
        <v>173</v>
      </c>
      <c r="BR574" s="607">
        <f t="shared" si="633"/>
        <v>332</v>
      </c>
      <c r="BS574" s="606">
        <f t="shared" si="634"/>
        <v>224</v>
      </c>
      <c r="BT574" s="607">
        <f t="shared" si="635"/>
        <v>310</v>
      </c>
      <c r="BU574" s="606">
        <f t="shared" si="636"/>
        <v>441</v>
      </c>
      <c r="BV574" s="607">
        <f t="shared" si="637"/>
        <v>0</v>
      </c>
      <c r="BW574" s="608">
        <f t="shared" si="638"/>
        <v>0</v>
      </c>
      <c r="BX574" s="607">
        <f t="shared" si="639"/>
        <v>0</v>
      </c>
      <c r="BY574" s="608">
        <f t="shared" si="640"/>
        <v>0</v>
      </c>
      <c r="BZ574" s="607">
        <f t="shared" si="641"/>
        <v>7197.5989010989015</v>
      </c>
      <c r="CA574" s="608">
        <f t="shared" si="642"/>
        <v>7872.1829268292686</v>
      </c>
      <c r="CB574" s="607">
        <f t="shared" si="643"/>
        <v>6052.7018348623851</v>
      </c>
      <c r="CC574" s="608">
        <f t="shared" si="644"/>
        <v>6852.6994219653179</v>
      </c>
      <c r="CD574" s="607">
        <f t="shared" si="645"/>
        <v>5519.8012048192768</v>
      </c>
      <c r="CE574" s="608">
        <f t="shared" si="646"/>
        <v>6453.2857142857147</v>
      </c>
      <c r="CF574" s="607">
        <f t="shared" si="647"/>
        <v>3873.6741935483869</v>
      </c>
      <c r="CG574" s="608">
        <f t="shared" si="648"/>
        <v>6030.9138321995461</v>
      </c>
      <c r="CH574" s="607">
        <f t="shared" si="649"/>
        <v>0</v>
      </c>
      <c r="CI574" s="608">
        <f t="shared" si="650"/>
        <v>0</v>
      </c>
      <c r="CJ574" s="607">
        <f t="shared" si="651"/>
        <v>0</v>
      </c>
      <c r="CK574" s="608">
        <f t="shared" si="652"/>
        <v>0</v>
      </c>
      <c r="CL574" s="609">
        <f t="shared" si="653"/>
        <v>64778.390109890111</v>
      </c>
      <c r="CM574" s="608">
        <f t="shared" si="654"/>
        <v>70849.64634146342</v>
      </c>
      <c r="CN574" s="610">
        <f t="shared" si="655"/>
        <v>54474.316513761463</v>
      </c>
      <c r="CO574" s="606">
        <f t="shared" si="656"/>
        <v>61674.294797687864</v>
      </c>
      <c r="CP574" s="607">
        <f t="shared" si="657"/>
        <v>49678.21084337349</v>
      </c>
      <c r="CQ574" s="606">
        <f t="shared" si="658"/>
        <v>58079.571428571435</v>
      </c>
      <c r="CR574" s="607">
        <f t="shared" si="659"/>
        <v>34863.067741935483</v>
      </c>
      <c r="CS574" s="606">
        <f t="shared" si="660"/>
        <v>54278.224489795917</v>
      </c>
      <c r="CT574" s="607">
        <f t="shared" si="661"/>
        <v>0</v>
      </c>
      <c r="CU574" s="608">
        <f t="shared" si="662"/>
        <v>0</v>
      </c>
      <c r="CV574" s="610">
        <f t="shared" si="663"/>
        <v>0</v>
      </c>
      <c r="CW574" s="608">
        <f t="shared" si="664"/>
        <v>0</v>
      </c>
      <c r="CX574" s="610">
        <f t="shared" si="665"/>
        <v>48918.520106274816</v>
      </c>
      <c r="CY574" s="611">
        <f t="shared" si="666"/>
        <v>59096.799541710236</v>
      </c>
      <c r="CZ574" s="605">
        <f t="shared" si="667"/>
        <v>20</v>
      </c>
      <c r="DA574" s="612">
        <f t="shared" si="668"/>
        <v>18</v>
      </c>
      <c r="DB574" s="607">
        <f t="shared" si="669"/>
        <v>24</v>
      </c>
      <c r="DC574" s="606">
        <f t="shared" si="670"/>
        <v>19</v>
      </c>
      <c r="DD574" s="607">
        <f t="shared" si="671"/>
        <v>36</v>
      </c>
      <c r="DE574" s="606">
        <f t="shared" si="672"/>
        <v>24</v>
      </c>
      <c r="DF574" s="607">
        <f t="shared" si="673"/>
        <v>34</v>
      </c>
      <c r="DG574" s="606">
        <f t="shared" si="674"/>
        <v>49</v>
      </c>
      <c r="DH574" s="607">
        <f t="shared" si="675"/>
        <v>0</v>
      </c>
      <c r="DI574" s="608">
        <f t="shared" si="676"/>
        <v>0</v>
      </c>
      <c r="DJ574" s="607">
        <f t="shared" si="677"/>
        <v>0</v>
      </c>
      <c r="DK574" s="608">
        <f t="shared" si="678"/>
        <v>0</v>
      </c>
      <c r="DL574" s="607">
        <f t="shared" si="679"/>
        <v>114</v>
      </c>
      <c r="DM574" s="608">
        <f t="shared" si="680"/>
        <v>110</v>
      </c>
      <c r="DN574" s="607">
        <f t="shared" si="681"/>
        <v>1295567.8021978023</v>
      </c>
      <c r="DO574" s="612">
        <f t="shared" si="682"/>
        <v>1275293.6341463416</v>
      </c>
      <c r="DP574" s="607">
        <f t="shared" si="683"/>
        <v>1307383.5963302751</v>
      </c>
      <c r="DQ574" s="606">
        <f t="shared" si="684"/>
        <v>1171811.6011560694</v>
      </c>
      <c r="DR574" s="607">
        <f t="shared" si="685"/>
        <v>1788415.5903614457</v>
      </c>
      <c r="DS574" s="606">
        <f t="shared" si="686"/>
        <v>1393909.7142857146</v>
      </c>
      <c r="DT574" s="607">
        <f t="shared" si="687"/>
        <v>1185344.3032258064</v>
      </c>
      <c r="DU574" s="606">
        <f t="shared" si="688"/>
        <v>2659633</v>
      </c>
      <c r="DV574" s="607">
        <f t="shared" si="689"/>
        <v>0</v>
      </c>
      <c r="DW574" s="608">
        <f t="shared" si="690"/>
        <v>0</v>
      </c>
      <c r="DX574" s="607">
        <f t="shared" si="691"/>
        <v>0</v>
      </c>
      <c r="DY574" s="608">
        <f t="shared" si="692"/>
        <v>0</v>
      </c>
      <c r="DZ574" s="607">
        <f t="shared" si="693"/>
        <v>5576711.2921153288</v>
      </c>
      <c r="EA574" s="608">
        <f t="shared" si="694"/>
        <v>6500647.9495881256</v>
      </c>
    </row>
    <row r="575" spans="1:131" x14ac:dyDescent="0.2">
      <c r="A575" s="483" t="s">
        <v>43</v>
      </c>
      <c r="B575" s="354" t="s">
        <v>498</v>
      </c>
      <c r="C575" s="585"/>
      <c r="D575" s="362">
        <v>227766</v>
      </c>
      <c r="E575" s="366">
        <v>8</v>
      </c>
      <c r="F575" s="598"/>
      <c r="G575" s="599">
        <v>0</v>
      </c>
      <c r="H575" s="600"/>
      <c r="I575" s="601">
        <v>0</v>
      </c>
      <c r="J575" s="600"/>
      <c r="K575" s="599">
        <v>0</v>
      </c>
      <c r="L575" s="600"/>
      <c r="M575" s="601">
        <v>0</v>
      </c>
      <c r="N575" s="600"/>
      <c r="O575" s="599">
        <v>0</v>
      </c>
      <c r="P575" s="600"/>
      <c r="Q575" s="601">
        <v>0</v>
      </c>
      <c r="R575" s="600"/>
      <c r="S575" s="599">
        <v>0</v>
      </c>
      <c r="T575" s="600"/>
      <c r="U575" s="601">
        <v>0</v>
      </c>
      <c r="V575" s="600"/>
      <c r="W575" s="599">
        <v>0</v>
      </c>
      <c r="X575" s="600"/>
      <c r="Y575" s="601">
        <v>0</v>
      </c>
      <c r="Z575" s="600"/>
      <c r="AA575" s="599">
        <v>0</v>
      </c>
      <c r="AB575" s="600"/>
      <c r="AC575" s="601">
        <v>0</v>
      </c>
      <c r="AD575" s="600"/>
      <c r="AE575" s="599">
        <v>0</v>
      </c>
      <c r="AF575" s="600"/>
      <c r="AG575" s="601">
        <v>0</v>
      </c>
      <c r="AH575" s="600"/>
      <c r="AI575" s="599">
        <v>0</v>
      </c>
      <c r="AJ575" s="600"/>
      <c r="AK575" s="601">
        <v>0</v>
      </c>
      <c r="AL575" s="600"/>
      <c r="AM575" s="599">
        <v>0</v>
      </c>
      <c r="AN575" s="600"/>
      <c r="AO575" s="601">
        <v>0</v>
      </c>
      <c r="AP575" s="600"/>
      <c r="AQ575" s="599">
        <v>0</v>
      </c>
      <c r="AR575" s="600"/>
      <c r="AS575" s="601">
        <v>0</v>
      </c>
      <c r="AT575" s="600">
        <v>137</v>
      </c>
      <c r="AU575" s="599">
        <v>0</v>
      </c>
      <c r="AV575" s="600"/>
      <c r="AW575" s="601">
        <v>0</v>
      </c>
      <c r="AX575" s="600"/>
      <c r="AY575" s="599">
        <v>0</v>
      </c>
      <c r="AZ575" s="600"/>
      <c r="BA575" s="601">
        <v>0</v>
      </c>
      <c r="BB575" s="602">
        <v>0</v>
      </c>
      <c r="BC575" s="599">
        <v>0</v>
      </c>
      <c r="BD575" s="600">
        <v>0</v>
      </c>
      <c r="BE575" s="599">
        <v>0</v>
      </c>
      <c r="BF575" s="600">
        <v>0</v>
      </c>
      <c r="BG575" s="599">
        <v>0</v>
      </c>
      <c r="BH575" s="600">
        <v>0</v>
      </c>
      <c r="BI575" s="599">
        <v>0</v>
      </c>
      <c r="BJ575" s="600">
        <v>0</v>
      </c>
      <c r="BK575" s="615">
        <v>0</v>
      </c>
      <c r="BL575" s="600">
        <v>8403785</v>
      </c>
      <c r="BM575" s="604">
        <v>0</v>
      </c>
      <c r="BN575" s="605">
        <f t="shared" si="629"/>
        <v>0</v>
      </c>
      <c r="BO575" s="606">
        <f t="shared" si="630"/>
        <v>0</v>
      </c>
      <c r="BP575" s="607">
        <f t="shared" si="631"/>
        <v>0</v>
      </c>
      <c r="BQ575" s="606">
        <f t="shared" si="632"/>
        <v>0</v>
      </c>
      <c r="BR575" s="607">
        <f t="shared" si="633"/>
        <v>0</v>
      </c>
      <c r="BS575" s="606">
        <f t="shared" si="634"/>
        <v>0</v>
      </c>
      <c r="BT575" s="607">
        <f t="shared" si="635"/>
        <v>0</v>
      </c>
      <c r="BU575" s="606">
        <f t="shared" si="636"/>
        <v>0</v>
      </c>
      <c r="BV575" s="607">
        <f t="shared" si="637"/>
        <v>0</v>
      </c>
      <c r="BW575" s="608">
        <f t="shared" si="638"/>
        <v>0</v>
      </c>
      <c r="BX575" s="607">
        <f t="shared" si="639"/>
        <v>1233</v>
      </c>
      <c r="BY575" s="608">
        <f t="shared" si="640"/>
        <v>0</v>
      </c>
      <c r="BZ575" s="607">
        <f t="shared" si="641"/>
        <v>0</v>
      </c>
      <c r="CA575" s="608">
        <f t="shared" si="642"/>
        <v>0</v>
      </c>
      <c r="CB575" s="607">
        <f t="shared" si="643"/>
        <v>0</v>
      </c>
      <c r="CC575" s="608">
        <f t="shared" si="644"/>
        <v>0</v>
      </c>
      <c r="CD575" s="607">
        <f t="shared" si="645"/>
        <v>0</v>
      </c>
      <c r="CE575" s="608">
        <f t="shared" si="646"/>
        <v>0</v>
      </c>
      <c r="CF575" s="607">
        <f t="shared" si="647"/>
        <v>0</v>
      </c>
      <c r="CG575" s="608">
        <f t="shared" si="648"/>
        <v>0</v>
      </c>
      <c r="CH575" s="607">
        <f t="shared" si="649"/>
        <v>0</v>
      </c>
      <c r="CI575" s="608">
        <f t="shared" si="650"/>
        <v>0</v>
      </c>
      <c r="CJ575" s="607">
        <f t="shared" si="651"/>
        <v>6815.7218167072178</v>
      </c>
      <c r="CK575" s="608">
        <f t="shared" si="652"/>
        <v>0</v>
      </c>
      <c r="CL575" s="609">
        <f t="shared" si="653"/>
        <v>0</v>
      </c>
      <c r="CM575" s="608">
        <f t="shared" si="654"/>
        <v>0</v>
      </c>
      <c r="CN575" s="610">
        <f t="shared" si="655"/>
        <v>0</v>
      </c>
      <c r="CO575" s="606">
        <f t="shared" si="656"/>
        <v>0</v>
      </c>
      <c r="CP575" s="607">
        <f t="shared" si="657"/>
        <v>0</v>
      </c>
      <c r="CQ575" s="606">
        <f t="shared" si="658"/>
        <v>0</v>
      </c>
      <c r="CR575" s="607">
        <f t="shared" si="659"/>
        <v>0</v>
      </c>
      <c r="CS575" s="606">
        <f t="shared" si="660"/>
        <v>0</v>
      </c>
      <c r="CT575" s="607">
        <f t="shared" si="661"/>
        <v>0</v>
      </c>
      <c r="CU575" s="608">
        <f t="shared" si="662"/>
        <v>0</v>
      </c>
      <c r="CV575" s="610">
        <f t="shared" si="663"/>
        <v>61341.496350364963</v>
      </c>
      <c r="CW575" s="608">
        <f t="shared" si="664"/>
        <v>0</v>
      </c>
      <c r="CX575" s="610">
        <f t="shared" si="665"/>
        <v>61341.496350364963</v>
      </c>
      <c r="CY575" s="611">
        <f t="shared" si="666"/>
        <v>0</v>
      </c>
      <c r="CZ575" s="605">
        <f t="shared" si="667"/>
        <v>0</v>
      </c>
      <c r="DA575" s="612">
        <f t="shared" si="668"/>
        <v>0</v>
      </c>
      <c r="DB575" s="607">
        <f t="shared" si="669"/>
        <v>0</v>
      </c>
      <c r="DC575" s="606">
        <f t="shared" si="670"/>
        <v>0</v>
      </c>
      <c r="DD575" s="607">
        <f t="shared" si="671"/>
        <v>0</v>
      </c>
      <c r="DE575" s="606">
        <f t="shared" si="672"/>
        <v>0</v>
      </c>
      <c r="DF575" s="607">
        <f t="shared" si="673"/>
        <v>0</v>
      </c>
      <c r="DG575" s="606">
        <f t="shared" si="674"/>
        <v>0</v>
      </c>
      <c r="DH575" s="607">
        <f t="shared" si="675"/>
        <v>0</v>
      </c>
      <c r="DI575" s="608">
        <f t="shared" si="676"/>
        <v>0</v>
      </c>
      <c r="DJ575" s="607">
        <f t="shared" si="677"/>
        <v>137</v>
      </c>
      <c r="DK575" s="608">
        <f t="shared" si="678"/>
        <v>0</v>
      </c>
      <c r="DL575" s="607">
        <f t="shared" si="679"/>
        <v>137</v>
      </c>
      <c r="DM575" s="608">
        <f t="shared" si="680"/>
        <v>0</v>
      </c>
      <c r="DN575" s="607">
        <f t="shared" si="681"/>
        <v>0</v>
      </c>
      <c r="DO575" s="612">
        <f t="shared" si="682"/>
        <v>0</v>
      </c>
      <c r="DP575" s="607">
        <f t="shared" si="683"/>
        <v>0</v>
      </c>
      <c r="DQ575" s="606">
        <f t="shared" si="684"/>
        <v>0</v>
      </c>
      <c r="DR575" s="607">
        <f t="shared" si="685"/>
        <v>0</v>
      </c>
      <c r="DS575" s="606">
        <f t="shared" si="686"/>
        <v>0</v>
      </c>
      <c r="DT575" s="607">
        <f t="shared" si="687"/>
        <v>0</v>
      </c>
      <c r="DU575" s="606">
        <f t="shared" si="688"/>
        <v>0</v>
      </c>
      <c r="DV575" s="607">
        <f t="shared" si="689"/>
        <v>0</v>
      </c>
      <c r="DW575" s="608">
        <f t="shared" si="690"/>
        <v>0</v>
      </c>
      <c r="DX575" s="607">
        <f t="shared" si="691"/>
        <v>8403785</v>
      </c>
      <c r="DY575" s="608">
        <f t="shared" si="692"/>
        <v>0</v>
      </c>
      <c r="DZ575" s="607">
        <f t="shared" si="693"/>
        <v>8403785</v>
      </c>
      <c r="EA575" s="608">
        <f t="shared" si="694"/>
        <v>0</v>
      </c>
    </row>
    <row r="576" spans="1:131" x14ac:dyDescent="0.2">
      <c r="A576" s="483" t="s">
        <v>43</v>
      </c>
      <c r="B576" s="354" t="s">
        <v>499</v>
      </c>
      <c r="C576" s="585"/>
      <c r="D576" s="362">
        <v>227924</v>
      </c>
      <c r="E576" s="366">
        <v>8</v>
      </c>
      <c r="F576" s="598">
        <v>107</v>
      </c>
      <c r="G576" s="599">
        <v>90</v>
      </c>
      <c r="H576" s="600"/>
      <c r="I576" s="601">
        <v>11</v>
      </c>
      <c r="J576" s="600">
        <v>13</v>
      </c>
      <c r="K576" s="599">
        <v>0</v>
      </c>
      <c r="L576" s="600"/>
      <c r="M576" s="601">
        <v>0</v>
      </c>
      <c r="N576" s="600">
        <v>67</v>
      </c>
      <c r="O576" s="599">
        <v>51</v>
      </c>
      <c r="P576" s="600"/>
      <c r="Q576" s="601">
        <v>3</v>
      </c>
      <c r="R576" s="600">
        <v>7</v>
      </c>
      <c r="S576" s="599">
        <v>0</v>
      </c>
      <c r="T576" s="600"/>
      <c r="U576" s="601">
        <v>0</v>
      </c>
      <c r="V576" s="600">
        <v>96</v>
      </c>
      <c r="W576" s="599">
        <v>84</v>
      </c>
      <c r="X576" s="600"/>
      <c r="Y576" s="601">
        <v>7</v>
      </c>
      <c r="Z576" s="600">
        <v>6</v>
      </c>
      <c r="AA576" s="599">
        <v>0</v>
      </c>
      <c r="AB576" s="600"/>
      <c r="AC576" s="601">
        <v>0</v>
      </c>
      <c r="AD576" s="600">
        <v>67</v>
      </c>
      <c r="AE576" s="599">
        <v>82</v>
      </c>
      <c r="AF576" s="600"/>
      <c r="AG576" s="601">
        <v>2</v>
      </c>
      <c r="AH576" s="600">
        <v>5</v>
      </c>
      <c r="AI576" s="599">
        <v>0</v>
      </c>
      <c r="AJ576" s="600"/>
      <c r="AK576" s="601">
        <v>0</v>
      </c>
      <c r="AL576" s="600"/>
      <c r="AM576" s="599">
        <v>0</v>
      </c>
      <c r="AN576" s="600"/>
      <c r="AO576" s="601">
        <v>0</v>
      </c>
      <c r="AP576" s="600"/>
      <c r="AQ576" s="599">
        <v>0</v>
      </c>
      <c r="AR576" s="600"/>
      <c r="AS576" s="601">
        <v>0</v>
      </c>
      <c r="AT576" s="600"/>
      <c r="AU576" s="599">
        <v>0</v>
      </c>
      <c r="AV576" s="600"/>
      <c r="AW576" s="601">
        <v>0</v>
      </c>
      <c r="AX576" s="600"/>
      <c r="AY576" s="599">
        <v>0</v>
      </c>
      <c r="AZ576" s="600"/>
      <c r="BA576" s="601">
        <v>0</v>
      </c>
      <c r="BB576" s="602">
        <v>5964027</v>
      </c>
      <c r="BC576" s="599">
        <v>7479294</v>
      </c>
      <c r="BD576" s="600">
        <v>3733100</v>
      </c>
      <c r="BE576" s="599">
        <v>3391337</v>
      </c>
      <c r="BF576" s="600">
        <v>3844619</v>
      </c>
      <c r="BG576" s="599">
        <v>4426836</v>
      </c>
      <c r="BH576" s="600">
        <v>2471047</v>
      </c>
      <c r="BI576" s="599">
        <v>4580575</v>
      </c>
      <c r="BJ576" s="600">
        <v>0</v>
      </c>
      <c r="BK576" s="615">
        <v>0</v>
      </c>
      <c r="BL576" s="600">
        <v>0</v>
      </c>
      <c r="BM576" s="604">
        <v>0</v>
      </c>
      <c r="BN576" s="605">
        <f t="shared" si="629"/>
        <v>1106</v>
      </c>
      <c r="BO576" s="606">
        <f t="shared" si="630"/>
        <v>920</v>
      </c>
      <c r="BP576" s="607">
        <f t="shared" si="631"/>
        <v>680</v>
      </c>
      <c r="BQ576" s="606">
        <f t="shared" si="632"/>
        <v>489</v>
      </c>
      <c r="BR576" s="607">
        <f t="shared" si="633"/>
        <v>930</v>
      </c>
      <c r="BS576" s="606">
        <f t="shared" si="634"/>
        <v>826</v>
      </c>
      <c r="BT576" s="607">
        <f t="shared" si="635"/>
        <v>658</v>
      </c>
      <c r="BU576" s="606">
        <f t="shared" si="636"/>
        <v>758</v>
      </c>
      <c r="BV576" s="607">
        <f t="shared" si="637"/>
        <v>0</v>
      </c>
      <c r="BW576" s="608">
        <f t="shared" si="638"/>
        <v>0</v>
      </c>
      <c r="BX576" s="607">
        <f t="shared" si="639"/>
        <v>0</v>
      </c>
      <c r="BY576" s="608">
        <f t="shared" si="640"/>
        <v>0</v>
      </c>
      <c r="BZ576" s="607">
        <f t="shared" si="641"/>
        <v>5392.4294755877036</v>
      </c>
      <c r="CA576" s="608">
        <f t="shared" si="642"/>
        <v>8129.6673913043478</v>
      </c>
      <c r="CB576" s="607">
        <f t="shared" si="643"/>
        <v>5489.8529411764703</v>
      </c>
      <c r="CC576" s="608">
        <f t="shared" si="644"/>
        <v>6935.2494887525563</v>
      </c>
      <c r="CD576" s="607">
        <f t="shared" si="645"/>
        <v>4133.9989247311823</v>
      </c>
      <c r="CE576" s="608">
        <f t="shared" si="646"/>
        <v>5359.3656174334137</v>
      </c>
      <c r="CF576" s="607">
        <f t="shared" si="647"/>
        <v>3755.3905775075987</v>
      </c>
      <c r="CG576" s="608">
        <f t="shared" si="648"/>
        <v>6042.974934036939</v>
      </c>
      <c r="CH576" s="607">
        <f t="shared" si="649"/>
        <v>0</v>
      </c>
      <c r="CI576" s="608">
        <f t="shared" si="650"/>
        <v>0</v>
      </c>
      <c r="CJ576" s="607">
        <f t="shared" si="651"/>
        <v>0</v>
      </c>
      <c r="CK576" s="608">
        <f t="shared" si="652"/>
        <v>0</v>
      </c>
      <c r="CL576" s="609">
        <f t="shared" si="653"/>
        <v>48531.865280289334</v>
      </c>
      <c r="CM576" s="608">
        <f t="shared" si="654"/>
        <v>73167.006521739124</v>
      </c>
      <c r="CN576" s="610">
        <f t="shared" si="655"/>
        <v>49408.676470588231</v>
      </c>
      <c r="CO576" s="606">
        <f t="shared" si="656"/>
        <v>62417.245398773004</v>
      </c>
      <c r="CP576" s="607">
        <f t="shared" si="657"/>
        <v>37205.990322580641</v>
      </c>
      <c r="CQ576" s="606">
        <f t="shared" si="658"/>
        <v>48234.290556900727</v>
      </c>
      <c r="CR576" s="607">
        <f t="shared" si="659"/>
        <v>33798.515197568391</v>
      </c>
      <c r="CS576" s="606">
        <f t="shared" si="660"/>
        <v>54386.77440633245</v>
      </c>
      <c r="CT576" s="607">
        <f t="shared" si="661"/>
        <v>0</v>
      </c>
      <c r="CU576" s="608">
        <f t="shared" si="662"/>
        <v>0</v>
      </c>
      <c r="CV576" s="610">
        <f t="shared" si="663"/>
        <v>0</v>
      </c>
      <c r="CW576" s="608">
        <f t="shared" si="664"/>
        <v>0</v>
      </c>
      <c r="CX576" s="610">
        <f t="shared" si="665"/>
        <v>42686.331520615211</v>
      </c>
      <c r="CY576" s="611">
        <f t="shared" si="666"/>
        <v>59752.146669816015</v>
      </c>
      <c r="CZ576" s="605">
        <f t="shared" si="667"/>
        <v>120</v>
      </c>
      <c r="DA576" s="612">
        <f t="shared" si="668"/>
        <v>101</v>
      </c>
      <c r="DB576" s="607">
        <f t="shared" si="669"/>
        <v>74</v>
      </c>
      <c r="DC576" s="606">
        <f t="shared" si="670"/>
        <v>54</v>
      </c>
      <c r="DD576" s="607">
        <f t="shared" si="671"/>
        <v>102</v>
      </c>
      <c r="DE576" s="606">
        <f t="shared" si="672"/>
        <v>91</v>
      </c>
      <c r="DF576" s="607">
        <f t="shared" si="673"/>
        <v>72</v>
      </c>
      <c r="DG576" s="606">
        <f t="shared" si="674"/>
        <v>84</v>
      </c>
      <c r="DH576" s="607">
        <f t="shared" si="675"/>
        <v>0</v>
      </c>
      <c r="DI576" s="608">
        <f t="shared" si="676"/>
        <v>0</v>
      </c>
      <c r="DJ576" s="607">
        <f t="shared" si="677"/>
        <v>0</v>
      </c>
      <c r="DK576" s="608">
        <f t="shared" si="678"/>
        <v>0</v>
      </c>
      <c r="DL576" s="607">
        <f t="shared" si="679"/>
        <v>368</v>
      </c>
      <c r="DM576" s="608">
        <f t="shared" si="680"/>
        <v>330</v>
      </c>
      <c r="DN576" s="607">
        <f t="shared" si="681"/>
        <v>5823823.8336347202</v>
      </c>
      <c r="DO576" s="612">
        <f t="shared" si="682"/>
        <v>7389867.6586956512</v>
      </c>
      <c r="DP576" s="607">
        <f t="shared" si="683"/>
        <v>3656242.0588235292</v>
      </c>
      <c r="DQ576" s="606">
        <f t="shared" si="684"/>
        <v>3370531.2515337421</v>
      </c>
      <c r="DR576" s="607">
        <f t="shared" si="685"/>
        <v>3795011.0129032256</v>
      </c>
      <c r="DS576" s="606">
        <f t="shared" si="686"/>
        <v>4389320.440677966</v>
      </c>
      <c r="DT576" s="607">
        <f t="shared" si="687"/>
        <v>2433493.0942249242</v>
      </c>
      <c r="DU576" s="606">
        <f t="shared" si="688"/>
        <v>4568489.0501319254</v>
      </c>
      <c r="DV576" s="607">
        <f t="shared" si="689"/>
        <v>0</v>
      </c>
      <c r="DW576" s="608">
        <f t="shared" si="690"/>
        <v>0</v>
      </c>
      <c r="DX576" s="607">
        <f t="shared" si="691"/>
        <v>0</v>
      </c>
      <c r="DY576" s="608">
        <f t="shared" si="692"/>
        <v>0</v>
      </c>
      <c r="DZ576" s="607">
        <f t="shared" si="693"/>
        <v>15708569.999586398</v>
      </c>
      <c r="EA576" s="608">
        <f t="shared" si="694"/>
        <v>19718208.401039284</v>
      </c>
    </row>
    <row r="577" spans="1:131" x14ac:dyDescent="0.2">
      <c r="A577" s="353" t="s">
        <v>43</v>
      </c>
      <c r="B577" s="354" t="s">
        <v>500</v>
      </c>
      <c r="C577" s="585"/>
      <c r="D577" s="362">
        <v>227979</v>
      </c>
      <c r="E577" s="366">
        <v>8</v>
      </c>
      <c r="F577" s="598"/>
      <c r="G577" s="599">
        <v>0</v>
      </c>
      <c r="H577" s="600"/>
      <c r="I577" s="601">
        <v>0</v>
      </c>
      <c r="J577" s="600"/>
      <c r="K577" s="599">
        <v>0</v>
      </c>
      <c r="L577" s="600"/>
      <c r="M577" s="601">
        <v>0</v>
      </c>
      <c r="N577" s="600"/>
      <c r="O577" s="599">
        <v>0</v>
      </c>
      <c r="P577" s="600"/>
      <c r="Q577" s="601">
        <v>0</v>
      </c>
      <c r="R577" s="600"/>
      <c r="S577" s="599">
        <v>0</v>
      </c>
      <c r="T577" s="600"/>
      <c r="U577" s="601">
        <v>0</v>
      </c>
      <c r="V577" s="600"/>
      <c r="W577" s="599">
        <v>0</v>
      </c>
      <c r="X577" s="600"/>
      <c r="Y577" s="601">
        <v>0</v>
      </c>
      <c r="Z577" s="600"/>
      <c r="AA577" s="599">
        <v>0</v>
      </c>
      <c r="AB577" s="600"/>
      <c r="AC577" s="601">
        <v>0</v>
      </c>
      <c r="AD577" s="600"/>
      <c r="AE577" s="599">
        <v>0</v>
      </c>
      <c r="AF577" s="600"/>
      <c r="AG577" s="601">
        <v>0</v>
      </c>
      <c r="AH577" s="600"/>
      <c r="AI577" s="599">
        <v>0</v>
      </c>
      <c r="AJ577" s="600"/>
      <c r="AK577" s="601">
        <v>0</v>
      </c>
      <c r="AL577" s="600"/>
      <c r="AM577" s="599">
        <v>0</v>
      </c>
      <c r="AN577" s="600"/>
      <c r="AO577" s="601">
        <v>0</v>
      </c>
      <c r="AP577" s="600"/>
      <c r="AQ577" s="599">
        <v>0</v>
      </c>
      <c r="AR577" s="600"/>
      <c r="AS577" s="601">
        <v>0</v>
      </c>
      <c r="AT577" s="600">
        <v>374</v>
      </c>
      <c r="AU577" s="599">
        <v>361</v>
      </c>
      <c r="AV577" s="600"/>
      <c r="AW577" s="601">
        <v>12</v>
      </c>
      <c r="AX577" s="600">
        <v>92</v>
      </c>
      <c r="AY577" s="599">
        <v>0</v>
      </c>
      <c r="AZ577" s="600"/>
      <c r="BA577" s="601">
        <v>48</v>
      </c>
      <c r="BB577" s="602">
        <v>0</v>
      </c>
      <c r="BC577" s="599">
        <v>0</v>
      </c>
      <c r="BD577" s="600">
        <v>0</v>
      </c>
      <c r="BE577" s="599">
        <v>0</v>
      </c>
      <c r="BF577" s="600">
        <v>0</v>
      </c>
      <c r="BG577" s="599">
        <v>0</v>
      </c>
      <c r="BH577" s="600">
        <v>0</v>
      </c>
      <c r="BI577" s="599">
        <v>0</v>
      </c>
      <c r="BJ577" s="600">
        <v>0</v>
      </c>
      <c r="BK577" s="615">
        <v>0</v>
      </c>
      <c r="BL577" s="600">
        <v>28067522</v>
      </c>
      <c r="BM577" s="604">
        <v>27463967</v>
      </c>
      <c r="BN577" s="605">
        <f t="shared" si="629"/>
        <v>0</v>
      </c>
      <c r="BO577" s="606">
        <f t="shared" si="630"/>
        <v>0</v>
      </c>
      <c r="BP577" s="607">
        <f t="shared" si="631"/>
        <v>0</v>
      </c>
      <c r="BQ577" s="606">
        <f t="shared" si="632"/>
        <v>0</v>
      </c>
      <c r="BR577" s="607">
        <f t="shared" si="633"/>
        <v>0</v>
      </c>
      <c r="BS577" s="606">
        <f t="shared" si="634"/>
        <v>0</v>
      </c>
      <c r="BT577" s="607">
        <f t="shared" si="635"/>
        <v>0</v>
      </c>
      <c r="BU577" s="606">
        <f t="shared" si="636"/>
        <v>0</v>
      </c>
      <c r="BV577" s="607">
        <f t="shared" si="637"/>
        <v>0</v>
      </c>
      <c r="BW577" s="608">
        <f t="shared" si="638"/>
        <v>0</v>
      </c>
      <c r="BX577" s="607">
        <f t="shared" si="639"/>
        <v>4378</v>
      </c>
      <c r="BY577" s="608">
        <f t="shared" si="640"/>
        <v>3945</v>
      </c>
      <c r="BZ577" s="607">
        <f t="shared" si="641"/>
        <v>0</v>
      </c>
      <c r="CA577" s="608">
        <f t="shared" si="642"/>
        <v>0</v>
      </c>
      <c r="CB577" s="607">
        <f t="shared" si="643"/>
        <v>0</v>
      </c>
      <c r="CC577" s="608">
        <f t="shared" si="644"/>
        <v>0</v>
      </c>
      <c r="CD577" s="607">
        <f t="shared" si="645"/>
        <v>0</v>
      </c>
      <c r="CE577" s="608">
        <f t="shared" si="646"/>
        <v>0</v>
      </c>
      <c r="CF577" s="607">
        <f t="shared" si="647"/>
        <v>0</v>
      </c>
      <c r="CG577" s="608">
        <f t="shared" si="648"/>
        <v>0</v>
      </c>
      <c r="CH577" s="607">
        <f t="shared" si="649"/>
        <v>0</v>
      </c>
      <c r="CI577" s="608">
        <f t="shared" si="650"/>
        <v>0</v>
      </c>
      <c r="CJ577" s="607">
        <f t="shared" si="651"/>
        <v>6411.0374600274099</v>
      </c>
      <c r="CK577" s="608">
        <f t="shared" si="652"/>
        <v>6961.7153358681871</v>
      </c>
      <c r="CL577" s="609">
        <f t="shared" si="653"/>
        <v>0</v>
      </c>
      <c r="CM577" s="608">
        <f t="shared" si="654"/>
        <v>0</v>
      </c>
      <c r="CN577" s="610">
        <f t="shared" si="655"/>
        <v>0</v>
      </c>
      <c r="CO577" s="606">
        <f t="shared" si="656"/>
        <v>0</v>
      </c>
      <c r="CP577" s="607">
        <f t="shared" si="657"/>
        <v>0</v>
      </c>
      <c r="CQ577" s="606">
        <f t="shared" si="658"/>
        <v>0</v>
      </c>
      <c r="CR577" s="607">
        <f t="shared" si="659"/>
        <v>0</v>
      </c>
      <c r="CS577" s="606">
        <f t="shared" si="660"/>
        <v>0</v>
      </c>
      <c r="CT577" s="607">
        <f t="shared" si="661"/>
        <v>0</v>
      </c>
      <c r="CU577" s="608">
        <f t="shared" si="662"/>
        <v>0</v>
      </c>
      <c r="CV577" s="610">
        <f t="shared" si="663"/>
        <v>57699.337140246687</v>
      </c>
      <c r="CW577" s="608">
        <f t="shared" si="664"/>
        <v>62655.438022813687</v>
      </c>
      <c r="CX577" s="610">
        <f t="shared" si="665"/>
        <v>57699.337140246687</v>
      </c>
      <c r="CY577" s="611">
        <f t="shared" si="666"/>
        <v>62655.438022813694</v>
      </c>
      <c r="CZ577" s="605">
        <f t="shared" si="667"/>
        <v>0</v>
      </c>
      <c r="DA577" s="612">
        <f t="shared" si="668"/>
        <v>0</v>
      </c>
      <c r="DB577" s="607">
        <f t="shared" si="669"/>
        <v>0</v>
      </c>
      <c r="DC577" s="606">
        <f t="shared" si="670"/>
        <v>0</v>
      </c>
      <c r="DD577" s="607">
        <f t="shared" si="671"/>
        <v>0</v>
      </c>
      <c r="DE577" s="606">
        <f t="shared" si="672"/>
        <v>0</v>
      </c>
      <c r="DF577" s="607">
        <f t="shared" si="673"/>
        <v>0</v>
      </c>
      <c r="DG577" s="606">
        <f t="shared" si="674"/>
        <v>0</v>
      </c>
      <c r="DH577" s="607">
        <f t="shared" si="675"/>
        <v>0</v>
      </c>
      <c r="DI577" s="608">
        <f t="shared" si="676"/>
        <v>0</v>
      </c>
      <c r="DJ577" s="607">
        <f t="shared" si="677"/>
        <v>466</v>
      </c>
      <c r="DK577" s="608">
        <f t="shared" si="678"/>
        <v>421</v>
      </c>
      <c r="DL577" s="607">
        <f t="shared" si="679"/>
        <v>466</v>
      </c>
      <c r="DM577" s="608">
        <f t="shared" si="680"/>
        <v>421</v>
      </c>
      <c r="DN577" s="607">
        <f t="shared" si="681"/>
        <v>0</v>
      </c>
      <c r="DO577" s="612">
        <f t="shared" si="682"/>
        <v>0</v>
      </c>
      <c r="DP577" s="607">
        <f t="shared" si="683"/>
        <v>0</v>
      </c>
      <c r="DQ577" s="606">
        <f t="shared" si="684"/>
        <v>0</v>
      </c>
      <c r="DR577" s="607">
        <f t="shared" si="685"/>
        <v>0</v>
      </c>
      <c r="DS577" s="606">
        <f t="shared" si="686"/>
        <v>0</v>
      </c>
      <c r="DT577" s="607">
        <f t="shared" si="687"/>
        <v>0</v>
      </c>
      <c r="DU577" s="606">
        <f t="shared" si="688"/>
        <v>0</v>
      </c>
      <c r="DV577" s="607">
        <f t="shared" si="689"/>
        <v>0</v>
      </c>
      <c r="DW577" s="608">
        <f t="shared" si="690"/>
        <v>0</v>
      </c>
      <c r="DX577" s="607">
        <f t="shared" si="691"/>
        <v>26887891.107354958</v>
      </c>
      <c r="DY577" s="608">
        <f t="shared" si="692"/>
        <v>26377939.407604564</v>
      </c>
      <c r="DZ577" s="607">
        <f t="shared" si="693"/>
        <v>26887891.107354958</v>
      </c>
      <c r="EA577" s="608">
        <f t="shared" si="694"/>
        <v>26377939.407604564</v>
      </c>
    </row>
    <row r="578" spans="1:131" x14ac:dyDescent="0.2">
      <c r="A578" s="483" t="s">
        <v>43</v>
      </c>
      <c r="B578" s="354" t="s">
        <v>501</v>
      </c>
      <c r="C578" s="585"/>
      <c r="D578" s="362">
        <v>228158</v>
      </c>
      <c r="E578" s="366">
        <v>8</v>
      </c>
      <c r="F578" s="598">
        <v>59</v>
      </c>
      <c r="G578" s="599">
        <v>47</v>
      </c>
      <c r="H578" s="600"/>
      <c r="I578" s="601">
        <v>0</v>
      </c>
      <c r="J578" s="600"/>
      <c r="K578" s="599">
        <v>0</v>
      </c>
      <c r="L578" s="600"/>
      <c r="M578" s="601">
        <v>1</v>
      </c>
      <c r="N578" s="600">
        <v>39</v>
      </c>
      <c r="O578" s="599">
        <v>30</v>
      </c>
      <c r="P578" s="600"/>
      <c r="Q578" s="601">
        <v>0</v>
      </c>
      <c r="R578" s="600">
        <v>1</v>
      </c>
      <c r="S578" s="599">
        <v>0</v>
      </c>
      <c r="T578" s="600"/>
      <c r="U578" s="601">
        <v>0</v>
      </c>
      <c r="V578" s="600">
        <v>92</v>
      </c>
      <c r="W578" s="599">
        <v>94</v>
      </c>
      <c r="X578" s="600"/>
      <c r="Y578" s="601">
        <v>1</v>
      </c>
      <c r="Z578" s="600">
        <v>2</v>
      </c>
      <c r="AA578" s="599">
        <v>0</v>
      </c>
      <c r="AB578" s="600"/>
      <c r="AC578" s="601">
        <v>1</v>
      </c>
      <c r="AD578" s="600">
        <v>63</v>
      </c>
      <c r="AE578" s="599">
        <v>80</v>
      </c>
      <c r="AF578" s="600"/>
      <c r="AG578" s="601">
        <v>0</v>
      </c>
      <c r="AH578" s="600">
        <v>28</v>
      </c>
      <c r="AI578" s="599">
        <v>0</v>
      </c>
      <c r="AJ578" s="600"/>
      <c r="AK578" s="601">
        <v>29</v>
      </c>
      <c r="AL578" s="600"/>
      <c r="AM578" s="599">
        <v>0</v>
      </c>
      <c r="AN578" s="600"/>
      <c r="AO578" s="601">
        <v>0</v>
      </c>
      <c r="AP578" s="600"/>
      <c r="AQ578" s="599">
        <v>0</v>
      </c>
      <c r="AR578" s="600"/>
      <c r="AS578" s="601">
        <v>0</v>
      </c>
      <c r="AT578" s="600"/>
      <c r="AU578" s="599">
        <v>0</v>
      </c>
      <c r="AV578" s="600"/>
      <c r="AW578" s="601">
        <v>0</v>
      </c>
      <c r="AX578" s="600"/>
      <c r="AY578" s="599">
        <v>0</v>
      </c>
      <c r="AZ578" s="600"/>
      <c r="BA578" s="601">
        <v>0</v>
      </c>
      <c r="BB578" s="602">
        <v>3366104</v>
      </c>
      <c r="BC578" s="599">
        <v>3595653</v>
      </c>
      <c r="BD578" s="600">
        <v>1979187</v>
      </c>
      <c r="BE578" s="599">
        <v>1624007</v>
      </c>
      <c r="BF578" s="600">
        <v>4165658</v>
      </c>
      <c r="BG578" s="599">
        <v>3280116</v>
      </c>
      <c r="BH578" s="600">
        <v>3935869</v>
      </c>
      <c r="BI578" s="599">
        <v>4007472</v>
      </c>
      <c r="BJ578" s="600">
        <v>0</v>
      </c>
      <c r="BK578" s="615">
        <v>0</v>
      </c>
      <c r="BL578" s="600">
        <v>0</v>
      </c>
      <c r="BM578" s="604">
        <v>0</v>
      </c>
      <c r="BN578" s="605">
        <f t="shared" si="629"/>
        <v>531</v>
      </c>
      <c r="BO578" s="606">
        <f t="shared" si="630"/>
        <v>435</v>
      </c>
      <c r="BP578" s="607">
        <f t="shared" si="631"/>
        <v>362</v>
      </c>
      <c r="BQ578" s="606">
        <f t="shared" si="632"/>
        <v>270</v>
      </c>
      <c r="BR578" s="607">
        <f t="shared" si="633"/>
        <v>850</v>
      </c>
      <c r="BS578" s="606">
        <f t="shared" si="634"/>
        <v>868</v>
      </c>
      <c r="BT578" s="607">
        <f t="shared" si="635"/>
        <v>875</v>
      </c>
      <c r="BU578" s="606">
        <f t="shared" si="636"/>
        <v>1068</v>
      </c>
      <c r="BV578" s="607">
        <f t="shared" si="637"/>
        <v>0</v>
      </c>
      <c r="BW578" s="608">
        <f t="shared" si="638"/>
        <v>0</v>
      </c>
      <c r="BX578" s="607">
        <f t="shared" si="639"/>
        <v>0</v>
      </c>
      <c r="BY578" s="608">
        <f t="shared" si="640"/>
        <v>0</v>
      </c>
      <c r="BZ578" s="607">
        <f t="shared" si="641"/>
        <v>6339.1789077212807</v>
      </c>
      <c r="CA578" s="608">
        <f t="shared" si="642"/>
        <v>8265.868965517242</v>
      </c>
      <c r="CB578" s="607">
        <f t="shared" si="643"/>
        <v>5467.3674033149173</v>
      </c>
      <c r="CC578" s="608">
        <f t="shared" si="644"/>
        <v>6014.8407407407403</v>
      </c>
      <c r="CD578" s="607">
        <f t="shared" si="645"/>
        <v>4900.774117647059</v>
      </c>
      <c r="CE578" s="608">
        <f t="shared" si="646"/>
        <v>3778.9354838709678</v>
      </c>
      <c r="CF578" s="607">
        <f t="shared" si="647"/>
        <v>4498.1360000000004</v>
      </c>
      <c r="CG578" s="608">
        <f t="shared" si="648"/>
        <v>3752.3146067415732</v>
      </c>
      <c r="CH578" s="607">
        <f t="shared" si="649"/>
        <v>0</v>
      </c>
      <c r="CI578" s="608">
        <f t="shared" si="650"/>
        <v>0</v>
      </c>
      <c r="CJ578" s="607">
        <f t="shared" si="651"/>
        <v>0</v>
      </c>
      <c r="CK578" s="608">
        <f t="shared" si="652"/>
        <v>0</v>
      </c>
      <c r="CL578" s="609">
        <f t="shared" si="653"/>
        <v>57052.610169491527</v>
      </c>
      <c r="CM578" s="608">
        <f t="shared" si="654"/>
        <v>74392.820689655171</v>
      </c>
      <c r="CN578" s="610">
        <f t="shared" si="655"/>
        <v>49206.306629834253</v>
      </c>
      <c r="CO578" s="606">
        <f t="shared" si="656"/>
        <v>54133.566666666666</v>
      </c>
      <c r="CP578" s="607">
        <f t="shared" si="657"/>
        <v>44106.967058823531</v>
      </c>
      <c r="CQ578" s="606">
        <f t="shared" si="658"/>
        <v>34010.419354838712</v>
      </c>
      <c r="CR578" s="607">
        <f t="shared" si="659"/>
        <v>40483.224000000002</v>
      </c>
      <c r="CS578" s="606">
        <f t="shared" si="660"/>
        <v>33770.831460674162</v>
      </c>
      <c r="CT578" s="607">
        <f t="shared" si="661"/>
        <v>0</v>
      </c>
      <c r="CU578" s="608">
        <f t="shared" si="662"/>
        <v>0</v>
      </c>
      <c r="CV578" s="610">
        <f t="shared" si="663"/>
        <v>0</v>
      </c>
      <c r="CW578" s="608">
        <f t="shared" si="664"/>
        <v>0</v>
      </c>
      <c r="CX578" s="610">
        <f t="shared" si="665"/>
        <v>46353.466734939371</v>
      </c>
      <c r="CY578" s="611">
        <f t="shared" si="666"/>
        <v>42900.647633856708</v>
      </c>
      <c r="CZ578" s="605">
        <f t="shared" si="667"/>
        <v>59</v>
      </c>
      <c r="DA578" s="612">
        <f t="shared" si="668"/>
        <v>48</v>
      </c>
      <c r="DB578" s="607">
        <f t="shared" si="669"/>
        <v>40</v>
      </c>
      <c r="DC578" s="606">
        <f t="shared" si="670"/>
        <v>30</v>
      </c>
      <c r="DD578" s="607">
        <f t="shared" si="671"/>
        <v>94</v>
      </c>
      <c r="DE578" s="606">
        <f t="shared" si="672"/>
        <v>96</v>
      </c>
      <c r="DF578" s="607">
        <f t="shared" si="673"/>
        <v>91</v>
      </c>
      <c r="DG578" s="606">
        <f t="shared" si="674"/>
        <v>109</v>
      </c>
      <c r="DH578" s="607">
        <f t="shared" si="675"/>
        <v>0</v>
      </c>
      <c r="DI578" s="608">
        <f t="shared" si="676"/>
        <v>0</v>
      </c>
      <c r="DJ578" s="607">
        <f t="shared" si="677"/>
        <v>0</v>
      </c>
      <c r="DK578" s="608">
        <f t="shared" si="678"/>
        <v>0</v>
      </c>
      <c r="DL578" s="607">
        <f t="shared" si="679"/>
        <v>284</v>
      </c>
      <c r="DM578" s="608">
        <f t="shared" si="680"/>
        <v>283</v>
      </c>
      <c r="DN578" s="607">
        <f t="shared" si="681"/>
        <v>3366104</v>
      </c>
      <c r="DO578" s="612">
        <f t="shared" si="682"/>
        <v>3570855.3931034482</v>
      </c>
      <c r="DP578" s="607">
        <f t="shared" si="683"/>
        <v>1968252.2651933702</v>
      </c>
      <c r="DQ578" s="606">
        <f t="shared" si="684"/>
        <v>1624007</v>
      </c>
      <c r="DR578" s="607">
        <f t="shared" si="685"/>
        <v>4146054.9035294121</v>
      </c>
      <c r="DS578" s="606">
        <f t="shared" si="686"/>
        <v>3265000.2580645164</v>
      </c>
      <c r="DT578" s="607">
        <f t="shared" si="687"/>
        <v>3683973.3840000001</v>
      </c>
      <c r="DU578" s="606">
        <f t="shared" si="688"/>
        <v>3681020.6292134835</v>
      </c>
      <c r="DV578" s="607">
        <f t="shared" si="689"/>
        <v>0</v>
      </c>
      <c r="DW578" s="608">
        <f t="shared" si="690"/>
        <v>0</v>
      </c>
      <c r="DX578" s="607">
        <f t="shared" si="691"/>
        <v>0</v>
      </c>
      <c r="DY578" s="608">
        <f t="shared" si="692"/>
        <v>0</v>
      </c>
      <c r="DZ578" s="607">
        <f t="shared" si="693"/>
        <v>13164384.552722782</v>
      </c>
      <c r="EA578" s="608">
        <f t="shared" si="694"/>
        <v>12140883.280381449</v>
      </c>
    </row>
    <row r="579" spans="1:131" x14ac:dyDescent="0.2">
      <c r="A579" s="483" t="s">
        <v>43</v>
      </c>
      <c r="B579" s="354" t="s">
        <v>502</v>
      </c>
      <c r="C579" s="585"/>
      <c r="D579" s="362">
        <v>227854</v>
      </c>
      <c r="E579" s="366">
        <v>8</v>
      </c>
      <c r="F579" s="598">
        <v>19</v>
      </c>
      <c r="G579" s="599">
        <v>17</v>
      </c>
      <c r="H579" s="600"/>
      <c r="I579" s="601">
        <v>3</v>
      </c>
      <c r="J579" s="600">
        <v>3</v>
      </c>
      <c r="K579" s="599">
        <v>0</v>
      </c>
      <c r="L579" s="600"/>
      <c r="M579" s="601">
        <v>0</v>
      </c>
      <c r="N579" s="600">
        <v>19</v>
      </c>
      <c r="O579" s="599">
        <v>15</v>
      </c>
      <c r="P579" s="600"/>
      <c r="Q579" s="601">
        <v>3</v>
      </c>
      <c r="R579" s="600">
        <v>2</v>
      </c>
      <c r="S579" s="599">
        <v>0</v>
      </c>
      <c r="T579" s="600"/>
      <c r="U579" s="601">
        <v>1</v>
      </c>
      <c r="V579" s="600">
        <v>33</v>
      </c>
      <c r="W579" s="599">
        <v>31</v>
      </c>
      <c r="X579" s="600"/>
      <c r="Y579" s="601">
        <v>4</v>
      </c>
      <c r="Z579" s="600">
        <v>13</v>
      </c>
      <c r="AA579" s="599">
        <v>0</v>
      </c>
      <c r="AB579" s="600"/>
      <c r="AC579" s="601">
        <v>1</v>
      </c>
      <c r="AD579" s="600">
        <v>82</v>
      </c>
      <c r="AE579" s="599">
        <v>67</v>
      </c>
      <c r="AF579" s="600"/>
      <c r="AG579" s="601">
        <v>1</v>
      </c>
      <c r="AH579" s="600">
        <v>19</v>
      </c>
      <c r="AI579" s="599">
        <v>0</v>
      </c>
      <c r="AJ579" s="600"/>
      <c r="AK579" s="601">
        <v>30</v>
      </c>
      <c r="AL579" s="600"/>
      <c r="AM579" s="599">
        <v>0</v>
      </c>
      <c r="AN579" s="600"/>
      <c r="AO579" s="601">
        <v>0</v>
      </c>
      <c r="AP579" s="600"/>
      <c r="AQ579" s="599">
        <v>0</v>
      </c>
      <c r="AR579" s="600"/>
      <c r="AS579" s="601">
        <v>0</v>
      </c>
      <c r="AT579" s="600"/>
      <c r="AU579" s="599">
        <v>0</v>
      </c>
      <c r="AV579" s="600"/>
      <c r="AW579" s="601">
        <v>0</v>
      </c>
      <c r="AX579" s="600"/>
      <c r="AY579" s="599">
        <v>0</v>
      </c>
      <c r="AZ579" s="600"/>
      <c r="BA579" s="601">
        <v>0</v>
      </c>
      <c r="BB579" s="602">
        <v>1460617</v>
      </c>
      <c r="BC579" s="599">
        <v>1432857</v>
      </c>
      <c r="BD579" s="600">
        <v>1188668</v>
      </c>
      <c r="BE579" s="599">
        <v>1242562</v>
      </c>
      <c r="BF579" s="600">
        <v>2364781</v>
      </c>
      <c r="BG579" s="599">
        <v>2025520</v>
      </c>
      <c r="BH579" s="600">
        <v>3594941</v>
      </c>
      <c r="BI579" s="599">
        <v>5428633</v>
      </c>
      <c r="BJ579" s="600">
        <v>0</v>
      </c>
      <c r="BK579" s="615">
        <v>0</v>
      </c>
      <c r="BL579" s="600">
        <v>0</v>
      </c>
      <c r="BM579" s="604">
        <v>0</v>
      </c>
      <c r="BN579" s="605">
        <f t="shared" si="629"/>
        <v>204</v>
      </c>
      <c r="BO579" s="606">
        <f t="shared" si="630"/>
        <v>183</v>
      </c>
      <c r="BP579" s="607">
        <f t="shared" si="631"/>
        <v>193</v>
      </c>
      <c r="BQ579" s="606">
        <f t="shared" si="632"/>
        <v>177</v>
      </c>
      <c r="BR579" s="607">
        <f t="shared" si="633"/>
        <v>440</v>
      </c>
      <c r="BS579" s="606">
        <f t="shared" si="634"/>
        <v>331</v>
      </c>
      <c r="BT579" s="607">
        <f t="shared" si="635"/>
        <v>947</v>
      </c>
      <c r="BU579" s="606">
        <f t="shared" si="636"/>
        <v>973</v>
      </c>
      <c r="BV579" s="607">
        <f t="shared" si="637"/>
        <v>0</v>
      </c>
      <c r="BW579" s="608">
        <f t="shared" si="638"/>
        <v>0</v>
      </c>
      <c r="BX579" s="607">
        <f t="shared" si="639"/>
        <v>0</v>
      </c>
      <c r="BY579" s="608">
        <f t="shared" si="640"/>
        <v>0</v>
      </c>
      <c r="BZ579" s="607">
        <f t="shared" si="641"/>
        <v>7159.8872549019607</v>
      </c>
      <c r="CA579" s="608">
        <f t="shared" si="642"/>
        <v>7829.8196721311479</v>
      </c>
      <c r="CB579" s="607">
        <f t="shared" si="643"/>
        <v>6158.9015544041449</v>
      </c>
      <c r="CC579" s="608">
        <f t="shared" si="644"/>
        <v>7020.1242937853103</v>
      </c>
      <c r="CD579" s="607">
        <f t="shared" si="645"/>
        <v>5374.5022727272726</v>
      </c>
      <c r="CE579" s="608">
        <f t="shared" si="646"/>
        <v>6119.395770392749</v>
      </c>
      <c r="CF579" s="607">
        <f t="shared" si="647"/>
        <v>3796.1362196409714</v>
      </c>
      <c r="CG579" s="608">
        <f t="shared" si="648"/>
        <v>5579.2733812949637</v>
      </c>
      <c r="CH579" s="607">
        <f t="shared" si="649"/>
        <v>0</v>
      </c>
      <c r="CI579" s="608">
        <f t="shared" si="650"/>
        <v>0</v>
      </c>
      <c r="CJ579" s="607">
        <f t="shared" si="651"/>
        <v>0</v>
      </c>
      <c r="CK579" s="608">
        <f t="shared" si="652"/>
        <v>0</v>
      </c>
      <c r="CL579" s="609">
        <f t="shared" si="653"/>
        <v>64438.985294117643</v>
      </c>
      <c r="CM579" s="608">
        <f t="shared" si="654"/>
        <v>70468.37704918033</v>
      </c>
      <c r="CN579" s="610">
        <f t="shared" si="655"/>
        <v>55430.113989637306</v>
      </c>
      <c r="CO579" s="606">
        <f t="shared" si="656"/>
        <v>63181.118644067792</v>
      </c>
      <c r="CP579" s="607">
        <f t="shared" si="657"/>
        <v>48370.520454545454</v>
      </c>
      <c r="CQ579" s="606">
        <f t="shared" si="658"/>
        <v>55074.561933534744</v>
      </c>
      <c r="CR579" s="607">
        <f t="shared" si="659"/>
        <v>34165.225976768743</v>
      </c>
      <c r="CS579" s="606">
        <f t="shared" si="660"/>
        <v>50213.460431654676</v>
      </c>
      <c r="CT579" s="607">
        <f t="shared" si="661"/>
        <v>0</v>
      </c>
      <c r="CU579" s="608">
        <f t="shared" si="662"/>
        <v>0</v>
      </c>
      <c r="CV579" s="610">
        <f t="shared" si="663"/>
        <v>0</v>
      </c>
      <c r="CW579" s="608">
        <f t="shared" si="664"/>
        <v>0</v>
      </c>
      <c r="CX579" s="610">
        <f t="shared" si="665"/>
        <v>43460.114920082662</v>
      </c>
      <c r="CY579" s="611">
        <f t="shared" si="666"/>
        <v>54990.821659712732</v>
      </c>
      <c r="CZ579" s="605">
        <f t="shared" si="667"/>
        <v>22</v>
      </c>
      <c r="DA579" s="612">
        <f t="shared" si="668"/>
        <v>20</v>
      </c>
      <c r="DB579" s="607">
        <f t="shared" si="669"/>
        <v>21</v>
      </c>
      <c r="DC579" s="606">
        <f t="shared" si="670"/>
        <v>19</v>
      </c>
      <c r="DD579" s="607">
        <f t="shared" si="671"/>
        <v>46</v>
      </c>
      <c r="DE579" s="606">
        <f t="shared" si="672"/>
        <v>36</v>
      </c>
      <c r="DF579" s="607">
        <f t="shared" si="673"/>
        <v>101</v>
      </c>
      <c r="DG579" s="606">
        <f t="shared" si="674"/>
        <v>98</v>
      </c>
      <c r="DH579" s="607">
        <f t="shared" si="675"/>
        <v>0</v>
      </c>
      <c r="DI579" s="608">
        <f t="shared" si="676"/>
        <v>0</v>
      </c>
      <c r="DJ579" s="607">
        <f t="shared" si="677"/>
        <v>0</v>
      </c>
      <c r="DK579" s="608">
        <f t="shared" si="678"/>
        <v>0</v>
      </c>
      <c r="DL579" s="607">
        <f t="shared" si="679"/>
        <v>190</v>
      </c>
      <c r="DM579" s="608">
        <f t="shared" si="680"/>
        <v>173</v>
      </c>
      <c r="DN579" s="607">
        <f t="shared" si="681"/>
        <v>1417657.6764705882</v>
      </c>
      <c r="DO579" s="612">
        <f t="shared" si="682"/>
        <v>1409367.5409836066</v>
      </c>
      <c r="DP579" s="607">
        <f t="shared" si="683"/>
        <v>1164032.3937823835</v>
      </c>
      <c r="DQ579" s="606">
        <f t="shared" si="684"/>
        <v>1200441.2542372881</v>
      </c>
      <c r="DR579" s="607">
        <f t="shared" si="685"/>
        <v>2225043.9409090909</v>
      </c>
      <c r="DS579" s="606">
        <f t="shared" si="686"/>
        <v>1982684.2296072508</v>
      </c>
      <c r="DT579" s="607">
        <f t="shared" si="687"/>
        <v>3450687.823653643</v>
      </c>
      <c r="DU579" s="606">
        <f t="shared" si="688"/>
        <v>4920919.1223021578</v>
      </c>
      <c r="DV579" s="607">
        <f t="shared" si="689"/>
        <v>0</v>
      </c>
      <c r="DW579" s="608">
        <f t="shared" si="690"/>
        <v>0</v>
      </c>
      <c r="DX579" s="607">
        <f t="shared" si="691"/>
        <v>0</v>
      </c>
      <c r="DY579" s="608">
        <f t="shared" si="692"/>
        <v>0</v>
      </c>
      <c r="DZ579" s="607">
        <f t="shared" si="693"/>
        <v>8257421.8348157061</v>
      </c>
      <c r="EA579" s="608">
        <f t="shared" si="694"/>
        <v>9513412.1471303031</v>
      </c>
    </row>
    <row r="580" spans="1:131" x14ac:dyDescent="0.2">
      <c r="A580" s="483" t="s">
        <v>43</v>
      </c>
      <c r="B580" s="354" t="s">
        <v>503</v>
      </c>
      <c r="C580" s="585"/>
      <c r="D580" s="362">
        <v>228547</v>
      </c>
      <c r="E580" s="366">
        <v>8</v>
      </c>
      <c r="F580" s="598">
        <v>77</v>
      </c>
      <c r="G580" s="599">
        <v>80</v>
      </c>
      <c r="H580" s="600"/>
      <c r="I580" s="601">
        <v>0</v>
      </c>
      <c r="J580" s="600"/>
      <c r="K580" s="599">
        <v>0</v>
      </c>
      <c r="L580" s="600"/>
      <c r="M580" s="601">
        <v>0</v>
      </c>
      <c r="N580" s="600">
        <v>133</v>
      </c>
      <c r="O580" s="599">
        <v>132</v>
      </c>
      <c r="P580" s="600"/>
      <c r="Q580" s="601">
        <v>0</v>
      </c>
      <c r="R580" s="600">
        <v>10</v>
      </c>
      <c r="S580" s="599">
        <v>0</v>
      </c>
      <c r="T580" s="600"/>
      <c r="U580" s="601">
        <v>10</v>
      </c>
      <c r="V580" s="600">
        <v>158</v>
      </c>
      <c r="W580" s="599">
        <v>158</v>
      </c>
      <c r="X580" s="600"/>
      <c r="Y580" s="601">
        <v>0</v>
      </c>
      <c r="Z580" s="600">
        <v>9</v>
      </c>
      <c r="AA580" s="599">
        <v>0</v>
      </c>
      <c r="AB580" s="600"/>
      <c r="AC580" s="601">
        <v>8</v>
      </c>
      <c r="AD580" s="600">
        <v>255</v>
      </c>
      <c r="AE580" s="599">
        <v>256</v>
      </c>
      <c r="AF580" s="600"/>
      <c r="AG580" s="601">
        <v>0</v>
      </c>
      <c r="AH580" s="600">
        <v>2</v>
      </c>
      <c r="AI580" s="599">
        <v>0</v>
      </c>
      <c r="AJ580" s="600"/>
      <c r="AK580" s="601">
        <v>1</v>
      </c>
      <c r="AL580" s="600"/>
      <c r="AM580" s="599">
        <v>0</v>
      </c>
      <c r="AN580" s="600"/>
      <c r="AO580" s="601">
        <v>0</v>
      </c>
      <c r="AP580" s="600"/>
      <c r="AQ580" s="599">
        <v>0</v>
      </c>
      <c r="AR580" s="600"/>
      <c r="AS580" s="601">
        <v>0</v>
      </c>
      <c r="AT580" s="600"/>
      <c r="AU580" s="599">
        <v>0</v>
      </c>
      <c r="AV580" s="600"/>
      <c r="AW580" s="601">
        <v>0</v>
      </c>
      <c r="AX580" s="600"/>
      <c r="AY580" s="599">
        <v>0</v>
      </c>
      <c r="AZ580" s="600"/>
      <c r="BA580" s="601">
        <v>0</v>
      </c>
      <c r="BB580" s="602">
        <v>5194795</v>
      </c>
      <c r="BC580" s="599">
        <v>5433223</v>
      </c>
      <c r="BD580" s="600">
        <v>8998474</v>
      </c>
      <c r="BE580" s="599">
        <v>9164815</v>
      </c>
      <c r="BF580" s="600">
        <v>10234939</v>
      </c>
      <c r="BG580" s="599">
        <v>10543749</v>
      </c>
      <c r="BH580" s="600">
        <v>13849942</v>
      </c>
      <c r="BI580" s="599">
        <v>14453228</v>
      </c>
      <c r="BJ580" s="600">
        <v>0</v>
      </c>
      <c r="BK580" s="615">
        <v>0</v>
      </c>
      <c r="BL580" s="600">
        <v>0</v>
      </c>
      <c r="BM580" s="604">
        <v>0</v>
      </c>
      <c r="BN580" s="605">
        <f t="shared" si="629"/>
        <v>693</v>
      </c>
      <c r="BO580" s="606">
        <f t="shared" si="630"/>
        <v>720</v>
      </c>
      <c r="BP580" s="607">
        <f t="shared" si="631"/>
        <v>1307</v>
      </c>
      <c r="BQ580" s="606">
        <f t="shared" si="632"/>
        <v>1308</v>
      </c>
      <c r="BR580" s="607">
        <f t="shared" si="633"/>
        <v>1521</v>
      </c>
      <c r="BS580" s="606">
        <f t="shared" si="634"/>
        <v>1518</v>
      </c>
      <c r="BT580" s="607">
        <f t="shared" si="635"/>
        <v>2317</v>
      </c>
      <c r="BU580" s="606">
        <f t="shared" si="636"/>
        <v>2316</v>
      </c>
      <c r="BV580" s="607">
        <f t="shared" si="637"/>
        <v>0</v>
      </c>
      <c r="BW580" s="608">
        <f t="shared" si="638"/>
        <v>0</v>
      </c>
      <c r="BX580" s="607">
        <f t="shared" si="639"/>
        <v>0</v>
      </c>
      <c r="BY580" s="608">
        <f t="shared" si="640"/>
        <v>0</v>
      </c>
      <c r="BZ580" s="607">
        <f t="shared" si="641"/>
        <v>7496.0966810966811</v>
      </c>
      <c r="CA580" s="608">
        <f t="shared" si="642"/>
        <v>7546.1430555555553</v>
      </c>
      <c r="CB580" s="607">
        <f t="shared" si="643"/>
        <v>6884.83091048202</v>
      </c>
      <c r="CC580" s="608">
        <f t="shared" si="644"/>
        <v>7006.7392966360858</v>
      </c>
      <c r="CD580" s="607">
        <f t="shared" si="645"/>
        <v>6729.0854700854698</v>
      </c>
      <c r="CE580" s="608">
        <f t="shared" si="646"/>
        <v>6945.816205533597</v>
      </c>
      <c r="CF580" s="607">
        <f t="shared" si="647"/>
        <v>5977.5321536469573</v>
      </c>
      <c r="CG580" s="608">
        <f t="shared" si="648"/>
        <v>6240.599309153713</v>
      </c>
      <c r="CH580" s="607">
        <f t="shared" si="649"/>
        <v>0</v>
      </c>
      <c r="CI580" s="608">
        <f t="shared" si="650"/>
        <v>0</v>
      </c>
      <c r="CJ580" s="607">
        <f t="shared" si="651"/>
        <v>0</v>
      </c>
      <c r="CK580" s="608">
        <f t="shared" si="652"/>
        <v>0</v>
      </c>
      <c r="CL580" s="609">
        <f t="shared" si="653"/>
        <v>67464.870129870134</v>
      </c>
      <c r="CM580" s="608">
        <f t="shared" si="654"/>
        <v>67915.287499999991</v>
      </c>
      <c r="CN580" s="610">
        <f t="shared" si="655"/>
        <v>61963.478194338182</v>
      </c>
      <c r="CO580" s="606">
        <f t="shared" si="656"/>
        <v>63060.653669724772</v>
      </c>
      <c r="CP580" s="607">
        <f t="shared" si="657"/>
        <v>60561.769230769227</v>
      </c>
      <c r="CQ580" s="606">
        <f t="shared" si="658"/>
        <v>62512.345849802376</v>
      </c>
      <c r="CR580" s="607">
        <f t="shared" si="659"/>
        <v>53797.789382822615</v>
      </c>
      <c r="CS580" s="606">
        <f t="shared" si="660"/>
        <v>56165.393782383413</v>
      </c>
      <c r="CT580" s="607">
        <f t="shared" si="661"/>
        <v>0</v>
      </c>
      <c r="CU580" s="608">
        <f t="shared" si="662"/>
        <v>0</v>
      </c>
      <c r="CV580" s="610">
        <f t="shared" si="663"/>
        <v>0</v>
      </c>
      <c r="CW580" s="608">
        <f t="shared" si="664"/>
        <v>0</v>
      </c>
      <c r="CX580" s="610">
        <f t="shared" si="665"/>
        <v>58999.098935891663</v>
      </c>
      <c r="CY580" s="611">
        <f t="shared" si="666"/>
        <v>60774.250285644412</v>
      </c>
      <c r="CZ580" s="605">
        <f t="shared" si="667"/>
        <v>77</v>
      </c>
      <c r="DA580" s="612">
        <f t="shared" si="668"/>
        <v>80</v>
      </c>
      <c r="DB580" s="607">
        <f t="shared" si="669"/>
        <v>143</v>
      </c>
      <c r="DC580" s="606">
        <f t="shared" si="670"/>
        <v>142</v>
      </c>
      <c r="DD580" s="607">
        <f t="shared" si="671"/>
        <v>167</v>
      </c>
      <c r="DE580" s="606">
        <f t="shared" si="672"/>
        <v>166</v>
      </c>
      <c r="DF580" s="607">
        <f t="shared" si="673"/>
        <v>257</v>
      </c>
      <c r="DG580" s="606">
        <f t="shared" si="674"/>
        <v>257</v>
      </c>
      <c r="DH580" s="607">
        <f t="shared" si="675"/>
        <v>0</v>
      </c>
      <c r="DI580" s="608">
        <f t="shared" si="676"/>
        <v>0</v>
      </c>
      <c r="DJ580" s="607">
        <f t="shared" si="677"/>
        <v>0</v>
      </c>
      <c r="DK580" s="608">
        <f t="shared" si="678"/>
        <v>0</v>
      </c>
      <c r="DL580" s="607">
        <f t="shared" si="679"/>
        <v>644</v>
      </c>
      <c r="DM580" s="608">
        <f t="shared" si="680"/>
        <v>645</v>
      </c>
      <c r="DN580" s="607">
        <f t="shared" si="681"/>
        <v>5194795</v>
      </c>
      <c r="DO580" s="612">
        <f t="shared" si="682"/>
        <v>5433222.9999999991</v>
      </c>
      <c r="DP580" s="607">
        <f t="shared" si="683"/>
        <v>8860777.3817903604</v>
      </c>
      <c r="DQ580" s="606">
        <f t="shared" si="684"/>
        <v>8954612.8211009167</v>
      </c>
      <c r="DR580" s="607">
        <f t="shared" si="685"/>
        <v>10113815.46153846</v>
      </c>
      <c r="DS580" s="606">
        <f t="shared" si="686"/>
        <v>10377049.411067195</v>
      </c>
      <c r="DT580" s="607">
        <f t="shared" si="687"/>
        <v>13826031.871385412</v>
      </c>
      <c r="DU580" s="606">
        <f t="shared" si="688"/>
        <v>14434506.202072537</v>
      </c>
      <c r="DV580" s="607">
        <f t="shared" si="689"/>
        <v>0</v>
      </c>
      <c r="DW580" s="608">
        <f t="shared" si="690"/>
        <v>0</v>
      </c>
      <c r="DX580" s="607">
        <f t="shared" si="691"/>
        <v>0</v>
      </c>
      <c r="DY580" s="608">
        <f t="shared" si="692"/>
        <v>0</v>
      </c>
      <c r="DZ580" s="607">
        <f t="shared" si="693"/>
        <v>37995419.714714229</v>
      </c>
      <c r="EA580" s="608">
        <f t="shared" si="694"/>
        <v>39199391.434240647</v>
      </c>
    </row>
    <row r="581" spans="1:131" x14ac:dyDescent="0.2">
      <c r="A581" s="483" t="s">
        <v>43</v>
      </c>
      <c r="B581" s="354" t="s">
        <v>504</v>
      </c>
      <c r="C581" s="585" t="s">
        <v>548</v>
      </c>
      <c r="D581" s="362">
        <v>229072</v>
      </c>
      <c r="E581" s="366">
        <v>8</v>
      </c>
      <c r="F581" s="598"/>
      <c r="G581" s="599">
        <v>0</v>
      </c>
      <c r="H581" s="600"/>
      <c r="I581" s="601">
        <v>0</v>
      </c>
      <c r="J581" s="600"/>
      <c r="K581" s="599">
        <v>0</v>
      </c>
      <c r="L581" s="600"/>
      <c r="M581" s="601">
        <v>0</v>
      </c>
      <c r="N581" s="600"/>
      <c r="O581" s="599">
        <v>0</v>
      </c>
      <c r="P581" s="600"/>
      <c r="Q581" s="601">
        <v>0</v>
      </c>
      <c r="R581" s="600"/>
      <c r="S581" s="599">
        <v>0</v>
      </c>
      <c r="T581" s="600"/>
      <c r="U581" s="601">
        <v>0</v>
      </c>
      <c r="V581" s="600"/>
      <c r="W581" s="599">
        <v>0</v>
      </c>
      <c r="X581" s="600"/>
      <c r="Y581" s="601">
        <v>0</v>
      </c>
      <c r="Z581" s="600"/>
      <c r="AA581" s="599">
        <v>0</v>
      </c>
      <c r="AB581" s="600"/>
      <c r="AC581" s="601">
        <v>0</v>
      </c>
      <c r="AD581" s="600"/>
      <c r="AE581" s="599">
        <v>0</v>
      </c>
      <c r="AF581" s="600"/>
      <c r="AG581" s="601">
        <v>0</v>
      </c>
      <c r="AH581" s="600"/>
      <c r="AI581" s="599">
        <v>0</v>
      </c>
      <c r="AJ581" s="600"/>
      <c r="AK581" s="601">
        <v>0</v>
      </c>
      <c r="AL581" s="600"/>
      <c r="AM581" s="599">
        <v>0</v>
      </c>
      <c r="AN581" s="600"/>
      <c r="AO581" s="601">
        <v>0</v>
      </c>
      <c r="AP581" s="600"/>
      <c r="AQ581" s="599">
        <v>0</v>
      </c>
      <c r="AR581" s="600"/>
      <c r="AS581" s="601">
        <v>0</v>
      </c>
      <c r="AT581" s="600"/>
      <c r="AU581" s="599">
        <v>0</v>
      </c>
      <c r="AV581" s="600"/>
      <c r="AW581" s="601">
        <v>0</v>
      </c>
      <c r="AX581" s="600"/>
      <c r="AY581" s="599">
        <v>0</v>
      </c>
      <c r="AZ581" s="600"/>
      <c r="BA581" s="601">
        <v>0</v>
      </c>
      <c r="BB581" s="602">
        <v>0</v>
      </c>
      <c r="BC581" s="599">
        <v>0</v>
      </c>
      <c r="BD581" s="600">
        <v>0</v>
      </c>
      <c r="BE581" s="599">
        <v>0</v>
      </c>
      <c r="BF581" s="600">
        <v>0</v>
      </c>
      <c r="BG581" s="599">
        <v>0</v>
      </c>
      <c r="BH581" s="600">
        <v>0</v>
      </c>
      <c r="BI581" s="599">
        <v>0</v>
      </c>
      <c r="BJ581" s="600">
        <v>0</v>
      </c>
      <c r="BK581" s="615">
        <v>0</v>
      </c>
      <c r="BL581" s="600">
        <v>0</v>
      </c>
      <c r="BM581" s="604">
        <v>0</v>
      </c>
      <c r="BN581" s="605">
        <f t="shared" si="629"/>
        <v>0</v>
      </c>
      <c r="BO581" s="606">
        <f t="shared" si="630"/>
        <v>0</v>
      </c>
      <c r="BP581" s="607">
        <f t="shared" si="631"/>
        <v>0</v>
      </c>
      <c r="BQ581" s="606">
        <f t="shared" si="632"/>
        <v>0</v>
      </c>
      <c r="BR581" s="607">
        <f t="shared" si="633"/>
        <v>0</v>
      </c>
      <c r="BS581" s="606">
        <f t="shared" si="634"/>
        <v>0</v>
      </c>
      <c r="BT581" s="607">
        <f t="shared" si="635"/>
        <v>0</v>
      </c>
      <c r="BU581" s="606">
        <f t="shared" si="636"/>
        <v>0</v>
      </c>
      <c r="BV581" s="607">
        <f t="shared" si="637"/>
        <v>0</v>
      </c>
      <c r="BW581" s="608">
        <f t="shared" si="638"/>
        <v>0</v>
      </c>
      <c r="BX581" s="607">
        <f t="shared" si="639"/>
        <v>0</v>
      </c>
      <c r="BY581" s="608">
        <f t="shared" si="640"/>
        <v>0</v>
      </c>
      <c r="BZ581" s="607">
        <f t="shared" si="641"/>
        <v>0</v>
      </c>
      <c r="CA581" s="608">
        <f t="shared" si="642"/>
        <v>0</v>
      </c>
      <c r="CB581" s="607">
        <f t="shared" si="643"/>
        <v>0</v>
      </c>
      <c r="CC581" s="608">
        <f t="shared" si="644"/>
        <v>0</v>
      </c>
      <c r="CD581" s="607">
        <f t="shared" si="645"/>
        <v>0</v>
      </c>
      <c r="CE581" s="608">
        <f t="shared" si="646"/>
        <v>0</v>
      </c>
      <c r="CF581" s="607">
        <f t="shared" si="647"/>
        <v>0</v>
      </c>
      <c r="CG581" s="608">
        <f t="shared" si="648"/>
        <v>0</v>
      </c>
      <c r="CH581" s="607">
        <f t="shared" si="649"/>
        <v>0</v>
      </c>
      <c r="CI581" s="608">
        <f t="shared" si="650"/>
        <v>0</v>
      </c>
      <c r="CJ581" s="607">
        <f t="shared" si="651"/>
        <v>0</v>
      </c>
      <c r="CK581" s="608">
        <f t="shared" si="652"/>
        <v>0</v>
      </c>
      <c r="CL581" s="609">
        <f t="shared" si="653"/>
        <v>0</v>
      </c>
      <c r="CM581" s="608">
        <f t="shared" si="654"/>
        <v>0</v>
      </c>
      <c r="CN581" s="610">
        <f t="shared" si="655"/>
        <v>0</v>
      </c>
      <c r="CO581" s="606">
        <f t="shared" si="656"/>
        <v>0</v>
      </c>
      <c r="CP581" s="607">
        <f t="shared" si="657"/>
        <v>0</v>
      </c>
      <c r="CQ581" s="606">
        <f t="shared" si="658"/>
        <v>0</v>
      </c>
      <c r="CR581" s="607">
        <f t="shared" si="659"/>
        <v>0</v>
      </c>
      <c r="CS581" s="606">
        <f t="shared" si="660"/>
        <v>0</v>
      </c>
      <c r="CT581" s="607">
        <f t="shared" si="661"/>
        <v>0</v>
      </c>
      <c r="CU581" s="608">
        <f t="shared" si="662"/>
        <v>0</v>
      </c>
      <c r="CV581" s="610">
        <f t="shared" si="663"/>
        <v>0</v>
      </c>
      <c r="CW581" s="608">
        <f t="shared" si="664"/>
        <v>0</v>
      </c>
      <c r="CX581" s="610">
        <f t="shared" si="665"/>
        <v>0</v>
      </c>
      <c r="CY581" s="611">
        <f t="shared" si="666"/>
        <v>0</v>
      </c>
      <c r="CZ581" s="605">
        <f t="shared" si="667"/>
        <v>0</v>
      </c>
      <c r="DA581" s="612">
        <f t="shared" si="668"/>
        <v>0</v>
      </c>
      <c r="DB581" s="607">
        <f t="shared" si="669"/>
        <v>0</v>
      </c>
      <c r="DC581" s="606">
        <f t="shared" si="670"/>
        <v>0</v>
      </c>
      <c r="DD581" s="607">
        <f t="shared" si="671"/>
        <v>0</v>
      </c>
      <c r="DE581" s="606">
        <f t="shared" si="672"/>
        <v>0</v>
      </c>
      <c r="DF581" s="607">
        <f t="shared" si="673"/>
        <v>0</v>
      </c>
      <c r="DG581" s="606">
        <f t="shared" si="674"/>
        <v>0</v>
      </c>
      <c r="DH581" s="607">
        <f t="shared" si="675"/>
        <v>0</v>
      </c>
      <c r="DI581" s="608">
        <f t="shared" si="676"/>
        <v>0</v>
      </c>
      <c r="DJ581" s="607">
        <f t="shared" si="677"/>
        <v>0</v>
      </c>
      <c r="DK581" s="608">
        <f t="shared" si="678"/>
        <v>0</v>
      </c>
      <c r="DL581" s="607">
        <f t="shared" si="679"/>
        <v>0</v>
      </c>
      <c r="DM581" s="608">
        <f t="shared" si="680"/>
        <v>0</v>
      </c>
      <c r="DN581" s="607">
        <f t="shared" si="681"/>
        <v>0</v>
      </c>
      <c r="DO581" s="612">
        <f t="shared" si="682"/>
        <v>0</v>
      </c>
      <c r="DP581" s="607">
        <f t="shared" si="683"/>
        <v>0</v>
      </c>
      <c r="DQ581" s="606">
        <f t="shared" si="684"/>
        <v>0</v>
      </c>
      <c r="DR581" s="607">
        <f t="shared" si="685"/>
        <v>0</v>
      </c>
      <c r="DS581" s="606">
        <f t="shared" si="686"/>
        <v>0</v>
      </c>
      <c r="DT581" s="607">
        <f t="shared" si="687"/>
        <v>0</v>
      </c>
      <c r="DU581" s="606">
        <f t="shared" si="688"/>
        <v>0</v>
      </c>
      <c r="DV581" s="607">
        <f t="shared" si="689"/>
        <v>0</v>
      </c>
      <c r="DW581" s="608">
        <f t="shared" si="690"/>
        <v>0</v>
      </c>
      <c r="DX581" s="607">
        <f t="shared" si="691"/>
        <v>0</v>
      </c>
      <c r="DY581" s="608">
        <f t="shared" si="692"/>
        <v>0</v>
      </c>
      <c r="DZ581" s="607">
        <f t="shared" si="693"/>
        <v>0</v>
      </c>
      <c r="EA581" s="608">
        <f t="shared" si="694"/>
        <v>0</v>
      </c>
    </row>
    <row r="582" spans="1:131" x14ac:dyDescent="0.2">
      <c r="A582" s="483" t="s">
        <v>43</v>
      </c>
      <c r="B582" s="356" t="s">
        <v>505</v>
      </c>
      <c r="C582" s="585" t="s">
        <v>548</v>
      </c>
      <c r="D582" s="362">
        <v>228680</v>
      </c>
      <c r="E582" s="365">
        <v>8</v>
      </c>
      <c r="F582" s="598"/>
      <c r="G582" s="599">
        <v>0</v>
      </c>
      <c r="H582" s="600"/>
      <c r="I582" s="601">
        <v>0</v>
      </c>
      <c r="J582" s="600">
        <v>5</v>
      </c>
      <c r="K582" s="599">
        <v>0</v>
      </c>
      <c r="L582" s="600"/>
      <c r="M582" s="601">
        <v>5</v>
      </c>
      <c r="N582" s="600">
        <v>2</v>
      </c>
      <c r="O582" s="599">
        <v>2</v>
      </c>
      <c r="P582" s="600"/>
      <c r="Q582" s="601">
        <v>0</v>
      </c>
      <c r="R582" s="600">
        <v>20</v>
      </c>
      <c r="S582" s="599">
        <v>0</v>
      </c>
      <c r="T582" s="600"/>
      <c r="U582" s="601">
        <v>18</v>
      </c>
      <c r="V582" s="600"/>
      <c r="W582" s="599">
        <v>0</v>
      </c>
      <c r="X582" s="600"/>
      <c r="Y582" s="601">
        <v>0</v>
      </c>
      <c r="Z582" s="600"/>
      <c r="AA582" s="599">
        <v>0</v>
      </c>
      <c r="AB582" s="600"/>
      <c r="AC582" s="601">
        <v>0</v>
      </c>
      <c r="AD582" s="600">
        <v>23</v>
      </c>
      <c r="AE582" s="599">
        <v>19</v>
      </c>
      <c r="AF582" s="600"/>
      <c r="AG582" s="601">
        <v>0</v>
      </c>
      <c r="AH582" s="600">
        <v>208</v>
      </c>
      <c r="AI582" s="599">
        <v>0</v>
      </c>
      <c r="AJ582" s="600"/>
      <c r="AK582" s="601">
        <v>207</v>
      </c>
      <c r="AL582" s="600"/>
      <c r="AM582" s="599">
        <v>0</v>
      </c>
      <c r="AN582" s="600"/>
      <c r="AO582" s="601">
        <v>0</v>
      </c>
      <c r="AP582" s="600"/>
      <c r="AQ582" s="599">
        <v>0</v>
      </c>
      <c r="AR582" s="600"/>
      <c r="AS582" s="601">
        <v>0</v>
      </c>
      <c r="AT582" s="600"/>
      <c r="AU582" s="599">
        <v>0</v>
      </c>
      <c r="AV582" s="600"/>
      <c r="AW582" s="601">
        <v>0</v>
      </c>
      <c r="AX582" s="600"/>
      <c r="AY582" s="599">
        <v>0</v>
      </c>
      <c r="AZ582" s="600"/>
      <c r="BA582" s="601">
        <v>0</v>
      </c>
      <c r="BB582" s="602">
        <v>334488</v>
      </c>
      <c r="BC582" s="599">
        <v>327792</v>
      </c>
      <c r="BD582" s="600">
        <v>1150440</v>
      </c>
      <c r="BE582" s="599">
        <v>1099913</v>
      </c>
      <c r="BF582" s="600">
        <v>0</v>
      </c>
      <c r="BG582" s="599">
        <v>0</v>
      </c>
      <c r="BH582" s="600">
        <v>10610977</v>
      </c>
      <c r="BI582" s="599">
        <v>10750673</v>
      </c>
      <c r="BJ582" s="600">
        <v>0</v>
      </c>
      <c r="BK582" s="615">
        <v>0</v>
      </c>
      <c r="BL582" s="600">
        <v>0</v>
      </c>
      <c r="BM582" s="604">
        <v>0</v>
      </c>
      <c r="BN582" s="605">
        <f t="shared" si="629"/>
        <v>55</v>
      </c>
      <c r="BO582" s="606">
        <f t="shared" si="630"/>
        <v>60</v>
      </c>
      <c r="BP582" s="607">
        <f t="shared" si="631"/>
        <v>238</v>
      </c>
      <c r="BQ582" s="606">
        <f t="shared" si="632"/>
        <v>234</v>
      </c>
      <c r="BR582" s="607">
        <f t="shared" si="633"/>
        <v>0</v>
      </c>
      <c r="BS582" s="606">
        <f t="shared" si="634"/>
        <v>0</v>
      </c>
      <c r="BT582" s="607">
        <f t="shared" si="635"/>
        <v>2495</v>
      </c>
      <c r="BU582" s="606">
        <f t="shared" si="636"/>
        <v>2655</v>
      </c>
      <c r="BV582" s="607">
        <f t="shared" si="637"/>
        <v>0</v>
      </c>
      <c r="BW582" s="608">
        <f t="shared" si="638"/>
        <v>0</v>
      </c>
      <c r="BX582" s="607">
        <f t="shared" si="639"/>
        <v>0</v>
      </c>
      <c r="BY582" s="608">
        <f t="shared" si="640"/>
        <v>0</v>
      </c>
      <c r="BZ582" s="607">
        <f t="shared" si="641"/>
        <v>6081.6</v>
      </c>
      <c r="CA582" s="608">
        <f t="shared" si="642"/>
        <v>5463.2</v>
      </c>
      <c r="CB582" s="607">
        <f t="shared" si="643"/>
        <v>4833.7815126050418</v>
      </c>
      <c r="CC582" s="608">
        <f t="shared" si="644"/>
        <v>4700.4829059829062</v>
      </c>
      <c r="CD582" s="607">
        <f t="shared" si="645"/>
        <v>0</v>
      </c>
      <c r="CE582" s="608">
        <f t="shared" si="646"/>
        <v>0</v>
      </c>
      <c r="CF582" s="607">
        <f t="shared" si="647"/>
        <v>4252.8965931863731</v>
      </c>
      <c r="CG582" s="608">
        <f t="shared" si="648"/>
        <v>4049.2177024482107</v>
      </c>
      <c r="CH582" s="607">
        <f t="shared" si="649"/>
        <v>0</v>
      </c>
      <c r="CI582" s="608">
        <f t="shared" si="650"/>
        <v>0</v>
      </c>
      <c r="CJ582" s="607">
        <f t="shared" si="651"/>
        <v>0</v>
      </c>
      <c r="CK582" s="608">
        <f t="shared" si="652"/>
        <v>0</v>
      </c>
      <c r="CL582" s="609">
        <f t="shared" si="653"/>
        <v>54734.400000000001</v>
      </c>
      <c r="CM582" s="608">
        <f t="shared" si="654"/>
        <v>49168.799999999996</v>
      </c>
      <c r="CN582" s="610">
        <f t="shared" si="655"/>
        <v>43504.033613445376</v>
      </c>
      <c r="CO582" s="606">
        <f t="shared" si="656"/>
        <v>42304.346153846156</v>
      </c>
      <c r="CP582" s="607">
        <f t="shared" si="657"/>
        <v>0</v>
      </c>
      <c r="CQ582" s="606">
        <f t="shared" si="658"/>
        <v>0</v>
      </c>
      <c r="CR582" s="607">
        <f t="shared" si="659"/>
        <v>38276.069338677356</v>
      </c>
      <c r="CS582" s="606">
        <f t="shared" si="660"/>
        <v>36442.959322033894</v>
      </c>
      <c r="CT582" s="607">
        <f t="shared" si="661"/>
        <v>0</v>
      </c>
      <c r="CU582" s="608">
        <f t="shared" si="662"/>
        <v>0</v>
      </c>
      <c r="CV582" s="610">
        <f t="shared" si="663"/>
        <v>0</v>
      </c>
      <c r="CW582" s="608">
        <f t="shared" si="664"/>
        <v>0</v>
      </c>
      <c r="CX582" s="610">
        <f t="shared" si="665"/>
        <v>39040.824638489408</v>
      </c>
      <c r="CY582" s="611">
        <f t="shared" si="666"/>
        <v>37163.504899827029</v>
      </c>
      <c r="CZ582" s="605">
        <f t="shared" si="667"/>
        <v>5</v>
      </c>
      <c r="DA582" s="612">
        <f t="shared" si="668"/>
        <v>5</v>
      </c>
      <c r="DB582" s="607">
        <f t="shared" si="669"/>
        <v>22</v>
      </c>
      <c r="DC582" s="606">
        <f t="shared" si="670"/>
        <v>20</v>
      </c>
      <c r="DD582" s="607">
        <f t="shared" si="671"/>
        <v>0</v>
      </c>
      <c r="DE582" s="606">
        <f t="shared" si="672"/>
        <v>0</v>
      </c>
      <c r="DF582" s="607">
        <f t="shared" si="673"/>
        <v>231</v>
      </c>
      <c r="DG582" s="606">
        <f t="shared" si="674"/>
        <v>226</v>
      </c>
      <c r="DH582" s="607">
        <f t="shared" si="675"/>
        <v>0</v>
      </c>
      <c r="DI582" s="608">
        <f t="shared" si="676"/>
        <v>0</v>
      </c>
      <c r="DJ582" s="607">
        <f t="shared" si="677"/>
        <v>0</v>
      </c>
      <c r="DK582" s="608">
        <f t="shared" si="678"/>
        <v>0</v>
      </c>
      <c r="DL582" s="607">
        <f t="shared" si="679"/>
        <v>258</v>
      </c>
      <c r="DM582" s="608">
        <f t="shared" si="680"/>
        <v>251</v>
      </c>
      <c r="DN582" s="607">
        <f t="shared" si="681"/>
        <v>273672</v>
      </c>
      <c r="DO582" s="612">
        <f t="shared" si="682"/>
        <v>245843.99999999997</v>
      </c>
      <c r="DP582" s="607">
        <f t="shared" si="683"/>
        <v>957088.73949579825</v>
      </c>
      <c r="DQ582" s="606">
        <f t="shared" si="684"/>
        <v>846086.92307692312</v>
      </c>
      <c r="DR582" s="607">
        <f t="shared" si="685"/>
        <v>0</v>
      </c>
      <c r="DS582" s="606">
        <f t="shared" si="686"/>
        <v>0</v>
      </c>
      <c r="DT582" s="607">
        <f t="shared" si="687"/>
        <v>8841772.0172344688</v>
      </c>
      <c r="DU582" s="606">
        <f t="shared" si="688"/>
        <v>8236108.8067796603</v>
      </c>
      <c r="DV582" s="607">
        <f t="shared" si="689"/>
        <v>0</v>
      </c>
      <c r="DW582" s="608">
        <f t="shared" si="690"/>
        <v>0</v>
      </c>
      <c r="DX582" s="607">
        <f t="shared" si="691"/>
        <v>0</v>
      </c>
      <c r="DY582" s="608">
        <f t="shared" si="692"/>
        <v>0</v>
      </c>
      <c r="DZ582" s="607">
        <f t="shared" si="693"/>
        <v>10072532.756730268</v>
      </c>
      <c r="EA582" s="608">
        <f t="shared" si="694"/>
        <v>9328039.7298565842</v>
      </c>
    </row>
    <row r="583" spans="1:131" x14ac:dyDescent="0.2">
      <c r="A583" s="483" t="s">
        <v>43</v>
      </c>
      <c r="B583" s="356" t="s">
        <v>506</v>
      </c>
      <c r="C583" s="583"/>
      <c r="D583" s="362">
        <v>225308</v>
      </c>
      <c r="E583" s="365">
        <v>8</v>
      </c>
      <c r="F583" s="598"/>
      <c r="G583" s="599">
        <v>101</v>
      </c>
      <c r="H583" s="600"/>
      <c r="I583" s="601">
        <v>12</v>
      </c>
      <c r="J583" s="600"/>
      <c r="K583" s="599">
        <v>2</v>
      </c>
      <c r="L583" s="600"/>
      <c r="M583" s="601">
        <v>17</v>
      </c>
      <c r="N583" s="600"/>
      <c r="O583" s="599">
        <v>0</v>
      </c>
      <c r="P583" s="600"/>
      <c r="Q583" s="601">
        <v>0</v>
      </c>
      <c r="R583" s="600"/>
      <c r="S583" s="599">
        <v>0</v>
      </c>
      <c r="T583" s="600"/>
      <c r="U583" s="601">
        <v>0</v>
      </c>
      <c r="V583" s="600"/>
      <c r="W583" s="599">
        <v>0</v>
      </c>
      <c r="X583" s="600"/>
      <c r="Y583" s="601">
        <v>0</v>
      </c>
      <c r="Z583" s="600"/>
      <c r="AA583" s="599">
        <v>0</v>
      </c>
      <c r="AB583" s="600"/>
      <c r="AC583" s="601">
        <v>0</v>
      </c>
      <c r="AD583" s="600"/>
      <c r="AE583" s="599">
        <v>5</v>
      </c>
      <c r="AF583" s="600"/>
      <c r="AG583" s="601">
        <v>6</v>
      </c>
      <c r="AH583" s="600"/>
      <c r="AI583" s="599">
        <v>1</v>
      </c>
      <c r="AJ583" s="600"/>
      <c r="AK583" s="601">
        <v>14</v>
      </c>
      <c r="AL583" s="600"/>
      <c r="AM583" s="599">
        <v>0</v>
      </c>
      <c r="AN583" s="600"/>
      <c r="AO583" s="601">
        <v>0</v>
      </c>
      <c r="AP583" s="600"/>
      <c r="AQ583" s="599">
        <v>0</v>
      </c>
      <c r="AR583" s="600"/>
      <c r="AS583" s="601">
        <v>0</v>
      </c>
      <c r="AT583" s="600">
        <v>122</v>
      </c>
      <c r="AU583" s="599">
        <v>0</v>
      </c>
      <c r="AV583" s="600"/>
      <c r="AW583" s="601">
        <v>0</v>
      </c>
      <c r="AX583" s="600">
        <v>35</v>
      </c>
      <c r="AY583" s="599">
        <v>0</v>
      </c>
      <c r="AZ583" s="600"/>
      <c r="BA583" s="601">
        <v>0</v>
      </c>
      <c r="BB583" s="602">
        <v>0</v>
      </c>
      <c r="BC583" s="599">
        <v>7135296</v>
      </c>
      <c r="BD583" s="600">
        <v>0</v>
      </c>
      <c r="BE583" s="599">
        <v>0</v>
      </c>
      <c r="BF583" s="600">
        <v>0</v>
      </c>
      <c r="BG583" s="599">
        <v>0</v>
      </c>
      <c r="BH583" s="600">
        <v>0</v>
      </c>
      <c r="BI583" s="599">
        <v>1640749</v>
      </c>
      <c r="BJ583" s="600">
        <v>0</v>
      </c>
      <c r="BK583" s="615">
        <v>0</v>
      </c>
      <c r="BL583" s="600">
        <v>8527800</v>
      </c>
      <c r="BM583" s="604">
        <v>0</v>
      </c>
      <c r="BN583" s="605">
        <f t="shared" si="629"/>
        <v>0</v>
      </c>
      <c r="BO583" s="606">
        <f t="shared" si="630"/>
        <v>1255</v>
      </c>
      <c r="BP583" s="607">
        <f t="shared" si="631"/>
        <v>0</v>
      </c>
      <c r="BQ583" s="606">
        <f t="shared" si="632"/>
        <v>0</v>
      </c>
      <c r="BR583" s="607">
        <f t="shared" si="633"/>
        <v>0</v>
      </c>
      <c r="BS583" s="606">
        <f t="shared" si="634"/>
        <v>0</v>
      </c>
      <c r="BT583" s="607">
        <f t="shared" si="635"/>
        <v>0</v>
      </c>
      <c r="BU583" s="606">
        <f t="shared" si="636"/>
        <v>284</v>
      </c>
      <c r="BV583" s="607">
        <f t="shared" si="637"/>
        <v>0</v>
      </c>
      <c r="BW583" s="608">
        <f t="shared" si="638"/>
        <v>0</v>
      </c>
      <c r="BX583" s="607">
        <f t="shared" si="639"/>
        <v>1483</v>
      </c>
      <c r="BY583" s="608">
        <f t="shared" si="640"/>
        <v>0</v>
      </c>
      <c r="BZ583" s="607">
        <f t="shared" si="641"/>
        <v>0</v>
      </c>
      <c r="CA583" s="608">
        <f t="shared" si="642"/>
        <v>5685.4948207171319</v>
      </c>
      <c r="CB583" s="607">
        <f t="shared" si="643"/>
        <v>0</v>
      </c>
      <c r="CC583" s="608">
        <f t="shared" si="644"/>
        <v>0</v>
      </c>
      <c r="CD583" s="607">
        <f t="shared" si="645"/>
        <v>0</v>
      </c>
      <c r="CE583" s="608">
        <f t="shared" si="646"/>
        <v>0</v>
      </c>
      <c r="CF583" s="607">
        <f t="shared" si="647"/>
        <v>0</v>
      </c>
      <c r="CG583" s="608">
        <f t="shared" si="648"/>
        <v>5777.2852112676055</v>
      </c>
      <c r="CH583" s="607">
        <f t="shared" si="649"/>
        <v>0</v>
      </c>
      <c r="CI583" s="608">
        <f t="shared" si="650"/>
        <v>0</v>
      </c>
      <c r="CJ583" s="607">
        <f t="shared" si="651"/>
        <v>5750.3708698583951</v>
      </c>
      <c r="CK583" s="608">
        <f t="shared" si="652"/>
        <v>0</v>
      </c>
      <c r="CL583" s="609">
        <f t="shared" si="653"/>
        <v>0</v>
      </c>
      <c r="CM583" s="608">
        <f t="shared" si="654"/>
        <v>51169.453386454188</v>
      </c>
      <c r="CN583" s="610">
        <f t="shared" si="655"/>
        <v>0</v>
      </c>
      <c r="CO583" s="606">
        <f t="shared" si="656"/>
        <v>0</v>
      </c>
      <c r="CP583" s="607">
        <f t="shared" si="657"/>
        <v>0</v>
      </c>
      <c r="CQ583" s="606">
        <f t="shared" si="658"/>
        <v>0</v>
      </c>
      <c r="CR583" s="607">
        <f t="shared" si="659"/>
        <v>0</v>
      </c>
      <c r="CS583" s="606">
        <f t="shared" si="660"/>
        <v>51995.566901408449</v>
      </c>
      <c r="CT583" s="607">
        <f t="shared" si="661"/>
        <v>0</v>
      </c>
      <c r="CU583" s="608">
        <f t="shared" si="662"/>
        <v>0</v>
      </c>
      <c r="CV583" s="610">
        <f t="shared" si="663"/>
        <v>51753.337828725555</v>
      </c>
      <c r="CW583" s="608">
        <f t="shared" si="664"/>
        <v>0</v>
      </c>
      <c r="CX583" s="610">
        <f t="shared" si="665"/>
        <v>51753.337828725555</v>
      </c>
      <c r="CY583" s="611">
        <f t="shared" si="666"/>
        <v>51305.396116763121</v>
      </c>
      <c r="CZ583" s="605">
        <f t="shared" si="667"/>
        <v>0</v>
      </c>
      <c r="DA583" s="612">
        <f t="shared" si="668"/>
        <v>132</v>
      </c>
      <c r="DB583" s="607">
        <f t="shared" si="669"/>
        <v>0</v>
      </c>
      <c r="DC583" s="606">
        <f t="shared" si="670"/>
        <v>0</v>
      </c>
      <c r="DD583" s="607">
        <f t="shared" si="671"/>
        <v>0</v>
      </c>
      <c r="DE583" s="606">
        <f t="shared" si="672"/>
        <v>0</v>
      </c>
      <c r="DF583" s="607">
        <f t="shared" si="673"/>
        <v>0</v>
      </c>
      <c r="DG583" s="606">
        <f t="shared" si="674"/>
        <v>26</v>
      </c>
      <c r="DH583" s="607">
        <f t="shared" si="675"/>
        <v>0</v>
      </c>
      <c r="DI583" s="608">
        <f t="shared" si="676"/>
        <v>0</v>
      </c>
      <c r="DJ583" s="607">
        <f t="shared" si="677"/>
        <v>157</v>
      </c>
      <c r="DK583" s="608">
        <f t="shared" si="678"/>
        <v>0</v>
      </c>
      <c r="DL583" s="607">
        <f t="shared" si="679"/>
        <v>157</v>
      </c>
      <c r="DM583" s="608">
        <f t="shared" si="680"/>
        <v>158</v>
      </c>
      <c r="DN583" s="607">
        <f t="shared" si="681"/>
        <v>0</v>
      </c>
      <c r="DO583" s="612">
        <f t="shared" si="682"/>
        <v>6754367.8470119527</v>
      </c>
      <c r="DP583" s="607">
        <f t="shared" si="683"/>
        <v>0</v>
      </c>
      <c r="DQ583" s="606">
        <f t="shared" si="684"/>
        <v>0</v>
      </c>
      <c r="DR583" s="607">
        <f t="shared" si="685"/>
        <v>0</v>
      </c>
      <c r="DS583" s="606">
        <f t="shared" si="686"/>
        <v>0</v>
      </c>
      <c r="DT583" s="607">
        <f t="shared" si="687"/>
        <v>0</v>
      </c>
      <c r="DU583" s="606">
        <f t="shared" si="688"/>
        <v>1351884.7394366197</v>
      </c>
      <c r="DV583" s="607">
        <f t="shared" si="689"/>
        <v>0</v>
      </c>
      <c r="DW583" s="608">
        <f t="shared" si="690"/>
        <v>0</v>
      </c>
      <c r="DX583" s="607">
        <f t="shared" si="691"/>
        <v>8125274.0391099118</v>
      </c>
      <c r="DY583" s="608">
        <f t="shared" si="692"/>
        <v>0</v>
      </c>
      <c r="DZ583" s="607">
        <f t="shared" si="693"/>
        <v>8125274.0391099118</v>
      </c>
      <c r="EA583" s="608">
        <f t="shared" si="694"/>
        <v>8106252.5864485726</v>
      </c>
    </row>
    <row r="584" spans="1:131" x14ac:dyDescent="0.2">
      <c r="A584" s="483" t="s">
        <v>43</v>
      </c>
      <c r="B584" s="354" t="s">
        <v>507</v>
      </c>
      <c r="C584" s="585"/>
      <c r="D584" s="362">
        <v>229355</v>
      </c>
      <c r="E584" s="366">
        <v>8</v>
      </c>
      <c r="F584" s="598"/>
      <c r="G584" s="599">
        <v>160</v>
      </c>
      <c r="H584" s="600"/>
      <c r="I584" s="601">
        <v>63</v>
      </c>
      <c r="J584" s="600"/>
      <c r="K584" s="599">
        <v>18</v>
      </c>
      <c r="L584" s="600"/>
      <c r="M584" s="601">
        <v>43</v>
      </c>
      <c r="N584" s="600"/>
      <c r="O584" s="599">
        <v>0</v>
      </c>
      <c r="P584" s="600"/>
      <c r="Q584" s="601">
        <v>0</v>
      </c>
      <c r="R584" s="600"/>
      <c r="S584" s="599">
        <v>0</v>
      </c>
      <c r="T584" s="600"/>
      <c r="U584" s="601">
        <v>0</v>
      </c>
      <c r="V584" s="600"/>
      <c r="W584" s="599">
        <v>0</v>
      </c>
      <c r="X584" s="600"/>
      <c r="Y584" s="601">
        <v>0</v>
      </c>
      <c r="Z584" s="600"/>
      <c r="AA584" s="599">
        <v>0</v>
      </c>
      <c r="AB584" s="600"/>
      <c r="AC584" s="601">
        <v>0</v>
      </c>
      <c r="AD584" s="600">
        <v>223</v>
      </c>
      <c r="AE584" s="599">
        <v>0</v>
      </c>
      <c r="AF584" s="600"/>
      <c r="AG584" s="601">
        <v>0</v>
      </c>
      <c r="AH584" s="600">
        <v>58</v>
      </c>
      <c r="AI584" s="599">
        <v>0</v>
      </c>
      <c r="AJ584" s="600"/>
      <c r="AK584" s="601">
        <v>0</v>
      </c>
      <c r="AL584" s="600"/>
      <c r="AM584" s="599">
        <v>0</v>
      </c>
      <c r="AN584" s="600"/>
      <c r="AO584" s="601">
        <v>0</v>
      </c>
      <c r="AP584" s="600"/>
      <c r="AQ584" s="599">
        <v>0</v>
      </c>
      <c r="AR584" s="600"/>
      <c r="AS584" s="601">
        <v>0</v>
      </c>
      <c r="AT584" s="600"/>
      <c r="AU584" s="599">
        <v>0</v>
      </c>
      <c r="AV584" s="600"/>
      <c r="AW584" s="601">
        <v>0</v>
      </c>
      <c r="AX584" s="600"/>
      <c r="AY584" s="599">
        <v>0</v>
      </c>
      <c r="AZ584" s="600"/>
      <c r="BA584" s="601">
        <v>0</v>
      </c>
      <c r="BB584" s="602">
        <v>0</v>
      </c>
      <c r="BC584" s="599">
        <v>14232727</v>
      </c>
      <c r="BD584" s="600">
        <v>0</v>
      </c>
      <c r="BE584" s="599">
        <v>0</v>
      </c>
      <c r="BF584" s="600">
        <v>0</v>
      </c>
      <c r="BG584" s="599">
        <v>0</v>
      </c>
      <c r="BH584" s="600">
        <v>14276736</v>
      </c>
      <c r="BI584" s="599">
        <v>0</v>
      </c>
      <c r="BJ584" s="600">
        <v>0</v>
      </c>
      <c r="BK584" s="615">
        <v>0</v>
      </c>
      <c r="BL584" s="600">
        <v>0</v>
      </c>
      <c r="BM584" s="604">
        <v>0</v>
      </c>
      <c r="BN584" s="605">
        <f t="shared" si="629"/>
        <v>0</v>
      </c>
      <c r="BO584" s="606">
        <f t="shared" si="630"/>
        <v>2784</v>
      </c>
      <c r="BP584" s="607">
        <f t="shared" si="631"/>
        <v>0</v>
      </c>
      <c r="BQ584" s="606">
        <f t="shared" si="632"/>
        <v>0</v>
      </c>
      <c r="BR584" s="607">
        <f t="shared" si="633"/>
        <v>0</v>
      </c>
      <c r="BS584" s="606">
        <f t="shared" si="634"/>
        <v>0</v>
      </c>
      <c r="BT584" s="607">
        <f t="shared" si="635"/>
        <v>2645</v>
      </c>
      <c r="BU584" s="606">
        <f t="shared" si="636"/>
        <v>0</v>
      </c>
      <c r="BV584" s="607">
        <f t="shared" si="637"/>
        <v>0</v>
      </c>
      <c r="BW584" s="608">
        <f t="shared" si="638"/>
        <v>0</v>
      </c>
      <c r="BX584" s="607">
        <f t="shared" si="639"/>
        <v>0</v>
      </c>
      <c r="BY584" s="608">
        <f t="shared" si="640"/>
        <v>0</v>
      </c>
      <c r="BZ584" s="607">
        <f t="shared" si="641"/>
        <v>0</v>
      </c>
      <c r="CA584" s="608">
        <f t="shared" si="642"/>
        <v>5112.3301005747126</v>
      </c>
      <c r="CB584" s="607">
        <f t="shared" si="643"/>
        <v>0</v>
      </c>
      <c r="CC584" s="608">
        <f t="shared" si="644"/>
        <v>0</v>
      </c>
      <c r="CD584" s="607">
        <f t="shared" si="645"/>
        <v>0</v>
      </c>
      <c r="CE584" s="608">
        <f t="shared" si="646"/>
        <v>0</v>
      </c>
      <c r="CF584" s="607">
        <f t="shared" si="647"/>
        <v>5397.6317580340265</v>
      </c>
      <c r="CG584" s="608">
        <f t="shared" si="648"/>
        <v>0</v>
      </c>
      <c r="CH584" s="607">
        <f t="shared" si="649"/>
        <v>0</v>
      </c>
      <c r="CI584" s="608">
        <f t="shared" si="650"/>
        <v>0</v>
      </c>
      <c r="CJ584" s="607">
        <f t="shared" si="651"/>
        <v>0</v>
      </c>
      <c r="CK584" s="608">
        <f t="shared" si="652"/>
        <v>0</v>
      </c>
      <c r="CL584" s="609">
        <f t="shared" si="653"/>
        <v>0</v>
      </c>
      <c r="CM584" s="608">
        <f t="shared" si="654"/>
        <v>46010.970905172413</v>
      </c>
      <c r="CN584" s="610">
        <f t="shared" si="655"/>
        <v>0</v>
      </c>
      <c r="CO584" s="606">
        <f t="shared" si="656"/>
        <v>0</v>
      </c>
      <c r="CP584" s="607">
        <f t="shared" si="657"/>
        <v>0</v>
      </c>
      <c r="CQ584" s="606">
        <f t="shared" si="658"/>
        <v>0</v>
      </c>
      <c r="CR584" s="607">
        <f t="shared" si="659"/>
        <v>48578.685822306237</v>
      </c>
      <c r="CS584" s="606">
        <f t="shared" si="660"/>
        <v>0</v>
      </c>
      <c r="CT584" s="607">
        <f t="shared" si="661"/>
        <v>0</v>
      </c>
      <c r="CU584" s="608">
        <f t="shared" si="662"/>
        <v>0</v>
      </c>
      <c r="CV584" s="610">
        <f t="shared" si="663"/>
        <v>0</v>
      </c>
      <c r="CW584" s="608">
        <f t="shared" si="664"/>
        <v>0</v>
      </c>
      <c r="CX584" s="610">
        <f t="shared" si="665"/>
        <v>48578.685822306237</v>
      </c>
      <c r="CY584" s="611">
        <f t="shared" si="666"/>
        <v>46010.970905172413</v>
      </c>
      <c r="CZ584" s="605">
        <f t="shared" si="667"/>
        <v>0</v>
      </c>
      <c r="DA584" s="612">
        <f t="shared" si="668"/>
        <v>284</v>
      </c>
      <c r="DB584" s="607">
        <f t="shared" si="669"/>
        <v>0</v>
      </c>
      <c r="DC584" s="606">
        <f t="shared" si="670"/>
        <v>0</v>
      </c>
      <c r="DD584" s="607">
        <f t="shared" si="671"/>
        <v>0</v>
      </c>
      <c r="DE584" s="606">
        <f t="shared" si="672"/>
        <v>0</v>
      </c>
      <c r="DF584" s="607">
        <f t="shared" si="673"/>
        <v>281</v>
      </c>
      <c r="DG584" s="606">
        <f t="shared" si="674"/>
        <v>0</v>
      </c>
      <c r="DH584" s="607">
        <f t="shared" si="675"/>
        <v>0</v>
      </c>
      <c r="DI584" s="608">
        <f t="shared" si="676"/>
        <v>0</v>
      </c>
      <c r="DJ584" s="607">
        <f t="shared" si="677"/>
        <v>0</v>
      </c>
      <c r="DK584" s="608">
        <f t="shared" si="678"/>
        <v>0</v>
      </c>
      <c r="DL584" s="607">
        <f t="shared" si="679"/>
        <v>281</v>
      </c>
      <c r="DM584" s="608">
        <f t="shared" si="680"/>
        <v>284</v>
      </c>
      <c r="DN584" s="607">
        <f t="shared" si="681"/>
        <v>0</v>
      </c>
      <c r="DO584" s="612">
        <f t="shared" si="682"/>
        <v>13067115.737068966</v>
      </c>
      <c r="DP584" s="607">
        <f t="shared" si="683"/>
        <v>0</v>
      </c>
      <c r="DQ584" s="606">
        <f t="shared" si="684"/>
        <v>0</v>
      </c>
      <c r="DR584" s="607">
        <f t="shared" si="685"/>
        <v>0</v>
      </c>
      <c r="DS584" s="606">
        <f t="shared" si="686"/>
        <v>0</v>
      </c>
      <c r="DT584" s="607">
        <f t="shared" si="687"/>
        <v>13650610.716068052</v>
      </c>
      <c r="DU584" s="606">
        <f t="shared" si="688"/>
        <v>0</v>
      </c>
      <c r="DV584" s="607">
        <f t="shared" si="689"/>
        <v>0</v>
      </c>
      <c r="DW584" s="608">
        <f t="shared" si="690"/>
        <v>0</v>
      </c>
      <c r="DX584" s="607">
        <f t="shared" si="691"/>
        <v>0</v>
      </c>
      <c r="DY584" s="608">
        <f t="shared" si="692"/>
        <v>0</v>
      </c>
      <c r="DZ584" s="607">
        <f t="shared" si="693"/>
        <v>13650610.716068052</v>
      </c>
      <c r="EA584" s="608">
        <f t="shared" si="694"/>
        <v>13067115.737068966</v>
      </c>
    </row>
    <row r="585" spans="1:131" x14ac:dyDescent="0.2">
      <c r="A585" s="483" t="s">
        <v>43</v>
      </c>
      <c r="B585" s="354" t="s">
        <v>508</v>
      </c>
      <c r="C585" s="585"/>
      <c r="D585" s="362">
        <v>222567</v>
      </c>
      <c r="E585" s="366">
        <v>9</v>
      </c>
      <c r="F585" s="598"/>
      <c r="G585" s="599">
        <v>0</v>
      </c>
      <c r="H585" s="600"/>
      <c r="I585" s="601">
        <v>0</v>
      </c>
      <c r="J585" s="600"/>
      <c r="K585" s="599">
        <v>0</v>
      </c>
      <c r="L585" s="600"/>
      <c r="M585" s="601">
        <v>0</v>
      </c>
      <c r="N585" s="600"/>
      <c r="O585" s="599">
        <v>0</v>
      </c>
      <c r="P585" s="600"/>
      <c r="Q585" s="601">
        <v>0</v>
      </c>
      <c r="R585" s="600"/>
      <c r="S585" s="599">
        <v>0</v>
      </c>
      <c r="T585" s="600"/>
      <c r="U585" s="601">
        <v>0</v>
      </c>
      <c r="V585" s="600"/>
      <c r="W585" s="599">
        <v>0</v>
      </c>
      <c r="X585" s="600"/>
      <c r="Y585" s="601">
        <v>0</v>
      </c>
      <c r="Z585" s="600"/>
      <c r="AA585" s="599">
        <v>0</v>
      </c>
      <c r="AB585" s="600"/>
      <c r="AC585" s="601">
        <v>0</v>
      </c>
      <c r="AD585" s="600"/>
      <c r="AE585" s="599">
        <v>0</v>
      </c>
      <c r="AF585" s="600"/>
      <c r="AG585" s="601">
        <v>0</v>
      </c>
      <c r="AH585" s="600"/>
      <c r="AI585" s="599">
        <v>0</v>
      </c>
      <c r="AJ585" s="600"/>
      <c r="AK585" s="601">
        <v>0</v>
      </c>
      <c r="AL585" s="600"/>
      <c r="AM585" s="599">
        <v>0</v>
      </c>
      <c r="AN585" s="600"/>
      <c r="AO585" s="601">
        <v>0</v>
      </c>
      <c r="AP585" s="600"/>
      <c r="AQ585" s="599">
        <v>0</v>
      </c>
      <c r="AR585" s="600"/>
      <c r="AS585" s="601">
        <v>0</v>
      </c>
      <c r="AT585" s="600">
        <v>57</v>
      </c>
      <c r="AU585" s="599">
        <v>59</v>
      </c>
      <c r="AV585" s="600"/>
      <c r="AW585" s="601">
        <v>0</v>
      </c>
      <c r="AX585" s="600">
        <v>48</v>
      </c>
      <c r="AY585" s="599">
        <v>0</v>
      </c>
      <c r="AZ585" s="600"/>
      <c r="BA585" s="601">
        <v>49</v>
      </c>
      <c r="BB585" s="602">
        <v>0</v>
      </c>
      <c r="BC585" s="599">
        <v>0</v>
      </c>
      <c r="BD585" s="600">
        <v>0</v>
      </c>
      <c r="BE585" s="599">
        <v>0</v>
      </c>
      <c r="BF585" s="600">
        <v>0</v>
      </c>
      <c r="BG585" s="599">
        <v>0</v>
      </c>
      <c r="BH585" s="600">
        <v>0</v>
      </c>
      <c r="BI585" s="599">
        <v>0</v>
      </c>
      <c r="BJ585" s="600">
        <v>0</v>
      </c>
      <c r="BK585" s="615">
        <v>0</v>
      </c>
      <c r="BL585" s="600">
        <v>6376213</v>
      </c>
      <c r="BM585" s="604">
        <v>5899739</v>
      </c>
      <c r="BN585" s="605">
        <f t="shared" ref="BN585:BN680" si="695">((F585*9)+(H585*10)+(J585*11)+(L585*12))</f>
        <v>0</v>
      </c>
      <c r="BO585" s="606">
        <f t="shared" ref="BO585:BO680" si="696">((G585*9)+(I585*10)+(K585*11)+(M585*12))</f>
        <v>0</v>
      </c>
      <c r="BP585" s="607">
        <f t="shared" ref="BP585:BP680" si="697">((N585*9)+(P585*10)+(R585*11)+(T585*12))</f>
        <v>0</v>
      </c>
      <c r="BQ585" s="606">
        <f t="shared" ref="BQ585:BQ680" si="698">((O585*9)+(Q585*10)+(S585*11)+(U585*12))</f>
        <v>0</v>
      </c>
      <c r="BR585" s="607">
        <f t="shared" ref="BR585:BR680" si="699">((V585*9)+(X585*10)+(Z585*11)+(AB585*12))</f>
        <v>0</v>
      </c>
      <c r="BS585" s="606">
        <f t="shared" ref="BS585:BS680" si="700">((W585*9)+(Y585*10)+(AA585*11)+(AC585*12))</f>
        <v>0</v>
      </c>
      <c r="BT585" s="607">
        <f t="shared" ref="BT585:BT680" si="701">((AD585*9)+(AF585*10)+(AH585*11)+(AJ585*12))</f>
        <v>0</v>
      </c>
      <c r="BU585" s="606">
        <f t="shared" ref="BU585:BU680" si="702">((AE585*9)+(AG585*10)+(AI585*11)+(AK585*12))</f>
        <v>0</v>
      </c>
      <c r="BV585" s="607">
        <f t="shared" ref="BV585:BV680" si="703">((AL585*9)+(AN585*10)+(AP585*11)+(AR585*12))</f>
        <v>0</v>
      </c>
      <c r="BW585" s="608">
        <f t="shared" ref="BW585:BW680" si="704">((AM585*9)+(AO585*10)+(AQ585*11)+(AS585*12))</f>
        <v>0</v>
      </c>
      <c r="BX585" s="607">
        <f t="shared" ref="BX585:BX680" si="705">((AT585*9)+(AV585*10)+(AX585*11)+(AZ585*12))</f>
        <v>1041</v>
      </c>
      <c r="BY585" s="608">
        <f t="shared" ref="BY585:BY680" si="706">((AU585*9)+(AW585*10)+(AY585*11)+(BA585*12))</f>
        <v>1119</v>
      </c>
      <c r="BZ585" s="607">
        <f t="shared" ref="BZ585:BZ680" si="707">IF(BN585&gt;0,BB585/BN585,)</f>
        <v>0</v>
      </c>
      <c r="CA585" s="608">
        <f t="shared" ref="CA585:CA680" si="708">IF(BO585&gt;0,BC585/BO585,)</f>
        <v>0</v>
      </c>
      <c r="CB585" s="607">
        <f t="shared" ref="CB585:CB680" si="709">IF(BP585&gt;0,BD585/BP585,)</f>
        <v>0</v>
      </c>
      <c r="CC585" s="608">
        <f t="shared" ref="CC585:CC680" si="710">IF(BQ585&gt;0,BE585/BQ585,)</f>
        <v>0</v>
      </c>
      <c r="CD585" s="607">
        <f t="shared" ref="CD585:CD680" si="711">IF(BR585&gt;0,BF585/BR585,)</f>
        <v>0</v>
      </c>
      <c r="CE585" s="608">
        <f t="shared" ref="CE585:CE680" si="712">IF(BS585&gt;0,BG585/BS585,)</f>
        <v>0</v>
      </c>
      <c r="CF585" s="607">
        <f t="shared" ref="CF585:CF680" si="713">IF(BT585&gt;0,BH585/BT585,)</f>
        <v>0</v>
      </c>
      <c r="CG585" s="608">
        <f t="shared" ref="CG585:CG680" si="714">IF(BU585&gt;0,BI585/BU585,)</f>
        <v>0</v>
      </c>
      <c r="CH585" s="607">
        <f t="shared" ref="CH585:CH680" si="715">IF(BV585&gt;0,BJ585/BV585,)</f>
        <v>0</v>
      </c>
      <c r="CI585" s="608">
        <f t="shared" ref="CI585:CI680" si="716">IF(BW585&gt;0,BK585/BW585,)</f>
        <v>0</v>
      </c>
      <c r="CJ585" s="607">
        <f t="shared" ref="CJ585:CJ680" si="717">IF(BX585&gt;0,BL585/BX585,)</f>
        <v>6125.0845341018248</v>
      </c>
      <c r="CK585" s="608">
        <f t="shared" ref="CK585:CK680" si="718">IF(BY585&gt;0,BM585/BY585,)</f>
        <v>5272.3315460232352</v>
      </c>
      <c r="CL585" s="609">
        <f t="shared" ref="CL585:CL680" si="719">+BZ585*9</f>
        <v>0</v>
      </c>
      <c r="CM585" s="608">
        <f t="shared" ref="CM585:CM680" si="720">+CA585*9</f>
        <v>0</v>
      </c>
      <c r="CN585" s="610">
        <f t="shared" ref="CN585:CN680" si="721">+CB585*9</f>
        <v>0</v>
      </c>
      <c r="CO585" s="606">
        <f t="shared" ref="CO585:CO680" si="722">+CC585*9</f>
        <v>0</v>
      </c>
      <c r="CP585" s="607">
        <f t="shared" ref="CP585:CP680" si="723">+CD585*9</f>
        <v>0</v>
      </c>
      <c r="CQ585" s="606">
        <f t="shared" ref="CQ585:CQ680" si="724">+CE585*9</f>
        <v>0</v>
      </c>
      <c r="CR585" s="607">
        <f t="shared" ref="CR585:CR680" si="725">+CF585*9</f>
        <v>0</v>
      </c>
      <c r="CS585" s="606">
        <f t="shared" ref="CS585:CS680" si="726">+CG585*9</f>
        <v>0</v>
      </c>
      <c r="CT585" s="607">
        <f t="shared" ref="CT585:CT680" si="727">+CH585*9</f>
        <v>0</v>
      </c>
      <c r="CU585" s="608">
        <f t="shared" ref="CU585:CU680" si="728">+CI585*9</f>
        <v>0</v>
      </c>
      <c r="CV585" s="610">
        <f t="shared" ref="CV585:CV680" si="729">+CJ585*9</f>
        <v>55125.760806916427</v>
      </c>
      <c r="CW585" s="608">
        <f t="shared" ref="CW585:CW680" si="730">+CK585*9</f>
        <v>47450.983914209115</v>
      </c>
      <c r="CX585" s="610">
        <f t="shared" ref="CX585:CX680" si="731">IF(DL585&gt;0,((CL585*CZ585)+(CN585*DB585)+(CP585*DD585)+(CR585*DF585)+(CT585*DH585)+(CV585*DJ585))/DL585,)</f>
        <v>55125.760806916427</v>
      </c>
      <c r="CY585" s="611">
        <f t="shared" ref="CY585:CY680" si="732">IF(DM585&gt;0,((CM585*DA585)+(CO585*DC585)+(CQ585*DE585)+(CS585*DG585)+(CU585*DI585)+(CW585*DK585))/DM585,)</f>
        <v>47450.983914209115</v>
      </c>
      <c r="CZ585" s="605">
        <f t="shared" ref="CZ585:CZ680" si="733">+F585+H585+J585+L585</f>
        <v>0</v>
      </c>
      <c r="DA585" s="612">
        <f t="shared" ref="DA585:DA680" si="734">+G585+I585+K585+M585</f>
        <v>0</v>
      </c>
      <c r="DB585" s="607">
        <f t="shared" ref="DB585:DB680" si="735">+N585+P585+R585+T585</f>
        <v>0</v>
      </c>
      <c r="DC585" s="606">
        <f t="shared" ref="DC585:DC680" si="736">+O585+Q585+S585+U585</f>
        <v>0</v>
      </c>
      <c r="DD585" s="607">
        <f t="shared" ref="DD585:DD680" si="737">+V585+X585+Z585+AB585</f>
        <v>0</v>
      </c>
      <c r="DE585" s="606">
        <f t="shared" ref="DE585:DE680" si="738">+W585+Y585+AA585+AC585</f>
        <v>0</v>
      </c>
      <c r="DF585" s="607">
        <f t="shared" ref="DF585:DF680" si="739">+AD585+AF585+AH585+AJ585</f>
        <v>0</v>
      </c>
      <c r="DG585" s="606">
        <f t="shared" ref="DG585:DG680" si="740">+AE585+AG585+AI585+AK585</f>
        <v>0</v>
      </c>
      <c r="DH585" s="607">
        <f t="shared" ref="DH585:DH680" si="741">+AL585+AN585+AP585+AR585</f>
        <v>0</v>
      </c>
      <c r="DI585" s="608">
        <f t="shared" ref="DI585:DI680" si="742">+AM585+AO585+AQ585+AS585</f>
        <v>0</v>
      </c>
      <c r="DJ585" s="607">
        <f t="shared" ref="DJ585:DJ680" si="743">+AT585+AV585+AX585+AZ585</f>
        <v>105</v>
      </c>
      <c r="DK585" s="608">
        <f t="shared" ref="DK585:DK680" si="744">+AU585+AW585+AY585+BA585</f>
        <v>108</v>
      </c>
      <c r="DL585" s="607">
        <f t="shared" ref="DL585:DL680" si="745">+CZ585+DB585+DD585+DF585+DH585+DJ585</f>
        <v>105</v>
      </c>
      <c r="DM585" s="608">
        <f t="shared" ref="DM585:DM680" si="746">+DA585+DC585+DE585+DG585+DI585+DK585</f>
        <v>108</v>
      </c>
      <c r="DN585" s="607">
        <f t="shared" ref="DN585:DN680" si="747">+CZ585*CL585</f>
        <v>0</v>
      </c>
      <c r="DO585" s="612">
        <f t="shared" ref="DO585:DO680" si="748">+DA585*CM585</f>
        <v>0</v>
      </c>
      <c r="DP585" s="607">
        <f t="shared" ref="DP585:DP680" si="749">+DB585*CN585</f>
        <v>0</v>
      </c>
      <c r="DQ585" s="606">
        <f t="shared" ref="DQ585:DQ680" si="750">+DC585*CO585</f>
        <v>0</v>
      </c>
      <c r="DR585" s="607">
        <f t="shared" ref="DR585:DR680" si="751">+DD585*CP585</f>
        <v>0</v>
      </c>
      <c r="DS585" s="606">
        <f t="shared" ref="DS585:DS680" si="752">+DE585*CQ585</f>
        <v>0</v>
      </c>
      <c r="DT585" s="607">
        <f t="shared" ref="DT585:DT680" si="753">+DF585*CR585</f>
        <v>0</v>
      </c>
      <c r="DU585" s="606">
        <f t="shared" ref="DU585:DU680" si="754">+DG585*CS585</f>
        <v>0</v>
      </c>
      <c r="DV585" s="607">
        <f t="shared" ref="DV585:DV680" si="755">+DH585*CT585</f>
        <v>0</v>
      </c>
      <c r="DW585" s="608">
        <f t="shared" ref="DW585:DW680" si="756">+DI585*CU585</f>
        <v>0</v>
      </c>
      <c r="DX585" s="607">
        <f t="shared" ref="DX585:DX680" si="757">+DJ585*CV585</f>
        <v>5788204.8847262245</v>
      </c>
      <c r="DY585" s="608">
        <f t="shared" ref="DY585:DY680" si="758">+DK585*CW585</f>
        <v>5124706.2627345845</v>
      </c>
      <c r="DZ585" s="607">
        <f t="shared" ref="DZ585:DZ680" si="759">+DL585*CX585</f>
        <v>5788204.8847262245</v>
      </c>
      <c r="EA585" s="608">
        <f t="shared" ref="EA585:EA680" si="760">+DM585*CY585</f>
        <v>5124706.2627345845</v>
      </c>
    </row>
    <row r="586" spans="1:131" x14ac:dyDescent="0.2">
      <c r="A586" s="483" t="s">
        <v>43</v>
      </c>
      <c r="B586" s="354" t="s">
        <v>509</v>
      </c>
      <c r="C586" s="585"/>
      <c r="D586" s="362">
        <v>222822</v>
      </c>
      <c r="E586" s="366">
        <v>9</v>
      </c>
      <c r="F586" s="598"/>
      <c r="G586" s="599">
        <v>0</v>
      </c>
      <c r="H586" s="600"/>
      <c r="I586" s="601">
        <v>0</v>
      </c>
      <c r="J586" s="600"/>
      <c r="K586" s="599">
        <v>0</v>
      </c>
      <c r="L586" s="600"/>
      <c r="M586" s="601">
        <v>0</v>
      </c>
      <c r="N586" s="600"/>
      <c r="O586" s="599">
        <v>0</v>
      </c>
      <c r="P586" s="600"/>
      <c r="Q586" s="601">
        <v>0</v>
      </c>
      <c r="R586" s="600"/>
      <c r="S586" s="599">
        <v>0</v>
      </c>
      <c r="T586" s="600"/>
      <c r="U586" s="601">
        <v>0</v>
      </c>
      <c r="V586" s="600"/>
      <c r="W586" s="599">
        <v>0</v>
      </c>
      <c r="X586" s="600"/>
      <c r="Y586" s="601">
        <v>0</v>
      </c>
      <c r="Z586" s="600"/>
      <c r="AA586" s="599">
        <v>0</v>
      </c>
      <c r="AB586" s="600"/>
      <c r="AC586" s="601">
        <v>0</v>
      </c>
      <c r="AD586" s="600">
        <v>99</v>
      </c>
      <c r="AE586" s="599">
        <v>99</v>
      </c>
      <c r="AF586" s="600"/>
      <c r="AG586" s="601">
        <v>0</v>
      </c>
      <c r="AH586" s="600">
        <v>25</v>
      </c>
      <c r="AI586" s="599">
        <v>17</v>
      </c>
      <c r="AJ586" s="600"/>
      <c r="AK586" s="601">
        <v>4</v>
      </c>
      <c r="AL586" s="600"/>
      <c r="AM586" s="599">
        <v>0</v>
      </c>
      <c r="AN586" s="600"/>
      <c r="AO586" s="601">
        <v>0</v>
      </c>
      <c r="AP586" s="600"/>
      <c r="AQ586" s="599">
        <v>0</v>
      </c>
      <c r="AR586" s="600"/>
      <c r="AS586" s="601">
        <v>0</v>
      </c>
      <c r="AT586" s="600"/>
      <c r="AU586" s="599">
        <v>0</v>
      </c>
      <c r="AV586" s="600"/>
      <c r="AW586" s="601">
        <v>0</v>
      </c>
      <c r="AX586" s="600"/>
      <c r="AY586" s="599">
        <v>0</v>
      </c>
      <c r="AZ586" s="600"/>
      <c r="BA586" s="601">
        <v>0</v>
      </c>
      <c r="BB586" s="602">
        <v>0</v>
      </c>
      <c r="BC586" s="599">
        <v>0</v>
      </c>
      <c r="BD586" s="600">
        <v>0</v>
      </c>
      <c r="BE586" s="599">
        <v>0</v>
      </c>
      <c r="BF586" s="600">
        <v>0</v>
      </c>
      <c r="BG586" s="599">
        <v>0</v>
      </c>
      <c r="BH586" s="600">
        <v>5895640</v>
      </c>
      <c r="BI586" s="599">
        <v>5932224</v>
      </c>
      <c r="BJ586" s="600">
        <v>0</v>
      </c>
      <c r="BK586" s="615">
        <v>0</v>
      </c>
      <c r="BL586" s="600">
        <v>0</v>
      </c>
      <c r="BM586" s="604">
        <v>0</v>
      </c>
      <c r="BN586" s="605">
        <f t="shared" si="695"/>
        <v>0</v>
      </c>
      <c r="BO586" s="606">
        <f t="shared" si="696"/>
        <v>0</v>
      </c>
      <c r="BP586" s="607">
        <f t="shared" si="697"/>
        <v>0</v>
      </c>
      <c r="BQ586" s="606">
        <f t="shared" si="698"/>
        <v>0</v>
      </c>
      <c r="BR586" s="607">
        <f t="shared" si="699"/>
        <v>0</v>
      </c>
      <c r="BS586" s="606">
        <f t="shared" si="700"/>
        <v>0</v>
      </c>
      <c r="BT586" s="607">
        <f t="shared" si="701"/>
        <v>1166</v>
      </c>
      <c r="BU586" s="606">
        <f t="shared" si="702"/>
        <v>1126</v>
      </c>
      <c r="BV586" s="607">
        <f t="shared" si="703"/>
        <v>0</v>
      </c>
      <c r="BW586" s="608">
        <f t="shared" si="704"/>
        <v>0</v>
      </c>
      <c r="BX586" s="607">
        <f t="shared" si="705"/>
        <v>0</v>
      </c>
      <c r="BY586" s="608">
        <f t="shared" si="706"/>
        <v>0</v>
      </c>
      <c r="BZ586" s="607">
        <f t="shared" si="707"/>
        <v>0</v>
      </c>
      <c r="CA586" s="608">
        <f t="shared" si="708"/>
        <v>0</v>
      </c>
      <c r="CB586" s="607">
        <f t="shared" si="709"/>
        <v>0</v>
      </c>
      <c r="CC586" s="608">
        <f t="shared" si="710"/>
        <v>0</v>
      </c>
      <c r="CD586" s="607">
        <f t="shared" si="711"/>
        <v>0</v>
      </c>
      <c r="CE586" s="608">
        <f t="shared" si="712"/>
        <v>0</v>
      </c>
      <c r="CF586" s="607">
        <f t="shared" si="713"/>
        <v>5056.2950257289876</v>
      </c>
      <c r="CG586" s="608">
        <f t="shared" si="714"/>
        <v>5268.4049733570164</v>
      </c>
      <c r="CH586" s="607">
        <f t="shared" si="715"/>
        <v>0</v>
      </c>
      <c r="CI586" s="608">
        <f t="shared" si="716"/>
        <v>0</v>
      </c>
      <c r="CJ586" s="607">
        <f t="shared" si="717"/>
        <v>0</v>
      </c>
      <c r="CK586" s="608">
        <f t="shared" si="718"/>
        <v>0</v>
      </c>
      <c r="CL586" s="609">
        <f t="shared" si="719"/>
        <v>0</v>
      </c>
      <c r="CM586" s="608">
        <f t="shared" si="720"/>
        <v>0</v>
      </c>
      <c r="CN586" s="610">
        <f t="shared" si="721"/>
        <v>0</v>
      </c>
      <c r="CO586" s="606">
        <f t="shared" si="722"/>
        <v>0</v>
      </c>
      <c r="CP586" s="607">
        <f t="shared" si="723"/>
        <v>0</v>
      </c>
      <c r="CQ586" s="606">
        <f t="shared" si="724"/>
        <v>0</v>
      </c>
      <c r="CR586" s="607">
        <f t="shared" si="725"/>
        <v>45506.655231560886</v>
      </c>
      <c r="CS586" s="606">
        <f t="shared" si="726"/>
        <v>47415.644760213145</v>
      </c>
      <c r="CT586" s="607">
        <f t="shared" si="727"/>
        <v>0</v>
      </c>
      <c r="CU586" s="608">
        <f t="shared" si="728"/>
        <v>0</v>
      </c>
      <c r="CV586" s="610">
        <f t="shared" si="729"/>
        <v>0</v>
      </c>
      <c r="CW586" s="608">
        <f t="shared" si="730"/>
        <v>0</v>
      </c>
      <c r="CX586" s="610">
        <f t="shared" si="731"/>
        <v>45506.655231560886</v>
      </c>
      <c r="CY586" s="611">
        <f t="shared" si="732"/>
        <v>47415.644760213145</v>
      </c>
      <c r="CZ586" s="605">
        <f t="shared" si="733"/>
        <v>0</v>
      </c>
      <c r="DA586" s="612">
        <f t="shared" si="734"/>
        <v>0</v>
      </c>
      <c r="DB586" s="607">
        <f t="shared" si="735"/>
        <v>0</v>
      </c>
      <c r="DC586" s="606">
        <f t="shared" si="736"/>
        <v>0</v>
      </c>
      <c r="DD586" s="607">
        <f t="shared" si="737"/>
        <v>0</v>
      </c>
      <c r="DE586" s="606">
        <f t="shared" si="738"/>
        <v>0</v>
      </c>
      <c r="DF586" s="607">
        <f t="shared" si="739"/>
        <v>124</v>
      </c>
      <c r="DG586" s="606">
        <f t="shared" si="740"/>
        <v>120</v>
      </c>
      <c r="DH586" s="607">
        <f t="shared" si="741"/>
        <v>0</v>
      </c>
      <c r="DI586" s="608">
        <f t="shared" si="742"/>
        <v>0</v>
      </c>
      <c r="DJ586" s="607">
        <f t="shared" si="743"/>
        <v>0</v>
      </c>
      <c r="DK586" s="608">
        <f t="shared" si="744"/>
        <v>0</v>
      </c>
      <c r="DL586" s="607">
        <f t="shared" si="745"/>
        <v>124</v>
      </c>
      <c r="DM586" s="608">
        <f t="shared" si="746"/>
        <v>120</v>
      </c>
      <c r="DN586" s="607">
        <f t="shared" si="747"/>
        <v>0</v>
      </c>
      <c r="DO586" s="612">
        <f t="shared" si="748"/>
        <v>0</v>
      </c>
      <c r="DP586" s="607">
        <f t="shared" si="749"/>
        <v>0</v>
      </c>
      <c r="DQ586" s="606">
        <f t="shared" si="750"/>
        <v>0</v>
      </c>
      <c r="DR586" s="607">
        <f t="shared" si="751"/>
        <v>0</v>
      </c>
      <c r="DS586" s="606">
        <f t="shared" si="752"/>
        <v>0</v>
      </c>
      <c r="DT586" s="607">
        <f t="shared" si="753"/>
        <v>5642825.2487135502</v>
      </c>
      <c r="DU586" s="606">
        <f t="shared" si="754"/>
        <v>5689877.3712255778</v>
      </c>
      <c r="DV586" s="607">
        <f t="shared" si="755"/>
        <v>0</v>
      </c>
      <c r="DW586" s="608">
        <f t="shared" si="756"/>
        <v>0</v>
      </c>
      <c r="DX586" s="607">
        <f t="shared" si="757"/>
        <v>0</v>
      </c>
      <c r="DY586" s="608">
        <f t="shared" si="758"/>
        <v>0</v>
      </c>
      <c r="DZ586" s="607">
        <f t="shared" si="759"/>
        <v>5642825.2487135502</v>
      </c>
      <c r="EA586" s="608">
        <f t="shared" si="760"/>
        <v>5689877.3712255778</v>
      </c>
    </row>
    <row r="587" spans="1:131" x14ac:dyDescent="0.2">
      <c r="A587" s="483" t="s">
        <v>43</v>
      </c>
      <c r="B587" s="354" t="s">
        <v>510</v>
      </c>
      <c r="C587" s="585"/>
      <c r="D587" s="362">
        <v>223773</v>
      </c>
      <c r="E587" s="366">
        <v>9</v>
      </c>
      <c r="F587" s="598"/>
      <c r="G587" s="599">
        <v>0</v>
      </c>
      <c r="H587" s="600"/>
      <c r="I587" s="601">
        <v>0</v>
      </c>
      <c r="J587" s="600"/>
      <c r="K587" s="599">
        <v>0</v>
      </c>
      <c r="L587" s="600"/>
      <c r="M587" s="601">
        <v>0</v>
      </c>
      <c r="N587" s="600"/>
      <c r="O587" s="599">
        <v>0</v>
      </c>
      <c r="P587" s="600"/>
      <c r="Q587" s="601">
        <v>0</v>
      </c>
      <c r="R587" s="600"/>
      <c r="S587" s="599">
        <v>0</v>
      </c>
      <c r="T587" s="600"/>
      <c r="U587" s="601">
        <v>0</v>
      </c>
      <c r="V587" s="600"/>
      <c r="W587" s="599">
        <v>0</v>
      </c>
      <c r="X587" s="600"/>
      <c r="Y587" s="601">
        <v>0</v>
      </c>
      <c r="Z587" s="600"/>
      <c r="AA587" s="599">
        <v>0</v>
      </c>
      <c r="AB587" s="600"/>
      <c r="AC587" s="601">
        <v>0</v>
      </c>
      <c r="AD587" s="600"/>
      <c r="AE587" s="599">
        <v>0</v>
      </c>
      <c r="AF587" s="600"/>
      <c r="AG587" s="601">
        <v>0</v>
      </c>
      <c r="AH587" s="600"/>
      <c r="AI587" s="599">
        <v>0</v>
      </c>
      <c r="AJ587" s="600"/>
      <c r="AK587" s="601">
        <v>0</v>
      </c>
      <c r="AL587" s="600"/>
      <c r="AM587" s="599">
        <v>0</v>
      </c>
      <c r="AN587" s="600"/>
      <c r="AO587" s="601">
        <v>0</v>
      </c>
      <c r="AP587" s="600"/>
      <c r="AQ587" s="599">
        <v>0</v>
      </c>
      <c r="AR587" s="600"/>
      <c r="AS587" s="601">
        <v>0</v>
      </c>
      <c r="AT587" s="600">
        <v>63</v>
      </c>
      <c r="AU587" s="599">
        <v>0</v>
      </c>
      <c r="AV587" s="600"/>
      <c r="AW587" s="601">
        <v>0</v>
      </c>
      <c r="AX587" s="600"/>
      <c r="AY587" s="599">
        <v>0</v>
      </c>
      <c r="AZ587" s="600"/>
      <c r="BA587" s="601">
        <v>0</v>
      </c>
      <c r="BB587" s="602">
        <v>0</v>
      </c>
      <c r="BC587" s="599">
        <v>0</v>
      </c>
      <c r="BD587" s="600">
        <v>0</v>
      </c>
      <c r="BE587" s="599">
        <v>0</v>
      </c>
      <c r="BF587" s="600">
        <v>0</v>
      </c>
      <c r="BG587" s="599">
        <v>0</v>
      </c>
      <c r="BH587" s="600">
        <v>0</v>
      </c>
      <c r="BI587" s="599">
        <v>0</v>
      </c>
      <c r="BJ587" s="600">
        <v>0</v>
      </c>
      <c r="BK587" s="615">
        <v>0</v>
      </c>
      <c r="BL587" s="600">
        <v>3521307</v>
      </c>
      <c r="BM587" s="604">
        <v>0</v>
      </c>
      <c r="BN587" s="605">
        <f t="shared" si="695"/>
        <v>0</v>
      </c>
      <c r="BO587" s="606">
        <f t="shared" si="696"/>
        <v>0</v>
      </c>
      <c r="BP587" s="607">
        <f t="shared" si="697"/>
        <v>0</v>
      </c>
      <c r="BQ587" s="606">
        <f t="shared" si="698"/>
        <v>0</v>
      </c>
      <c r="BR587" s="607">
        <f t="shared" si="699"/>
        <v>0</v>
      </c>
      <c r="BS587" s="606">
        <f t="shared" si="700"/>
        <v>0</v>
      </c>
      <c r="BT587" s="607">
        <f t="shared" si="701"/>
        <v>0</v>
      </c>
      <c r="BU587" s="606">
        <f t="shared" si="702"/>
        <v>0</v>
      </c>
      <c r="BV587" s="607">
        <f t="shared" si="703"/>
        <v>0</v>
      </c>
      <c r="BW587" s="608">
        <f t="shared" si="704"/>
        <v>0</v>
      </c>
      <c r="BX587" s="607">
        <f t="shared" si="705"/>
        <v>567</v>
      </c>
      <c r="BY587" s="608">
        <f t="shared" si="706"/>
        <v>0</v>
      </c>
      <c r="BZ587" s="607">
        <f t="shared" si="707"/>
        <v>0</v>
      </c>
      <c r="CA587" s="608">
        <f t="shared" si="708"/>
        <v>0</v>
      </c>
      <c r="CB587" s="607">
        <f t="shared" si="709"/>
        <v>0</v>
      </c>
      <c r="CC587" s="608">
        <f t="shared" si="710"/>
        <v>0</v>
      </c>
      <c r="CD587" s="607">
        <f t="shared" si="711"/>
        <v>0</v>
      </c>
      <c r="CE587" s="608">
        <f t="shared" si="712"/>
        <v>0</v>
      </c>
      <c r="CF587" s="607">
        <f t="shared" si="713"/>
        <v>0</v>
      </c>
      <c r="CG587" s="608">
        <f t="shared" si="714"/>
        <v>0</v>
      </c>
      <c r="CH587" s="607">
        <f t="shared" si="715"/>
        <v>0</v>
      </c>
      <c r="CI587" s="608">
        <f t="shared" si="716"/>
        <v>0</v>
      </c>
      <c r="CJ587" s="607">
        <f t="shared" si="717"/>
        <v>6210.4179894179897</v>
      </c>
      <c r="CK587" s="608">
        <f t="shared" si="718"/>
        <v>0</v>
      </c>
      <c r="CL587" s="609">
        <f t="shared" si="719"/>
        <v>0</v>
      </c>
      <c r="CM587" s="608">
        <f t="shared" si="720"/>
        <v>0</v>
      </c>
      <c r="CN587" s="610">
        <f t="shared" si="721"/>
        <v>0</v>
      </c>
      <c r="CO587" s="606">
        <f t="shared" si="722"/>
        <v>0</v>
      </c>
      <c r="CP587" s="607">
        <f t="shared" si="723"/>
        <v>0</v>
      </c>
      <c r="CQ587" s="606">
        <f t="shared" si="724"/>
        <v>0</v>
      </c>
      <c r="CR587" s="607">
        <f t="shared" si="725"/>
        <v>0</v>
      </c>
      <c r="CS587" s="606">
        <f t="shared" si="726"/>
        <v>0</v>
      </c>
      <c r="CT587" s="607">
        <f t="shared" si="727"/>
        <v>0</v>
      </c>
      <c r="CU587" s="608">
        <f t="shared" si="728"/>
        <v>0</v>
      </c>
      <c r="CV587" s="610">
        <f t="shared" si="729"/>
        <v>55893.761904761908</v>
      </c>
      <c r="CW587" s="608">
        <f t="shared" si="730"/>
        <v>0</v>
      </c>
      <c r="CX587" s="610">
        <f t="shared" si="731"/>
        <v>55893.761904761908</v>
      </c>
      <c r="CY587" s="611">
        <f t="shared" si="732"/>
        <v>0</v>
      </c>
      <c r="CZ587" s="605">
        <f t="shared" si="733"/>
        <v>0</v>
      </c>
      <c r="DA587" s="612">
        <f t="shared" si="734"/>
        <v>0</v>
      </c>
      <c r="DB587" s="607">
        <f t="shared" si="735"/>
        <v>0</v>
      </c>
      <c r="DC587" s="606">
        <f t="shared" si="736"/>
        <v>0</v>
      </c>
      <c r="DD587" s="607">
        <f t="shared" si="737"/>
        <v>0</v>
      </c>
      <c r="DE587" s="606">
        <f t="shared" si="738"/>
        <v>0</v>
      </c>
      <c r="DF587" s="607">
        <f t="shared" si="739"/>
        <v>0</v>
      </c>
      <c r="DG587" s="606">
        <f t="shared" si="740"/>
        <v>0</v>
      </c>
      <c r="DH587" s="607">
        <f t="shared" si="741"/>
        <v>0</v>
      </c>
      <c r="DI587" s="608">
        <f t="shared" si="742"/>
        <v>0</v>
      </c>
      <c r="DJ587" s="607">
        <f t="shared" si="743"/>
        <v>63</v>
      </c>
      <c r="DK587" s="608">
        <f t="shared" si="744"/>
        <v>0</v>
      </c>
      <c r="DL587" s="607">
        <f t="shared" si="745"/>
        <v>63</v>
      </c>
      <c r="DM587" s="608">
        <f t="shared" si="746"/>
        <v>0</v>
      </c>
      <c r="DN587" s="607">
        <f t="shared" si="747"/>
        <v>0</v>
      </c>
      <c r="DO587" s="612">
        <f t="shared" si="748"/>
        <v>0</v>
      </c>
      <c r="DP587" s="607">
        <f t="shared" si="749"/>
        <v>0</v>
      </c>
      <c r="DQ587" s="606">
        <f t="shared" si="750"/>
        <v>0</v>
      </c>
      <c r="DR587" s="607">
        <f t="shared" si="751"/>
        <v>0</v>
      </c>
      <c r="DS587" s="606">
        <f t="shared" si="752"/>
        <v>0</v>
      </c>
      <c r="DT587" s="607">
        <f t="shared" si="753"/>
        <v>0</v>
      </c>
      <c r="DU587" s="606">
        <f t="shared" si="754"/>
        <v>0</v>
      </c>
      <c r="DV587" s="607">
        <f t="shared" si="755"/>
        <v>0</v>
      </c>
      <c r="DW587" s="608">
        <f t="shared" si="756"/>
        <v>0</v>
      </c>
      <c r="DX587" s="607">
        <f t="shared" si="757"/>
        <v>3521307</v>
      </c>
      <c r="DY587" s="608">
        <f t="shared" si="758"/>
        <v>0</v>
      </c>
      <c r="DZ587" s="607">
        <f t="shared" si="759"/>
        <v>3521307</v>
      </c>
      <c r="EA587" s="608">
        <f t="shared" si="760"/>
        <v>0</v>
      </c>
    </row>
    <row r="588" spans="1:131" x14ac:dyDescent="0.2">
      <c r="A588" s="483" t="s">
        <v>43</v>
      </c>
      <c r="B588" s="354" t="s">
        <v>511</v>
      </c>
      <c r="C588" s="585"/>
      <c r="D588" s="362">
        <v>223898</v>
      </c>
      <c r="E588" s="366">
        <v>9</v>
      </c>
      <c r="F588" s="598">
        <v>59</v>
      </c>
      <c r="G588" s="599">
        <v>50</v>
      </c>
      <c r="H588" s="600"/>
      <c r="I588" s="601">
        <v>6</v>
      </c>
      <c r="J588" s="600">
        <v>27</v>
      </c>
      <c r="K588" s="599">
        <v>15</v>
      </c>
      <c r="L588" s="600"/>
      <c r="M588" s="601">
        <v>12</v>
      </c>
      <c r="N588" s="600"/>
      <c r="O588" s="599">
        <v>0</v>
      </c>
      <c r="P588" s="600"/>
      <c r="Q588" s="601">
        <v>0</v>
      </c>
      <c r="R588" s="600"/>
      <c r="S588" s="599">
        <v>0</v>
      </c>
      <c r="T588" s="600"/>
      <c r="U588" s="601">
        <v>0</v>
      </c>
      <c r="V588" s="600"/>
      <c r="W588" s="599">
        <v>0</v>
      </c>
      <c r="X588" s="600"/>
      <c r="Y588" s="601">
        <v>0</v>
      </c>
      <c r="Z588" s="600"/>
      <c r="AA588" s="599">
        <v>0</v>
      </c>
      <c r="AB588" s="600"/>
      <c r="AC588" s="601">
        <v>0</v>
      </c>
      <c r="AD588" s="600"/>
      <c r="AE588" s="599">
        <v>0</v>
      </c>
      <c r="AF588" s="600"/>
      <c r="AG588" s="601">
        <v>0</v>
      </c>
      <c r="AH588" s="600"/>
      <c r="AI588" s="599">
        <v>0</v>
      </c>
      <c r="AJ588" s="600"/>
      <c r="AK588" s="601">
        <v>0</v>
      </c>
      <c r="AL588" s="600"/>
      <c r="AM588" s="599">
        <v>0</v>
      </c>
      <c r="AN588" s="600"/>
      <c r="AO588" s="601">
        <v>0</v>
      </c>
      <c r="AP588" s="600"/>
      <c r="AQ588" s="599">
        <v>0</v>
      </c>
      <c r="AR588" s="600"/>
      <c r="AS588" s="601">
        <v>0</v>
      </c>
      <c r="AT588" s="600"/>
      <c r="AU588" s="599">
        <v>0</v>
      </c>
      <c r="AV588" s="600"/>
      <c r="AW588" s="601">
        <v>0</v>
      </c>
      <c r="AX588" s="600"/>
      <c r="AY588" s="599">
        <v>0</v>
      </c>
      <c r="AZ588" s="600"/>
      <c r="BA588" s="601">
        <v>0</v>
      </c>
      <c r="BB588" s="602">
        <v>3547545</v>
      </c>
      <c r="BC588" s="599">
        <v>3885492</v>
      </c>
      <c r="BD588" s="600">
        <v>0</v>
      </c>
      <c r="BE588" s="599">
        <v>0</v>
      </c>
      <c r="BF588" s="600">
        <v>0</v>
      </c>
      <c r="BG588" s="599">
        <v>0</v>
      </c>
      <c r="BH588" s="600">
        <v>0</v>
      </c>
      <c r="BI588" s="599">
        <v>0</v>
      </c>
      <c r="BJ588" s="600">
        <v>0</v>
      </c>
      <c r="BK588" s="615">
        <v>0</v>
      </c>
      <c r="BL588" s="600">
        <v>0</v>
      </c>
      <c r="BM588" s="604">
        <v>0</v>
      </c>
      <c r="BN588" s="605">
        <f t="shared" si="695"/>
        <v>828</v>
      </c>
      <c r="BO588" s="606">
        <f t="shared" si="696"/>
        <v>819</v>
      </c>
      <c r="BP588" s="607">
        <f t="shared" si="697"/>
        <v>0</v>
      </c>
      <c r="BQ588" s="606">
        <f t="shared" si="698"/>
        <v>0</v>
      </c>
      <c r="BR588" s="607">
        <f t="shared" si="699"/>
        <v>0</v>
      </c>
      <c r="BS588" s="606">
        <f t="shared" si="700"/>
        <v>0</v>
      </c>
      <c r="BT588" s="607">
        <f t="shared" si="701"/>
        <v>0</v>
      </c>
      <c r="BU588" s="606">
        <f t="shared" si="702"/>
        <v>0</v>
      </c>
      <c r="BV588" s="607">
        <f t="shared" si="703"/>
        <v>0</v>
      </c>
      <c r="BW588" s="608">
        <f t="shared" si="704"/>
        <v>0</v>
      </c>
      <c r="BX588" s="607">
        <f t="shared" si="705"/>
        <v>0</v>
      </c>
      <c r="BY588" s="608">
        <f t="shared" si="706"/>
        <v>0</v>
      </c>
      <c r="BZ588" s="607">
        <f t="shared" si="707"/>
        <v>4284.474637681159</v>
      </c>
      <c r="CA588" s="608">
        <f t="shared" si="708"/>
        <v>4744.1904761904761</v>
      </c>
      <c r="CB588" s="607">
        <f t="shared" si="709"/>
        <v>0</v>
      </c>
      <c r="CC588" s="608">
        <f t="shared" si="710"/>
        <v>0</v>
      </c>
      <c r="CD588" s="607">
        <f t="shared" si="711"/>
        <v>0</v>
      </c>
      <c r="CE588" s="608">
        <f t="shared" si="712"/>
        <v>0</v>
      </c>
      <c r="CF588" s="607">
        <f t="shared" si="713"/>
        <v>0</v>
      </c>
      <c r="CG588" s="608">
        <f t="shared" si="714"/>
        <v>0</v>
      </c>
      <c r="CH588" s="607">
        <f t="shared" si="715"/>
        <v>0</v>
      </c>
      <c r="CI588" s="608">
        <f t="shared" si="716"/>
        <v>0</v>
      </c>
      <c r="CJ588" s="607">
        <f t="shared" si="717"/>
        <v>0</v>
      </c>
      <c r="CK588" s="608">
        <f t="shared" si="718"/>
        <v>0</v>
      </c>
      <c r="CL588" s="609">
        <f t="shared" si="719"/>
        <v>38560.271739130432</v>
      </c>
      <c r="CM588" s="608">
        <f t="shared" si="720"/>
        <v>42697.714285714283</v>
      </c>
      <c r="CN588" s="610">
        <f t="shared" si="721"/>
        <v>0</v>
      </c>
      <c r="CO588" s="606">
        <f t="shared" si="722"/>
        <v>0</v>
      </c>
      <c r="CP588" s="607">
        <f t="shared" si="723"/>
        <v>0</v>
      </c>
      <c r="CQ588" s="606">
        <f t="shared" si="724"/>
        <v>0</v>
      </c>
      <c r="CR588" s="607">
        <f t="shared" si="725"/>
        <v>0</v>
      </c>
      <c r="CS588" s="606">
        <f t="shared" si="726"/>
        <v>0</v>
      </c>
      <c r="CT588" s="607">
        <f t="shared" si="727"/>
        <v>0</v>
      </c>
      <c r="CU588" s="608">
        <f t="shared" si="728"/>
        <v>0</v>
      </c>
      <c r="CV588" s="610">
        <f t="shared" si="729"/>
        <v>0</v>
      </c>
      <c r="CW588" s="608">
        <f t="shared" si="730"/>
        <v>0</v>
      </c>
      <c r="CX588" s="610">
        <f t="shared" si="731"/>
        <v>38560.271739130432</v>
      </c>
      <c r="CY588" s="611">
        <f t="shared" si="732"/>
        <v>42697.714285714283</v>
      </c>
      <c r="CZ588" s="605">
        <f t="shared" si="733"/>
        <v>86</v>
      </c>
      <c r="DA588" s="612">
        <f t="shared" si="734"/>
        <v>83</v>
      </c>
      <c r="DB588" s="607">
        <f t="shared" si="735"/>
        <v>0</v>
      </c>
      <c r="DC588" s="606">
        <f t="shared" si="736"/>
        <v>0</v>
      </c>
      <c r="DD588" s="607">
        <f t="shared" si="737"/>
        <v>0</v>
      </c>
      <c r="DE588" s="606">
        <f t="shared" si="738"/>
        <v>0</v>
      </c>
      <c r="DF588" s="607">
        <f t="shared" si="739"/>
        <v>0</v>
      </c>
      <c r="DG588" s="606">
        <f t="shared" si="740"/>
        <v>0</v>
      </c>
      <c r="DH588" s="607">
        <f t="shared" si="741"/>
        <v>0</v>
      </c>
      <c r="DI588" s="608">
        <f t="shared" si="742"/>
        <v>0</v>
      </c>
      <c r="DJ588" s="607">
        <f t="shared" si="743"/>
        <v>0</v>
      </c>
      <c r="DK588" s="608">
        <f t="shared" si="744"/>
        <v>0</v>
      </c>
      <c r="DL588" s="607">
        <f t="shared" si="745"/>
        <v>86</v>
      </c>
      <c r="DM588" s="608">
        <f t="shared" si="746"/>
        <v>83</v>
      </c>
      <c r="DN588" s="607">
        <f t="shared" si="747"/>
        <v>3316183.3695652173</v>
      </c>
      <c r="DO588" s="612">
        <f t="shared" si="748"/>
        <v>3543910.2857142854</v>
      </c>
      <c r="DP588" s="607">
        <f t="shared" si="749"/>
        <v>0</v>
      </c>
      <c r="DQ588" s="606">
        <f t="shared" si="750"/>
        <v>0</v>
      </c>
      <c r="DR588" s="607">
        <f t="shared" si="751"/>
        <v>0</v>
      </c>
      <c r="DS588" s="606">
        <f t="shared" si="752"/>
        <v>0</v>
      </c>
      <c r="DT588" s="607">
        <f t="shared" si="753"/>
        <v>0</v>
      </c>
      <c r="DU588" s="606">
        <f t="shared" si="754"/>
        <v>0</v>
      </c>
      <c r="DV588" s="607">
        <f t="shared" si="755"/>
        <v>0</v>
      </c>
      <c r="DW588" s="608">
        <f t="shared" si="756"/>
        <v>0</v>
      </c>
      <c r="DX588" s="607">
        <f t="shared" si="757"/>
        <v>0</v>
      </c>
      <c r="DY588" s="608">
        <f t="shared" si="758"/>
        <v>0</v>
      </c>
      <c r="DZ588" s="607">
        <f t="shared" si="759"/>
        <v>3316183.3695652173</v>
      </c>
      <c r="EA588" s="608">
        <f t="shared" si="760"/>
        <v>3543910.2857142854</v>
      </c>
    </row>
    <row r="589" spans="1:131" x14ac:dyDescent="0.2">
      <c r="A589" s="483" t="s">
        <v>43</v>
      </c>
      <c r="B589" s="354" t="s">
        <v>512</v>
      </c>
      <c r="C589" s="585"/>
      <c r="D589" s="362">
        <v>223320</v>
      </c>
      <c r="E589" s="366">
        <v>9</v>
      </c>
      <c r="F589" s="598">
        <v>67</v>
      </c>
      <c r="G589" s="599">
        <v>57</v>
      </c>
      <c r="H589" s="600"/>
      <c r="I589" s="601">
        <v>4</v>
      </c>
      <c r="J589" s="600">
        <v>38</v>
      </c>
      <c r="K589" s="599">
        <v>11</v>
      </c>
      <c r="L589" s="600"/>
      <c r="M589" s="601">
        <v>24</v>
      </c>
      <c r="N589" s="600"/>
      <c r="O589" s="599">
        <v>0</v>
      </c>
      <c r="P589" s="600"/>
      <c r="Q589" s="601">
        <v>0</v>
      </c>
      <c r="R589" s="600"/>
      <c r="S589" s="599">
        <v>0</v>
      </c>
      <c r="T589" s="600"/>
      <c r="U589" s="601">
        <v>0</v>
      </c>
      <c r="V589" s="600"/>
      <c r="W589" s="599">
        <v>0</v>
      </c>
      <c r="X589" s="600"/>
      <c r="Y589" s="601">
        <v>0</v>
      </c>
      <c r="Z589" s="600"/>
      <c r="AA589" s="599">
        <v>0</v>
      </c>
      <c r="AB589" s="600"/>
      <c r="AC589" s="601">
        <v>0</v>
      </c>
      <c r="AD589" s="600"/>
      <c r="AE589" s="599">
        <v>0</v>
      </c>
      <c r="AF589" s="600"/>
      <c r="AG589" s="601">
        <v>0</v>
      </c>
      <c r="AH589" s="600"/>
      <c r="AI589" s="599">
        <v>0</v>
      </c>
      <c r="AJ589" s="600"/>
      <c r="AK589" s="601">
        <v>0</v>
      </c>
      <c r="AL589" s="600"/>
      <c r="AM589" s="599">
        <v>0</v>
      </c>
      <c r="AN589" s="600"/>
      <c r="AO589" s="601">
        <v>0</v>
      </c>
      <c r="AP589" s="600"/>
      <c r="AQ589" s="599">
        <v>0</v>
      </c>
      <c r="AR589" s="600"/>
      <c r="AS589" s="601">
        <v>0</v>
      </c>
      <c r="AT589" s="600"/>
      <c r="AU589" s="599">
        <v>0</v>
      </c>
      <c r="AV589" s="600"/>
      <c r="AW589" s="601">
        <v>0</v>
      </c>
      <c r="AX589" s="600"/>
      <c r="AY589" s="599">
        <v>0</v>
      </c>
      <c r="AZ589" s="600"/>
      <c r="BA589" s="601">
        <v>0</v>
      </c>
      <c r="BB589" s="602">
        <v>4842084</v>
      </c>
      <c r="BC589" s="599">
        <v>4428176</v>
      </c>
      <c r="BD589" s="600">
        <v>0</v>
      </c>
      <c r="BE589" s="599">
        <v>0</v>
      </c>
      <c r="BF589" s="600">
        <v>0</v>
      </c>
      <c r="BG589" s="599">
        <v>0</v>
      </c>
      <c r="BH589" s="600">
        <v>0</v>
      </c>
      <c r="BI589" s="599">
        <v>0</v>
      </c>
      <c r="BJ589" s="600">
        <v>0</v>
      </c>
      <c r="BK589" s="615">
        <v>0</v>
      </c>
      <c r="BL589" s="600">
        <v>0</v>
      </c>
      <c r="BM589" s="604">
        <v>0</v>
      </c>
      <c r="BN589" s="605">
        <f t="shared" si="695"/>
        <v>1021</v>
      </c>
      <c r="BO589" s="606">
        <f t="shared" si="696"/>
        <v>962</v>
      </c>
      <c r="BP589" s="607">
        <f t="shared" si="697"/>
        <v>0</v>
      </c>
      <c r="BQ589" s="606">
        <f t="shared" si="698"/>
        <v>0</v>
      </c>
      <c r="BR589" s="607">
        <f t="shared" si="699"/>
        <v>0</v>
      </c>
      <c r="BS589" s="606">
        <f t="shared" si="700"/>
        <v>0</v>
      </c>
      <c r="BT589" s="607">
        <f t="shared" si="701"/>
        <v>0</v>
      </c>
      <c r="BU589" s="606">
        <f t="shared" si="702"/>
        <v>0</v>
      </c>
      <c r="BV589" s="607">
        <f t="shared" si="703"/>
        <v>0</v>
      </c>
      <c r="BW589" s="608">
        <f t="shared" si="704"/>
        <v>0</v>
      </c>
      <c r="BX589" s="607">
        <f t="shared" si="705"/>
        <v>0</v>
      </c>
      <c r="BY589" s="608">
        <f t="shared" si="706"/>
        <v>0</v>
      </c>
      <c r="BZ589" s="607">
        <f t="shared" si="707"/>
        <v>4742.4916748285996</v>
      </c>
      <c r="CA589" s="608">
        <f t="shared" si="708"/>
        <v>4603.0935550935546</v>
      </c>
      <c r="CB589" s="607">
        <f t="shared" si="709"/>
        <v>0</v>
      </c>
      <c r="CC589" s="608">
        <f t="shared" si="710"/>
        <v>0</v>
      </c>
      <c r="CD589" s="607">
        <f t="shared" si="711"/>
        <v>0</v>
      </c>
      <c r="CE589" s="608">
        <f t="shared" si="712"/>
        <v>0</v>
      </c>
      <c r="CF589" s="607">
        <f t="shared" si="713"/>
        <v>0</v>
      </c>
      <c r="CG589" s="608">
        <f t="shared" si="714"/>
        <v>0</v>
      </c>
      <c r="CH589" s="607">
        <f t="shared" si="715"/>
        <v>0</v>
      </c>
      <c r="CI589" s="608">
        <f t="shared" si="716"/>
        <v>0</v>
      </c>
      <c r="CJ589" s="607">
        <f t="shared" si="717"/>
        <v>0</v>
      </c>
      <c r="CK589" s="608">
        <f t="shared" si="718"/>
        <v>0</v>
      </c>
      <c r="CL589" s="609">
        <f t="shared" si="719"/>
        <v>42682.425073457394</v>
      </c>
      <c r="CM589" s="608">
        <f t="shared" si="720"/>
        <v>41427.841995841991</v>
      </c>
      <c r="CN589" s="610">
        <f t="shared" si="721"/>
        <v>0</v>
      </c>
      <c r="CO589" s="606">
        <f t="shared" si="722"/>
        <v>0</v>
      </c>
      <c r="CP589" s="607">
        <f t="shared" si="723"/>
        <v>0</v>
      </c>
      <c r="CQ589" s="606">
        <f t="shared" si="724"/>
        <v>0</v>
      </c>
      <c r="CR589" s="607">
        <f t="shared" si="725"/>
        <v>0</v>
      </c>
      <c r="CS589" s="606">
        <f t="shared" si="726"/>
        <v>0</v>
      </c>
      <c r="CT589" s="607">
        <f t="shared" si="727"/>
        <v>0</v>
      </c>
      <c r="CU589" s="608">
        <f t="shared" si="728"/>
        <v>0</v>
      </c>
      <c r="CV589" s="610">
        <f t="shared" si="729"/>
        <v>0</v>
      </c>
      <c r="CW589" s="608">
        <f t="shared" si="730"/>
        <v>0</v>
      </c>
      <c r="CX589" s="610">
        <f t="shared" si="731"/>
        <v>42682.425073457394</v>
      </c>
      <c r="CY589" s="611">
        <f t="shared" si="732"/>
        <v>41427.841995841991</v>
      </c>
      <c r="CZ589" s="605">
        <f t="shared" si="733"/>
        <v>105</v>
      </c>
      <c r="DA589" s="612">
        <f t="shared" si="734"/>
        <v>96</v>
      </c>
      <c r="DB589" s="607">
        <f t="shared" si="735"/>
        <v>0</v>
      </c>
      <c r="DC589" s="606">
        <f t="shared" si="736"/>
        <v>0</v>
      </c>
      <c r="DD589" s="607">
        <f t="shared" si="737"/>
        <v>0</v>
      </c>
      <c r="DE589" s="606">
        <f t="shared" si="738"/>
        <v>0</v>
      </c>
      <c r="DF589" s="607">
        <f t="shared" si="739"/>
        <v>0</v>
      </c>
      <c r="DG589" s="606">
        <f t="shared" si="740"/>
        <v>0</v>
      </c>
      <c r="DH589" s="607">
        <f t="shared" si="741"/>
        <v>0</v>
      </c>
      <c r="DI589" s="608">
        <f t="shared" si="742"/>
        <v>0</v>
      </c>
      <c r="DJ589" s="607">
        <f t="shared" si="743"/>
        <v>0</v>
      </c>
      <c r="DK589" s="608">
        <f t="shared" si="744"/>
        <v>0</v>
      </c>
      <c r="DL589" s="607">
        <f t="shared" si="745"/>
        <v>105</v>
      </c>
      <c r="DM589" s="608">
        <f t="shared" si="746"/>
        <v>96</v>
      </c>
      <c r="DN589" s="607">
        <f t="shared" si="747"/>
        <v>4481654.6327130264</v>
      </c>
      <c r="DO589" s="612">
        <f t="shared" si="748"/>
        <v>3977072.8316008309</v>
      </c>
      <c r="DP589" s="607">
        <f t="shared" si="749"/>
        <v>0</v>
      </c>
      <c r="DQ589" s="606">
        <f t="shared" si="750"/>
        <v>0</v>
      </c>
      <c r="DR589" s="607">
        <f t="shared" si="751"/>
        <v>0</v>
      </c>
      <c r="DS589" s="606">
        <f t="shared" si="752"/>
        <v>0</v>
      </c>
      <c r="DT589" s="607">
        <f t="shared" si="753"/>
        <v>0</v>
      </c>
      <c r="DU589" s="606">
        <f t="shared" si="754"/>
        <v>0</v>
      </c>
      <c r="DV589" s="607">
        <f t="shared" si="755"/>
        <v>0</v>
      </c>
      <c r="DW589" s="608">
        <f t="shared" si="756"/>
        <v>0</v>
      </c>
      <c r="DX589" s="607">
        <f t="shared" si="757"/>
        <v>0</v>
      </c>
      <c r="DY589" s="608">
        <f t="shared" si="758"/>
        <v>0</v>
      </c>
      <c r="DZ589" s="607">
        <f t="shared" si="759"/>
        <v>4481654.6327130264</v>
      </c>
      <c r="EA589" s="608">
        <f t="shared" si="760"/>
        <v>3977072.8316008309</v>
      </c>
    </row>
    <row r="590" spans="1:131" x14ac:dyDescent="0.2">
      <c r="A590" s="483" t="s">
        <v>43</v>
      </c>
      <c r="B590" s="354" t="s">
        <v>513</v>
      </c>
      <c r="C590" s="585"/>
      <c r="D590" s="362">
        <v>226408</v>
      </c>
      <c r="E590" s="366">
        <v>9</v>
      </c>
      <c r="F590" s="598">
        <v>3</v>
      </c>
      <c r="G590" s="599">
        <v>20</v>
      </c>
      <c r="H590" s="600"/>
      <c r="I590" s="601">
        <v>0</v>
      </c>
      <c r="J590" s="600">
        <v>18</v>
      </c>
      <c r="K590" s="599">
        <v>2</v>
      </c>
      <c r="L590" s="600"/>
      <c r="M590" s="601">
        <v>0</v>
      </c>
      <c r="N590" s="600">
        <v>3</v>
      </c>
      <c r="O590" s="599">
        <v>21</v>
      </c>
      <c r="P590" s="600"/>
      <c r="Q590" s="601">
        <v>0</v>
      </c>
      <c r="R590" s="600">
        <v>37</v>
      </c>
      <c r="S590" s="599">
        <v>8</v>
      </c>
      <c r="T590" s="600"/>
      <c r="U590" s="601">
        <v>4</v>
      </c>
      <c r="V590" s="600">
        <v>11</v>
      </c>
      <c r="W590" s="599">
        <v>32</v>
      </c>
      <c r="X590" s="600"/>
      <c r="Y590" s="601">
        <v>0</v>
      </c>
      <c r="Z590" s="600">
        <v>41</v>
      </c>
      <c r="AA590" s="599">
        <v>11</v>
      </c>
      <c r="AB590" s="600"/>
      <c r="AC590" s="601">
        <v>13</v>
      </c>
      <c r="AD590" s="600"/>
      <c r="AE590" s="599">
        <v>0</v>
      </c>
      <c r="AF590" s="600"/>
      <c r="AG590" s="601">
        <v>0</v>
      </c>
      <c r="AH590" s="600"/>
      <c r="AI590" s="599">
        <v>0</v>
      </c>
      <c r="AJ590" s="600"/>
      <c r="AK590" s="601">
        <v>0</v>
      </c>
      <c r="AL590" s="600"/>
      <c r="AM590" s="599">
        <v>0</v>
      </c>
      <c r="AN590" s="600"/>
      <c r="AO590" s="601">
        <v>0</v>
      </c>
      <c r="AP590" s="600"/>
      <c r="AQ590" s="599">
        <v>0</v>
      </c>
      <c r="AR590" s="600"/>
      <c r="AS590" s="601">
        <v>0</v>
      </c>
      <c r="AT590" s="600"/>
      <c r="AU590" s="599">
        <v>0</v>
      </c>
      <c r="AV590" s="600"/>
      <c r="AW590" s="601">
        <v>0</v>
      </c>
      <c r="AX590" s="600"/>
      <c r="AY590" s="599">
        <v>0</v>
      </c>
      <c r="AZ590" s="600"/>
      <c r="BA590" s="601">
        <v>0</v>
      </c>
      <c r="BB590" s="602">
        <v>1524522</v>
      </c>
      <c r="BC590" s="599">
        <v>1347633</v>
      </c>
      <c r="BD590" s="600">
        <v>2482501</v>
      </c>
      <c r="BE590" s="599">
        <v>1804503</v>
      </c>
      <c r="BF590" s="600">
        <v>2938729</v>
      </c>
      <c r="BG590" s="599">
        <v>3033217</v>
      </c>
      <c r="BH590" s="600">
        <v>0</v>
      </c>
      <c r="BI590" s="599">
        <v>0</v>
      </c>
      <c r="BJ590" s="600">
        <v>0</v>
      </c>
      <c r="BK590" s="615">
        <v>0</v>
      </c>
      <c r="BL590" s="600">
        <v>0</v>
      </c>
      <c r="BM590" s="604">
        <v>0</v>
      </c>
      <c r="BN590" s="605">
        <f t="shared" si="695"/>
        <v>225</v>
      </c>
      <c r="BO590" s="606">
        <f t="shared" si="696"/>
        <v>202</v>
      </c>
      <c r="BP590" s="607">
        <f t="shared" si="697"/>
        <v>434</v>
      </c>
      <c r="BQ590" s="606">
        <f t="shared" si="698"/>
        <v>325</v>
      </c>
      <c r="BR590" s="607">
        <f t="shared" si="699"/>
        <v>550</v>
      </c>
      <c r="BS590" s="606">
        <f t="shared" si="700"/>
        <v>565</v>
      </c>
      <c r="BT590" s="607">
        <f t="shared" si="701"/>
        <v>0</v>
      </c>
      <c r="BU590" s="606">
        <f t="shared" si="702"/>
        <v>0</v>
      </c>
      <c r="BV590" s="607">
        <f t="shared" si="703"/>
        <v>0</v>
      </c>
      <c r="BW590" s="608">
        <f t="shared" si="704"/>
        <v>0</v>
      </c>
      <c r="BX590" s="607">
        <f t="shared" si="705"/>
        <v>0</v>
      </c>
      <c r="BY590" s="608">
        <f t="shared" si="706"/>
        <v>0</v>
      </c>
      <c r="BZ590" s="607">
        <f t="shared" si="707"/>
        <v>6775.6533333333336</v>
      </c>
      <c r="CA590" s="608">
        <f t="shared" si="708"/>
        <v>6671.4504950495048</v>
      </c>
      <c r="CB590" s="607">
        <f t="shared" si="709"/>
        <v>5720.0483870967746</v>
      </c>
      <c r="CC590" s="608">
        <f t="shared" si="710"/>
        <v>5552.3169230769226</v>
      </c>
      <c r="CD590" s="607">
        <f t="shared" si="711"/>
        <v>5343.1436363636367</v>
      </c>
      <c r="CE590" s="608">
        <f t="shared" si="712"/>
        <v>5368.5256637168141</v>
      </c>
      <c r="CF590" s="607">
        <f t="shared" si="713"/>
        <v>0</v>
      </c>
      <c r="CG590" s="608">
        <f t="shared" si="714"/>
        <v>0</v>
      </c>
      <c r="CH590" s="607">
        <f t="shared" si="715"/>
        <v>0</v>
      </c>
      <c r="CI590" s="608">
        <f t="shared" si="716"/>
        <v>0</v>
      </c>
      <c r="CJ590" s="607">
        <f t="shared" si="717"/>
        <v>0</v>
      </c>
      <c r="CK590" s="608">
        <f t="shared" si="718"/>
        <v>0</v>
      </c>
      <c r="CL590" s="609">
        <f t="shared" si="719"/>
        <v>60980.880000000005</v>
      </c>
      <c r="CM590" s="608">
        <f t="shared" si="720"/>
        <v>60043.054455445541</v>
      </c>
      <c r="CN590" s="610">
        <f t="shared" si="721"/>
        <v>51480.43548387097</v>
      </c>
      <c r="CO590" s="606">
        <f t="shared" si="722"/>
        <v>49970.852307692301</v>
      </c>
      <c r="CP590" s="607">
        <f t="shared" si="723"/>
        <v>48088.292727272732</v>
      </c>
      <c r="CQ590" s="606">
        <f t="shared" si="724"/>
        <v>48316.730973451326</v>
      </c>
      <c r="CR590" s="607">
        <f t="shared" si="725"/>
        <v>0</v>
      </c>
      <c r="CS590" s="606">
        <f t="shared" si="726"/>
        <v>0</v>
      </c>
      <c r="CT590" s="607">
        <f t="shared" si="727"/>
        <v>0</v>
      </c>
      <c r="CU590" s="608">
        <f t="shared" si="728"/>
        <v>0</v>
      </c>
      <c r="CV590" s="610">
        <f t="shared" si="729"/>
        <v>0</v>
      </c>
      <c r="CW590" s="608">
        <f t="shared" si="730"/>
        <v>0</v>
      </c>
      <c r="CX590" s="610">
        <f t="shared" si="731"/>
        <v>51685.018771442657</v>
      </c>
      <c r="CY590" s="611">
        <f t="shared" si="732"/>
        <v>51132.632961143448</v>
      </c>
      <c r="CZ590" s="605">
        <f t="shared" si="733"/>
        <v>21</v>
      </c>
      <c r="DA590" s="612">
        <f t="shared" si="734"/>
        <v>22</v>
      </c>
      <c r="DB590" s="607">
        <f t="shared" si="735"/>
        <v>40</v>
      </c>
      <c r="DC590" s="606">
        <f t="shared" si="736"/>
        <v>33</v>
      </c>
      <c r="DD590" s="607">
        <f t="shared" si="737"/>
        <v>52</v>
      </c>
      <c r="DE590" s="606">
        <f t="shared" si="738"/>
        <v>56</v>
      </c>
      <c r="DF590" s="607">
        <f t="shared" si="739"/>
        <v>0</v>
      </c>
      <c r="DG590" s="606">
        <f t="shared" si="740"/>
        <v>0</v>
      </c>
      <c r="DH590" s="607">
        <f t="shared" si="741"/>
        <v>0</v>
      </c>
      <c r="DI590" s="608">
        <f t="shared" si="742"/>
        <v>0</v>
      </c>
      <c r="DJ590" s="607">
        <f t="shared" si="743"/>
        <v>0</v>
      </c>
      <c r="DK590" s="608">
        <f t="shared" si="744"/>
        <v>0</v>
      </c>
      <c r="DL590" s="607">
        <f t="shared" si="745"/>
        <v>113</v>
      </c>
      <c r="DM590" s="608">
        <f t="shared" si="746"/>
        <v>111</v>
      </c>
      <c r="DN590" s="607">
        <f t="shared" si="747"/>
        <v>1280598.48</v>
      </c>
      <c r="DO590" s="612">
        <f t="shared" si="748"/>
        <v>1320947.1980198019</v>
      </c>
      <c r="DP590" s="607">
        <f t="shared" si="749"/>
        <v>2059217.4193548388</v>
      </c>
      <c r="DQ590" s="606">
        <f t="shared" si="750"/>
        <v>1649038.126153846</v>
      </c>
      <c r="DR590" s="607">
        <f t="shared" si="751"/>
        <v>2500591.2218181822</v>
      </c>
      <c r="DS590" s="606">
        <f t="shared" si="752"/>
        <v>2705736.9345132741</v>
      </c>
      <c r="DT590" s="607">
        <f t="shared" si="753"/>
        <v>0</v>
      </c>
      <c r="DU590" s="606">
        <f t="shared" si="754"/>
        <v>0</v>
      </c>
      <c r="DV590" s="607">
        <f t="shared" si="755"/>
        <v>0</v>
      </c>
      <c r="DW590" s="608">
        <f t="shared" si="756"/>
        <v>0</v>
      </c>
      <c r="DX590" s="607">
        <f t="shared" si="757"/>
        <v>0</v>
      </c>
      <c r="DY590" s="608">
        <f t="shared" si="758"/>
        <v>0</v>
      </c>
      <c r="DZ590" s="607">
        <f t="shared" si="759"/>
        <v>5840407.1211730205</v>
      </c>
      <c r="EA590" s="608">
        <f t="shared" si="760"/>
        <v>5675722.2586869225</v>
      </c>
    </row>
    <row r="591" spans="1:131" x14ac:dyDescent="0.2">
      <c r="A591" s="483" t="s">
        <v>43</v>
      </c>
      <c r="B591" s="354" t="s">
        <v>514</v>
      </c>
      <c r="C591" s="585"/>
      <c r="D591" s="362">
        <v>225070</v>
      </c>
      <c r="E591" s="366">
        <v>9</v>
      </c>
      <c r="F591" s="598"/>
      <c r="G591" s="599">
        <v>73</v>
      </c>
      <c r="H591" s="600"/>
      <c r="I591" s="601">
        <v>16</v>
      </c>
      <c r="J591" s="600"/>
      <c r="K591" s="599">
        <v>2</v>
      </c>
      <c r="L591" s="600"/>
      <c r="M591" s="601">
        <v>11</v>
      </c>
      <c r="N591" s="600"/>
      <c r="O591" s="599">
        <v>0</v>
      </c>
      <c r="P591" s="600"/>
      <c r="Q591" s="601">
        <v>0</v>
      </c>
      <c r="R591" s="600"/>
      <c r="S591" s="599">
        <v>0</v>
      </c>
      <c r="T591" s="600"/>
      <c r="U591" s="601">
        <v>0</v>
      </c>
      <c r="V591" s="600"/>
      <c r="W591" s="599">
        <v>0</v>
      </c>
      <c r="X591" s="600"/>
      <c r="Y591" s="601">
        <v>0</v>
      </c>
      <c r="Z591" s="600"/>
      <c r="AA591" s="599">
        <v>0</v>
      </c>
      <c r="AB591" s="600"/>
      <c r="AC591" s="601">
        <v>0</v>
      </c>
      <c r="AD591" s="600"/>
      <c r="AE591" s="599">
        <v>0</v>
      </c>
      <c r="AF591" s="600"/>
      <c r="AG591" s="601">
        <v>0</v>
      </c>
      <c r="AH591" s="600"/>
      <c r="AI591" s="599">
        <v>0</v>
      </c>
      <c r="AJ591" s="600"/>
      <c r="AK591" s="601">
        <v>0</v>
      </c>
      <c r="AL591" s="600"/>
      <c r="AM591" s="599">
        <v>0</v>
      </c>
      <c r="AN591" s="600"/>
      <c r="AO591" s="601">
        <v>0</v>
      </c>
      <c r="AP591" s="600"/>
      <c r="AQ591" s="599">
        <v>0</v>
      </c>
      <c r="AR591" s="600"/>
      <c r="AS591" s="601">
        <v>0</v>
      </c>
      <c r="AT591" s="600">
        <v>87</v>
      </c>
      <c r="AU591" s="599">
        <v>0</v>
      </c>
      <c r="AV591" s="600"/>
      <c r="AW591" s="601">
        <v>0</v>
      </c>
      <c r="AX591" s="600">
        <v>14</v>
      </c>
      <c r="AY591" s="599">
        <v>0</v>
      </c>
      <c r="AZ591" s="600"/>
      <c r="BA591" s="601">
        <v>0</v>
      </c>
      <c r="BB591" s="602">
        <v>0</v>
      </c>
      <c r="BC591" s="599">
        <v>5223932</v>
      </c>
      <c r="BD591" s="600">
        <v>0</v>
      </c>
      <c r="BE591" s="599">
        <v>0</v>
      </c>
      <c r="BF591" s="600">
        <v>0</v>
      </c>
      <c r="BG591" s="599">
        <v>0</v>
      </c>
      <c r="BH591" s="600">
        <v>0</v>
      </c>
      <c r="BI591" s="599">
        <v>0</v>
      </c>
      <c r="BJ591" s="600">
        <v>0</v>
      </c>
      <c r="BK591" s="615">
        <v>0</v>
      </c>
      <c r="BL591" s="600">
        <v>5377791</v>
      </c>
      <c r="BM591" s="604">
        <v>0</v>
      </c>
      <c r="BN591" s="605">
        <f t="shared" si="695"/>
        <v>0</v>
      </c>
      <c r="BO591" s="606">
        <f t="shared" si="696"/>
        <v>971</v>
      </c>
      <c r="BP591" s="607">
        <f t="shared" si="697"/>
        <v>0</v>
      </c>
      <c r="BQ591" s="606">
        <f t="shared" si="698"/>
        <v>0</v>
      </c>
      <c r="BR591" s="607">
        <f t="shared" si="699"/>
        <v>0</v>
      </c>
      <c r="BS591" s="606">
        <f t="shared" si="700"/>
        <v>0</v>
      </c>
      <c r="BT591" s="607">
        <f t="shared" si="701"/>
        <v>0</v>
      </c>
      <c r="BU591" s="606">
        <f t="shared" si="702"/>
        <v>0</v>
      </c>
      <c r="BV591" s="607">
        <f t="shared" si="703"/>
        <v>0</v>
      </c>
      <c r="BW591" s="608">
        <f t="shared" si="704"/>
        <v>0</v>
      </c>
      <c r="BX591" s="607">
        <f t="shared" si="705"/>
        <v>937</v>
      </c>
      <c r="BY591" s="608">
        <f t="shared" si="706"/>
        <v>0</v>
      </c>
      <c r="BZ591" s="607">
        <f t="shared" si="707"/>
        <v>0</v>
      </c>
      <c r="CA591" s="608">
        <f t="shared" si="708"/>
        <v>5379.9505664263643</v>
      </c>
      <c r="CB591" s="607">
        <f t="shared" si="709"/>
        <v>0</v>
      </c>
      <c r="CC591" s="608">
        <f t="shared" si="710"/>
        <v>0</v>
      </c>
      <c r="CD591" s="607">
        <f t="shared" si="711"/>
        <v>0</v>
      </c>
      <c r="CE591" s="608">
        <f t="shared" si="712"/>
        <v>0</v>
      </c>
      <c r="CF591" s="607">
        <f t="shared" si="713"/>
        <v>0</v>
      </c>
      <c r="CG591" s="608">
        <f t="shared" si="714"/>
        <v>0</v>
      </c>
      <c r="CH591" s="607">
        <f t="shared" si="715"/>
        <v>0</v>
      </c>
      <c r="CI591" s="608">
        <f t="shared" si="716"/>
        <v>0</v>
      </c>
      <c r="CJ591" s="607">
        <f t="shared" si="717"/>
        <v>5739.3713980789753</v>
      </c>
      <c r="CK591" s="608">
        <f t="shared" si="718"/>
        <v>0</v>
      </c>
      <c r="CL591" s="609">
        <f t="shared" si="719"/>
        <v>0</v>
      </c>
      <c r="CM591" s="608">
        <f t="shared" si="720"/>
        <v>48419.555097837278</v>
      </c>
      <c r="CN591" s="610">
        <f t="shared" si="721"/>
        <v>0</v>
      </c>
      <c r="CO591" s="606">
        <f t="shared" si="722"/>
        <v>0</v>
      </c>
      <c r="CP591" s="607">
        <f t="shared" si="723"/>
        <v>0</v>
      </c>
      <c r="CQ591" s="606">
        <f t="shared" si="724"/>
        <v>0</v>
      </c>
      <c r="CR591" s="607">
        <f t="shared" si="725"/>
        <v>0</v>
      </c>
      <c r="CS591" s="606">
        <f t="shared" si="726"/>
        <v>0</v>
      </c>
      <c r="CT591" s="607">
        <f t="shared" si="727"/>
        <v>0</v>
      </c>
      <c r="CU591" s="608">
        <f t="shared" si="728"/>
        <v>0</v>
      </c>
      <c r="CV591" s="610">
        <f t="shared" si="729"/>
        <v>51654.342582710779</v>
      </c>
      <c r="CW591" s="608">
        <f t="shared" si="730"/>
        <v>0</v>
      </c>
      <c r="CX591" s="610">
        <f t="shared" si="731"/>
        <v>51654.342582710779</v>
      </c>
      <c r="CY591" s="611">
        <f t="shared" si="732"/>
        <v>48419.555097837278</v>
      </c>
      <c r="CZ591" s="605">
        <f t="shared" si="733"/>
        <v>0</v>
      </c>
      <c r="DA591" s="612">
        <f t="shared" si="734"/>
        <v>102</v>
      </c>
      <c r="DB591" s="607">
        <f t="shared" si="735"/>
        <v>0</v>
      </c>
      <c r="DC591" s="606">
        <f t="shared" si="736"/>
        <v>0</v>
      </c>
      <c r="DD591" s="607">
        <f t="shared" si="737"/>
        <v>0</v>
      </c>
      <c r="DE591" s="606">
        <f t="shared" si="738"/>
        <v>0</v>
      </c>
      <c r="DF591" s="607">
        <f t="shared" si="739"/>
        <v>0</v>
      </c>
      <c r="DG591" s="606">
        <f t="shared" si="740"/>
        <v>0</v>
      </c>
      <c r="DH591" s="607">
        <f t="shared" si="741"/>
        <v>0</v>
      </c>
      <c r="DI591" s="608">
        <f t="shared" si="742"/>
        <v>0</v>
      </c>
      <c r="DJ591" s="607">
        <f t="shared" si="743"/>
        <v>101</v>
      </c>
      <c r="DK591" s="608">
        <f t="shared" si="744"/>
        <v>0</v>
      </c>
      <c r="DL591" s="607">
        <f t="shared" si="745"/>
        <v>101</v>
      </c>
      <c r="DM591" s="608">
        <f t="shared" si="746"/>
        <v>102</v>
      </c>
      <c r="DN591" s="607">
        <f t="shared" si="747"/>
        <v>0</v>
      </c>
      <c r="DO591" s="612">
        <f t="shared" si="748"/>
        <v>4938794.6199794021</v>
      </c>
      <c r="DP591" s="607">
        <f t="shared" si="749"/>
        <v>0</v>
      </c>
      <c r="DQ591" s="606">
        <f t="shared" si="750"/>
        <v>0</v>
      </c>
      <c r="DR591" s="607">
        <f t="shared" si="751"/>
        <v>0</v>
      </c>
      <c r="DS591" s="606">
        <f t="shared" si="752"/>
        <v>0</v>
      </c>
      <c r="DT591" s="607">
        <f t="shared" si="753"/>
        <v>0</v>
      </c>
      <c r="DU591" s="606">
        <f t="shared" si="754"/>
        <v>0</v>
      </c>
      <c r="DV591" s="607">
        <f t="shared" si="755"/>
        <v>0</v>
      </c>
      <c r="DW591" s="608">
        <f t="shared" si="756"/>
        <v>0</v>
      </c>
      <c r="DX591" s="607">
        <f t="shared" si="757"/>
        <v>5217088.6008537887</v>
      </c>
      <c r="DY591" s="608">
        <f t="shared" si="758"/>
        <v>0</v>
      </c>
      <c r="DZ591" s="607">
        <f t="shared" si="759"/>
        <v>5217088.6008537887</v>
      </c>
      <c r="EA591" s="608">
        <f t="shared" si="760"/>
        <v>4938794.6199794021</v>
      </c>
    </row>
    <row r="592" spans="1:131" x14ac:dyDescent="0.2">
      <c r="A592" s="483" t="s">
        <v>43</v>
      </c>
      <c r="B592" s="354" t="s">
        <v>515</v>
      </c>
      <c r="C592" s="585"/>
      <c r="D592" s="362">
        <v>225371</v>
      </c>
      <c r="E592" s="366">
        <v>9</v>
      </c>
      <c r="F592" s="598"/>
      <c r="G592" s="599">
        <v>0</v>
      </c>
      <c r="H592" s="600"/>
      <c r="I592" s="601">
        <v>0</v>
      </c>
      <c r="J592" s="600"/>
      <c r="K592" s="599">
        <v>0</v>
      </c>
      <c r="L592" s="600"/>
      <c r="M592" s="601">
        <v>0</v>
      </c>
      <c r="N592" s="600"/>
      <c r="O592" s="599">
        <v>0</v>
      </c>
      <c r="P592" s="600"/>
      <c r="Q592" s="601">
        <v>0</v>
      </c>
      <c r="R592" s="600"/>
      <c r="S592" s="599">
        <v>0</v>
      </c>
      <c r="T592" s="600"/>
      <c r="U592" s="601">
        <v>0</v>
      </c>
      <c r="V592" s="600"/>
      <c r="W592" s="599">
        <v>0</v>
      </c>
      <c r="X592" s="600"/>
      <c r="Y592" s="601">
        <v>0</v>
      </c>
      <c r="Z592" s="600"/>
      <c r="AA592" s="599">
        <v>0</v>
      </c>
      <c r="AB592" s="600"/>
      <c r="AC592" s="601">
        <v>0</v>
      </c>
      <c r="AD592" s="600"/>
      <c r="AE592" s="599">
        <v>0</v>
      </c>
      <c r="AF592" s="600"/>
      <c r="AG592" s="601">
        <v>0</v>
      </c>
      <c r="AH592" s="600"/>
      <c r="AI592" s="599">
        <v>0</v>
      </c>
      <c r="AJ592" s="600"/>
      <c r="AK592" s="601">
        <v>0</v>
      </c>
      <c r="AL592" s="600"/>
      <c r="AM592" s="599">
        <v>0</v>
      </c>
      <c r="AN592" s="600"/>
      <c r="AO592" s="601">
        <v>0</v>
      </c>
      <c r="AP592" s="600"/>
      <c r="AQ592" s="599">
        <v>0</v>
      </c>
      <c r="AR592" s="600"/>
      <c r="AS592" s="601">
        <v>0</v>
      </c>
      <c r="AT592" s="600">
        <v>73</v>
      </c>
      <c r="AU592" s="599">
        <v>71</v>
      </c>
      <c r="AV592" s="600"/>
      <c r="AW592" s="601">
        <v>0</v>
      </c>
      <c r="AX592" s="600">
        <v>12</v>
      </c>
      <c r="AY592" s="599">
        <v>4</v>
      </c>
      <c r="AZ592" s="600"/>
      <c r="BA592" s="601">
        <v>14</v>
      </c>
      <c r="BB592" s="602">
        <v>0</v>
      </c>
      <c r="BC592" s="599">
        <v>0</v>
      </c>
      <c r="BD592" s="600">
        <v>0</v>
      </c>
      <c r="BE592" s="599">
        <v>0</v>
      </c>
      <c r="BF592" s="600">
        <v>0</v>
      </c>
      <c r="BG592" s="599">
        <v>0</v>
      </c>
      <c r="BH592" s="600">
        <v>0</v>
      </c>
      <c r="BI592" s="599">
        <v>0</v>
      </c>
      <c r="BJ592" s="600">
        <v>0</v>
      </c>
      <c r="BK592" s="615">
        <v>0</v>
      </c>
      <c r="BL592" s="600">
        <v>3670162</v>
      </c>
      <c r="BM592" s="604">
        <v>3964884</v>
      </c>
      <c r="BN592" s="605">
        <f t="shared" si="695"/>
        <v>0</v>
      </c>
      <c r="BO592" s="606">
        <f t="shared" si="696"/>
        <v>0</v>
      </c>
      <c r="BP592" s="607">
        <f t="shared" si="697"/>
        <v>0</v>
      </c>
      <c r="BQ592" s="606">
        <f t="shared" si="698"/>
        <v>0</v>
      </c>
      <c r="BR592" s="607">
        <f t="shared" si="699"/>
        <v>0</v>
      </c>
      <c r="BS592" s="606">
        <f t="shared" si="700"/>
        <v>0</v>
      </c>
      <c r="BT592" s="607">
        <f t="shared" si="701"/>
        <v>0</v>
      </c>
      <c r="BU592" s="606">
        <f t="shared" si="702"/>
        <v>0</v>
      </c>
      <c r="BV592" s="607">
        <f t="shared" si="703"/>
        <v>0</v>
      </c>
      <c r="BW592" s="608">
        <f t="shared" si="704"/>
        <v>0</v>
      </c>
      <c r="BX592" s="607">
        <f t="shared" si="705"/>
        <v>789</v>
      </c>
      <c r="BY592" s="608">
        <f t="shared" si="706"/>
        <v>851</v>
      </c>
      <c r="BZ592" s="607">
        <f t="shared" si="707"/>
        <v>0</v>
      </c>
      <c r="CA592" s="608">
        <f t="shared" si="708"/>
        <v>0</v>
      </c>
      <c r="CB592" s="607">
        <f t="shared" si="709"/>
        <v>0</v>
      </c>
      <c r="CC592" s="608">
        <f t="shared" si="710"/>
        <v>0</v>
      </c>
      <c r="CD592" s="607">
        <f t="shared" si="711"/>
        <v>0</v>
      </c>
      <c r="CE592" s="608">
        <f t="shared" si="712"/>
        <v>0</v>
      </c>
      <c r="CF592" s="607">
        <f t="shared" si="713"/>
        <v>0</v>
      </c>
      <c r="CG592" s="608">
        <f t="shared" si="714"/>
        <v>0</v>
      </c>
      <c r="CH592" s="607">
        <f t="shared" si="715"/>
        <v>0</v>
      </c>
      <c r="CI592" s="608">
        <f t="shared" si="716"/>
        <v>0</v>
      </c>
      <c r="CJ592" s="607">
        <f t="shared" si="717"/>
        <v>4651.6628643852982</v>
      </c>
      <c r="CK592" s="608">
        <f t="shared" si="718"/>
        <v>4659.0881316098703</v>
      </c>
      <c r="CL592" s="609">
        <f t="shared" si="719"/>
        <v>0</v>
      </c>
      <c r="CM592" s="608">
        <f t="shared" si="720"/>
        <v>0</v>
      </c>
      <c r="CN592" s="610">
        <f t="shared" si="721"/>
        <v>0</v>
      </c>
      <c r="CO592" s="606">
        <f t="shared" si="722"/>
        <v>0</v>
      </c>
      <c r="CP592" s="607">
        <f t="shared" si="723"/>
        <v>0</v>
      </c>
      <c r="CQ592" s="606">
        <f t="shared" si="724"/>
        <v>0</v>
      </c>
      <c r="CR592" s="607">
        <f t="shared" si="725"/>
        <v>0</v>
      </c>
      <c r="CS592" s="606">
        <f t="shared" si="726"/>
        <v>0</v>
      </c>
      <c r="CT592" s="607">
        <f t="shared" si="727"/>
        <v>0</v>
      </c>
      <c r="CU592" s="608">
        <f t="shared" si="728"/>
        <v>0</v>
      </c>
      <c r="CV592" s="610">
        <f t="shared" si="729"/>
        <v>41864.965779467682</v>
      </c>
      <c r="CW592" s="608">
        <f t="shared" si="730"/>
        <v>41931.79318448883</v>
      </c>
      <c r="CX592" s="610">
        <f t="shared" si="731"/>
        <v>41864.965779467682</v>
      </c>
      <c r="CY592" s="611">
        <f t="shared" si="732"/>
        <v>41931.79318448883</v>
      </c>
      <c r="CZ592" s="605">
        <f t="shared" si="733"/>
        <v>0</v>
      </c>
      <c r="DA592" s="612">
        <f t="shared" si="734"/>
        <v>0</v>
      </c>
      <c r="DB592" s="607">
        <f t="shared" si="735"/>
        <v>0</v>
      </c>
      <c r="DC592" s="606">
        <f t="shared" si="736"/>
        <v>0</v>
      </c>
      <c r="DD592" s="607">
        <f t="shared" si="737"/>
        <v>0</v>
      </c>
      <c r="DE592" s="606">
        <f t="shared" si="738"/>
        <v>0</v>
      </c>
      <c r="DF592" s="607">
        <f t="shared" si="739"/>
        <v>0</v>
      </c>
      <c r="DG592" s="606">
        <f t="shared" si="740"/>
        <v>0</v>
      </c>
      <c r="DH592" s="607">
        <f t="shared" si="741"/>
        <v>0</v>
      </c>
      <c r="DI592" s="608">
        <f t="shared" si="742"/>
        <v>0</v>
      </c>
      <c r="DJ592" s="607">
        <f t="shared" si="743"/>
        <v>85</v>
      </c>
      <c r="DK592" s="608">
        <f t="shared" si="744"/>
        <v>89</v>
      </c>
      <c r="DL592" s="607">
        <f t="shared" si="745"/>
        <v>85</v>
      </c>
      <c r="DM592" s="608">
        <f t="shared" si="746"/>
        <v>89</v>
      </c>
      <c r="DN592" s="607">
        <f t="shared" si="747"/>
        <v>0</v>
      </c>
      <c r="DO592" s="612">
        <f t="shared" si="748"/>
        <v>0</v>
      </c>
      <c r="DP592" s="607">
        <f t="shared" si="749"/>
        <v>0</v>
      </c>
      <c r="DQ592" s="606">
        <f t="shared" si="750"/>
        <v>0</v>
      </c>
      <c r="DR592" s="607">
        <f t="shared" si="751"/>
        <v>0</v>
      </c>
      <c r="DS592" s="606">
        <f t="shared" si="752"/>
        <v>0</v>
      </c>
      <c r="DT592" s="607">
        <f t="shared" si="753"/>
        <v>0</v>
      </c>
      <c r="DU592" s="606">
        <f t="shared" si="754"/>
        <v>0</v>
      </c>
      <c r="DV592" s="607">
        <f t="shared" si="755"/>
        <v>0</v>
      </c>
      <c r="DW592" s="608">
        <f t="shared" si="756"/>
        <v>0</v>
      </c>
      <c r="DX592" s="607">
        <f t="shared" si="757"/>
        <v>3558522.0912547531</v>
      </c>
      <c r="DY592" s="608">
        <f t="shared" si="758"/>
        <v>3731929.5934195057</v>
      </c>
      <c r="DZ592" s="607">
        <f t="shared" si="759"/>
        <v>3558522.0912547531</v>
      </c>
      <c r="EA592" s="608">
        <f t="shared" si="760"/>
        <v>3731929.5934195057</v>
      </c>
    </row>
    <row r="593" spans="1:131" x14ac:dyDescent="0.2">
      <c r="A593" s="353" t="s">
        <v>43</v>
      </c>
      <c r="B593" s="354" t="s">
        <v>516</v>
      </c>
      <c r="C593" s="585"/>
      <c r="D593" s="362">
        <v>225520</v>
      </c>
      <c r="E593" s="366">
        <v>9</v>
      </c>
      <c r="F593" s="598">
        <v>7</v>
      </c>
      <c r="G593" s="599">
        <v>3</v>
      </c>
      <c r="H593" s="600"/>
      <c r="I593" s="601">
        <v>3</v>
      </c>
      <c r="J593" s="600">
        <v>2</v>
      </c>
      <c r="K593" s="599">
        <v>1</v>
      </c>
      <c r="L593" s="600"/>
      <c r="M593" s="601">
        <v>1</v>
      </c>
      <c r="N593" s="600">
        <v>18</v>
      </c>
      <c r="O593" s="599">
        <v>15</v>
      </c>
      <c r="P593" s="600"/>
      <c r="Q593" s="601">
        <v>8</v>
      </c>
      <c r="R593" s="600">
        <v>5</v>
      </c>
      <c r="S593" s="599">
        <v>2</v>
      </c>
      <c r="T593" s="600"/>
      <c r="U593" s="601">
        <v>1</v>
      </c>
      <c r="V593" s="600">
        <v>24</v>
      </c>
      <c r="W593" s="599">
        <v>19</v>
      </c>
      <c r="X593" s="600"/>
      <c r="Y593" s="601">
        <v>5</v>
      </c>
      <c r="Z593" s="600">
        <v>15</v>
      </c>
      <c r="AA593" s="599">
        <v>4</v>
      </c>
      <c r="AB593" s="600"/>
      <c r="AC593" s="601">
        <v>7</v>
      </c>
      <c r="AD593" s="600">
        <v>29</v>
      </c>
      <c r="AE593" s="599">
        <v>22</v>
      </c>
      <c r="AF593" s="600"/>
      <c r="AG593" s="601">
        <v>12</v>
      </c>
      <c r="AH593" s="600">
        <v>38</v>
      </c>
      <c r="AI593" s="599">
        <v>3</v>
      </c>
      <c r="AJ593" s="600"/>
      <c r="AK593" s="601">
        <v>27</v>
      </c>
      <c r="AL593" s="600"/>
      <c r="AM593" s="599">
        <v>0</v>
      </c>
      <c r="AN593" s="600"/>
      <c r="AO593" s="601">
        <v>0</v>
      </c>
      <c r="AP593" s="600"/>
      <c r="AQ593" s="599">
        <v>0</v>
      </c>
      <c r="AR593" s="600"/>
      <c r="AS593" s="601">
        <v>0</v>
      </c>
      <c r="AT593" s="600"/>
      <c r="AU593" s="599">
        <v>0</v>
      </c>
      <c r="AV593" s="600"/>
      <c r="AW593" s="601">
        <v>0</v>
      </c>
      <c r="AX593" s="600"/>
      <c r="AY593" s="599">
        <v>0</v>
      </c>
      <c r="AZ593" s="600"/>
      <c r="BA593" s="601">
        <v>0</v>
      </c>
      <c r="BB593" s="602">
        <v>489594</v>
      </c>
      <c r="BC593" s="599">
        <v>434506</v>
      </c>
      <c r="BD593" s="600">
        <v>1085663</v>
      </c>
      <c r="BE593" s="599">
        <v>1229553</v>
      </c>
      <c r="BF593" s="600">
        <v>1753650</v>
      </c>
      <c r="BG593" s="599">
        <v>1466726</v>
      </c>
      <c r="BH593" s="600">
        <v>2858638</v>
      </c>
      <c r="BI593" s="599">
        <v>2670148</v>
      </c>
      <c r="BJ593" s="600">
        <v>0</v>
      </c>
      <c r="BK593" s="615">
        <v>0</v>
      </c>
      <c r="BL593" s="600">
        <v>0</v>
      </c>
      <c r="BM593" s="604">
        <v>0</v>
      </c>
      <c r="BN593" s="605">
        <f t="shared" si="695"/>
        <v>85</v>
      </c>
      <c r="BO593" s="606">
        <f t="shared" si="696"/>
        <v>80</v>
      </c>
      <c r="BP593" s="607">
        <f t="shared" si="697"/>
        <v>217</v>
      </c>
      <c r="BQ593" s="606">
        <f t="shared" si="698"/>
        <v>249</v>
      </c>
      <c r="BR593" s="607">
        <f t="shared" si="699"/>
        <v>381</v>
      </c>
      <c r="BS593" s="606">
        <f t="shared" si="700"/>
        <v>349</v>
      </c>
      <c r="BT593" s="607">
        <f t="shared" si="701"/>
        <v>679</v>
      </c>
      <c r="BU593" s="606">
        <f t="shared" si="702"/>
        <v>675</v>
      </c>
      <c r="BV593" s="607">
        <f t="shared" si="703"/>
        <v>0</v>
      </c>
      <c r="BW593" s="608">
        <f t="shared" si="704"/>
        <v>0</v>
      </c>
      <c r="BX593" s="607">
        <f t="shared" si="705"/>
        <v>0</v>
      </c>
      <c r="BY593" s="608">
        <f t="shared" si="706"/>
        <v>0</v>
      </c>
      <c r="BZ593" s="607">
        <f t="shared" si="707"/>
        <v>5759.9294117647059</v>
      </c>
      <c r="CA593" s="608">
        <f t="shared" si="708"/>
        <v>5431.3249999999998</v>
      </c>
      <c r="CB593" s="607">
        <f t="shared" si="709"/>
        <v>5003.0552995391708</v>
      </c>
      <c r="CC593" s="608">
        <f t="shared" si="710"/>
        <v>4937.9638554216872</v>
      </c>
      <c r="CD593" s="607">
        <f t="shared" si="711"/>
        <v>4602.7559055118109</v>
      </c>
      <c r="CE593" s="608">
        <f t="shared" si="712"/>
        <v>4202.65329512894</v>
      </c>
      <c r="CF593" s="607">
        <f t="shared" si="713"/>
        <v>4210.0706921944038</v>
      </c>
      <c r="CG593" s="608">
        <f t="shared" si="714"/>
        <v>3955.7748148148148</v>
      </c>
      <c r="CH593" s="607">
        <f t="shared" si="715"/>
        <v>0</v>
      </c>
      <c r="CI593" s="608">
        <f t="shared" si="716"/>
        <v>0</v>
      </c>
      <c r="CJ593" s="607">
        <f t="shared" si="717"/>
        <v>0</v>
      </c>
      <c r="CK593" s="608">
        <f t="shared" si="718"/>
        <v>0</v>
      </c>
      <c r="CL593" s="609">
        <f t="shared" si="719"/>
        <v>51839.364705882355</v>
      </c>
      <c r="CM593" s="608">
        <f t="shared" si="720"/>
        <v>48881.924999999996</v>
      </c>
      <c r="CN593" s="610">
        <f t="shared" si="721"/>
        <v>45027.497695852537</v>
      </c>
      <c r="CO593" s="606">
        <f t="shared" si="722"/>
        <v>44441.674698795185</v>
      </c>
      <c r="CP593" s="607">
        <f t="shared" si="723"/>
        <v>41424.803149606298</v>
      </c>
      <c r="CQ593" s="606">
        <f t="shared" si="724"/>
        <v>37823.879656160461</v>
      </c>
      <c r="CR593" s="607">
        <f t="shared" si="725"/>
        <v>37890.636229749638</v>
      </c>
      <c r="CS593" s="606">
        <f t="shared" si="726"/>
        <v>35601.973333333335</v>
      </c>
      <c r="CT593" s="607">
        <f t="shared" si="727"/>
        <v>0</v>
      </c>
      <c r="CU593" s="608">
        <f t="shared" si="728"/>
        <v>0</v>
      </c>
      <c r="CV593" s="610">
        <f t="shared" si="729"/>
        <v>0</v>
      </c>
      <c r="CW593" s="608">
        <f t="shared" si="730"/>
        <v>0</v>
      </c>
      <c r="CX593" s="610">
        <f t="shared" si="731"/>
        <v>40988.599127430592</v>
      </c>
      <c r="CY593" s="611">
        <f t="shared" si="732"/>
        <v>38713.54152983176</v>
      </c>
      <c r="CZ593" s="605">
        <f t="shared" si="733"/>
        <v>9</v>
      </c>
      <c r="DA593" s="612">
        <f t="shared" si="734"/>
        <v>8</v>
      </c>
      <c r="DB593" s="607">
        <f t="shared" si="735"/>
        <v>23</v>
      </c>
      <c r="DC593" s="606">
        <f t="shared" si="736"/>
        <v>26</v>
      </c>
      <c r="DD593" s="607">
        <f t="shared" si="737"/>
        <v>39</v>
      </c>
      <c r="DE593" s="606">
        <f t="shared" si="738"/>
        <v>35</v>
      </c>
      <c r="DF593" s="607">
        <f t="shared" si="739"/>
        <v>67</v>
      </c>
      <c r="DG593" s="606">
        <f t="shared" si="740"/>
        <v>64</v>
      </c>
      <c r="DH593" s="607">
        <f t="shared" si="741"/>
        <v>0</v>
      </c>
      <c r="DI593" s="608">
        <f t="shared" si="742"/>
        <v>0</v>
      </c>
      <c r="DJ593" s="607">
        <f t="shared" si="743"/>
        <v>0</v>
      </c>
      <c r="DK593" s="608">
        <f t="shared" si="744"/>
        <v>0</v>
      </c>
      <c r="DL593" s="607">
        <f t="shared" si="745"/>
        <v>138</v>
      </c>
      <c r="DM593" s="608">
        <f t="shared" si="746"/>
        <v>133</v>
      </c>
      <c r="DN593" s="607">
        <f t="shared" si="747"/>
        <v>466554.28235294123</v>
      </c>
      <c r="DO593" s="612">
        <f t="shared" si="748"/>
        <v>391055.39999999997</v>
      </c>
      <c r="DP593" s="607">
        <f t="shared" si="749"/>
        <v>1035632.4470046083</v>
      </c>
      <c r="DQ593" s="606">
        <f t="shared" si="750"/>
        <v>1155483.5421686748</v>
      </c>
      <c r="DR593" s="607">
        <f t="shared" si="751"/>
        <v>1615567.3228346456</v>
      </c>
      <c r="DS593" s="606">
        <f t="shared" si="752"/>
        <v>1323835.7879656162</v>
      </c>
      <c r="DT593" s="607">
        <f t="shared" si="753"/>
        <v>2538672.6273932257</v>
      </c>
      <c r="DU593" s="606">
        <f t="shared" si="754"/>
        <v>2278526.2933333335</v>
      </c>
      <c r="DV593" s="607">
        <f t="shared" si="755"/>
        <v>0</v>
      </c>
      <c r="DW593" s="608">
        <f t="shared" si="756"/>
        <v>0</v>
      </c>
      <c r="DX593" s="607">
        <f t="shared" si="757"/>
        <v>0</v>
      </c>
      <c r="DY593" s="608">
        <f t="shared" si="758"/>
        <v>0</v>
      </c>
      <c r="DZ593" s="607">
        <f t="shared" si="759"/>
        <v>5656426.6795854215</v>
      </c>
      <c r="EA593" s="608">
        <f t="shared" si="760"/>
        <v>5148901.0234676246</v>
      </c>
    </row>
    <row r="594" spans="1:131" x14ac:dyDescent="0.2">
      <c r="A594" s="359" t="s">
        <v>43</v>
      </c>
      <c r="B594" s="360" t="s">
        <v>517</v>
      </c>
      <c r="C594" s="586"/>
      <c r="D594" s="367">
        <v>441760</v>
      </c>
      <c r="E594" s="368">
        <v>9</v>
      </c>
      <c r="F594" s="598"/>
      <c r="G594" s="599">
        <v>0</v>
      </c>
      <c r="H594" s="600"/>
      <c r="I594" s="601">
        <v>0</v>
      </c>
      <c r="J594" s="600"/>
      <c r="K594" s="599">
        <v>0</v>
      </c>
      <c r="L594" s="600"/>
      <c r="M594" s="601">
        <v>0</v>
      </c>
      <c r="N594" s="600"/>
      <c r="O594" s="599">
        <v>0</v>
      </c>
      <c r="P594" s="600"/>
      <c r="Q594" s="601">
        <v>0</v>
      </c>
      <c r="R594" s="600"/>
      <c r="S594" s="599">
        <v>0</v>
      </c>
      <c r="T594" s="600"/>
      <c r="U594" s="601">
        <v>0</v>
      </c>
      <c r="V594" s="600"/>
      <c r="W594" s="599">
        <v>0</v>
      </c>
      <c r="X594" s="600"/>
      <c r="Y594" s="601">
        <v>0</v>
      </c>
      <c r="Z594" s="600"/>
      <c r="AA594" s="599">
        <v>0</v>
      </c>
      <c r="AB594" s="600"/>
      <c r="AC594" s="601">
        <v>0</v>
      </c>
      <c r="AD594" s="600">
        <v>76</v>
      </c>
      <c r="AE594" s="599">
        <v>70</v>
      </c>
      <c r="AF594" s="600"/>
      <c r="AG594" s="601">
        <v>0</v>
      </c>
      <c r="AH594" s="600"/>
      <c r="AI594" s="599">
        <v>0</v>
      </c>
      <c r="AJ594" s="600"/>
      <c r="AK594" s="601">
        <v>4</v>
      </c>
      <c r="AL594" s="600"/>
      <c r="AM594" s="599">
        <v>0</v>
      </c>
      <c r="AN594" s="600"/>
      <c r="AO594" s="601">
        <v>0</v>
      </c>
      <c r="AP594" s="600"/>
      <c r="AQ594" s="599">
        <v>0</v>
      </c>
      <c r="AR594" s="600"/>
      <c r="AS594" s="601">
        <v>0</v>
      </c>
      <c r="AT594" s="600"/>
      <c r="AU594" s="599">
        <v>0</v>
      </c>
      <c r="AV594" s="600"/>
      <c r="AW594" s="601">
        <v>0</v>
      </c>
      <c r="AX594" s="600"/>
      <c r="AY594" s="599">
        <v>0</v>
      </c>
      <c r="AZ594" s="600"/>
      <c r="BA594" s="601">
        <v>0</v>
      </c>
      <c r="BB594" s="602">
        <v>0</v>
      </c>
      <c r="BC594" s="599">
        <v>0</v>
      </c>
      <c r="BD594" s="600">
        <v>0</v>
      </c>
      <c r="BE594" s="599">
        <v>0</v>
      </c>
      <c r="BF594" s="600">
        <v>0</v>
      </c>
      <c r="BG594" s="599">
        <v>0</v>
      </c>
      <c r="BH594" s="600">
        <v>3751076.0000000005</v>
      </c>
      <c r="BI594" s="599">
        <v>3709327</v>
      </c>
      <c r="BJ594" s="600">
        <v>0</v>
      </c>
      <c r="BK594" s="615">
        <v>0</v>
      </c>
      <c r="BL594" s="600">
        <v>0</v>
      </c>
      <c r="BM594" s="604">
        <v>0</v>
      </c>
      <c r="BN594" s="605">
        <f t="shared" si="695"/>
        <v>0</v>
      </c>
      <c r="BO594" s="606">
        <f t="shared" si="696"/>
        <v>0</v>
      </c>
      <c r="BP594" s="607">
        <f t="shared" si="697"/>
        <v>0</v>
      </c>
      <c r="BQ594" s="606">
        <f t="shared" si="698"/>
        <v>0</v>
      </c>
      <c r="BR594" s="607">
        <f t="shared" si="699"/>
        <v>0</v>
      </c>
      <c r="BS594" s="606">
        <f t="shared" si="700"/>
        <v>0</v>
      </c>
      <c r="BT594" s="607">
        <f t="shared" si="701"/>
        <v>684</v>
      </c>
      <c r="BU594" s="606">
        <f t="shared" si="702"/>
        <v>678</v>
      </c>
      <c r="BV594" s="607">
        <f t="shared" si="703"/>
        <v>0</v>
      </c>
      <c r="BW594" s="608">
        <f t="shared" si="704"/>
        <v>0</v>
      </c>
      <c r="BX594" s="607">
        <f t="shared" si="705"/>
        <v>0</v>
      </c>
      <c r="BY594" s="608">
        <f t="shared" si="706"/>
        <v>0</v>
      </c>
      <c r="BZ594" s="607">
        <f t="shared" si="707"/>
        <v>0</v>
      </c>
      <c r="CA594" s="608">
        <f t="shared" si="708"/>
        <v>0</v>
      </c>
      <c r="CB594" s="607">
        <f t="shared" si="709"/>
        <v>0</v>
      </c>
      <c r="CC594" s="608">
        <f t="shared" si="710"/>
        <v>0</v>
      </c>
      <c r="CD594" s="607">
        <f t="shared" si="711"/>
        <v>0</v>
      </c>
      <c r="CE594" s="608">
        <f t="shared" si="712"/>
        <v>0</v>
      </c>
      <c r="CF594" s="607">
        <f t="shared" si="713"/>
        <v>5484.0292397660824</v>
      </c>
      <c r="CG594" s="608">
        <f t="shared" si="714"/>
        <v>5470.9837758112099</v>
      </c>
      <c r="CH594" s="607">
        <f t="shared" si="715"/>
        <v>0</v>
      </c>
      <c r="CI594" s="608">
        <f t="shared" si="716"/>
        <v>0</v>
      </c>
      <c r="CJ594" s="607">
        <f t="shared" si="717"/>
        <v>0</v>
      </c>
      <c r="CK594" s="608">
        <f t="shared" si="718"/>
        <v>0</v>
      </c>
      <c r="CL594" s="609">
        <f t="shared" si="719"/>
        <v>0</v>
      </c>
      <c r="CM594" s="608">
        <f t="shared" si="720"/>
        <v>0</v>
      </c>
      <c r="CN594" s="610">
        <f t="shared" si="721"/>
        <v>0</v>
      </c>
      <c r="CO594" s="606">
        <f t="shared" si="722"/>
        <v>0</v>
      </c>
      <c r="CP594" s="607">
        <f t="shared" si="723"/>
        <v>0</v>
      </c>
      <c r="CQ594" s="606">
        <f t="shared" si="724"/>
        <v>0</v>
      </c>
      <c r="CR594" s="607">
        <f t="shared" si="725"/>
        <v>49356.26315789474</v>
      </c>
      <c r="CS594" s="606">
        <f t="shared" si="726"/>
        <v>49238.85398230089</v>
      </c>
      <c r="CT594" s="607">
        <f t="shared" si="727"/>
        <v>0</v>
      </c>
      <c r="CU594" s="608">
        <f t="shared" si="728"/>
        <v>0</v>
      </c>
      <c r="CV594" s="610">
        <f t="shared" si="729"/>
        <v>0</v>
      </c>
      <c r="CW594" s="608">
        <f t="shared" si="730"/>
        <v>0</v>
      </c>
      <c r="CX594" s="610">
        <f t="shared" si="731"/>
        <v>49356.26315789474</v>
      </c>
      <c r="CY594" s="611">
        <f t="shared" si="732"/>
        <v>49238.85398230089</v>
      </c>
      <c r="CZ594" s="605">
        <f t="shared" si="733"/>
        <v>0</v>
      </c>
      <c r="DA594" s="612">
        <f t="shared" si="734"/>
        <v>0</v>
      </c>
      <c r="DB594" s="607">
        <f t="shared" si="735"/>
        <v>0</v>
      </c>
      <c r="DC594" s="606">
        <f t="shared" si="736"/>
        <v>0</v>
      </c>
      <c r="DD594" s="607">
        <f t="shared" si="737"/>
        <v>0</v>
      </c>
      <c r="DE594" s="606">
        <f t="shared" si="738"/>
        <v>0</v>
      </c>
      <c r="DF594" s="607">
        <f t="shared" si="739"/>
        <v>76</v>
      </c>
      <c r="DG594" s="606">
        <f t="shared" si="740"/>
        <v>74</v>
      </c>
      <c r="DH594" s="607">
        <f t="shared" si="741"/>
        <v>0</v>
      </c>
      <c r="DI594" s="608">
        <f t="shared" si="742"/>
        <v>0</v>
      </c>
      <c r="DJ594" s="607">
        <f t="shared" si="743"/>
        <v>0</v>
      </c>
      <c r="DK594" s="608">
        <f t="shared" si="744"/>
        <v>0</v>
      </c>
      <c r="DL594" s="607">
        <f t="shared" si="745"/>
        <v>76</v>
      </c>
      <c r="DM594" s="608">
        <f t="shared" si="746"/>
        <v>74</v>
      </c>
      <c r="DN594" s="607">
        <f t="shared" si="747"/>
        <v>0</v>
      </c>
      <c r="DO594" s="612">
        <f t="shared" si="748"/>
        <v>0</v>
      </c>
      <c r="DP594" s="607">
        <f t="shared" si="749"/>
        <v>0</v>
      </c>
      <c r="DQ594" s="606">
        <f t="shared" si="750"/>
        <v>0</v>
      </c>
      <c r="DR594" s="607">
        <f t="shared" si="751"/>
        <v>0</v>
      </c>
      <c r="DS594" s="606">
        <f t="shared" si="752"/>
        <v>0</v>
      </c>
      <c r="DT594" s="607">
        <f t="shared" si="753"/>
        <v>3751076.0000000005</v>
      </c>
      <c r="DU594" s="606">
        <f t="shared" si="754"/>
        <v>3643675.1946902657</v>
      </c>
      <c r="DV594" s="607">
        <f t="shared" si="755"/>
        <v>0</v>
      </c>
      <c r="DW594" s="608">
        <f t="shared" si="756"/>
        <v>0</v>
      </c>
      <c r="DX594" s="607">
        <f t="shared" si="757"/>
        <v>0</v>
      </c>
      <c r="DY594" s="608">
        <f t="shared" si="758"/>
        <v>0</v>
      </c>
      <c r="DZ594" s="607">
        <f t="shared" si="759"/>
        <v>3751076.0000000005</v>
      </c>
      <c r="EA594" s="608">
        <f t="shared" si="760"/>
        <v>3643675.1946902657</v>
      </c>
    </row>
    <row r="595" spans="1:131" x14ac:dyDescent="0.2">
      <c r="A595" s="359" t="s">
        <v>43</v>
      </c>
      <c r="B595" s="360" t="s">
        <v>535</v>
      </c>
      <c r="C595" s="587" t="s">
        <v>549</v>
      </c>
      <c r="D595" s="367">
        <v>226116</v>
      </c>
      <c r="E595" s="369">
        <v>9</v>
      </c>
      <c r="F595" s="598">
        <v>3</v>
      </c>
      <c r="G595" s="599">
        <v>3</v>
      </c>
      <c r="H595" s="600"/>
      <c r="I595" s="601">
        <v>0</v>
      </c>
      <c r="J595" s="600"/>
      <c r="K595" s="599">
        <v>0</v>
      </c>
      <c r="L595" s="600"/>
      <c r="M595" s="601">
        <v>0</v>
      </c>
      <c r="N595" s="600">
        <v>1</v>
      </c>
      <c r="O595" s="599">
        <v>1</v>
      </c>
      <c r="P595" s="600"/>
      <c r="Q595" s="601">
        <v>0</v>
      </c>
      <c r="R595" s="600"/>
      <c r="S595" s="599">
        <v>0</v>
      </c>
      <c r="T595" s="600"/>
      <c r="U595" s="601">
        <v>0</v>
      </c>
      <c r="V595" s="600">
        <v>4</v>
      </c>
      <c r="W595" s="599">
        <v>4</v>
      </c>
      <c r="X595" s="600"/>
      <c r="Y595" s="601">
        <v>0</v>
      </c>
      <c r="Z595" s="600">
        <v>1</v>
      </c>
      <c r="AA595" s="599">
        <v>0</v>
      </c>
      <c r="AB595" s="600"/>
      <c r="AC595" s="601">
        <v>1</v>
      </c>
      <c r="AD595" s="600">
        <v>32</v>
      </c>
      <c r="AE595" s="599">
        <v>34</v>
      </c>
      <c r="AF595" s="600"/>
      <c r="AG595" s="601">
        <v>0</v>
      </c>
      <c r="AH595" s="600">
        <v>29</v>
      </c>
      <c r="AI595" s="599">
        <v>0</v>
      </c>
      <c r="AJ595" s="600"/>
      <c r="AK595" s="601">
        <v>23</v>
      </c>
      <c r="AL595" s="600"/>
      <c r="AM595" s="599">
        <v>0</v>
      </c>
      <c r="AN595" s="600"/>
      <c r="AO595" s="601">
        <v>0</v>
      </c>
      <c r="AP595" s="600"/>
      <c r="AQ595" s="599">
        <v>0</v>
      </c>
      <c r="AR595" s="600"/>
      <c r="AS595" s="601">
        <v>0</v>
      </c>
      <c r="AT595" s="600"/>
      <c r="AU595" s="599">
        <v>0</v>
      </c>
      <c r="AV595" s="600"/>
      <c r="AW595" s="601">
        <v>0</v>
      </c>
      <c r="AX595" s="600"/>
      <c r="AY595" s="599">
        <v>0</v>
      </c>
      <c r="AZ595" s="600"/>
      <c r="BA595" s="601">
        <v>3</v>
      </c>
      <c r="BB595" s="602">
        <v>155011</v>
      </c>
      <c r="BC595" s="599">
        <v>159661</v>
      </c>
      <c r="BD595" s="600">
        <v>46321</v>
      </c>
      <c r="BE595" s="599">
        <v>47711</v>
      </c>
      <c r="BF595" s="600">
        <v>255118</v>
      </c>
      <c r="BG595" s="599">
        <v>262772</v>
      </c>
      <c r="BH595" s="600">
        <v>2558889</v>
      </c>
      <c r="BI595" s="599">
        <v>2558912</v>
      </c>
      <c r="BJ595" s="600">
        <v>0</v>
      </c>
      <c r="BK595" s="615">
        <v>0</v>
      </c>
      <c r="BL595" s="600">
        <v>0</v>
      </c>
      <c r="BM595" s="604">
        <v>100467</v>
      </c>
      <c r="BN595" s="605">
        <f t="shared" si="695"/>
        <v>27</v>
      </c>
      <c r="BO595" s="606">
        <f t="shared" si="696"/>
        <v>27</v>
      </c>
      <c r="BP595" s="607">
        <f t="shared" si="697"/>
        <v>9</v>
      </c>
      <c r="BQ595" s="606">
        <f t="shared" si="698"/>
        <v>9</v>
      </c>
      <c r="BR595" s="607">
        <f t="shared" si="699"/>
        <v>47</v>
      </c>
      <c r="BS595" s="606">
        <f t="shared" si="700"/>
        <v>48</v>
      </c>
      <c r="BT595" s="607">
        <f t="shared" si="701"/>
        <v>607</v>
      </c>
      <c r="BU595" s="606">
        <f t="shared" si="702"/>
        <v>582</v>
      </c>
      <c r="BV595" s="607">
        <f t="shared" si="703"/>
        <v>0</v>
      </c>
      <c r="BW595" s="608">
        <f t="shared" si="704"/>
        <v>0</v>
      </c>
      <c r="BX595" s="607">
        <f t="shared" si="705"/>
        <v>0</v>
      </c>
      <c r="BY595" s="608">
        <f t="shared" si="706"/>
        <v>36</v>
      </c>
      <c r="BZ595" s="607">
        <f t="shared" si="707"/>
        <v>5741.1481481481478</v>
      </c>
      <c r="CA595" s="608">
        <f t="shared" si="708"/>
        <v>5913.3703703703704</v>
      </c>
      <c r="CB595" s="607">
        <f t="shared" si="709"/>
        <v>5146.7777777777774</v>
      </c>
      <c r="CC595" s="608">
        <f t="shared" si="710"/>
        <v>5301.2222222222226</v>
      </c>
      <c r="CD595" s="607">
        <f t="shared" si="711"/>
        <v>5428.0425531914898</v>
      </c>
      <c r="CE595" s="608">
        <f t="shared" si="712"/>
        <v>5474.416666666667</v>
      </c>
      <c r="CF595" s="607">
        <f t="shared" si="713"/>
        <v>4215.632619439868</v>
      </c>
      <c r="CG595" s="608">
        <f t="shared" si="714"/>
        <v>4396.7560137457049</v>
      </c>
      <c r="CH595" s="607">
        <f t="shared" si="715"/>
        <v>0</v>
      </c>
      <c r="CI595" s="608">
        <f t="shared" si="716"/>
        <v>0</v>
      </c>
      <c r="CJ595" s="607">
        <f t="shared" si="717"/>
        <v>0</v>
      </c>
      <c r="CK595" s="608">
        <f t="shared" si="718"/>
        <v>2790.75</v>
      </c>
      <c r="CL595" s="609">
        <f t="shared" si="719"/>
        <v>51670.333333333328</v>
      </c>
      <c r="CM595" s="608">
        <f t="shared" si="720"/>
        <v>53220.333333333336</v>
      </c>
      <c r="CN595" s="610">
        <f t="shared" si="721"/>
        <v>46321</v>
      </c>
      <c r="CO595" s="606">
        <f t="shared" si="722"/>
        <v>47711</v>
      </c>
      <c r="CP595" s="607">
        <f t="shared" si="723"/>
        <v>48852.382978723406</v>
      </c>
      <c r="CQ595" s="606">
        <f t="shared" si="724"/>
        <v>49269.75</v>
      </c>
      <c r="CR595" s="607">
        <f t="shared" si="725"/>
        <v>37940.693574958816</v>
      </c>
      <c r="CS595" s="606">
        <f t="shared" si="726"/>
        <v>39570.804123711343</v>
      </c>
      <c r="CT595" s="607">
        <f t="shared" si="727"/>
        <v>0</v>
      </c>
      <c r="CU595" s="608">
        <f t="shared" si="728"/>
        <v>0</v>
      </c>
      <c r="CV595" s="610">
        <f t="shared" si="729"/>
        <v>0</v>
      </c>
      <c r="CW595" s="608">
        <f t="shared" si="730"/>
        <v>25116.75</v>
      </c>
      <c r="CX595" s="610">
        <f t="shared" si="731"/>
        <v>39428.231756658643</v>
      </c>
      <c r="CY595" s="611">
        <f t="shared" si="732"/>
        <v>40356.620797848496</v>
      </c>
      <c r="CZ595" s="605">
        <f t="shared" si="733"/>
        <v>3</v>
      </c>
      <c r="DA595" s="612">
        <f t="shared" si="734"/>
        <v>3</v>
      </c>
      <c r="DB595" s="607">
        <f t="shared" si="735"/>
        <v>1</v>
      </c>
      <c r="DC595" s="606">
        <f t="shared" si="736"/>
        <v>1</v>
      </c>
      <c r="DD595" s="607">
        <f t="shared" si="737"/>
        <v>5</v>
      </c>
      <c r="DE595" s="606">
        <f t="shared" si="738"/>
        <v>5</v>
      </c>
      <c r="DF595" s="607">
        <f t="shared" si="739"/>
        <v>61</v>
      </c>
      <c r="DG595" s="606">
        <f t="shared" si="740"/>
        <v>57</v>
      </c>
      <c r="DH595" s="607">
        <f t="shared" si="741"/>
        <v>0</v>
      </c>
      <c r="DI595" s="608">
        <f t="shared" si="742"/>
        <v>0</v>
      </c>
      <c r="DJ595" s="607">
        <f t="shared" si="743"/>
        <v>0</v>
      </c>
      <c r="DK595" s="608">
        <f t="shared" si="744"/>
        <v>3</v>
      </c>
      <c r="DL595" s="607">
        <f t="shared" si="745"/>
        <v>70</v>
      </c>
      <c r="DM595" s="608">
        <f t="shared" si="746"/>
        <v>69</v>
      </c>
      <c r="DN595" s="607">
        <f t="shared" si="747"/>
        <v>155011</v>
      </c>
      <c r="DO595" s="612">
        <f t="shared" si="748"/>
        <v>159661</v>
      </c>
      <c r="DP595" s="607">
        <f t="shared" si="749"/>
        <v>46321</v>
      </c>
      <c r="DQ595" s="606">
        <f t="shared" si="750"/>
        <v>47711</v>
      </c>
      <c r="DR595" s="607">
        <f t="shared" si="751"/>
        <v>244261.91489361704</v>
      </c>
      <c r="DS595" s="606">
        <f t="shared" si="752"/>
        <v>246348.75</v>
      </c>
      <c r="DT595" s="607">
        <f t="shared" si="753"/>
        <v>2314382.3080724878</v>
      </c>
      <c r="DU595" s="606">
        <f t="shared" si="754"/>
        <v>2255535.8350515463</v>
      </c>
      <c r="DV595" s="607">
        <f t="shared" si="755"/>
        <v>0</v>
      </c>
      <c r="DW595" s="608">
        <f t="shared" si="756"/>
        <v>0</v>
      </c>
      <c r="DX595" s="607">
        <f t="shared" si="757"/>
        <v>0</v>
      </c>
      <c r="DY595" s="608">
        <f t="shared" si="758"/>
        <v>75350.25</v>
      </c>
      <c r="DZ595" s="607">
        <f t="shared" si="759"/>
        <v>2759976.2229661047</v>
      </c>
      <c r="EA595" s="608">
        <f t="shared" si="760"/>
        <v>2784606.8350515463</v>
      </c>
    </row>
    <row r="596" spans="1:131" x14ac:dyDescent="0.2">
      <c r="A596" s="353" t="s">
        <v>43</v>
      </c>
      <c r="B596" s="354" t="s">
        <v>518</v>
      </c>
      <c r="C596" s="585"/>
      <c r="D596" s="362">
        <v>226204</v>
      </c>
      <c r="E596" s="366">
        <v>9</v>
      </c>
      <c r="F596" s="598"/>
      <c r="G596" s="599">
        <v>0</v>
      </c>
      <c r="H596" s="600"/>
      <c r="I596" s="601">
        <v>0</v>
      </c>
      <c r="J596" s="600"/>
      <c r="K596" s="599">
        <v>0</v>
      </c>
      <c r="L596" s="600"/>
      <c r="M596" s="601">
        <v>0</v>
      </c>
      <c r="N596" s="600"/>
      <c r="O596" s="599">
        <v>0</v>
      </c>
      <c r="P596" s="600"/>
      <c r="Q596" s="601">
        <v>0</v>
      </c>
      <c r="R596" s="600"/>
      <c r="S596" s="599">
        <v>0</v>
      </c>
      <c r="T596" s="600"/>
      <c r="U596" s="601">
        <v>0</v>
      </c>
      <c r="V596" s="600"/>
      <c r="W596" s="599">
        <v>0</v>
      </c>
      <c r="X596" s="600"/>
      <c r="Y596" s="601">
        <v>0</v>
      </c>
      <c r="Z596" s="600"/>
      <c r="AA596" s="599">
        <v>0</v>
      </c>
      <c r="AB596" s="600"/>
      <c r="AC596" s="601">
        <v>0</v>
      </c>
      <c r="AD596" s="600">
        <v>139</v>
      </c>
      <c r="AE596" s="599">
        <v>137</v>
      </c>
      <c r="AF596" s="600"/>
      <c r="AG596" s="601">
        <v>0</v>
      </c>
      <c r="AH596" s="600">
        <v>16</v>
      </c>
      <c r="AI596" s="599">
        <v>0</v>
      </c>
      <c r="AJ596" s="600"/>
      <c r="AK596" s="601">
        <v>13</v>
      </c>
      <c r="AL596" s="600"/>
      <c r="AM596" s="599">
        <v>0</v>
      </c>
      <c r="AN596" s="600"/>
      <c r="AO596" s="601">
        <v>0</v>
      </c>
      <c r="AP596" s="600"/>
      <c r="AQ596" s="599">
        <v>0</v>
      </c>
      <c r="AR596" s="600"/>
      <c r="AS596" s="601">
        <v>0</v>
      </c>
      <c r="AT596" s="600"/>
      <c r="AU596" s="599">
        <v>0</v>
      </c>
      <c r="AV596" s="600"/>
      <c r="AW596" s="601">
        <v>0</v>
      </c>
      <c r="AX596" s="600"/>
      <c r="AY596" s="599">
        <v>0</v>
      </c>
      <c r="AZ596" s="600"/>
      <c r="BA596" s="601">
        <v>0</v>
      </c>
      <c r="BB596" s="602">
        <v>0</v>
      </c>
      <c r="BC596" s="599">
        <v>0</v>
      </c>
      <c r="BD596" s="600">
        <v>0</v>
      </c>
      <c r="BE596" s="599">
        <v>0</v>
      </c>
      <c r="BF596" s="600">
        <v>0</v>
      </c>
      <c r="BG596" s="599">
        <v>0</v>
      </c>
      <c r="BH596" s="600">
        <v>8160982</v>
      </c>
      <c r="BI596" s="599">
        <v>8087194</v>
      </c>
      <c r="BJ596" s="600">
        <v>0</v>
      </c>
      <c r="BK596" s="615">
        <v>0</v>
      </c>
      <c r="BL596" s="600">
        <v>0</v>
      </c>
      <c r="BM596" s="604">
        <v>0</v>
      </c>
      <c r="BN596" s="605">
        <f t="shared" si="695"/>
        <v>0</v>
      </c>
      <c r="BO596" s="606">
        <f t="shared" si="696"/>
        <v>0</v>
      </c>
      <c r="BP596" s="607">
        <f t="shared" si="697"/>
        <v>0</v>
      </c>
      <c r="BQ596" s="606">
        <f t="shared" si="698"/>
        <v>0</v>
      </c>
      <c r="BR596" s="607">
        <f t="shared" si="699"/>
        <v>0</v>
      </c>
      <c r="BS596" s="606">
        <f t="shared" si="700"/>
        <v>0</v>
      </c>
      <c r="BT596" s="607">
        <f t="shared" si="701"/>
        <v>1427</v>
      </c>
      <c r="BU596" s="606">
        <f t="shared" si="702"/>
        <v>1389</v>
      </c>
      <c r="BV596" s="607">
        <f t="shared" si="703"/>
        <v>0</v>
      </c>
      <c r="BW596" s="608">
        <f t="shared" si="704"/>
        <v>0</v>
      </c>
      <c r="BX596" s="607">
        <f t="shared" si="705"/>
        <v>0</v>
      </c>
      <c r="BY596" s="608">
        <f t="shared" si="706"/>
        <v>0</v>
      </c>
      <c r="BZ596" s="607">
        <f t="shared" si="707"/>
        <v>0</v>
      </c>
      <c r="CA596" s="608">
        <f t="shared" si="708"/>
        <v>0</v>
      </c>
      <c r="CB596" s="607">
        <f t="shared" si="709"/>
        <v>0</v>
      </c>
      <c r="CC596" s="608">
        <f t="shared" si="710"/>
        <v>0</v>
      </c>
      <c r="CD596" s="607">
        <f t="shared" si="711"/>
        <v>0</v>
      </c>
      <c r="CE596" s="608">
        <f t="shared" si="712"/>
        <v>0</v>
      </c>
      <c r="CF596" s="607">
        <f t="shared" si="713"/>
        <v>5718.9782761037141</v>
      </c>
      <c r="CG596" s="608">
        <f t="shared" si="714"/>
        <v>5822.3138948884089</v>
      </c>
      <c r="CH596" s="607">
        <f t="shared" si="715"/>
        <v>0</v>
      </c>
      <c r="CI596" s="608">
        <f t="shared" si="716"/>
        <v>0</v>
      </c>
      <c r="CJ596" s="607">
        <f t="shared" si="717"/>
        <v>0</v>
      </c>
      <c r="CK596" s="608">
        <f t="shared" si="718"/>
        <v>0</v>
      </c>
      <c r="CL596" s="609">
        <f t="shared" si="719"/>
        <v>0</v>
      </c>
      <c r="CM596" s="608">
        <f t="shared" si="720"/>
        <v>0</v>
      </c>
      <c r="CN596" s="610">
        <f t="shared" si="721"/>
        <v>0</v>
      </c>
      <c r="CO596" s="606">
        <f t="shared" si="722"/>
        <v>0</v>
      </c>
      <c r="CP596" s="607">
        <f t="shared" si="723"/>
        <v>0</v>
      </c>
      <c r="CQ596" s="606">
        <f t="shared" si="724"/>
        <v>0</v>
      </c>
      <c r="CR596" s="607">
        <f t="shared" si="725"/>
        <v>51470.804484933426</v>
      </c>
      <c r="CS596" s="606">
        <f t="shared" si="726"/>
        <v>52400.825053995679</v>
      </c>
      <c r="CT596" s="607">
        <f t="shared" si="727"/>
        <v>0</v>
      </c>
      <c r="CU596" s="608">
        <f t="shared" si="728"/>
        <v>0</v>
      </c>
      <c r="CV596" s="610">
        <f t="shared" si="729"/>
        <v>0</v>
      </c>
      <c r="CW596" s="608">
        <f t="shared" si="730"/>
        <v>0</v>
      </c>
      <c r="CX596" s="610">
        <f t="shared" si="731"/>
        <v>51470.804484933426</v>
      </c>
      <c r="CY596" s="611">
        <f t="shared" si="732"/>
        <v>52400.825053995679</v>
      </c>
      <c r="CZ596" s="605">
        <f t="shared" si="733"/>
        <v>0</v>
      </c>
      <c r="DA596" s="612">
        <f t="shared" si="734"/>
        <v>0</v>
      </c>
      <c r="DB596" s="607">
        <f t="shared" si="735"/>
        <v>0</v>
      </c>
      <c r="DC596" s="606">
        <f t="shared" si="736"/>
        <v>0</v>
      </c>
      <c r="DD596" s="607">
        <f t="shared" si="737"/>
        <v>0</v>
      </c>
      <c r="DE596" s="606">
        <f t="shared" si="738"/>
        <v>0</v>
      </c>
      <c r="DF596" s="607">
        <f t="shared" si="739"/>
        <v>155</v>
      </c>
      <c r="DG596" s="606">
        <f t="shared" si="740"/>
        <v>150</v>
      </c>
      <c r="DH596" s="607">
        <f t="shared" si="741"/>
        <v>0</v>
      </c>
      <c r="DI596" s="608">
        <f t="shared" si="742"/>
        <v>0</v>
      </c>
      <c r="DJ596" s="607">
        <f t="shared" si="743"/>
        <v>0</v>
      </c>
      <c r="DK596" s="608">
        <f t="shared" si="744"/>
        <v>0</v>
      </c>
      <c r="DL596" s="607">
        <f t="shared" si="745"/>
        <v>155</v>
      </c>
      <c r="DM596" s="608">
        <f t="shared" si="746"/>
        <v>150</v>
      </c>
      <c r="DN596" s="607">
        <f t="shared" si="747"/>
        <v>0</v>
      </c>
      <c r="DO596" s="612">
        <f t="shared" si="748"/>
        <v>0</v>
      </c>
      <c r="DP596" s="607">
        <f t="shared" si="749"/>
        <v>0</v>
      </c>
      <c r="DQ596" s="606">
        <f t="shared" si="750"/>
        <v>0</v>
      </c>
      <c r="DR596" s="607">
        <f t="shared" si="751"/>
        <v>0</v>
      </c>
      <c r="DS596" s="606">
        <f t="shared" si="752"/>
        <v>0</v>
      </c>
      <c r="DT596" s="607">
        <f t="shared" si="753"/>
        <v>7977974.6951646814</v>
      </c>
      <c r="DU596" s="606">
        <f t="shared" si="754"/>
        <v>7860123.758099352</v>
      </c>
      <c r="DV596" s="607">
        <f t="shared" si="755"/>
        <v>0</v>
      </c>
      <c r="DW596" s="608">
        <f t="shared" si="756"/>
        <v>0</v>
      </c>
      <c r="DX596" s="607">
        <f t="shared" si="757"/>
        <v>0</v>
      </c>
      <c r="DY596" s="608">
        <f t="shared" si="758"/>
        <v>0</v>
      </c>
      <c r="DZ596" s="607">
        <f t="shared" si="759"/>
        <v>7977974.6951646814</v>
      </c>
      <c r="EA596" s="608">
        <f t="shared" si="760"/>
        <v>7860123.758099352</v>
      </c>
    </row>
    <row r="597" spans="1:131" x14ac:dyDescent="0.2">
      <c r="A597" s="353" t="s">
        <v>43</v>
      </c>
      <c r="B597" s="358" t="s">
        <v>519</v>
      </c>
      <c r="C597" s="584"/>
      <c r="D597" s="362">
        <v>226930</v>
      </c>
      <c r="E597" s="366">
        <v>9</v>
      </c>
      <c r="F597" s="598"/>
      <c r="G597" s="599">
        <v>0</v>
      </c>
      <c r="H597" s="600"/>
      <c r="I597" s="601">
        <v>0</v>
      </c>
      <c r="J597" s="600"/>
      <c r="K597" s="599">
        <v>0</v>
      </c>
      <c r="L597" s="600"/>
      <c r="M597" s="601">
        <v>0</v>
      </c>
      <c r="N597" s="600"/>
      <c r="O597" s="599">
        <v>0</v>
      </c>
      <c r="P597" s="600"/>
      <c r="Q597" s="601">
        <v>0</v>
      </c>
      <c r="R597" s="600"/>
      <c r="S597" s="599">
        <v>0</v>
      </c>
      <c r="T597" s="600"/>
      <c r="U597" s="601">
        <v>0</v>
      </c>
      <c r="V597" s="600"/>
      <c r="W597" s="599">
        <v>0</v>
      </c>
      <c r="X597" s="600"/>
      <c r="Y597" s="601">
        <v>0</v>
      </c>
      <c r="Z597" s="600"/>
      <c r="AA597" s="599">
        <v>0</v>
      </c>
      <c r="AB597" s="600"/>
      <c r="AC597" s="601">
        <v>0</v>
      </c>
      <c r="AD597" s="600"/>
      <c r="AE597" s="599">
        <v>0</v>
      </c>
      <c r="AF597" s="600"/>
      <c r="AG597" s="601">
        <v>0</v>
      </c>
      <c r="AH597" s="600"/>
      <c r="AI597" s="599">
        <v>0</v>
      </c>
      <c r="AJ597" s="600"/>
      <c r="AK597" s="601">
        <v>0</v>
      </c>
      <c r="AL597" s="600"/>
      <c r="AM597" s="599">
        <v>0</v>
      </c>
      <c r="AN597" s="600"/>
      <c r="AO597" s="601">
        <v>0</v>
      </c>
      <c r="AP597" s="600"/>
      <c r="AQ597" s="599">
        <v>0</v>
      </c>
      <c r="AR597" s="600"/>
      <c r="AS597" s="601">
        <v>0</v>
      </c>
      <c r="AT597" s="600">
        <v>70</v>
      </c>
      <c r="AU597" s="599">
        <v>74</v>
      </c>
      <c r="AV597" s="600"/>
      <c r="AW597" s="601">
        <v>0</v>
      </c>
      <c r="AX597" s="600"/>
      <c r="AY597" s="599">
        <v>0</v>
      </c>
      <c r="AZ597" s="600"/>
      <c r="BA597" s="601">
        <v>0</v>
      </c>
      <c r="BB597" s="602">
        <v>0</v>
      </c>
      <c r="BC597" s="599">
        <v>0</v>
      </c>
      <c r="BD597" s="600">
        <v>0</v>
      </c>
      <c r="BE597" s="599">
        <v>0</v>
      </c>
      <c r="BF597" s="600">
        <v>0</v>
      </c>
      <c r="BG597" s="599">
        <v>0</v>
      </c>
      <c r="BH597" s="600">
        <v>0</v>
      </c>
      <c r="BI597" s="599">
        <v>0</v>
      </c>
      <c r="BJ597" s="600">
        <v>0</v>
      </c>
      <c r="BK597" s="615">
        <v>0</v>
      </c>
      <c r="BL597" s="600">
        <v>4126706</v>
      </c>
      <c r="BM597" s="604">
        <v>4681146</v>
      </c>
      <c r="BN597" s="605">
        <f t="shared" si="695"/>
        <v>0</v>
      </c>
      <c r="BO597" s="606">
        <f t="shared" si="696"/>
        <v>0</v>
      </c>
      <c r="BP597" s="607">
        <f t="shared" si="697"/>
        <v>0</v>
      </c>
      <c r="BQ597" s="606">
        <f t="shared" si="698"/>
        <v>0</v>
      </c>
      <c r="BR597" s="607">
        <f t="shared" si="699"/>
        <v>0</v>
      </c>
      <c r="BS597" s="606">
        <f t="shared" si="700"/>
        <v>0</v>
      </c>
      <c r="BT597" s="607">
        <f t="shared" si="701"/>
        <v>0</v>
      </c>
      <c r="BU597" s="606">
        <f t="shared" si="702"/>
        <v>0</v>
      </c>
      <c r="BV597" s="607">
        <f t="shared" si="703"/>
        <v>0</v>
      </c>
      <c r="BW597" s="608">
        <f t="shared" si="704"/>
        <v>0</v>
      </c>
      <c r="BX597" s="607">
        <f t="shared" si="705"/>
        <v>630</v>
      </c>
      <c r="BY597" s="608">
        <f t="shared" si="706"/>
        <v>666</v>
      </c>
      <c r="BZ597" s="607">
        <f t="shared" si="707"/>
        <v>0</v>
      </c>
      <c r="CA597" s="608">
        <f t="shared" si="708"/>
        <v>0</v>
      </c>
      <c r="CB597" s="607">
        <f t="shared" si="709"/>
        <v>0</v>
      </c>
      <c r="CC597" s="608">
        <f t="shared" si="710"/>
        <v>0</v>
      </c>
      <c r="CD597" s="607">
        <f t="shared" si="711"/>
        <v>0</v>
      </c>
      <c r="CE597" s="608">
        <f t="shared" si="712"/>
        <v>0</v>
      </c>
      <c r="CF597" s="607">
        <f t="shared" si="713"/>
        <v>0</v>
      </c>
      <c r="CG597" s="608">
        <f t="shared" si="714"/>
        <v>0</v>
      </c>
      <c r="CH597" s="607">
        <f t="shared" si="715"/>
        <v>0</v>
      </c>
      <c r="CI597" s="608">
        <f t="shared" si="716"/>
        <v>0</v>
      </c>
      <c r="CJ597" s="607">
        <f t="shared" si="717"/>
        <v>6550.3269841269839</v>
      </c>
      <c r="CK597" s="608">
        <f t="shared" si="718"/>
        <v>7028.7477477477478</v>
      </c>
      <c r="CL597" s="609">
        <f t="shared" si="719"/>
        <v>0</v>
      </c>
      <c r="CM597" s="608">
        <f t="shared" si="720"/>
        <v>0</v>
      </c>
      <c r="CN597" s="610">
        <f t="shared" si="721"/>
        <v>0</v>
      </c>
      <c r="CO597" s="606">
        <f t="shared" si="722"/>
        <v>0</v>
      </c>
      <c r="CP597" s="607">
        <f t="shared" si="723"/>
        <v>0</v>
      </c>
      <c r="CQ597" s="606">
        <f t="shared" si="724"/>
        <v>0</v>
      </c>
      <c r="CR597" s="607">
        <f t="shared" si="725"/>
        <v>0</v>
      </c>
      <c r="CS597" s="606">
        <f t="shared" si="726"/>
        <v>0</v>
      </c>
      <c r="CT597" s="607">
        <f t="shared" si="727"/>
        <v>0</v>
      </c>
      <c r="CU597" s="608">
        <f t="shared" si="728"/>
        <v>0</v>
      </c>
      <c r="CV597" s="610">
        <f t="shared" si="729"/>
        <v>58952.942857142858</v>
      </c>
      <c r="CW597" s="608">
        <f t="shared" si="730"/>
        <v>63258.729729729734</v>
      </c>
      <c r="CX597" s="610">
        <f t="shared" si="731"/>
        <v>58952.942857142858</v>
      </c>
      <c r="CY597" s="611">
        <f t="shared" si="732"/>
        <v>63258.729729729726</v>
      </c>
      <c r="CZ597" s="605">
        <f t="shared" si="733"/>
        <v>0</v>
      </c>
      <c r="DA597" s="612">
        <f t="shared" si="734"/>
        <v>0</v>
      </c>
      <c r="DB597" s="607">
        <f t="shared" si="735"/>
        <v>0</v>
      </c>
      <c r="DC597" s="606">
        <f t="shared" si="736"/>
        <v>0</v>
      </c>
      <c r="DD597" s="607">
        <f t="shared" si="737"/>
        <v>0</v>
      </c>
      <c r="DE597" s="606">
        <f t="shared" si="738"/>
        <v>0</v>
      </c>
      <c r="DF597" s="607">
        <f t="shared" si="739"/>
        <v>0</v>
      </c>
      <c r="DG597" s="606">
        <f t="shared" si="740"/>
        <v>0</v>
      </c>
      <c r="DH597" s="607">
        <f t="shared" si="741"/>
        <v>0</v>
      </c>
      <c r="DI597" s="608">
        <f t="shared" si="742"/>
        <v>0</v>
      </c>
      <c r="DJ597" s="607">
        <f t="shared" si="743"/>
        <v>70</v>
      </c>
      <c r="DK597" s="608">
        <f t="shared" si="744"/>
        <v>74</v>
      </c>
      <c r="DL597" s="607">
        <f t="shared" si="745"/>
        <v>70</v>
      </c>
      <c r="DM597" s="608">
        <f t="shared" si="746"/>
        <v>74</v>
      </c>
      <c r="DN597" s="607">
        <f t="shared" si="747"/>
        <v>0</v>
      </c>
      <c r="DO597" s="612">
        <f t="shared" si="748"/>
        <v>0</v>
      </c>
      <c r="DP597" s="607">
        <f t="shared" si="749"/>
        <v>0</v>
      </c>
      <c r="DQ597" s="606">
        <f t="shared" si="750"/>
        <v>0</v>
      </c>
      <c r="DR597" s="607">
        <f t="shared" si="751"/>
        <v>0</v>
      </c>
      <c r="DS597" s="606">
        <f t="shared" si="752"/>
        <v>0</v>
      </c>
      <c r="DT597" s="607">
        <f t="shared" si="753"/>
        <v>0</v>
      </c>
      <c r="DU597" s="606">
        <f t="shared" si="754"/>
        <v>0</v>
      </c>
      <c r="DV597" s="607">
        <f t="shared" si="755"/>
        <v>0</v>
      </c>
      <c r="DW597" s="608">
        <f t="shared" si="756"/>
        <v>0</v>
      </c>
      <c r="DX597" s="607">
        <f t="shared" si="757"/>
        <v>4126706</v>
      </c>
      <c r="DY597" s="608">
        <f t="shared" si="758"/>
        <v>4681146</v>
      </c>
      <c r="DZ597" s="607">
        <f t="shared" si="759"/>
        <v>4126706</v>
      </c>
      <c r="EA597" s="608">
        <f t="shared" si="760"/>
        <v>4681146</v>
      </c>
    </row>
    <row r="598" spans="1:131" x14ac:dyDescent="0.2">
      <c r="A598" s="353" t="s">
        <v>43</v>
      </c>
      <c r="B598" s="356" t="s">
        <v>520</v>
      </c>
      <c r="C598" s="583"/>
      <c r="D598" s="362">
        <v>227225</v>
      </c>
      <c r="E598" s="365">
        <v>9</v>
      </c>
      <c r="F598" s="598">
        <v>25</v>
      </c>
      <c r="G598" s="599">
        <v>22</v>
      </c>
      <c r="H598" s="600"/>
      <c r="I598" s="601">
        <v>6</v>
      </c>
      <c r="J598" s="600">
        <v>6</v>
      </c>
      <c r="K598" s="599">
        <v>1</v>
      </c>
      <c r="L598" s="600"/>
      <c r="M598" s="601">
        <v>3</v>
      </c>
      <c r="N598" s="600">
        <v>12</v>
      </c>
      <c r="O598" s="599">
        <v>8</v>
      </c>
      <c r="P598" s="600"/>
      <c r="Q598" s="601">
        <v>0</v>
      </c>
      <c r="R598" s="600"/>
      <c r="S598" s="599">
        <v>1</v>
      </c>
      <c r="T598" s="600"/>
      <c r="U598" s="601">
        <v>0</v>
      </c>
      <c r="V598" s="600">
        <v>6</v>
      </c>
      <c r="W598" s="599">
        <v>5</v>
      </c>
      <c r="X598" s="600"/>
      <c r="Y598" s="601">
        <v>0</v>
      </c>
      <c r="Z598" s="600">
        <v>5</v>
      </c>
      <c r="AA598" s="599">
        <v>1</v>
      </c>
      <c r="AB598" s="600"/>
      <c r="AC598" s="601">
        <v>3</v>
      </c>
      <c r="AD598" s="600">
        <v>8</v>
      </c>
      <c r="AE598" s="599">
        <v>10</v>
      </c>
      <c r="AF598" s="600"/>
      <c r="AG598" s="601">
        <v>0</v>
      </c>
      <c r="AH598" s="600">
        <v>7</v>
      </c>
      <c r="AI598" s="599">
        <v>1</v>
      </c>
      <c r="AJ598" s="600"/>
      <c r="AK598" s="601">
        <v>5</v>
      </c>
      <c r="AL598" s="600"/>
      <c r="AM598" s="599">
        <v>0</v>
      </c>
      <c r="AN598" s="600"/>
      <c r="AO598" s="601">
        <v>0</v>
      </c>
      <c r="AP598" s="600"/>
      <c r="AQ598" s="599">
        <v>0</v>
      </c>
      <c r="AR598" s="600"/>
      <c r="AS598" s="601">
        <v>0</v>
      </c>
      <c r="AT598" s="600"/>
      <c r="AU598" s="599">
        <v>0</v>
      </c>
      <c r="AV598" s="600"/>
      <c r="AW598" s="601">
        <v>0</v>
      </c>
      <c r="AX598" s="600"/>
      <c r="AY598" s="599">
        <v>0</v>
      </c>
      <c r="AZ598" s="600"/>
      <c r="BA598" s="601">
        <v>0</v>
      </c>
      <c r="BB598" s="602">
        <v>1902977</v>
      </c>
      <c r="BC598" s="599">
        <v>2041960</v>
      </c>
      <c r="BD598" s="600">
        <v>601727</v>
      </c>
      <c r="BE598" s="599">
        <v>462821</v>
      </c>
      <c r="BF598" s="600">
        <v>566421</v>
      </c>
      <c r="BG598" s="599">
        <v>445083</v>
      </c>
      <c r="BH598" s="600">
        <v>729724</v>
      </c>
      <c r="BI598" s="599">
        <v>794111</v>
      </c>
      <c r="BJ598" s="600">
        <v>0</v>
      </c>
      <c r="BK598" s="615">
        <v>0</v>
      </c>
      <c r="BL598" s="600">
        <v>0</v>
      </c>
      <c r="BM598" s="604">
        <v>0</v>
      </c>
      <c r="BN598" s="605">
        <f t="shared" si="695"/>
        <v>291</v>
      </c>
      <c r="BO598" s="606">
        <f t="shared" si="696"/>
        <v>305</v>
      </c>
      <c r="BP598" s="607">
        <f t="shared" si="697"/>
        <v>108</v>
      </c>
      <c r="BQ598" s="606">
        <f t="shared" si="698"/>
        <v>83</v>
      </c>
      <c r="BR598" s="607">
        <f t="shared" si="699"/>
        <v>109</v>
      </c>
      <c r="BS598" s="606">
        <f t="shared" si="700"/>
        <v>92</v>
      </c>
      <c r="BT598" s="607">
        <f t="shared" si="701"/>
        <v>149</v>
      </c>
      <c r="BU598" s="606">
        <f t="shared" si="702"/>
        <v>161</v>
      </c>
      <c r="BV598" s="607">
        <f t="shared" si="703"/>
        <v>0</v>
      </c>
      <c r="BW598" s="608">
        <f t="shared" si="704"/>
        <v>0</v>
      </c>
      <c r="BX598" s="607">
        <f t="shared" si="705"/>
        <v>0</v>
      </c>
      <c r="BY598" s="608">
        <f t="shared" si="706"/>
        <v>0</v>
      </c>
      <c r="BZ598" s="607">
        <f t="shared" si="707"/>
        <v>6539.4398625429558</v>
      </c>
      <c r="CA598" s="608">
        <f t="shared" si="708"/>
        <v>6694.9508196721308</v>
      </c>
      <c r="CB598" s="607">
        <f t="shared" si="709"/>
        <v>5571.5462962962965</v>
      </c>
      <c r="CC598" s="608">
        <f t="shared" si="710"/>
        <v>5576.1566265060237</v>
      </c>
      <c r="CD598" s="607">
        <f t="shared" si="711"/>
        <v>5196.5229357798162</v>
      </c>
      <c r="CE598" s="608">
        <f t="shared" si="712"/>
        <v>4837.858695652174</v>
      </c>
      <c r="CF598" s="607">
        <f t="shared" si="713"/>
        <v>4897.4765100671138</v>
      </c>
      <c r="CG598" s="608">
        <f t="shared" si="714"/>
        <v>4932.3664596273293</v>
      </c>
      <c r="CH598" s="607">
        <f t="shared" si="715"/>
        <v>0</v>
      </c>
      <c r="CI598" s="608">
        <f t="shared" si="716"/>
        <v>0</v>
      </c>
      <c r="CJ598" s="607">
        <f t="shared" si="717"/>
        <v>0</v>
      </c>
      <c r="CK598" s="608">
        <f t="shared" si="718"/>
        <v>0</v>
      </c>
      <c r="CL598" s="609">
        <f t="shared" si="719"/>
        <v>58854.958762886599</v>
      </c>
      <c r="CM598" s="608">
        <f t="shared" si="720"/>
        <v>60254.557377049176</v>
      </c>
      <c r="CN598" s="610">
        <f t="shared" si="721"/>
        <v>50143.916666666672</v>
      </c>
      <c r="CO598" s="606">
        <f t="shared" si="722"/>
        <v>50185.409638554214</v>
      </c>
      <c r="CP598" s="607">
        <f t="shared" si="723"/>
        <v>46768.706422018346</v>
      </c>
      <c r="CQ598" s="606">
        <f t="shared" si="724"/>
        <v>43540.728260869568</v>
      </c>
      <c r="CR598" s="607">
        <f t="shared" si="725"/>
        <v>44077.288590604025</v>
      </c>
      <c r="CS598" s="606">
        <f t="shared" si="726"/>
        <v>44391.298136645964</v>
      </c>
      <c r="CT598" s="607">
        <f t="shared" si="727"/>
        <v>0</v>
      </c>
      <c r="CU598" s="608">
        <f t="shared" si="728"/>
        <v>0</v>
      </c>
      <c r="CV598" s="610">
        <f t="shared" si="729"/>
        <v>0</v>
      </c>
      <c r="CW598" s="608">
        <f t="shared" si="730"/>
        <v>0</v>
      </c>
      <c r="CX598" s="610">
        <f t="shared" si="731"/>
        <v>52200.664074648506</v>
      </c>
      <c r="CY598" s="611">
        <f t="shared" si="732"/>
        <v>52756.69465676853</v>
      </c>
      <c r="CZ598" s="605">
        <f t="shared" si="733"/>
        <v>31</v>
      </c>
      <c r="DA598" s="612">
        <f t="shared" si="734"/>
        <v>32</v>
      </c>
      <c r="DB598" s="607">
        <f t="shared" si="735"/>
        <v>12</v>
      </c>
      <c r="DC598" s="606">
        <f t="shared" si="736"/>
        <v>9</v>
      </c>
      <c r="DD598" s="607">
        <f t="shared" si="737"/>
        <v>11</v>
      </c>
      <c r="DE598" s="606">
        <f t="shared" si="738"/>
        <v>9</v>
      </c>
      <c r="DF598" s="607">
        <f t="shared" si="739"/>
        <v>15</v>
      </c>
      <c r="DG598" s="606">
        <f t="shared" si="740"/>
        <v>16</v>
      </c>
      <c r="DH598" s="607">
        <f t="shared" si="741"/>
        <v>0</v>
      </c>
      <c r="DI598" s="608">
        <f t="shared" si="742"/>
        <v>0</v>
      </c>
      <c r="DJ598" s="607">
        <f t="shared" si="743"/>
        <v>0</v>
      </c>
      <c r="DK598" s="608">
        <f t="shared" si="744"/>
        <v>0</v>
      </c>
      <c r="DL598" s="607">
        <f t="shared" si="745"/>
        <v>69</v>
      </c>
      <c r="DM598" s="608">
        <f t="shared" si="746"/>
        <v>66</v>
      </c>
      <c r="DN598" s="607">
        <f t="shared" si="747"/>
        <v>1824503.7216494845</v>
      </c>
      <c r="DO598" s="612">
        <f t="shared" si="748"/>
        <v>1928145.8360655736</v>
      </c>
      <c r="DP598" s="607">
        <f t="shared" si="749"/>
        <v>601727</v>
      </c>
      <c r="DQ598" s="606">
        <f t="shared" si="750"/>
        <v>451668.68674698792</v>
      </c>
      <c r="DR598" s="607">
        <f t="shared" si="751"/>
        <v>514455.77064220182</v>
      </c>
      <c r="DS598" s="606">
        <f t="shared" si="752"/>
        <v>391866.55434782611</v>
      </c>
      <c r="DT598" s="607">
        <f t="shared" si="753"/>
        <v>661159.32885906042</v>
      </c>
      <c r="DU598" s="606">
        <f t="shared" si="754"/>
        <v>710260.77018633543</v>
      </c>
      <c r="DV598" s="607">
        <f t="shared" si="755"/>
        <v>0</v>
      </c>
      <c r="DW598" s="608">
        <f t="shared" si="756"/>
        <v>0</v>
      </c>
      <c r="DX598" s="607">
        <f t="shared" si="757"/>
        <v>0</v>
      </c>
      <c r="DY598" s="608">
        <f t="shared" si="758"/>
        <v>0</v>
      </c>
      <c r="DZ598" s="607">
        <f t="shared" si="759"/>
        <v>3601845.8211507471</v>
      </c>
      <c r="EA598" s="608">
        <f t="shared" si="760"/>
        <v>3481941.8473467231</v>
      </c>
    </row>
    <row r="599" spans="1:131" x14ac:dyDescent="0.2">
      <c r="A599" s="353" t="s">
        <v>43</v>
      </c>
      <c r="B599" s="354" t="s">
        <v>521</v>
      </c>
      <c r="C599" s="585"/>
      <c r="D599" s="362">
        <v>227304</v>
      </c>
      <c r="E599" s="366">
        <v>9</v>
      </c>
      <c r="F599" s="598">
        <v>15</v>
      </c>
      <c r="G599" s="599">
        <v>15</v>
      </c>
      <c r="H599" s="600"/>
      <c r="I599" s="601">
        <v>0</v>
      </c>
      <c r="J599" s="600">
        <v>2</v>
      </c>
      <c r="K599" s="599">
        <v>0</v>
      </c>
      <c r="L599" s="600"/>
      <c r="M599" s="601">
        <v>0</v>
      </c>
      <c r="N599" s="600">
        <v>25</v>
      </c>
      <c r="O599" s="599">
        <v>31</v>
      </c>
      <c r="P599" s="600"/>
      <c r="Q599" s="601">
        <v>2</v>
      </c>
      <c r="R599" s="600">
        <v>6</v>
      </c>
      <c r="S599" s="599">
        <v>0</v>
      </c>
      <c r="T599" s="600"/>
      <c r="U599" s="601">
        <v>9</v>
      </c>
      <c r="V599" s="600">
        <v>24</v>
      </c>
      <c r="W599" s="599">
        <v>14</v>
      </c>
      <c r="X599" s="600"/>
      <c r="Y599" s="601">
        <v>1</v>
      </c>
      <c r="Z599" s="600">
        <v>5</v>
      </c>
      <c r="AA599" s="599">
        <v>0</v>
      </c>
      <c r="AB599" s="600"/>
      <c r="AC599" s="601">
        <v>5</v>
      </c>
      <c r="AD599" s="600">
        <v>40</v>
      </c>
      <c r="AE599" s="599">
        <v>39</v>
      </c>
      <c r="AF599" s="600"/>
      <c r="AG599" s="601">
        <v>2</v>
      </c>
      <c r="AH599" s="600">
        <v>7</v>
      </c>
      <c r="AI599" s="599">
        <v>0</v>
      </c>
      <c r="AJ599" s="600"/>
      <c r="AK599" s="601">
        <v>7</v>
      </c>
      <c r="AL599" s="600"/>
      <c r="AM599" s="599">
        <v>0</v>
      </c>
      <c r="AN599" s="600"/>
      <c r="AO599" s="601">
        <v>0</v>
      </c>
      <c r="AP599" s="600"/>
      <c r="AQ599" s="599">
        <v>0</v>
      </c>
      <c r="AR599" s="600"/>
      <c r="AS599" s="601">
        <v>0</v>
      </c>
      <c r="AT599" s="600"/>
      <c r="AU599" s="599">
        <v>0</v>
      </c>
      <c r="AV599" s="600"/>
      <c r="AW599" s="601">
        <v>0</v>
      </c>
      <c r="AX599" s="600"/>
      <c r="AY599" s="599">
        <v>0</v>
      </c>
      <c r="AZ599" s="600"/>
      <c r="BA599" s="601">
        <v>0</v>
      </c>
      <c r="BB599" s="602">
        <v>1031582</v>
      </c>
      <c r="BC599" s="599">
        <v>754910</v>
      </c>
      <c r="BD599" s="600">
        <v>1600707</v>
      </c>
      <c r="BE599" s="599">
        <v>2089302</v>
      </c>
      <c r="BF599" s="600">
        <v>1516005</v>
      </c>
      <c r="BG599" s="599">
        <v>1104623</v>
      </c>
      <c r="BH599" s="600">
        <v>2249951</v>
      </c>
      <c r="BI599" s="599">
        <v>2415094</v>
      </c>
      <c r="BJ599" s="600">
        <v>0</v>
      </c>
      <c r="BK599" s="615">
        <v>0</v>
      </c>
      <c r="BL599" s="600">
        <v>0</v>
      </c>
      <c r="BM599" s="604">
        <v>0</v>
      </c>
      <c r="BN599" s="605">
        <f t="shared" si="695"/>
        <v>157</v>
      </c>
      <c r="BO599" s="606">
        <f t="shared" si="696"/>
        <v>135</v>
      </c>
      <c r="BP599" s="607">
        <f t="shared" si="697"/>
        <v>291</v>
      </c>
      <c r="BQ599" s="606">
        <f t="shared" si="698"/>
        <v>407</v>
      </c>
      <c r="BR599" s="607">
        <f t="shared" si="699"/>
        <v>271</v>
      </c>
      <c r="BS599" s="606">
        <f t="shared" si="700"/>
        <v>196</v>
      </c>
      <c r="BT599" s="607">
        <f t="shared" si="701"/>
        <v>437</v>
      </c>
      <c r="BU599" s="606">
        <f t="shared" si="702"/>
        <v>455</v>
      </c>
      <c r="BV599" s="607">
        <f t="shared" si="703"/>
        <v>0</v>
      </c>
      <c r="BW599" s="608">
        <f t="shared" si="704"/>
        <v>0</v>
      </c>
      <c r="BX599" s="607">
        <f t="shared" si="705"/>
        <v>0</v>
      </c>
      <c r="BY599" s="608">
        <f t="shared" si="706"/>
        <v>0</v>
      </c>
      <c r="BZ599" s="607">
        <f t="shared" si="707"/>
        <v>6570.5859872611463</v>
      </c>
      <c r="CA599" s="608">
        <f t="shared" si="708"/>
        <v>5591.9259259259261</v>
      </c>
      <c r="CB599" s="607">
        <f t="shared" si="709"/>
        <v>5500.7113402061859</v>
      </c>
      <c r="CC599" s="608">
        <f t="shared" si="710"/>
        <v>5133.4201474201473</v>
      </c>
      <c r="CD599" s="607">
        <f t="shared" si="711"/>
        <v>5594.1143911439112</v>
      </c>
      <c r="CE599" s="608">
        <f t="shared" si="712"/>
        <v>5635.8316326530612</v>
      </c>
      <c r="CF599" s="607">
        <f t="shared" si="713"/>
        <v>5148.6292906178487</v>
      </c>
      <c r="CG599" s="608">
        <f t="shared" si="714"/>
        <v>5307.8989010989008</v>
      </c>
      <c r="CH599" s="607">
        <f t="shared" si="715"/>
        <v>0</v>
      </c>
      <c r="CI599" s="608">
        <f t="shared" si="716"/>
        <v>0</v>
      </c>
      <c r="CJ599" s="607">
        <f t="shared" si="717"/>
        <v>0</v>
      </c>
      <c r="CK599" s="608">
        <f t="shared" si="718"/>
        <v>0</v>
      </c>
      <c r="CL599" s="609">
        <f t="shared" si="719"/>
        <v>59135.273885350318</v>
      </c>
      <c r="CM599" s="608">
        <f t="shared" si="720"/>
        <v>50327.333333333336</v>
      </c>
      <c r="CN599" s="610">
        <f t="shared" si="721"/>
        <v>49506.402061855675</v>
      </c>
      <c r="CO599" s="606">
        <f t="shared" si="722"/>
        <v>46200.781326781325</v>
      </c>
      <c r="CP599" s="607">
        <f t="shared" si="723"/>
        <v>50347.029520295204</v>
      </c>
      <c r="CQ599" s="606">
        <f t="shared" si="724"/>
        <v>50722.484693877552</v>
      </c>
      <c r="CR599" s="607">
        <f t="shared" si="725"/>
        <v>46337.663615560639</v>
      </c>
      <c r="CS599" s="606">
        <f t="shared" si="726"/>
        <v>47771.090109890109</v>
      </c>
      <c r="CT599" s="607">
        <f t="shared" si="727"/>
        <v>0</v>
      </c>
      <c r="CU599" s="608">
        <f t="shared" si="728"/>
        <v>0</v>
      </c>
      <c r="CV599" s="610">
        <f t="shared" si="729"/>
        <v>0</v>
      </c>
      <c r="CW599" s="608">
        <f t="shared" si="730"/>
        <v>0</v>
      </c>
      <c r="CX599" s="610">
        <f t="shared" si="731"/>
        <v>49822.03359668058</v>
      </c>
      <c r="CY599" s="611">
        <f t="shared" si="732"/>
        <v>48022.438679016741</v>
      </c>
      <c r="CZ599" s="605">
        <f t="shared" si="733"/>
        <v>17</v>
      </c>
      <c r="DA599" s="612">
        <f t="shared" si="734"/>
        <v>15</v>
      </c>
      <c r="DB599" s="607">
        <f t="shared" si="735"/>
        <v>31</v>
      </c>
      <c r="DC599" s="606">
        <f t="shared" si="736"/>
        <v>42</v>
      </c>
      <c r="DD599" s="607">
        <f t="shared" si="737"/>
        <v>29</v>
      </c>
      <c r="DE599" s="606">
        <f t="shared" si="738"/>
        <v>20</v>
      </c>
      <c r="DF599" s="607">
        <f t="shared" si="739"/>
        <v>47</v>
      </c>
      <c r="DG599" s="606">
        <f t="shared" si="740"/>
        <v>48</v>
      </c>
      <c r="DH599" s="607">
        <f t="shared" si="741"/>
        <v>0</v>
      </c>
      <c r="DI599" s="608">
        <f t="shared" si="742"/>
        <v>0</v>
      </c>
      <c r="DJ599" s="607">
        <f t="shared" si="743"/>
        <v>0</v>
      </c>
      <c r="DK599" s="608">
        <f t="shared" si="744"/>
        <v>0</v>
      </c>
      <c r="DL599" s="607">
        <f t="shared" si="745"/>
        <v>124</v>
      </c>
      <c r="DM599" s="608">
        <f t="shared" si="746"/>
        <v>125</v>
      </c>
      <c r="DN599" s="607">
        <f t="shared" si="747"/>
        <v>1005299.6560509554</v>
      </c>
      <c r="DO599" s="612">
        <f t="shared" si="748"/>
        <v>754910</v>
      </c>
      <c r="DP599" s="607">
        <f t="shared" si="749"/>
        <v>1534698.463917526</v>
      </c>
      <c r="DQ599" s="606">
        <f t="shared" si="750"/>
        <v>1940432.8157248157</v>
      </c>
      <c r="DR599" s="607">
        <f t="shared" si="751"/>
        <v>1460063.856088561</v>
      </c>
      <c r="DS599" s="606">
        <f t="shared" si="752"/>
        <v>1014449.693877551</v>
      </c>
      <c r="DT599" s="607">
        <f t="shared" si="753"/>
        <v>2177870.1899313498</v>
      </c>
      <c r="DU599" s="606">
        <f t="shared" si="754"/>
        <v>2293012.3252747254</v>
      </c>
      <c r="DV599" s="607">
        <f t="shared" si="755"/>
        <v>0</v>
      </c>
      <c r="DW599" s="608">
        <f t="shared" si="756"/>
        <v>0</v>
      </c>
      <c r="DX599" s="607">
        <f t="shared" si="757"/>
        <v>0</v>
      </c>
      <c r="DY599" s="608">
        <f t="shared" si="758"/>
        <v>0</v>
      </c>
      <c r="DZ599" s="607">
        <f t="shared" si="759"/>
        <v>6177932.1659883922</v>
      </c>
      <c r="EA599" s="608">
        <f t="shared" si="760"/>
        <v>6002804.8348770924</v>
      </c>
    </row>
    <row r="600" spans="1:131" x14ac:dyDescent="0.2">
      <c r="A600" s="353" t="s">
        <v>43</v>
      </c>
      <c r="B600" s="354" t="s">
        <v>522</v>
      </c>
      <c r="C600" s="585"/>
      <c r="D600" s="362">
        <v>227401</v>
      </c>
      <c r="E600" s="366">
        <v>9</v>
      </c>
      <c r="F600" s="598"/>
      <c r="G600" s="599">
        <v>0</v>
      </c>
      <c r="H600" s="600"/>
      <c r="I600" s="601">
        <v>0</v>
      </c>
      <c r="J600" s="600"/>
      <c r="K600" s="599">
        <v>0</v>
      </c>
      <c r="L600" s="600"/>
      <c r="M600" s="601">
        <v>0</v>
      </c>
      <c r="N600" s="600"/>
      <c r="O600" s="599">
        <v>0</v>
      </c>
      <c r="P600" s="600"/>
      <c r="Q600" s="601">
        <v>0</v>
      </c>
      <c r="R600" s="600"/>
      <c r="S600" s="599">
        <v>0</v>
      </c>
      <c r="T600" s="600"/>
      <c r="U600" s="601">
        <v>0</v>
      </c>
      <c r="V600" s="600"/>
      <c r="W600" s="599">
        <v>0</v>
      </c>
      <c r="X600" s="600"/>
      <c r="Y600" s="601">
        <v>0</v>
      </c>
      <c r="Z600" s="600"/>
      <c r="AA600" s="599">
        <v>0</v>
      </c>
      <c r="AB600" s="600"/>
      <c r="AC600" s="601">
        <v>0</v>
      </c>
      <c r="AD600" s="600"/>
      <c r="AE600" s="599">
        <v>0</v>
      </c>
      <c r="AF600" s="600"/>
      <c r="AG600" s="601">
        <v>0</v>
      </c>
      <c r="AH600" s="600"/>
      <c r="AI600" s="599">
        <v>0</v>
      </c>
      <c r="AJ600" s="600"/>
      <c r="AK600" s="601">
        <v>0</v>
      </c>
      <c r="AL600" s="600"/>
      <c r="AM600" s="599">
        <v>0</v>
      </c>
      <c r="AN600" s="600"/>
      <c r="AO600" s="601">
        <v>0</v>
      </c>
      <c r="AP600" s="600"/>
      <c r="AQ600" s="599">
        <v>0</v>
      </c>
      <c r="AR600" s="600"/>
      <c r="AS600" s="601">
        <v>0</v>
      </c>
      <c r="AT600" s="600">
        <v>69</v>
      </c>
      <c r="AU600" s="599">
        <v>68</v>
      </c>
      <c r="AV600" s="600"/>
      <c r="AW600" s="601">
        <v>11</v>
      </c>
      <c r="AX600" s="600">
        <v>22</v>
      </c>
      <c r="AY600" s="599">
        <v>0</v>
      </c>
      <c r="AZ600" s="600"/>
      <c r="BA600" s="601">
        <v>17</v>
      </c>
      <c r="BB600" s="602">
        <v>0</v>
      </c>
      <c r="BC600" s="599">
        <v>0</v>
      </c>
      <c r="BD600" s="600">
        <v>0</v>
      </c>
      <c r="BE600" s="599">
        <v>0</v>
      </c>
      <c r="BF600" s="600">
        <v>0</v>
      </c>
      <c r="BG600" s="599">
        <v>0</v>
      </c>
      <c r="BH600" s="600">
        <v>0</v>
      </c>
      <c r="BI600" s="599">
        <v>0</v>
      </c>
      <c r="BJ600" s="600">
        <v>0</v>
      </c>
      <c r="BK600" s="615">
        <v>0</v>
      </c>
      <c r="BL600" s="600">
        <v>5216863</v>
      </c>
      <c r="BM600" s="604">
        <v>5599097</v>
      </c>
      <c r="BN600" s="605">
        <f t="shared" si="695"/>
        <v>0</v>
      </c>
      <c r="BO600" s="606">
        <f t="shared" si="696"/>
        <v>0</v>
      </c>
      <c r="BP600" s="607">
        <f t="shared" si="697"/>
        <v>0</v>
      </c>
      <c r="BQ600" s="606">
        <f t="shared" si="698"/>
        <v>0</v>
      </c>
      <c r="BR600" s="607">
        <f t="shared" si="699"/>
        <v>0</v>
      </c>
      <c r="BS600" s="606">
        <f t="shared" si="700"/>
        <v>0</v>
      </c>
      <c r="BT600" s="607">
        <f t="shared" si="701"/>
        <v>0</v>
      </c>
      <c r="BU600" s="606">
        <f t="shared" si="702"/>
        <v>0</v>
      </c>
      <c r="BV600" s="607">
        <f t="shared" si="703"/>
        <v>0</v>
      </c>
      <c r="BW600" s="608">
        <f t="shared" si="704"/>
        <v>0</v>
      </c>
      <c r="BX600" s="607">
        <f t="shared" si="705"/>
        <v>863</v>
      </c>
      <c r="BY600" s="608">
        <f t="shared" si="706"/>
        <v>926</v>
      </c>
      <c r="BZ600" s="607">
        <f t="shared" si="707"/>
        <v>0</v>
      </c>
      <c r="CA600" s="608">
        <f t="shared" si="708"/>
        <v>0</v>
      </c>
      <c r="CB600" s="607">
        <f t="shared" si="709"/>
        <v>0</v>
      </c>
      <c r="CC600" s="608">
        <f t="shared" si="710"/>
        <v>0</v>
      </c>
      <c r="CD600" s="607">
        <f t="shared" si="711"/>
        <v>0</v>
      </c>
      <c r="CE600" s="608">
        <f t="shared" si="712"/>
        <v>0</v>
      </c>
      <c r="CF600" s="607">
        <f t="shared" si="713"/>
        <v>0</v>
      </c>
      <c r="CG600" s="608">
        <f t="shared" si="714"/>
        <v>0</v>
      </c>
      <c r="CH600" s="607">
        <f t="shared" si="715"/>
        <v>0</v>
      </c>
      <c r="CI600" s="608">
        <f t="shared" si="716"/>
        <v>0</v>
      </c>
      <c r="CJ600" s="607">
        <f t="shared" si="717"/>
        <v>6045.0324449594436</v>
      </c>
      <c r="CK600" s="608">
        <f t="shared" si="718"/>
        <v>6046.5410367170625</v>
      </c>
      <c r="CL600" s="609">
        <f t="shared" si="719"/>
        <v>0</v>
      </c>
      <c r="CM600" s="608">
        <f t="shared" si="720"/>
        <v>0</v>
      </c>
      <c r="CN600" s="610">
        <f t="shared" si="721"/>
        <v>0</v>
      </c>
      <c r="CO600" s="606">
        <f t="shared" si="722"/>
        <v>0</v>
      </c>
      <c r="CP600" s="607">
        <f t="shared" si="723"/>
        <v>0</v>
      </c>
      <c r="CQ600" s="606">
        <f t="shared" si="724"/>
        <v>0</v>
      </c>
      <c r="CR600" s="607">
        <f t="shared" si="725"/>
        <v>0</v>
      </c>
      <c r="CS600" s="606">
        <f t="shared" si="726"/>
        <v>0</v>
      </c>
      <c r="CT600" s="607">
        <f t="shared" si="727"/>
        <v>0</v>
      </c>
      <c r="CU600" s="608">
        <f t="shared" si="728"/>
        <v>0</v>
      </c>
      <c r="CV600" s="610">
        <f t="shared" si="729"/>
        <v>54405.29200463499</v>
      </c>
      <c r="CW600" s="608">
        <f t="shared" si="730"/>
        <v>54418.869330453563</v>
      </c>
      <c r="CX600" s="610">
        <f t="shared" si="731"/>
        <v>54405.292004634997</v>
      </c>
      <c r="CY600" s="611">
        <f t="shared" si="732"/>
        <v>54418.869330453563</v>
      </c>
      <c r="CZ600" s="605">
        <f t="shared" si="733"/>
        <v>0</v>
      </c>
      <c r="DA600" s="612">
        <f t="shared" si="734"/>
        <v>0</v>
      </c>
      <c r="DB600" s="607">
        <f t="shared" si="735"/>
        <v>0</v>
      </c>
      <c r="DC600" s="606">
        <f t="shared" si="736"/>
        <v>0</v>
      </c>
      <c r="DD600" s="607">
        <f t="shared" si="737"/>
        <v>0</v>
      </c>
      <c r="DE600" s="606">
        <f t="shared" si="738"/>
        <v>0</v>
      </c>
      <c r="DF600" s="607">
        <f t="shared" si="739"/>
        <v>0</v>
      </c>
      <c r="DG600" s="606">
        <f t="shared" si="740"/>
        <v>0</v>
      </c>
      <c r="DH600" s="607">
        <f t="shared" si="741"/>
        <v>0</v>
      </c>
      <c r="DI600" s="608">
        <f t="shared" si="742"/>
        <v>0</v>
      </c>
      <c r="DJ600" s="607">
        <f t="shared" si="743"/>
        <v>91</v>
      </c>
      <c r="DK600" s="608">
        <f t="shared" si="744"/>
        <v>96</v>
      </c>
      <c r="DL600" s="607">
        <f t="shared" si="745"/>
        <v>91</v>
      </c>
      <c r="DM600" s="608">
        <f t="shared" si="746"/>
        <v>96</v>
      </c>
      <c r="DN600" s="607">
        <f t="shared" si="747"/>
        <v>0</v>
      </c>
      <c r="DO600" s="612">
        <f t="shared" si="748"/>
        <v>0</v>
      </c>
      <c r="DP600" s="607">
        <f t="shared" si="749"/>
        <v>0</v>
      </c>
      <c r="DQ600" s="606">
        <f t="shared" si="750"/>
        <v>0</v>
      </c>
      <c r="DR600" s="607">
        <f t="shared" si="751"/>
        <v>0</v>
      </c>
      <c r="DS600" s="606">
        <f t="shared" si="752"/>
        <v>0</v>
      </c>
      <c r="DT600" s="607">
        <f t="shared" si="753"/>
        <v>0</v>
      </c>
      <c r="DU600" s="606">
        <f t="shared" si="754"/>
        <v>0</v>
      </c>
      <c r="DV600" s="607">
        <f t="shared" si="755"/>
        <v>0</v>
      </c>
      <c r="DW600" s="608">
        <f t="shared" si="756"/>
        <v>0</v>
      </c>
      <c r="DX600" s="607">
        <f t="shared" si="757"/>
        <v>4950881.5724217845</v>
      </c>
      <c r="DY600" s="608">
        <f t="shared" si="758"/>
        <v>5224211.4557235418</v>
      </c>
      <c r="DZ600" s="607">
        <f t="shared" si="759"/>
        <v>4950881.5724217845</v>
      </c>
      <c r="EA600" s="608">
        <f t="shared" si="760"/>
        <v>5224211.4557235418</v>
      </c>
    </row>
    <row r="601" spans="1:131" x14ac:dyDescent="0.2">
      <c r="A601" s="353" t="s">
        <v>43</v>
      </c>
      <c r="B601" s="354" t="s">
        <v>523</v>
      </c>
      <c r="C601" s="585"/>
      <c r="D601" s="362">
        <v>228316</v>
      </c>
      <c r="E601" s="366">
        <v>9</v>
      </c>
      <c r="F601" s="598"/>
      <c r="G601" s="599">
        <v>0</v>
      </c>
      <c r="H601" s="600"/>
      <c r="I601" s="601">
        <v>0</v>
      </c>
      <c r="J601" s="600"/>
      <c r="K601" s="599">
        <v>0</v>
      </c>
      <c r="L601" s="600"/>
      <c r="M601" s="601">
        <v>0</v>
      </c>
      <c r="N601" s="600"/>
      <c r="O601" s="599">
        <v>0</v>
      </c>
      <c r="P601" s="600"/>
      <c r="Q601" s="601">
        <v>0</v>
      </c>
      <c r="R601" s="600"/>
      <c r="S601" s="599">
        <v>0</v>
      </c>
      <c r="T601" s="600"/>
      <c r="U601" s="601">
        <v>0</v>
      </c>
      <c r="V601" s="600"/>
      <c r="W601" s="599">
        <v>0</v>
      </c>
      <c r="X601" s="600"/>
      <c r="Y601" s="601">
        <v>0</v>
      </c>
      <c r="Z601" s="600"/>
      <c r="AA601" s="599">
        <v>0</v>
      </c>
      <c r="AB601" s="600"/>
      <c r="AC601" s="601">
        <v>0</v>
      </c>
      <c r="AD601" s="600">
        <v>110</v>
      </c>
      <c r="AE601" s="599">
        <v>69</v>
      </c>
      <c r="AF601" s="600"/>
      <c r="AG601" s="601">
        <v>2</v>
      </c>
      <c r="AH601" s="600">
        <v>8</v>
      </c>
      <c r="AI601" s="599">
        <v>1</v>
      </c>
      <c r="AJ601" s="600"/>
      <c r="AK601" s="601">
        <v>1</v>
      </c>
      <c r="AL601" s="600"/>
      <c r="AM601" s="599">
        <v>0</v>
      </c>
      <c r="AN601" s="600"/>
      <c r="AO601" s="601">
        <v>0</v>
      </c>
      <c r="AP601" s="600"/>
      <c r="AQ601" s="599">
        <v>0</v>
      </c>
      <c r="AR601" s="600"/>
      <c r="AS601" s="601">
        <v>0</v>
      </c>
      <c r="AT601" s="600"/>
      <c r="AU601" s="599">
        <v>0</v>
      </c>
      <c r="AV601" s="600"/>
      <c r="AW601" s="601">
        <v>0</v>
      </c>
      <c r="AX601" s="600"/>
      <c r="AY601" s="599">
        <v>0</v>
      </c>
      <c r="AZ601" s="600"/>
      <c r="BA601" s="601">
        <v>0</v>
      </c>
      <c r="BB601" s="602">
        <v>0</v>
      </c>
      <c r="BC601" s="599">
        <v>0</v>
      </c>
      <c r="BD601" s="600">
        <v>0</v>
      </c>
      <c r="BE601" s="599">
        <v>0</v>
      </c>
      <c r="BF601" s="600">
        <v>0</v>
      </c>
      <c r="BG601" s="599">
        <v>0</v>
      </c>
      <c r="BH601" s="600">
        <v>6161636</v>
      </c>
      <c r="BI601" s="599">
        <v>5485295</v>
      </c>
      <c r="BJ601" s="600">
        <v>0</v>
      </c>
      <c r="BK601" s="615">
        <v>0</v>
      </c>
      <c r="BL601" s="600">
        <v>0</v>
      </c>
      <c r="BM601" s="604">
        <v>0</v>
      </c>
      <c r="BN601" s="605">
        <f t="shared" si="695"/>
        <v>0</v>
      </c>
      <c r="BO601" s="606">
        <f t="shared" si="696"/>
        <v>0</v>
      </c>
      <c r="BP601" s="607">
        <f t="shared" si="697"/>
        <v>0</v>
      </c>
      <c r="BQ601" s="606">
        <f t="shared" si="698"/>
        <v>0</v>
      </c>
      <c r="BR601" s="607">
        <f t="shared" si="699"/>
        <v>0</v>
      </c>
      <c r="BS601" s="606">
        <f t="shared" si="700"/>
        <v>0</v>
      </c>
      <c r="BT601" s="607">
        <f t="shared" si="701"/>
        <v>1078</v>
      </c>
      <c r="BU601" s="606">
        <f t="shared" si="702"/>
        <v>664</v>
      </c>
      <c r="BV601" s="607">
        <f t="shared" si="703"/>
        <v>0</v>
      </c>
      <c r="BW601" s="608">
        <f t="shared" si="704"/>
        <v>0</v>
      </c>
      <c r="BX601" s="607">
        <f t="shared" si="705"/>
        <v>0</v>
      </c>
      <c r="BY601" s="608">
        <f t="shared" si="706"/>
        <v>0</v>
      </c>
      <c r="BZ601" s="607">
        <f t="shared" si="707"/>
        <v>0</v>
      </c>
      <c r="CA601" s="608">
        <f t="shared" si="708"/>
        <v>0</v>
      </c>
      <c r="CB601" s="607">
        <f t="shared" si="709"/>
        <v>0</v>
      </c>
      <c r="CC601" s="608">
        <f t="shared" si="710"/>
        <v>0</v>
      </c>
      <c r="CD601" s="607">
        <f t="shared" si="711"/>
        <v>0</v>
      </c>
      <c r="CE601" s="608">
        <f t="shared" si="712"/>
        <v>0</v>
      </c>
      <c r="CF601" s="607">
        <f t="shared" si="713"/>
        <v>5715.8033395176253</v>
      </c>
      <c r="CG601" s="608">
        <f t="shared" si="714"/>
        <v>8260.9864457831318</v>
      </c>
      <c r="CH601" s="607">
        <f t="shared" si="715"/>
        <v>0</v>
      </c>
      <c r="CI601" s="608">
        <f t="shared" si="716"/>
        <v>0</v>
      </c>
      <c r="CJ601" s="607">
        <f t="shared" si="717"/>
        <v>0</v>
      </c>
      <c r="CK601" s="608">
        <f t="shared" si="718"/>
        <v>0</v>
      </c>
      <c r="CL601" s="609">
        <f t="shared" si="719"/>
        <v>0</v>
      </c>
      <c r="CM601" s="608">
        <f t="shared" si="720"/>
        <v>0</v>
      </c>
      <c r="CN601" s="610">
        <f t="shared" si="721"/>
        <v>0</v>
      </c>
      <c r="CO601" s="606">
        <f t="shared" si="722"/>
        <v>0</v>
      </c>
      <c r="CP601" s="607">
        <f t="shared" si="723"/>
        <v>0</v>
      </c>
      <c r="CQ601" s="606">
        <f t="shared" si="724"/>
        <v>0</v>
      </c>
      <c r="CR601" s="607">
        <f t="shared" si="725"/>
        <v>51442.230055658627</v>
      </c>
      <c r="CS601" s="606">
        <f t="shared" si="726"/>
        <v>74348.878012048182</v>
      </c>
      <c r="CT601" s="607">
        <f t="shared" si="727"/>
        <v>0</v>
      </c>
      <c r="CU601" s="608">
        <f t="shared" si="728"/>
        <v>0</v>
      </c>
      <c r="CV601" s="610">
        <f t="shared" si="729"/>
        <v>0</v>
      </c>
      <c r="CW601" s="608">
        <f t="shared" si="730"/>
        <v>0</v>
      </c>
      <c r="CX601" s="610">
        <f t="shared" si="731"/>
        <v>51442.230055658627</v>
      </c>
      <c r="CY601" s="611">
        <f t="shared" si="732"/>
        <v>74348.878012048182</v>
      </c>
      <c r="CZ601" s="605">
        <f t="shared" si="733"/>
        <v>0</v>
      </c>
      <c r="DA601" s="612">
        <f t="shared" si="734"/>
        <v>0</v>
      </c>
      <c r="DB601" s="607">
        <f t="shared" si="735"/>
        <v>0</v>
      </c>
      <c r="DC601" s="606">
        <f t="shared" si="736"/>
        <v>0</v>
      </c>
      <c r="DD601" s="607">
        <f t="shared" si="737"/>
        <v>0</v>
      </c>
      <c r="DE601" s="606">
        <f t="shared" si="738"/>
        <v>0</v>
      </c>
      <c r="DF601" s="607">
        <f t="shared" si="739"/>
        <v>118</v>
      </c>
      <c r="DG601" s="606">
        <f t="shared" si="740"/>
        <v>73</v>
      </c>
      <c r="DH601" s="607">
        <f t="shared" si="741"/>
        <v>0</v>
      </c>
      <c r="DI601" s="608">
        <f t="shared" si="742"/>
        <v>0</v>
      </c>
      <c r="DJ601" s="607">
        <f t="shared" si="743"/>
        <v>0</v>
      </c>
      <c r="DK601" s="608">
        <f t="shared" si="744"/>
        <v>0</v>
      </c>
      <c r="DL601" s="607">
        <f t="shared" si="745"/>
        <v>118</v>
      </c>
      <c r="DM601" s="608">
        <f t="shared" si="746"/>
        <v>73</v>
      </c>
      <c r="DN601" s="607">
        <f t="shared" si="747"/>
        <v>0</v>
      </c>
      <c r="DO601" s="612">
        <f t="shared" si="748"/>
        <v>0</v>
      </c>
      <c r="DP601" s="607">
        <f t="shared" si="749"/>
        <v>0</v>
      </c>
      <c r="DQ601" s="606">
        <f t="shared" si="750"/>
        <v>0</v>
      </c>
      <c r="DR601" s="607">
        <f t="shared" si="751"/>
        <v>0</v>
      </c>
      <c r="DS601" s="606">
        <f t="shared" si="752"/>
        <v>0</v>
      </c>
      <c r="DT601" s="607">
        <f t="shared" si="753"/>
        <v>6070183.1465677181</v>
      </c>
      <c r="DU601" s="606">
        <f t="shared" si="754"/>
        <v>5427468.0948795173</v>
      </c>
      <c r="DV601" s="607">
        <f t="shared" si="755"/>
        <v>0</v>
      </c>
      <c r="DW601" s="608">
        <f t="shared" si="756"/>
        <v>0</v>
      </c>
      <c r="DX601" s="607">
        <f t="shared" si="757"/>
        <v>0</v>
      </c>
      <c r="DY601" s="608">
        <f t="shared" si="758"/>
        <v>0</v>
      </c>
      <c r="DZ601" s="607">
        <f t="shared" si="759"/>
        <v>6070183.1465677181</v>
      </c>
      <c r="EA601" s="608">
        <f t="shared" si="760"/>
        <v>5427468.0948795173</v>
      </c>
    </row>
    <row r="602" spans="1:131" x14ac:dyDescent="0.2">
      <c r="A602" s="353" t="s">
        <v>43</v>
      </c>
      <c r="B602" s="354" t="s">
        <v>524</v>
      </c>
      <c r="C602" s="585"/>
      <c r="D602" s="362">
        <v>228608</v>
      </c>
      <c r="E602" s="366">
        <v>9</v>
      </c>
      <c r="F602" s="598"/>
      <c r="G602" s="599">
        <v>0</v>
      </c>
      <c r="H602" s="600"/>
      <c r="I602" s="601">
        <v>0</v>
      </c>
      <c r="J602" s="600"/>
      <c r="K602" s="599">
        <v>0</v>
      </c>
      <c r="L602" s="600"/>
      <c r="M602" s="601">
        <v>0</v>
      </c>
      <c r="N602" s="600"/>
      <c r="O602" s="599">
        <v>0</v>
      </c>
      <c r="P602" s="600"/>
      <c r="Q602" s="601">
        <v>0</v>
      </c>
      <c r="R602" s="600"/>
      <c r="S602" s="599">
        <v>0</v>
      </c>
      <c r="T602" s="600"/>
      <c r="U602" s="601">
        <v>0</v>
      </c>
      <c r="V602" s="600"/>
      <c r="W602" s="599">
        <v>0</v>
      </c>
      <c r="X602" s="600"/>
      <c r="Y602" s="601">
        <v>0</v>
      </c>
      <c r="Z602" s="600"/>
      <c r="AA602" s="599">
        <v>0</v>
      </c>
      <c r="AB602" s="600"/>
      <c r="AC602" s="601">
        <v>0</v>
      </c>
      <c r="AD602" s="600">
        <v>83</v>
      </c>
      <c r="AE602" s="599">
        <v>75</v>
      </c>
      <c r="AF602" s="600"/>
      <c r="AG602" s="601">
        <v>11</v>
      </c>
      <c r="AH602" s="600">
        <v>36</v>
      </c>
      <c r="AI602" s="599">
        <v>11</v>
      </c>
      <c r="AJ602" s="600"/>
      <c r="AK602" s="601">
        <v>24</v>
      </c>
      <c r="AL602" s="600"/>
      <c r="AM602" s="599">
        <v>0</v>
      </c>
      <c r="AN602" s="600"/>
      <c r="AO602" s="601">
        <v>0</v>
      </c>
      <c r="AP602" s="600"/>
      <c r="AQ602" s="599">
        <v>0</v>
      </c>
      <c r="AR602" s="600"/>
      <c r="AS602" s="601">
        <v>0</v>
      </c>
      <c r="AT602" s="600"/>
      <c r="AU602" s="599">
        <v>0</v>
      </c>
      <c r="AV602" s="600"/>
      <c r="AW602" s="601">
        <v>0</v>
      </c>
      <c r="AX602" s="600"/>
      <c r="AY602" s="599">
        <v>0</v>
      </c>
      <c r="AZ602" s="600"/>
      <c r="BA602" s="601">
        <v>0</v>
      </c>
      <c r="BB602" s="602">
        <v>0</v>
      </c>
      <c r="BC602" s="599">
        <v>0</v>
      </c>
      <c r="BD602" s="600">
        <v>0</v>
      </c>
      <c r="BE602" s="599">
        <v>0</v>
      </c>
      <c r="BF602" s="600">
        <v>0</v>
      </c>
      <c r="BG602" s="599">
        <v>0</v>
      </c>
      <c r="BH602" s="600">
        <v>7076295</v>
      </c>
      <c r="BI602" s="599">
        <v>7372633</v>
      </c>
      <c r="BJ602" s="600">
        <v>0</v>
      </c>
      <c r="BK602" s="615">
        <v>0</v>
      </c>
      <c r="BL602" s="600">
        <v>0</v>
      </c>
      <c r="BM602" s="604">
        <v>0</v>
      </c>
      <c r="BN602" s="605">
        <f t="shared" si="695"/>
        <v>0</v>
      </c>
      <c r="BO602" s="606">
        <f t="shared" si="696"/>
        <v>0</v>
      </c>
      <c r="BP602" s="607">
        <f t="shared" si="697"/>
        <v>0</v>
      </c>
      <c r="BQ602" s="606">
        <f t="shared" si="698"/>
        <v>0</v>
      </c>
      <c r="BR602" s="607">
        <f t="shared" si="699"/>
        <v>0</v>
      </c>
      <c r="BS602" s="606">
        <f t="shared" si="700"/>
        <v>0</v>
      </c>
      <c r="BT602" s="607">
        <f t="shared" si="701"/>
        <v>1143</v>
      </c>
      <c r="BU602" s="606">
        <f t="shared" si="702"/>
        <v>1194</v>
      </c>
      <c r="BV602" s="607">
        <f t="shared" si="703"/>
        <v>0</v>
      </c>
      <c r="BW602" s="608">
        <f t="shared" si="704"/>
        <v>0</v>
      </c>
      <c r="BX602" s="607">
        <f t="shared" si="705"/>
        <v>0</v>
      </c>
      <c r="BY602" s="608">
        <f t="shared" si="706"/>
        <v>0</v>
      </c>
      <c r="BZ602" s="607">
        <f t="shared" si="707"/>
        <v>0</v>
      </c>
      <c r="CA602" s="608">
        <f t="shared" si="708"/>
        <v>0</v>
      </c>
      <c r="CB602" s="607">
        <f t="shared" si="709"/>
        <v>0</v>
      </c>
      <c r="CC602" s="608">
        <f t="shared" si="710"/>
        <v>0</v>
      </c>
      <c r="CD602" s="607">
        <f t="shared" si="711"/>
        <v>0</v>
      </c>
      <c r="CE602" s="608">
        <f t="shared" si="712"/>
        <v>0</v>
      </c>
      <c r="CF602" s="607">
        <f t="shared" si="713"/>
        <v>6190.9842519685035</v>
      </c>
      <c r="CG602" s="608">
        <f t="shared" si="714"/>
        <v>6174.734505862647</v>
      </c>
      <c r="CH602" s="607">
        <f t="shared" si="715"/>
        <v>0</v>
      </c>
      <c r="CI602" s="608">
        <f t="shared" si="716"/>
        <v>0</v>
      </c>
      <c r="CJ602" s="607">
        <f t="shared" si="717"/>
        <v>0</v>
      </c>
      <c r="CK602" s="608">
        <f t="shared" si="718"/>
        <v>0</v>
      </c>
      <c r="CL602" s="609">
        <f t="shared" si="719"/>
        <v>0</v>
      </c>
      <c r="CM602" s="608">
        <f t="shared" si="720"/>
        <v>0</v>
      </c>
      <c r="CN602" s="610">
        <f t="shared" si="721"/>
        <v>0</v>
      </c>
      <c r="CO602" s="606">
        <f t="shared" si="722"/>
        <v>0</v>
      </c>
      <c r="CP602" s="607">
        <f t="shared" si="723"/>
        <v>0</v>
      </c>
      <c r="CQ602" s="606">
        <f t="shared" si="724"/>
        <v>0</v>
      </c>
      <c r="CR602" s="607">
        <f t="shared" si="725"/>
        <v>55718.858267716532</v>
      </c>
      <c r="CS602" s="606">
        <f t="shared" si="726"/>
        <v>55572.610552763821</v>
      </c>
      <c r="CT602" s="607">
        <f t="shared" si="727"/>
        <v>0</v>
      </c>
      <c r="CU602" s="608">
        <f t="shared" si="728"/>
        <v>0</v>
      </c>
      <c r="CV602" s="610">
        <f t="shared" si="729"/>
        <v>0</v>
      </c>
      <c r="CW602" s="608">
        <f t="shared" si="730"/>
        <v>0</v>
      </c>
      <c r="CX602" s="610">
        <f t="shared" si="731"/>
        <v>55718.858267716532</v>
      </c>
      <c r="CY602" s="611">
        <f t="shared" si="732"/>
        <v>55572.610552763821</v>
      </c>
      <c r="CZ602" s="605">
        <f t="shared" si="733"/>
        <v>0</v>
      </c>
      <c r="DA602" s="612">
        <f t="shared" si="734"/>
        <v>0</v>
      </c>
      <c r="DB602" s="607">
        <f t="shared" si="735"/>
        <v>0</v>
      </c>
      <c r="DC602" s="606">
        <f t="shared" si="736"/>
        <v>0</v>
      </c>
      <c r="DD602" s="607">
        <f t="shared" si="737"/>
        <v>0</v>
      </c>
      <c r="DE602" s="606">
        <f t="shared" si="738"/>
        <v>0</v>
      </c>
      <c r="DF602" s="607">
        <f t="shared" si="739"/>
        <v>119</v>
      </c>
      <c r="DG602" s="606">
        <f t="shared" si="740"/>
        <v>121</v>
      </c>
      <c r="DH602" s="607">
        <f t="shared" si="741"/>
        <v>0</v>
      </c>
      <c r="DI602" s="608">
        <f t="shared" si="742"/>
        <v>0</v>
      </c>
      <c r="DJ602" s="607">
        <f t="shared" si="743"/>
        <v>0</v>
      </c>
      <c r="DK602" s="608">
        <f t="shared" si="744"/>
        <v>0</v>
      </c>
      <c r="DL602" s="607">
        <f t="shared" si="745"/>
        <v>119</v>
      </c>
      <c r="DM602" s="608">
        <f t="shared" si="746"/>
        <v>121</v>
      </c>
      <c r="DN602" s="607">
        <f t="shared" si="747"/>
        <v>0</v>
      </c>
      <c r="DO602" s="612">
        <f t="shared" si="748"/>
        <v>0</v>
      </c>
      <c r="DP602" s="607">
        <f t="shared" si="749"/>
        <v>0</v>
      </c>
      <c r="DQ602" s="606">
        <f t="shared" si="750"/>
        <v>0</v>
      </c>
      <c r="DR602" s="607">
        <f t="shared" si="751"/>
        <v>0</v>
      </c>
      <c r="DS602" s="606">
        <f t="shared" si="752"/>
        <v>0</v>
      </c>
      <c r="DT602" s="607">
        <f t="shared" si="753"/>
        <v>6630544.1338582672</v>
      </c>
      <c r="DU602" s="606">
        <f t="shared" si="754"/>
        <v>6724285.8768844223</v>
      </c>
      <c r="DV602" s="607">
        <f t="shared" si="755"/>
        <v>0</v>
      </c>
      <c r="DW602" s="608">
        <f t="shared" si="756"/>
        <v>0</v>
      </c>
      <c r="DX602" s="607">
        <f t="shared" si="757"/>
        <v>0</v>
      </c>
      <c r="DY602" s="608">
        <f t="shared" si="758"/>
        <v>0</v>
      </c>
      <c r="DZ602" s="607">
        <f t="shared" si="759"/>
        <v>6630544.1338582672</v>
      </c>
      <c r="EA602" s="608">
        <f t="shared" si="760"/>
        <v>6724285.8768844223</v>
      </c>
    </row>
    <row r="603" spans="1:131" x14ac:dyDescent="0.2">
      <c r="A603" s="353" t="s">
        <v>43</v>
      </c>
      <c r="B603" s="354" t="s">
        <v>525</v>
      </c>
      <c r="C603" s="585"/>
      <c r="D603" s="362">
        <v>228699</v>
      </c>
      <c r="E603" s="366">
        <v>9</v>
      </c>
      <c r="F603" s="598">
        <v>28</v>
      </c>
      <c r="G603" s="599">
        <v>24</v>
      </c>
      <c r="H603" s="600"/>
      <c r="I603" s="601">
        <v>0</v>
      </c>
      <c r="J603" s="600">
        <v>2</v>
      </c>
      <c r="K603" s="599">
        <v>3</v>
      </c>
      <c r="L603" s="600"/>
      <c r="M603" s="601">
        <v>1</v>
      </c>
      <c r="N603" s="600">
        <v>23</v>
      </c>
      <c r="O603" s="599">
        <v>18</v>
      </c>
      <c r="P603" s="600"/>
      <c r="Q603" s="601">
        <v>1</v>
      </c>
      <c r="R603" s="600">
        <v>2</v>
      </c>
      <c r="S603" s="599">
        <v>1</v>
      </c>
      <c r="T603" s="600"/>
      <c r="U603" s="601">
        <v>2</v>
      </c>
      <c r="V603" s="600">
        <v>16</v>
      </c>
      <c r="W603" s="599">
        <v>16</v>
      </c>
      <c r="X603" s="600"/>
      <c r="Y603" s="601">
        <v>0</v>
      </c>
      <c r="Z603" s="600">
        <v>3</v>
      </c>
      <c r="AA603" s="599">
        <v>0</v>
      </c>
      <c r="AB603" s="600"/>
      <c r="AC603" s="601">
        <v>2</v>
      </c>
      <c r="AD603" s="600">
        <v>4</v>
      </c>
      <c r="AE603" s="599">
        <v>2</v>
      </c>
      <c r="AF603" s="600"/>
      <c r="AG603" s="601">
        <v>1</v>
      </c>
      <c r="AH603" s="600">
        <v>22</v>
      </c>
      <c r="AI603" s="599">
        <v>0</v>
      </c>
      <c r="AJ603" s="600"/>
      <c r="AK603" s="601">
        <v>18</v>
      </c>
      <c r="AL603" s="600"/>
      <c r="AM603" s="599">
        <v>0</v>
      </c>
      <c r="AN603" s="600"/>
      <c r="AO603" s="601">
        <v>0</v>
      </c>
      <c r="AP603" s="600"/>
      <c r="AQ603" s="599">
        <v>0</v>
      </c>
      <c r="AR603" s="600"/>
      <c r="AS603" s="601">
        <v>0</v>
      </c>
      <c r="AT603" s="600"/>
      <c r="AU603" s="599">
        <v>0</v>
      </c>
      <c r="AV603" s="600"/>
      <c r="AW603" s="601">
        <v>0</v>
      </c>
      <c r="AX603" s="600"/>
      <c r="AY603" s="599">
        <v>0</v>
      </c>
      <c r="AZ603" s="600"/>
      <c r="BA603" s="601">
        <v>0</v>
      </c>
      <c r="BB603" s="602">
        <v>1907883</v>
      </c>
      <c r="BC603" s="599">
        <v>1796941</v>
      </c>
      <c r="BD603" s="600">
        <v>1357761</v>
      </c>
      <c r="BE603" s="599">
        <v>1207449</v>
      </c>
      <c r="BF603" s="600">
        <v>972783</v>
      </c>
      <c r="BG603" s="599">
        <v>887029</v>
      </c>
      <c r="BH603" s="600">
        <v>1490431</v>
      </c>
      <c r="BI603" s="599">
        <v>1149205</v>
      </c>
      <c r="BJ603" s="600">
        <v>0</v>
      </c>
      <c r="BK603" s="615">
        <v>0</v>
      </c>
      <c r="BL603" s="600">
        <v>0</v>
      </c>
      <c r="BM603" s="604">
        <v>0</v>
      </c>
      <c r="BN603" s="605">
        <f t="shared" si="695"/>
        <v>274</v>
      </c>
      <c r="BO603" s="606">
        <f t="shared" si="696"/>
        <v>261</v>
      </c>
      <c r="BP603" s="607">
        <f t="shared" si="697"/>
        <v>229</v>
      </c>
      <c r="BQ603" s="606">
        <f t="shared" si="698"/>
        <v>207</v>
      </c>
      <c r="BR603" s="607">
        <f t="shared" si="699"/>
        <v>177</v>
      </c>
      <c r="BS603" s="606">
        <f t="shared" si="700"/>
        <v>168</v>
      </c>
      <c r="BT603" s="607">
        <f t="shared" si="701"/>
        <v>278</v>
      </c>
      <c r="BU603" s="606">
        <f t="shared" si="702"/>
        <v>244</v>
      </c>
      <c r="BV603" s="607">
        <f t="shared" si="703"/>
        <v>0</v>
      </c>
      <c r="BW603" s="608">
        <f t="shared" si="704"/>
        <v>0</v>
      </c>
      <c r="BX603" s="607">
        <f t="shared" si="705"/>
        <v>0</v>
      </c>
      <c r="BY603" s="608">
        <f t="shared" si="706"/>
        <v>0</v>
      </c>
      <c r="BZ603" s="607">
        <f t="shared" si="707"/>
        <v>6963.0766423357663</v>
      </c>
      <c r="CA603" s="608">
        <f t="shared" si="708"/>
        <v>6884.8314176245212</v>
      </c>
      <c r="CB603" s="607">
        <f t="shared" si="709"/>
        <v>5929.0873362445418</v>
      </c>
      <c r="CC603" s="608">
        <f t="shared" si="710"/>
        <v>5833.086956521739</v>
      </c>
      <c r="CD603" s="607">
        <f t="shared" si="711"/>
        <v>5495.9491525423728</v>
      </c>
      <c r="CE603" s="608">
        <f t="shared" si="712"/>
        <v>5279.9345238095239</v>
      </c>
      <c r="CF603" s="607">
        <f t="shared" si="713"/>
        <v>5361.2625899280574</v>
      </c>
      <c r="CG603" s="608">
        <f t="shared" si="714"/>
        <v>4709.8565573770493</v>
      </c>
      <c r="CH603" s="607">
        <f t="shared" si="715"/>
        <v>0</v>
      </c>
      <c r="CI603" s="608">
        <f t="shared" si="716"/>
        <v>0</v>
      </c>
      <c r="CJ603" s="607">
        <f t="shared" si="717"/>
        <v>0</v>
      </c>
      <c r="CK603" s="608">
        <f t="shared" si="718"/>
        <v>0</v>
      </c>
      <c r="CL603" s="609">
        <f t="shared" si="719"/>
        <v>62667.689781021894</v>
      </c>
      <c r="CM603" s="608">
        <f t="shared" si="720"/>
        <v>61963.482758620688</v>
      </c>
      <c r="CN603" s="610">
        <f t="shared" si="721"/>
        <v>53361.786026200876</v>
      </c>
      <c r="CO603" s="606">
        <f t="shared" si="722"/>
        <v>52497.782608695648</v>
      </c>
      <c r="CP603" s="607">
        <f t="shared" si="723"/>
        <v>49463.542372881355</v>
      </c>
      <c r="CQ603" s="606">
        <f t="shared" si="724"/>
        <v>47519.410714285717</v>
      </c>
      <c r="CR603" s="607">
        <f t="shared" si="725"/>
        <v>48251.363309352513</v>
      </c>
      <c r="CS603" s="606">
        <f t="shared" si="726"/>
        <v>42388.709016393441</v>
      </c>
      <c r="CT603" s="607">
        <f t="shared" si="727"/>
        <v>0</v>
      </c>
      <c r="CU603" s="608">
        <f t="shared" si="728"/>
        <v>0</v>
      </c>
      <c r="CV603" s="610">
        <f t="shared" si="729"/>
        <v>0</v>
      </c>
      <c r="CW603" s="608">
        <f t="shared" si="730"/>
        <v>0</v>
      </c>
      <c r="CX603" s="610">
        <f t="shared" si="731"/>
        <v>54084.180952135903</v>
      </c>
      <c r="CY603" s="611">
        <f t="shared" si="732"/>
        <v>52083.606930720096</v>
      </c>
      <c r="CZ603" s="605">
        <f t="shared" si="733"/>
        <v>30</v>
      </c>
      <c r="DA603" s="612">
        <f t="shared" si="734"/>
        <v>28</v>
      </c>
      <c r="DB603" s="607">
        <f t="shared" si="735"/>
        <v>25</v>
      </c>
      <c r="DC603" s="606">
        <f t="shared" si="736"/>
        <v>22</v>
      </c>
      <c r="DD603" s="607">
        <f t="shared" si="737"/>
        <v>19</v>
      </c>
      <c r="DE603" s="606">
        <f t="shared" si="738"/>
        <v>18</v>
      </c>
      <c r="DF603" s="607">
        <f t="shared" si="739"/>
        <v>26</v>
      </c>
      <c r="DG603" s="606">
        <f t="shared" si="740"/>
        <v>21</v>
      </c>
      <c r="DH603" s="607">
        <f t="shared" si="741"/>
        <v>0</v>
      </c>
      <c r="DI603" s="608">
        <f t="shared" si="742"/>
        <v>0</v>
      </c>
      <c r="DJ603" s="607">
        <f t="shared" si="743"/>
        <v>0</v>
      </c>
      <c r="DK603" s="608">
        <f t="shared" si="744"/>
        <v>0</v>
      </c>
      <c r="DL603" s="607">
        <f t="shared" si="745"/>
        <v>100</v>
      </c>
      <c r="DM603" s="608">
        <f t="shared" si="746"/>
        <v>89</v>
      </c>
      <c r="DN603" s="607">
        <f t="shared" si="747"/>
        <v>1880030.6934306568</v>
      </c>
      <c r="DO603" s="612">
        <f t="shared" si="748"/>
        <v>1734977.5172413792</v>
      </c>
      <c r="DP603" s="607">
        <f t="shared" si="749"/>
        <v>1334044.6506550219</v>
      </c>
      <c r="DQ603" s="606">
        <f t="shared" si="750"/>
        <v>1154951.2173913042</v>
      </c>
      <c r="DR603" s="607">
        <f t="shared" si="751"/>
        <v>939807.30508474575</v>
      </c>
      <c r="DS603" s="606">
        <f t="shared" si="752"/>
        <v>855349.39285714296</v>
      </c>
      <c r="DT603" s="607">
        <f t="shared" si="753"/>
        <v>1254535.4460431654</v>
      </c>
      <c r="DU603" s="606">
        <f t="shared" si="754"/>
        <v>890162.88934426231</v>
      </c>
      <c r="DV603" s="607">
        <f t="shared" si="755"/>
        <v>0</v>
      </c>
      <c r="DW603" s="608">
        <f t="shared" si="756"/>
        <v>0</v>
      </c>
      <c r="DX603" s="607">
        <f t="shared" si="757"/>
        <v>0</v>
      </c>
      <c r="DY603" s="608">
        <f t="shared" si="758"/>
        <v>0</v>
      </c>
      <c r="DZ603" s="607">
        <f t="shared" si="759"/>
        <v>5408418.0952135902</v>
      </c>
      <c r="EA603" s="608">
        <f t="shared" si="760"/>
        <v>4635441.0168340886</v>
      </c>
    </row>
    <row r="604" spans="1:131" x14ac:dyDescent="0.2">
      <c r="A604" s="353" t="s">
        <v>43</v>
      </c>
      <c r="B604" s="354" t="s">
        <v>526</v>
      </c>
      <c r="C604" s="583"/>
      <c r="D604" s="362">
        <v>229319</v>
      </c>
      <c r="E604" s="366">
        <v>9</v>
      </c>
      <c r="F604" s="598"/>
      <c r="G604" s="599">
        <v>0</v>
      </c>
      <c r="H604" s="600"/>
      <c r="I604" s="601">
        <v>0</v>
      </c>
      <c r="J604" s="600">
        <v>5</v>
      </c>
      <c r="K604" s="599">
        <v>0</v>
      </c>
      <c r="L604" s="600"/>
      <c r="M604" s="601">
        <v>3</v>
      </c>
      <c r="N604" s="600">
        <v>1</v>
      </c>
      <c r="O604" s="599">
        <v>3</v>
      </c>
      <c r="P604" s="600"/>
      <c r="Q604" s="601">
        <v>0</v>
      </c>
      <c r="R604" s="600">
        <v>15</v>
      </c>
      <c r="S604" s="599">
        <v>0</v>
      </c>
      <c r="T604" s="600"/>
      <c r="U604" s="601">
        <v>18</v>
      </c>
      <c r="V604" s="600"/>
      <c r="W604" s="599">
        <v>0</v>
      </c>
      <c r="X604" s="600"/>
      <c r="Y604" s="601">
        <v>0</v>
      </c>
      <c r="Z604" s="600"/>
      <c r="AA604" s="599">
        <v>0</v>
      </c>
      <c r="AB604" s="600"/>
      <c r="AC604" s="601">
        <v>0</v>
      </c>
      <c r="AD604" s="600">
        <v>27</v>
      </c>
      <c r="AE604" s="599">
        <v>27</v>
      </c>
      <c r="AF604" s="600"/>
      <c r="AG604" s="601">
        <v>0</v>
      </c>
      <c r="AH604" s="600">
        <v>100</v>
      </c>
      <c r="AI604" s="599">
        <v>0</v>
      </c>
      <c r="AJ604" s="600"/>
      <c r="AK604" s="601">
        <v>102</v>
      </c>
      <c r="AL604" s="600"/>
      <c r="AM604" s="599">
        <v>0</v>
      </c>
      <c r="AN604" s="600"/>
      <c r="AO604" s="601">
        <v>0</v>
      </c>
      <c r="AP604" s="600"/>
      <c r="AQ604" s="599">
        <v>0</v>
      </c>
      <c r="AR604" s="600"/>
      <c r="AS604" s="601">
        <v>0</v>
      </c>
      <c r="AT604" s="600"/>
      <c r="AU604" s="599">
        <v>0</v>
      </c>
      <c r="AV604" s="600"/>
      <c r="AW604" s="601">
        <v>0</v>
      </c>
      <c r="AX604" s="600"/>
      <c r="AY604" s="599">
        <v>0</v>
      </c>
      <c r="AZ604" s="600"/>
      <c r="BA604" s="601">
        <v>0</v>
      </c>
      <c r="BB604" s="602">
        <v>326712</v>
      </c>
      <c r="BC604" s="599">
        <v>180012</v>
      </c>
      <c r="BD604" s="600">
        <v>848988</v>
      </c>
      <c r="BE604" s="599">
        <v>1091892</v>
      </c>
      <c r="BF604" s="600">
        <v>0</v>
      </c>
      <c r="BG604" s="599">
        <v>0</v>
      </c>
      <c r="BH604" s="600">
        <v>5726112</v>
      </c>
      <c r="BI604" s="599">
        <v>6213926</v>
      </c>
      <c r="BJ604" s="600">
        <v>0</v>
      </c>
      <c r="BK604" s="615">
        <v>0</v>
      </c>
      <c r="BL604" s="600">
        <v>0</v>
      </c>
      <c r="BM604" s="604">
        <v>0</v>
      </c>
      <c r="BN604" s="605">
        <f t="shared" si="695"/>
        <v>55</v>
      </c>
      <c r="BO604" s="606">
        <f t="shared" si="696"/>
        <v>36</v>
      </c>
      <c r="BP604" s="607">
        <f t="shared" si="697"/>
        <v>174</v>
      </c>
      <c r="BQ604" s="606">
        <f t="shared" si="698"/>
        <v>243</v>
      </c>
      <c r="BR604" s="607">
        <f t="shared" si="699"/>
        <v>0</v>
      </c>
      <c r="BS604" s="606">
        <f t="shared" si="700"/>
        <v>0</v>
      </c>
      <c r="BT604" s="607">
        <f t="shared" si="701"/>
        <v>1343</v>
      </c>
      <c r="BU604" s="606">
        <f t="shared" si="702"/>
        <v>1467</v>
      </c>
      <c r="BV604" s="607">
        <f t="shared" si="703"/>
        <v>0</v>
      </c>
      <c r="BW604" s="608">
        <f t="shared" si="704"/>
        <v>0</v>
      </c>
      <c r="BX604" s="607">
        <f t="shared" si="705"/>
        <v>0</v>
      </c>
      <c r="BY604" s="608">
        <f t="shared" si="706"/>
        <v>0</v>
      </c>
      <c r="BZ604" s="607">
        <f t="shared" si="707"/>
        <v>5940.2181818181816</v>
      </c>
      <c r="CA604" s="608">
        <f t="shared" si="708"/>
        <v>5000.333333333333</v>
      </c>
      <c r="CB604" s="607">
        <f t="shared" si="709"/>
        <v>4879.2413793103451</v>
      </c>
      <c r="CC604" s="608">
        <f t="shared" si="710"/>
        <v>4493.3827160493829</v>
      </c>
      <c r="CD604" s="607">
        <f t="shared" si="711"/>
        <v>0</v>
      </c>
      <c r="CE604" s="608">
        <f t="shared" si="712"/>
        <v>0</v>
      </c>
      <c r="CF604" s="607">
        <f t="shared" si="713"/>
        <v>4263.6723752792259</v>
      </c>
      <c r="CG604" s="608">
        <f t="shared" si="714"/>
        <v>4235.805044308112</v>
      </c>
      <c r="CH604" s="607">
        <f t="shared" si="715"/>
        <v>0</v>
      </c>
      <c r="CI604" s="608">
        <f t="shared" si="716"/>
        <v>0</v>
      </c>
      <c r="CJ604" s="607">
        <f t="shared" si="717"/>
        <v>0</v>
      </c>
      <c r="CK604" s="608">
        <f t="shared" si="718"/>
        <v>0</v>
      </c>
      <c r="CL604" s="609">
        <f t="shared" si="719"/>
        <v>53461.963636363638</v>
      </c>
      <c r="CM604" s="608">
        <f t="shared" si="720"/>
        <v>45003</v>
      </c>
      <c r="CN604" s="610">
        <f t="shared" si="721"/>
        <v>43913.172413793109</v>
      </c>
      <c r="CO604" s="606">
        <f t="shared" si="722"/>
        <v>40440.444444444445</v>
      </c>
      <c r="CP604" s="607">
        <f t="shared" si="723"/>
        <v>0</v>
      </c>
      <c r="CQ604" s="606">
        <f t="shared" si="724"/>
        <v>0</v>
      </c>
      <c r="CR604" s="607">
        <f t="shared" si="725"/>
        <v>38373.051377513031</v>
      </c>
      <c r="CS604" s="606">
        <f t="shared" si="726"/>
        <v>38122.245398773011</v>
      </c>
      <c r="CT604" s="607">
        <f t="shared" si="727"/>
        <v>0</v>
      </c>
      <c r="CU604" s="608">
        <f t="shared" si="728"/>
        <v>0</v>
      </c>
      <c r="CV604" s="610">
        <f t="shared" si="729"/>
        <v>0</v>
      </c>
      <c r="CW604" s="608">
        <f t="shared" si="730"/>
        <v>0</v>
      </c>
      <c r="CX604" s="610">
        <f t="shared" si="731"/>
        <v>39481.743930720695</v>
      </c>
      <c r="CY604" s="611">
        <f t="shared" si="732"/>
        <v>38575.346338399031</v>
      </c>
      <c r="CZ604" s="605">
        <f t="shared" si="733"/>
        <v>5</v>
      </c>
      <c r="DA604" s="612">
        <f t="shared" si="734"/>
        <v>3</v>
      </c>
      <c r="DB604" s="607">
        <f t="shared" si="735"/>
        <v>16</v>
      </c>
      <c r="DC604" s="606">
        <f t="shared" si="736"/>
        <v>21</v>
      </c>
      <c r="DD604" s="607">
        <f t="shared" si="737"/>
        <v>0</v>
      </c>
      <c r="DE604" s="606">
        <f t="shared" si="738"/>
        <v>0</v>
      </c>
      <c r="DF604" s="607">
        <f t="shared" si="739"/>
        <v>127</v>
      </c>
      <c r="DG604" s="606">
        <f t="shared" si="740"/>
        <v>129</v>
      </c>
      <c r="DH604" s="607">
        <f t="shared" si="741"/>
        <v>0</v>
      </c>
      <c r="DI604" s="608">
        <f t="shared" si="742"/>
        <v>0</v>
      </c>
      <c r="DJ604" s="607">
        <f t="shared" si="743"/>
        <v>0</v>
      </c>
      <c r="DK604" s="608">
        <f t="shared" si="744"/>
        <v>0</v>
      </c>
      <c r="DL604" s="607">
        <f t="shared" si="745"/>
        <v>148</v>
      </c>
      <c r="DM604" s="608">
        <f t="shared" si="746"/>
        <v>153</v>
      </c>
      <c r="DN604" s="607">
        <f t="shared" si="747"/>
        <v>267309.81818181818</v>
      </c>
      <c r="DO604" s="612">
        <f t="shared" si="748"/>
        <v>135009</v>
      </c>
      <c r="DP604" s="607">
        <f t="shared" si="749"/>
        <v>702610.75862068974</v>
      </c>
      <c r="DQ604" s="606">
        <f t="shared" si="750"/>
        <v>849249.33333333337</v>
      </c>
      <c r="DR604" s="607">
        <f t="shared" si="751"/>
        <v>0</v>
      </c>
      <c r="DS604" s="606">
        <f t="shared" si="752"/>
        <v>0</v>
      </c>
      <c r="DT604" s="607">
        <f t="shared" si="753"/>
        <v>4873377.5249441545</v>
      </c>
      <c r="DU604" s="606">
        <f t="shared" si="754"/>
        <v>4917769.6564417183</v>
      </c>
      <c r="DV604" s="607">
        <f t="shared" si="755"/>
        <v>0</v>
      </c>
      <c r="DW604" s="608">
        <f t="shared" si="756"/>
        <v>0</v>
      </c>
      <c r="DX604" s="607">
        <f t="shared" si="757"/>
        <v>0</v>
      </c>
      <c r="DY604" s="608">
        <f t="shared" si="758"/>
        <v>0</v>
      </c>
      <c r="DZ604" s="607">
        <f t="shared" si="759"/>
        <v>5843298.1017466625</v>
      </c>
      <c r="EA604" s="608">
        <f t="shared" si="760"/>
        <v>5902027.9897750514</v>
      </c>
    </row>
    <row r="605" spans="1:131" x14ac:dyDescent="0.2">
      <c r="A605" s="359" t="s">
        <v>43</v>
      </c>
      <c r="B605" s="360" t="s">
        <v>527</v>
      </c>
      <c r="C605" s="586"/>
      <c r="D605" s="367">
        <v>229504</v>
      </c>
      <c r="E605" s="368">
        <v>9</v>
      </c>
      <c r="F605" s="598"/>
      <c r="G605" s="599">
        <v>0</v>
      </c>
      <c r="H605" s="600"/>
      <c r="I605" s="601">
        <v>0</v>
      </c>
      <c r="J605" s="600"/>
      <c r="K605" s="599">
        <v>0</v>
      </c>
      <c r="L605" s="600"/>
      <c r="M605" s="601">
        <v>0</v>
      </c>
      <c r="N605" s="600"/>
      <c r="O605" s="599">
        <v>0</v>
      </c>
      <c r="P605" s="600"/>
      <c r="Q605" s="601">
        <v>0</v>
      </c>
      <c r="R605" s="600"/>
      <c r="S605" s="599">
        <v>0</v>
      </c>
      <c r="T605" s="600"/>
      <c r="U605" s="601">
        <v>0</v>
      </c>
      <c r="V605" s="600"/>
      <c r="W605" s="599">
        <v>0</v>
      </c>
      <c r="X605" s="600"/>
      <c r="Y605" s="601">
        <v>0</v>
      </c>
      <c r="Z605" s="600"/>
      <c r="AA605" s="599">
        <v>0</v>
      </c>
      <c r="AB605" s="600"/>
      <c r="AC605" s="601">
        <v>0</v>
      </c>
      <c r="AD605" s="600">
        <v>51</v>
      </c>
      <c r="AE605" s="599">
        <v>52</v>
      </c>
      <c r="AF605" s="600"/>
      <c r="AG605" s="601">
        <v>1</v>
      </c>
      <c r="AH605" s="600">
        <v>30</v>
      </c>
      <c r="AI605" s="599">
        <v>2</v>
      </c>
      <c r="AJ605" s="600"/>
      <c r="AK605" s="601">
        <v>28</v>
      </c>
      <c r="AL605" s="600"/>
      <c r="AM605" s="599">
        <v>0</v>
      </c>
      <c r="AN605" s="600"/>
      <c r="AO605" s="601">
        <v>0</v>
      </c>
      <c r="AP605" s="600"/>
      <c r="AQ605" s="599">
        <v>0</v>
      </c>
      <c r="AR605" s="600"/>
      <c r="AS605" s="601">
        <v>0</v>
      </c>
      <c r="AT605" s="600"/>
      <c r="AU605" s="599">
        <v>0</v>
      </c>
      <c r="AV605" s="600"/>
      <c r="AW605" s="601">
        <v>0</v>
      </c>
      <c r="AX605" s="600"/>
      <c r="AY605" s="599">
        <v>0</v>
      </c>
      <c r="AZ605" s="600"/>
      <c r="BA605" s="601">
        <v>0</v>
      </c>
      <c r="BB605" s="602">
        <v>0</v>
      </c>
      <c r="BC605" s="599">
        <v>0</v>
      </c>
      <c r="BD605" s="600">
        <v>0</v>
      </c>
      <c r="BE605" s="599">
        <v>0</v>
      </c>
      <c r="BF605" s="600">
        <v>0</v>
      </c>
      <c r="BG605" s="599">
        <v>0</v>
      </c>
      <c r="BH605" s="600">
        <v>3809445</v>
      </c>
      <c r="BI605" s="599">
        <v>3974819</v>
      </c>
      <c r="BJ605" s="600">
        <v>0</v>
      </c>
      <c r="BK605" s="615">
        <v>0</v>
      </c>
      <c r="BL605" s="600">
        <v>0</v>
      </c>
      <c r="BM605" s="604">
        <v>0</v>
      </c>
      <c r="BN605" s="605">
        <f t="shared" si="695"/>
        <v>0</v>
      </c>
      <c r="BO605" s="606">
        <f t="shared" si="696"/>
        <v>0</v>
      </c>
      <c r="BP605" s="607">
        <f t="shared" si="697"/>
        <v>0</v>
      </c>
      <c r="BQ605" s="606">
        <f t="shared" si="698"/>
        <v>0</v>
      </c>
      <c r="BR605" s="607">
        <f t="shared" si="699"/>
        <v>0</v>
      </c>
      <c r="BS605" s="606">
        <f t="shared" si="700"/>
        <v>0</v>
      </c>
      <c r="BT605" s="607">
        <f t="shared" si="701"/>
        <v>789</v>
      </c>
      <c r="BU605" s="606">
        <f t="shared" si="702"/>
        <v>836</v>
      </c>
      <c r="BV605" s="607">
        <f t="shared" si="703"/>
        <v>0</v>
      </c>
      <c r="BW605" s="608">
        <f t="shared" si="704"/>
        <v>0</v>
      </c>
      <c r="BX605" s="607">
        <f t="shared" si="705"/>
        <v>0</v>
      </c>
      <c r="BY605" s="608">
        <f t="shared" si="706"/>
        <v>0</v>
      </c>
      <c r="BZ605" s="607">
        <f t="shared" si="707"/>
        <v>0</v>
      </c>
      <c r="CA605" s="608">
        <f t="shared" si="708"/>
        <v>0</v>
      </c>
      <c r="CB605" s="607">
        <f t="shared" si="709"/>
        <v>0</v>
      </c>
      <c r="CC605" s="608">
        <f t="shared" si="710"/>
        <v>0</v>
      </c>
      <c r="CD605" s="607">
        <f t="shared" si="711"/>
        <v>0</v>
      </c>
      <c r="CE605" s="608">
        <f t="shared" si="712"/>
        <v>0</v>
      </c>
      <c r="CF605" s="607">
        <f t="shared" si="713"/>
        <v>4828.19391634981</v>
      </c>
      <c r="CG605" s="608">
        <f t="shared" si="714"/>
        <v>4754.568181818182</v>
      </c>
      <c r="CH605" s="607">
        <f t="shared" si="715"/>
        <v>0</v>
      </c>
      <c r="CI605" s="608">
        <f t="shared" si="716"/>
        <v>0</v>
      </c>
      <c r="CJ605" s="607">
        <f t="shared" si="717"/>
        <v>0</v>
      </c>
      <c r="CK605" s="608">
        <f t="shared" si="718"/>
        <v>0</v>
      </c>
      <c r="CL605" s="609">
        <f t="shared" si="719"/>
        <v>0</v>
      </c>
      <c r="CM605" s="608">
        <f t="shared" si="720"/>
        <v>0</v>
      </c>
      <c r="CN605" s="610">
        <f t="shared" si="721"/>
        <v>0</v>
      </c>
      <c r="CO605" s="606">
        <f t="shared" si="722"/>
        <v>0</v>
      </c>
      <c r="CP605" s="607">
        <f t="shared" si="723"/>
        <v>0</v>
      </c>
      <c r="CQ605" s="606">
        <f t="shared" si="724"/>
        <v>0</v>
      </c>
      <c r="CR605" s="607">
        <f t="shared" si="725"/>
        <v>43453.74524714829</v>
      </c>
      <c r="CS605" s="606">
        <f t="shared" si="726"/>
        <v>42791.11363636364</v>
      </c>
      <c r="CT605" s="607">
        <f t="shared" si="727"/>
        <v>0</v>
      </c>
      <c r="CU605" s="608">
        <f t="shared" si="728"/>
        <v>0</v>
      </c>
      <c r="CV605" s="610">
        <f t="shared" si="729"/>
        <v>0</v>
      </c>
      <c r="CW605" s="608">
        <f t="shared" si="730"/>
        <v>0</v>
      </c>
      <c r="CX605" s="610">
        <f t="shared" si="731"/>
        <v>43453.74524714829</v>
      </c>
      <c r="CY605" s="611">
        <f t="shared" si="732"/>
        <v>42791.11363636364</v>
      </c>
      <c r="CZ605" s="605">
        <f t="shared" si="733"/>
        <v>0</v>
      </c>
      <c r="DA605" s="612">
        <f t="shared" si="734"/>
        <v>0</v>
      </c>
      <c r="DB605" s="607">
        <f t="shared" si="735"/>
        <v>0</v>
      </c>
      <c r="DC605" s="606">
        <f t="shared" si="736"/>
        <v>0</v>
      </c>
      <c r="DD605" s="607">
        <f t="shared" si="737"/>
        <v>0</v>
      </c>
      <c r="DE605" s="606">
        <f t="shared" si="738"/>
        <v>0</v>
      </c>
      <c r="DF605" s="607">
        <f t="shared" si="739"/>
        <v>81</v>
      </c>
      <c r="DG605" s="606">
        <f t="shared" si="740"/>
        <v>83</v>
      </c>
      <c r="DH605" s="607">
        <f t="shared" si="741"/>
        <v>0</v>
      </c>
      <c r="DI605" s="608">
        <f t="shared" si="742"/>
        <v>0</v>
      </c>
      <c r="DJ605" s="607">
        <f t="shared" si="743"/>
        <v>0</v>
      </c>
      <c r="DK605" s="608">
        <f t="shared" si="744"/>
        <v>0</v>
      </c>
      <c r="DL605" s="607">
        <f t="shared" si="745"/>
        <v>81</v>
      </c>
      <c r="DM605" s="608">
        <f t="shared" si="746"/>
        <v>83</v>
      </c>
      <c r="DN605" s="607">
        <f t="shared" si="747"/>
        <v>0</v>
      </c>
      <c r="DO605" s="612">
        <f t="shared" si="748"/>
        <v>0</v>
      </c>
      <c r="DP605" s="607">
        <f t="shared" si="749"/>
        <v>0</v>
      </c>
      <c r="DQ605" s="606">
        <f t="shared" si="750"/>
        <v>0</v>
      </c>
      <c r="DR605" s="607">
        <f t="shared" si="751"/>
        <v>0</v>
      </c>
      <c r="DS605" s="606">
        <f t="shared" si="752"/>
        <v>0</v>
      </c>
      <c r="DT605" s="607">
        <f t="shared" si="753"/>
        <v>3519753.3650190113</v>
      </c>
      <c r="DU605" s="606">
        <f t="shared" si="754"/>
        <v>3551662.4318181821</v>
      </c>
      <c r="DV605" s="607">
        <f t="shared" si="755"/>
        <v>0</v>
      </c>
      <c r="DW605" s="608">
        <f t="shared" si="756"/>
        <v>0</v>
      </c>
      <c r="DX605" s="607">
        <f t="shared" si="757"/>
        <v>0</v>
      </c>
      <c r="DY605" s="608">
        <f t="shared" si="758"/>
        <v>0</v>
      </c>
      <c r="DZ605" s="607">
        <f t="shared" si="759"/>
        <v>3519753.3650190113</v>
      </c>
      <c r="EA605" s="608">
        <f t="shared" si="760"/>
        <v>3551662.4318181821</v>
      </c>
    </row>
    <row r="606" spans="1:131" x14ac:dyDescent="0.2">
      <c r="A606" s="353" t="s">
        <v>43</v>
      </c>
      <c r="B606" s="354" t="s">
        <v>528</v>
      </c>
      <c r="C606" s="585"/>
      <c r="D606" s="362">
        <v>229540</v>
      </c>
      <c r="E606" s="366">
        <v>9</v>
      </c>
      <c r="F606" s="598">
        <v>70</v>
      </c>
      <c r="G606" s="599">
        <v>63</v>
      </c>
      <c r="H606" s="600"/>
      <c r="I606" s="601">
        <v>5</v>
      </c>
      <c r="J606" s="600">
        <v>26</v>
      </c>
      <c r="K606" s="599">
        <v>2</v>
      </c>
      <c r="L606" s="600"/>
      <c r="M606" s="601">
        <v>22</v>
      </c>
      <c r="N606" s="600"/>
      <c r="O606" s="599">
        <v>0</v>
      </c>
      <c r="P606" s="600"/>
      <c r="Q606" s="601">
        <v>0</v>
      </c>
      <c r="R606" s="600"/>
      <c r="S606" s="599">
        <v>0</v>
      </c>
      <c r="T606" s="600"/>
      <c r="U606" s="601">
        <v>0</v>
      </c>
      <c r="V606" s="600"/>
      <c r="W606" s="599">
        <v>0</v>
      </c>
      <c r="X606" s="600"/>
      <c r="Y606" s="601">
        <v>0</v>
      </c>
      <c r="Z606" s="600"/>
      <c r="AA606" s="599">
        <v>0</v>
      </c>
      <c r="AB606" s="600"/>
      <c r="AC606" s="601">
        <v>0</v>
      </c>
      <c r="AD606" s="600"/>
      <c r="AE606" s="599">
        <v>0</v>
      </c>
      <c r="AF606" s="600"/>
      <c r="AG606" s="601">
        <v>0</v>
      </c>
      <c r="AH606" s="600"/>
      <c r="AI606" s="599">
        <v>0</v>
      </c>
      <c r="AJ606" s="600"/>
      <c r="AK606" s="601">
        <v>0</v>
      </c>
      <c r="AL606" s="600"/>
      <c r="AM606" s="599">
        <v>0</v>
      </c>
      <c r="AN606" s="600"/>
      <c r="AO606" s="601">
        <v>0</v>
      </c>
      <c r="AP606" s="600"/>
      <c r="AQ606" s="599">
        <v>0</v>
      </c>
      <c r="AR606" s="600"/>
      <c r="AS606" s="601">
        <v>0</v>
      </c>
      <c r="AT606" s="600"/>
      <c r="AU606" s="599">
        <v>0</v>
      </c>
      <c r="AV606" s="600"/>
      <c r="AW606" s="601">
        <v>0</v>
      </c>
      <c r="AX606" s="600"/>
      <c r="AY606" s="599">
        <v>0</v>
      </c>
      <c r="AZ606" s="600"/>
      <c r="BA606" s="601">
        <v>14</v>
      </c>
      <c r="BB606" s="602">
        <v>5349973</v>
      </c>
      <c r="BC606" s="599">
        <v>5221195</v>
      </c>
      <c r="BD606" s="600">
        <v>0</v>
      </c>
      <c r="BE606" s="599">
        <v>0</v>
      </c>
      <c r="BF606" s="600">
        <v>0</v>
      </c>
      <c r="BG606" s="599">
        <v>0</v>
      </c>
      <c r="BH606" s="600">
        <v>0</v>
      </c>
      <c r="BI606" s="599">
        <v>0</v>
      </c>
      <c r="BJ606" s="600">
        <v>0</v>
      </c>
      <c r="BK606" s="615">
        <v>0</v>
      </c>
      <c r="BL606" s="600">
        <v>0</v>
      </c>
      <c r="BM606" s="604">
        <v>640874</v>
      </c>
      <c r="BN606" s="605">
        <f t="shared" si="695"/>
        <v>916</v>
      </c>
      <c r="BO606" s="606">
        <f t="shared" si="696"/>
        <v>903</v>
      </c>
      <c r="BP606" s="607">
        <f t="shared" si="697"/>
        <v>0</v>
      </c>
      <c r="BQ606" s="606">
        <f t="shared" si="698"/>
        <v>0</v>
      </c>
      <c r="BR606" s="607">
        <f t="shared" si="699"/>
        <v>0</v>
      </c>
      <c r="BS606" s="606">
        <f t="shared" si="700"/>
        <v>0</v>
      </c>
      <c r="BT606" s="607">
        <f t="shared" si="701"/>
        <v>0</v>
      </c>
      <c r="BU606" s="606">
        <f t="shared" si="702"/>
        <v>0</v>
      </c>
      <c r="BV606" s="607">
        <f t="shared" si="703"/>
        <v>0</v>
      </c>
      <c r="BW606" s="608">
        <f t="shared" si="704"/>
        <v>0</v>
      </c>
      <c r="BX606" s="607">
        <f t="shared" si="705"/>
        <v>0</v>
      </c>
      <c r="BY606" s="608">
        <f t="shared" si="706"/>
        <v>168</v>
      </c>
      <c r="BZ606" s="607">
        <f t="shared" si="707"/>
        <v>5840.5818777292579</v>
      </c>
      <c r="CA606" s="608">
        <f t="shared" si="708"/>
        <v>5782.0542635658912</v>
      </c>
      <c r="CB606" s="607">
        <f t="shared" si="709"/>
        <v>0</v>
      </c>
      <c r="CC606" s="608">
        <f t="shared" si="710"/>
        <v>0</v>
      </c>
      <c r="CD606" s="607">
        <f t="shared" si="711"/>
        <v>0</v>
      </c>
      <c r="CE606" s="608">
        <f t="shared" si="712"/>
        <v>0</v>
      </c>
      <c r="CF606" s="607">
        <f t="shared" si="713"/>
        <v>0</v>
      </c>
      <c r="CG606" s="608">
        <f t="shared" si="714"/>
        <v>0</v>
      </c>
      <c r="CH606" s="607">
        <f t="shared" si="715"/>
        <v>0</v>
      </c>
      <c r="CI606" s="608">
        <f t="shared" si="716"/>
        <v>0</v>
      </c>
      <c r="CJ606" s="607">
        <f t="shared" si="717"/>
        <v>0</v>
      </c>
      <c r="CK606" s="608">
        <f t="shared" si="718"/>
        <v>3814.7261904761904</v>
      </c>
      <c r="CL606" s="609">
        <f t="shared" si="719"/>
        <v>52565.236899563322</v>
      </c>
      <c r="CM606" s="608">
        <f t="shared" si="720"/>
        <v>52038.488372093023</v>
      </c>
      <c r="CN606" s="610">
        <f t="shared" si="721"/>
        <v>0</v>
      </c>
      <c r="CO606" s="606">
        <f t="shared" si="722"/>
        <v>0</v>
      </c>
      <c r="CP606" s="607">
        <f t="shared" si="723"/>
        <v>0</v>
      </c>
      <c r="CQ606" s="606">
        <f t="shared" si="724"/>
        <v>0</v>
      </c>
      <c r="CR606" s="607">
        <f t="shared" si="725"/>
        <v>0</v>
      </c>
      <c r="CS606" s="606">
        <f t="shared" si="726"/>
        <v>0</v>
      </c>
      <c r="CT606" s="607">
        <f t="shared" si="727"/>
        <v>0</v>
      </c>
      <c r="CU606" s="608">
        <f t="shared" si="728"/>
        <v>0</v>
      </c>
      <c r="CV606" s="610">
        <f t="shared" si="729"/>
        <v>0</v>
      </c>
      <c r="CW606" s="608">
        <f t="shared" si="730"/>
        <v>34332.53571428571</v>
      </c>
      <c r="CX606" s="610">
        <f t="shared" si="731"/>
        <v>52565.236899563322</v>
      </c>
      <c r="CY606" s="611">
        <f t="shared" si="732"/>
        <v>49699.966322948661</v>
      </c>
      <c r="CZ606" s="605">
        <f t="shared" si="733"/>
        <v>96</v>
      </c>
      <c r="DA606" s="612">
        <f t="shared" si="734"/>
        <v>92</v>
      </c>
      <c r="DB606" s="607">
        <f t="shared" si="735"/>
        <v>0</v>
      </c>
      <c r="DC606" s="606">
        <f t="shared" si="736"/>
        <v>0</v>
      </c>
      <c r="DD606" s="607">
        <f t="shared" si="737"/>
        <v>0</v>
      </c>
      <c r="DE606" s="606">
        <f t="shared" si="738"/>
        <v>0</v>
      </c>
      <c r="DF606" s="607">
        <f t="shared" si="739"/>
        <v>0</v>
      </c>
      <c r="DG606" s="606">
        <f t="shared" si="740"/>
        <v>0</v>
      </c>
      <c r="DH606" s="607">
        <f t="shared" si="741"/>
        <v>0</v>
      </c>
      <c r="DI606" s="608">
        <f t="shared" si="742"/>
        <v>0</v>
      </c>
      <c r="DJ606" s="607">
        <f t="shared" si="743"/>
        <v>0</v>
      </c>
      <c r="DK606" s="608">
        <f t="shared" si="744"/>
        <v>14</v>
      </c>
      <c r="DL606" s="607">
        <f t="shared" si="745"/>
        <v>96</v>
      </c>
      <c r="DM606" s="608">
        <f t="shared" si="746"/>
        <v>106</v>
      </c>
      <c r="DN606" s="607">
        <f t="shared" si="747"/>
        <v>5046262.7423580792</v>
      </c>
      <c r="DO606" s="612">
        <f t="shared" si="748"/>
        <v>4787540.9302325584</v>
      </c>
      <c r="DP606" s="607">
        <f t="shared" si="749"/>
        <v>0</v>
      </c>
      <c r="DQ606" s="606">
        <f t="shared" si="750"/>
        <v>0</v>
      </c>
      <c r="DR606" s="607">
        <f t="shared" si="751"/>
        <v>0</v>
      </c>
      <c r="DS606" s="606">
        <f t="shared" si="752"/>
        <v>0</v>
      </c>
      <c r="DT606" s="607">
        <f t="shared" si="753"/>
        <v>0</v>
      </c>
      <c r="DU606" s="606">
        <f t="shared" si="754"/>
        <v>0</v>
      </c>
      <c r="DV606" s="607">
        <f t="shared" si="755"/>
        <v>0</v>
      </c>
      <c r="DW606" s="608">
        <f t="shared" si="756"/>
        <v>0</v>
      </c>
      <c r="DX606" s="607">
        <f t="shared" si="757"/>
        <v>0</v>
      </c>
      <c r="DY606" s="608">
        <f t="shared" si="758"/>
        <v>480655.49999999994</v>
      </c>
      <c r="DZ606" s="607">
        <f t="shared" si="759"/>
        <v>5046262.7423580792</v>
      </c>
      <c r="EA606" s="608">
        <f t="shared" si="760"/>
        <v>5268196.4302325584</v>
      </c>
    </row>
    <row r="607" spans="1:131" x14ac:dyDescent="0.2">
      <c r="A607" s="353" t="s">
        <v>43</v>
      </c>
      <c r="B607" s="354" t="s">
        <v>529</v>
      </c>
      <c r="C607" s="585"/>
      <c r="D607" s="362">
        <v>229799</v>
      </c>
      <c r="E607" s="366">
        <v>9</v>
      </c>
      <c r="F607" s="598"/>
      <c r="G607" s="599">
        <v>0</v>
      </c>
      <c r="H607" s="600"/>
      <c r="I607" s="601">
        <v>0</v>
      </c>
      <c r="J607" s="600"/>
      <c r="K607" s="599">
        <v>0</v>
      </c>
      <c r="L607" s="600"/>
      <c r="M607" s="601">
        <v>0</v>
      </c>
      <c r="N607" s="600"/>
      <c r="O607" s="599">
        <v>0</v>
      </c>
      <c r="P607" s="600"/>
      <c r="Q607" s="601">
        <v>0</v>
      </c>
      <c r="R607" s="600"/>
      <c r="S607" s="599">
        <v>0</v>
      </c>
      <c r="T607" s="600"/>
      <c r="U607" s="601">
        <v>0</v>
      </c>
      <c r="V607" s="600"/>
      <c r="W607" s="599">
        <v>0</v>
      </c>
      <c r="X607" s="600"/>
      <c r="Y607" s="601">
        <v>0</v>
      </c>
      <c r="Z607" s="600"/>
      <c r="AA607" s="599">
        <v>0</v>
      </c>
      <c r="AB607" s="600"/>
      <c r="AC607" s="601">
        <v>0</v>
      </c>
      <c r="AD607" s="600">
        <v>90</v>
      </c>
      <c r="AE607" s="599">
        <v>0</v>
      </c>
      <c r="AF607" s="600"/>
      <c r="AG607" s="601">
        <v>0</v>
      </c>
      <c r="AH607" s="600">
        <v>41</v>
      </c>
      <c r="AI607" s="599">
        <v>0</v>
      </c>
      <c r="AJ607" s="600"/>
      <c r="AK607" s="601">
        <v>0</v>
      </c>
      <c r="AL607" s="600"/>
      <c r="AM607" s="599">
        <v>0</v>
      </c>
      <c r="AN607" s="600"/>
      <c r="AO607" s="601">
        <v>0</v>
      </c>
      <c r="AP607" s="600"/>
      <c r="AQ607" s="599">
        <v>0</v>
      </c>
      <c r="AR607" s="600"/>
      <c r="AS607" s="601">
        <v>0</v>
      </c>
      <c r="AT607" s="600"/>
      <c r="AU607" s="599">
        <v>70</v>
      </c>
      <c r="AV607" s="600"/>
      <c r="AW607" s="601">
        <v>13</v>
      </c>
      <c r="AX607" s="600"/>
      <c r="AY607" s="599">
        <v>0</v>
      </c>
      <c r="AZ607" s="600"/>
      <c r="BA607" s="601">
        <v>44</v>
      </c>
      <c r="BB607" s="602">
        <v>0</v>
      </c>
      <c r="BC607" s="599">
        <v>0</v>
      </c>
      <c r="BD607" s="600">
        <v>0</v>
      </c>
      <c r="BE607" s="599">
        <v>0</v>
      </c>
      <c r="BF607" s="600">
        <v>0</v>
      </c>
      <c r="BG607" s="599">
        <v>0</v>
      </c>
      <c r="BH607" s="600">
        <v>6812425</v>
      </c>
      <c r="BI607" s="599">
        <v>0</v>
      </c>
      <c r="BJ607" s="600">
        <v>0</v>
      </c>
      <c r="BK607" s="615">
        <v>0</v>
      </c>
      <c r="BL607" s="600">
        <v>0</v>
      </c>
      <c r="BM607" s="604">
        <v>6977703</v>
      </c>
      <c r="BN607" s="605">
        <f t="shared" si="695"/>
        <v>0</v>
      </c>
      <c r="BO607" s="606">
        <f t="shared" si="696"/>
        <v>0</v>
      </c>
      <c r="BP607" s="607">
        <f t="shared" si="697"/>
        <v>0</v>
      </c>
      <c r="BQ607" s="606">
        <f t="shared" si="698"/>
        <v>0</v>
      </c>
      <c r="BR607" s="607">
        <f t="shared" si="699"/>
        <v>0</v>
      </c>
      <c r="BS607" s="606">
        <f t="shared" si="700"/>
        <v>0</v>
      </c>
      <c r="BT607" s="607">
        <f t="shared" si="701"/>
        <v>1261</v>
      </c>
      <c r="BU607" s="606">
        <f t="shared" si="702"/>
        <v>0</v>
      </c>
      <c r="BV607" s="607">
        <f t="shared" si="703"/>
        <v>0</v>
      </c>
      <c r="BW607" s="608">
        <f t="shared" si="704"/>
        <v>0</v>
      </c>
      <c r="BX607" s="607">
        <f t="shared" si="705"/>
        <v>0</v>
      </c>
      <c r="BY607" s="608">
        <f t="shared" si="706"/>
        <v>1288</v>
      </c>
      <c r="BZ607" s="607">
        <f t="shared" si="707"/>
        <v>0</v>
      </c>
      <c r="CA607" s="608">
        <f t="shared" si="708"/>
        <v>0</v>
      </c>
      <c r="CB607" s="607">
        <f t="shared" si="709"/>
        <v>0</v>
      </c>
      <c r="CC607" s="608">
        <f t="shared" si="710"/>
        <v>0</v>
      </c>
      <c r="CD607" s="607">
        <f t="shared" si="711"/>
        <v>0</v>
      </c>
      <c r="CE607" s="608">
        <f t="shared" si="712"/>
        <v>0</v>
      </c>
      <c r="CF607" s="607">
        <f t="shared" si="713"/>
        <v>5402.3988897700237</v>
      </c>
      <c r="CG607" s="608">
        <f t="shared" si="714"/>
        <v>0</v>
      </c>
      <c r="CH607" s="607">
        <f t="shared" si="715"/>
        <v>0</v>
      </c>
      <c r="CI607" s="608">
        <f t="shared" si="716"/>
        <v>0</v>
      </c>
      <c r="CJ607" s="607">
        <f t="shared" si="717"/>
        <v>0</v>
      </c>
      <c r="CK607" s="608">
        <f t="shared" si="718"/>
        <v>5417.4712732919252</v>
      </c>
      <c r="CL607" s="609">
        <f t="shared" si="719"/>
        <v>0</v>
      </c>
      <c r="CM607" s="608">
        <f t="shared" si="720"/>
        <v>0</v>
      </c>
      <c r="CN607" s="610">
        <f t="shared" si="721"/>
        <v>0</v>
      </c>
      <c r="CO607" s="606">
        <f t="shared" si="722"/>
        <v>0</v>
      </c>
      <c r="CP607" s="607">
        <f t="shared" si="723"/>
        <v>0</v>
      </c>
      <c r="CQ607" s="606">
        <f t="shared" si="724"/>
        <v>0</v>
      </c>
      <c r="CR607" s="607">
        <f t="shared" si="725"/>
        <v>48621.590007930216</v>
      </c>
      <c r="CS607" s="606">
        <f t="shared" si="726"/>
        <v>0</v>
      </c>
      <c r="CT607" s="607">
        <f t="shared" si="727"/>
        <v>0</v>
      </c>
      <c r="CU607" s="608">
        <f t="shared" si="728"/>
        <v>0</v>
      </c>
      <c r="CV607" s="610">
        <f t="shared" si="729"/>
        <v>0</v>
      </c>
      <c r="CW607" s="608">
        <f t="shared" si="730"/>
        <v>48757.24145962733</v>
      </c>
      <c r="CX607" s="610">
        <f t="shared" si="731"/>
        <v>48621.590007930216</v>
      </c>
      <c r="CY607" s="611">
        <f t="shared" si="732"/>
        <v>48757.24145962733</v>
      </c>
      <c r="CZ607" s="605">
        <f t="shared" si="733"/>
        <v>0</v>
      </c>
      <c r="DA607" s="612">
        <f t="shared" si="734"/>
        <v>0</v>
      </c>
      <c r="DB607" s="607">
        <f t="shared" si="735"/>
        <v>0</v>
      </c>
      <c r="DC607" s="606">
        <f t="shared" si="736"/>
        <v>0</v>
      </c>
      <c r="DD607" s="607">
        <f t="shared" si="737"/>
        <v>0</v>
      </c>
      <c r="DE607" s="606">
        <f t="shared" si="738"/>
        <v>0</v>
      </c>
      <c r="DF607" s="607">
        <f t="shared" si="739"/>
        <v>131</v>
      </c>
      <c r="DG607" s="606">
        <f t="shared" si="740"/>
        <v>0</v>
      </c>
      <c r="DH607" s="607">
        <f t="shared" si="741"/>
        <v>0</v>
      </c>
      <c r="DI607" s="608">
        <f t="shared" si="742"/>
        <v>0</v>
      </c>
      <c r="DJ607" s="607">
        <f t="shared" si="743"/>
        <v>0</v>
      </c>
      <c r="DK607" s="608">
        <f t="shared" si="744"/>
        <v>127</v>
      </c>
      <c r="DL607" s="607">
        <f t="shared" si="745"/>
        <v>131</v>
      </c>
      <c r="DM607" s="608">
        <f t="shared" si="746"/>
        <v>127</v>
      </c>
      <c r="DN607" s="607">
        <f t="shared" si="747"/>
        <v>0</v>
      </c>
      <c r="DO607" s="612">
        <f t="shared" si="748"/>
        <v>0</v>
      </c>
      <c r="DP607" s="607">
        <f t="shared" si="749"/>
        <v>0</v>
      </c>
      <c r="DQ607" s="606">
        <f t="shared" si="750"/>
        <v>0</v>
      </c>
      <c r="DR607" s="607">
        <f t="shared" si="751"/>
        <v>0</v>
      </c>
      <c r="DS607" s="606">
        <f t="shared" si="752"/>
        <v>0</v>
      </c>
      <c r="DT607" s="607">
        <f t="shared" si="753"/>
        <v>6369428.2910388578</v>
      </c>
      <c r="DU607" s="606">
        <f t="shared" si="754"/>
        <v>0</v>
      </c>
      <c r="DV607" s="607">
        <f t="shared" si="755"/>
        <v>0</v>
      </c>
      <c r="DW607" s="608">
        <f t="shared" si="756"/>
        <v>0</v>
      </c>
      <c r="DX607" s="607">
        <f t="shared" si="757"/>
        <v>0</v>
      </c>
      <c r="DY607" s="608">
        <f t="shared" si="758"/>
        <v>6192169.6653726706</v>
      </c>
      <c r="DZ607" s="607">
        <f t="shared" si="759"/>
        <v>6369428.2910388578</v>
      </c>
      <c r="EA607" s="608">
        <f t="shared" si="760"/>
        <v>6192169.6653726706</v>
      </c>
    </row>
    <row r="608" spans="1:131" x14ac:dyDescent="0.2">
      <c r="A608" s="353" t="s">
        <v>43</v>
      </c>
      <c r="B608" s="354" t="s">
        <v>530</v>
      </c>
      <c r="C608" s="585"/>
      <c r="D608" s="362">
        <v>229841</v>
      </c>
      <c r="E608" s="366">
        <v>9</v>
      </c>
      <c r="F608" s="598"/>
      <c r="G608" s="599">
        <v>0</v>
      </c>
      <c r="H608" s="600"/>
      <c r="I608" s="601">
        <v>0</v>
      </c>
      <c r="J608" s="600"/>
      <c r="K608" s="599">
        <v>0</v>
      </c>
      <c r="L608" s="600"/>
      <c r="M608" s="601">
        <v>0</v>
      </c>
      <c r="N608" s="600"/>
      <c r="O608" s="599">
        <v>0</v>
      </c>
      <c r="P608" s="600"/>
      <c r="Q608" s="601">
        <v>0</v>
      </c>
      <c r="R608" s="600"/>
      <c r="S608" s="599">
        <v>0</v>
      </c>
      <c r="T608" s="600"/>
      <c r="U608" s="601">
        <v>0</v>
      </c>
      <c r="V608" s="600"/>
      <c r="W608" s="599">
        <v>0</v>
      </c>
      <c r="X608" s="600"/>
      <c r="Y608" s="601">
        <v>0</v>
      </c>
      <c r="Z608" s="600"/>
      <c r="AA608" s="599">
        <v>0</v>
      </c>
      <c r="AB608" s="600"/>
      <c r="AC608" s="601">
        <v>0</v>
      </c>
      <c r="AD608" s="600"/>
      <c r="AE608" s="599">
        <v>0</v>
      </c>
      <c r="AF608" s="600"/>
      <c r="AG608" s="601">
        <v>0</v>
      </c>
      <c r="AH608" s="600"/>
      <c r="AI608" s="599">
        <v>0</v>
      </c>
      <c r="AJ608" s="600"/>
      <c r="AK608" s="601">
        <v>0</v>
      </c>
      <c r="AL608" s="600"/>
      <c r="AM608" s="599">
        <v>0</v>
      </c>
      <c r="AN608" s="600"/>
      <c r="AO608" s="601">
        <v>0</v>
      </c>
      <c r="AP608" s="600"/>
      <c r="AQ608" s="599">
        <v>0</v>
      </c>
      <c r="AR608" s="600"/>
      <c r="AS608" s="601">
        <v>0</v>
      </c>
      <c r="AT608" s="600">
        <v>110</v>
      </c>
      <c r="AU608" s="599">
        <v>117</v>
      </c>
      <c r="AV608" s="600"/>
      <c r="AW608" s="601">
        <v>21</v>
      </c>
      <c r="AX608" s="600">
        <v>52</v>
      </c>
      <c r="AY608" s="599">
        <v>0</v>
      </c>
      <c r="AZ608" s="600"/>
      <c r="BA608" s="601">
        <v>25</v>
      </c>
      <c r="BB608" s="602">
        <v>0</v>
      </c>
      <c r="BC608" s="599">
        <v>0</v>
      </c>
      <c r="BD608" s="600">
        <v>0</v>
      </c>
      <c r="BE608" s="599">
        <v>0</v>
      </c>
      <c r="BF608" s="600">
        <v>0</v>
      </c>
      <c r="BG608" s="599">
        <v>0</v>
      </c>
      <c r="BH608" s="600">
        <v>0</v>
      </c>
      <c r="BI608" s="599">
        <v>0</v>
      </c>
      <c r="BJ608" s="600">
        <v>0</v>
      </c>
      <c r="BK608" s="615">
        <v>0</v>
      </c>
      <c r="BL608" s="600">
        <v>8838634</v>
      </c>
      <c r="BM608" s="604">
        <v>8794073</v>
      </c>
      <c r="BN608" s="605">
        <f t="shared" si="695"/>
        <v>0</v>
      </c>
      <c r="BO608" s="606">
        <f t="shared" si="696"/>
        <v>0</v>
      </c>
      <c r="BP608" s="607">
        <f t="shared" si="697"/>
        <v>0</v>
      </c>
      <c r="BQ608" s="606">
        <f t="shared" si="698"/>
        <v>0</v>
      </c>
      <c r="BR608" s="607">
        <f t="shared" si="699"/>
        <v>0</v>
      </c>
      <c r="BS608" s="606">
        <f t="shared" si="700"/>
        <v>0</v>
      </c>
      <c r="BT608" s="607">
        <f t="shared" si="701"/>
        <v>0</v>
      </c>
      <c r="BU608" s="606">
        <f t="shared" si="702"/>
        <v>0</v>
      </c>
      <c r="BV608" s="607">
        <f t="shared" si="703"/>
        <v>0</v>
      </c>
      <c r="BW608" s="608">
        <f t="shared" si="704"/>
        <v>0</v>
      </c>
      <c r="BX608" s="607">
        <f t="shared" si="705"/>
        <v>1562</v>
      </c>
      <c r="BY608" s="608">
        <f t="shared" si="706"/>
        <v>1563</v>
      </c>
      <c r="BZ608" s="607">
        <f t="shared" si="707"/>
        <v>0</v>
      </c>
      <c r="CA608" s="608">
        <f t="shared" si="708"/>
        <v>0</v>
      </c>
      <c r="CB608" s="607">
        <f t="shared" si="709"/>
        <v>0</v>
      </c>
      <c r="CC608" s="608">
        <f t="shared" si="710"/>
        <v>0</v>
      </c>
      <c r="CD608" s="607">
        <f t="shared" si="711"/>
        <v>0</v>
      </c>
      <c r="CE608" s="608">
        <f t="shared" si="712"/>
        <v>0</v>
      </c>
      <c r="CF608" s="607">
        <f t="shared" si="713"/>
        <v>0</v>
      </c>
      <c r="CG608" s="608">
        <f t="shared" si="714"/>
        <v>0</v>
      </c>
      <c r="CH608" s="607">
        <f t="shared" si="715"/>
        <v>0</v>
      </c>
      <c r="CI608" s="608">
        <f t="shared" si="716"/>
        <v>0</v>
      </c>
      <c r="CJ608" s="607">
        <f t="shared" si="717"/>
        <v>5658.5364916773369</v>
      </c>
      <c r="CK608" s="608">
        <f t="shared" si="718"/>
        <v>5626.4062699936021</v>
      </c>
      <c r="CL608" s="609">
        <f t="shared" si="719"/>
        <v>0</v>
      </c>
      <c r="CM608" s="608">
        <f t="shared" si="720"/>
        <v>0</v>
      </c>
      <c r="CN608" s="610">
        <f t="shared" si="721"/>
        <v>0</v>
      </c>
      <c r="CO608" s="606">
        <f t="shared" si="722"/>
        <v>0</v>
      </c>
      <c r="CP608" s="607">
        <f t="shared" si="723"/>
        <v>0</v>
      </c>
      <c r="CQ608" s="606">
        <f t="shared" si="724"/>
        <v>0</v>
      </c>
      <c r="CR608" s="607">
        <f t="shared" si="725"/>
        <v>0</v>
      </c>
      <c r="CS608" s="606">
        <f t="shared" si="726"/>
        <v>0</v>
      </c>
      <c r="CT608" s="607">
        <f t="shared" si="727"/>
        <v>0</v>
      </c>
      <c r="CU608" s="608">
        <f t="shared" si="728"/>
        <v>0</v>
      </c>
      <c r="CV608" s="610">
        <f t="shared" si="729"/>
        <v>50926.828425096035</v>
      </c>
      <c r="CW608" s="608">
        <f t="shared" si="730"/>
        <v>50637.656429942421</v>
      </c>
      <c r="CX608" s="610">
        <f t="shared" si="731"/>
        <v>50926.828425096035</v>
      </c>
      <c r="CY608" s="611">
        <f t="shared" si="732"/>
        <v>50637.656429942421</v>
      </c>
      <c r="CZ608" s="605">
        <f t="shared" si="733"/>
        <v>0</v>
      </c>
      <c r="DA608" s="612">
        <f t="shared" si="734"/>
        <v>0</v>
      </c>
      <c r="DB608" s="607">
        <f t="shared" si="735"/>
        <v>0</v>
      </c>
      <c r="DC608" s="606">
        <f t="shared" si="736"/>
        <v>0</v>
      </c>
      <c r="DD608" s="607">
        <f t="shared" si="737"/>
        <v>0</v>
      </c>
      <c r="DE608" s="606">
        <f t="shared" si="738"/>
        <v>0</v>
      </c>
      <c r="DF608" s="607">
        <f t="shared" si="739"/>
        <v>0</v>
      </c>
      <c r="DG608" s="606">
        <f t="shared" si="740"/>
        <v>0</v>
      </c>
      <c r="DH608" s="607">
        <f t="shared" si="741"/>
        <v>0</v>
      </c>
      <c r="DI608" s="608">
        <f t="shared" si="742"/>
        <v>0</v>
      </c>
      <c r="DJ608" s="607">
        <f t="shared" si="743"/>
        <v>162</v>
      </c>
      <c r="DK608" s="608">
        <f t="shared" si="744"/>
        <v>163</v>
      </c>
      <c r="DL608" s="607">
        <f t="shared" si="745"/>
        <v>162</v>
      </c>
      <c r="DM608" s="608">
        <f t="shared" si="746"/>
        <v>163</v>
      </c>
      <c r="DN608" s="607">
        <f t="shared" si="747"/>
        <v>0</v>
      </c>
      <c r="DO608" s="612">
        <f t="shared" si="748"/>
        <v>0</v>
      </c>
      <c r="DP608" s="607">
        <f t="shared" si="749"/>
        <v>0</v>
      </c>
      <c r="DQ608" s="606">
        <f t="shared" si="750"/>
        <v>0</v>
      </c>
      <c r="DR608" s="607">
        <f t="shared" si="751"/>
        <v>0</v>
      </c>
      <c r="DS608" s="606">
        <f t="shared" si="752"/>
        <v>0</v>
      </c>
      <c r="DT608" s="607">
        <f t="shared" si="753"/>
        <v>0</v>
      </c>
      <c r="DU608" s="606">
        <f t="shared" si="754"/>
        <v>0</v>
      </c>
      <c r="DV608" s="607">
        <f t="shared" si="755"/>
        <v>0</v>
      </c>
      <c r="DW608" s="608">
        <f t="shared" si="756"/>
        <v>0</v>
      </c>
      <c r="DX608" s="607">
        <f t="shared" si="757"/>
        <v>8250146.2048655581</v>
      </c>
      <c r="DY608" s="608">
        <f t="shared" si="758"/>
        <v>8253937.998080615</v>
      </c>
      <c r="DZ608" s="607">
        <f t="shared" si="759"/>
        <v>8250146.2048655581</v>
      </c>
      <c r="EA608" s="608">
        <f t="shared" si="760"/>
        <v>8253937.998080615</v>
      </c>
    </row>
    <row r="609" spans="1:131" x14ac:dyDescent="0.2">
      <c r="A609" s="353" t="s">
        <v>43</v>
      </c>
      <c r="B609" s="354" t="s">
        <v>531</v>
      </c>
      <c r="C609" s="585"/>
      <c r="D609" s="362">
        <v>223922</v>
      </c>
      <c r="E609" s="366">
        <v>10</v>
      </c>
      <c r="F609" s="598">
        <v>3</v>
      </c>
      <c r="G609" s="599">
        <v>3</v>
      </c>
      <c r="H609" s="600"/>
      <c r="I609" s="601">
        <v>0</v>
      </c>
      <c r="J609" s="600"/>
      <c r="K609" s="599">
        <v>0</v>
      </c>
      <c r="L609" s="600"/>
      <c r="M609" s="601">
        <v>0</v>
      </c>
      <c r="N609" s="600">
        <v>5</v>
      </c>
      <c r="O609" s="599">
        <v>6</v>
      </c>
      <c r="P609" s="600"/>
      <c r="Q609" s="601">
        <v>0</v>
      </c>
      <c r="R609" s="600"/>
      <c r="S609" s="599">
        <v>0</v>
      </c>
      <c r="T609" s="600"/>
      <c r="U609" s="601">
        <v>0</v>
      </c>
      <c r="V609" s="600">
        <v>6</v>
      </c>
      <c r="W609" s="599">
        <v>6</v>
      </c>
      <c r="X609" s="600"/>
      <c r="Y609" s="601">
        <v>0</v>
      </c>
      <c r="Z609" s="600">
        <v>1</v>
      </c>
      <c r="AA609" s="599">
        <v>0</v>
      </c>
      <c r="AB609" s="600"/>
      <c r="AC609" s="601">
        <v>1</v>
      </c>
      <c r="AD609" s="600">
        <v>12</v>
      </c>
      <c r="AE609" s="599">
        <v>12</v>
      </c>
      <c r="AF609" s="600"/>
      <c r="AG609" s="601">
        <v>0</v>
      </c>
      <c r="AH609" s="600">
        <v>8</v>
      </c>
      <c r="AI609" s="599">
        <v>0</v>
      </c>
      <c r="AJ609" s="600"/>
      <c r="AK609" s="601">
        <v>7</v>
      </c>
      <c r="AL609" s="600"/>
      <c r="AM609" s="599">
        <v>0</v>
      </c>
      <c r="AN609" s="600"/>
      <c r="AO609" s="601">
        <v>0</v>
      </c>
      <c r="AP609" s="600"/>
      <c r="AQ609" s="599">
        <v>0</v>
      </c>
      <c r="AR609" s="600"/>
      <c r="AS609" s="601">
        <v>0</v>
      </c>
      <c r="AT609" s="600"/>
      <c r="AU609" s="599">
        <v>0</v>
      </c>
      <c r="AV609" s="600"/>
      <c r="AW609" s="601">
        <v>0</v>
      </c>
      <c r="AX609" s="600"/>
      <c r="AY609" s="599">
        <v>0</v>
      </c>
      <c r="AZ609" s="600"/>
      <c r="BA609" s="601">
        <v>0</v>
      </c>
      <c r="BB609" s="602">
        <v>138165</v>
      </c>
      <c r="BC609" s="599">
        <v>142092</v>
      </c>
      <c r="BD609" s="600">
        <v>211878</v>
      </c>
      <c r="BE609" s="599">
        <v>262817</v>
      </c>
      <c r="BF609" s="600">
        <v>291940</v>
      </c>
      <c r="BG609" s="599">
        <v>297744</v>
      </c>
      <c r="BH609" s="600">
        <v>743994</v>
      </c>
      <c r="BI609" s="599">
        <v>702759</v>
      </c>
      <c r="BJ609" s="600">
        <v>0</v>
      </c>
      <c r="BK609" s="615">
        <v>0</v>
      </c>
      <c r="BL609" s="600">
        <v>0</v>
      </c>
      <c r="BM609" s="604">
        <v>0</v>
      </c>
      <c r="BN609" s="605">
        <f t="shared" si="695"/>
        <v>27</v>
      </c>
      <c r="BO609" s="606">
        <f t="shared" si="696"/>
        <v>27</v>
      </c>
      <c r="BP609" s="607">
        <f t="shared" si="697"/>
        <v>45</v>
      </c>
      <c r="BQ609" s="606">
        <f t="shared" si="698"/>
        <v>54</v>
      </c>
      <c r="BR609" s="607">
        <f t="shared" si="699"/>
        <v>65</v>
      </c>
      <c r="BS609" s="606">
        <f t="shared" si="700"/>
        <v>66</v>
      </c>
      <c r="BT609" s="607">
        <f t="shared" si="701"/>
        <v>196</v>
      </c>
      <c r="BU609" s="606">
        <f t="shared" si="702"/>
        <v>192</v>
      </c>
      <c r="BV609" s="607">
        <f t="shared" si="703"/>
        <v>0</v>
      </c>
      <c r="BW609" s="608">
        <f t="shared" si="704"/>
        <v>0</v>
      </c>
      <c r="BX609" s="607">
        <f t="shared" si="705"/>
        <v>0</v>
      </c>
      <c r="BY609" s="608">
        <f t="shared" si="706"/>
        <v>0</v>
      </c>
      <c r="BZ609" s="607">
        <f t="shared" si="707"/>
        <v>5117.2222222222226</v>
      </c>
      <c r="CA609" s="608">
        <f t="shared" si="708"/>
        <v>5262.666666666667</v>
      </c>
      <c r="CB609" s="607">
        <f t="shared" si="709"/>
        <v>4708.3999999999996</v>
      </c>
      <c r="CC609" s="608">
        <f t="shared" si="710"/>
        <v>4866.9814814814818</v>
      </c>
      <c r="CD609" s="607">
        <f t="shared" si="711"/>
        <v>4491.3846153846152</v>
      </c>
      <c r="CE609" s="608">
        <f t="shared" si="712"/>
        <v>4511.272727272727</v>
      </c>
      <c r="CF609" s="607">
        <f t="shared" si="713"/>
        <v>3795.887755102041</v>
      </c>
      <c r="CG609" s="608">
        <f t="shared" si="714"/>
        <v>3660.203125</v>
      </c>
      <c r="CH609" s="607">
        <f t="shared" si="715"/>
        <v>0</v>
      </c>
      <c r="CI609" s="608">
        <f t="shared" si="716"/>
        <v>0</v>
      </c>
      <c r="CJ609" s="607">
        <f t="shared" si="717"/>
        <v>0</v>
      </c>
      <c r="CK609" s="608">
        <f t="shared" si="718"/>
        <v>0</v>
      </c>
      <c r="CL609" s="609">
        <f t="shared" si="719"/>
        <v>46055</v>
      </c>
      <c r="CM609" s="608">
        <f t="shared" si="720"/>
        <v>47364</v>
      </c>
      <c r="CN609" s="610">
        <f t="shared" si="721"/>
        <v>42375.6</v>
      </c>
      <c r="CO609" s="606">
        <f t="shared" si="722"/>
        <v>43802.833333333336</v>
      </c>
      <c r="CP609" s="607">
        <f t="shared" si="723"/>
        <v>40422.461538461539</v>
      </c>
      <c r="CQ609" s="606">
        <f t="shared" si="724"/>
        <v>40601.454545454544</v>
      </c>
      <c r="CR609" s="607">
        <f t="shared" si="725"/>
        <v>34162.989795918365</v>
      </c>
      <c r="CS609" s="606">
        <f t="shared" si="726"/>
        <v>32941.828125</v>
      </c>
      <c r="CT609" s="607">
        <f t="shared" si="727"/>
        <v>0</v>
      </c>
      <c r="CU609" s="608">
        <f t="shared" si="728"/>
        <v>0</v>
      </c>
      <c r="CV609" s="610">
        <f t="shared" si="729"/>
        <v>0</v>
      </c>
      <c r="CW609" s="608">
        <f t="shared" si="730"/>
        <v>0</v>
      </c>
      <c r="CX609" s="610">
        <f t="shared" si="731"/>
        <v>37607.429333931374</v>
      </c>
      <c r="CY609" s="611">
        <f t="shared" si="732"/>
        <v>37571.826176948052</v>
      </c>
      <c r="CZ609" s="605">
        <f t="shared" si="733"/>
        <v>3</v>
      </c>
      <c r="DA609" s="612">
        <f t="shared" si="734"/>
        <v>3</v>
      </c>
      <c r="DB609" s="607">
        <f t="shared" si="735"/>
        <v>5</v>
      </c>
      <c r="DC609" s="606">
        <f t="shared" si="736"/>
        <v>6</v>
      </c>
      <c r="DD609" s="607">
        <f t="shared" si="737"/>
        <v>7</v>
      </c>
      <c r="DE609" s="606">
        <f t="shared" si="738"/>
        <v>7</v>
      </c>
      <c r="DF609" s="607">
        <f t="shared" si="739"/>
        <v>20</v>
      </c>
      <c r="DG609" s="606">
        <f t="shared" si="740"/>
        <v>19</v>
      </c>
      <c r="DH609" s="607">
        <f t="shared" si="741"/>
        <v>0</v>
      </c>
      <c r="DI609" s="608">
        <f t="shared" si="742"/>
        <v>0</v>
      </c>
      <c r="DJ609" s="607">
        <f t="shared" si="743"/>
        <v>0</v>
      </c>
      <c r="DK609" s="608">
        <f t="shared" si="744"/>
        <v>0</v>
      </c>
      <c r="DL609" s="607">
        <f t="shared" si="745"/>
        <v>35</v>
      </c>
      <c r="DM609" s="608">
        <f t="shared" si="746"/>
        <v>35</v>
      </c>
      <c r="DN609" s="607">
        <f t="shared" si="747"/>
        <v>138165</v>
      </c>
      <c r="DO609" s="612">
        <f t="shared" si="748"/>
        <v>142092</v>
      </c>
      <c r="DP609" s="607">
        <f t="shared" si="749"/>
        <v>211878</v>
      </c>
      <c r="DQ609" s="606">
        <f t="shared" si="750"/>
        <v>262817</v>
      </c>
      <c r="DR609" s="607">
        <f t="shared" si="751"/>
        <v>282957.23076923075</v>
      </c>
      <c r="DS609" s="606">
        <f t="shared" si="752"/>
        <v>284210.18181818182</v>
      </c>
      <c r="DT609" s="607">
        <f t="shared" si="753"/>
        <v>683259.79591836734</v>
      </c>
      <c r="DU609" s="606">
        <f t="shared" si="754"/>
        <v>625894.734375</v>
      </c>
      <c r="DV609" s="607">
        <f t="shared" si="755"/>
        <v>0</v>
      </c>
      <c r="DW609" s="608">
        <f t="shared" si="756"/>
        <v>0</v>
      </c>
      <c r="DX609" s="607">
        <f t="shared" si="757"/>
        <v>0</v>
      </c>
      <c r="DY609" s="608">
        <f t="shared" si="758"/>
        <v>0</v>
      </c>
      <c r="DZ609" s="607">
        <f t="shared" si="759"/>
        <v>1316260.0266875981</v>
      </c>
      <c r="EA609" s="608">
        <f t="shared" si="760"/>
        <v>1315013.9161931819</v>
      </c>
    </row>
    <row r="610" spans="1:131" x14ac:dyDescent="0.2">
      <c r="A610" s="353" t="s">
        <v>43</v>
      </c>
      <c r="B610" s="354" t="s">
        <v>532</v>
      </c>
      <c r="C610" s="585"/>
      <c r="D610" s="362">
        <v>224891</v>
      </c>
      <c r="E610" s="366">
        <v>10</v>
      </c>
      <c r="F610" s="598"/>
      <c r="G610" s="599">
        <v>0</v>
      </c>
      <c r="H610" s="600"/>
      <c r="I610" s="601">
        <v>0</v>
      </c>
      <c r="J610" s="600"/>
      <c r="K610" s="599">
        <v>0</v>
      </c>
      <c r="L610" s="600"/>
      <c r="M610" s="601">
        <v>0</v>
      </c>
      <c r="N610" s="600"/>
      <c r="O610" s="599">
        <v>0</v>
      </c>
      <c r="P610" s="600"/>
      <c r="Q610" s="601">
        <v>0</v>
      </c>
      <c r="R610" s="600"/>
      <c r="S610" s="599">
        <v>0</v>
      </c>
      <c r="T610" s="600"/>
      <c r="U610" s="601">
        <v>0</v>
      </c>
      <c r="V610" s="600"/>
      <c r="W610" s="599">
        <v>0</v>
      </c>
      <c r="X610" s="600"/>
      <c r="Y610" s="601">
        <v>0</v>
      </c>
      <c r="Z610" s="600"/>
      <c r="AA610" s="599">
        <v>0</v>
      </c>
      <c r="AB610" s="600"/>
      <c r="AC610" s="601">
        <v>0</v>
      </c>
      <c r="AD610" s="600">
        <v>23</v>
      </c>
      <c r="AE610" s="599">
        <v>21</v>
      </c>
      <c r="AF610" s="600"/>
      <c r="AG610" s="601">
        <v>3</v>
      </c>
      <c r="AH610" s="600">
        <v>8</v>
      </c>
      <c r="AI610" s="599">
        <v>1</v>
      </c>
      <c r="AJ610" s="600"/>
      <c r="AK610" s="601">
        <v>0</v>
      </c>
      <c r="AL610" s="600"/>
      <c r="AM610" s="599">
        <v>0</v>
      </c>
      <c r="AN610" s="600"/>
      <c r="AO610" s="601">
        <v>0</v>
      </c>
      <c r="AP610" s="600"/>
      <c r="AQ610" s="599">
        <v>0</v>
      </c>
      <c r="AR610" s="600"/>
      <c r="AS610" s="601">
        <v>0</v>
      </c>
      <c r="AT610" s="600"/>
      <c r="AU610" s="599">
        <v>0</v>
      </c>
      <c r="AV610" s="600"/>
      <c r="AW610" s="601">
        <v>0</v>
      </c>
      <c r="AX610" s="600"/>
      <c r="AY610" s="599">
        <v>0</v>
      </c>
      <c r="AZ610" s="600"/>
      <c r="BA610" s="601">
        <v>0</v>
      </c>
      <c r="BB610" s="602">
        <v>0</v>
      </c>
      <c r="BC610" s="599">
        <v>0</v>
      </c>
      <c r="BD610" s="600">
        <v>0</v>
      </c>
      <c r="BE610" s="599">
        <v>0</v>
      </c>
      <c r="BF610" s="600">
        <v>0</v>
      </c>
      <c r="BG610" s="599">
        <v>0</v>
      </c>
      <c r="BH610" s="600">
        <v>1190468</v>
      </c>
      <c r="BI610" s="599">
        <v>1126078</v>
      </c>
      <c r="BJ610" s="600">
        <v>0</v>
      </c>
      <c r="BK610" s="615">
        <v>0</v>
      </c>
      <c r="BL610" s="600">
        <v>0</v>
      </c>
      <c r="BM610" s="604">
        <v>0</v>
      </c>
      <c r="BN610" s="605">
        <f t="shared" si="695"/>
        <v>0</v>
      </c>
      <c r="BO610" s="606">
        <f t="shared" si="696"/>
        <v>0</v>
      </c>
      <c r="BP610" s="607">
        <f t="shared" si="697"/>
        <v>0</v>
      </c>
      <c r="BQ610" s="606">
        <f t="shared" si="698"/>
        <v>0</v>
      </c>
      <c r="BR610" s="607">
        <f t="shared" si="699"/>
        <v>0</v>
      </c>
      <c r="BS610" s="606">
        <f t="shared" si="700"/>
        <v>0</v>
      </c>
      <c r="BT610" s="607">
        <f t="shared" si="701"/>
        <v>295</v>
      </c>
      <c r="BU610" s="606">
        <f t="shared" si="702"/>
        <v>230</v>
      </c>
      <c r="BV610" s="607">
        <f t="shared" si="703"/>
        <v>0</v>
      </c>
      <c r="BW610" s="608">
        <f t="shared" si="704"/>
        <v>0</v>
      </c>
      <c r="BX610" s="607">
        <f t="shared" si="705"/>
        <v>0</v>
      </c>
      <c r="BY610" s="608">
        <f t="shared" si="706"/>
        <v>0</v>
      </c>
      <c r="BZ610" s="607">
        <f t="shared" si="707"/>
        <v>0</v>
      </c>
      <c r="CA610" s="608">
        <f t="shared" si="708"/>
        <v>0</v>
      </c>
      <c r="CB610" s="607">
        <f t="shared" si="709"/>
        <v>0</v>
      </c>
      <c r="CC610" s="608">
        <f t="shared" si="710"/>
        <v>0</v>
      </c>
      <c r="CD610" s="607">
        <f t="shared" si="711"/>
        <v>0</v>
      </c>
      <c r="CE610" s="608">
        <f t="shared" si="712"/>
        <v>0</v>
      </c>
      <c r="CF610" s="607">
        <f t="shared" si="713"/>
        <v>4035.484745762712</v>
      </c>
      <c r="CG610" s="608">
        <f t="shared" si="714"/>
        <v>4895.9913043478264</v>
      </c>
      <c r="CH610" s="607">
        <f t="shared" si="715"/>
        <v>0</v>
      </c>
      <c r="CI610" s="608">
        <f t="shared" si="716"/>
        <v>0</v>
      </c>
      <c r="CJ610" s="607">
        <f t="shared" si="717"/>
        <v>0</v>
      </c>
      <c r="CK610" s="608">
        <f t="shared" si="718"/>
        <v>0</v>
      </c>
      <c r="CL610" s="609">
        <f t="shared" si="719"/>
        <v>0</v>
      </c>
      <c r="CM610" s="608">
        <f t="shared" si="720"/>
        <v>0</v>
      </c>
      <c r="CN610" s="610">
        <f t="shared" si="721"/>
        <v>0</v>
      </c>
      <c r="CO610" s="606">
        <f t="shared" si="722"/>
        <v>0</v>
      </c>
      <c r="CP610" s="607">
        <f t="shared" si="723"/>
        <v>0</v>
      </c>
      <c r="CQ610" s="606">
        <f t="shared" si="724"/>
        <v>0</v>
      </c>
      <c r="CR610" s="607">
        <f t="shared" si="725"/>
        <v>36319.362711864407</v>
      </c>
      <c r="CS610" s="606">
        <f t="shared" si="726"/>
        <v>44063.921739130441</v>
      </c>
      <c r="CT610" s="607">
        <f t="shared" si="727"/>
        <v>0</v>
      </c>
      <c r="CU610" s="608">
        <f t="shared" si="728"/>
        <v>0</v>
      </c>
      <c r="CV610" s="610">
        <f t="shared" si="729"/>
        <v>0</v>
      </c>
      <c r="CW610" s="608">
        <f t="shared" si="730"/>
        <v>0</v>
      </c>
      <c r="CX610" s="610">
        <f t="shared" si="731"/>
        <v>36319.3627118644</v>
      </c>
      <c r="CY610" s="611">
        <f t="shared" si="732"/>
        <v>44063.921739130441</v>
      </c>
      <c r="CZ610" s="605">
        <f t="shared" si="733"/>
        <v>0</v>
      </c>
      <c r="DA610" s="612">
        <f t="shared" si="734"/>
        <v>0</v>
      </c>
      <c r="DB610" s="607">
        <f t="shared" si="735"/>
        <v>0</v>
      </c>
      <c r="DC610" s="606">
        <f t="shared" si="736"/>
        <v>0</v>
      </c>
      <c r="DD610" s="607">
        <f t="shared" si="737"/>
        <v>0</v>
      </c>
      <c r="DE610" s="606">
        <f t="shared" si="738"/>
        <v>0</v>
      </c>
      <c r="DF610" s="607">
        <f t="shared" si="739"/>
        <v>31</v>
      </c>
      <c r="DG610" s="606">
        <f t="shared" si="740"/>
        <v>25</v>
      </c>
      <c r="DH610" s="607">
        <f t="shared" si="741"/>
        <v>0</v>
      </c>
      <c r="DI610" s="608">
        <f t="shared" si="742"/>
        <v>0</v>
      </c>
      <c r="DJ610" s="607">
        <f t="shared" si="743"/>
        <v>0</v>
      </c>
      <c r="DK610" s="608">
        <f t="shared" si="744"/>
        <v>0</v>
      </c>
      <c r="DL610" s="607">
        <f t="shared" si="745"/>
        <v>31</v>
      </c>
      <c r="DM610" s="608">
        <f t="shared" si="746"/>
        <v>25</v>
      </c>
      <c r="DN610" s="607">
        <f t="shared" si="747"/>
        <v>0</v>
      </c>
      <c r="DO610" s="612">
        <f t="shared" si="748"/>
        <v>0</v>
      </c>
      <c r="DP610" s="607">
        <f t="shared" si="749"/>
        <v>0</v>
      </c>
      <c r="DQ610" s="606">
        <f t="shared" si="750"/>
        <v>0</v>
      </c>
      <c r="DR610" s="607">
        <f t="shared" si="751"/>
        <v>0</v>
      </c>
      <c r="DS610" s="606">
        <f t="shared" si="752"/>
        <v>0</v>
      </c>
      <c r="DT610" s="607">
        <f t="shared" si="753"/>
        <v>1125900.2440677965</v>
      </c>
      <c r="DU610" s="606">
        <f t="shared" si="754"/>
        <v>1101598.043478261</v>
      </c>
      <c r="DV610" s="607">
        <f t="shared" si="755"/>
        <v>0</v>
      </c>
      <c r="DW610" s="608">
        <f t="shared" si="756"/>
        <v>0</v>
      </c>
      <c r="DX610" s="607">
        <f t="shared" si="757"/>
        <v>0</v>
      </c>
      <c r="DY610" s="608">
        <f t="shared" si="758"/>
        <v>0</v>
      </c>
      <c r="DZ610" s="607">
        <f t="shared" si="759"/>
        <v>1125900.2440677965</v>
      </c>
      <c r="EA610" s="608">
        <f t="shared" si="760"/>
        <v>1101598.043478261</v>
      </c>
    </row>
    <row r="611" spans="1:131" x14ac:dyDescent="0.2">
      <c r="A611" s="353" t="s">
        <v>43</v>
      </c>
      <c r="B611" s="354" t="s">
        <v>533</v>
      </c>
      <c r="C611" s="585"/>
      <c r="D611" s="362">
        <v>224961</v>
      </c>
      <c r="E611" s="366">
        <v>10</v>
      </c>
      <c r="F611" s="598">
        <v>6</v>
      </c>
      <c r="G611" s="599">
        <v>5</v>
      </c>
      <c r="H611" s="600"/>
      <c r="I611" s="601">
        <v>0</v>
      </c>
      <c r="J611" s="600"/>
      <c r="K611" s="599">
        <v>0</v>
      </c>
      <c r="L611" s="600"/>
      <c r="M611" s="601">
        <v>0</v>
      </c>
      <c r="N611" s="600">
        <v>5</v>
      </c>
      <c r="O611" s="599">
        <v>5</v>
      </c>
      <c r="P611" s="600"/>
      <c r="Q611" s="601">
        <v>0</v>
      </c>
      <c r="R611" s="600"/>
      <c r="S611" s="599">
        <v>0</v>
      </c>
      <c r="T611" s="600"/>
      <c r="U611" s="601">
        <v>0</v>
      </c>
      <c r="V611" s="600">
        <v>6</v>
      </c>
      <c r="W611" s="599">
        <v>6</v>
      </c>
      <c r="X611" s="600"/>
      <c r="Y611" s="601">
        <v>0</v>
      </c>
      <c r="Z611" s="600"/>
      <c r="AA611" s="599">
        <v>0</v>
      </c>
      <c r="AB611" s="600"/>
      <c r="AC611" s="601">
        <v>0</v>
      </c>
      <c r="AD611" s="600">
        <v>23</v>
      </c>
      <c r="AE611" s="599">
        <v>24</v>
      </c>
      <c r="AF611" s="600"/>
      <c r="AG611" s="601">
        <v>0</v>
      </c>
      <c r="AH611" s="600">
        <v>7</v>
      </c>
      <c r="AI611" s="599">
        <v>0</v>
      </c>
      <c r="AJ611" s="600"/>
      <c r="AK611" s="601">
        <v>11</v>
      </c>
      <c r="AL611" s="600"/>
      <c r="AM611" s="599">
        <v>0</v>
      </c>
      <c r="AN611" s="600"/>
      <c r="AO611" s="601">
        <v>0</v>
      </c>
      <c r="AP611" s="600"/>
      <c r="AQ611" s="599">
        <v>0</v>
      </c>
      <c r="AR611" s="600"/>
      <c r="AS611" s="601">
        <v>0</v>
      </c>
      <c r="AT611" s="600"/>
      <c r="AU611" s="599">
        <v>0</v>
      </c>
      <c r="AV611" s="600"/>
      <c r="AW611" s="601">
        <v>0</v>
      </c>
      <c r="AX611" s="600"/>
      <c r="AY611" s="599">
        <v>0</v>
      </c>
      <c r="AZ611" s="600"/>
      <c r="BA611" s="601">
        <v>0</v>
      </c>
      <c r="BB611" s="602">
        <v>475613</v>
      </c>
      <c r="BC611" s="599">
        <v>401967</v>
      </c>
      <c r="BD611" s="600">
        <v>356759</v>
      </c>
      <c r="BE611" s="599">
        <v>373571</v>
      </c>
      <c r="BF611" s="600">
        <v>393819</v>
      </c>
      <c r="BG611" s="599">
        <v>406312</v>
      </c>
      <c r="BH611" s="600">
        <v>1941493</v>
      </c>
      <c r="BI611" s="599">
        <v>1956632</v>
      </c>
      <c r="BJ611" s="600">
        <v>0</v>
      </c>
      <c r="BK611" s="615">
        <v>0</v>
      </c>
      <c r="BL611" s="600">
        <v>0</v>
      </c>
      <c r="BM611" s="604">
        <v>0</v>
      </c>
      <c r="BN611" s="605">
        <f t="shared" si="695"/>
        <v>54</v>
      </c>
      <c r="BO611" s="606">
        <f t="shared" si="696"/>
        <v>45</v>
      </c>
      <c r="BP611" s="607">
        <f t="shared" si="697"/>
        <v>45</v>
      </c>
      <c r="BQ611" s="606">
        <f t="shared" si="698"/>
        <v>45</v>
      </c>
      <c r="BR611" s="607">
        <f t="shared" si="699"/>
        <v>54</v>
      </c>
      <c r="BS611" s="606">
        <f t="shared" si="700"/>
        <v>54</v>
      </c>
      <c r="BT611" s="607">
        <f t="shared" si="701"/>
        <v>284</v>
      </c>
      <c r="BU611" s="606">
        <f t="shared" si="702"/>
        <v>348</v>
      </c>
      <c r="BV611" s="607">
        <f t="shared" si="703"/>
        <v>0</v>
      </c>
      <c r="BW611" s="608">
        <f t="shared" si="704"/>
        <v>0</v>
      </c>
      <c r="BX611" s="607">
        <f t="shared" si="705"/>
        <v>0</v>
      </c>
      <c r="BY611" s="608">
        <f t="shared" si="706"/>
        <v>0</v>
      </c>
      <c r="BZ611" s="607">
        <f t="shared" si="707"/>
        <v>8807.6481481481478</v>
      </c>
      <c r="CA611" s="608">
        <f t="shared" si="708"/>
        <v>8932.6</v>
      </c>
      <c r="CB611" s="607">
        <f t="shared" si="709"/>
        <v>7927.9777777777781</v>
      </c>
      <c r="CC611" s="608">
        <f t="shared" si="710"/>
        <v>8301.5777777777785</v>
      </c>
      <c r="CD611" s="607">
        <f t="shared" si="711"/>
        <v>7292.9444444444443</v>
      </c>
      <c r="CE611" s="608">
        <f t="shared" si="712"/>
        <v>7524.2962962962965</v>
      </c>
      <c r="CF611" s="607">
        <f t="shared" si="713"/>
        <v>6836.2429577464791</v>
      </c>
      <c r="CG611" s="608">
        <f t="shared" si="714"/>
        <v>5622.5057471264372</v>
      </c>
      <c r="CH611" s="607">
        <f t="shared" si="715"/>
        <v>0</v>
      </c>
      <c r="CI611" s="608">
        <f t="shared" si="716"/>
        <v>0</v>
      </c>
      <c r="CJ611" s="607">
        <f t="shared" si="717"/>
        <v>0</v>
      </c>
      <c r="CK611" s="608">
        <f t="shared" si="718"/>
        <v>0</v>
      </c>
      <c r="CL611" s="609">
        <f t="shared" si="719"/>
        <v>79268.833333333328</v>
      </c>
      <c r="CM611" s="608">
        <f t="shared" si="720"/>
        <v>80393.400000000009</v>
      </c>
      <c r="CN611" s="610">
        <f t="shared" si="721"/>
        <v>71351.8</v>
      </c>
      <c r="CO611" s="606">
        <f t="shared" si="722"/>
        <v>74714.200000000012</v>
      </c>
      <c r="CP611" s="607">
        <f t="shared" si="723"/>
        <v>65636.5</v>
      </c>
      <c r="CQ611" s="606">
        <f t="shared" si="724"/>
        <v>67718.666666666672</v>
      </c>
      <c r="CR611" s="607">
        <f t="shared" si="725"/>
        <v>61526.186619718312</v>
      </c>
      <c r="CS611" s="606">
        <f t="shared" si="726"/>
        <v>50602.551724137935</v>
      </c>
      <c r="CT611" s="607">
        <f t="shared" si="727"/>
        <v>0</v>
      </c>
      <c r="CU611" s="608">
        <f t="shared" si="728"/>
        <v>0</v>
      </c>
      <c r="CV611" s="610">
        <f t="shared" si="729"/>
        <v>0</v>
      </c>
      <c r="CW611" s="608">
        <f t="shared" si="730"/>
        <v>0</v>
      </c>
      <c r="CX611" s="610">
        <f t="shared" si="731"/>
        <v>65361.204225352114</v>
      </c>
      <c r="CY611" s="611">
        <f t="shared" si="732"/>
        <v>57900.770791075054</v>
      </c>
      <c r="CZ611" s="605">
        <f t="shared" si="733"/>
        <v>6</v>
      </c>
      <c r="DA611" s="612">
        <f t="shared" si="734"/>
        <v>5</v>
      </c>
      <c r="DB611" s="607">
        <f t="shared" si="735"/>
        <v>5</v>
      </c>
      <c r="DC611" s="606">
        <f t="shared" si="736"/>
        <v>5</v>
      </c>
      <c r="DD611" s="607">
        <f t="shared" si="737"/>
        <v>6</v>
      </c>
      <c r="DE611" s="606">
        <f t="shared" si="738"/>
        <v>6</v>
      </c>
      <c r="DF611" s="607">
        <f t="shared" si="739"/>
        <v>30</v>
      </c>
      <c r="DG611" s="606">
        <f t="shared" si="740"/>
        <v>35</v>
      </c>
      <c r="DH611" s="607">
        <f t="shared" si="741"/>
        <v>0</v>
      </c>
      <c r="DI611" s="608">
        <f t="shared" si="742"/>
        <v>0</v>
      </c>
      <c r="DJ611" s="607">
        <f t="shared" si="743"/>
        <v>0</v>
      </c>
      <c r="DK611" s="608">
        <f t="shared" si="744"/>
        <v>0</v>
      </c>
      <c r="DL611" s="607">
        <f t="shared" si="745"/>
        <v>47</v>
      </c>
      <c r="DM611" s="608">
        <f t="shared" si="746"/>
        <v>51</v>
      </c>
      <c r="DN611" s="607">
        <f t="shared" si="747"/>
        <v>475613</v>
      </c>
      <c r="DO611" s="612">
        <f t="shared" si="748"/>
        <v>401967.00000000006</v>
      </c>
      <c r="DP611" s="607">
        <f t="shared" si="749"/>
        <v>356759</v>
      </c>
      <c r="DQ611" s="606">
        <f t="shared" si="750"/>
        <v>373571.00000000006</v>
      </c>
      <c r="DR611" s="607">
        <f t="shared" si="751"/>
        <v>393819</v>
      </c>
      <c r="DS611" s="606">
        <f t="shared" si="752"/>
        <v>406312</v>
      </c>
      <c r="DT611" s="607">
        <f t="shared" si="753"/>
        <v>1845785.5985915493</v>
      </c>
      <c r="DU611" s="606">
        <f t="shared" si="754"/>
        <v>1771089.3103448278</v>
      </c>
      <c r="DV611" s="607">
        <f t="shared" si="755"/>
        <v>0</v>
      </c>
      <c r="DW611" s="608">
        <f t="shared" si="756"/>
        <v>0</v>
      </c>
      <c r="DX611" s="607">
        <f t="shared" si="757"/>
        <v>0</v>
      </c>
      <c r="DY611" s="608">
        <f t="shared" si="758"/>
        <v>0</v>
      </c>
      <c r="DZ611" s="607">
        <f t="shared" si="759"/>
        <v>3071976.5985915493</v>
      </c>
      <c r="EA611" s="608">
        <f t="shared" si="760"/>
        <v>2952939.3103448278</v>
      </c>
    </row>
    <row r="612" spans="1:131" x14ac:dyDescent="0.2">
      <c r="A612" s="359" t="s">
        <v>43</v>
      </c>
      <c r="B612" s="360" t="s">
        <v>534</v>
      </c>
      <c r="C612" s="586"/>
      <c r="D612" s="367">
        <v>226107</v>
      </c>
      <c r="E612" s="368">
        <v>10</v>
      </c>
      <c r="F612" s="598">
        <v>2</v>
      </c>
      <c r="G612" s="599">
        <v>3</v>
      </c>
      <c r="H612" s="600"/>
      <c r="I612" s="601">
        <v>0</v>
      </c>
      <c r="J612" s="600"/>
      <c r="K612" s="599">
        <v>0</v>
      </c>
      <c r="L612" s="600"/>
      <c r="M612" s="601">
        <v>0</v>
      </c>
      <c r="N612" s="600">
        <v>2</v>
      </c>
      <c r="O612" s="599">
        <v>0</v>
      </c>
      <c r="P612" s="600"/>
      <c r="Q612" s="601">
        <v>0</v>
      </c>
      <c r="R612" s="600"/>
      <c r="S612" s="599">
        <v>0</v>
      </c>
      <c r="T612" s="600"/>
      <c r="U612" s="601">
        <v>0</v>
      </c>
      <c r="V612" s="600">
        <v>8</v>
      </c>
      <c r="W612" s="599">
        <v>10</v>
      </c>
      <c r="X612" s="600"/>
      <c r="Y612" s="601">
        <v>0</v>
      </c>
      <c r="Z612" s="600"/>
      <c r="AA612" s="599">
        <v>0</v>
      </c>
      <c r="AB612" s="600"/>
      <c r="AC612" s="601">
        <v>0</v>
      </c>
      <c r="AD612" s="600">
        <v>37</v>
      </c>
      <c r="AE612" s="599">
        <v>37</v>
      </c>
      <c r="AF612" s="600"/>
      <c r="AG612" s="601">
        <v>0</v>
      </c>
      <c r="AH612" s="600"/>
      <c r="AI612" s="599">
        <v>0</v>
      </c>
      <c r="AJ612" s="600"/>
      <c r="AK612" s="601">
        <v>0</v>
      </c>
      <c r="AL612" s="600"/>
      <c r="AM612" s="599">
        <v>0</v>
      </c>
      <c r="AN612" s="600"/>
      <c r="AO612" s="601">
        <v>0</v>
      </c>
      <c r="AP612" s="600"/>
      <c r="AQ612" s="599">
        <v>0</v>
      </c>
      <c r="AR612" s="600"/>
      <c r="AS612" s="601">
        <v>0</v>
      </c>
      <c r="AT612" s="600"/>
      <c r="AU612" s="599">
        <v>0</v>
      </c>
      <c r="AV612" s="600"/>
      <c r="AW612" s="601">
        <v>0</v>
      </c>
      <c r="AX612" s="600"/>
      <c r="AY612" s="599">
        <v>0</v>
      </c>
      <c r="AZ612" s="600"/>
      <c r="BA612" s="601">
        <v>0</v>
      </c>
      <c r="BB612" s="602">
        <v>105048</v>
      </c>
      <c r="BC612" s="599">
        <v>160345</v>
      </c>
      <c r="BD612" s="600">
        <v>98127</v>
      </c>
      <c r="BE612" s="599">
        <v>0</v>
      </c>
      <c r="BF612" s="600">
        <v>427256</v>
      </c>
      <c r="BG612" s="599">
        <v>523493</v>
      </c>
      <c r="BH612" s="600">
        <v>1491296</v>
      </c>
      <c r="BI612" s="599">
        <v>1528740</v>
      </c>
      <c r="BJ612" s="600">
        <v>0</v>
      </c>
      <c r="BK612" s="615">
        <v>0</v>
      </c>
      <c r="BL612" s="600">
        <v>0</v>
      </c>
      <c r="BM612" s="604">
        <v>0</v>
      </c>
      <c r="BN612" s="605">
        <f t="shared" si="695"/>
        <v>18</v>
      </c>
      <c r="BO612" s="606">
        <f t="shared" si="696"/>
        <v>27</v>
      </c>
      <c r="BP612" s="607">
        <f t="shared" si="697"/>
        <v>18</v>
      </c>
      <c r="BQ612" s="606">
        <f t="shared" si="698"/>
        <v>0</v>
      </c>
      <c r="BR612" s="607">
        <f t="shared" si="699"/>
        <v>72</v>
      </c>
      <c r="BS612" s="606">
        <f t="shared" si="700"/>
        <v>90</v>
      </c>
      <c r="BT612" s="607">
        <f t="shared" si="701"/>
        <v>333</v>
      </c>
      <c r="BU612" s="606">
        <f t="shared" si="702"/>
        <v>333</v>
      </c>
      <c r="BV612" s="607">
        <f t="shared" si="703"/>
        <v>0</v>
      </c>
      <c r="BW612" s="608">
        <f t="shared" si="704"/>
        <v>0</v>
      </c>
      <c r="BX612" s="607">
        <f t="shared" si="705"/>
        <v>0</v>
      </c>
      <c r="BY612" s="608">
        <f t="shared" si="706"/>
        <v>0</v>
      </c>
      <c r="BZ612" s="607">
        <f t="shared" si="707"/>
        <v>5836</v>
      </c>
      <c r="CA612" s="608">
        <f t="shared" si="708"/>
        <v>5938.7037037037035</v>
      </c>
      <c r="CB612" s="607">
        <f t="shared" si="709"/>
        <v>5451.5</v>
      </c>
      <c r="CC612" s="608">
        <f t="shared" si="710"/>
        <v>0</v>
      </c>
      <c r="CD612" s="607">
        <f t="shared" si="711"/>
        <v>5934.1111111111113</v>
      </c>
      <c r="CE612" s="608">
        <f t="shared" si="712"/>
        <v>5816.5888888888885</v>
      </c>
      <c r="CF612" s="607">
        <f t="shared" si="713"/>
        <v>4478.3663663663665</v>
      </c>
      <c r="CG612" s="608">
        <f t="shared" si="714"/>
        <v>4590.8108108108108</v>
      </c>
      <c r="CH612" s="607">
        <f t="shared" si="715"/>
        <v>0</v>
      </c>
      <c r="CI612" s="608">
        <f t="shared" si="716"/>
        <v>0</v>
      </c>
      <c r="CJ612" s="607">
        <f t="shared" si="717"/>
        <v>0</v>
      </c>
      <c r="CK612" s="608">
        <f t="shared" si="718"/>
        <v>0</v>
      </c>
      <c r="CL612" s="609">
        <f t="shared" si="719"/>
        <v>52524</v>
      </c>
      <c r="CM612" s="608">
        <f t="shared" si="720"/>
        <v>53448.333333333328</v>
      </c>
      <c r="CN612" s="610">
        <f t="shared" si="721"/>
        <v>49063.5</v>
      </c>
      <c r="CO612" s="606">
        <f t="shared" si="722"/>
        <v>0</v>
      </c>
      <c r="CP612" s="607">
        <f t="shared" si="723"/>
        <v>53407</v>
      </c>
      <c r="CQ612" s="606">
        <f t="shared" si="724"/>
        <v>52349.299999999996</v>
      </c>
      <c r="CR612" s="607">
        <f t="shared" si="725"/>
        <v>40305.2972972973</v>
      </c>
      <c r="CS612" s="606">
        <f t="shared" si="726"/>
        <v>41317.2972972973</v>
      </c>
      <c r="CT612" s="607">
        <f t="shared" si="727"/>
        <v>0</v>
      </c>
      <c r="CU612" s="608">
        <f t="shared" si="728"/>
        <v>0</v>
      </c>
      <c r="CV612" s="610">
        <f t="shared" si="729"/>
        <v>0</v>
      </c>
      <c r="CW612" s="608">
        <f t="shared" si="730"/>
        <v>0</v>
      </c>
      <c r="CX612" s="610">
        <f t="shared" si="731"/>
        <v>43300.551020408166</v>
      </c>
      <c r="CY612" s="611">
        <f t="shared" si="732"/>
        <v>44251.56</v>
      </c>
      <c r="CZ612" s="605">
        <f t="shared" si="733"/>
        <v>2</v>
      </c>
      <c r="DA612" s="612">
        <f t="shared" si="734"/>
        <v>3</v>
      </c>
      <c r="DB612" s="607">
        <f t="shared" si="735"/>
        <v>2</v>
      </c>
      <c r="DC612" s="606">
        <f t="shared" si="736"/>
        <v>0</v>
      </c>
      <c r="DD612" s="607">
        <f t="shared" si="737"/>
        <v>8</v>
      </c>
      <c r="DE612" s="606">
        <f t="shared" si="738"/>
        <v>10</v>
      </c>
      <c r="DF612" s="607">
        <f t="shared" si="739"/>
        <v>37</v>
      </c>
      <c r="DG612" s="606">
        <f t="shared" si="740"/>
        <v>37</v>
      </c>
      <c r="DH612" s="607">
        <f t="shared" si="741"/>
        <v>0</v>
      </c>
      <c r="DI612" s="608">
        <f t="shared" si="742"/>
        <v>0</v>
      </c>
      <c r="DJ612" s="607">
        <f t="shared" si="743"/>
        <v>0</v>
      </c>
      <c r="DK612" s="608">
        <f t="shared" si="744"/>
        <v>0</v>
      </c>
      <c r="DL612" s="607">
        <f t="shared" si="745"/>
        <v>49</v>
      </c>
      <c r="DM612" s="608">
        <f t="shared" si="746"/>
        <v>50</v>
      </c>
      <c r="DN612" s="607">
        <f t="shared" si="747"/>
        <v>105048</v>
      </c>
      <c r="DO612" s="612">
        <f t="shared" si="748"/>
        <v>160345</v>
      </c>
      <c r="DP612" s="607">
        <f t="shared" si="749"/>
        <v>98127</v>
      </c>
      <c r="DQ612" s="606">
        <f t="shared" si="750"/>
        <v>0</v>
      </c>
      <c r="DR612" s="607">
        <f t="shared" si="751"/>
        <v>427256</v>
      </c>
      <c r="DS612" s="606">
        <f t="shared" si="752"/>
        <v>523492.99999999994</v>
      </c>
      <c r="DT612" s="607">
        <f t="shared" si="753"/>
        <v>1491296</v>
      </c>
      <c r="DU612" s="606">
        <f t="shared" si="754"/>
        <v>1528740</v>
      </c>
      <c r="DV612" s="607">
        <f t="shared" si="755"/>
        <v>0</v>
      </c>
      <c r="DW612" s="608">
        <f t="shared" si="756"/>
        <v>0</v>
      </c>
      <c r="DX612" s="607">
        <f t="shared" si="757"/>
        <v>0</v>
      </c>
      <c r="DY612" s="608">
        <f t="shared" si="758"/>
        <v>0</v>
      </c>
      <c r="DZ612" s="607">
        <f t="shared" si="759"/>
        <v>2121727</v>
      </c>
      <c r="EA612" s="608">
        <f t="shared" si="760"/>
        <v>2212578</v>
      </c>
    </row>
    <row r="613" spans="1:131" x14ac:dyDescent="0.2">
      <c r="A613" s="359" t="s">
        <v>43</v>
      </c>
      <c r="B613" s="360" t="s">
        <v>536</v>
      </c>
      <c r="C613" s="586"/>
      <c r="D613" s="370" t="s">
        <v>537</v>
      </c>
      <c r="E613" s="368">
        <v>10</v>
      </c>
      <c r="F613" s="598"/>
      <c r="G613" s="599">
        <v>0</v>
      </c>
      <c r="H613" s="600"/>
      <c r="I613" s="601">
        <v>0</v>
      </c>
      <c r="J613" s="600"/>
      <c r="K613" s="599">
        <v>0</v>
      </c>
      <c r="L613" s="600"/>
      <c r="M613" s="601">
        <v>0</v>
      </c>
      <c r="N613" s="600"/>
      <c r="O613" s="599">
        <v>0</v>
      </c>
      <c r="P613" s="600"/>
      <c r="Q613" s="601">
        <v>0</v>
      </c>
      <c r="R613" s="600"/>
      <c r="S613" s="599">
        <v>0</v>
      </c>
      <c r="T613" s="600"/>
      <c r="U613" s="601">
        <v>0</v>
      </c>
      <c r="V613" s="600"/>
      <c r="W613" s="599">
        <v>0</v>
      </c>
      <c r="X613" s="600"/>
      <c r="Y613" s="601">
        <v>0</v>
      </c>
      <c r="Z613" s="600"/>
      <c r="AA613" s="599">
        <v>0</v>
      </c>
      <c r="AB613" s="600"/>
      <c r="AC613" s="601">
        <v>0</v>
      </c>
      <c r="AD613" s="600"/>
      <c r="AE613" s="599">
        <v>0</v>
      </c>
      <c r="AF613" s="600"/>
      <c r="AG613" s="601">
        <v>0</v>
      </c>
      <c r="AH613" s="600"/>
      <c r="AI613" s="599">
        <v>0</v>
      </c>
      <c r="AJ613" s="600"/>
      <c r="AK613" s="601">
        <v>0</v>
      </c>
      <c r="AL613" s="600"/>
      <c r="AM613" s="599">
        <v>0</v>
      </c>
      <c r="AN613" s="600"/>
      <c r="AO613" s="601">
        <v>0</v>
      </c>
      <c r="AP613" s="600"/>
      <c r="AQ613" s="599">
        <v>0</v>
      </c>
      <c r="AR613" s="600"/>
      <c r="AS613" s="601">
        <v>0</v>
      </c>
      <c r="AT613" s="600"/>
      <c r="AU613" s="599">
        <v>0</v>
      </c>
      <c r="AV613" s="600"/>
      <c r="AW613" s="601">
        <v>0</v>
      </c>
      <c r="AX613" s="600"/>
      <c r="AY613" s="599">
        <v>0</v>
      </c>
      <c r="AZ613" s="600"/>
      <c r="BA613" s="601">
        <v>0</v>
      </c>
      <c r="BB613" s="602">
        <v>0</v>
      </c>
      <c r="BC613" s="599">
        <v>0</v>
      </c>
      <c r="BD613" s="600">
        <v>0</v>
      </c>
      <c r="BE613" s="599">
        <v>0</v>
      </c>
      <c r="BF613" s="600">
        <v>0</v>
      </c>
      <c r="BG613" s="599">
        <v>0</v>
      </c>
      <c r="BH613" s="600">
        <v>0</v>
      </c>
      <c r="BI613" s="599">
        <v>0</v>
      </c>
      <c r="BJ613" s="600">
        <v>0</v>
      </c>
      <c r="BK613" s="615">
        <v>0</v>
      </c>
      <c r="BL613" s="600">
        <v>0</v>
      </c>
      <c r="BM613" s="604">
        <v>0</v>
      </c>
      <c r="BN613" s="605">
        <f t="shared" si="695"/>
        <v>0</v>
      </c>
      <c r="BO613" s="606">
        <f t="shared" si="696"/>
        <v>0</v>
      </c>
      <c r="BP613" s="607">
        <f t="shared" si="697"/>
        <v>0</v>
      </c>
      <c r="BQ613" s="606">
        <f t="shared" si="698"/>
        <v>0</v>
      </c>
      <c r="BR613" s="607">
        <f t="shared" si="699"/>
        <v>0</v>
      </c>
      <c r="BS613" s="606">
        <f t="shared" si="700"/>
        <v>0</v>
      </c>
      <c r="BT613" s="607">
        <f t="shared" si="701"/>
        <v>0</v>
      </c>
      <c r="BU613" s="606">
        <f t="shared" si="702"/>
        <v>0</v>
      </c>
      <c r="BV613" s="607">
        <f t="shared" si="703"/>
        <v>0</v>
      </c>
      <c r="BW613" s="608">
        <f t="shared" si="704"/>
        <v>0</v>
      </c>
      <c r="BX613" s="607">
        <f t="shared" si="705"/>
        <v>0</v>
      </c>
      <c r="BY613" s="608">
        <f t="shared" si="706"/>
        <v>0</v>
      </c>
      <c r="BZ613" s="607">
        <f t="shared" si="707"/>
        <v>0</v>
      </c>
      <c r="CA613" s="608">
        <f t="shared" si="708"/>
        <v>0</v>
      </c>
      <c r="CB613" s="607">
        <f t="shared" si="709"/>
        <v>0</v>
      </c>
      <c r="CC613" s="608">
        <f t="shared" si="710"/>
        <v>0</v>
      </c>
      <c r="CD613" s="607">
        <f t="shared" si="711"/>
        <v>0</v>
      </c>
      <c r="CE613" s="608">
        <f t="shared" si="712"/>
        <v>0</v>
      </c>
      <c r="CF613" s="607">
        <f t="shared" si="713"/>
        <v>0</v>
      </c>
      <c r="CG613" s="608">
        <f t="shared" si="714"/>
        <v>0</v>
      </c>
      <c r="CH613" s="607">
        <f t="shared" si="715"/>
        <v>0</v>
      </c>
      <c r="CI613" s="608">
        <f t="shared" si="716"/>
        <v>0</v>
      </c>
      <c r="CJ613" s="607">
        <f t="shared" si="717"/>
        <v>0</v>
      </c>
      <c r="CK613" s="608">
        <f t="shared" si="718"/>
        <v>0</v>
      </c>
      <c r="CL613" s="609">
        <f t="shared" si="719"/>
        <v>0</v>
      </c>
      <c r="CM613" s="608">
        <f t="shared" si="720"/>
        <v>0</v>
      </c>
      <c r="CN613" s="610">
        <f t="shared" si="721"/>
        <v>0</v>
      </c>
      <c r="CO613" s="606">
        <f t="shared" si="722"/>
        <v>0</v>
      </c>
      <c r="CP613" s="607">
        <f t="shared" si="723"/>
        <v>0</v>
      </c>
      <c r="CQ613" s="606">
        <f t="shared" si="724"/>
        <v>0</v>
      </c>
      <c r="CR613" s="607">
        <f t="shared" si="725"/>
        <v>0</v>
      </c>
      <c r="CS613" s="606">
        <f t="shared" si="726"/>
        <v>0</v>
      </c>
      <c r="CT613" s="607">
        <f t="shared" si="727"/>
        <v>0</v>
      </c>
      <c r="CU613" s="608">
        <f t="shared" si="728"/>
        <v>0</v>
      </c>
      <c r="CV613" s="610">
        <f t="shared" si="729"/>
        <v>0</v>
      </c>
      <c r="CW613" s="608">
        <f t="shared" si="730"/>
        <v>0</v>
      </c>
      <c r="CX613" s="610">
        <f t="shared" si="731"/>
        <v>0</v>
      </c>
      <c r="CY613" s="611">
        <f t="shared" si="732"/>
        <v>0</v>
      </c>
      <c r="CZ613" s="605">
        <f t="shared" si="733"/>
        <v>0</v>
      </c>
      <c r="DA613" s="612">
        <f t="shared" si="734"/>
        <v>0</v>
      </c>
      <c r="DB613" s="607">
        <f t="shared" si="735"/>
        <v>0</v>
      </c>
      <c r="DC613" s="606">
        <f t="shared" si="736"/>
        <v>0</v>
      </c>
      <c r="DD613" s="607">
        <f t="shared" si="737"/>
        <v>0</v>
      </c>
      <c r="DE613" s="606">
        <f t="shared" si="738"/>
        <v>0</v>
      </c>
      <c r="DF613" s="607">
        <f t="shared" si="739"/>
        <v>0</v>
      </c>
      <c r="DG613" s="606">
        <f t="shared" si="740"/>
        <v>0</v>
      </c>
      <c r="DH613" s="607">
        <f t="shared" si="741"/>
        <v>0</v>
      </c>
      <c r="DI613" s="608">
        <f t="shared" si="742"/>
        <v>0</v>
      </c>
      <c r="DJ613" s="607">
        <f t="shared" si="743"/>
        <v>0</v>
      </c>
      <c r="DK613" s="608">
        <f t="shared" si="744"/>
        <v>0</v>
      </c>
      <c r="DL613" s="607">
        <f t="shared" si="745"/>
        <v>0</v>
      </c>
      <c r="DM613" s="608">
        <f t="shared" si="746"/>
        <v>0</v>
      </c>
      <c r="DN613" s="607">
        <f t="shared" si="747"/>
        <v>0</v>
      </c>
      <c r="DO613" s="612">
        <f t="shared" si="748"/>
        <v>0</v>
      </c>
      <c r="DP613" s="607">
        <f t="shared" si="749"/>
        <v>0</v>
      </c>
      <c r="DQ613" s="606">
        <f t="shared" si="750"/>
        <v>0</v>
      </c>
      <c r="DR613" s="607">
        <f t="shared" si="751"/>
        <v>0</v>
      </c>
      <c r="DS613" s="606">
        <f t="shared" si="752"/>
        <v>0</v>
      </c>
      <c r="DT613" s="607">
        <f t="shared" si="753"/>
        <v>0</v>
      </c>
      <c r="DU613" s="606">
        <f t="shared" si="754"/>
        <v>0</v>
      </c>
      <c r="DV613" s="607">
        <f t="shared" si="755"/>
        <v>0</v>
      </c>
      <c r="DW613" s="608">
        <f t="shared" si="756"/>
        <v>0</v>
      </c>
      <c r="DX613" s="607">
        <f t="shared" si="757"/>
        <v>0</v>
      </c>
      <c r="DY613" s="608">
        <f t="shared" si="758"/>
        <v>0</v>
      </c>
      <c r="DZ613" s="607">
        <f t="shared" si="759"/>
        <v>0</v>
      </c>
      <c r="EA613" s="608">
        <f t="shared" si="760"/>
        <v>0</v>
      </c>
    </row>
    <row r="614" spans="1:131" x14ac:dyDescent="0.2">
      <c r="A614" s="353" t="s">
        <v>43</v>
      </c>
      <c r="B614" s="354" t="s">
        <v>538</v>
      </c>
      <c r="C614" s="585"/>
      <c r="D614" s="362">
        <v>227386</v>
      </c>
      <c r="E614" s="366">
        <v>10</v>
      </c>
      <c r="F614" s="598">
        <v>39</v>
      </c>
      <c r="G614" s="599">
        <v>29</v>
      </c>
      <c r="H614" s="600"/>
      <c r="I614" s="601">
        <v>12</v>
      </c>
      <c r="J614" s="600">
        <v>3</v>
      </c>
      <c r="K614" s="599">
        <v>0</v>
      </c>
      <c r="L614" s="600"/>
      <c r="M614" s="601">
        <v>2</v>
      </c>
      <c r="N614" s="600"/>
      <c r="O614" s="599">
        <v>0</v>
      </c>
      <c r="P614" s="600"/>
      <c r="Q614" s="601">
        <v>0</v>
      </c>
      <c r="R614" s="600"/>
      <c r="S614" s="599">
        <v>0</v>
      </c>
      <c r="T614" s="600"/>
      <c r="U614" s="601">
        <v>0</v>
      </c>
      <c r="V614" s="600"/>
      <c r="W614" s="599">
        <v>0</v>
      </c>
      <c r="X614" s="600"/>
      <c r="Y614" s="601">
        <v>0</v>
      </c>
      <c r="Z614" s="600"/>
      <c r="AA614" s="599">
        <v>0</v>
      </c>
      <c r="AB614" s="600"/>
      <c r="AC614" s="601">
        <v>0</v>
      </c>
      <c r="AD614" s="600">
        <v>12</v>
      </c>
      <c r="AE614" s="599">
        <v>8</v>
      </c>
      <c r="AF614" s="600"/>
      <c r="AG614" s="601">
        <v>6</v>
      </c>
      <c r="AH614" s="600">
        <v>7</v>
      </c>
      <c r="AI614" s="599">
        <v>3</v>
      </c>
      <c r="AJ614" s="600"/>
      <c r="AK614" s="601">
        <v>4</v>
      </c>
      <c r="AL614" s="600"/>
      <c r="AM614" s="599">
        <v>0</v>
      </c>
      <c r="AN614" s="600"/>
      <c r="AO614" s="601">
        <v>0</v>
      </c>
      <c r="AP614" s="600"/>
      <c r="AQ614" s="599">
        <v>0</v>
      </c>
      <c r="AR614" s="600"/>
      <c r="AS614" s="601">
        <v>0</v>
      </c>
      <c r="AT614" s="600"/>
      <c r="AU614" s="599">
        <v>0</v>
      </c>
      <c r="AV614" s="600"/>
      <c r="AW614" s="601">
        <v>0</v>
      </c>
      <c r="AX614" s="600"/>
      <c r="AY614" s="599">
        <v>0</v>
      </c>
      <c r="AZ614" s="600"/>
      <c r="BA614" s="601">
        <v>0</v>
      </c>
      <c r="BB614" s="602">
        <v>2203713</v>
      </c>
      <c r="BC614" s="599">
        <v>2297973</v>
      </c>
      <c r="BD614" s="600">
        <v>0</v>
      </c>
      <c r="BE614" s="599">
        <v>0</v>
      </c>
      <c r="BF614" s="600">
        <v>0</v>
      </c>
      <c r="BG614" s="599">
        <v>0</v>
      </c>
      <c r="BH614" s="600">
        <v>925048</v>
      </c>
      <c r="BI614" s="599">
        <v>1014631</v>
      </c>
      <c r="BJ614" s="600">
        <v>0</v>
      </c>
      <c r="BK614" s="615">
        <v>0</v>
      </c>
      <c r="BL614" s="600">
        <v>0</v>
      </c>
      <c r="BM614" s="604">
        <v>0</v>
      </c>
      <c r="BN614" s="605">
        <f t="shared" si="695"/>
        <v>384</v>
      </c>
      <c r="BO614" s="606">
        <f t="shared" si="696"/>
        <v>405</v>
      </c>
      <c r="BP614" s="607">
        <f t="shared" si="697"/>
        <v>0</v>
      </c>
      <c r="BQ614" s="606">
        <f t="shared" si="698"/>
        <v>0</v>
      </c>
      <c r="BR614" s="607">
        <f t="shared" si="699"/>
        <v>0</v>
      </c>
      <c r="BS614" s="606">
        <f t="shared" si="700"/>
        <v>0</v>
      </c>
      <c r="BT614" s="607">
        <f t="shared" si="701"/>
        <v>185</v>
      </c>
      <c r="BU614" s="606">
        <f t="shared" si="702"/>
        <v>213</v>
      </c>
      <c r="BV614" s="607">
        <f t="shared" si="703"/>
        <v>0</v>
      </c>
      <c r="BW614" s="608">
        <f t="shared" si="704"/>
        <v>0</v>
      </c>
      <c r="BX614" s="607">
        <f t="shared" si="705"/>
        <v>0</v>
      </c>
      <c r="BY614" s="608">
        <f t="shared" si="706"/>
        <v>0</v>
      </c>
      <c r="BZ614" s="607">
        <f t="shared" si="707"/>
        <v>5738.8359375</v>
      </c>
      <c r="CA614" s="608">
        <f t="shared" si="708"/>
        <v>5674.0074074074073</v>
      </c>
      <c r="CB614" s="607">
        <f t="shared" si="709"/>
        <v>0</v>
      </c>
      <c r="CC614" s="608">
        <f t="shared" si="710"/>
        <v>0</v>
      </c>
      <c r="CD614" s="607">
        <f t="shared" si="711"/>
        <v>0</v>
      </c>
      <c r="CE614" s="608">
        <f t="shared" si="712"/>
        <v>0</v>
      </c>
      <c r="CF614" s="607">
        <f t="shared" si="713"/>
        <v>5000.2594594594593</v>
      </c>
      <c r="CG614" s="608">
        <f t="shared" si="714"/>
        <v>4763.525821596244</v>
      </c>
      <c r="CH614" s="607">
        <f t="shared" si="715"/>
        <v>0</v>
      </c>
      <c r="CI614" s="608">
        <f t="shared" si="716"/>
        <v>0</v>
      </c>
      <c r="CJ614" s="607">
        <f t="shared" si="717"/>
        <v>0</v>
      </c>
      <c r="CK614" s="608">
        <f t="shared" si="718"/>
        <v>0</v>
      </c>
      <c r="CL614" s="609">
        <f t="shared" si="719"/>
        <v>51649.5234375</v>
      </c>
      <c r="CM614" s="608">
        <f t="shared" si="720"/>
        <v>51066.066666666666</v>
      </c>
      <c r="CN614" s="610">
        <f t="shared" si="721"/>
        <v>0</v>
      </c>
      <c r="CO614" s="606">
        <f t="shared" si="722"/>
        <v>0</v>
      </c>
      <c r="CP614" s="607">
        <f t="shared" si="723"/>
        <v>0</v>
      </c>
      <c r="CQ614" s="606">
        <f t="shared" si="724"/>
        <v>0</v>
      </c>
      <c r="CR614" s="607">
        <f t="shared" si="725"/>
        <v>45002.33513513513</v>
      </c>
      <c r="CS614" s="606">
        <f t="shared" si="726"/>
        <v>42871.732394366198</v>
      </c>
      <c r="CT614" s="607">
        <f t="shared" si="727"/>
        <v>0</v>
      </c>
      <c r="CU614" s="608">
        <f t="shared" si="728"/>
        <v>0</v>
      </c>
      <c r="CV614" s="610">
        <f t="shared" si="729"/>
        <v>0</v>
      </c>
      <c r="CW614" s="608">
        <f t="shared" si="730"/>
        <v>0</v>
      </c>
      <c r="CX614" s="610">
        <f t="shared" si="731"/>
        <v>49579.087736763402</v>
      </c>
      <c r="CY614" s="611">
        <f t="shared" si="732"/>
        <v>48377.300733568074</v>
      </c>
      <c r="CZ614" s="605">
        <f t="shared" si="733"/>
        <v>42</v>
      </c>
      <c r="DA614" s="612">
        <f t="shared" si="734"/>
        <v>43</v>
      </c>
      <c r="DB614" s="607">
        <f t="shared" si="735"/>
        <v>0</v>
      </c>
      <c r="DC614" s="606">
        <f t="shared" si="736"/>
        <v>0</v>
      </c>
      <c r="DD614" s="607">
        <f t="shared" si="737"/>
        <v>0</v>
      </c>
      <c r="DE614" s="606">
        <f t="shared" si="738"/>
        <v>0</v>
      </c>
      <c r="DF614" s="607">
        <f t="shared" si="739"/>
        <v>19</v>
      </c>
      <c r="DG614" s="606">
        <f t="shared" si="740"/>
        <v>21</v>
      </c>
      <c r="DH614" s="607">
        <f t="shared" si="741"/>
        <v>0</v>
      </c>
      <c r="DI614" s="608">
        <f t="shared" si="742"/>
        <v>0</v>
      </c>
      <c r="DJ614" s="607">
        <f t="shared" si="743"/>
        <v>0</v>
      </c>
      <c r="DK614" s="608">
        <f t="shared" si="744"/>
        <v>0</v>
      </c>
      <c r="DL614" s="607">
        <f t="shared" si="745"/>
        <v>61</v>
      </c>
      <c r="DM614" s="608">
        <f t="shared" si="746"/>
        <v>64</v>
      </c>
      <c r="DN614" s="607">
        <f t="shared" si="747"/>
        <v>2169279.984375</v>
      </c>
      <c r="DO614" s="612">
        <f t="shared" si="748"/>
        <v>2195840.8666666667</v>
      </c>
      <c r="DP614" s="607">
        <f t="shared" si="749"/>
        <v>0</v>
      </c>
      <c r="DQ614" s="606">
        <f t="shared" si="750"/>
        <v>0</v>
      </c>
      <c r="DR614" s="607">
        <f t="shared" si="751"/>
        <v>0</v>
      </c>
      <c r="DS614" s="606">
        <f t="shared" si="752"/>
        <v>0</v>
      </c>
      <c r="DT614" s="607">
        <f t="shared" si="753"/>
        <v>855044.3675675675</v>
      </c>
      <c r="DU614" s="606">
        <f t="shared" si="754"/>
        <v>900306.38028169016</v>
      </c>
      <c r="DV614" s="607">
        <f t="shared" si="755"/>
        <v>0</v>
      </c>
      <c r="DW614" s="608">
        <f t="shared" si="756"/>
        <v>0</v>
      </c>
      <c r="DX614" s="607">
        <f t="shared" si="757"/>
        <v>0</v>
      </c>
      <c r="DY614" s="608">
        <f t="shared" si="758"/>
        <v>0</v>
      </c>
      <c r="DZ614" s="607">
        <f t="shared" si="759"/>
        <v>3024324.3519425676</v>
      </c>
      <c r="EA614" s="608">
        <f t="shared" si="760"/>
        <v>3096147.2469483567</v>
      </c>
    </row>
    <row r="615" spans="1:131" x14ac:dyDescent="0.2">
      <c r="A615" s="353" t="s">
        <v>43</v>
      </c>
      <c r="B615" s="354" t="s">
        <v>539</v>
      </c>
      <c r="C615" s="585"/>
      <c r="D615" s="362">
        <v>227687</v>
      </c>
      <c r="E615" s="366">
        <v>10</v>
      </c>
      <c r="F615" s="598">
        <v>1</v>
      </c>
      <c r="G615" s="599">
        <v>3</v>
      </c>
      <c r="H615" s="600"/>
      <c r="I615" s="601">
        <v>0</v>
      </c>
      <c r="J615" s="600"/>
      <c r="K615" s="599">
        <v>0</v>
      </c>
      <c r="L615" s="600"/>
      <c r="M615" s="601">
        <v>2</v>
      </c>
      <c r="N615" s="600">
        <v>4</v>
      </c>
      <c r="O615" s="599">
        <v>1</v>
      </c>
      <c r="P615" s="600"/>
      <c r="Q615" s="601">
        <v>0</v>
      </c>
      <c r="R615" s="600"/>
      <c r="S615" s="599">
        <v>0</v>
      </c>
      <c r="T615" s="600"/>
      <c r="U615" s="601">
        <v>3</v>
      </c>
      <c r="V615" s="600">
        <v>1</v>
      </c>
      <c r="W615" s="599">
        <v>1</v>
      </c>
      <c r="X615" s="600"/>
      <c r="Y615" s="601">
        <v>0</v>
      </c>
      <c r="Z615" s="600">
        <v>2</v>
      </c>
      <c r="AA615" s="599">
        <v>0</v>
      </c>
      <c r="AB615" s="600"/>
      <c r="AC615" s="601">
        <v>3</v>
      </c>
      <c r="AD615" s="600">
        <v>3</v>
      </c>
      <c r="AE615" s="599">
        <v>6</v>
      </c>
      <c r="AF615" s="600"/>
      <c r="AG615" s="601">
        <v>0</v>
      </c>
      <c r="AH615" s="600">
        <v>12</v>
      </c>
      <c r="AI615" s="599">
        <v>0</v>
      </c>
      <c r="AJ615" s="600"/>
      <c r="AK615" s="601">
        <v>10</v>
      </c>
      <c r="AL615" s="600"/>
      <c r="AM615" s="599">
        <v>0</v>
      </c>
      <c r="AN615" s="600"/>
      <c r="AO615" s="601">
        <v>0</v>
      </c>
      <c r="AP615" s="600"/>
      <c r="AQ615" s="599">
        <v>0</v>
      </c>
      <c r="AR615" s="600"/>
      <c r="AS615" s="601">
        <v>0</v>
      </c>
      <c r="AT615" s="600">
        <v>13</v>
      </c>
      <c r="AU615" s="599">
        <v>0</v>
      </c>
      <c r="AV615" s="600"/>
      <c r="AW615" s="601">
        <v>0</v>
      </c>
      <c r="AX615" s="600">
        <v>2</v>
      </c>
      <c r="AY615" s="599">
        <v>0</v>
      </c>
      <c r="AZ615" s="600"/>
      <c r="BA615" s="601">
        <v>0</v>
      </c>
      <c r="BB615" s="602">
        <v>39581</v>
      </c>
      <c r="BC615" s="599">
        <v>229637</v>
      </c>
      <c r="BD615" s="600">
        <v>140260</v>
      </c>
      <c r="BE615" s="599">
        <v>146388</v>
      </c>
      <c r="BF615" s="600">
        <v>93588</v>
      </c>
      <c r="BG615" s="599">
        <v>169270</v>
      </c>
      <c r="BH615" s="600">
        <v>518724</v>
      </c>
      <c r="BI615" s="599">
        <v>573060</v>
      </c>
      <c r="BJ615" s="600">
        <v>0</v>
      </c>
      <c r="BK615" s="615">
        <v>0</v>
      </c>
      <c r="BL615" s="600">
        <v>428025</v>
      </c>
      <c r="BM615" s="604">
        <v>0</v>
      </c>
      <c r="BN615" s="605">
        <f t="shared" si="695"/>
        <v>9</v>
      </c>
      <c r="BO615" s="606">
        <f t="shared" si="696"/>
        <v>51</v>
      </c>
      <c r="BP615" s="607">
        <f t="shared" si="697"/>
        <v>36</v>
      </c>
      <c r="BQ615" s="606">
        <f t="shared" si="698"/>
        <v>45</v>
      </c>
      <c r="BR615" s="607">
        <f t="shared" si="699"/>
        <v>31</v>
      </c>
      <c r="BS615" s="606">
        <f t="shared" si="700"/>
        <v>45</v>
      </c>
      <c r="BT615" s="607">
        <f t="shared" si="701"/>
        <v>159</v>
      </c>
      <c r="BU615" s="606">
        <f t="shared" si="702"/>
        <v>174</v>
      </c>
      <c r="BV615" s="607">
        <f t="shared" si="703"/>
        <v>0</v>
      </c>
      <c r="BW615" s="608">
        <f t="shared" si="704"/>
        <v>0</v>
      </c>
      <c r="BX615" s="607">
        <f t="shared" si="705"/>
        <v>139</v>
      </c>
      <c r="BY615" s="608">
        <f t="shared" si="706"/>
        <v>0</v>
      </c>
      <c r="BZ615" s="607">
        <f t="shared" si="707"/>
        <v>4397.8888888888887</v>
      </c>
      <c r="CA615" s="608">
        <f t="shared" si="708"/>
        <v>4502.6862745098042</v>
      </c>
      <c r="CB615" s="607">
        <f t="shared" si="709"/>
        <v>3896.1111111111113</v>
      </c>
      <c r="CC615" s="608">
        <f t="shared" si="710"/>
        <v>3253.0666666666666</v>
      </c>
      <c r="CD615" s="607">
        <f t="shared" si="711"/>
        <v>3018.9677419354839</v>
      </c>
      <c r="CE615" s="608">
        <f t="shared" si="712"/>
        <v>3761.5555555555557</v>
      </c>
      <c r="CF615" s="607">
        <f t="shared" si="713"/>
        <v>3262.4150943396226</v>
      </c>
      <c r="CG615" s="608">
        <f t="shared" si="714"/>
        <v>3293.4482758620688</v>
      </c>
      <c r="CH615" s="607">
        <f t="shared" si="715"/>
        <v>0</v>
      </c>
      <c r="CI615" s="608">
        <f t="shared" si="716"/>
        <v>0</v>
      </c>
      <c r="CJ615" s="607">
        <f t="shared" si="717"/>
        <v>3079.31654676259</v>
      </c>
      <c r="CK615" s="608">
        <f t="shared" si="718"/>
        <v>0</v>
      </c>
      <c r="CL615" s="609">
        <f t="shared" si="719"/>
        <v>39581</v>
      </c>
      <c r="CM615" s="608">
        <f t="shared" si="720"/>
        <v>40524.176470588238</v>
      </c>
      <c r="CN615" s="610">
        <f t="shared" si="721"/>
        <v>35065</v>
      </c>
      <c r="CO615" s="606">
        <f t="shared" si="722"/>
        <v>29277.599999999999</v>
      </c>
      <c r="CP615" s="607">
        <f t="shared" si="723"/>
        <v>27170.709677419356</v>
      </c>
      <c r="CQ615" s="606">
        <f t="shared" si="724"/>
        <v>33854</v>
      </c>
      <c r="CR615" s="607">
        <f t="shared" si="725"/>
        <v>29361.735849056604</v>
      </c>
      <c r="CS615" s="606">
        <f t="shared" si="726"/>
        <v>29641.03448275862</v>
      </c>
      <c r="CT615" s="607">
        <f t="shared" si="727"/>
        <v>0</v>
      </c>
      <c r="CU615" s="608">
        <f t="shared" si="728"/>
        <v>0</v>
      </c>
      <c r="CV615" s="610">
        <f t="shared" si="729"/>
        <v>27713.848920863311</v>
      </c>
      <c r="CW615" s="608">
        <f t="shared" si="730"/>
        <v>0</v>
      </c>
      <c r="CX615" s="610">
        <f t="shared" si="731"/>
        <v>29407.550015290966</v>
      </c>
      <c r="CY615" s="611">
        <f t="shared" si="732"/>
        <v>32048.408071623417</v>
      </c>
      <c r="CZ615" s="605">
        <f t="shared" si="733"/>
        <v>1</v>
      </c>
      <c r="DA615" s="612">
        <f t="shared" si="734"/>
        <v>5</v>
      </c>
      <c r="DB615" s="607">
        <f t="shared" si="735"/>
        <v>4</v>
      </c>
      <c r="DC615" s="606">
        <f t="shared" si="736"/>
        <v>4</v>
      </c>
      <c r="DD615" s="607">
        <f t="shared" si="737"/>
        <v>3</v>
      </c>
      <c r="DE615" s="606">
        <f t="shared" si="738"/>
        <v>4</v>
      </c>
      <c r="DF615" s="607">
        <f t="shared" si="739"/>
        <v>15</v>
      </c>
      <c r="DG615" s="606">
        <f t="shared" si="740"/>
        <v>16</v>
      </c>
      <c r="DH615" s="607">
        <f t="shared" si="741"/>
        <v>0</v>
      </c>
      <c r="DI615" s="608">
        <f t="shared" si="742"/>
        <v>0</v>
      </c>
      <c r="DJ615" s="607">
        <f t="shared" si="743"/>
        <v>15</v>
      </c>
      <c r="DK615" s="608">
        <f t="shared" si="744"/>
        <v>0</v>
      </c>
      <c r="DL615" s="607">
        <f t="shared" si="745"/>
        <v>38</v>
      </c>
      <c r="DM615" s="608">
        <f t="shared" si="746"/>
        <v>29</v>
      </c>
      <c r="DN615" s="607">
        <f t="shared" si="747"/>
        <v>39581</v>
      </c>
      <c r="DO615" s="612">
        <f t="shared" si="748"/>
        <v>202620.8823529412</v>
      </c>
      <c r="DP615" s="607">
        <f t="shared" si="749"/>
        <v>140260</v>
      </c>
      <c r="DQ615" s="606">
        <f t="shared" si="750"/>
        <v>117110.39999999999</v>
      </c>
      <c r="DR615" s="607">
        <f t="shared" si="751"/>
        <v>81512.129032258061</v>
      </c>
      <c r="DS615" s="606">
        <f t="shared" si="752"/>
        <v>135416</v>
      </c>
      <c r="DT615" s="607">
        <f t="shared" si="753"/>
        <v>440426.03773584904</v>
      </c>
      <c r="DU615" s="606">
        <f t="shared" si="754"/>
        <v>474256.55172413791</v>
      </c>
      <c r="DV615" s="607">
        <f t="shared" si="755"/>
        <v>0</v>
      </c>
      <c r="DW615" s="608">
        <f t="shared" si="756"/>
        <v>0</v>
      </c>
      <c r="DX615" s="607">
        <f t="shared" si="757"/>
        <v>415707.73381294968</v>
      </c>
      <c r="DY615" s="608">
        <f t="shared" si="758"/>
        <v>0</v>
      </c>
      <c r="DZ615" s="607">
        <f t="shared" si="759"/>
        <v>1117486.9005810567</v>
      </c>
      <c r="EA615" s="608">
        <f t="shared" si="760"/>
        <v>929403.83407707908</v>
      </c>
    </row>
    <row r="616" spans="1:131" x14ac:dyDescent="0.2">
      <c r="A616" s="353" t="s">
        <v>43</v>
      </c>
      <c r="B616" s="354" t="s">
        <v>540</v>
      </c>
      <c r="C616" s="585"/>
      <c r="D616" s="362">
        <v>382911</v>
      </c>
      <c r="E616" s="366">
        <v>10</v>
      </c>
      <c r="F616" s="598"/>
      <c r="G616" s="599">
        <v>0</v>
      </c>
      <c r="H616" s="600"/>
      <c r="I616" s="601">
        <v>0</v>
      </c>
      <c r="J616" s="600"/>
      <c r="K616" s="599">
        <v>0</v>
      </c>
      <c r="L616" s="600"/>
      <c r="M616" s="601">
        <v>0</v>
      </c>
      <c r="N616" s="600"/>
      <c r="O616" s="599">
        <v>0</v>
      </c>
      <c r="P616" s="600"/>
      <c r="Q616" s="601">
        <v>0</v>
      </c>
      <c r="R616" s="600"/>
      <c r="S616" s="599">
        <v>0</v>
      </c>
      <c r="T616" s="600"/>
      <c r="U616" s="601">
        <v>0</v>
      </c>
      <c r="V616" s="600"/>
      <c r="W616" s="599">
        <v>0</v>
      </c>
      <c r="X616" s="600"/>
      <c r="Y616" s="601">
        <v>0</v>
      </c>
      <c r="Z616" s="600"/>
      <c r="AA616" s="599">
        <v>0</v>
      </c>
      <c r="AB616" s="600"/>
      <c r="AC616" s="601">
        <v>0</v>
      </c>
      <c r="AD616" s="600"/>
      <c r="AE616" s="599">
        <v>0</v>
      </c>
      <c r="AF616" s="600"/>
      <c r="AG616" s="601">
        <v>0</v>
      </c>
      <c r="AH616" s="600"/>
      <c r="AI616" s="599">
        <v>0</v>
      </c>
      <c r="AJ616" s="600"/>
      <c r="AK616" s="601">
        <v>0</v>
      </c>
      <c r="AL616" s="600"/>
      <c r="AM616" s="599">
        <v>0</v>
      </c>
      <c r="AN616" s="600"/>
      <c r="AO616" s="601">
        <v>0</v>
      </c>
      <c r="AP616" s="600"/>
      <c r="AQ616" s="599">
        <v>0</v>
      </c>
      <c r="AR616" s="600"/>
      <c r="AS616" s="601">
        <v>0</v>
      </c>
      <c r="AT616" s="600"/>
      <c r="AU616" s="599">
        <v>0</v>
      </c>
      <c r="AV616" s="600"/>
      <c r="AW616" s="601">
        <v>0</v>
      </c>
      <c r="AX616" s="600"/>
      <c r="AY616" s="599">
        <v>0</v>
      </c>
      <c r="AZ616" s="600"/>
      <c r="BA616" s="601">
        <v>0</v>
      </c>
      <c r="BB616" s="602">
        <v>0</v>
      </c>
      <c r="BC616" s="599">
        <v>0</v>
      </c>
      <c r="BD616" s="600">
        <v>0</v>
      </c>
      <c r="BE616" s="599">
        <v>0</v>
      </c>
      <c r="BF616" s="600">
        <v>0</v>
      </c>
      <c r="BG616" s="599">
        <v>0</v>
      </c>
      <c r="BH616" s="600">
        <v>0</v>
      </c>
      <c r="BI616" s="599">
        <v>0</v>
      </c>
      <c r="BJ616" s="600">
        <v>0</v>
      </c>
      <c r="BK616" s="615">
        <v>0</v>
      </c>
      <c r="BL616" s="600">
        <v>0</v>
      </c>
      <c r="BM616" s="604">
        <v>0</v>
      </c>
      <c r="BN616" s="605">
        <f t="shared" si="695"/>
        <v>0</v>
      </c>
      <c r="BO616" s="606">
        <f t="shared" si="696"/>
        <v>0</v>
      </c>
      <c r="BP616" s="607">
        <f t="shared" si="697"/>
        <v>0</v>
      </c>
      <c r="BQ616" s="606">
        <f t="shared" si="698"/>
        <v>0</v>
      </c>
      <c r="BR616" s="607">
        <f t="shared" si="699"/>
        <v>0</v>
      </c>
      <c r="BS616" s="606">
        <f t="shared" si="700"/>
        <v>0</v>
      </c>
      <c r="BT616" s="607">
        <f t="shared" si="701"/>
        <v>0</v>
      </c>
      <c r="BU616" s="606">
        <f t="shared" si="702"/>
        <v>0</v>
      </c>
      <c r="BV616" s="607">
        <f t="shared" si="703"/>
        <v>0</v>
      </c>
      <c r="BW616" s="608">
        <f t="shared" si="704"/>
        <v>0</v>
      </c>
      <c r="BX616" s="607">
        <f t="shared" si="705"/>
        <v>0</v>
      </c>
      <c r="BY616" s="608">
        <f t="shared" si="706"/>
        <v>0</v>
      </c>
      <c r="BZ616" s="607">
        <f t="shared" si="707"/>
        <v>0</v>
      </c>
      <c r="CA616" s="608">
        <f t="shared" si="708"/>
        <v>0</v>
      </c>
      <c r="CB616" s="607">
        <f t="shared" si="709"/>
        <v>0</v>
      </c>
      <c r="CC616" s="608">
        <f t="shared" si="710"/>
        <v>0</v>
      </c>
      <c r="CD616" s="607">
        <f t="shared" si="711"/>
        <v>0</v>
      </c>
      <c r="CE616" s="608">
        <f t="shared" si="712"/>
        <v>0</v>
      </c>
      <c r="CF616" s="607">
        <f t="shared" si="713"/>
        <v>0</v>
      </c>
      <c r="CG616" s="608">
        <f t="shared" si="714"/>
        <v>0</v>
      </c>
      <c r="CH616" s="607">
        <f t="shared" si="715"/>
        <v>0</v>
      </c>
      <c r="CI616" s="608">
        <f t="shared" si="716"/>
        <v>0</v>
      </c>
      <c r="CJ616" s="607">
        <f t="shared" si="717"/>
        <v>0</v>
      </c>
      <c r="CK616" s="608">
        <f t="shared" si="718"/>
        <v>0</v>
      </c>
      <c r="CL616" s="609">
        <f t="shared" si="719"/>
        <v>0</v>
      </c>
      <c r="CM616" s="608">
        <f t="shared" si="720"/>
        <v>0</v>
      </c>
      <c r="CN616" s="610">
        <f t="shared" si="721"/>
        <v>0</v>
      </c>
      <c r="CO616" s="606">
        <f t="shared" si="722"/>
        <v>0</v>
      </c>
      <c r="CP616" s="607">
        <f t="shared" si="723"/>
        <v>0</v>
      </c>
      <c r="CQ616" s="606">
        <f t="shared" si="724"/>
        <v>0</v>
      </c>
      <c r="CR616" s="607">
        <f t="shared" si="725"/>
        <v>0</v>
      </c>
      <c r="CS616" s="606">
        <f t="shared" si="726"/>
        <v>0</v>
      </c>
      <c r="CT616" s="607">
        <f t="shared" si="727"/>
        <v>0</v>
      </c>
      <c r="CU616" s="608">
        <f t="shared" si="728"/>
        <v>0</v>
      </c>
      <c r="CV616" s="610">
        <f t="shared" si="729"/>
        <v>0</v>
      </c>
      <c r="CW616" s="608">
        <f t="shared" si="730"/>
        <v>0</v>
      </c>
      <c r="CX616" s="610">
        <f t="shared" si="731"/>
        <v>0</v>
      </c>
      <c r="CY616" s="611">
        <f t="shared" si="732"/>
        <v>0</v>
      </c>
      <c r="CZ616" s="605">
        <f t="shared" si="733"/>
        <v>0</v>
      </c>
      <c r="DA616" s="612">
        <f t="shared" si="734"/>
        <v>0</v>
      </c>
      <c r="DB616" s="607">
        <f t="shared" si="735"/>
        <v>0</v>
      </c>
      <c r="DC616" s="606">
        <f t="shared" si="736"/>
        <v>0</v>
      </c>
      <c r="DD616" s="607">
        <f t="shared" si="737"/>
        <v>0</v>
      </c>
      <c r="DE616" s="606">
        <f t="shared" si="738"/>
        <v>0</v>
      </c>
      <c r="DF616" s="607">
        <f t="shared" si="739"/>
        <v>0</v>
      </c>
      <c r="DG616" s="606">
        <f t="shared" si="740"/>
        <v>0</v>
      </c>
      <c r="DH616" s="607">
        <f t="shared" si="741"/>
        <v>0</v>
      </c>
      <c r="DI616" s="608">
        <f t="shared" si="742"/>
        <v>0</v>
      </c>
      <c r="DJ616" s="607">
        <f t="shared" si="743"/>
        <v>0</v>
      </c>
      <c r="DK616" s="608">
        <f t="shared" si="744"/>
        <v>0</v>
      </c>
      <c r="DL616" s="607">
        <f t="shared" si="745"/>
        <v>0</v>
      </c>
      <c r="DM616" s="608">
        <f t="shared" si="746"/>
        <v>0</v>
      </c>
      <c r="DN616" s="607">
        <f t="shared" si="747"/>
        <v>0</v>
      </c>
      <c r="DO616" s="612">
        <f t="shared" si="748"/>
        <v>0</v>
      </c>
      <c r="DP616" s="607">
        <f t="shared" si="749"/>
        <v>0</v>
      </c>
      <c r="DQ616" s="606">
        <f t="shared" si="750"/>
        <v>0</v>
      </c>
      <c r="DR616" s="607">
        <f t="shared" si="751"/>
        <v>0</v>
      </c>
      <c r="DS616" s="606">
        <f t="shared" si="752"/>
        <v>0</v>
      </c>
      <c r="DT616" s="607">
        <f t="shared" si="753"/>
        <v>0</v>
      </c>
      <c r="DU616" s="606">
        <f t="shared" si="754"/>
        <v>0</v>
      </c>
      <c r="DV616" s="607">
        <f t="shared" si="755"/>
        <v>0</v>
      </c>
      <c r="DW616" s="608">
        <f t="shared" si="756"/>
        <v>0</v>
      </c>
      <c r="DX616" s="607">
        <f t="shared" si="757"/>
        <v>0</v>
      </c>
      <c r="DY616" s="608">
        <f t="shared" si="758"/>
        <v>0</v>
      </c>
      <c r="DZ616" s="607">
        <f t="shared" si="759"/>
        <v>0</v>
      </c>
      <c r="EA616" s="608">
        <f t="shared" si="760"/>
        <v>0</v>
      </c>
    </row>
    <row r="617" spans="1:131" x14ac:dyDescent="0.2">
      <c r="A617" s="353" t="s">
        <v>43</v>
      </c>
      <c r="B617" s="354" t="s">
        <v>541</v>
      </c>
      <c r="C617" s="585"/>
      <c r="D617" s="362">
        <v>408394</v>
      </c>
      <c r="E617" s="366">
        <v>10</v>
      </c>
      <c r="F617" s="598"/>
      <c r="G617" s="599">
        <v>0</v>
      </c>
      <c r="H617" s="600"/>
      <c r="I617" s="601">
        <v>0</v>
      </c>
      <c r="J617" s="600"/>
      <c r="K617" s="599">
        <v>0</v>
      </c>
      <c r="L617" s="600"/>
      <c r="M617" s="601">
        <v>0</v>
      </c>
      <c r="N617" s="600"/>
      <c r="O617" s="599">
        <v>0</v>
      </c>
      <c r="P617" s="600"/>
      <c r="Q617" s="601">
        <v>0</v>
      </c>
      <c r="R617" s="600">
        <v>1</v>
      </c>
      <c r="S617" s="599">
        <v>0</v>
      </c>
      <c r="T617" s="600"/>
      <c r="U617" s="601">
        <v>1</v>
      </c>
      <c r="V617" s="600"/>
      <c r="W617" s="599">
        <v>0</v>
      </c>
      <c r="X617" s="600"/>
      <c r="Y617" s="601">
        <v>0</v>
      </c>
      <c r="Z617" s="600"/>
      <c r="AA617" s="599">
        <v>0</v>
      </c>
      <c r="AB617" s="600"/>
      <c r="AC617" s="601">
        <v>0</v>
      </c>
      <c r="AD617" s="600">
        <v>1</v>
      </c>
      <c r="AE617" s="599">
        <v>0</v>
      </c>
      <c r="AF617" s="600"/>
      <c r="AG617" s="601">
        <v>0</v>
      </c>
      <c r="AH617" s="600">
        <v>35</v>
      </c>
      <c r="AI617" s="599">
        <v>0</v>
      </c>
      <c r="AJ617" s="600"/>
      <c r="AK617" s="601">
        <v>29</v>
      </c>
      <c r="AL617" s="600"/>
      <c r="AM617" s="599">
        <v>0</v>
      </c>
      <c r="AN617" s="600"/>
      <c r="AO617" s="601">
        <v>0</v>
      </c>
      <c r="AP617" s="600"/>
      <c r="AQ617" s="599">
        <v>0</v>
      </c>
      <c r="AR617" s="600"/>
      <c r="AS617" s="601">
        <v>0</v>
      </c>
      <c r="AT617" s="600"/>
      <c r="AU617" s="599">
        <v>0</v>
      </c>
      <c r="AV617" s="600"/>
      <c r="AW617" s="601">
        <v>0</v>
      </c>
      <c r="AX617" s="600"/>
      <c r="AY617" s="599">
        <v>0</v>
      </c>
      <c r="AZ617" s="600"/>
      <c r="BA617" s="601">
        <v>0</v>
      </c>
      <c r="BB617" s="602">
        <v>0</v>
      </c>
      <c r="BC617" s="599">
        <v>0</v>
      </c>
      <c r="BD617" s="600">
        <v>55464</v>
      </c>
      <c r="BE617" s="599">
        <v>57132</v>
      </c>
      <c r="BF617" s="600">
        <v>0</v>
      </c>
      <c r="BG617" s="599">
        <v>0</v>
      </c>
      <c r="BH617" s="600">
        <v>1584408</v>
      </c>
      <c r="BI617" s="599">
        <v>1317036</v>
      </c>
      <c r="BJ617" s="600">
        <v>0</v>
      </c>
      <c r="BK617" s="615">
        <v>0</v>
      </c>
      <c r="BL617" s="600">
        <v>0</v>
      </c>
      <c r="BM617" s="604">
        <v>0</v>
      </c>
      <c r="BN617" s="605">
        <f t="shared" si="695"/>
        <v>0</v>
      </c>
      <c r="BO617" s="606">
        <f t="shared" si="696"/>
        <v>0</v>
      </c>
      <c r="BP617" s="607">
        <f t="shared" si="697"/>
        <v>11</v>
      </c>
      <c r="BQ617" s="606">
        <f t="shared" si="698"/>
        <v>12</v>
      </c>
      <c r="BR617" s="607">
        <f t="shared" si="699"/>
        <v>0</v>
      </c>
      <c r="BS617" s="606">
        <f t="shared" si="700"/>
        <v>0</v>
      </c>
      <c r="BT617" s="607">
        <f t="shared" si="701"/>
        <v>394</v>
      </c>
      <c r="BU617" s="606">
        <f t="shared" si="702"/>
        <v>348</v>
      </c>
      <c r="BV617" s="607">
        <f t="shared" si="703"/>
        <v>0</v>
      </c>
      <c r="BW617" s="608">
        <f t="shared" si="704"/>
        <v>0</v>
      </c>
      <c r="BX617" s="607">
        <f t="shared" si="705"/>
        <v>0</v>
      </c>
      <c r="BY617" s="608">
        <f t="shared" si="706"/>
        <v>0</v>
      </c>
      <c r="BZ617" s="607">
        <f t="shared" si="707"/>
        <v>0</v>
      </c>
      <c r="CA617" s="608">
        <f t="shared" si="708"/>
        <v>0</v>
      </c>
      <c r="CB617" s="607">
        <f t="shared" si="709"/>
        <v>5042.181818181818</v>
      </c>
      <c r="CC617" s="608">
        <f t="shared" si="710"/>
        <v>4761</v>
      </c>
      <c r="CD617" s="607">
        <f t="shared" si="711"/>
        <v>0</v>
      </c>
      <c r="CE617" s="608">
        <f t="shared" si="712"/>
        <v>0</v>
      </c>
      <c r="CF617" s="607">
        <f t="shared" si="713"/>
        <v>4021.3401015228428</v>
      </c>
      <c r="CG617" s="608">
        <f t="shared" si="714"/>
        <v>3784.5862068965516</v>
      </c>
      <c r="CH617" s="607">
        <f t="shared" si="715"/>
        <v>0</v>
      </c>
      <c r="CI617" s="608">
        <f t="shared" si="716"/>
        <v>0</v>
      </c>
      <c r="CJ617" s="607">
        <f t="shared" si="717"/>
        <v>0</v>
      </c>
      <c r="CK617" s="608">
        <f t="shared" si="718"/>
        <v>0</v>
      </c>
      <c r="CL617" s="609">
        <f t="shared" si="719"/>
        <v>0</v>
      </c>
      <c r="CM617" s="608">
        <f t="shared" si="720"/>
        <v>0</v>
      </c>
      <c r="CN617" s="610">
        <f t="shared" si="721"/>
        <v>45379.63636363636</v>
      </c>
      <c r="CO617" s="606">
        <f t="shared" si="722"/>
        <v>42849</v>
      </c>
      <c r="CP617" s="607">
        <f t="shared" si="723"/>
        <v>0</v>
      </c>
      <c r="CQ617" s="606">
        <f t="shared" si="724"/>
        <v>0</v>
      </c>
      <c r="CR617" s="607">
        <f t="shared" si="725"/>
        <v>36192.060913705587</v>
      </c>
      <c r="CS617" s="606">
        <f t="shared" si="726"/>
        <v>34061.275862068964</v>
      </c>
      <c r="CT617" s="607">
        <f t="shared" si="727"/>
        <v>0</v>
      </c>
      <c r="CU617" s="608">
        <f t="shared" si="728"/>
        <v>0</v>
      </c>
      <c r="CV617" s="610">
        <f t="shared" si="729"/>
        <v>0</v>
      </c>
      <c r="CW617" s="608">
        <f t="shared" si="730"/>
        <v>0</v>
      </c>
      <c r="CX617" s="610">
        <f t="shared" si="731"/>
        <v>36440.373763703719</v>
      </c>
      <c r="CY617" s="611">
        <f t="shared" si="732"/>
        <v>34354.199999999997</v>
      </c>
      <c r="CZ617" s="605">
        <f t="shared" si="733"/>
        <v>0</v>
      </c>
      <c r="DA617" s="612">
        <f t="shared" si="734"/>
        <v>0</v>
      </c>
      <c r="DB617" s="607">
        <f t="shared" si="735"/>
        <v>1</v>
      </c>
      <c r="DC617" s="606">
        <f t="shared" si="736"/>
        <v>1</v>
      </c>
      <c r="DD617" s="607">
        <f t="shared" si="737"/>
        <v>0</v>
      </c>
      <c r="DE617" s="606">
        <f t="shared" si="738"/>
        <v>0</v>
      </c>
      <c r="DF617" s="607">
        <f t="shared" si="739"/>
        <v>36</v>
      </c>
      <c r="DG617" s="606">
        <f t="shared" si="740"/>
        <v>29</v>
      </c>
      <c r="DH617" s="607">
        <f t="shared" si="741"/>
        <v>0</v>
      </c>
      <c r="DI617" s="608">
        <f t="shared" si="742"/>
        <v>0</v>
      </c>
      <c r="DJ617" s="607">
        <f t="shared" si="743"/>
        <v>0</v>
      </c>
      <c r="DK617" s="608">
        <f t="shared" si="744"/>
        <v>0</v>
      </c>
      <c r="DL617" s="607">
        <f t="shared" si="745"/>
        <v>37</v>
      </c>
      <c r="DM617" s="608">
        <f t="shared" si="746"/>
        <v>30</v>
      </c>
      <c r="DN617" s="607">
        <f t="shared" si="747"/>
        <v>0</v>
      </c>
      <c r="DO617" s="612">
        <f t="shared" si="748"/>
        <v>0</v>
      </c>
      <c r="DP617" s="607">
        <f t="shared" si="749"/>
        <v>45379.63636363636</v>
      </c>
      <c r="DQ617" s="606">
        <f t="shared" si="750"/>
        <v>42849</v>
      </c>
      <c r="DR617" s="607">
        <f t="shared" si="751"/>
        <v>0</v>
      </c>
      <c r="DS617" s="606">
        <f t="shared" si="752"/>
        <v>0</v>
      </c>
      <c r="DT617" s="607">
        <f t="shared" si="753"/>
        <v>1302914.1928934013</v>
      </c>
      <c r="DU617" s="606">
        <f t="shared" si="754"/>
        <v>987777</v>
      </c>
      <c r="DV617" s="607">
        <f t="shared" si="755"/>
        <v>0</v>
      </c>
      <c r="DW617" s="608">
        <f t="shared" si="756"/>
        <v>0</v>
      </c>
      <c r="DX617" s="607">
        <f t="shared" si="757"/>
        <v>0</v>
      </c>
      <c r="DY617" s="608">
        <f t="shared" si="758"/>
        <v>0</v>
      </c>
      <c r="DZ617" s="607">
        <f t="shared" si="759"/>
        <v>1348293.8292570377</v>
      </c>
      <c r="EA617" s="608">
        <f t="shared" si="760"/>
        <v>1030625.9999999999</v>
      </c>
    </row>
    <row r="618" spans="1:131" x14ac:dyDescent="0.2">
      <c r="A618" s="359" t="s">
        <v>43</v>
      </c>
      <c r="B618" s="360" t="s">
        <v>542</v>
      </c>
      <c r="C618" s="586"/>
      <c r="D618" s="367">
        <v>229328</v>
      </c>
      <c r="E618" s="368">
        <v>10</v>
      </c>
      <c r="F618" s="598"/>
      <c r="G618" s="599">
        <v>0</v>
      </c>
      <c r="H618" s="600"/>
      <c r="I618" s="601">
        <v>0</v>
      </c>
      <c r="J618" s="600"/>
      <c r="K618" s="599">
        <v>0</v>
      </c>
      <c r="L618" s="600"/>
      <c r="M618" s="601">
        <v>0</v>
      </c>
      <c r="N618" s="600"/>
      <c r="O618" s="599">
        <v>0</v>
      </c>
      <c r="P618" s="600"/>
      <c r="Q618" s="601">
        <v>0</v>
      </c>
      <c r="R618" s="600">
        <v>4</v>
      </c>
      <c r="S618" s="599">
        <v>0</v>
      </c>
      <c r="T618" s="600"/>
      <c r="U618" s="601">
        <v>3</v>
      </c>
      <c r="V618" s="600"/>
      <c r="W618" s="599">
        <v>0</v>
      </c>
      <c r="X618" s="600"/>
      <c r="Y618" s="601">
        <v>0</v>
      </c>
      <c r="Z618" s="600"/>
      <c r="AA618" s="599">
        <v>0</v>
      </c>
      <c r="AB618" s="600"/>
      <c r="AC618" s="601">
        <v>0</v>
      </c>
      <c r="AD618" s="600"/>
      <c r="AE618" s="599">
        <v>0</v>
      </c>
      <c r="AF618" s="600"/>
      <c r="AG618" s="601">
        <v>0</v>
      </c>
      <c r="AH618" s="600">
        <v>80</v>
      </c>
      <c r="AI618" s="599">
        <v>0</v>
      </c>
      <c r="AJ618" s="600"/>
      <c r="AK618" s="601">
        <v>66</v>
      </c>
      <c r="AL618" s="600"/>
      <c r="AM618" s="599">
        <v>0</v>
      </c>
      <c r="AN618" s="600"/>
      <c r="AO618" s="601">
        <v>0</v>
      </c>
      <c r="AP618" s="600"/>
      <c r="AQ618" s="599">
        <v>0</v>
      </c>
      <c r="AR618" s="600"/>
      <c r="AS618" s="601">
        <v>0</v>
      </c>
      <c r="AT618" s="600"/>
      <c r="AU618" s="599">
        <v>0</v>
      </c>
      <c r="AV618" s="600"/>
      <c r="AW618" s="601">
        <v>0</v>
      </c>
      <c r="AX618" s="600"/>
      <c r="AY618" s="599">
        <v>0</v>
      </c>
      <c r="AZ618" s="600"/>
      <c r="BA618" s="601">
        <v>0</v>
      </c>
      <c r="BB618" s="602">
        <v>0</v>
      </c>
      <c r="BC618" s="599">
        <v>0</v>
      </c>
      <c r="BD618" s="600">
        <v>186108</v>
      </c>
      <c r="BE618" s="599">
        <v>141120</v>
      </c>
      <c r="BF618" s="600">
        <v>0</v>
      </c>
      <c r="BG618" s="599">
        <v>0</v>
      </c>
      <c r="BH618" s="600">
        <v>3514872</v>
      </c>
      <c r="BI618" s="599">
        <v>2998680</v>
      </c>
      <c r="BJ618" s="600">
        <v>0</v>
      </c>
      <c r="BK618" s="615">
        <v>0</v>
      </c>
      <c r="BL618" s="600">
        <v>0</v>
      </c>
      <c r="BM618" s="604">
        <v>0</v>
      </c>
      <c r="BN618" s="605">
        <f t="shared" si="695"/>
        <v>0</v>
      </c>
      <c r="BO618" s="606">
        <f t="shared" si="696"/>
        <v>0</v>
      </c>
      <c r="BP618" s="607">
        <f t="shared" si="697"/>
        <v>44</v>
      </c>
      <c r="BQ618" s="606">
        <f t="shared" si="698"/>
        <v>36</v>
      </c>
      <c r="BR618" s="607">
        <f t="shared" si="699"/>
        <v>0</v>
      </c>
      <c r="BS618" s="606">
        <f t="shared" si="700"/>
        <v>0</v>
      </c>
      <c r="BT618" s="607">
        <f t="shared" si="701"/>
        <v>880</v>
      </c>
      <c r="BU618" s="606">
        <f t="shared" si="702"/>
        <v>792</v>
      </c>
      <c r="BV618" s="607">
        <f t="shared" si="703"/>
        <v>0</v>
      </c>
      <c r="BW618" s="608">
        <f t="shared" si="704"/>
        <v>0</v>
      </c>
      <c r="BX618" s="607">
        <f t="shared" si="705"/>
        <v>0</v>
      </c>
      <c r="BY618" s="608">
        <f t="shared" si="706"/>
        <v>0</v>
      </c>
      <c r="BZ618" s="607">
        <f t="shared" si="707"/>
        <v>0</v>
      </c>
      <c r="CA618" s="608">
        <f t="shared" si="708"/>
        <v>0</v>
      </c>
      <c r="CB618" s="607">
        <f t="shared" si="709"/>
        <v>4229.727272727273</v>
      </c>
      <c r="CC618" s="608">
        <f t="shared" si="710"/>
        <v>3920</v>
      </c>
      <c r="CD618" s="607">
        <f t="shared" si="711"/>
        <v>0</v>
      </c>
      <c r="CE618" s="608">
        <f t="shared" si="712"/>
        <v>0</v>
      </c>
      <c r="CF618" s="607">
        <f t="shared" si="713"/>
        <v>3994.1727272727271</v>
      </c>
      <c r="CG618" s="608">
        <f t="shared" si="714"/>
        <v>3786.212121212121</v>
      </c>
      <c r="CH618" s="607">
        <f t="shared" si="715"/>
        <v>0</v>
      </c>
      <c r="CI618" s="608">
        <f t="shared" si="716"/>
        <v>0</v>
      </c>
      <c r="CJ618" s="607">
        <f t="shared" si="717"/>
        <v>0</v>
      </c>
      <c r="CK618" s="608">
        <f t="shared" si="718"/>
        <v>0</v>
      </c>
      <c r="CL618" s="609">
        <f t="shared" si="719"/>
        <v>0</v>
      </c>
      <c r="CM618" s="608">
        <f t="shared" si="720"/>
        <v>0</v>
      </c>
      <c r="CN618" s="610">
        <f t="shared" si="721"/>
        <v>38067.545454545456</v>
      </c>
      <c r="CO618" s="606">
        <f t="shared" si="722"/>
        <v>35280</v>
      </c>
      <c r="CP618" s="607">
        <f t="shared" si="723"/>
        <v>0</v>
      </c>
      <c r="CQ618" s="606">
        <f t="shared" si="724"/>
        <v>0</v>
      </c>
      <c r="CR618" s="607">
        <f t="shared" si="725"/>
        <v>35947.554545454543</v>
      </c>
      <c r="CS618" s="606">
        <f t="shared" si="726"/>
        <v>34075.909090909088</v>
      </c>
      <c r="CT618" s="607">
        <f t="shared" si="727"/>
        <v>0</v>
      </c>
      <c r="CU618" s="608">
        <f t="shared" si="728"/>
        <v>0</v>
      </c>
      <c r="CV618" s="610">
        <f t="shared" si="729"/>
        <v>0</v>
      </c>
      <c r="CW618" s="608">
        <f t="shared" si="730"/>
        <v>0</v>
      </c>
      <c r="CX618" s="610">
        <f t="shared" si="731"/>
        <v>36048.506493506487</v>
      </c>
      <c r="CY618" s="611">
        <f t="shared" si="732"/>
        <v>34128.260869565216</v>
      </c>
      <c r="CZ618" s="605">
        <f t="shared" si="733"/>
        <v>0</v>
      </c>
      <c r="DA618" s="612">
        <f t="shared" si="734"/>
        <v>0</v>
      </c>
      <c r="DB618" s="607">
        <f t="shared" si="735"/>
        <v>4</v>
      </c>
      <c r="DC618" s="606">
        <f t="shared" si="736"/>
        <v>3</v>
      </c>
      <c r="DD618" s="607">
        <f t="shared" si="737"/>
        <v>0</v>
      </c>
      <c r="DE618" s="606">
        <f t="shared" si="738"/>
        <v>0</v>
      </c>
      <c r="DF618" s="607">
        <f t="shared" si="739"/>
        <v>80</v>
      </c>
      <c r="DG618" s="606">
        <f t="shared" si="740"/>
        <v>66</v>
      </c>
      <c r="DH618" s="607">
        <f t="shared" si="741"/>
        <v>0</v>
      </c>
      <c r="DI618" s="608">
        <f t="shared" si="742"/>
        <v>0</v>
      </c>
      <c r="DJ618" s="607">
        <f t="shared" si="743"/>
        <v>0</v>
      </c>
      <c r="DK618" s="608">
        <f t="shared" si="744"/>
        <v>0</v>
      </c>
      <c r="DL618" s="607">
        <f t="shared" si="745"/>
        <v>84</v>
      </c>
      <c r="DM618" s="608">
        <f t="shared" si="746"/>
        <v>69</v>
      </c>
      <c r="DN618" s="607">
        <f t="shared" si="747"/>
        <v>0</v>
      </c>
      <c r="DO618" s="612">
        <f t="shared" si="748"/>
        <v>0</v>
      </c>
      <c r="DP618" s="607">
        <f t="shared" si="749"/>
        <v>152270.18181818182</v>
      </c>
      <c r="DQ618" s="606">
        <f t="shared" si="750"/>
        <v>105840</v>
      </c>
      <c r="DR618" s="607">
        <f t="shared" si="751"/>
        <v>0</v>
      </c>
      <c r="DS618" s="606">
        <f t="shared" si="752"/>
        <v>0</v>
      </c>
      <c r="DT618" s="607">
        <f t="shared" si="753"/>
        <v>2875804.3636363633</v>
      </c>
      <c r="DU618" s="606">
        <f t="shared" si="754"/>
        <v>2249010</v>
      </c>
      <c r="DV618" s="607">
        <f t="shared" si="755"/>
        <v>0</v>
      </c>
      <c r="DW618" s="608">
        <f t="shared" si="756"/>
        <v>0</v>
      </c>
      <c r="DX618" s="607">
        <f t="shared" si="757"/>
        <v>0</v>
      </c>
      <c r="DY618" s="608">
        <f t="shared" si="758"/>
        <v>0</v>
      </c>
      <c r="DZ618" s="607">
        <f t="shared" si="759"/>
        <v>3028074.5454545449</v>
      </c>
      <c r="EA618" s="608">
        <f t="shared" si="760"/>
        <v>2354850</v>
      </c>
    </row>
    <row r="619" spans="1:131" x14ac:dyDescent="0.2">
      <c r="A619" s="353" t="s">
        <v>43</v>
      </c>
      <c r="B619" s="354" t="s">
        <v>543</v>
      </c>
      <c r="C619" s="585"/>
      <c r="D619" s="362">
        <v>229832</v>
      </c>
      <c r="E619" s="366">
        <v>10</v>
      </c>
      <c r="F619" s="598">
        <v>1</v>
      </c>
      <c r="G619" s="599">
        <v>0</v>
      </c>
      <c r="H619" s="600"/>
      <c r="I619" s="601">
        <v>0</v>
      </c>
      <c r="J619" s="600"/>
      <c r="K619" s="599">
        <v>0</v>
      </c>
      <c r="L619" s="600"/>
      <c r="M619" s="601">
        <v>0</v>
      </c>
      <c r="N619" s="600">
        <v>1</v>
      </c>
      <c r="O619" s="599">
        <v>3</v>
      </c>
      <c r="P619" s="600"/>
      <c r="Q619" s="601">
        <v>0</v>
      </c>
      <c r="R619" s="600">
        <v>1</v>
      </c>
      <c r="S619" s="599">
        <v>0</v>
      </c>
      <c r="T619" s="600"/>
      <c r="U619" s="601">
        <v>2</v>
      </c>
      <c r="V619" s="600">
        <v>8</v>
      </c>
      <c r="W619" s="599">
        <v>7</v>
      </c>
      <c r="X619" s="600"/>
      <c r="Y619" s="601">
        <v>0</v>
      </c>
      <c r="Z619" s="600">
        <v>2</v>
      </c>
      <c r="AA619" s="599">
        <v>0</v>
      </c>
      <c r="AB619" s="600"/>
      <c r="AC619" s="601">
        <v>1</v>
      </c>
      <c r="AD619" s="600">
        <v>22</v>
      </c>
      <c r="AE619" s="599">
        <v>23</v>
      </c>
      <c r="AF619" s="600"/>
      <c r="AG619" s="601">
        <v>2</v>
      </c>
      <c r="AH619" s="600">
        <v>10</v>
      </c>
      <c r="AI619" s="599">
        <v>0</v>
      </c>
      <c r="AJ619" s="600"/>
      <c r="AK619" s="601">
        <v>10</v>
      </c>
      <c r="AL619" s="600"/>
      <c r="AM619" s="599">
        <v>0</v>
      </c>
      <c r="AN619" s="600"/>
      <c r="AO619" s="601">
        <v>0</v>
      </c>
      <c r="AP619" s="600"/>
      <c r="AQ619" s="599">
        <v>0</v>
      </c>
      <c r="AR619" s="600"/>
      <c r="AS619" s="601">
        <v>0</v>
      </c>
      <c r="AT619" s="600"/>
      <c r="AU619" s="599">
        <v>0</v>
      </c>
      <c r="AV619" s="600"/>
      <c r="AW619" s="601">
        <v>0</v>
      </c>
      <c r="AX619" s="600"/>
      <c r="AY619" s="599">
        <v>0</v>
      </c>
      <c r="AZ619" s="600"/>
      <c r="BA619" s="601">
        <v>0</v>
      </c>
      <c r="BB619" s="602">
        <v>66729</v>
      </c>
      <c r="BC619" s="599">
        <v>0</v>
      </c>
      <c r="BD619" s="600">
        <v>129603</v>
      </c>
      <c r="BE619" s="599">
        <v>302469</v>
      </c>
      <c r="BF619" s="600">
        <v>552175</v>
      </c>
      <c r="BG619" s="599">
        <v>429102</v>
      </c>
      <c r="BH619" s="600">
        <v>1634541</v>
      </c>
      <c r="BI619" s="599">
        <v>1696434</v>
      </c>
      <c r="BJ619" s="600">
        <v>0</v>
      </c>
      <c r="BK619" s="615">
        <v>0</v>
      </c>
      <c r="BL619" s="600">
        <v>0</v>
      </c>
      <c r="BM619" s="604">
        <v>0</v>
      </c>
      <c r="BN619" s="605">
        <f t="shared" si="695"/>
        <v>9</v>
      </c>
      <c r="BO619" s="606">
        <f t="shared" si="696"/>
        <v>0</v>
      </c>
      <c r="BP619" s="607">
        <f t="shared" si="697"/>
        <v>20</v>
      </c>
      <c r="BQ619" s="606">
        <f t="shared" si="698"/>
        <v>51</v>
      </c>
      <c r="BR619" s="607">
        <f t="shared" si="699"/>
        <v>94</v>
      </c>
      <c r="BS619" s="606">
        <f t="shared" si="700"/>
        <v>75</v>
      </c>
      <c r="BT619" s="607">
        <f t="shared" si="701"/>
        <v>308</v>
      </c>
      <c r="BU619" s="606">
        <f t="shared" si="702"/>
        <v>347</v>
      </c>
      <c r="BV619" s="607">
        <f t="shared" si="703"/>
        <v>0</v>
      </c>
      <c r="BW619" s="608">
        <f t="shared" si="704"/>
        <v>0</v>
      </c>
      <c r="BX619" s="607">
        <f t="shared" si="705"/>
        <v>0</v>
      </c>
      <c r="BY619" s="608">
        <f t="shared" si="706"/>
        <v>0</v>
      </c>
      <c r="BZ619" s="607">
        <f t="shared" si="707"/>
        <v>7414.333333333333</v>
      </c>
      <c r="CA619" s="608">
        <f t="shared" si="708"/>
        <v>0</v>
      </c>
      <c r="CB619" s="607">
        <f t="shared" si="709"/>
        <v>6480.15</v>
      </c>
      <c r="CC619" s="608">
        <f t="shared" si="710"/>
        <v>5930.7647058823532</v>
      </c>
      <c r="CD619" s="607">
        <f t="shared" si="711"/>
        <v>5874.2021276595742</v>
      </c>
      <c r="CE619" s="608">
        <f t="shared" si="712"/>
        <v>5721.36</v>
      </c>
      <c r="CF619" s="607">
        <f t="shared" si="713"/>
        <v>5306.9512987012986</v>
      </c>
      <c r="CG619" s="608">
        <f t="shared" si="714"/>
        <v>4888.8587896253603</v>
      </c>
      <c r="CH619" s="607">
        <f t="shared" si="715"/>
        <v>0</v>
      </c>
      <c r="CI619" s="608">
        <f t="shared" si="716"/>
        <v>0</v>
      </c>
      <c r="CJ619" s="607">
        <f t="shared" si="717"/>
        <v>0</v>
      </c>
      <c r="CK619" s="608">
        <f t="shared" si="718"/>
        <v>0</v>
      </c>
      <c r="CL619" s="609">
        <f t="shared" si="719"/>
        <v>66729</v>
      </c>
      <c r="CM619" s="608">
        <f t="shared" si="720"/>
        <v>0</v>
      </c>
      <c r="CN619" s="610">
        <f t="shared" si="721"/>
        <v>58321.35</v>
      </c>
      <c r="CO619" s="606">
        <f t="shared" si="722"/>
        <v>53376.882352941175</v>
      </c>
      <c r="CP619" s="607">
        <f t="shared" si="723"/>
        <v>52867.819148936171</v>
      </c>
      <c r="CQ619" s="606">
        <f t="shared" si="724"/>
        <v>51492.24</v>
      </c>
      <c r="CR619" s="607">
        <f t="shared" si="725"/>
        <v>47762.561688311689</v>
      </c>
      <c r="CS619" s="606">
        <f t="shared" si="726"/>
        <v>43999.729106628241</v>
      </c>
      <c r="CT619" s="607">
        <f t="shared" si="727"/>
        <v>0</v>
      </c>
      <c r="CU619" s="608">
        <f t="shared" si="728"/>
        <v>0</v>
      </c>
      <c r="CV619" s="610">
        <f t="shared" si="729"/>
        <v>0</v>
      </c>
      <c r="CW619" s="608">
        <f t="shared" si="730"/>
        <v>0</v>
      </c>
      <c r="CX619" s="610">
        <f t="shared" si="731"/>
        <v>49787.819233674119</v>
      </c>
      <c r="CY619" s="611">
        <f t="shared" si="732"/>
        <v>46225.267718681134</v>
      </c>
      <c r="CZ619" s="605">
        <f t="shared" si="733"/>
        <v>1</v>
      </c>
      <c r="DA619" s="612">
        <f t="shared" si="734"/>
        <v>0</v>
      </c>
      <c r="DB619" s="607">
        <f t="shared" si="735"/>
        <v>2</v>
      </c>
      <c r="DC619" s="606">
        <f t="shared" si="736"/>
        <v>5</v>
      </c>
      <c r="DD619" s="607">
        <f t="shared" si="737"/>
        <v>10</v>
      </c>
      <c r="DE619" s="606">
        <f t="shared" si="738"/>
        <v>8</v>
      </c>
      <c r="DF619" s="607">
        <f t="shared" si="739"/>
        <v>32</v>
      </c>
      <c r="DG619" s="606">
        <f t="shared" si="740"/>
        <v>35</v>
      </c>
      <c r="DH619" s="607">
        <f t="shared" si="741"/>
        <v>0</v>
      </c>
      <c r="DI619" s="608">
        <f t="shared" si="742"/>
        <v>0</v>
      </c>
      <c r="DJ619" s="607">
        <f t="shared" si="743"/>
        <v>0</v>
      </c>
      <c r="DK619" s="608">
        <f t="shared" si="744"/>
        <v>0</v>
      </c>
      <c r="DL619" s="607">
        <f t="shared" si="745"/>
        <v>45</v>
      </c>
      <c r="DM619" s="608">
        <f t="shared" si="746"/>
        <v>48</v>
      </c>
      <c r="DN619" s="607">
        <f t="shared" si="747"/>
        <v>66729</v>
      </c>
      <c r="DO619" s="612">
        <f t="shared" si="748"/>
        <v>0</v>
      </c>
      <c r="DP619" s="607">
        <f t="shared" si="749"/>
        <v>116642.7</v>
      </c>
      <c r="DQ619" s="606">
        <f t="shared" si="750"/>
        <v>266884.4117647059</v>
      </c>
      <c r="DR619" s="607">
        <f t="shared" si="751"/>
        <v>528678.19148936169</v>
      </c>
      <c r="DS619" s="606">
        <f t="shared" si="752"/>
        <v>411937.92</v>
      </c>
      <c r="DT619" s="607">
        <f t="shared" si="753"/>
        <v>1528401.9740259741</v>
      </c>
      <c r="DU619" s="606">
        <f t="shared" si="754"/>
        <v>1539990.5187319885</v>
      </c>
      <c r="DV619" s="607">
        <f t="shared" si="755"/>
        <v>0</v>
      </c>
      <c r="DW619" s="608">
        <f t="shared" si="756"/>
        <v>0</v>
      </c>
      <c r="DX619" s="607">
        <f t="shared" si="757"/>
        <v>0</v>
      </c>
      <c r="DY619" s="608">
        <f t="shared" si="758"/>
        <v>0</v>
      </c>
      <c r="DZ619" s="607">
        <f t="shared" si="759"/>
        <v>2240451.8655153355</v>
      </c>
      <c r="EA619" s="608">
        <f t="shared" si="760"/>
        <v>2218812.8504966944</v>
      </c>
    </row>
    <row r="620" spans="1:131" x14ac:dyDescent="0.2">
      <c r="A620" s="361" t="s">
        <v>43</v>
      </c>
      <c r="B620" s="356" t="s">
        <v>546</v>
      </c>
      <c r="C620" s="566" t="s">
        <v>547</v>
      </c>
      <c r="D620" s="370" t="s">
        <v>537</v>
      </c>
      <c r="E620" s="363">
        <v>99</v>
      </c>
      <c r="F620" s="598"/>
      <c r="G620" s="599">
        <v>0</v>
      </c>
      <c r="H620" s="600"/>
      <c r="I620" s="601">
        <v>0</v>
      </c>
      <c r="J620" s="600"/>
      <c r="K620" s="599">
        <v>0</v>
      </c>
      <c r="L620" s="600"/>
      <c r="M620" s="601">
        <v>0</v>
      </c>
      <c r="N620" s="600"/>
      <c r="O620" s="599">
        <v>0</v>
      </c>
      <c r="P620" s="600"/>
      <c r="Q620" s="601">
        <v>0</v>
      </c>
      <c r="R620" s="600"/>
      <c r="S620" s="599">
        <v>0</v>
      </c>
      <c r="T620" s="600"/>
      <c r="U620" s="601">
        <v>0</v>
      </c>
      <c r="V620" s="600"/>
      <c r="W620" s="599">
        <v>0</v>
      </c>
      <c r="X620" s="600"/>
      <c r="Y620" s="601">
        <v>0</v>
      </c>
      <c r="Z620" s="600"/>
      <c r="AA620" s="599">
        <v>0</v>
      </c>
      <c r="AB620" s="600"/>
      <c r="AC620" s="601">
        <v>0</v>
      </c>
      <c r="AD620" s="600"/>
      <c r="AE620" s="599">
        <v>0</v>
      </c>
      <c r="AF620" s="600"/>
      <c r="AG620" s="601">
        <v>0</v>
      </c>
      <c r="AH620" s="600"/>
      <c r="AI620" s="599">
        <v>0</v>
      </c>
      <c r="AJ620" s="600"/>
      <c r="AK620" s="601">
        <v>0</v>
      </c>
      <c r="AL620" s="600"/>
      <c r="AM620" s="599">
        <v>0</v>
      </c>
      <c r="AN620" s="600"/>
      <c r="AO620" s="601">
        <v>0</v>
      </c>
      <c r="AP620" s="600"/>
      <c r="AQ620" s="599">
        <v>0</v>
      </c>
      <c r="AR620" s="600"/>
      <c r="AS620" s="601">
        <v>0</v>
      </c>
      <c r="AT620" s="600"/>
      <c r="AU620" s="599"/>
      <c r="AV620" s="600"/>
      <c r="AW620" s="601"/>
      <c r="AX620" s="600"/>
      <c r="AY620" s="599"/>
      <c r="AZ620" s="600"/>
      <c r="BA620" s="601"/>
      <c r="BB620" s="602">
        <v>0</v>
      </c>
      <c r="BC620" s="599">
        <v>0</v>
      </c>
      <c r="BD620" s="600">
        <v>0</v>
      </c>
      <c r="BE620" s="599">
        <v>0</v>
      </c>
      <c r="BF620" s="600">
        <v>0</v>
      </c>
      <c r="BG620" s="599">
        <v>0</v>
      </c>
      <c r="BH620" s="600">
        <v>0</v>
      </c>
      <c r="BI620" s="599">
        <v>0</v>
      </c>
      <c r="BJ620" s="600">
        <v>0</v>
      </c>
      <c r="BK620" s="615">
        <v>0</v>
      </c>
      <c r="BL620" s="600">
        <v>0</v>
      </c>
      <c r="BM620" s="604"/>
      <c r="BN620" s="605">
        <f t="shared" si="695"/>
        <v>0</v>
      </c>
      <c r="BO620" s="606">
        <f t="shared" si="696"/>
        <v>0</v>
      </c>
      <c r="BP620" s="607">
        <f t="shared" si="697"/>
        <v>0</v>
      </c>
      <c r="BQ620" s="606">
        <f t="shared" si="698"/>
        <v>0</v>
      </c>
      <c r="BR620" s="607">
        <f t="shared" si="699"/>
        <v>0</v>
      </c>
      <c r="BS620" s="606">
        <f t="shared" si="700"/>
        <v>0</v>
      </c>
      <c r="BT620" s="607">
        <f t="shared" si="701"/>
        <v>0</v>
      </c>
      <c r="BU620" s="606">
        <f t="shared" si="702"/>
        <v>0</v>
      </c>
      <c r="BV620" s="607">
        <f t="shared" si="703"/>
        <v>0</v>
      </c>
      <c r="BW620" s="608">
        <f t="shared" si="704"/>
        <v>0</v>
      </c>
      <c r="BX620" s="607">
        <f t="shared" si="705"/>
        <v>0</v>
      </c>
      <c r="BY620" s="608">
        <f t="shared" si="706"/>
        <v>0</v>
      </c>
      <c r="BZ620" s="607">
        <f t="shared" si="707"/>
        <v>0</v>
      </c>
      <c r="CA620" s="608">
        <f t="shared" si="708"/>
        <v>0</v>
      </c>
      <c r="CB620" s="607">
        <f t="shared" si="709"/>
        <v>0</v>
      </c>
      <c r="CC620" s="608">
        <f t="shared" si="710"/>
        <v>0</v>
      </c>
      <c r="CD620" s="607">
        <f t="shared" si="711"/>
        <v>0</v>
      </c>
      <c r="CE620" s="608">
        <f t="shared" si="712"/>
        <v>0</v>
      </c>
      <c r="CF620" s="607">
        <f t="shared" si="713"/>
        <v>0</v>
      </c>
      <c r="CG620" s="608">
        <f t="shared" si="714"/>
        <v>0</v>
      </c>
      <c r="CH620" s="607">
        <f t="shared" si="715"/>
        <v>0</v>
      </c>
      <c r="CI620" s="608">
        <f t="shared" si="716"/>
        <v>0</v>
      </c>
      <c r="CJ620" s="607">
        <f t="shared" si="717"/>
        <v>0</v>
      </c>
      <c r="CK620" s="608">
        <f t="shared" si="718"/>
        <v>0</v>
      </c>
      <c r="CL620" s="609">
        <f t="shared" si="719"/>
        <v>0</v>
      </c>
      <c r="CM620" s="608">
        <f t="shared" si="720"/>
        <v>0</v>
      </c>
      <c r="CN620" s="610">
        <f t="shared" si="721"/>
        <v>0</v>
      </c>
      <c r="CO620" s="606">
        <f t="shared" si="722"/>
        <v>0</v>
      </c>
      <c r="CP620" s="607">
        <f t="shared" si="723"/>
        <v>0</v>
      </c>
      <c r="CQ620" s="606">
        <f t="shared" si="724"/>
        <v>0</v>
      </c>
      <c r="CR620" s="607">
        <f t="shared" si="725"/>
        <v>0</v>
      </c>
      <c r="CS620" s="606">
        <f t="shared" si="726"/>
        <v>0</v>
      </c>
      <c r="CT620" s="607">
        <f t="shared" si="727"/>
        <v>0</v>
      </c>
      <c r="CU620" s="608">
        <f t="shared" si="728"/>
        <v>0</v>
      </c>
      <c r="CV620" s="610">
        <f t="shared" si="729"/>
        <v>0</v>
      </c>
      <c r="CW620" s="608">
        <f t="shared" si="730"/>
        <v>0</v>
      </c>
      <c r="CX620" s="610">
        <f t="shared" si="731"/>
        <v>0</v>
      </c>
      <c r="CY620" s="611">
        <f t="shared" si="732"/>
        <v>0</v>
      </c>
      <c r="CZ620" s="605">
        <f t="shared" si="733"/>
        <v>0</v>
      </c>
      <c r="DA620" s="612">
        <f t="shared" si="734"/>
        <v>0</v>
      </c>
      <c r="DB620" s="607">
        <f t="shared" si="735"/>
        <v>0</v>
      </c>
      <c r="DC620" s="606">
        <f t="shared" si="736"/>
        <v>0</v>
      </c>
      <c r="DD620" s="607">
        <f t="shared" si="737"/>
        <v>0</v>
      </c>
      <c r="DE620" s="606">
        <f t="shared" si="738"/>
        <v>0</v>
      </c>
      <c r="DF620" s="607">
        <f t="shared" si="739"/>
        <v>0</v>
      </c>
      <c r="DG620" s="606">
        <f t="shared" si="740"/>
        <v>0</v>
      </c>
      <c r="DH620" s="607">
        <f t="shared" si="741"/>
        <v>0</v>
      </c>
      <c r="DI620" s="608">
        <f t="shared" si="742"/>
        <v>0</v>
      </c>
      <c r="DJ620" s="607">
        <f t="shared" si="743"/>
        <v>0</v>
      </c>
      <c r="DK620" s="608">
        <f t="shared" si="744"/>
        <v>0</v>
      </c>
      <c r="DL620" s="607">
        <f t="shared" si="745"/>
        <v>0</v>
      </c>
      <c r="DM620" s="608">
        <f t="shared" si="746"/>
        <v>0</v>
      </c>
      <c r="DN620" s="607">
        <f t="shared" si="747"/>
        <v>0</v>
      </c>
      <c r="DO620" s="612">
        <f t="shared" si="748"/>
        <v>0</v>
      </c>
      <c r="DP620" s="607">
        <f t="shared" si="749"/>
        <v>0</v>
      </c>
      <c r="DQ620" s="606">
        <f t="shared" si="750"/>
        <v>0</v>
      </c>
      <c r="DR620" s="607">
        <f t="shared" si="751"/>
        <v>0</v>
      </c>
      <c r="DS620" s="606">
        <f t="shared" si="752"/>
        <v>0</v>
      </c>
      <c r="DT620" s="607">
        <f t="shared" si="753"/>
        <v>0</v>
      </c>
      <c r="DU620" s="606">
        <f t="shared" si="754"/>
        <v>0</v>
      </c>
      <c r="DV620" s="607">
        <f t="shared" si="755"/>
        <v>0</v>
      </c>
      <c r="DW620" s="608">
        <f t="shared" si="756"/>
        <v>0</v>
      </c>
      <c r="DX620" s="607">
        <f t="shared" si="757"/>
        <v>0</v>
      </c>
      <c r="DY620" s="608">
        <f t="shared" si="758"/>
        <v>0</v>
      </c>
      <c r="DZ620" s="607">
        <f t="shared" si="759"/>
        <v>0</v>
      </c>
      <c r="EA620" s="608">
        <f t="shared" si="760"/>
        <v>0</v>
      </c>
    </row>
    <row r="621" spans="1:131" x14ac:dyDescent="0.2">
      <c r="A621" s="473" t="s">
        <v>44</v>
      </c>
      <c r="B621" s="479" t="s">
        <v>1024</v>
      </c>
      <c r="C621" s="588"/>
      <c r="D621" s="506">
        <v>232186</v>
      </c>
      <c r="E621" s="497">
        <v>1</v>
      </c>
      <c r="F621" s="598">
        <v>312</v>
      </c>
      <c r="G621" s="599">
        <v>325</v>
      </c>
      <c r="H621" s="600"/>
      <c r="I621" s="601"/>
      <c r="J621" s="600">
        <v>34</v>
      </c>
      <c r="K621" s="599"/>
      <c r="L621" s="600"/>
      <c r="M621" s="601">
        <v>40</v>
      </c>
      <c r="N621" s="600">
        <v>362</v>
      </c>
      <c r="O621" s="599">
        <v>385</v>
      </c>
      <c r="P621" s="600"/>
      <c r="Q621" s="601"/>
      <c r="R621" s="600">
        <v>14</v>
      </c>
      <c r="S621" s="599"/>
      <c r="T621" s="600"/>
      <c r="U621" s="601">
        <v>12</v>
      </c>
      <c r="V621" s="600">
        <v>350</v>
      </c>
      <c r="W621" s="599">
        <v>359</v>
      </c>
      <c r="X621" s="600"/>
      <c r="Y621" s="601"/>
      <c r="Z621" s="600">
        <v>24</v>
      </c>
      <c r="AA621" s="599"/>
      <c r="AB621" s="600"/>
      <c r="AC621" s="601">
        <v>29</v>
      </c>
      <c r="AD621" s="600">
        <v>67</v>
      </c>
      <c r="AE621" s="599">
        <v>68</v>
      </c>
      <c r="AF621" s="600"/>
      <c r="AG621" s="601"/>
      <c r="AH621" s="600">
        <v>8</v>
      </c>
      <c r="AI621" s="599"/>
      <c r="AJ621" s="600"/>
      <c r="AK621" s="601">
        <v>8</v>
      </c>
      <c r="AL621" s="600"/>
      <c r="AM621" s="599"/>
      <c r="AN621" s="600"/>
      <c r="AO621" s="601"/>
      <c r="AP621" s="600"/>
      <c r="AQ621" s="599"/>
      <c r="AR621" s="600"/>
      <c r="AS621" s="601"/>
      <c r="AT621" s="600"/>
      <c r="AU621" s="599"/>
      <c r="AV621" s="600"/>
      <c r="AW621" s="601"/>
      <c r="AX621" s="600"/>
      <c r="AY621" s="599"/>
      <c r="AZ621" s="600"/>
      <c r="BA621" s="601"/>
      <c r="BB621" s="602">
        <v>46398480</v>
      </c>
      <c r="BC621" s="599">
        <v>48751023</v>
      </c>
      <c r="BD621" s="600">
        <v>32352056</v>
      </c>
      <c r="BE621" s="599">
        <v>33881947</v>
      </c>
      <c r="BF621" s="600">
        <v>26894504</v>
      </c>
      <c r="BG621" s="599">
        <v>27951799</v>
      </c>
      <c r="BH621" s="600">
        <v>4499302</v>
      </c>
      <c r="BI621" s="599">
        <v>4459503</v>
      </c>
      <c r="BJ621" s="600">
        <v>0</v>
      </c>
      <c r="BK621" s="615"/>
      <c r="BL621" s="600">
        <v>0</v>
      </c>
      <c r="BM621" s="604"/>
      <c r="BN621" s="605">
        <f t="shared" ref="BN621:BO627" si="761">((F621*9)+(H621*10)+(J621*11)+(L621*12))</f>
        <v>3182</v>
      </c>
      <c r="BO621" s="606">
        <f t="shared" si="761"/>
        <v>3405</v>
      </c>
      <c r="BP621" s="607">
        <f t="shared" ref="BP621:BQ627" si="762">((N621*9)+(P621*10)+(R621*11)+(T621*12))</f>
        <v>3412</v>
      </c>
      <c r="BQ621" s="606">
        <f t="shared" si="762"/>
        <v>3609</v>
      </c>
      <c r="BR621" s="607">
        <f t="shared" ref="BR621:BS627" si="763">((V621*9)+(X621*10)+(Z621*11)+(AB621*12))</f>
        <v>3414</v>
      </c>
      <c r="BS621" s="606">
        <f t="shared" si="763"/>
        <v>3579</v>
      </c>
      <c r="BT621" s="607">
        <f t="shared" ref="BT621:BU627" si="764">((AD621*9)+(AF621*10)+(AH621*11)+(AJ621*12))</f>
        <v>691</v>
      </c>
      <c r="BU621" s="606">
        <f t="shared" si="764"/>
        <v>708</v>
      </c>
      <c r="BV621" s="607">
        <f t="shared" ref="BV621:BW627" si="765">((AL621*9)+(AN621*10)+(AP621*11)+(AR621*12))</f>
        <v>0</v>
      </c>
      <c r="BW621" s="608">
        <f t="shared" si="765"/>
        <v>0</v>
      </c>
      <c r="BX621" s="607">
        <f t="shared" ref="BX621:BY627" si="766">((AT621*9)+(AV621*10)+(AX621*11)+(AZ621*12))</f>
        <v>0</v>
      </c>
      <c r="BY621" s="608">
        <f t="shared" si="766"/>
        <v>0</v>
      </c>
      <c r="BZ621" s="607">
        <f t="shared" ref="BZ621:CK627" si="767">IF(BN621&gt;0,BB621/BN621,)</f>
        <v>14581.54619736015</v>
      </c>
      <c r="CA621" s="608">
        <f t="shared" si="767"/>
        <v>14317.481057268722</v>
      </c>
      <c r="CB621" s="607">
        <f t="shared" si="767"/>
        <v>9481.8452520515821</v>
      </c>
      <c r="CC621" s="608">
        <f t="shared" si="767"/>
        <v>9388.1814907176504</v>
      </c>
      <c r="CD621" s="607">
        <f t="shared" si="767"/>
        <v>7877.7106033977743</v>
      </c>
      <c r="CE621" s="608">
        <f t="shared" si="767"/>
        <v>7809.946633137748</v>
      </c>
      <c r="CF621" s="607">
        <f t="shared" si="767"/>
        <v>6511.2908827785814</v>
      </c>
      <c r="CG621" s="608">
        <f t="shared" si="767"/>
        <v>6298.7330508474579</v>
      </c>
      <c r="CH621" s="607">
        <f t="shared" si="767"/>
        <v>0</v>
      </c>
      <c r="CI621" s="608">
        <f t="shared" si="767"/>
        <v>0</v>
      </c>
      <c r="CJ621" s="607">
        <f t="shared" si="767"/>
        <v>0</v>
      </c>
      <c r="CK621" s="608">
        <f t="shared" si="767"/>
        <v>0</v>
      </c>
      <c r="CL621" s="609">
        <f t="shared" ref="CL621:CW627" si="768">+BZ621*9</f>
        <v>131233.91577624137</v>
      </c>
      <c r="CM621" s="608">
        <f t="shared" si="768"/>
        <v>128857.3295154185</v>
      </c>
      <c r="CN621" s="610">
        <f t="shared" si="768"/>
        <v>85336.607268464242</v>
      </c>
      <c r="CO621" s="606">
        <f t="shared" si="768"/>
        <v>84493.633416458848</v>
      </c>
      <c r="CP621" s="607">
        <f t="shared" si="768"/>
        <v>70899.395430579971</v>
      </c>
      <c r="CQ621" s="606">
        <f t="shared" si="768"/>
        <v>70289.519698239732</v>
      </c>
      <c r="CR621" s="607">
        <f t="shared" si="768"/>
        <v>58601.61794500723</v>
      </c>
      <c r="CS621" s="606">
        <f t="shared" si="768"/>
        <v>56688.597457627118</v>
      </c>
      <c r="CT621" s="607">
        <f t="shared" si="768"/>
        <v>0</v>
      </c>
      <c r="CU621" s="608">
        <f t="shared" si="768"/>
        <v>0</v>
      </c>
      <c r="CV621" s="610">
        <f t="shared" si="768"/>
        <v>0</v>
      </c>
      <c r="CW621" s="608">
        <f t="shared" si="768"/>
        <v>0</v>
      </c>
      <c r="CX621" s="610">
        <f t="shared" ref="CX621:CY627" si="769">IF(DL621&gt;0,((CL621*CZ621)+(CN621*DB621)+(CP621*DD621)+(CR621*DF621)+(CT621*DH621)+(CV621*DJ621))/DL621,)</f>
        <v>92574.717701481248</v>
      </c>
      <c r="CY621" s="611">
        <f t="shared" si="769"/>
        <v>91482.516141238666</v>
      </c>
      <c r="CZ621" s="605">
        <f t="shared" ref="CZ621:DA627" si="770">+F621+H621+J621+L621</f>
        <v>346</v>
      </c>
      <c r="DA621" s="612">
        <f t="shared" si="770"/>
        <v>365</v>
      </c>
      <c r="DB621" s="607">
        <f t="shared" ref="DB621:DC627" si="771">+N621+P621+R621+T621</f>
        <v>376</v>
      </c>
      <c r="DC621" s="606">
        <f t="shared" si="771"/>
        <v>397</v>
      </c>
      <c r="DD621" s="607">
        <f t="shared" ref="DD621:DE627" si="772">+V621+X621+Z621+AB621</f>
        <v>374</v>
      </c>
      <c r="DE621" s="606">
        <f t="shared" si="772"/>
        <v>388</v>
      </c>
      <c r="DF621" s="607">
        <f t="shared" ref="DF621:DG627" si="773">+AD621+AF621+AH621+AJ621</f>
        <v>75</v>
      </c>
      <c r="DG621" s="606">
        <f t="shared" si="773"/>
        <v>76</v>
      </c>
      <c r="DH621" s="607">
        <f t="shared" ref="DH621:DI627" si="774">+AL621+AN621+AP621+AR621</f>
        <v>0</v>
      </c>
      <c r="DI621" s="608">
        <f t="shared" si="774"/>
        <v>0</v>
      </c>
      <c r="DJ621" s="607">
        <f t="shared" ref="DJ621:DK627" si="775">+AT621+AV621+AX621+AZ621</f>
        <v>0</v>
      </c>
      <c r="DK621" s="608">
        <f t="shared" si="775"/>
        <v>0</v>
      </c>
      <c r="DL621" s="607">
        <f t="shared" ref="DL621:DM627" si="776">+CZ621+DB621+DD621+DF621+DH621+DJ621</f>
        <v>1171</v>
      </c>
      <c r="DM621" s="608">
        <f t="shared" si="776"/>
        <v>1226</v>
      </c>
      <c r="DN621" s="607">
        <f t="shared" ref="DN621:EA627" si="777">+CZ621*CL621</f>
        <v>45406934.858579516</v>
      </c>
      <c r="DO621" s="612">
        <f t="shared" si="777"/>
        <v>47032925.273127757</v>
      </c>
      <c r="DP621" s="607">
        <f t="shared" si="777"/>
        <v>32086564.332942557</v>
      </c>
      <c r="DQ621" s="606">
        <f t="shared" si="777"/>
        <v>33543972.466334164</v>
      </c>
      <c r="DR621" s="607">
        <f t="shared" si="777"/>
        <v>26516373.891036909</v>
      </c>
      <c r="DS621" s="606">
        <f t="shared" si="777"/>
        <v>27272333.642917015</v>
      </c>
      <c r="DT621" s="607">
        <f t="shared" si="777"/>
        <v>4395121.3458755426</v>
      </c>
      <c r="DU621" s="606">
        <f t="shared" si="777"/>
        <v>4308333.4067796608</v>
      </c>
      <c r="DV621" s="607">
        <f t="shared" si="777"/>
        <v>0</v>
      </c>
      <c r="DW621" s="608">
        <f t="shared" si="777"/>
        <v>0</v>
      </c>
      <c r="DX621" s="607">
        <f t="shared" si="777"/>
        <v>0</v>
      </c>
      <c r="DY621" s="608">
        <f t="shared" si="777"/>
        <v>0</v>
      </c>
      <c r="DZ621" s="607">
        <f t="shared" si="777"/>
        <v>108404994.42843454</v>
      </c>
      <c r="EA621" s="608">
        <f t="shared" si="777"/>
        <v>112157564.7891586</v>
      </c>
    </row>
    <row r="622" spans="1:131" x14ac:dyDescent="0.2">
      <c r="A622" s="473" t="s">
        <v>44</v>
      </c>
      <c r="B622" s="474" t="s">
        <v>1025</v>
      </c>
      <c r="C622" s="567"/>
      <c r="D622" s="477">
        <v>232982</v>
      </c>
      <c r="E622" s="497">
        <v>1</v>
      </c>
      <c r="F622" s="598">
        <v>147</v>
      </c>
      <c r="G622" s="599"/>
      <c r="H622" s="600"/>
      <c r="I622" s="601">
        <v>147</v>
      </c>
      <c r="J622" s="600">
        <v>60</v>
      </c>
      <c r="K622" s="599"/>
      <c r="L622" s="600"/>
      <c r="M622" s="601">
        <v>62</v>
      </c>
      <c r="N622" s="600">
        <v>178</v>
      </c>
      <c r="O622" s="599"/>
      <c r="P622" s="600"/>
      <c r="Q622" s="601">
        <v>187</v>
      </c>
      <c r="R622" s="600">
        <v>21</v>
      </c>
      <c r="S622" s="599"/>
      <c r="T622" s="600"/>
      <c r="U622" s="601">
        <v>24</v>
      </c>
      <c r="V622" s="600">
        <v>160</v>
      </c>
      <c r="W622" s="599"/>
      <c r="X622" s="600"/>
      <c r="Y622" s="601">
        <v>160</v>
      </c>
      <c r="Z622" s="600">
        <v>5</v>
      </c>
      <c r="AA622" s="599"/>
      <c r="AB622" s="600"/>
      <c r="AC622" s="601">
        <v>3</v>
      </c>
      <c r="AD622" s="600">
        <v>27</v>
      </c>
      <c r="AE622" s="599"/>
      <c r="AF622" s="600"/>
      <c r="AG622" s="601">
        <v>29</v>
      </c>
      <c r="AH622" s="600">
        <v>1</v>
      </c>
      <c r="AI622" s="599"/>
      <c r="AJ622" s="600"/>
      <c r="AK622" s="601">
        <v>1</v>
      </c>
      <c r="AL622" s="600">
        <v>131</v>
      </c>
      <c r="AM622" s="599"/>
      <c r="AN622" s="600"/>
      <c r="AO622" s="601">
        <v>128</v>
      </c>
      <c r="AP622" s="600">
        <v>16</v>
      </c>
      <c r="AQ622" s="599"/>
      <c r="AR622" s="600"/>
      <c r="AS622" s="601">
        <v>20</v>
      </c>
      <c r="AT622" s="600"/>
      <c r="AU622" s="599"/>
      <c r="AV622" s="600"/>
      <c r="AW622" s="601"/>
      <c r="AX622" s="600"/>
      <c r="AY622" s="599"/>
      <c r="AZ622" s="600"/>
      <c r="BA622" s="601"/>
      <c r="BB622" s="602">
        <v>23602284</v>
      </c>
      <c r="BC622" s="599">
        <v>24376161</v>
      </c>
      <c r="BD622" s="600">
        <v>15669005</v>
      </c>
      <c r="BE622" s="599">
        <v>16798849</v>
      </c>
      <c r="BF622" s="600">
        <v>11046940</v>
      </c>
      <c r="BG622" s="599">
        <v>11145757</v>
      </c>
      <c r="BH622" s="600">
        <v>1452035</v>
      </c>
      <c r="BI622" s="599">
        <v>1485689</v>
      </c>
      <c r="BJ622" s="600">
        <v>7527394</v>
      </c>
      <c r="BK622" s="615">
        <v>7678743</v>
      </c>
      <c r="BL622" s="600">
        <v>0</v>
      </c>
      <c r="BM622" s="604"/>
      <c r="BN622" s="605">
        <f t="shared" si="761"/>
        <v>1983</v>
      </c>
      <c r="BO622" s="606">
        <f t="shared" si="761"/>
        <v>2214</v>
      </c>
      <c r="BP622" s="607">
        <f t="shared" si="762"/>
        <v>1833</v>
      </c>
      <c r="BQ622" s="606">
        <f t="shared" si="762"/>
        <v>2158</v>
      </c>
      <c r="BR622" s="607">
        <f t="shared" si="763"/>
        <v>1495</v>
      </c>
      <c r="BS622" s="606">
        <f t="shared" si="763"/>
        <v>1636</v>
      </c>
      <c r="BT622" s="607">
        <f t="shared" si="764"/>
        <v>254</v>
      </c>
      <c r="BU622" s="606">
        <f t="shared" si="764"/>
        <v>302</v>
      </c>
      <c r="BV622" s="607">
        <f t="shared" si="765"/>
        <v>1355</v>
      </c>
      <c r="BW622" s="608">
        <f t="shared" si="765"/>
        <v>1520</v>
      </c>
      <c r="BX622" s="607">
        <f t="shared" si="766"/>
        <v>0</v>
      </c>
      <c r="BY622" s="608">
        <f t="shared" si="766"/>
        <v>0</v>
      </c>
      <c r="BZ622" s="607">
        <f t="shared" si="767"/>
        <v>11902.311649016641</v>
      </c>
      <c r="CA622" s="608">
        <f t="shared" si="767"/>
        <v>11010.009485094852</v>
      </c>
      <c r="CB622" s="607">
        <f t="shared" si="767"/>
        <v>8548.2842334969991</v>
      </c>
      <c r="CC622" s="608">
        <f t="shared" si="767"/>
        <v>7784.4527340129753</v>
      </c>
      <c r="CD622" s="607">
        <f t="shared" si="767"/>
        <v>7389.2575250836117</v>
      </c>
      <c r="CE622" s="608">
        <f t="shared" si="767"/>
        <v>6812.809902200489</v>
      </c>
      <c r="CF622" s="607">
        <f t="shared" si="767"/>
        <v>5716.6732283464571</v>
      </c>
      <c r="CG622" s="608">
        <f t="shared" si="767"/>
        <v>4919.5</v>
      </c>
      <c r="CH622" s="607">
        <f t="shared" si="767"/>
        <v>5555.272324723247</v>
      </c>
      <c r="CI622" s="608">
        <f t="shared" si="767"/>
        <v>5051.804605263158</v>
      </c>
      <c r="CJ622" s="607">
        <f t="shared" si="767"/>
        <v>0</v>
      </c>
      <c r="CK622" s="608">
        <f t="shared" si="767"/>
        <v>0</v>
      </c>
      <c r="CL622" s="609">
        <f t="shared" si="768"/>
        <v>107120.80484114977</v>
      </c>
      <c r="CM622" s="608">
        <f t="shared" si="768"/>
        <v>99090.085365853665</v>
      </c>
      <c r="CN622" s="610">
        <f t="shared" si="768"/>
        <v>76934.558101472998</v>
      </c>
      <c r="CO622" s="606">
        <f t="shared" si="768"/>
        <v>70060.074606116774</v>
      </c>
      <c r="CP622" s="607">
        <f t="shared" si="768"/>
        <v>66503.317725752509</v>
      </c>
      <c r="CQ622" s="606">
        <f t="shared" si="768"/>
        <v>61315.289119804402</v>
      </c>
      <c r="CR622" s="607">
        <f t="shared" si="768"/>
        <v>51450.059055118116</v>
      </c>
      <c r="CS622" s="606">
        <f t="shared" si="768"/>
        <v>44275.5</v>
      </c>
      <c r="CT622" s="607">
        <f t="shared" si="768"/>
        <v>49997.450922509226</v>
      </c>
      <c r="CU622" s="608">
        <f t="shared" si="768"/>
        <v>45466.241447368418</v>
      </c>
      <c r="CV622" s="610">
        <f t="shared" si="768"/>
        <v>0</v>
      </c>
      <c r="CW622" s="608">
        <f t="shared" si="768"/>
        <v>0</v>
      </c>
      <c r="CX622" s="610">
        <f t="shared" si="769"/>
        <v>76738.95178044567</v>
      </c>
      <c r="CY622" s="611">
        <f t="shared" si="769"/>
        <v>70360.268651895793</v>
      </c>
      <c r="CZ622" s="605">
        <f t="shared" si="770"/>
        <v>207</v>
      </c>
      <c r="DA622" s="612">
        <f t="shared" si="770"/>
        <v>209</v>
      </c>
      <c r="DB622" s="607">
        <f t="shared" si="771"/>
        <v>199</v>
      </c>
      <c r="DC622" s="606">
        <f t="shared" si="771"/>
        <v>211</v>
      </c>
      <c r="DD622" s="607">
        <f t="shared" si="772"/>
        <v>165</v>
      </c>
      <c r="DE622" s="606">
        <f t="shared" si="772"/>
        <v>163</v>
      </c>
      <c r="DF622" s="607">
        <f t="shared" si="773"/>
        <v>28</v>
      </c>
      <c r="DG622" s="606">
        <f t="shared" si="773"/>
        <v>30</v>
      </c>
      <c r="DH622" s="607">
        <f t="shared" si="774"/>
        <v>147</v>
      </c>
      <c r="DI622" s="608">
        <f t="shared" si="774"/>
        <v>148</v>
      </c>
      <c r="DJ622" s="607">
        <f t="shared" si="775"/>
        <v>0</v>
      </c>
      <c r="DK622" s="608">
        <f t="shared" si="775"/>
        <v>0</v>
      </c>
      <c r="DL622" s="607">
        <f t="shared" si="776"/>
        <v>746</v>
      </c>
      <c r="DM622" s="608">
        <f t="shared" si="776"/>
        <v>761</v>
      </c>
      <c r="DN622" s="607">
        <f t="shared" si="777"/>
        <v>22174006.602118004</v>
      </c>
      <c r="DO622" s="612">
        <f t="shared" si="777"/>
        <v>20709827.841463417</v>
      </c>
      <c r="DP622" s="607">
        <f t="shared" si="777"/>
        <v>15309977.062193127</v>
      </c>
      <c r="DQ622" s="606">
        <f t="shared" si="777"/>
        <v>14782675.741890639</v>
      </c>
      <c r="DR622" s="607">
        <f t="shared" si="777"/>
        <v>10973047.424749164</v>
      </c>
      <c r="DS622" s="606">
        <f t="shared" si="777"/>
        <v>9994392.1265281178</v>
      </c>
      <c r="DT622" s="607">
        <f t="shared" si="777"/>
        <v>1440601.6535433072</v>
      </c>
      <c r="DU622" s="606">
        <f t="shared" si="777"/>
        <v>1328265</v>
      </c>
      <c r="DV622" s="607">
        <f t="shared" si="777"/>
        <v>7349625.285608856</v>
      </c>
      <c r="DW622" s="608">
        <f t="shared" si="777"/>
        <v>6729003.7342105256</v>
      </c>
      <c r="DX622" s="607">
        <f t="shared" si="777"/>
        <v>0</v>
      </c>
      <c r="DY622" s="608">
        <f t="shared" si="777"/>
        <v>0</v>
      </c>
      <c r="DZ622" s="607">
        <f t="shared" si="777"/>
        <v>57247258.028212473</v>
      </c>
      <c r="EA622" s="608">
        <f t="shared" si="777"/>
        <v>53544164.444092698</v>
      </c>
    </row>
    <row r="623" spans="1:131" x14ac:dyDescent="0.2">
      <c r="A623" s="473" t="s">
        <v>44</v>
      </c>
      <c r="B623" s="478" t="s">
        <v>1026</v>
      </c>
      <c r="C623" s="568"/>
      <c r="D623" s="473">
        <v>234076</v>
      </c>
      <c r="E623" s="476">
        <v>1</v>
      </c>
      <c r="F623" s="598">
        <v>417</v>
      </c>
      <c r="G623" s="599">
        <v>453</v>
      </c>
      <c r="H623" s="600"/>
      <c r="I623" s="601"/>
      <c r="J623" s="600">
        <v>115</v>
      </c>
      <c r="K623" s="599"/>
      <c r="L623" s="600"/>
      <c r="M623" s="601">
        <v>113</v>
      </c>
      <c r="N623" s="600">
        <v>258</v>
      </c>
      <c r="O623" s="599">
        <v>289</v>
      </c>
      <c r="P623" s="600"/>
      <c r="Q623" s="601"/>
      <c r="R623" s="600">
        <v>66</v>
      </c>
      <c r="S623" s="599"/>
      <c r="T623" s="600"/>
      <c r="U623" s="601">
        <v>65</v>
      </c>
      <c r="V623" s="600">
        <v>168</v>
      </c>
      <c r="W623" s="599">
        <v>171</v>
      </c>
      <c r="X623" s="600"/>
      <c r="Y623" s="601"/>
      <c r="Z623" s="600">
        <v>29</v>
      </c>
      <c r="AA623" s="599"/>
      <c r="AB623" s="600"/>
      <c r="AC623" s="601">
        <v>34</v>
      </c>
      <c r="AD623" s="600">
        <v>5</v>
      </c>
      <c r="AE623" s="599">
        <v>4</v>
      </c>
      <c r="AF623" s="600"/>
      <c r="AG623" s="601"/>
      <c r="AH623" s="600">
        <v>1</v>
      </c>
      <c r="AI623" s="599"/>
      <c r="AJ623" s="600"/>
      <c r="AK623" s="601">
        <v>1</v>
      </c>
      <c r="AL623" s="600">
        <v>62</v>
      </c>
      <c r="AM623" s="599">
        <v>84</v>
      </c>
      <c r="AN623" s="600"/>
      <c r="AO623" s="601"/>
      <c r="AP623" s="600">
        <v>26</v>
      </c>
      <c r="AQ623" s="599"/>
      <c r="AR623" s="600"/>
      <c r="AS623" s="601">
        <v>30</v>
      </c>
      <c r="AT623" s="600"/>
      <c r="AU623" s="599"/>
      <c r="AV623" s="600"/>
      <c r="AW623" s="601"/>
      <c r="AX623" s="600"/>
      <c r="AY623" s="599"/>
      <c r="AZ623" s="600"/>
      <c r="BA623" s="601"/>
      <c r="BB623" s="602">
        <v>78826299</v>
      </c>
      <c r="BC623" s="599">
        <v>81835951</v>
      </c>
      <c r="BD623" s="600">
        <v>32041590</v>
      </c>
      <c r="BE623" s="599">
        <v>33810856</v>
      </c>
      <c r="BF623" s="600">
        <v>16301150</v>
      </c>
      <c r="BG623" s="599">
        <v>17441100</v>
      </c>
      <c r="BH623" s="600">
        <v>315300</v>
      </c>
      <c r="BI623" s="599">
        <v>277300</v>
      </c>
      <c r="BJ623" s="600">
        <v>5257026</v>
      </c>
      <c r="BK623" s="615">
        <v>6657944</v>
      </c>
      <c r="BL623" s="600">
        <v>0</v>
      </c>
      <c r="BM623" s="604"/>
      <c r="BN623" s="605">
        <f t="shared" si="761"/>
        <v>5018</v>
      </c>
      <c r="BO623" s="606">
        <f t="shared" si="761"/>
        <v>5433</v>
      </c>
      <c r="BP623" s="607">
        <f t="shared" si="762"/>
        <v>3048</v>
      </c>
      <c r="BQ623" s="606">
        <f t="shared" si="762"/>
        <v>3381</v>
      </c>
      <c r="BR623" s="607">
        <f t="shared" si="763"/>
        <v>1831</v>
      </c>
      <c r="BS623" s="606">
        <f t="shared" si="763"/>
        <v>1947</v>
      </c>
      <c r="BT623" s="607">
        <f t="shared" si="764"/>
        <v>56</v>
      </c>
      <c r="BU623" s="606">
        <f t="shared" si="764"/>
        <v>48</v>
      </c>
      <c r="BV623" s="607">
        <f t="shared" si="765"/>
        <v>844</v>
      </c>
      <c r="BW623" s="608">
        <f t="shared" si="765"/>
        <v>1116</v>
      </c>
      <c r="BX623" s="607">
        <f t="shared" si="766"/>
        <v>0</v>
      </c>
      <c r="BY623" s="608">
        <f t="shared" si="766"/>
        <v>0</v>
      </c>
      <c r="BZ623" s="607">
        <f t="shared" si="767"/>
        <v>15708.708449581507</v>
      </c>
      <c r="CA623" s="608">
        <f t="shared" si="767"/>
        <v>15062.755567826247</v>
      </c>
      <c r="CB623" s="607">
        <f t="shared" si="767"/>
        <v>10512.332677165354</v>
      </c>
      <c r="CC623" s="608">
        <f t="shared" si="767"/>
        <v>10000.253179532683</v>
      </c>
      <c r="CD623" s="607">
        <f t="shared" si="767"/>
        <v>8902.8672856362646</v>
      </c>
      <c r="CE623" s="608">
        <f t="shared" si="767"/>
        <v>8957.935285053929</v>
      </c>
      <c r="CF623" s="607">
        <f t="shared" si="767"/>
        <v>5630.3571428571431</v>
      </c>
      <c r="CG623" s="608">
        <f t="shared" si="767"/>
        <v>5777.083333333333</v>
      </c>
      <c r="CH623" s="607">
        <f t="shared" si="767"/>
        <v>6228.7037914691946</v>
      </c>
      <c r="CI623" s="608">
        <f t="shared" si="767"/>
        <v>5965.8996415770607</v>
      </c>
      <c r="CJ623" s="607">
        <f t="shared" si="767"/>
        <v>0</v>
      </c>
      <c r="CK623" s="608">
        <f t="shared" si="767"/>
        <v>0</v>
      </c>
      <c r="CL623" s="609">
        <f t="shared" si="768"/>
        <v>141378.37604623358</v>
      </c>
      <c r="CM623" s="608">
        <f t="shared" si="768"/>
        <v>135564.80011043622</v>
      </c>
      <c r="CN623" s="610">
        <f t="shared" si="768"/>
        <v>94610.994094488182</v>
      </c>
      <c r="CO623" s="606">
        <f t="shared" si="768"/>
        <v>90002.278615794145</v>
      </c>
      <c r="CP623" s="607">
        <f t="shared" si="768"/>
        <v>80125.805570726385</v>
      </c>
      <c r="CQ623" s="606">
        <f t="shared" si="768"/>
        <v>80621.417565485361</v>
      </c>
      <c r="CR623" s="607">
        <f t="shared" si="768"/>
        <v>50673.21428571429</v>
      </c>
      <c r="CS623" s="606">
        <f t="shared" si="768"/>
        <v>51993.75</v>
      </c>
      <c r="CT623" s="607">
        <f t="shared" si="768"/>
        <v>56058.334123222754</v>
      </c>
      <c r="CU623" s="608">
        <f t="shared" si="768"/>
        <v>53693.096774193546</v>
      </c>
      <c r="CV623" s="610">
        <f t="shared" si="768"/>
        <v>0</v>
      </c>
      <c r="CW623" s="608">
        <f t="shared" si="768"/>
        <v>0</v>
      </c>
      <c r="CX623" s="610">
        <f t="shared" si="769"/>
        <v>110627.03969415992</v>
      </c>
      <c r="CY623" s="611">
        <f t="shared" si="769"/>
        <v>105706.47578430916</v>
      </c>
      <c r="CZ623" s="605">
        <f t="shared" si="770"/>
        <v>532</v>
      </c>
      <c r="DA623" s="612">
        <f t="shared" si="770"/>
        <v>566</v>
      </c>
      <c r="DB623" s="607">
        <f t="shared" si="771"/>
        <v>324</v>
      </c>
      <c r="DC623" s="606">
        <f t="shared" si="771"/>
        <v>354</v>
      </c>
      <c r="DD623" s="607">
        <f t="shared" si="772"/>
        <v>197</v>
      </c>
      <c r="DE623" s="606">
        <f t="shared" si="772"/>
        <v>205</v>
      </c>
      <c r="DF623" s="607">
        <f t="shared" si="773"/>
        <v>6</v>
      </c>
      <c r="DG623" s="606">
        <f t="shared" si="773"/>
        <v>5</v>
      </c>
      <c r="DH623" s="607">
        <f t="shared" si="774"/>
        <v>88</v>
      </c>
      <c r="DI623" s="608">
        <f t="shared" si="774"/>
        <v>114</v>
      </c>
      <c r="DJ623" s="607">
        <f t="shared" si="775"/>
        <v>0</v>
      </c>
      <c r="DK623" s="608">
        <f t="shared" si="775"/>
        <v>0</v>
      </c>
      <c r="DL623" s="607">
        <f t="shared" si="776"/>
        <v>1147</v>
      </c>
      <c r="DM623" s="608">
        <f t="shared" si="776"/>
        <v>1244</v>
      </c>
      <c r="DN623" s="607">
        <f t="shared" si="777"/>
        <v>75213296.056596264</v>
      </c>
      <c r="DO623" s="612">
        <f t="shared" si="777"/>
        <v>76729676.862506896</v>
      </c>
      <c r="DP623" s="607">
        <f t="shared" si="777"/>
        <v>30653962.086614169</v>
      </c>
      <c r="DQ623" s="606">
        <f t="shared" si="777"/>
        <v>31860806.629991129</v>
      </c>
      <c r="DR623" s="607">
        <f t="shared" si="777"/>
        <v>15784783.697433097</v>
      </c>
      <c r="DS623" s="606">
        <f t="shared" si="777"/>
        <v>16527390.600924499</v>
      </c>
      <c r="DT623" s="607">
        <f t="shared" si="777"/>
        <v>304039.28571428574</v>
      </c>
      <c r="DU623" s="606">
        <f t="shared" si="777"/>
        <v>259968.75</v>
      </c>
      <c r="DV623" s="607">
        <f t="shared" si="777"/>
        <v>4933133.402843602</v>
      </c>
      <c r="DW623" s="608">
        <f t="shared" si="777"/>
        <v>6121013.0322580645</v>
      </c>
      <c r="DX623" s="607">
        <f t="shared" si="777"/>
        <v>0</v>
      </c>
      <c r="DY623" s="608">
        <f t="shared" si="777"/>
        <v>0</v>
      </c>
      <c r="DZ623" s="607">
        <f t="shared" si="777"/>
        <v>126889214.52920142</v>
      </c>
      <c r="EA623" s="608">
        <f t="shared" si="777"/>
        <v>131498855.8756806</v>
      </c>
    </row>
    <row r="624" spans="1:131" x14ac:dyDescent="0.2">
      <c r="A624" s="473" t="s">
        <v>44</v>
      </c>
      <c r="B624" s="478" t="s">
        <v>1027</v>
      </c>
      <c r="C624" s="568"/>
      <c r="D624" s="473">
        <v>233921</v>
      </c>
      <c r="E624" s="476">
        <v>1</v>
      </c>
      <c r="F624" s="598">
        <v>307</v>
      </c>
      <c r="G624" s="599">
        <v>313</v>
      </c>
      <c r="H624" s="600"/>
      <c r="I624" s="601">
        <v>4</v>
      </c>
      <c r="J624" s="600">
        <v>147</v>
      </c>
      <c r="K624" s="599">
        <v>13</v>
      </c>
      <c r="L624" s="600"/>
      <c r="M624" s="601">
        <v>239</v>
      </c>
      <c r="N624" s="600">
        <v>359</v>
      </c>
      <c r="O624" s="599">
        <v>379</v>
      </c>
      <c r="P624" s="600"/>
      <c r="Q624" s="601">
        <v>4</v>
      </c>
      <c r="R624" s="600">
        <v>76</v>
      </c>
      <c r="S624" s="599">
        <v>8</v>
      </c>
      <c r="T624" s="600"/>
      <c r="U624" s="601">
        <v>129</v>
      </c>
      <c r="V624" s="600">
        <v>263</v>
      </c>
      <c r="W624" s="599">
        <v>323</v>
      </c>
      <c r="X624" s="600"/>
      <c r="Y624" s="601">
        <v>2</v>
      </c>
      <c r="Z624" s="600">
        <v>20</v>
      </c>
      <c r="AA624" s="599">
        <v>3</v>
      </c>
      <c r="AB624" s="600"/>
      <c r="AC624" s="601">
        <v>69</v>
      </c>
      <c r="AD624" s="600">
        <v>176</v>
      </c>
      <c r="AE624" s="599">
        <v>189</v>
      </c>
      <c r="AF624" s="600"/>
      <c r="AG624" s="601"/>
      <c r="AH624" s="600">
        <v>17</v>
      </c>
      <c r="AI624" s="599"/>
      <c r="AJ624" s="600"/>
      <c r="AK624" s="601">
        <v>30</v>
      </c>
      <c r="AL624" s="600"/>
      <c r="AM624" s="599"/>
      <c r="AN624" s="600"/>
      <c r="AO624" s="601"/>
      <c r="AP624" s="600">
        <v>3</v>
      </c>
      <c r="AQ624" s="599"/>
      <c r="AR624" s="600"/>
      <c r="AS624" s="601">
        <v>5</v>
      </c>
      <c r="AT624" s="600"/>
      <c r="AU624" s="599"/>
      <c r="AV624" s="600"/>
      <c r="AW624" s="601"/>
      <c r="AX624" s="600"/>
      <c r="AY624" s="599"/>
      <c r="AZ624" s="600"/>
      <c r="BA624" s="601"/>
      <c r="BB624" s="602">
        <v>59540765</v>
      </c>
      <c r="BC624" s="599">
        <v>75839711</v>
      </c>
      <c r="BD624" s="600">
        <v>38189955</v>
      </c>
      <c r="BE624" s="599">
        <v>46522411</v>
      </c>
      <c r="BF624" s="600">
        <v>21079607</v>
      </c>
      <c r="BG624" s="599">
        <v>30795278</v>
      </c>
      <c r="BH624" s="600">
        <v>9204514</v>
      </c>
      <c r="BI624" s="599">
        <v>10717580</v>
      </c>
      <c r="BJ624" s="600">
        <v>207696</v>
      </c>
      <c r="BK624" s="615">
        <v>317140</v>
      </c>
      <c r="BL624" s="600">
        <v>0</v>
      </c>
      <c r="BM624" s="604"/>
      <c r="BN624" s="605">
        <f t="shared" si="761"/>
        <v>4380</v>
      </c>
      <c r="BO624" s="606">
        <f t="shared" si="761"/>
        <v>5868</v>
      </c>
      <c r="BP624" s="607">
        <f t="shared" si="762"/>
        <v>4067</v>
      </c>
      <c r="BQ624" s="606">
        <f t="shared" si="762"/>
        <v>5087</v>
      </c>
      <c r="BR624" s="607">
        <f t="shared" si="763"/>
        <v>2587</v>
      </c>
      <c r="BS624" s="606">
        <f t="shared" si="763"/>
        <v>3788</v>
      </c>
      <c r="BT624" s="607">
        <f t="shared" si="764"/>
        <v>1771</v>
      </c>
      <c r="BU624" s="606">
        <f t="shared" si="764"/>
        <v>2061</v>
      </c>
      <c r="BV624" s="607">
        <f t="shared" si="765"/>
        <v>33</v>
      </c>
      <c r="BW624" s="608">
        <f t="shared" si="765"/>
        <v>60</v>
      </c>
      <c r="BX624" s="607">
        <f t="shared" si="766"/>
        <v>0</v>
      </c>
      <c r="BY624" s="608">
        <f t="shared" si="766"/>
        <v>0</v>
      </c>
      <c r="BZ624" s="607">
        <f t="shared" si="767"/>
        <v>13593.781963470319</v>
      </c>
      <c r="CA624" s="608">
        <f t="shared" si="767"/>
        <v>12924.286128152693</v>
      </c>
      <c r="CB624" s="607">
        <f t="shared" si="767"/>
        <v>9390.2028522252276</v>
      </c>
      <c r="CC624" s="608">
        <f t="shared" si="767"/>
        <v>9145.3530568114802</v>
      </c>
      <c r="CD624" s="607">
        <f t="shared" si="767"/>
        <v>8148.2825666795516</v>
      </c>
      <c r="CE624" s="608">
        <f t="shared" si="767"/>
        <v>8129.6932418162614</v>
      </c>
      <c r="CF624" s="607">
        <f t="shared" si="767"/>
        <v>5197.3540372670805</v>
      </c>
      <c r="CG624" s="608">
        <f t="shared" si="767"/>
        <v>5200.1843765162539</v>
      </c>
      <c r="CH624" s="607">
        <f t="shared" si="767"/>
        <v>6293.818181818182</v>
      </c>
      <c r="CI624" s="608">
        <f t="shared" si="767"/>
        <v>5285.666666666667</v>
      </c>
      <c r="CJ624" s="607">
        <f t="shared" si="767"/>
        <v>0</v>
      </c>
      <c r="CK624" s="608">
        <f t="shared" si="767"/>
        <v>0</v>
      </c>
      <c r="CL624" s="609">
        <f t="shared" si="768"/>
        <v>122344.03767123287</v>
      </c>
      <c r="CM624" s="608">
        <f t="shared" si="768"/>
        <v>116318.57515337423</v>
      </c>
      <c r="CN624" s="610">
        <f t="shared" si="768"/>
        <v>84511.825670027043</v>
      </c>
      <c r="CO624" s="606">
        <f t="shared" si="768"/>
        <v>82308.177511303322</v>
      </c>
      <c r="CP624" s="607">
        <f t="shared" si="768"/>
        <v>73334.54310011596</v>
      </c>
      <c r="CQ624" s="606">
        <f t="shared" si="768"/>
        <v>73167.239176346353</v>
      </c>
      <c r="CR624" s="607">
        <f t="shared" si="768"/>
        <v>46776.186335403727</v>
      </c>
      <c r="CS624" s="606">
        <f t="shared" si="768"/>
        <v>46801.659388646287</v>
      </c>
      <c r="CT624" s="607">
        <f t="shared" si="768"/>
        <v>56644.36363636364</v>
      </c>
      <c r="CU624" s="608">
        <f t="shared" si="768"/>
        <v>47571</v>
      </c>
      <c r="CV624" s="610">
        <f t="shared" si="768"/>
        <v>0</v>
      </c>
      <c r="CW624" s="608">
        <f t="shared" si="768"/>
        <v>0</v>
      </c>
      <c r="CX624" s="610">
        <f t="shared" si="769"/>
        <v>89370.065804222453</v>
      </c>
      <c r="CY624" s="611">
        <f t="shared" si="769"/>
        <v>86853.9964486963</v>
      </c>
      <c r="CZ624" s="605">
        <f t="shared" si="770"/>
        <v>454</v>
      </c>
      <c r="DA624" s="612">
        <f t="shared" si="770"/>
        <v>569</v>
      </c>
      <c r="DB624" s="607">
        <f t="shared" si="771"/>
        <v>435</v>
      </c>
      <c r="DC624" s="606">
        <f t="shared" si="771"/>
        <v>520</v>
      </c>
      <c r="DD624" s="607">
        <f t="shared" si="772"/>
        <v>283</v>
      </c>
      <c r="DE624" s="606">
        <f t="shared" si="772"/>
        <v>397</v>
      </c>
      <c r="DF624" s="607">
        <f t="shared" si="773"/>
        <v>193</v>
      </c>
      <c r="DG624" s="606">
        <f t="shared" si="773"/>
        <v>219</v>
      </c>
      <c r="DH624" s="607">
        <f t="shared" si="774"/>
        <v>3</v>
      </c>
      <c r="DI624" s="608">
        <f t="shared" si="774"/>
        <v>5</v>
      </c>
      <c r="DJ624" s="607">
        <f t="shared" si="775"/>
        <v>0</v>
      </c>
      <c r="DK624" s="608">
        <f t="shared" si="775"/>
        <v>0</v>
      </c>
      <c r="DL624" s="607">
        <f t="shared" si="776"/>
        <v>1368</v>
      </c>
      <c r="DM624" s="608">
        <f t="shared" si="776"/>
        <v>1710</v>
      </c>
      <c r="DN624" s="607">
        <f t="shared" si="777"/>
        <v>55544193.102739722</v>
      </c>
      <c r="DO624" s="612">
        <f t="shared" si="777"/>
        <v>66185269.262269937</v>
      </c>
      <c r="DP624" s="607">
        <f t="shared" si="777"/>
        <v>36762644.166461766</v>
      </c>
      <c r="DQ624" s="606">
        <f t="shared" si="777"/>
        <v>42800252.30587773</v>
      </c>
      <c r="DR624" s="607">
        <f t="shared" si="777"/>
        <v>20753675.697332818</v>
      </c>
      <c r="DS624" s="606">
        <f t="shared" si="777"/>
        <v>29047393.953009501</v>
      </c>
      <c r="DT624" s="607">
        <f t="shared" si="777"/>
        <v>9027803.9627329186</v>
      </c>
      <c r="DU624" s="606">
        <f t="shared" si="777"/>
        <v>10249563.406113537</v>
      </c>
      <c r="DV624" s="607">
        <f t="shared" si="777"/>
        <v>169933.09090909091</v>
      </c>
      <c r="DW624" s="608">
        <f t="shared" si="777"/>
        <v>237855</v>
      </c>
      <c r="DX624" s="607">
        <f t="shared" si="777"/>
        <v>0</v>
      </c>
      <c r="DY624" s="608">
        <f t="shared" si="777"/>
        <v>0</v>
      </c>
      <c r="DZ624" s="607">
        <f t="shared" si="777"/>
        <v>122258250.02017632</v>
      </c>
      <c r="EA624" s="608">
        <f t="shared" si="777"/>
        <v>148520333.92727068</v>
      </c>
    </row>
    <row r="625" spans="1:131" x14ac:dyDescent="0.2">
      <c r="A625" s="473" t="s">
        <v>44</v>
      </c>
      <c r="B625" s="478" t="s">
        <v>1028</v>
      </c>
      <c r="C625" s="568"/>
      <c r="D625" s="473">
        <v>231624</v>
      </c>
      <c r="E625" s="476">
        <v>2</v>
      </c>
      <c r="F625" s="598">
        <v>196</v>
      </c>
      <c r="G625" s="599">
        <v>179</v>
      </c>
      <c r="H625" s="600"/>
      <c r="I625" s="601">
        <v>19</v>
      </c>
      <c r="J625" s="600">
        <v>29</v>
      </c>
      <c r="K625" s="599"/>
      <c r="L625" s="600"/>
      <c r="M625" s="601">
        <v>30</v>
      </c>
      <c r="N625" s="600">
        <v>175</v>
      </c>
      <c r="O625" s="599">
        <v>164</v>
      </c>
      <c r="P625" s="600"/>
      <c r="Q625" s="601">
        <v>6</v>
      </c>
      <c r="R625" s="600">
        <v>13</v>
      </c>
      <c r="S625" s="599"/>
      <c r="T625" s="600"/>
      <c r="U625" s="601">
        <v>17</v>
      </c>
      <c r="V625" s="600">
        <v>155</v>
      </c>
      <c r="W625" s="599">
        <v>157</v>
      </c>
      <c r="X625" s="600"/>
      <c r="Y625" s="601">
        <v>2</v>
      </c>
      <c r="Z625" s="600">
        <v>7</v>
      </c>
      <c r="AA625" s="599"/>
      <c r="AB625" s="600"/>
      <c r="AC625" s="601">
        <v>6</v>
      </c>
      <c r="AD625" s="600">
        <v>26</v>
      </c>
      <c r="AE625" s="599">
        <v>30</v>
      </c>
      <c r="AF625" s="600"/>
      <c r="AG625" s="601">
        <v>5</v>
      </c>
      <c r="AH625" s="600">
        <v>1</v>
      </c>
      <c r="AI625" s="599"/>
      <c r="AJ625" s="600"/>
      <c r="AK625" s="601">
        <v>2</v>
      </c>
      <c r="AL625" s="600">
        <v>8</v>
      </c>
      <c r="AM625" s="599">
        <v>9</v>
      </c>
      <c r="AN625" s="600"/>
      <c r="AO625" s="601"/>
      <c r="AP625" s="600">
        <v>2</v>
      </c>
      <c r="AQ625" s="599"/>
      <c r="AR625" s="600"/>
      <c r="AS625" s="601">
        <v>2</v>
      </c>
      <c r="AT625" s="600"/>
      <c r="AU625" s="599"/>
      <c r="AV625" s="600"/>
      <c r="AW625" s="601"/>
      <c r="AX625" s="600"/>
      <c r="AY625" s="599"/>
      <c r="AZ625" s="600"/>
      <c r="BA625" s="601"/>
      <c r="BB625" s="602">
        <v>27109750</v>
      </c>
      <c r="BC625" s="599">
        <v>27884241</v>
      </c>
      <c r="BD625" s="600">
        <v>16557325</v>
      </c>
      <c r="BE625" s="599">
        <v>16333353</v>
      </c>
      <c r="BF625" s="600">
        <v>10770872</v>
      </c>
      <c r="BG625" s="599">
        <v>10829270</v>
      </c>
      <c r="BH625" s="600">
        <v>1240358</v>
      </c>
      <c r="BI625" s="599">
        <v>1828600</v>
      </c>
      <c r="BJ625" s="600">
        <v>697400</v>
      </c>
      <c r="BK625" s="615">
        <v>752900</v>
      </c>
      <c r="BL625" s="600">
        <v>0</v>
      </c>
      <c r="BM625" s="604"/>
      <c r="BN625" s="605">
        <f t="shared" si="761"/>
        <v>2083</v>
      </c>
      <c r="BO625" s="606">
        <f t="shared" si="761"/>
        <v>2161</v>
      </c>
      <c r="BP625" s="607">
        <f t="shared" si="762"/>
        <v>1718</v>
      </c>
      <c r="BQ625" s="606">
        <f t="shared" si="762"/>
        <v>1740</v>
      </c>
      <c r="BR625" s="607">
        <f t="shared" si="763"/>
        <v>1472</v>
      </c>
      <c r="BS625" s="606">
        <f t="shared" si="763"/>
        <v>1505</v>
      </c>
      <c r="BT625" s="607">
        <f t="shared" si="764"/>
        <v>245</v>
      </c>
      <c r="BU625" s="606">
        <f t="shared" si="764"/>
        <v>344</v>
      </c>
      <c r="BV625" s="607">
        <f t="shared" si="765"/>
        <v>94</v>
      </c>
      <c r="BW625" s="608">
        <f t="shared" si="765"/>
        <v>105</v>
      </c>
      <c r="BX625" s="607">
        <f t="shared" si="766"/>
        <v>0</v>
      </c>
      <c r="BY625" s="608">
        <f t="shared" si="766"/>
        <v>0</v>
      </c>
      <c r="BZ625" s="607">
        <f t="shared" si="767"/>
        <v>13014.762361977917</v>
      </c>
      <c r="CA625" s="608">
        <f t="shared" si="767"/>
        <v>12903.397038408144</v>
      </c>
      <c r="CB625" s="607">
        <f t="shared" si="767"/>
        <v>9637.5582072176949</v>
      </c>
      <c r="CC625" s="608">
        <f t="shared" si="767"/>
        <v>9386.9844827586203</v>
      </c>
      <c r="CD625" s="607">
        <f t="shared" si="767"/>
        <v>7317.16847826087</v>
      </c>
      <c r="CE625" s="608">
        <f t="shared" si="767"/>
        <v>7195.5282392026575</v>
      </c>
      <c r="CF625" s="607">
        <f t="shared" si="767"/>
        <v>5062.6857142857143</v>
      </c>
      <c r="CG625" s="608">
        <f t="shared" si="767"/>
        <v>5315.6976744186049</v>
      </c>
      <c r="CH625" s="607">
        <f t="shared" si="767"/>
        <v>7419.1489361702124</v>
      </c>
      <c r="CI625" s="608">
        <f t="shared" si="767"/>
        <v>7170.4761904761908</v>
      </c>
      <c r="CJ625" s="607">
        <f t="shared" si="767"/>
        <v>0</v>
      </c>
      <c r="CK625" s="608">
        <f t="shared" si="767"/>
        <v>0</v>
      </c>
      <c r="CL625" s="609">
        <f t="shared" si="768"/>
        <v>117132.86125780125</v>
      </c>
      <c r="CM625" s="608">
        <f t="shared" si="768"/>
        <v>116130.5733456733</v>
      </c>
      <c r="CN625" s="610">
        <f t="shared" si="768"/>
        <v>86738.02386495925</v>
      </c>
      <c r="CO625" s="606">
        <f t="shared" si="768"/>
        <v>84482.860344827583</v>
      </c>
      <c r="CP625" s="607">
        <f t="shared" si="768"/>
        <v>65854.516304347824</v>
      </c>
      <c r="CQ625" s="606">
        <f t="shared" si="768"/>
        <v>64759.754152823916</v>
      </c>
      <c r="CR625" s="607">
        <f t="shared" si="768"/>
        <v>45564.171428571426</v>
      </c>
      <c r="CS625" s="606">
        <f t="shared" si="768"/>
        <v>47841.279069767443</v>
      </c>
      <c r="CT625" s="607">
        <f t="shared" si="768"/>
        <v>66772.340425531918</v>
      </c>
      <c r="CU625" s="608">
        <f t="shared" si="768"/>
        <v>64534.285714285717</v>
      </c>
      <c r="CV625" s="610">
        <f t="shared" si="768"/>
        <v>0</v>
      </c>
      <c r="CW625" s="608">
        <f t="shared" si="768"/>
        <v>0</v>
      </c>
      <c r="CX625" s="610">
        <f t="shared" si="769"/>
        <v>90241.87899305344</v>
      </c>
      <c r="CY625" s="611">
        <f t="shared" si="769"/>
        <v>88282.531068392927</v>
      </c>
      <c r="CZ625" s="605">
        <f t="shared" si="770"/>
        <v>225</v>
      </c>
      <c r="DA625" s="612">
        <f t="shared" si="770"/>
        <v>228</v>
      </c>
      <c r="DB625" s="607">
        <f t="shared" si="771"/>
        <v>188</v>
      </c>
      <c r="DC625" s="606">
        <f t="shared" si="771"/>
        <v>187</v>
      </c>
      <c r="DD625" s="607">
        <f t="shared" si="772"/>
        <v>162</v>
      </c>
      <c r="DE625" s="606">
        <f t="shared" si="772"/>
        <v>165</v>
      </c>
      <c r="DF625" s="607">
        <f t="shared" si="773"/>
        <v>27</v>
      </c>
      <c r="DG625" s="606">
        <f t="shared" si="773"/>
        <v>37</v>
      </c>
      <c r="DH625" s="607">
        <f t="shared" si="774"/>
        <v>10</v>
      </c>
      <c r="DI625" s="608">
        <f t="shared" si="774"/>
        <v>11</v>
      </c>
      <c r="DJ625" s="607">
        <f t="shared" si="775"/>
        <v>0</v>
      </c>
      <c r="DK625" s="608">
        <f t="shared" si="775"/>
        <v>0</v>
      </c>
      <c r="DL625" s="607">
        <f t="shared" si="776"/>
        <v>612</v>
      </c>
      <c r="DM625" s="608">
        <f t="shared" si="776"/>
        <v>628</v>
      </c>
      <c r="DN625" s="607">
        <f t="shared" si="777"/>
        <v>26354893.783005282</v>
      </c>
      <c r="DO625" s="612">
        <f t="shared" si="777"/>
        <v>26477770.722813513</v>
      </c>
      <c r="DP625" s="607">
        <f t="shared" si="777"/>
        <v>16306748.486612339</v>
      </c>
      <c r="DQ625" s="606">
        <f t="shared" si="777"/>
        <v>15798294.884482758</v>
      </c>
      <c r="DR625" s="607">
        <f t="shared" si="777"/>
        <v>10668431.641304348</v>
      </c>
      <c r="DS625" s="606">
        <f t="shared" si="777"/>
        <v>10685359.435215946</v>
      </c>
      <c r="DT625" s="607">
        <f t="shared" si="777"/>
        <v>1230232.6285714286</v>
      </c>
      <c r="DU625" s="606">
        <f t="shared" si="777"/>
        <v>1770127.3255813953</v>
      </c>
      <c r="DV625" s="607">
        <f t="shared" si="777"/>
        <v>667723.40425531915</v>
      </c>
      <c r="DW625" s="608">
        <f t="shared" si="777"/>
        <v>709877.14285714284</v>
      </c>
      <c r="DX625" s="607">
        <f t="shared" si="777"/>
        <v>0</v>
      </c>
      <c r="DY625" s="608">
        <f t="shared" si="777"/>
        <v>0</v>
      </c>
      <c r="DZ625" s="607">
        <f t="shared" si="777"/>
        <v>55228029.943748705</v>
      </c>
      <c r="EA625" s="608">
        <f t="shared" si="777"/>
        <v>55441429.510950759</v>
      </c>
    </row>
    <row r="626" spans="1:131" x14ac:dyDescent="0.2">
      <c r="A626" s="473" t="s">
        <v>44</v>
      </c>
      <c r="B626" s="474" t="s">
        <v>1029</v>
      </c>
      <c r="C626" s="567"/>
      <c r="D626" s="473">
        <v>234030</v>
      </c>
      <c r="E626" s="476">
        <v>2</v>
      </c>
      <c r="F626" s="598">
        <v>135</v>
      </c>
      <c r="G626" s="599">
        <v>25</v>
      </c>
      <c r="H626" s="600"/>
      <c r="I626" s="601">
        <v>1</v>
      </c>
      <c r="J626" s="600">
        <v>72</v>
      </c>
      <c r="K626" s="599"/>
      <c r="L626" s="600"/>
      <c r="M626" s="601">
        <v>187</v>
      </c>
      <c r="N626" s="600">
        <v>234</v>
      </c>
      <c r="O626" s="599">
        <v>63</v>
      </c>
      <c r="P626" s="600"/>
      <c r="Q626" s="601">
        <v>2</v>
      </c>
      <c r="R626" s="600">
        <v>88</v>
      </c>
      <c r="S626" s="599"/>
      <c r="T626" s="600"/>
      <c r="U626" s="601">
        <v>266</v>
      </c>
      <c r="V626" s="600">
        <v>230</v>
      </c>
      <c r="W626" s="599">
        <v>208</v>
      </c>
      <c r="X626" s="600"/>
      <c r="Y626" s="601">
        <v>3</v>
      </c>
      <c r="Z626" s="600">
        <v>148</v>
      </c>
      <c r="AA626" s="599"/>
      <c r="AB626" s="600"/>
      <c r="AC626" s="601">
        <v>174</v>
      </c>
      <c r="AD626" s="600">
        <v>122</v>
      </c>
      <c r="AE626" s="599">
        <v>97</v>
      </c>
      <c r="AF626" s="600"/>
      <c r="AG626" s="601">
        <v>6</v>
      </c>
      <c r="AH626" s="600">
        <v>96</v>
      </c>
      <c r="AI626" s="599"/>
      <c r="AJ626" s="600"/>
      <c r="AK626" s="601">
        <v>104</v>
      </c>
      <c r="AL626" s="600"/>
      <c r="AM626" s="599"/>
      <c r="AN626" s="600"/>
      <c r="AO626" s="601"/>
      <c r="AP626" s="600"/>
      <c r="AQ626" s="599"/>
      <c r="AR626" s="600"/>
      <c r="AS626" s="601"/>
      <c r="AT626" s="600"/>
      <c r="AU626" s="599"/>
      <c r="AV626" s="600"/>
      <c r="AW626" s="601"/>
      <c r="AX626" s="600"/>
      <c r="AY626" s="599"/>
      <c r="AZ626" s="600"/>
      <c r="BA626" s="601"/>
      <c r="BB626" s="602">
        <v>24989778</v>
      </c>
      <c r="BC626" s="599">
        <v>26553409</v>
      </c>
      <c r="BD626" s="600">
        <v>27035586</v>
      </c>
      <c r="BE626" s="599">
        <v>27859180</v>
      </c>
      <c r="BF626" s="600">
        <v>26390234</v>
      </c>
      <c r="BG626" s="599">
        <v>27538630</v>
      </c>
      <c r="BH626" s="600">
        <v>11918950</v>
      </c>
      <c r="BI626" s="599">
        <v>11308408</v>
      </c>
      <c r="BJ626" s="600">
        <v>0</v>
      </c>
      <c r="BK626" s="615"/>
      <c r="BL626" s="600">
        <v>0</v>
      </c>
      <c r="BM626" s="604"/>
      <c r="BN626" s="605">
        <f t="shared" si="761"/>
        <v>2007</v>
      </c>
      <c r="BO626" s="606">
        <f t="shared" si="761"/>
        <v>2479</v>
      </c>
      <c r="BP626" s="607">
        <f t="shared" si="762"/>
        <v>3074</v>
      </c>
      <c r="BQ626" s="606">
        <f t="shared" si="762"/>
        <v>3779</v>
      </c>
      <c r="BR626" s="607">
        <f t="shared" si="763"/>
        <v>3698</v>
      </c>
      <c r="BS626" s="606">
        <f t="shared" si="763"/>
        <v>3990</v>
      </c>
      <c r="BT626" s="607">
        <f t="shared" si="764"/>
        <v>2154</v>
      </c>
      <c r="BU626" s="606">
        <f t="shared" si="764"/>
        <v>2181</v>
      </c>
      <c r="BV626" s="607">
        <f t="shared" si="765"/>
        <v>0</v>
      </c>
      <c r="BW626" s="608">
        <f t="shared" si="765"/>
        <v>0</v>
      </c>
      <c r="BX626" s="607">
        <f t="shared" si="766"/>
        <v>0</v>
      </c>
      <c r="BY626" s="608">
        <f t="shared" si="766"/>
        <v>0</v>
      </c>
      <c r="BZ626" s="607">
        <f t="shared" si="767"/>
        <v>12451.309417040358</v>
      </c>
      <c r="CA626" s="608">
        <f t="shared" si="767"/>
        <v>10711.338846308996</v>
      </c>
      <c r="CB626" s="607">
        <f t="shared" si="767"/>
        <v>8794.9206245933638</v>
      </c>
      <c r="CC626" s="608">
        <f t="shared" si="767"/>
        <v>7372.1037311458058</v>
      </c>
      <c r="CD626" s="607">
        <f t="shared" si="767"/>
        <v>7136.3531638723634</v>
      </c>
      <c r="CE626" s="608">
        <f t="shared" si="767"/>
        <v>6901.9122807017548</v>
      </c>
      <c r="CF626" s="607">
        <f t="shared" si="767"/>
        <v>5533.4029712163419</v>
      </c>
      <c r="CG626" s="608">
        <f t="shared" si="767"/>
        <v>5184.9646950939932</v>
      </c>
      <c r="CH626" s="607">
        <f t="shared" si="767"/>
        <v>0</v>
      </c>
      <c r="CI626" s="608">
        <f t="shared" si="767"/>
        <v>0</v>
      </c>
      <c r="CJ626" s="607">
        <f t="shared" si="767"/>
        <v>0</v>
      </c>
      <c r="CK626" s="608">
        <f t="shared" si="767"/>
        <v>0</v>
      </c>
      <c r="CL626" s="609">
        <f t="shared" si="768"/>
        <v>112061.78475336323</v>
      </c>
      <c r="CM626" s="608">
        <f t="shared" si="768"/>
        <v>96402.049616780962</v>
      </c>
      <c r="CN626" s="610">
        <f t="shared" si="768"/>
        <v>79154.28562134027</v>
      </c>
      <c r="CO626" s="606">
        <f t="shared" si="768"/>
        <v>66348.933580312252</v>
      </c>
      <c r="CP626" s="607">
        <f t="shared" si="768"/>
        <v>64227.178474851273</v>
      </c>
      <c r="CQ626" s="606">
        <f t="shared" si="768"/>
        <v>62117.210526315794</v>
      </c>
      <c r="CR626" s="607">
        <f t="shared" si="768"/>
        <v>49800.626740947075</v>
      </c>
      <c r="CS626" s="606">
        <f t="shared" si="768"/>
        <v>46664.682255845939</v>
      </c>
      <c r="CT626" s="607">
        <f t="shared" si="768"/>
        <v>0</v>
      </c>
      <c r="CU626" s="608">
        <f t="shared" si="768"/>
        <v>0</v>
      </c>
      <c r="CV626" s="610">
        <f t="shared" si="768"/>
        <v>0</v>
      </c>
      <c r="CW626" s="608">
        <f t="shared" si="768"/>
        <v>0</v>
      </c>
      <c r="CX626" s="610">
        <f t="shared" si="769"/>
        <v>74505.670672922657</v>
      </c>
      <c r="CY626" s="611">
        <f t="shared" si="769"/>
        <v>66962.895125923751</v>
      </c>
      <c r="CZ626" s="605">
        <f t="shared" si="770"/>
        <v>207</v>
      </c>
      <c r="DA626" s="612">
        <f t="shared" si="770"/>
        <v>213</v>
      </c>
      <c r="DB626" s="607">
        <f t="shared" si="771"/>
        <v>322</v>
      </c>
      <c r="DC626" s="606">
        <f t="shared" si="771"/>
        <v>331</v>
      </c>
      <c r="DD626" s="607">
        <f t="shared" si="772"/>
        <v>378</v>
      </c>
      <c r="DE626" s="606">
        <f t="shared" si="772"/>
        <v>385</v>
      </c>
      <c r="DF626" s="607">
        <f t="shared" si="773"/>
        <v>218</v>
      </c>
      <c r="DG626" s="606">
        <f t="shared" si="773"/>
        <v>207</v>
      </c>
      <c r="DH626" s="607">
        <f t="shared" si="774"/>
        <v>0</v>
      </c>
      <c r="DI626" s="608">
        <f t="shared" si="774"/>
        <v>0</v>
      </c>
      <c r="DJ626" s="607">
        <f t="shared" si="775"/>
        <v>0</v>
      </c>
      <c r="DK626" s="608">
        <f t="shared" si="775"/>
        <v>0</v>
      </c>
      <c r="DL626" s="607">
        <f t="shared" si="776"/>
        <v>1125</v>
      </c>
      <c r="DM626" s="608">
        <f t="shared" si="776"/>
        <v>1136</v>
      </c>
      <c r="DN626" s="607">
        <f t="shared" si="777"/>
        <v>23196789.44394619</v>
      </c>
      <c r="DO626" s="612">
        <f t="shared" si="777"/>
        <v>20533636.568374343</v>
      </c>
      <c r="DP626" s="607">
        <f t="shared" si="777"/>
        <v>25487679.970071565</v>
      </c>
      <c r="DQ626" s="606">
        <f t="shared" si="777"/>
        <v>21961497.015083354</v>
      </c>
      <c r="DR626" s="607">
        <f t="shared" si="777"/>
        <v>24277873.463493779</v>
      </c>
      <c r="DS626" s="606">
        <f t="shared" si="777"/>
        <v>23915126.052631579</v>
      </c>
      <c r="DT626" s="607">
        <f t="shared" si="777"/>
        <v>10856536.629526462</v>
      </c>
      <c r="DU626" s="606">
        <f t="shared" si="777"/>
        <v>9659589.2269601095</v>
      </c>
      <c r="DV626" s="607">
        <f t="shared" si="777"/>
        <v>0</v>
      </c>
      <c r="DW626" s="608">
        <f t="shared" si="777"/>
        <v>0</v>
      </c>
      <c r="DX626" s="607">
        <f t="shared" si="777"/>
        <v>0</v>
      </c>
      <c r="DY626" s="608">
        <f t="shared" si="777"/>
        <v>0</v>
      </c>
      <c r="DZ626" s="607">
        <f t="shared" si="777"/>
        <v>83818879.507037982</v>
      </c>
      <c r="EA626" s="608">
        <f t="shared" si="777"/>
        <v>76069848.863049388</v>
      </c>
    </row>
    <row r="627" spans="1:131" x14ac:dyDescent="0.2">
      <c r="A627" s="473" t="s">
        <v>44</v>
      </c>
      <c r="B627" s="478" t="s">
        <v>1030</v>
      </c>
      <c r="C627" s="568"/>
      <c r="D627" s="473">
        <v>232423</v>
      </c>
      <c r="E627" s="476">
        <v>3</v>
      </c>
      <c r="F627" s="598">
        <v>227</v>
      </c>
      <c r="G627" s="599"/>
      <c r="H627" s="600"/>
      <c r="I627" s="601">
        <v>215</v>
      </c>
      <c r="J627" s="600">
        <v>51</v>
      </c>
      <c r="K627" s="599"/>
      <c r="L627" s="600"/>
      <c r="M627" s="601">
        <v>55</v>
      </c>
      <c r="N627" s="600">
        <v>217</v>
      </c>
      <c r="O627" s="599"/>
      <c r="P627" s="600"/>
      <c r="Q627" s="601">
        <v>235</v>
      </c>
      <c r="R627" s="600">
        <v>19</v>
      </c>
      <c r="S627" s="599"/>
      <c r="T627" s="600"/>
      <c r="U627" s="601">
        <v>19</v>
      </c>
      <c r="V627" s="600">
        <v>269</v>
      </c>
      <c r="W627" s="599"/>
      <c r="X627" s="600"/>
      <c r="Y627" s="601">
        <v>271</v>
      </c>
      <c r="Z627" s="600">
        <v>11</v>
      </c>
      <c r="AA627" s="599"/>
      <c r="AB627" s="600"/>
      <c r="AC627" s="601">
        <v>10</v>
      </c>
      <c r="AD627" s="600">
        <v>117</v>
      </c>
      <c r="AE627" s="599"/>
      <c r="AF627" s="600"/>
      <c r="AG627" s="601">
        <v>60</v>
      </c>
      <c r="AH627" s="600">
        <v>13</v>
      </c>
      <c r="AI627" s="599"/>
      <c r="AJ627" s="600"/>
      <c r="AK627" s="601">
        <v>9</v>
      </c>
      <c r="AL627" s="600"/>
      <c r="AM627" s="599"/>
      <c r="AN627" s="600"/>
      <c r="AO627" s="601">
        <v>61</v>
      </c>
      <c r="AP627" s="600"/>
      <c r="AQ627" s="599"/>
      <c r="AR627" s="600"/>
      <c r="AS627" s="601">
        <v>5</v>
      </c>
      <c r="AT627" s="600"/>
      <c r="AU627" s="599"/>
      <c r="AV627" s="600"/>
      <c r="AW627" s="601"/>
      <c r="AX627" s="600"/>
      <c r="AY627" s="599"/>
      <c r="AZ627" s="600"/>
      <c r="BA627" s="601"/>
      <c r="BB627" s="602">
        <v>25367012</v>
      </c>
      <c r="BC627" s="599">
        <v>24823643</v>
      </c>
      <c r="BD627" s="600">
        <v>16037652</v>
      </c>
      <c r="BE627" s="599">
        <v>17443574</v>
      </c>
      <c r="BF627" s="600">
        <v>17066267</v>
      </c>
      <c r="BG627" s="599">
        <v>17365357</v>
      </c>
      <c r="BH627" s="600">
        <v>6780618</v>
      </c>
      <c r="BI627" s="599">
        <v>3820880</v>
      </c>
      <c r="BJ627" s="600">
        <v>0</v>
      </c>
      <c r="BK627" s="615">
        <v>3475030</v>
      </c>
      <c r="BL627" s="600">
        <v>0</v>
      </c>
      <c r="BM627" s="604"/>
      <c r="BN627" s="605">
        <f t="shared" si="761"/>
        <v>2604</v>
      </c>
      <c r="BO627" s="606">
        <f t="shared" si="761"/>
        <v>2810</v>
      </c>
      <c r="BP627" s="607">
        <f t="shared" si="762"/>
        <v>2162</v>
      </c>
      <c r="BQ627" s="606">
        <f t="shared" si="762"/>
        <v>2578</v>
      </c>
      <c r="BR627" s="607">
        <f t="shared" si="763"/>
        <v>2542</v>
      </c>
      <c r="BS627" s="606">
        <f t="shared" si="763"/>
        <v>2830</v>
      </c>
      <c r="BT627" s="607">
        <f t="shared" si="764"/>
        <v>1196</v>
      </c>
      <c r="BU627" s="606">
        <f t="shared" si="764"/>
        <v>708</v>
      </c>
      <c r="BV627" s="607">
        <f t="shared" si="765"/>
        <v>0</v>
      </c>
      <c r="BW627" s="608">
        <f t="shared" si="765"/>
        <v>670</v>
      </c>
      <c r="BX627" s="607">
        <f t="shared" si="766"/>
        <v>0</v>
      </c>
      <c r="BY627" s="608">
        <f t="shared" si="766"/>
        <v>0</v>
      </c>
      <c r="BZ627" s="607">
        <f t="shared" si="767"/>
        <v>9741.5560675883262</v>
      </c>
      <c r="CA627" s="608">
        <f t="shared" si="767"/>
        <v>8834.0366548042712</v>
      </c>
      <c r="CB627" s="607">
        <f t="shared" si="767"/>
        <v>7417.9703977798335</v>
      </c>
      <c r="CC627" s="608">
        <f t="shared" si="767"/>
        <v>6766.3204034134988</v>
      </c>
      <c r="CD627" s="607">
        <f t="shared" si="767"/>
        <v>6713.7163650668763</v>
      </c>
      <c r="CE627" s="608">
        <f t="shared" si="767"/>
        <v>6136.1685512367494</v>
      </c>
      <c r="CF627" s="607">
        <f t="shared" si="767"/>
        <v>5669.413043478261</v>
      </c>
      <c r="CG627" s="608">
        <f t="shared" si="767"/>
        <v>5396.7231638418079</v>
      </c>
      <c r="CH627" s="607">
        <f t="shared" si="767"/>
        <v>0</v>
      </c>
      <c r="CI627" s="608">
        <f t="shared" si="767"/>
        <v>5186.6119402985078</v>
      </c>
      <c r="CJ627" s="607">
        <f t="shared" si="767"/>
        <v>0</v>
      </c>
      <c r="CK627" s="608">
        <f t="shared" si="767"/>
        <v>0</v>
      </c>
      <c r="CL627" s="609">
        <f t="shared" si="768"/>
        <v>87674.004608294941</v>
      </c>
      <c r="CM627" s="608">
        <f t="shared" si="768"/>
        <v>79506.329893238435</v>
      </c>
      <c r="CN627" s="610">
        <f t="shared" si="768"/>
        <v>66761.733580018496</v>
      </c>
      <c r="CO627" s="606">
        <f t="shared" si="768"/>
        <v>60896.883630721488</v>
      </c>
      <c r="CP627" s="607">
        <f t="shared" si="768"/>
        <v>60423.447285601884</v>
      </c>
      <c r="CQ627" s="606">
        <f t="shared" si="768"/>
        <v>55225.516961130743</v>
      </c>
      <c r="CR627" s="607">
        <f t="shared" si="768"/>
        <v>51024.717391304352</v>
      </c>
      <c r="CS627" s="606">
        <f t="shared" si="768"/>
        <v>48570.508474576272</v>
      </c>
      <c r="CT627" s="607">
        <f t="shared" si="768"/>
        <v>0</v>
      </c>
      <c r="CU627" s="608">
        <f t="shared" si="768"/>
        <v>46679.507462686568</v>
      </c>
      <c r="CV627" s="610">
        <f t="shared" si="768"/>
        <v>0</v>
      </c>
      <c r="CW627" s="608">
        <f t="shared" si="768"/>
        <v>0</v>
      </c>
      <c r="CX627" s="610">
        <f t="shared" si="769"/>
        <v>68918.745570160652</v>
      </c>
      <c r="CY627" s="611">
        <f t="shared" si="769"/>
        <v>62643.723783764312</v>
      </c>
      <c r="CZ627" s="605">
        <f t="shared" si="770"/>
        <v>278</v>
      </c>
      <c r="DA627" s="612">
        <f t="shared" si="770"/>
        <v>270</v>
      </c>
      <c r="DB627" s="607">
        <f t="shared" si="771"/>
        <v>236</v>
      </c>
      <c r="DC627" s="606">
        <f t="shared" si="771"/>
        <v>254</v>
      </c>
      <c r="DD627" s="607">
        <f t="shared" si="772"/>
        <v>280</v>
      </c>
      <c r="DE627" s="606">
        <f t="shared" si="772"/>
        <v>281</v>
      </c>
      <c r="DF627" s="607">
        <f t="shared" si="773"/>
        <v>130</v>
      </c>
      <c r="DG627" s="606">
        <f t="shared" si="773"/>
        <v>69</v>
      </c>
      <c r="DH627" s="607">
        <f t="shared" si="774"/>
        <v>0</v>
      </c>
      <c r="DI627" s="608">
        <f t="shared" si="774"/>
        <v>66</v>
      </c>
      <c r="DJ627" s="607">
        <f t="shared" si="775"/>
        <v>0</v>
      </c>
      <c r="DK627" s="608">
        <f t="shared" si="775"/>
        <v>0</v>
      </c>
      <c r="DL627" s="607">
        <f t="shared" si="776"/>
        <v>924</v>
      </c>
      <c r="DM627" s="608">
        <f t="shared" si="776"/>
        <v>940</v>
      </c>
      <c r="DN627" s="607">
        <f t="shared" si="777"/>
        <v>24373373.281105995</v>
      </c>
      <c r="DO627" s="612">
        <f t="shared" si="777"/>
        <v>21466709.071174376</v>
      </c>
      <c r="DP627" s="607">
        <f t="shared" si="777"/>
        <v>15755769.124884365</v>
      </c>
      <c r="DQ627" s="606">
        <f t="shared" si="777"/>
        <v>15467808.442203257</v>
      </c>
      <c r="DR627" s="607">
        <f t="shared" si="777"/>
        <v>16918565.239968527</v>
      </c>
      <c r="DS627" s="606">
        <f t="shared" si="777"/>
        <v>15518370.266077738</v>
      </c>
      <c r="DT627" s="607">
        <f t="shared" si="777"/>
        <v>6633213.2608695654</v>
      </c>
      <c r="DU627" s="606">
        <f t="shared" si="777"/>
        <v>3351365.0847457629</v>
      </c>
      <c r="DV627" s="607">
        <f t="shared" si="777"/>
        <v>0</v>
      </c>
      <c r="DW627" s="608">
        <f t="shared" si="777"/>
        <v>3080847.4925373136</v>
      </c>
      <c r="DX627" s="607">
        <f t="shared" si="777"/>
        <v>0</v>
      </c>
      <c r="DY627" s="608">
        <f t="shared" si="777"/>
        <v>0</v>
      </c>
      <c r="DZ627" s="607">
        <f t="shared" si="777"/>
        <v>63680920.906828441</v>
      </c>
      <c r="EA627" s="608">
        <f t="shared" si="777"/>
        <v>58885100.356738456</v>
      </c>
    </row>
    <row r="628" spans="1:131" x14ac:dyDescent="0.2">
      <c r="A628" s="473" t="s">
        <v>44</v>
      </c>
      <c r="B628" s="474" t="s">
        <v>1031</v>
      </c>
      <c r="C628" s="567"/>
      <c r="D628" s="477">
        <v>232937</v>
      </c>
      <c r="E628" s="497">
        <v>3</v>
      </c>
      <c r="F628" s="598">
        <v>56</v>
      </c>
      <c r="G628" s="599">
        <v>57</v>
      </c>
      <c r="H628" s="600"/>
      <c r="I628" s="601"/>
      <c r="J628" s="600">
        <v>16</v>
      </c>
      <c r="K628" s="599"/>
      <c r="L628" s="600"/>
      <c r="M628" s="601">
        <v>14</v>
      </c>
      <c r="N628" s="600">
        <v>50</v>
      </c>
      <c r="O628" s="599">
        <v>52</v>
      </c>
      <c r="P628" s="600"/>
      <c r="Q628" s="601"/>
      <c r="R628" s="600">
        <v>9</v>
      </c>
      <c r="S628" s="599"/>
      <c r="T628" s="600"/>
      <c r="U628" s="601">
        <v>12</v>
      </c>
      <c r="V628" s="600">
        <v>74</v>
      </c>
      <c r="W628" s="599">
        <v>84</v>
      </c>
      <c r="X628" s="600"/>
      <c r="Y628" s="601"/>
      <c r="Z628" s="600">
        <v>6</v>
      </c>
      <c r="AA628" s="599"/>
      <c r="AB628" s="600"/>
      <c r="AC628" s="601">
        <v>5</v>
      </c>
      <c r="AD628" s="600">
        <v>45</v>
      </c>
      <c r="AE628" s="599">
        <v>45</v>
      </c>
      <c r="AF628" s="600"/>
      <c r="AG628" s="601"/>
      <c r="AH628" s="600">
        <v>6</v>
      </c>
      <c r="AI628" s="599"/>
      <c r="AJ628" s="600"/>
      <c r="AK628" s="601">
        <v>6</v>
      </c>
      <c r="AL628" s="600"/>
      <c r="AM628" s="599"/>
      <c r="AN628" s="600"/>
      <c r="AO628" s="601"/>
      <c r="AP628" s="600"/>
      <c r="AQ628" s="599"/>
      <c r="AR628" s="600"/>
      <c r="AS628" s="601">
        <v>3</v>
      </c>
      <c r="AT628" s="600"/>
      <c r="AU628" s="599"/>
      <c r="AV628" s="600"/>
      <c r="AW628" s="601"/>
      <c r="AX628" s="600"/>
      <c r="AY628" s="599"/>
      <c r="AZ628" s="600"/>
      <c r="BA628" s="601"/>
      <c r="BB628" s="602">
        <v>6358472</v>
      </c>
      <c r="BC628" s="599">
        <v>6301757</v>
      </c>
      <c r="BD628" s="600">
        <v>4301271</v>
      </c>
      <c r="BE628" s="599">
        <v>4719853</v>
      </c>
      <c r="BF628" s="600">
        <v>4761138</v>
      </c>
      <c r="BG628" s="599">
        <v>5311741</v>
      </c>
      <c r="BH628" s="600">
        <v>2739126</v>
      </c>
      <c r="BI628" s="599">
        <v>2752011</v>
      </c>
      <c r="BJ628" s="600">
        <v>0</v>
      </c>
      <c r="BK628" s="615">
        <v>184101</v>
      </c>
      <c r="BL628" s="600">
        <v>0</v>
      </c>
      <c r="BM628" s="604"/>
      <c r="BN628" s="605">
        <f t="shared" ref="BN628:BN659" si="778">((F628*9)+(H628*10)+(J628*11)+(L628*12))</f>
        <v>680</v>
      </c>
      <c r="BO628" s="606">
        <f t="shared" ref="BO628:BO659" si="779">((G628*9)+(I628*10)+(K628*11)+(M628*12))</f>
        <v>681</v>
      </c>
      <c r="BP628" s="607">
        <f t="shared" ref="BP628:BP659" si="780">((N628*9)+(P628*10)+(R628*11)+(T628*12))</f>
        <v>549</v>
      </c>
      <c r="BQ628" s="606">
        <f t="shared" ref="BQ628:BQ659" si="781">((O628*9)+(Q628*10)+(S628*11)+(U628*12))</f>
        <v>612</v>
      </c>
      <c r="BR628" s="607">
        <f t="shared" ref="BR628:BR659" si="782">((V628*9)+(X628*10)+(Z628*11)+(AB628*12))</f>
        <v>732</v>
      </c>
      <c r="BS628" s="606">
        <f t="shared" ref="BS628:BS659" si="783">((W628*9)+(Y628*10)+(AA628*11)+(AC628*12))</f>
        <v>816</v>
      </c>
      <c r="BT628" s="607">
        <f t="shared" ref="BT628:BT659" si="784">((AD628*9)+(AF628*10)+(AH628*11)+(AJ628*12))</f>
        <v>471</v>
      </c>
      <c r="BU628" s="606">
        <f t="shared" ref="BU628:BU659" si="785">((AE628*9)+(AG628*10)+(AI628*11)+(AK628*12))</f>
        <v>477</v>
      </c>
      <c r="BV628" s="607">
        <f t="shared" ref="BV628:BV659" si="786">((AL628*9)+(AN628*10)+(AP628*11)+(AR628*12))</f>
        <v>0</v>
      </c>
      <c r="BW628" s="608">
        <f t="shared" ref="BW628:BW659" si="787">((AM628*9)+(AO628*10)+(AQ628*11)+(AS628*12))</f>
        <v>36</v>
      </c>
      <c r="BX628" s="607">
        <f t="shared" ref="BX628:BX659" si="788">((AT628*9)+(AV628*10)+(AX628*11)+(AZ628*12))</f>
        <v>0</v>
      </c>
      <c r="BY628" s="608">
        <f t="shared" ref="BY628:BY659" si="789">((AU628*9)+(AW628*10)+(AY628*11)+(BA628*12))</f>
        <v>0</v>
      </c>
      <c r="BZ628" s="607">
        <f t="shared" ref="BZ628:BZ659" si="790">IF(BN628&gt;0,BB628/BN628,)</f>
        <v>9350.6941176470591</v>
      </c>
      <c r="CA628" s="608">
        <f t="shared" ref="CA628:CA659" si="791">IF(BO628&gt;0,BC628/BO628,)</f>
        <v>9253.6813509544791</v>
      </c>
      <c r="CB628" s="607">
        <f t="shared" ref="CB628:CB659" si="792">IF(BP628&gt;0,BD628/BP628,)</f>
        <v>7834.7377049180332</v>
      </c>
      <c r="CC628" s="608">
        <f t="shared" ref="CC628:CC659" si="793">IF(BQ628&gt;0,BE628/BQ628,)</f>
        <v>7712.1781045751632</v>
      </c>
      <c r="CD628" s="607">
        <f t="shared" ref="CD628:CD659" si="794">IF(BR628&gt;0,BF628/BR628,)</f>
        <v>6504.2868852459014</v>
      </c>
      <c r="CE628" s="608">
        <f t="shared" ref="CE628:CE659" si="795">IF(BS628&gt;0,BG628/BS628,)</f>
        <v>6509.4865196078435</v>
      </c>
      <c r="CF628" s="607">
        <f t="shared" ref="CF628:CF659" si="796">IF(BT628&gt;0,BH628/BT628,)</f>
        <v>5815.5541401273886</v>
      </c>
      <c r="CG628" s="608">
        <f t="shared" ref="CG628:CG659" si="797">IF(BU628&gt;0,BI628/BU628,)</f>
        <v>5769.4150943396226</v>
      </c>
      <c r="CH628" s="607">
        <f t="shared" ref="CH628:CH659" si="798">IF(BV628&gt;0,BJ628/BV628,)</f>
        <v>0</v>
      </c>
      <c r="CI628" s="608">
        <f t="shared" ref="CI628:CI659" si="799">IF(BW628&gt;0,BK628/BW628,)</f>
        <v>5113.916666666667</v>
      </c>
      <c r="CJ628" s="607">
        <f t="shared" ref="CJ628:CJ659" si="800">IF(BX628&gt;0,BL628/BX628,)</f>
        <v>0</v>
      </c>
      <c r="CK628" s="608">
        <f t="shared" ref="CK628:CK659" si="801">IF(BY628&gt;0,BM628/BY628,)</f>
        <v>0</v>
      </c>
      <c r="CL628" s="609">
        <f t="shared" ref="CL628:CL659" si="802">+BZ628*9</f>
        <v>84156.24705882353</v>
      </c>
      <c r="CM628" s="608">
        <f t="shared" ref="CM628:CM659" si="803">+CA628*9</f>
        <v>83283.132158590306</v>
      </c>
      <c r="CN628" s="610">
        <f t="shared" ref="CN628:CN659" si="804">+CB628*9</f>
        <v>70512.639344262294</v>
      </c>
      <c r="CO628" s="606">
        <f t="shared" ref="CO628:CO659" si="805">+CC628*9</f>
        <v>69409.602941176476</v>
      </c>
      <c r="CP628" s="607">
        <f t="shared" ref="CP628:CP659" si="806">+CD628*9</f>
        <v>58538.581967213111</v>
      </c>
      <c r="CQ628" s="606">
        <f t="shared" ref="CQ628:CQ659" si="807">+CE628*9</f>
        <v>58585.378676470595</v>
      </c>
      <c r="CR628" s="607">
        <f t="shared" ref="CR628:CR659" si="808">+CF628*9</f>
        <v>52339.987261146496</v>
      </c>
      <c r="CS628" s="606">
        <f t="shared" ref="CS628:CS659" si="809">+CG628*9</f>
        <v>51924.735849056604</v>
      </c>
      <c r="CT628" s="607">
        <f t="shared" ref="CT628:CT659" si="810">+CH628*9</f>
        <v>0</v>
      </c>
      <c r="CU628" s="608">
        <f t="shared" ref="CU628:CU659" si="811">+CI628*9</f>
        <v>46025.25</v>
      </c>
      <c r="CV628" s="610">
        <f t="shared" ref="CV628:CV659" si="812">+CJ628*9</f>
        <v>0</v>
      </c>
      <c r="CW628" s="608">
        <f t="shared" ref="CW628:CW659" si="813">+CK628*9</f>
        <v>0</v>
      </c>
      <c r="CX628" s="610">
        <f t="shared" ref="CX628:CX659" si="814">IF(DL628&gt;0,((CL628*CZ628)+(CN628*DB628)+(CP628*DD628)+(CR628*DF628)+(CT628*DH628)+(CV628*DJ628))/DL628,)</f>
        <v>67068.402355886603</v>
      </c>
      <c r="CY628" s="611">
        <f t="shared" ref="CY628:CY659" si="815">IF(DM628&gt;0,((CM628*DA628)+(CO628*DC628)+(CQ628*DE628)+(CS628*DG628)+(CU628*DI628)+(CW628*DK628))/DM628,)</f>
        <v>66027.52860432725</v>
      </c>
      <c r="CZ628" s="605">
        <f t="shared" ref="CZ628:CZ659" si="816">+F628+H628+J628+L628</f>
        <v>72</v>
      </c>
      <c r="DA628" s="612">
        <f t="shared" ref="DA628:DA659" si="817">+G628+I628+K628+M628</f>
        <v>71</v>
      </c>
      <c r="DB628" s="607">
        <f t="shared" ref="DB628:DB659" si="818">+N628+P628+R628+T628</f>
        <v>59</v>
      </c>
      <c r="DC628" s="606">
        <f t="shared" ref="DC628:DC659" si="819">+O628+Q628+S628+U628</f>
        <v>64</v>
      </c>
      <c r="DD628" s="607">
        <f t="shared" ref="DD628:DD659" si="820">+V628+X628+Z628+AB628</f>
        <v>80</v>
      </c>
      <c r="DE628" s="606">
        <f t="shared" ref="DE628:DE659" si="821">+W628+Y628+AA628+AC628</f>
        <v>89</v>
      </c>
      <c r="DF628" s="607">
        <f t="shared" ref="DF628:DF659" si="822">+AD628+AF628+AH628+AJ628</f>
        <v>51</v>
      </c>
      <c r="DG628" s="606">
        <f t="shared" ref="DG628:DG659" si="823">+AE628+AG628+AI628+AK628</f>
        <v>51</v>
      </c>
      <c r="DH628" s="607">
        <f t="shared" ref="DH628:DH659" si="824">+AL628+AN628+AP628+AR628</f>
        <v>0</v>
      </c>
      <c r="DI628" s="608">
        <f t="shared" ref="DI628:DI659" si="825">+AM628+AO628+AQ628+AS628</f>
        <v>3</v>
      </c>
      <c r="DJ628" s="607">
        <f t="shared" ref="DJ628:DJ659" si="826">+AT628+AV628+AX628+AZ628</f>
        <v>0</v>
      </c>
      <c r="DK628" s="608">
        <f t="shared" ref="DK628:DK659" si="827">+AU628+AW628+AY628+BA628</f>
        <v>0</v>
      </c>
      <c r="DL628" s="607">
        <f t="shared" ref="DL628:DL659" si="828">+CZ628+DB628+DD628+DF628+DH628+DJ628</f>
        <v>262</v>
      </c>
      <c r="DM628" s="608">
        <f t="shared" ref="DM628:DM659" si="829">+DA628+DC628+DE628+DG628+DI628+DK628</f>
        <v>278</v>
      </c>
      <c r="DN628" s="607">
        <f t="shared" ref="DN628:DN659" si="830">+CZ628*CL628</f>
        <v>6059249.7882352937</v>
      </c>
      <c r="DO628" s="612">
        <f t="shared" ref="DO628:DO659" si="831">+DA628*CM628</f>
        <v>5913102.383259912</v>
      </c>
      <c r="DP628" s="607">
        <f t="shared" ref="DP628:DP659" si="832">+DB628*CN628</f>
        <v>4160245.7213114752</v>
      </c>
      <c r="DQ628" s="606">
        <f t="shared" ref="DQ628:DQ659" si="833">+DC628*CO628</f>
        <v>4442214.5882352944</v>
      </c>
      <c r="DR628" s="607">
        <f t="shared" ref="DR628:DR659" si="834">+DD628*CP628</f>
        <v>4683086.5573770488</v>
      </c>
      <c r="DS628" s="606">
        <f t="shared" ref="DS628:DS659" si="835">+DE628*CQ628</f>
        <v>5214098.7022058833</v>
      </c>
      <c r="DT628" s="607">
        <f t="shared" ref="DT628:DT659" si="836">+DF628*CR628</f>
        <v>2669339.3503184714</v>
      </c>
      <c r="DU628" s="606">
        <f t="shared" ref="DU628:DU659" si="837">+DG628*CS628</f>
        <v>2648161.5283018867</v>
      </c>
      <c r="DV628" s="607">
        <f t="shared" ref="DV628:DV659" si="838">+DH628*CT628</f>
        <v>0</v>
      </c>
      <c r="DW628" s="608">
        <f t="shared" ref="DW628:DW659" si="839">+DI628*CU628</f>
        <v>138075.75</v>
      </c>
      <c r="DX628" s="607">
        <f t="shared" ref="DX628:DX659" si="840">+DJ628*CV628</f>
        <v>0</v>
      </c>
      <c r="DY628" s="608">
        <f t="shared" ref="DY628:DY659" si="841">+DK628*CW628</f>
        <v>0</v>
      </c>
      <c r="DZ628" s="607">
        <f t="shared" ref="DZ628:DZ659" si="842">+DL628*CX628</f>
        <v>17571921.417242289</v>
      </c>
      <c r="EA628" s="608">
        <f t="shared" ref="EA628:EA659" si="843">+DM628*CY628</f>
        <v>18355652.952002976</v>
      </c>
    </row>
    <row r="629" spans="1:131" x14ac:dyDescent="0.2">
      <c r="A629" s="473" t="s">
        <v>44</v>
      </c>
      <c r="B629" s="474" t="s">
        <v>1032</v>
      </c>
      <c r="C629" s="567" t="s">
        <v>890</v>
      </c>
      <c r="D629" s="512">
        <v>232566</v>
      </c>
      <c r="E629" s="477">
        <v>4</v>
      </c>
      <c r="F629" s="598">
        <v>43</v>
      </c>
      <c r="G629" s="599">
        <v>47</v>
      </c>
      <c r="H629" s="600"/>
      <c r="I629" s="601"/>
      <c r="J629" s="600"/>
      <c r="K629" s="599"/>
      <c r="L629" s="600"/>
      <c r="M629" s="601"/>
      <c r="N629" s="600">
        <v>70</v>
      </c>
      <c r="O629" s="599">
        <v>68</v>
      </c>
      <c r="P629" s="600"/>
      <c r="Q629" s="601"/>
      <c r="R629" s="600">
        <v>3</v>
      </c>
      <c r="S629" s="599">
        <v>2</v>
      </c>
      <c r="T629" s="600"/>
      <c r="U629" s="601"/>
      <c r="V629" s="600">
        <v>71</v>
      </c>
      <c r="W629" s="599">
        <v>69</v>
      </c>
      <c r="X629" s="600"/>
      <c r="Y629" s="601"/>
      <c r="Z629" s="600">
        <v>1</v>
      </c>
      <c r="AA629" s="599"/>
      <c r="AB629" s="600"/>
      <c r="AC629" s="601"/>
      <c r="AD629" s="600">
        <v>1</v>
      </c>
      <c r="AE629" s="599">
        <v>2</v>
      </c>
      <c r="AF629" s="600"/>
      <c r="AG629" s="601"/>
      <c r="AH629" s="600">
        <v>1</v>
      </c>
      <c r="AI629" s="599"/>
      <c r="AJ629" s="600"/>
      <c r="AK629" s="601"/>
      <c r="AL629" s="600">
        <v>2</v>
      </c>
      <c r="AM629" s="599">
        <f>31+5</f>
        <v>36</v>
      </c>
      <c r="AN629" s="600"/>
      <c r="AO629" s="601"/>
      <c r="AP629" s="600"/>
      <c r="AQ629" s="599">
        <v>1</v>
      </c>
      <c r="AR629" s="600"/>
      <c r="AS629" s="601"/>
      <c r="AT629" s="600"/>
      <c r="AU629" s="599"/>
      <c r="AV629" s="600"/>
      <c r="AW629" s="601"/>
      <c r="AX629" s="600"/>
      <c r="AY629" s="599"/>
      <c r="AZ629" s="600"/>
      <c r="BA629" s="601"/>
      <c r="BB629" s="602">
        <v>3323728</v>
      </c>
      <c r="BC629" s="599">
        <v>3628160</v>
      </c>
      <c r="BD629" s="600">
        <v>4522417</v>
      </c>
      <c r="BE629" s="599">
        <v>4520263</v>
      </c>
      <c r="BF629" s="600">
        <v>3975426</v>
      </c>
      <c r="BG629" s="599">
        <v>3976311</v>
      </c>
      <c r="BH629" s="600">
        <v>129431</v>
      </c>
      <c r="BI629" s="599">
        <v>95000</v>
      </c>
      <c r="BJ629" s="600">
        <v>113000</v>
      </c>
      <c r="BK629" s="615">
        <f>1360674+284681</f>
        <v>1645355</v>
      </c>
      <c r="BL629" s="600">
        <v>0</v>
      </c>
      <c r="BM629" s="604"/>
      <c r="BN629" s="605">
        <f t="shared" si="778"/>
        <v>387</v>
      </c>
      <c r="BO629" s="606">
        <f t="shared" si="779"/>
        <v>423</v>
      </c>
      <c r="BP629" s="607">
        <f t="shared" si="780"/>
        <v>663</v>
      </c>
      <c r="BQ629" s="606">
        <f t="shared" si="781"/>
        <v>634</v>
      </c>
      <c r="BR629" s="607">
        <f t="shared" si="782"/>
        <v>650</v>
      </c>
      <c r="BS629" s="606">
        <f t="shared" si="783"/>
        <v>621</v>
      </c>
      <c r="BT629" s="607">
        <f t="shared" si="784"/>
        <v>20</v>
      </c>
      <c r="BU629" s="606">
        <f t="shared" si="785"/>
        <v>18</v>
      </c>
      <c r="BV629" s="607">
        <f t="shared" si="786"/>
        <v>18</v>
      </c>
      <c r="BW629" s="608">
        <f t="shared" si="787"/>
        <v>335</v>
      </c>
      <c r="BX629" s="607">
        <f t="shared" si="788"/>
        <v>0</v>
      </c>
      <c r="BY629" s="608">
        <f t="shared" si="789"/>
        <v>0</v>
      </c>
      <c r="BZ629" s="607">
        <f t="shared" si="790"/>
        <v>8588.4444444444453</v>
      </c>
      <c r="CA629" s="608">
        <f t="shared" si="791"/>
        <v>8577.2104018912523</v>
      </c>
      <c r="CB629" s="607">
        <f t="shared" si="792"/>
        <v>6821.1417797888389</v>
      </c>
      <c r="CC629" s="608">
        <f t="shared" si="793"/>
        <v>7129.7523659305998</v>
      </c>
      <c r="CD629" s="607">
        <f t="shared" si="794"/>
        <v>6116.04</v>
      </c>
      <c r="CE629" s="608">
        <f t="shared" si="795"/>
        <v>6403.0772946859906</v>
      </c>
      <c r="CF629" s="607">
        <f t="shared" si="796"/>
        <v>6471.55</v>
      </c>
      <c r="CG629" s="608">
        <f t="shared" si="797"/>
        <v>5277.7777777777774</v>
      </c>
      <c r="CH629" s="607">
        <f t="shared" si="798"/>
        <v>6277.7777777777774</v>
      </c>
      <c r="CI629" s="608">
        <f t="shared" si="799"/>
        <v>4911.5074626865671</v>
      </c>
      <c r="CJ629" s="607">
        <f t="shared" si="800"/>
        <v>0</v>
      </c>
      <c r="CK629" s="608">
        <f t="shared" si="801"/>
        <v>0</v>
      </c>
      <c r="CL629" s="609">
        <f t="shared" si="802"/>
        <v>77296</v>
      </c>
      <c r="CM629" s="608">
        <f t="shared" si="803"/>
        <v>77194.893617021269</v>
      </c>
      <c r="CN629" s="610">
        <f t="shared" si="804"/>
        <v>61390.276018099554</v>
      </c>
      <c r="CO629" s="606">
        <f t="shared" si="805"/>
        <v>64167.771293375401</v>
      </c>
      <c r="CP629" s="607">
        <f t="shared" si="806"/>
        <v>55044.36</v>
      </c>
      <c r="CQ629" s="606">
        <f t="shared" si="807"/>
        <v>57627.695652173919</v>
      </c>
      <c r="CR629" s="607">
        <f t="shared" si="808"/>
        <v>58243.950000000004</v>
      </c>
      <c r="CS629" s="606">
        <f t="shared" si="809"/>
        <v>47500</v>
      </c>
      <c r="CT629" s="607">
        <f t="shared" si="810"/>
        <v>56500</v>
      </c>
      <c r="CU629" s="608">
        <f t="shared" si="811"/>
        <v>44203.567164179105</v>
      </c>
      <c r="CV629" s="610">
        <f t="shared" si="812"/>
        <v>0</v>
      </c>
      <c r="CW629" s="608">
        <f t="shared" si="813"/>
        <v>0</v>
      </c>
      <c r="CX629" s="610">
        <f t="shared" si="814"/>
        <v>62489.062340214936</v>
      </c>
      <c r="CY629" s="611">
        <f t="shared" si="815"/>
        <v>61452.208780492911</v>
      </c>
      <c r="CZ629" s="605">
        <f t="shared" si="816"/>
        <v>43</v>
      </c>
      <c r="DA629" s="612">
        <f t="shared" si="817"/>
        <v>47</v>
      </c>
      <c r="DB629" s="607">
        <f t="shared" si="818"/>
        <v>73</v>
      </c>
      <c r="DC629" s="606">
        <f t="shared" si="819"/>
        <v>70</v>
      </c>
      <c r="DD629" s="607">
        <f t="shared" si="820"/>
        <v>72</v>
      </c>
      <c r="DE629" s="606">
        <f t="shared" si="821"/>
        <v>69</v>
      </c>
      <c r="DF629" s="607">
        <f t="shared" si="822"/>
        <v>2</v>
      </c>
      <c r="DG629" s="606">
        <f t="shared" si="823"/>
        <v>2</v>
      </c>
      <c r="DH629" s="607">
        <f t="shared" si="824"/>
        <v>2</v>
      </c>
      <c r="DI629" s="608">
        <f t="shared" si="825"/>
        <v>37</v>
      </c>
      <c r="DJ629" s="607">
        <f t="shared" si="826"/>
        <v>0</v>
      </c>
      <c r="DK629" s="608">
        <f t="shared" si="827"/>
        <v>0</v>
      </c>
      <c r="DL629" s="607">
        <f t="shared" si="828"/>
        <v>192</v>
      </c>
      <c r="DM629" s="608">
        <f t="shared" si="829"/>
        <v>225</v>
      </c>
      <c r="DN629" s="607">
        <f t="shared" si="830"/>
        <v>3323728</v>
      </c>
      <c r="DO629" s="612">
        <f t="shared" si="831"/>
        <v>3628159.9999999995</v>
      </c>
      <c r="DP629" s="607">
        <f t="shared" si="832"/>
        <v>4481490.1493212674</v>
      </c>
      <c r="DQ629" s="606">
        <f t="shared" si="833"/>
        <v>4491743.9905362781</v>
      </c>
      <c r="DR629" s="607">
        <f t="shared" si="834"/>
        <v>3963193.92</v>
      </c>
      <c r="DS629" s="606">
        <f t="shared" si="835"/>
        <v>3976311.0000000005</v>
      </c>
      <c r="DT629" s="607">
        <f t="shared" si="836"/>
        <v>116487.90000000001</v>
      </c>
      <c r="DU629" s="606">
        <f t="shared" si="837"/>
        <v>95000</v>
      </c>
      <c r="DV629" s="607">
        <f t="shared" si="838"/>
        <v>113000</v>
      </c>
      <c r="DW629" s="608">
        <f t="shared" si="839"/>
        <v>1635531.985074627</v>
      </c>
      <c r="DX629" s="607">
        <f t="shared" si="840"/>
        <v>0</v>
      </c>
      <c r="DY629" s="608">
        <f t="shared" si="841"/>
        <v>0</v>
      </c>
      <c r="DZ629" s="607">
        <f t="shared" si="842"/>
        <v>11997899.969321268</v>
      </c>
      <c r="EA629" s="608">
        <f t="shared" si="843"/>
        <v>13826746.975610904</v>
      </c>
    </row>
    <row r="630" spans="1:131" x14ac:dyDescent="0.2">
      <c r="A630" s="473" t="s">
        <v>44</v>
      </c>
      <c r="B630" s="474" t="s">
        <v>1033</v>
      </c>
      <c r="C630" s="567" t="s">
        <v>890</v>
      </c>
      <c r="D630" s="507">
        <v>233277</v>
      </c>
      <c r="E630" s="499">
        <v>4</v>
      </c>
      <c r="F630" s="598">
        <v>119</v>
      </c>
      <c r="G630" s="599">
        <v>120</v>
      </c>
      <c r="H630" s="600"/>
      <c r="I630" s="601"/>
      <c r="J630" s="600">
        <v>4</v>
      </c>
      <c r="K630" s="599">
        <v>1</v>
      </c>
      <c r="L630" s="600"/>
      <c r="M630" s="601">
        <v>3</v>
      </c>
      <c r="N630" s="600">
        <v>109</v>
      </c>
      <c r="O630" s="599">
        <v>118</v>
      </c>
      <c r="P630" s="600"/>
      <c r="Q630" s="601"/>
      <c r="R630" s="600">
        <v>3</v>
      </c>
      <c r="S630" s="599"/>
      <c r="T630" s="600"/>
      <c r="U630" s="601">
        <v>4</v>
      </c>
      <c r="V630" s="600">
        <v>117</v>
      </c>
      <c r="W630" s="599">
        <v>110</v>
      </c>
      <c r="X630" s="600"/>
      <c r="Y630" s="601"/>
      <c r="Z630" s="600">
        <v>2</v>
      </c>
      <c r="AA630" s="599">
        <v>2</v>
      </c>
      <c r="AB630" s="600"/>
      <c r="AC630" s="601"/>
      <c r="AD630" s="600">
        <v>50</v>
      </c>
      <c r="AE630" s="599">
        <v>51</v>
      </c>
      <c r="AF630" s="600"/>
      <c r="AG630" s="601"/>
      <c r="AH630" s="600">
        <v>2</v>
      </c>
      <c r="AI630" s="599">
        <v>1</v>
      </c>
      <c r="AJ630" s="600"/>
      <c r="AK630" s="601">
        <v>1</v>
      </c>
      <c r="AL630" s="600"/>
      <c r="AM630" s="599"/>
      <c r="AN630" s="600"/>
      <c r="AO630" s="601"/>
      <c r="AP630" s="600"/>
      <c r="AQ630" s="599"/>
      <c r="AR630" s="600"/>
      <c r="AS630" s="601"/>
      <c r="AT630" s="600"/>
      <c r="AU630" s="599"/>
      <c r="AV630" s="600"/>
      <c r="AW630" s="601"/>
      <c r="AX630" s="600"/>
      <c r="AY630" s="599"/>
      <c r="AZ630" s="600"/>
      <c r="BA630" s="601"/>
      <c r="BB630" s="602">
        <v>9755780</v>
      </c>
      <c r="BC630" s="599">
        <v>10180103</v>
      </c>
      <c r="BD630" s="600">
        <v>7440251</v>
      </c>
      <c r="BE630" s="599">
        <v>8390116</v>
      </c>
      <c r="BF630" s="600">
        <v>6986106</v>
      </c>
      <c r="BG630" s="599">
        <v>6808649</v>
      </c>
      <c r="BH630" s="600">
        <v>2752614</v>
      </c>
      <c r="BI630" s="599">
        <v>2808155</v>
      </c>
      <c r="BJ630" s="600">
        <v>0</v>
      </c>
      <c r="BK630" s="615"/>
      <c r="BL630" s="600">
        <v>0</v>
      </c>
      <c r="BM630" s="604"/>
      <c r="BN630" s="605">
        <f t="shared" si="778"/>
        <v>1115</v>
      </c>
      <c r="BO630" s="606">
        <f t="shared" si="779"/>
        <v>1127</v>
      </c>
      <c r="BP630" s="607">
        <f t="shared" si="780"/>
        <v>1014</v>
      </c>
      <c r="BQ630" s="606">
        <f t="shared" si="781"/>
        <v>1110</v>
      </c>
      <c r="BR630" s="607">
        <f t="shared" si="782"/>
        <v>1075</v>
      </c>
      <c r="BS630" s="606">
        <f t="shared" si="783"/>
        <v>1012</v>
      </c>
      <c r="BT630" s="607">
        <f t="shared" si="784"/>
        <v>472</v>
      </c>
      <c r="BU630" s="606">
        <f t="shared" si="785"/>
        <v>482</v>
      </c>
      <c r="BV630" s="607">
        <f t="shared" si="786"/>
        <v>0</v>
      </c>
      <c r="BW630" s="608">
        <f t="shared" si="787"/>
        <v>0</v>
      </c>
      <c r="BX630" s="607">
        <f t="shared" si="788"/>
        <v>0</v>
      </c>
      <c r="BY630" s="608">
        <f t="shared" si="789"/>
        <v>0</v>
      </c>
      <c r="BZ630" s="607">
        <f t="shared" si="790"/>
        <v>8749.5784753363223</v>
      </c>
      <c r="CA630" s="608">
        <f t="shared" si="791"/>
        <v>9032.9219165927243</v>
      </c>
      <c r="CB630" s="607">
        <f t="shared" si="792"/>
        <v>7337.5256410256407</v>
      </c>
      <c r="CC630" s="608">
        <f t="shared" si="793"/>
        <v>7558.6630630630634</v>
      </c>
      <c r="CD630" s="607">
        <f t="shared" si="794"/>
        <v>6498.7032558139535</v>
      </c>
      <c r="CE630" s="608">
        <f t="shared" si="795"/>
        <v>6727.914031620553</v>
      </c>
      <c r="CF630" s="607">
        <f t="shared" si="796"/>
        <v>5831.8093220338988</v>
      </c>
      <c r="CG630" s="608">
        <f t="shared" si="797"/>
        <v>5826.0477178423234</v>
      </c>
      <c r="CH630" s="607">
        <f t="shared" si="798"/>
        <v>0</v>
      </c>
      <c r="CI630" s="608">
        <f t="shared" si="799"/>
        <v>0</v>
      </c>
      <c r="CJ630" s="607">
        <f t="shared" si="800"/>
        <v>0</v>
      </c>
      <c r="CK630" s="608">
        <f t="shared" si="801"/>
        <v>0</v>
      </c>
      <c r="CL630" s="609">
        <f t="shared" si="802"/>
        <v>78746.206278026904</v>
      </c>
      <c r="CM630" s="608">
        <f t="shared" si="803"/>
        <v>81296.297249334515</v>
      </c>
      <c r="CN630" s="610">
        <f t="shared" si="804"/>
        <v>66037.730769230766</v>
      </c>
      <c r="CO630" s="606">
        <f t="shared" si="805"/>
        <v>68027.967567567568</v>
      </c>
      <c r="CP630" s="607">
        <f t="shared" si="806"/>
        <v>58488.329302325583</v>
      </c>
      <c r="CQ630" s="606">
        <f t="shared" si="807"/>
        <v>60551.226284584976</v>
      </c>
      <c r="CR630" s="607">
        <f t="shared" si="808"/>
        <v>52486.28389830509</v>
      </c>
      <c r="CS630" s="606">
        <f t="shared" si="809"/>
        <v>52434.429460580912</v>
      </c>
      <c r="CT630" s="607">
        <f t="shared" si="810"/>
        <v>0</v>
      </c>
      <c r="CU630" s="608">
        <f t="shared" si="811"/>
        <v>0</v>
      </c>
      <c r="CV630" s="610">
        <f t="shared" si="812"/>
        <v>0</v>
      </c>
      <c r="CW630" s="608">
        <f t="shared" si="813"/>
        <v>0</v>
      </c>
      <c r="CX630" s="610">
        <f t="shared" si="814"/>
        <v>65939.426522265436</v>
      </c>
      <c r="CY630" s="611">
        <f t="shared" si="815"/>
        <v>67982.761575292039</v>
      </c>
      <c r="CZ630" s="605">
        <f t="shared" si="816"/>
        <v>123</v>
      </c>
      <c r="DA630" s="612">
        <f t="shared" si="817"/>
        <v>124</v>
      </c>
      <c r="DB630" s="607">
        <f t="shared" si="818"/>
        <v>112</v>
      </c>
      <c r="DC630" s="606">
        <f t="shared" si="819"/>
        <v>122</v>
      </c>
      <c r="DD630" s="607">
        <f t="shared" si="820"/>
        <v>119</v>
      </c>
      <c r="DE630" s="606">
        <f t="shared" si="821"/>
        <v>112</v>
      </c>
      <c r="DF630" s="607">
        <f t="shared" si="822"/>
        <v>52</v>
      </c>
      <c r="DG630" s="606">
        <f t="shared" si="823"/>
        <v>53</v>
      </c>
      <c r="DH630" s="607">
        <f t="shared" si="824"/>
        <v>0</v>
      </c>
      <c r="DI630" s="608">
        <f t="shared" si="825"/>
        <v>0</v>
      </c>
      <c r="DJ630" s="607">
        <f t="shared" si="826"/>
        <v>0</v>
      </c>
      <c r="DK630" s="608">
        <f t="shared" si="827"/>
        <v>0</v>
      </c>
      <c r="DL630" s="607">
        <f t="shared" si="828"/>
        <v>406</v>
      </c>
      <c r="DM630" s="608">
        <f t="shared" si="829"/>
        <v>411</v>
      </c>
      <c r="DN630" s="607">
        <f t="shared" si="830"/>
        <v>9685783.3721973095</v>
      </c>
      <c r="DO630" s="612">
        <f t="shared" si="831"/>
        <v>10080740.85891748</v>
      </c>
      <c r="DP630" s="607">
        <f t="shared" si="832"/>
        <v>7396225.846153846</v>
      </c>
      <c r="DQ630" s="606">
        <f t="shared" si="833"/>
        <v>8299412.0432432434</v>
      </c>
      <c r="DR630" s="607">
        <f t="shared" si="834"/>
        <v>6960111.1869767448</v>
      </c>
      <c r="DS630" s="606">
        <f t="shared" si="835"/>
        <v>6781737.3438735176</v>
      </c>
      <c r="DT630" s="607">
        <f t="shared" si="836"/>
        <v>2729286.7627118649</v>
      </c>
      <c r="DU630" s="606">
        <f t="shared" si="837"/>
        <v>2779024.7614107882</v>
      </c>
      <c r="DV630" s="607">
        <f t="shared" si="838"/>
        <v>0</v>
      </c>
      <c r="DW630" s="608">
        <f t="shared" si="839"/>
        <v>0</v>
      </c>
      <c r="DX630" s="607">
        <f t="shared" si="840"/>
        <v>0</v>
      </c>
      <c r="DY630" s="608">
        <f t="shared" si="841"/>
        <v>0</v>
      </c>
      <c r="DZ630" s="607">
        <f t="shared" si="842"/>
        <v>26771407.168039765</v>
      </c>
      <c r="EA630" s="608">
        <f t="shared" si="843"/>
        <v>27940915.00744503</v>
      </c>
    </row>
    <row r="631" spans="1:131" x14ac:dyDescent="0.2">
      <c r="A631" s="473" t="s">
        <v>44</v>
      </c>
      <c r="B631" s="479" t="s">
        <v>1034</v>
      </c>
      <c r="C631" s="567" t="s">
        <v>890</v>
      </c>
      <c r="D631" s="507">
        <v>234155</v>
      </c>
      <c r="E631" s="499">
        <v>4</v>
      </c>
      <c r="F631" s="598">
        <v>32</v>
      </c>
      <c r="G631" s="599">
        <v>32</v>
      </c>
      <c r="H631" s="600"/>
      <c r="I631" s="601">
        <v>1</v>
      </c>
      <c r="J631" s="600">
        <v>17</v>
      </c>
      <c r="K631" s="599">
        <v>4</v>
      </c>
      <c r="L631" s="600"/>
      <c r="M631" s="601">
        <v>15</v>
      </c>
      <c r="N631" s="600">
        <v>78</v>
      </c>
      <c r="O631" s="599">
        <v>79</v>
      </c>
      <c r="P631" s="600"/>
      <c r="Q631" s="601">
        <v>9</v>
      </c>
      <c r="R631" s="600">
        <v>20</v>
      </c>
      <c r="S631" s="599">
        <v>3</v>
      </c>
      <c r="T631" s="600"/>
      <c r="U631" s="601">
        <v>19</v>
      </c>
      <c r="V631" s="600">
        <v>69</v>
      </c>
      <c r="W631" s="599">
        <v>63</v>
      </c>
      <c r="X631" s="600"/>
      <c r="Y631" s="601">
        <v>3</v>
      </c>
      <c r="Z631" s="600">
        <v>15</v>
      </c>
      <c r="AA631" s="599">
        <v>2</v>
      </c>
      <c r="AB631" s="600"/>
      <c r="AC631" s="601">
        <v>22</v>
      </c>
      <c r="AD631" s="600">
        <v>29</v>
      </c>
      <c r="AE631" s="599">
        <v>26</v>
      </c>
      <c r="AF631" s="600"/>
      <c r="AG631" s="601">
        <v>3</v>
      </c>
      <c r="AH631" s="600">
        <v>2</v>
      </c>
      <c r="AI631" s="599">
        <v>1</v>
      </c>
      <c r="AJ631" s="600"/>
      <c r="AK631" s="601">
        <v>2</v>
      </c>
      <c r="AL631" s="600">
        <v>1</v>
      </c>
      <c r="AM631" s="599"/>
      <c r="AN631" s="600"/>
      <c r="AO631" s="601"/>
      <c r="AP631" s="600">
        <v>1</v>
      </c>
      <c r="AQ631" s="599"/>
      <c r="AR631" s="600"/>
      <c r="AS631" s="601"/>
      <c r="AT631" s="600"/>
      <c r="AU631" s="599"/>
      <c r="AV631" s="600"/>
      <c r="AW631" s="601"/>
      <c r="AX631" s="600"/>
      <c r="AY631" s="599"/>
      <c r="AZ631" s="600"/>
      <c r="BA631" s="601"/>
      <c r="BB631" s="602">
        <v>4291741</v>
      </c>
      <c r="BC631" s="599">
        <v>4752855</v>
      </c>
      <c r="BD631" s="600">
        <v>6749096</v>
      </c>
      <c r="BE631" s="599">
        <v>8022764</v>
      </c>
      <c r="BF631" s="600">
        <v>5554647</v>
      </c>
      <c r="BG631" s="599">
        <v>6017683</v>
      </c>
      <c r="BH631" s="600">
        <v>1470948</v>
      </c>
      <c r="BI631" s="599">
        <v>1552625</v>
      </c>
      <c r="BJ631" s="600">
        <v>93055</v>
      </c>
      <c r="BK631" s="615"/>
      <c r="BL631" s="600">
        <v>0</v>
      </c>
      <c r="BM631" s="604"/>
      <c r="BN631" s="605">
        <f t="shared" si="778"/>
        <v>475</v>
      </c>
      <c r="BO631" s="606">
        <f t="shared" si="779"/>
        <v>522</v>
      </c>
      <c r="BP631" s="607">
        <f t="shared" si="780"/>
        <v>922</v>
      </c>
      <c r="BQ631" s="606">
        <f t="shared" si="781"/>
        <v>1062</v>
      </c>
      <c r="BR631" s="607">
        <f t="shared" si="782"/>
        <v>786</v>
      </c>
      <c r="BS631" s="606">
        <f t="shared" si="783"/>
        <v>883</v>
      </c>
      <c r="BT631" s="607">
        <f t="shared" si="784"/>
        <v>283</v>
      </c>
      <c r="BU631" s="606">
        <f t="shared" si="785"/>
        <v>299</v>
      </c>
      <c r="BV631" s="607">
        <f t="shared" si="786"/>
        <v>20</v>
      </c>
      <c r="BW631" s="608">
        <f t="shared" si="787"/>
        <v>0</v>
      </c>
      <c r="BX631" s="607">
        <f t="shared" si="788"/>
        <v>0</v>
      </c>
      <c r="BY631" s="608">
        <f t="shared" si="789"/>
        <v>0</v>
      </c>
      <c r="BZ631" s="607">
        <f t="shared" si="790"/>
        <v>9035.2442105263162</v>
      </c>
      <c r="CA631" s="608">
        <f t="shared" si="791"/>
        <v>9105.0862068965525</v>
      </c>
      <c r="CB631" s="607">
        <f t="shared" si="792"/>
        <v>7320.0607375271147</v>
      </c>
      <c r="CC631" s="608">
        <f t="shared" si="793"/>
        <v>7554.3917137476456</v>
      </c>
      <c r="CD631" s="607">
        <f t="shared" si="794"/>
        <v>7066.980916030534</v>
      </c>
      <c r="CE631" s="608">
        <f t="shared" si="795"/>
        <v>6815.0430351075875</v>
      </c>
      <c r="CF631" s="607">
        <f t="shared" si="796"/>
        <v>5197.6961130742047</v>
      </c>
      <c r="CG631" s="608">
        <f t="shared" si="797"/>
        <v>5192.7257525083614</v>
      </c>
      <c r="CH631" s="607">
        <f t="shared" si="798"/>
        <v>4652.75</v>
      </c>
      <c r="CI631" s="608">
        <f t="shared" si="799"/>
        <v>0</v>
      </c>
      <c r="CJ631" s="607">
        <f t="shared" si="800"/>
        <v>0</v>
      </c>
      <c r="CK631" s="608">
        <f t="shared" si="801"/>
        <v>0</v>
      </c>
      <c r="CL631" s="609">
        <f t="shared" si="802"/>
        <v>81317.197894736848</v>
      </c>
      <c r="CM631" s="608">
        <f t="shared" si="803"/>
        <v>81945.775862068971</v>
      </c>
      <c r="CN631" s="610">
        <f t="shared" si="804"/>
        <v>65880.546637744032</v>
      </c>
      <c r="CO631" s="606">
        <f t="shared" si="805"/>
        <v>67989.525423728803</v>
      </c>
      <c r="CP631" s="607">
        <f t="shared" si="806"/>
        <v>63602.828244274802</v>
      </c>
      <c r="CQ631" s="606">
        <f t="shared" si="807"/>
        <v>61335.387315968284</v>
      </c>
      <c r="CR631" s="607">
        <f t="shared" si="808"/>
        <v>46779.265017667843</v>
      </c>
      <c r="CS631" s="606">
        <f t="shared" si="809"/>
        <v>46734.531772575254</v>
      </c>
      <c r="CT631" s="607">
        <f t="shared" si="810"/>
        <v>41874.75</v>
      </c>
      <c r="CU631" s="608">
        <f t="shared" si="811"/>
        <v>0</v>
      </c>
      <c r="CV631" s="610">
        <f t="shared" si="812"/>
        <v>0</v>
      </c>
      <c r="CW631" s="608">
        <f t="shared" si="813"/>
        <v>0</v>
      </c>
      <c r="CX631" s="610">
        <f t="shared" si="814"/>
        <v>65596.138467453813</v>
      </c>
      <c r="CY631" s="611">
        <f t="shared" si="815"/>
        <v>66041.260621821493</v>
      </c>
      <c r="CZ631" s="605">
        <f t="shared" si="816"/>
        <v>49</v>
      </c>
      <c r="DA631" s="612">
        <f t="shared" si="817"/>
        <v>52</v>
      </c>
      <c r="DB631" s="607">
        <f t="shared" si="818"/>
        <v>98</v>
      </c>
      <c r="DC631" s="606">
        <f t="shared" si="819"/>
        <v>110</v>
      </c>
      <c r="DD631" s="607">
        <f t="shared" si="820"/>
        <v>84</v>
      </c>
      <c r="DE631" s="606">
        <f t="shared" si="821"/>
        <v>90</v>
      </c>
      <c r="DF631" s="607">
        <f t="shared" si="822"/>
        <v>31</v>
      </c>
      <c r="DG631" s="606">
        <f t="shared" si="823"/>
        <v>32</v>
      </c>
      <c r="DH631" s="607">
        <f t="shared" si="824"/>
        <v>2</v>
      </c>
      <c r="DI631" s="608">
        <f t="shared" si="825"/>
        <v>0</v>
      </c>
      <c r="DJ631" s="607">
        <f t="shared" si="826"/>
        <v>0</v>
      </c>
      <c r="DK631" s="608">
        <f t="shared" si="827"/>
        <v>0</v>
      </c>
      <c r="DL631" s="607">
        <f t="shared" si="828"/>
        <v>264</v>
      </c>
      <c r="DM631" s="608">
        <f t="shared" si="829"/>
        <v>284</v>
      </c>
      <c r="DN631" s="607">
        <f t="shared" si="830"/>
        <v>3984542.6968421056</v>
      </c>
      <c r="DO631" s="612">
        <f t="shared" si="831"/>
        <v>4261180.3448275868</v>
      </c>
      <c r="DP631" s="607">
        <f t="shared" si="832"/>
        <v>6456293.5704989154</v>
      </c>
      <c r="DQ631" s="606">
        <f t="shared" si="833"/>
        <v>7478847.7966101682</v>
      </c>
      <c r="DR631" s="607">
        <f t="shared" si="834"/>
        <v>5342637.5725190835</v>
      </c>
      <c r="DS631" s="606">
        <f t="shared" si="835"/>
        <v>5520184.8584371451</v>
      </c>
      <c r="DT631" s="607">
        <f t="shared" si="836"/>
        <v>1450157.2155477032</v>
      </c>
      <c r="DU631" s="606">
        <f t="shared" si="837"/>
        <v>1495505.0167224081</v>
      </c>
      <c r="DV631" s="607">
        <f t="shared" si="838"/>
        <v>83749.5</v>
      </c>
      <c r="DW631" s="608">
        <f t="shared" si="839"/>
        <v>0</v>
      </c>
      <c r="DX631" s="607">
        <f t="shared" si="840"/>
        <v>0</v>
      </c>
      <c r="DY631" s="608">
        <f t="shared" si="841"/>
        <v>0</v>
      </c>
      <c r="DZ631" s="607">
        <f t="shared" si="842"/>
        <v>17317380.555407807</v>
      </c>
      <c r="EA631" s="608">
        <f t="shared" si="843"/>
        <v>18755718.016597304</v>
      </c>
    </row>
    <row r="632" spans="1:131" x14ac:dyDescent="0.2">
      <c r="A632" s="473" t="s">
        <v>44</v>
      </c>
      <c r="B632" s="474" t="s">
        <v>1035</v>
      </c>
      <c r="C632" s="567" t="s">
        <v>1064</v>
      </c>
      <c r="D632" s="507">
        <v>231712</v>
      </c>
      <c r="E632" s="499">
        <v>5</v>
      </c>
      <c r="F632" s="598">
        <v>36</v>
      </c>
      <c r="G632" s="599">
        <v>39</v>
      </c>
      <c r="H632" s="600"/>
      <c r="I632" s="601"/>
      <c r="J632" s="600"/>
      <c r="K632" s="599"/>
      <c r="L632" s="600"/>
      <c r="M632" s="601"/>
      <c r="N632" s="600">
        <v>82</v>
      </c>
      <c r="O632" s="599">
        <v>88</v>
      </c>
      <c r="P632" s="600"/>
      <c r="Q632" s="601"/>
      <c r="R632" s="600"/>
      <c r="S632" s="599"/>
      <c r="T632" s="600"/>
      <c r="U632" s="601"/>
      <c r="V632" s="600">
        <v>59</v>
      </c>
      <c r="W632" s="599">
        <v>50</v>
      </c>
      <c r="X632" s="600"/>
      <c r="Y632" s="601"/>
      <c r="Z632" s="600"/>
      <c r="AA632" s="599"/>
      <c r="AB632" s="600"/>
      <c r="AC632" s="601"/>
      <c r="AD632" s="600">
        <v>32</v>
      </c>
      <c r="AE632" s="599">
        <v>35</v>
      </c>
      <c r="AF632" s="600"/>
      <c r="AG632" s="601"/>
      <c r="AH632" s="600"/>
      <c r="AI632" s="599"/>
      <c r="AJ632" s="600"/>
      <c r="AK632" s="601"/>
      <c r="AL632" s="600">
        <v>37</v>
      </c>
      <c r="AM632" s="599">
        <v>46</v>
      </c>
      <c r="AN632" s="600"/>
      <c r="AO632" s="601"/>
      <c r="AP632" s="600"/>
      <c r="AQ632" s="599"/>
      <c r="AR632" s="600"/>
      <c r="AS632" s="601"/>
      <c r="AT632" s="600"/>
      <c r="AU632" s="599"/>
      <c r="AV632" s="600"/>
      <c r="AW632" s="601"/>
      <c r="AX632" s="600"/>
      <c r="AY632" s="599"/>
      <c r="AZ632" s="600"/>
      <c r="BA632" s="601"/>
      <c r="BB632" s="602">
        <v>3448224</v>
      </c>
      <c r="BC632" s="599">
        <v>3694027</v>
      </c>
      <c r="BD632" s="600">
        <v>5902196</v>
      </c>
      <c r="BE632" s="599">
        <v>6250819</v>
      </c>
      <c r="BF632" s="600">
        <v>3479407</v>
      </c>
      <c r="BG632" s="599">
        <v>2878550</v>
      </c>
      <c r="BH632" s="600">
        <v>1596992</v>
      </c>
      <c r="BI632" s="599">
        <v>1765769</v>
      </c>
      <c r="BJ632" s="600">
        <v>1956782</v>
      </c>
      <c r="BK632" s="615">
        <v>2441141</v>
      </c>
      <c r="BL632" s="600">
        <v>0</v>
      </c>
      <c r="BM632" s="604"/>
      <c r="BN632" s="605">
        <f t="shared" si="778"/>
        <v>324</v>
      </c>
      <c r="BO632" s="606">
        <f t="shared" si="779"/>
        <v>351</v>
      </c>
      <c r="BP632" s="607">
        <f t="shared" si="780"/>
        <v>738</v>
      </c>
      <c r="BQ632" s="606">
        <f t="shared" si="781"/>
        <v>792</v>
      </c>
      <c r="BR632" s="607">
        <f t="shared" si="782"/>
        <v>531</v>
      </c>
      <c r="BS632" s="606">
        <f t="shared" si="783"/>
        <v>450</v>
      </c>
      <c r="BT632" s="607">
        <f t="shared" si="784"/>
        <v>288</v>
      </c>
      <c r="BU632" s="606">
        <f t="shared" si="785"/>
        <v>315</v>
      </c>
      <c r="BV632" s="607">
        <f t="shared" si="786"/>
        <v>333</v>
      </c>
      <c r="BW632" s="608">
        <f t="shared" si="787"/>
        <v>414</v>
      </c>
      <c r="BX632" s="607">
        <f t="shared" si="788"/>
        <v>0</v>
      </c>
      <c r="BY632" s="608">
        <f t="shared" si="789"/>
        <v>0</v>
      </c>
      <c r="BZ632" s="607">
        <f t="shared" si="790"/>
        <v>10642.666666666666</v>
      </c>
      <c r="CA632" s="608">
        <f t="shared" si="791"/>
        <v>10524.293447293447</v>
      </c>
      <c r="CB632" s="607">
        <f t="shared" si="792"/>
        <v>7997.5555555555557</v>
      </c>
      <c r="CC632" s="608">
        <f t="shared" si="793"/>
        <v>7892.4482323232323</v>
      </c>
      <c r="CD632" s="607">
        <f t="shared" si="794"/>
        <v>6552.5555555555557</v>
      </c>
      <c r="CE632" s="608">
        <f t="shared" si="795"/>
        <v>6396.7777777777774</v>
      </c>
      <c r="CF632" s="607">
        <f t="shared" si="796"/>
        <v>5545.1111111111113</v>
      </c>
      <c r="CG632" s="608">
        <f t="shared" si="797"/>
        <v>5605.6158730158731</v>
      </c>
      <c r="CH632" s="607">
        <f t="shared" si="798"/>
        <v>5876.2222222222226</v>
      </c>
      <c r="CI632" s="608">
        <f t="shared" si="799"/>
        <v>5896.4758454106277</v>
      </c>
      <c r="CJ632" s="607">
        <f t="shared" si="800"/>
        <v>0</v>
      </c>
      <c r="CK632" s="608">
        <f t="shared" si="801"/>
        <v>0</v>
      </c>
      <c r="CL632" s="609">
        <f t="shared" si="802"/>
        <v>95784</v>
      </c>
      <c r="CM632" s="608">
        <f t="shared" si="803"/>
        <v>94718.641025641016</v>
      </c>
      <c r="CN632" s="610">
        <f t="shared" si="804"/>
        <v>71978</v>
      </c>
      <c r="CO632" s="606">
        <f t="shared" si="805"/>
        <v>71032.034090909088</v>
      </c>
      <c r="CP632" s="607">
        <f t="shared" si="806"/>
        <v>58973</v>
      </c>
      <c r="CQ632" s="606">
        <f t="shared" si="807"/>
        <v>57571</v>
      </c>
      <c r="CR632" s="607">
        <f t="shared" si="808"/>
        <v>49906</v>
      </c>
      <c r="CS632" s="606">
        <f t="shared" si="809"/>
        <v>50450.542857142857</v>
      </c>
      <c r="CT632" s="607">
        <f t="shared" si="810"/>
        <v>52886</v>
      </c>
      <c r="CU632" s="608">
        <f t="shared" si="811"/>
        <v>53068.282608695648</v>
      </c>
      <c r="CV632" s="610">
        <f t="shared" si="812"/>
        <v>0</v>
      </c>
      <c r="CW632" s="608">
        <f t="shared" si="813"/>
        <v>0</v>
      </c>
      <c r="CX632" s="610">
        <f t="shared" si="814"/>
        <v>66600.004065040644</v>
      </c>
      <c r="CY632" s="611">
        <f t="shared" si="815"/>
        <v>66008.937984496122</v>
      </c>
      <c r="CZ632" s="605">
        <f t="shared" si="816"/>
        <v>36</v>
      </c>
      <c r="DA632" s="612">
        <f t="shared" si="817"/>
        <v>39</v>
      </c>
      <c r="DB632" s="607">
        <f t="shared" si="818"/>
        <v>82</v>
      </c>
      <c r="DC632" s="606">
        <f t="shared" si="819"/>
        <v>88</v>
      </c>
      <c r="DD632" s="607">
        <f t="shared" si="820"/>
        <v>59</v>
      </c>
      <c r="DE632" s="606">
        <f t="shared" si="821"/>
        <v>50</v>
      </c>
      <c r="DF632" s="607">
        <f t="shared" si="822"/>
        <v>32</v>
      </c>
      <c r="DG632" s="606">
        <f t="shared" si="823"/>
        <v>35</v>
      </c>
      <c r="DH632" s="607">
        <f t="shared" si="824"/>
        <v>37</v>
      </c>
      <c r="DI632" s="608">
        <f t="shared" si="825"/>
        <v>46</v>
      </c>
      <c r="DJ632" s="607">
        <f t="shared" si="826"/>
        <v>0</v>
      </c>
      <c r="DK632" s="608">
        <f t="shared" si="827"/>
        <v>0</v>
      </c>
      <c r="DL632" s="607">
        <f t="shared" si="828"/>
        <v>246</v>
      </c>
      <c r="DM632" s="608">
        <f t="shared" si="829"/>
        <v>258</v>
      </c>
      <c r="DN632" s="607">
        <f t="shared" si="830"/>
        <v>3448224</v>
      </c>
      <c r="DO632" s="612">
        <f t="shared" si="831"/>
        <v>3694026.9999999995</v>
      </c>
      <c r="DP632" s="607">
        <f t="shared" si="832"/>
        <v>5902196</v>
      </c>
      <c r="DQ632" s="606">
        <f t="shared" si="833"/>
        <v>6250819</v>
      </c>
      <c r="DR632" s="607">
        <f t="shared" si="834"/>
        <v>3479407</v>
      </c>
      <c r="DS632" s="606">
        <f t="shared" si="835"/>
        <v>2878550</v>
      </c>
      <c r="DT632" s="607">
        <f t="shared" si="836"/>
        <v>1596992</v>
      </c>
      <c r="DU632" s="606">
        <f t="shared" si="837"/>
        <v>1765769</v>
      </c>
      <c r="DV632" s="607">
        <f t="shared" si="838"/>
        <v>1956782</v>
      </c>
      <c r="DW632" s="608">
        <f t="shared" si="839"/>
        <v>2441141</v>
      </c>
      <c r="DX632" s="607">
        <f t="shared" si="840"/>
        <v>0</v>
      </c>
      <c r="DY632" s="608">
        <f t="shared" si="841"/>
        <v>0</v>
      </c>
      <c r="DZ632" s="607">
        <f t="shared" si="842"/>
        <v>16383600.999999998</v>
      </c>
      <c r="EA632" s="608">
        <f t="shared" si="843"/>
        <v>17030306</v>
      </c>
    </row>
    <row r="633" spans="1:131" x14ac:dyDescent="0.2">
      <c r="A633" s="473" t="s">
        <v>44</v>
      </c>
      <c r="B633" s="478" t="s">
        <v>1036</v>
      </c>
      <c r="C633" s="567" t="s">
        <v>890</v>
      </c>
      <c r="D633" s="507">
        <v>232681</v>
      </c>
      <c r="E633" s="499">
        <v>5</v>
      </c>
      <c r="F633" s="598">
        <v>76</v>
      </c>
      <c r="G633" s="599">
        <v>78</v>
      </c>
      <c r="H633" s="600"/>
      <c r="I633" s="601"/>
      <c r="J633" s="600">
        <v>5</v>
      </c>
      <c r="K633" s="599"/>
      <c r="L633" s="600"/>
      <c r="M633" s="601">
        <v>4</v>
      </c>
      <c r="N633" s="600">
        <v>73</v>
      </c>
      <c r="O633" s="599">
        <v>72</v>
      </c>
      <c r="P633" s="600"/>
      <c r="Q633" s="601">
        <v>4</v>
      </c>
      <c r="R633" s="600">
        <v>12</v>
      </c>
      <c r="S633" s="599"/>
      <c r="T633" s="600"/>
      <c r="U633" s="601">
        <v>7</v>
      </c>
      <c r="V633" s="600">
        <v>54</v>
      </c>
      <c r="W633" s="599">
        <v>53</v>
      </c>
      <c r="X633" s="600"/>
      <c r="Y633" s="601"/>
      <c r="Z633" s="600">
        <v>4</v>
      </c>
      <c r="AA633" s="599"/>
      <c r="AB633" s="600"/>
      <c r="AC633" s="601">
        <v>3</v>
      </c>
      <c r="AD633" s="600">
        <v>3</v>
      </c>
      <c r="AE633" s="599">
        <v>3</v>
      </c>
      <c r="AF633" s="600"/>
      <c r="AG633" s="601"/>
      <c r="AH633" s="600">
        <v>2</v>
      </c>
      <c r="AI633" s="599"/>
      <c r="AJ633" s="600"/>
      <c r="AK633" s="601"/>
      <c r="AL633" s="600">
        <v>17</v>
      </c>
      <c r="AM633" s="599">
        <v>14</v>
      </c>
      <c r="AN633" s="600"/>
      <c r="AO633" s="601">
        <v>3</v>
      </c>
      <c r="AP633" s="600"/>
      <c r="AQ633" s="599"/>
      <c r="AR633" s="600"/>
      <c r="AS633" s="601">
        <v>3</v>
      </c>
      <c r="AT633" s="600"/>
      <c r="AU633" s="599"/>
      <c r="AV633" s="600"/>
      <c r="AW633" s="601"/>
      <c r="AX633" s="600"/>
      <c r="AY633" s="599"/>
      <c r="AZ633" s="600"/>
      <c r="BA633" s="601"/>
      <c r="BB633" s="602">
        <v>6730474</v>
      </c>
      <c r="BC633" s="599">
        <v>6792754</v>
      </c>
      <c r="BD633" s="600">
        <v>5483087</v>
      </c>
      <c r="BE633" s="599">
        <v>5230906</v>
      </c>
      <c r="BF633" s="600">
        <v>3263338</v>
      </c>
      <c r="BG633" s="599">
        <v>3365462</v>
      </c>
      <c r="BH633" s="600">
        <v>278999</v>
      </c>
      <c r="BI633" s="599">
        <v>147500</v>
      </c>
      <c r="BJ633" s="600">
        <v>978333</v>
      </c>
      <c r="BK633" s="615">
        <v>1227604</v>
      </c>
      <c r="BL633" s="600">
        <v>0</v>
      </c>
      <c r="BM633" s="604"/>
      <c r="BN633" s="605">
        <f t="shared" si="778"/>
        <v>739</v>
      </c>
      <c r="BO633" s="606">
        <f t="shared" si="779"/>
        <v>750</v>
      </c>
      <c r="BP633" s="607">
        <f t="shared" si="780"/>
        <v>789</v>
      </c>
      <c r="BQ633" s="606">
        <f t="shared" si="781"/>
        <v>772</v>
      </c>
      <c r="BR633" s="607">
        <f t="shared" si="782"/>
        <v>530</v>
      </c>
      <c r="BS633" s="606">
        <f t="shared" si="783"/>
        <v>513</v>
      </c>
      <c r="BT633" s="607">
        <f t="shared" si="784"/>
        <v>49</v>
      </c>
      <c r="BU633" s="606">
        <f t="shared" si="785"/>
        <v>27</v>
      </c>
      <c r="BV633" s="607">
        <f t="shared" si="786"/>
        <v>153</v>
      </c>
      <c r="BW633" s="608">
        <f t="shared" si="787"/>
        <v>192</v>
      </c>
      <c r="BX633" s="607">
        <f t="shared" si="788"/>
        <v>0</v>
      </c>
      <c r="BY633" s="608">
        <f t="shared" si="789"/>
        <v>0</v>
      </c>
      <c r="BZ633" s="607">
        <f t="shared" si="790"/>
        <v>9107.5426251691479</v>
      </c>
      <c r="CA633" s="608">
        <f t="shared" si="791"/>
        <v>9057.0053333333326</v>
      </c>
      <c r="CB633" s="607">
        <f t="shared" si="792"/>
        <v>6949.4131812420783</v>
      </c>
      <c r="CC633" s="608">
        <f t="shared" si="793"/>
        <v>6775.7849740932643</v>
      </c>
      <c r="CD633" s="607">
        <f t="shared" si="794"/>
        <v>6157.2415094339622</v>
      </c>
      <c r="CE633" s="608">
        <f t="shared" si="795"/>
        <v>6560.3547758284603</v>
      </c>
      <c r="CF633" s="607">
        <f t="shared" si="796"/>
        <v>5693.8571428571431</v>
      </c>
      <c r="CG633" s="608">
        <f t="shared" si="797"/>
        <v>5462.9629629629626</v>
      </c>
      <c r="CH633" s="607">
        <f t="shared" si="798"/>
        <v>6394.333333333333</v>
      </c>
      <c r="CI633" s="608">
        <f t="shared" si="799"/>
        <v>6393.770833333333</v>
      </c>
      <c r="CJ633" s="607">
        <f t="shared" si="800"/>
        <v>0</v>
      </c>
      <c r="CK633" s="608">
        <f t="shared" si="801"/>
        <v>0</v>
      </c>
      <c r="CL633" s="609">
        <f t="shared" si="802"/>
        <v>81967.883626522336</v>
      </c>
      <c r="CM633" s="608">
        <f t="shared" si="803"/>
        <v>81513.047999999995</v>
      </c>
      <c r="CN633" s="610">
        <f t="shared" si="804"/>
        <v>62544.718631178708</v>
      </c>
      <c r="CO633" s="606">
        <f t="shared" si="805"/>
        <v>60982.064766839379</v>
      </c>
      <c r="CP633" s="607">
        <f t="shared" si="806"/>
        <v>55415.173584905657</v>
      </c>
      <c r="CQ633" s="606">
        <f t="shared" si="807"/>
        <v>59043.192982456145</v>
      </c>
      <c r="CR633" s="607">
        <f t="shared" si="808"/>
        <v>51244.71428571429</v>
      </c>
      <c r="CS633" s="606">
        <f t="shared" si="809"/>
        <v>49166.666666666664</v>
      </c>
      <c r="CT633" s="607">
        <f t="shared" si="810"/>
        <v>57549</v>
      </c>
      <c r="CU633" s="608">
        <f t="shared" si="811"/>
        <v>57543.9375</v>
      </c>
      <c r="CV633" s="610">
        <f t="shared" si="812"/>
        <v>0</v>
      </c>
      <c r="CW633" s="608">
        <f t="shared" si="813"/>
        <v>0</v>
      </c>
      <c r="CX633" s="610">
        <f t="shared" si="814"/>
        <v>66684.293889234134</v>
      </c>
      <c r="CY633" s="611">
        <f t="shared" si="815"/>
        <v>67009.749461742671</v>
      </c>
      <c r="CZ633" s="605">
        <f t="shared" si="816"/>
        <v>81</v>
      </c>
      <c r="DA633" s="612">
        <f t="shared" si="817"/>
        <v>82</v>
      </c>
      <c r="DB633" s="607">
        <f t="shared" si="818"/>
        <v>85</v>
      </c>
      <c r="DC633" s="606">
        <f t="shared" si="819"/>
        <v>83</v>
      </c>
      <c r="DD633" s="607">
        <f t="shared" si="820"/>
        <v>58</v>
      </c>
      <c r="DE633" s="606">
        <f t="shared" si="821"/>
        <v>56</v>
      </c>
      <c r="DF633" s="607">
        <f t="shared" si="822"/>
        <v>5</v>
      </c>
      <c r="DG633" s="606">
        <f t="shared" si="823"/>
        <v>3</v>
      </c>
      <c r="DH633" s="607">
        <f t="shared" si="824"/>
        <v>17</v>
      </c>
      <c r="DI633" s="608">
        <f t="shared" si="825"/>
        <v>20</v>
      </c>
      <c r="DJ633" s="607">
        <f t="shared" si="826"/>
        <v>0</v>
      </c>
      <c r="DK633" s="608">
        <f t="shared" si="827"/>
        <v>0</v>
      </c>
      <c r="DL633" s="607">
        <f t="shared" si="828"/>
        <v>246</v>
      </c>
      <c r="DM633" s="608">
        <f t="shared" si="829"/>
        <v>244</v>
      </c>
      <c r="DN633" s="607">
        <f t="shared" si="830"/>
        <v>6639398.5737483092</v>
      </c>
      <c r="DO633" s="612">
        <f t="shared" si="831"/>
        <v>6684069.9359999998</v>
      </c>
      <c r="DP633" s="607">
        <f t="shared" si="832"/>
        <v>5316301.0836501904</v>
      </c>
      <c r="DQ633" s="606">
        <f t="shared" si="833"/>
        <v>5061511.3756476687</v>
      </c>
      <c r="DR633" s="607">
        <f t="shared" si="834"/>
        <v>3214080.0679245279</v>
      </c>
      <c r="DS633" s="606">
        <f t="shared" si="835"/>
        <v>3306418.8070175443</v>
      </c>
      <c r="DT633" s="607">
        <f t="shared" si="836"/>
        <v>256223.57142857145</v>
      </c>
      <c r="DU633" s="606">
        <f t="shared" si="837"/>
        <v>147500</v>
      </c>
      <c r="DV633" s="607">
        <f t="shared" si="838"/>
        <v>978333</v>
      </c>
      <c r="DW633" s="608">
        <f t="shared" si="839"/>
        <v>1150878.75</v>
      </c>
      <c r="DX633" s="607">
        <f t="shared" si="840"/>
        <v>0</v>
      </c>
      <c r="DY633" s="608">
        <f t="shared" si="841"/>
        <v>0</v>
      </c>
      <c r="DZ633" s="607">
        <f t="shared" si="842"/>
        <v>16404336.296751596</v>
      </c>
      <c r="EA633" s="608">
        <f t="shared" si="843"/>
        <v>16350378.868665211</v>
      </c>
    </row>
    <row r="634" spans="1:131" x14ac:dyDescent="0.2">
      <c r="A634" s="473" t="s">
        <v>44</v>
      </c>
      <c r="B634" s="478" t="s">
        <v>1037</v>
      </c>
      <c r="C634" s="568"/>
      <c r="D634" s="473">
        <v>233897</v>
      </c>
      <c r="E634" s="476">
        <v>6</v>
      </c>
      <c r="F634" s="598">
        <v>15</v>
      </c>
      <c r="G634" s="599">
        <v>17</v>
      </c>
      <c r="H634" s="600"/>
      <c r="I634" s="601"/>
      <c r="J634" s="600"/>
      <c r="K634" s="599"/>
      <c r="L634" s="600"/>
      <c r="M634" s="601"/>
      <c r="N634" s="600">
        <v>30</v>
      </c>
      <c r="O634" s="599">
        <v>31</v>
      </c>
      <c r="P634" s="600"/>
      <c r="Q634" s="601"/>
      <c r="R634" s="600">
        <v>1</v>
      </c>
      <c r="S634" s="599"/>
      <c r="T634" s="600"/>
      <c r="U634" s="601">
        <v>1</v>
      </c>
      <c r="V634" s="600">
        <v>15</v>
      </c>
      <c r="W634" s="599">
        <v>22</v>
      </c>
      <c r="X634" s="600"/>
      <c r="Y634" s="601"/>
      <c r="Z634" s="600"/>
      <c r="AA634" s="599"/>
      <c r="AB634" s="600"/>
      <c r="AC634" s="601"/>
      <c r="AD634" s="600">
        <v>24</v>
      </c>
      <c r="AE634" s="599">
        <v>18</v>
      </c>
      <c r="AF634" s="600"/>
      <c r="AG634" s="601"/>
      <c r="AH634" s="600">
        <v>1</v>
      </c>
      <c r="AI634" s="599"/>
      <c r="AJ634" s="600"/>
      <c r="AK634" s="601">
        <v>1</v>
      </c>
      <c r="AL634" s="600">
        <v>1</v>
      </c>
      <c r="AM634" s="599"/>
      <c r="AN634" s="600"/>
      <c r="AO634" s="601"/>
      <c r="AP634" s="600"/>
      <c r="AQ634" s="599"/>
      <c r="AR634" s="600"/>
      <c r="AS634" s="601"/>
      <c r="AT634" s="600"/>
      <c r="AU634" s="599"/>
      <c r="AV634" s="600"/>
      <c r="AW634" s="601"/>
      <c r="AX634" s="600"/>
      <c r="AY634" s="599"/>
      <c r="AZ634" s="600"/>
      <c r="BA634" s="601"/>
      <c r="BB634" s="602">
        <v>1148100</v>
      </c>
      <c r="BC634" s="599">
        <v>1250856</v>
      </c>
      <c r="BD634" s="600">
        <v>1922410</v>
      </c>
      <c r="BE634" s="599">
        <v>1971490</v>
      </c>
      <c r="BF634" s="600">
        <v>852105</v>
      </c>
      <c r="BG634" s="599">
        <v>1196450</v>
      </c>
      <c r="BH634" s="600">
        <v>1109404</v>
      </c>
      <c r="BI634" s="599">
        <v>859700</v>
      </c>
      <c r="BJ634" s="600">
        <v>60300</v>
      </c>
      <c r="BK634" s="615"/>
      <c r="BL634" s="600">
        <v>0</v>
      </c>
      <c r="BM634" s="604"/>
      <c r="BN634" s="605">
        <f t="shared" si="778"/>
        <v>135</v>
      </c>
      <c r="BO634" s="606">
        <f t="shared" si="779"/>
        <v>153</v>
      </c>
      <c r="BP634" s="607">
        <f t="shared" si="780"/>
        <v>281</v>
      </c>
      <c r="BQ634" s="606">
        <f t="shared" si="781"/>
        <v>291</v>
      </c>
      <c r="BR634" s="607">
        <f t="shared" si="782"/>
        <v>135</v>
      </c>
      <c r="BS634" s="606">
        <f t="shared" si="783"/>
        <v>198</v>
      </c>
      <c r="BT634" s="607">
        <f t="shared" si="784"/>
        <v>227</v>
      </c>
      <c r="BU634" s="606">
        <f t="shared" si="785"/>
        <v>174</v>
      </c>
      <c r="BV634" s="607">
        <f t="shared" si="786"/>
        <v>9</v>
      </c>
      <c r="BW634" s="608">
        <f t="shared" si="787"/>
        <v>0</v>
      </c>
      <c r="BX634" s="607">
        <f t="shared" si="788"/>
        <v>0</v>
      </c>
      <c r="BY634" s="608">
        <f t="shared" si="789"/>
        <v>0</v>
      </c>
      <c r="BZ634" s="607">
        <f t="shared" si="790"/>
        <v>8504.4444444444453</v>
      </c>
      <c r="CA634" s="608">
        <f t="shared" si="791"/>
        <v>8175.5294117647063</v>
      </c>
      <c r="CB634" s="607">
        <f t="shared" si="792"/>
        <v>6841.3167259786478</v>
      </c>
      <c r="CC634" s="608">
        <f t="shared" si="793"/>
        <v>6774.8797250859106</v>
      </c>
      <c r="CD634" s="607">
        <f t="shared" si="794"/>
        <v>6311.8888888888887</v>
      </c>
      <c r="CE634" s="608">
        <f t="shared" si="795"/>
        <v>6042.6767676767677</v>
      </c>
      <c r="CF634" s="607">
        <f t="shared" si="796"/>
        <v>4887.242290748899</v>
      </c>
      <c r="CG634" s="608">
        <f t="shared" si="797"/>
        <v>4940.8045977011498</v>
      </c>
      <c r="CH634" s="607">
        <f t="shared" si="798"/>
        <v>6700</v>
      </c>
      <c r="CI634" s="608">
        <f t="shared" si="799"/>
        <v>0</v>
      </c>
      <c r="CJ634" s="607">
        <f t="shared" si="800"/>
        <v>0</v>
      </c>
      <c r="CK634" s="608">
        <f t="shared" si="801"/>
        <v>0</v>
      </c>
      <c r="CL634" s="609">
        <f t="shared" si="802"/>
        <v>76540</v>
      </c>
      <c r="CM634" s="608">
        <f t="shared" si="803"/>
        <v>73579.76470588235</v>
      </c>
      <c r="CN634" s="610">
        <f t="shared" si="804"/>
        <v>61571.850533807832</v>
      </c>
      <c r="CO634" s="606">
        <f t="shared" si="805"/>
        <v>60973.917525773199</v>
      </c>
      <c r="CP634" s="607">
        <f t="shared" si="806"/>
        <v>56807</v>
      </c>
      <c r="CQ634" s="606">
        <f t="shared" si="807"/>
        <v>54384.090909090912</v>
      </c>
      <c r="CR634" s="607">
        <f t="shared" si="808"/>
        <v>43985.180616740094</v>
      </c>
      <c r="CS634" s="606">
        <f t="shared" si="809"/>
        <v>44467.241379310348</v>
      </c>
      <c r="CT634" s="607">
        <f t="shared" si="810"/>
        <v>60300</v>
      </c>
      <c r="CU634" s="608">
        <f t="shared" si="811"/>
        <v>0</v>
      </c>
      <c r="CV634" s="610">
        <f t="shared" si="812"/>
        <v>0</v>
      </c>
      <c r="CW634" s="608">
        <f t="shared" si="813"/>
        <v>0</v>
      </c>
      <c r="CX634" s="610">
        <f t="shared" si="814"/>
        <v>58262.780252489028</v>
      </c>
      <c r="CY634" s="611">
        <f t="shared" si="815"/>
        <v>58259.432744795988</v>
      </c>
      <c r="CZ634" s="605">
        <f t="shared" si="816"/>
        <v>15</v>
      </c>
      <c r="DA634" s="612">
        <f t="shared" si="817"/>
        <v>17</v>
      </c>
      <c r="DB634" s="607">
        <f t="shared" si="818"/>
        <v>31</v>
      </c>
      <c r="DC634" s="606">
        <f t="shared" si="819"/>
        <v>32</v>
      </c>
      <c r="DD634" s="607">
        <f t="shared" si="820"/>
        <v>15</v>
      </c>
      <c r="DE634" s="606">
        <f t="shared" si="821"/>
        <v>22</v>
      </c>
      <c r="DF634" s="607">
        <f t="shared" si="822"/>
        <v>25</v>
      </c>
      <c r="DG634" s="606">
        <f t="shared" si="823"/>
        <v>19</v>
      </c>
      <c r="DH634" s="607">
        <f t="shared" si="824"/>
        <v>1</v>
      </c>
      <c r="DI634" s="608">
        <f t="shared" si="825"/>
        <v>0</v>
      </c>
      <c r="DJ634" s="607">
        <f t="shared" si="826"/>
        <v>0</v>
      </c>
      <c r="DK634" s="608">
        <f t="shared" si="827"/>
        <v>0</v>
      </c>
      <c r="DL634" s="607">
        <f t="shared" si="828"/>
        <v>87</v>
      </c>
      <c r="DM634" s="608">
        <f t="shared" si="829"/>
        <v>90</v>
      </c>
      <c r="DN634" s="607">
        <f t="shared" si="830"/>
        <v>1148100</v>
      </c>
      <c r="DO634" s="612">
        <f t="shared" si="831"/>
        <v>1250856</v>
      </c>
      <c r="DP634" s="607">
        <f t="shared" si="832"/>
        <v>1908727.3665480427</v>
      </c>
      <c r="DQ634" s="606">
        <f t="shared" si="833"/>
        <v>1951165.3608247424</v>
      </c>
      <c r="DR634" s="607">
        <f t="shared" si="834"/>
        <v>852105</v>
      </c>
      <c r="DS634" s="606">
        <f t="shared" si="835"/>
        <v>1196450</v>
      </c>
      <c r="DT634" s="607">
        <f t="shared" si="836"/>
        <v>1099629.5154185023</v>
      </c>
      <c r="DU634" s="606">
        <f t="shared" si="837"/>
        <v>844877.58620689658</v>
      </c>
      <c r="DV634" s="607">
        <f t="shared" si="838"/>
        <v>60300</v>
      </c>
      <c r="DW634" s="608">
        <f t="shared" si="839"/>
        <v>0</v>
      </c>
      <c r="DX634" s="607">
        <f t="shared" si="840"/>
        <v>0</v>
      </c>
      <c r="DY634" s="608">
        <f t="shared" si="841"/>
        <v>0</v>
      </c>
      <c r="DZ634" s="607">
        <f t="shared" si="842"/>
        <v>5068861.8819665452</v>
      </c>
      <c r="EA634" s="608">
        <f t="shared" si="843"/>
        <v>5243348.9470316386</v>
      </c>
    </row>
    <row r="635" spans="1:131" x14ac:dyDescent="0.2">
      <c r="A635" s="473" t="s">
        <v>44</v>
      </c>
      <c r="B635" s="478" t="s">
        <v>1038</v>
      </c>
      <c r="C635" s="568"/>
      <c r="D635" s="473">
        <v>232414</v>
      </c>
      <c r="E635" s="476">
        <v>8</v>
      </c>
      <c r="F635" s="598"/>
      <c r="G635" s="599"/>
      <c r="H635" s="600"/>
      <c r="I635" s="601"/>
      <c r="J635" s="600"/>
      <c r="K635" s="599"/>
      <c r="L635" s="600"/>
      <c r="M635" s="601"/>
      <c r="N635" s="600"/>
      <c r="O635" s="599"/>
      <c r="P635" s="600"/>
      <c r="Q635" s="601"/>
      <c r="R635" s="600"/>
      <c r="S635" s="599"/>
      <c r="T635" s="600"/>
      <c r="U635" s="601"/>
      <c r="V635" s="600"/>
      <c r="W635" s="599"/>
      <c r="X635" s="600"/>
      <c r="Y635" s="601"/>
      <c r="Z635" s="600"/>
      <c r="AA635" s="599"/>
      <c r="AB635" s="600"/>
      <c r="AC635" s="601"/>
      <c r="AD635" s="600"/>
      <c r="AE635" s="599"/>
      <c r="AF635" s="600"/>
      <c r="AG635" s="601"/>
      <c r="AH635" s="600"/>
      <c r="AI635" s="599"/>
      <c r="AJ635" s="600"/>
      <c r="AK635" s="601"/>
      <c r="AL635" s="600"/>
      <c r="AM635" s="599"/>
      <c r="AN635" s="600"/>
      <c r="AO635" s="601"/>
      <c r="AP635" s="600"/>
      <c r="AQ635" s="599"/>
      <c r="AR635" s="600"/>
      <c r="AS635" s="601"/>
      <c r="AT635" s="600"/>
      <c r="AU635" s="599"/>
      <c r="AV635" s="600"/>
      <c r="AW635" s="601"/>
      <c r="AX635" s="600"/>
      <c r="AY635" s="599"/>
      <c r="AZ635" s="600"/>
      <c r="BA635" s="601"/>
      <c r="BB635" s="602">
        <v>0</v>
      </c>
      <c r="BC635" s="599"/>
      <c r="BD635" s="600">
        <v>0</v>
      </c>
      <c r="BE635" s="599"/>
      <c r="BF635" s="600">
        <v>0</v>
      </c>
      <c r="BG635" s="599"/>
      <c r="BH635" s="600">
        <v>0</v>
      </c>
      <c r="BI635" s="599"/>
      <c r="BJ635" s="600">
        <v>0</v>
      </c>
      <c r="BK635" s="615"/>
      <c r="BL635" s="600">
        <v>0</v>
      </c>
      <c r="BM635" s="604"/>
      <c r="BN635" s="605">
        <f t="shared" si="778"/>
        <v>0</v>
      </c>
      <c r="BO635" s="606">
        <f t="shared" si="779"/>
        <v>0</v>
      </c>
      <c r="BP635" s="607">
        <f t="shared" si="780"/>
        <v>0</v>
      </c>
      <c r="BQ635" s="606">
        <f t="shared" si="781"/>
        <v>0</v>
      </c>
      <c r="BR635" s="607">
        <f t="shared" si="782"/>
        <v>0</v>
      </c>
      <c r="BS635" s="606">
        <f t="shared" si="783"/>
        <v>0</v>
      </c>
      <c r="BT635" s="607">
        <f t="shared" si="784"/>
        <v>0</v>
      </c>
      <c r="BU635" s="606">
        <f t="shared" si="785"/>
        <v>0</v>
      </c>
      <c r="BV635" s="607">
        <f t="shared" si="786"/>
        <v>0</v>
      </c>
      <c r="BW635" s="608">
        <f t="shared" si="787"/>
        <v>0</v>
      </c>
      <c r="BX635" s="607">
        <f t="shared" si="788"/>
        <v>0</v>
      </c>
      <c r="BY635" s="608">
        <f t="shared" si="789"/>
        <v>0</v>
      </c>
      <c r="BZ635" s="607">
        <f t="shared" si="790"/>
        <v>0</v>
      </c>
      <c r="CA635" s="608">
        <f t="shared" si="791"/>
        <v>0</v>
      </c>
      <c r="CB635" s="607">
        <f t="shared" si="792"/>
        <v>0</v>
      </c>
      <c r="CC635" s="608">
        <f t="shared" si="793"/>
        <v>0</v>
      </c>
      <c r="CD635" s="607">
        <f t="shared" si="794"/>
        <v>0</v>
      </c>
      <c r="CE635" s="608">
        <f t="shared" si="795"/>
        <v>0</v>
      </c>
      <c r="CF635" s="607">
        <f t="shared" si="796"/>
        <v>0</v>
      </c>
      <c r="CG635" s="608">
        <f t="shared" si="797"/>
        <v>0</v>
      </c>
      <c r="CH635" s="607">
        <f t="shared" si="798"/>
        <v>0</v>
      </c>
      <c r="CI635" s="608">
        <f t="shared" si="799"/>
        <v>0</v>
      </c>
      <c r="CJ635" s="607">
        <f t="shared" si="800"/>
        <v>0</v>
      </c>
      <c r="CK635" s="608">
        <f t="shared" si="801"/>
        <v>0</v>
      </c>
      <c r="CL635" s="609">
        <f t="shared" si="802"/>
        <v>0</v>
      </c>
      <c r="CM635" s="608">
        <f t="shared" si="803"/>
        <v>0</v>
      </c>
      <c r="CN635" s="610">
        <f t="shared" si="804"/>
        <v>0</v>
      </c>
      <c r="CO635" s="606">
        <f t="shared" si="805"/>
        <v>0</v>
      </c>
      <c r="CP635" s="607">
        <f t="shared" si="806"/>
        <v>0</v>
      </c>
      <c r="CQ635" s="606">
        <f t="shared" si="807"/>
        <v>0</v>
      </c>
      <c r="CR635" s="607">
        <f t="shared" si="808"/>
        <v>0</v>
      </c>
      <c r="CS635" s="606">
        <f t="shared" si="809"/>
        <v>0</v>
      </c>
      <c r="CT635" s="607">
        <f t="shared" si="810"/>
        <v>0</v>
      </c>
      <c r="CU635" s="608">
        <f t="shared" si="811"/>
        <v>0</v>
      </c>
      <c r="CV635" s="610">
        <f t="shared" si="812"/>
        <v>0</v>
      </c>
      <c r="CW635" s="608">
        <f t="shared" si="813"/>
        <v>0</v>
      </c>
      <c r="CX635" s="610">
        <f t="shared" si="814"/>
        <v>0</v>
      </c>
      <c r="CY635" s="611">
        <f t="shared" si="815"/>
        <v>0</v>
      </c>
      <c r="CZ635" s="605">
        <f t="shared" si="816"/>
        <v>0</v>
      </c>
      <c r="DA635" s="612">
        <f t="shared" si="817"/>
        <v>0</v>
      </c>
      <c r="DB635" s="607">
        <f t="shared" si="818"/>
        <v>0</v>
      </c>
      <c r="DC635" s="606">
        <f t="shared" si="819"/>
        <v>0</v>
      </c>
      <c r="DD635" s="607">
        <f t="shared" si="820"/>
        <v>0</v>
      </c>
      <c r="DE635" s="606">
        <f t="shared" si="821"/>
        <v>0</v>
      </c>
      <c r="DF635" s="607">
        <f t="shared" si="822"/>
        <v>0</v>
      </c>
      <c r="DG635" s="606">
        <f t="shared" si="823"/>
        <v>0</v>
      </c>
      <c r="DH635" s="607">
        <f t="shared" si="824"/>
        <v>0</v>
      </c>
      <c r="DI635" s="608">
        <f t="shared" si="825"/>
        <v>0</v>
      </c>
      <c r="DJ635" s="607">
        <f t="shared" si="826"/>
        <v>0</v>
      </c>
      <c r="DK635" s="608">
        <f t="shared" si="827"/>
        <v>0</v>
      </c>
      <c r="DL635" s="607">
        <f t="shared" si="828"/>
        <v>0</v>
      </c>
      <c r="DM635" s="608">
        <f t="shared" si="829"/>
        <v>0</v>
      </c>
      <c r="DN635" s="607">
        <f t="shared" si="830"/>
        <v>0</v>
      </c>
      <c r="DO635" s="612">
        <f t="shared" si="831"/>
        <v>0</v>
      </c>
      <c r="DP635" s="607">
        <f t="shared" si="832"/>
        <v>0</v>
      </c>
      <c r="DQ635" s="606">
        <f t="shared" si="833"/>
        <v>0</v>
      </c>
      <c r="DR635" s="607">
        <f t="shared" si="834"/>
        <v>0</v>
      </c>
      <c r="DS635" s="606">
        <f t="shared" si="835"/>
        <v>0</v>
      </c>
      <c r="DT635" s="607">
        <f t="shared" si="836"/>
        <v>0</v>
      </c>
      <c r="DU635" s="606">
        <f t="shared" si="837"/>
        <v>0</v>
      </c>
      <c r="DV635" s="607">
        <f t="shared" si="838"/>
        <v>0</v>
      </c>
      <c r="DW635" s="608">
        <f t="shared" si="839"/>
        <v>0</v>
      </c>
      <c r="DX635" s="607">
        <f t="shared" si="840"/>
        <v>0</v>
      </c>
      <c r="DY635" s="608">
        <f t="shared" si="841"/>
        <v>0</v>
      </c>
      <c r="DZ635" s="607">
        <f t="shared" si="842"/>
        <v>0</v>
      </c>
      <c r="EA635" s="608">
        <f t="shared" si="843"/>
        <v>0</v>
      </c>
    </row>
    <row r="636" spans="1:131" x14ac:dyDescent="0.2">
      <c r="A636" s="473" t="s">
        <v>44</v>
      </c>
      <c r="B636" s="478" t="s">
        <v>1039</v>
      </c>
      <c r="C636" s="568"/>
      <c r="D636" s="473">
        <v>232946</v>
      </c>
      <c r="E636" s="476">
        <v>8</v>
      </c>
      <c r="F636" s="598"/>
      <c r="G636" s="599"/>
      <c r="H636" s="600"/>
      <c r="I636" s="601"/>
      <c r="J636" s="600"/>
      <c r="K636" s="599"/>
      <c r="L636" s="600"/>
      <c r="M636" s="601"/>
      <c r="N636" s="600"/>
      <c r="O636" s="599"/>
      <c r="P636" s="600"/>
      <c r="Q636" s="601"/>
      <c r="R636" s="600"/>
      <c r="S636" s="599"/>
      <c r="T636" s="600"/>
      <c r="U636" s="601"/>
      <c r="V636" s="600"/>
      <c r="W636" s="599"/>
      <c r="X636" s="600"/>
      <c r="Y636" s="601"/>
      <c r="Z636" s="600"/>
      <c r="AA636" s="599"/>
      <c r="AB636" s="600"/>
      <c r="AC636" s="601"/>
      <c r="AD636" s="600"/>
      <c r="AE636" s="599"/>
      <c r="AF636" s="600"/>
      <c r="AG636" s="601"/>
      <c r="AH636" s="600"/>
      <c r="AI636" s="599"/>
      <c r="AJ636" s="600"/>
      <c r="AK636" s="601"/>
      <c r="AL636" s="600"/>
      <c r="AM636" s="599"/>
      <c r="AN636" s="600"/>
      <c r="AO636" s="601"/>
      <c r="AP636" s="600"/>
      <c r="AQ636" s="599"/>
      <c r="AR636" s="600"/>
      <c r="AS636" s="601"/>
      <c r="AT636" s="600"/>
      <c r="AU636" s="599"/>
      <c r="AV636" s="600"/>
      <c r="AW636" s="601"/>
      <c r="AX636" s="600"/>
      <c r="AY636" s="599"/>
      <c r="AZ636" s="600"/>
      <c r="BA636" s="601"/>
      <c r="BB636" s="602">
        <v>0</v>
      </c>
      <c r="BC636" s="599"/>
      <c r="BD636" s="600">
        <v>0</v>
      </c>
      <c r="BE636" s="599"/>
      <c r="BF636" s="600">
        <v>0</v>
      </c>
      <c r="BG636" s="599"/>
      <c r="BH636" s="600">
        <v>0</v>
      </c>
      <c r="BI636" s="599"/>
      <c r="BJ636" s="600">
        <v>0</v>
      </c>
      <c r="BK636" s="615"/>
      <c r="BL636" s="600">
        <v>0</v>
      </c>
      <c r="BM636" s="604"/>
      <c r="BN636" s="605">
        <f t="shared" si="778"/>
        <v>0</v>
      </c>
      <c r="BO636" s="606">
        <f t="shared" si="779"/>
        <v>0</v>
      </c>
      <c r="BP636" s="607">
        <f t="shared" si="780"/>
        <v>0</v>
      </c>
      <c r="BQ636" s="606">
        <f t="shared" si="781"/>
        <v>0</v>
      </c>
      <c r="BR636" s="607">
        <f t="shared" si="782"/>
        <v>0</v>
      </c>
      <c r="BS636" s="606">
        <f t="shared" si="783"/>
        <v>0</v>
      </c>
      <c r="BT636" s="607">
        <f t="shared" si="784"/>
        <v>0</v>
      </c>
      <c r="BU636" s="606">
        <f t="shared" si="785"/>
        <v>0</v>
      </c>
      <c r="BV636" s="607">
        <f t="shared" si="786"/>
        <v>0</v>
      </c>
      <c r="BW636" s="608">
        <f t="shared" si="787"/>
        <v>0</v>
      </c>
      <c r="BX636" s="607">
        <f t="shared" si="788"/>
        <v>0</v>
      </c>
      <c r="BY636" s="608">
        <f t="shared" si="789"/>
        <v>0</v>
      </c>
      <c r="BZ636" s="607">
        <f t="shared" si="790"/>
        <v>0</v>
      </c>
      <c r="CA636" s="608">
        <f t="shared" si="791"/>
        <v>0</v>
      </c>
      <c r="CB636" s="607">
        <f t="shared" si="792"/>
        <v>0</v>
      </c>
      <c r="CC636" s="608">
        <f t="shared" si="793"/>
        <v>0</v>
      </c>
      <c r="CD636" s="607">
        <f t="shared" si="794"/>
        <v>0</v>
      </c>
      <c r="CE636" s="608">
        <f t="shared" si="795"/>
        <v>0</v>
      </c>
      <c r="CF636" s="607">
        <f t="shared" si="796"/>
        <v>0</v>
      </c>
      <c r="CG636" s="608">
        <f t="shared" si="797"/>
        <v>0</v>
      </c>
      <c r="CH636" s="607">
        <f t="shared" si="798"/>
        <v>0</v>
      </c>
      <c r="CI636" s="608">
        <f t="shared" si="799"/>
        <v>0</v>
      </c>
      <c r="CJ636" s="607">
        <f t="shared" si="800"/>
        <v>0</v>
      </c>
      <c r="CK636" s="608">
        <f t="shared" si="801"/>
        <v>0</v>
      </c>
      <c r="CL636" s="609">
        <f t="shared" si="802"/>
        <v>0</v>
      </c>
      <c r="CM636" s="608">
        <f t="shared" si="803"/>
        <v>0</v>
      </c>
      <c r="CN636" s="610">
        <f t="shared" si="804"/>
        <v>0</v>
      </c>
      <c r="CO636" s="606">
        <f t="shared" si="805"/>
        <v>0</v>
      </c>
      <c r="CP636" s="607">
        <f t="shared" si="806"/>
        <v>0</v>
      </c>
      <c r="CQ636" s="606">
        <f t="shared" si="807"/>
        <v>0</v>
      </c>
      <c r="CR636" s="607">
        <f t="shared" si="808"/>
        <v>0</v>
      </c>
      <c r="CS636" s="606">
        <f t="shared" si="809"/>
        <v>0</v>
      </c>
      <c r="CT636" s="607">
        <f t="shared" si="810"/>
        <v>0</v>
      </c>
      <c r="CU636" s="608">
        <f t="shared" si="811"/>
        <v>0</v>
      </c>
      <c r="CV636" s="610">
        <f t="shared" si="812"/>
        <v>0</v>
      </c>
      <c r="CW636" s="608">
        <f t="shared" si="813"/>
        <v>0</v>
      </c>
      <c r="CX636" s="610">
        <f t="shared" si="814"/>
        <v>0</v>
      </c>
      <c r="CY636" s="611">
        <f t="shared" si="815"/>
        <v>0</v>
      </c>
      <c r="CZ636" s="605">
        <f t="shared" si="816"/>
        <v>0</v>
      </c>
      <c r="DA636" s="612">
        <f t="shared" si="817"/>
        <v>0</v>
      </c>
      <c r="DB636" s="607">
        <f t="shared" si="818"/>
        <v>0</v>
      </c>
      <c r="DC636" s="606">
        <f t="shared" si="819"/>
        <v>0</v>
      </c>
      <c r="DD636" s="607">
        <f t="shared" si="820"/>
        <v>0</v>
      </c>
      <c r="DE636" s="606">
        <f t="shared" si="821"/>
        <v>0</v>
      </c>
      <c r="DF636" s="607">
        <f t="shared" si="822"/>
        <v>0</v>
      </c>
      <c r="DG636" s="606">
        <f t="shared" si="823"/>
        <v>0</v>
      </c>
      <c r="DH636" s="607">
        <f t="shared" si="824"/>
        <v>0</v>
      </c>
      <c r="DI636" s="608">
        <f t="shared" si="825"/>
        <v>0</v>
      </c>
      <c r="DJ636" s="607">
        <f t="shared" si="826"/>
        <v>0</v>
      </c>
      <c r="DK636" s="608">
        <f t="shared" si="827"/>
        <v>0</v>
      </c>
      <c r="DL636" s="607">
        <f t="shared" si="828"/>
        <v>0</v>
      </c>
      <c r="DM636" s="608">
        <f t="shared" si="829"/>
        <v>0</v>
      </c>
      <c r="DN636" s="607">
        <f t="shared" si="830"/>
        <v>0</v>
      </c>
      <c r="DO636" s="612">
        <f t="shared" si="831"/>
        <v>0</v>
      </c>
      <c r="DP636" s="607">
        <f t="shared" si="832"/>
        <v>0</v>
      </c>
      <c r="DQ636" s="606">
        <f t="shared" si="833"/>
        <v>0</v>
      </c>
      <c r="DR636" s="607">
        <f t="shared" si="834"/>
        <v>0</v>
      </c>
      <c r="DS636" s="606">
        <f t="shared" si="835"/>
        <v>0</v>
      </c>
      <c r="DT636" s="607">
        <f t="shared" si="836"/>
        <v>0</v>
      </c>
      <c r="DU636" s="606">
        <f t="shared" si="837"/>
        <v>0</v>
      </c>
      <c r="DV636" s="607">
        <f t="shared" si="838"/>
        <v>0</v>
      </c>
      <c r="DW636" s="608">
        <f t="shared" si="839"/>
        <v>0</v>
      </c>
      <c r="DX636" s="607">
        <f t="shared" si="840"/>
        <v>0</v>
      </c>
      <c r="DY636" s="608">
        <f t="shared" si="841"/>
        <v>0</v>
      </c>
      <c r="DZ636" s="607">
        <f t="shared" si="842"/>
        <v>0</v>
      </c>
      <c r="EA636" s="608">
        <f t="shared" si="843"/>
        <v>0</v>
      </c>
    </row>
    <row r="637" spans="1:131" x14ac:dyDescent="0.2">
      <c r="A637" s="473" t="s">
        <v>44</v>
      </c>
      <c r="B637" s="478" t="s">
        <v>1040</v>
      </c>
      <c r="C637" s="568"/>
      <c r="D637" s="473">
        <v>233754</v>
      </c>
      <c r="E637" s="476">
        <v>8</v>
      </c>
      <c r="F637" s="598"/>
      <c r="G637" s="599"/>
      <c r="H637" s="600"/>
      <c r="I637" s="601"/>
      <c r="J637" s="600"/>
      <c r="K637" s="599"/>
      <c r="L637" s="600"/>
      <c r="M637" s="601"/>
      <c r="N637" s="600"/>
      <c r="O637" s="599"/>
      <c r="P637" s="600"/>
      <c r="Q637" s="601"/>
      <c r="R637" s="600"/>
      <c r="S637" s="599"/>
      <c r="T637" s="600"/>
      <c r="U637" s="601"/>
      <c r="V637" s="600"/>
      <c r="W637" s="599"/>
      <c r="X637" s="600"/>
      <c r="Y637" s="601"/>
      <c r="Z637" s="600"/>
      <c r="AA637" s="599"/>
      <c r="AB637" s="600"/>
      <c r="AC637" s="601"/>
      <c r="AD637" s="600"/>
      <c r="AE637" s="599"/>
      <c r="AF637" s="600"/>
      <c r="AG637" s="601"/>
      <c r="AH637" s="600"/>
      <c r="AI637" s="599"/>
      <c r="AJ637" s="600"/>
      <c r="AK637" s="601"/>
      <c r="AL637" s="600"/>
      <c r="AM637" s="599"/>
      <c r="AN637" s="600"/>
      <c r="AO637" s="601"/>
      <c r="AP637" s="600"/>
      <c r="AQ637" s="599"/>
      <c r="AR637" s="600"/>
      <c r="AS637" s="601"/>
      <c r="AT637" s="600"/>
      <c r="AU637" s="599"/>
      <c r="AV637" s="600"/>
      <c r="AW637" s="601"/>
      <c r="AX637" s="600"/>
      <c r="AY637" s="599"/>
      <c r="AZ637" s="600"/>
      <c r="BA637" s="601"/>
      <c r="BB637" s="602">
        <v>0</v>
      </c>
      <c r="BC637" s="599"/>
      <c r="BD637" s="600">
        <v>0</v>
      </c>
      <c r="BE637" s="599"/>
      <c r="BF637" s="600">
        <v>0</v>
      </c>
      <c r="BG637" s="599"/>
      <c r="BH637" s="600">
        <v>0</v>
      </c>
      <c r="BI637" s="599"/>
      <c r="BJ637" s="600">
        <v>0</v>
      </c>
      <c r="BK637" s="615"/>
      <c r="BL637" s="600">
        <v>0</v>
      </c>
      <c r="BM637" s="604"/>
      <c r="BN637" s="605">
        <f t="shared" si="778"/>
        <v>0</v>
      </c>
      <c r="BO637" s="606">
        <f t="shared" si="779"/>
        <v>0</v>
      </c>
      <c r="BP637" s="607">
        <f t="shared" si="780"/>
        <v>0</v>
      </c>
      <c r="BQ637" s="606">
        <f t="shared" si="781"/>
        <v>0</v>
      </c>
      <c r="BR637" s="607">
        <f t="shared" si="782"/>
        <v>0</v>
      </c>
      <c r="BS637" s="606">
        <f t="shared" si="783"/>
        <v>0</v>
      </c>
      <c r="BT637" s="607">
        <f t="shared" si="784"/>
        <v>0</v>
      </c>
      <c r="BU637" s="606">
        <f t="shared" si="785"/>
        <v>0</v>
      </c>
      <c r="BV637" s="607">
        <f t="shared" si="786"/>
        <v>0</v>
      </c>
      <c r="BW637" s="608">
        <f t="shared" si="787"/>
        <v>0</v>
      </c>
      <c r="BX637" s="607">
        <f t="shared" si="788"/>
        <v>0</v>
      </c>
      <c r="BY637" s="608">
        <f t="shared" si="789"/>
        <v>0</v>
      </c>
      <c r="BZ637" s="607">
        <f t="shared" si="790"/>
        <v>0</v>
      </c>
      <c r="CA637" s="608">
        <f t="shared" si="791"/>
        <v>0</v>
      </c>
      <c r="CB637" s="607">
        <f t="shared" si="792"/>
        <v>0</v>
      </c>
      <c r="CC637" s="608">
        <f t="shared" si="793"/>
        <v>0</v>
      </c>
      <c r="CD637" s="607">
        <f t="shared" si="794"/>
        <v>0</v>
      </c>
      <c r="CE637" s="608">
        <f t="shared" si="795"/>
        <v>0</v>
      </c>
      <c r="CF637" s="607">
        <f t="shared" si="796"/>
        <v>0</v>
      </c>
      <c r="CG637" s="608">
        <f t="shared" si="797"/>
        <v>0</v>
      </c>
      <c r="CH637" s="607">
        <f t="shared" si="798"/>
        <v>0</v>
      </c>
      <c r="CI637" s="608">
        <f t="shared" si="799"/>
        <v>0</v>
      </c>
      <c r="CJ637" s="607">
        <f t="shared" si="800"/>
        <v>0</v>
      </c>
      <c r="CK637" s="608">
        <f t="shared" si="801"/>
        <v>0</v>
      </c>
      <c r="CL637" s="609">
        <f t="shared" si="802"/>
        <v>0</v>
      </c>
      <c r="CM637" s="608">
        <f t="shared" si="803"/>
        <v>0</v>
      </c>
      <c r="CN637" s="610">
        <f t="shared" si="804"/>
        <v>0</v>
      </c>
      <c r="CO637" s="606">
        <f t="shared" si="805"/>
        <v>0</v>
      </c>
      <c r="CP637" s="607">
        <f t="shared" si="806"/>
        <v>0</v>
      </c>
      <c r="CQ637" s="606">
        <f t="shared" si="807"/>
        <v>0</v>
      </c>
      <c r="CR637" s="607">
        <f t="shared" si="808"/>
        <v>0</v>
      </c>
      <c r="CS637" s="606">
        <f t="shared" si="809"/>
        <v>0</v>
      </c>
      <c r="CT637" s="607">
        <f t="shared" si="810"/>
        <v>0</v>
      </c>
      <c r="CU637" s="608">
        <f t="shared" si="811"/>
        <v>0</v>
      </c>
      <c r="CV637" s="610">
        <f t="shared" si="812"/>
        <v>0</v>
      </c>
      <c r="CW637" s="608">
        <f t="shared" si="813"/>
        <v>0</v>
      </c>
      <c r="CX637" s="610">
        <f t="shared" si="814"/>
        <v>0</v>
      </c>
      <c r="CY637" s="611">
        <f t="shared" si="815"/>
        <v>0</v>
      </c>
      <c r="CZ637" s="605">
        <f t="shared" si="816"/>
        <v>0</v>
      </c>
      <c r="DA637" s="612">
        <f t="shared" si="817"/>
        <v>0</v>
      </c>
      <c r="DB637" s="607">
        <f t="shared" si="818"/>
        <v>0</v>
      </c>
      <c r="DC637" s="606">
        <f t="shared" si="819"/>
        <v>0</v>
      </c>
      <c r="DD637" s="607">
        <f t="shared" si="820"/>
        <v>0</v>
      </c>
      <c r="DE637" s="606">
        <f t="shared" si="821"/>
        <v>0</v>
      </c>
      <c r="DF637" s="607">
        <f t="shared" si="822"/>
        <v>0</v>
      </c>
      <c r="DG637" s="606">
        <f t="shared" si="823"/>
        <v>0</v>
      </c>
      <c r="DH637" s="607">
        <f t="shared" si="824"/>
        <v>0</v>
      </c>
      <c r="DI637" s="608">
        <f t="shared" si="825"/>
        <v>0</v>
      </c>
      <c r="DJ637" s="607">
        <f t="shared" si="826"/>
        <v>0</v>
      </c>
      <c r="DK637" s="608">
        <f t="shared" si="827"/>
        <v>0</v>
      </c>
      <c r="DL637" s="607">
        <f t="shared" si="828"/>
        <v>0</v>
      </c>
      <c r="DM637" s="608">
        <f t="shared" si="829"/>
        <v>0</v>
      </c>
      <c r="DN637" s="607">
        <f t="shared" si="830"/>
        <v>0</v>
      </c>
      <c r="DO637" s="612">
        <f t="shared" si="831"/>
        <v>0</v>
      </c>
      <c r="DP637" s="607">
        <f t="shared" si="832"/>
        <v>0</v>
      </c>
      <c r="DQ637" s="606">
        <f t="shared" si="833"/>
        <v>0</v>
      </c>
      <c r="DR637" s="607">
        <f t="shared" si="834"/>
        <v>0</v>
      </c>
      <c r="DS637" s="606">
        <f t="shared" si="835"/>
        <v>0</v>
      </c>
      <c r="DT637" s="607">
        <f t="shared" si="836"/>
        <v>0</v>
      </c>
      <c r="DU637" s="606">
        <f t="shared" si="837"/>
        <v>0</v>
      </c>
      <c r="DV637" s="607">
        <f t="shared" si="838"/>
        <v>0</v>
      </c>
      <c r="DW637" s="608">
        <f t="shared" si="839"/>
        <v>0</v>
      </c>
      <c r="DX637" s="607">
        <f t="shared" si="840"/>
        <v>0</v>
      </c>
      <c r="DY637" s="608">
        <f t="shared" si="841"/>
        <v>0</v>
      </c>
      <c r="DZ637" s="607">
        <f t="shared" si="842"/>
        <v>0</v>
      </c>
      <c r="EA637" s="608">
        <f t="shared" si="843"/>
        <v>0</v>
      </c>
    </row>
    <row r="638" spans="1:131" x14ac:dyDescent="0.2">
      <c r="A638" s="473" t="s">
        <v>44</v>
      </c>
      <c r="B638" s="478" t="s">
        <v>1041</v>
      </c>
      <c r="C638" s="568"/>
      <c r="D638" s="473">
        <v>233772</v>
      </c>
      <c r="E638" s="476">
        <v>8</v>
      </c>
      <c r="F638" s="598"/>
      <c r="G638" s="599"/>
      <c r="H638" s="600"/>
      <c r="I638" s="601"/>
      <c r="J638" s="600"/>
      <c r="K638" s="599"/>
      <c r="L638" s="600"/>
      <c r="M638" s="601"/>
      <c r="N638" s="600"/>
      <c r="O638" s="599"/>
      <c r="P638" s="600"/>
      <c r="Q638" s="601"/>
      <c r="R638" s="600"/>
      <c r="S638" s="599"/>
      <c r="T638" s="600"/>
      <c r="U638" s="601"/>
      <c r="V638" s="600"/>
      <c r="W638" s="599"/>
      <c r="X638" s="600"/>
      <c r="Y638" s="601"/>
      <c r="Z638" s="600"/>
      <c r="AA638" s="599"/>
      <c r="AB638" s="600"/>
      <c r="AC638" s="601"/>
      <c r="AD638" s="600"/>
      <c r="AE638" s="599"/>
      <c r="AF638" s="600"/>
      <c r="AG638" s="601"/>
      <c r="AH638" s="600"/>
      <c r="AI638" s="599"/>
      <c r="AJ638" s="600"/>
      <c r="AK638" s="601"/>
      <c r="AL638" s="600"/>
      <c r="AM638" s="599"/>
      <c r="AN638" s="600"/>
      <c r="AO638" s="601"/>
      <c r="AP638" s="600"/>
      <c r="AQ638" s="599"/>
      <c r="AR638" s="600"/>
      <c r="AS638" s="601"/>
      <c r="AT638" s="600"/>
      <c r="AU638" s="599"/>
      <c r="AV638" s="600"/>
      <c r="AW638" s="601"/>
      <c r="AX638" s="600"/>
      <c r="AY638" s="599"/>
      <c r="AZ638" s="600"/>
      <c r="BA638" s="601"/>
      <c r="BB638" s="602">
        <v>0</v>
      </c>
      <c r="BC638" s="599"/>
      <c r="BD638" s="600">
        <v>0</v>
      </c>
      <c r="BE638" s="599"/>
      <c r="BF638" s="600">
        <v>0</v>
      </c>
      <c r="BG638" s="599"/>
      <c r="BH638" s="600">
        <v>0</v>
      </c>
      <c r="BI638" s="599"/>
      <c r="BJ638" s="600">
        <v>0</v>
      </c>
      <c r="BK638" s="615"/>
      <c r="BL638" s="600">
        <v>0</v>
      </c>
      <c r="BM638" s="604"/>
      <c r="BN638" s="605">
        <f t="shared" si="778"/>
        <v>0</v>
      </c>
      <c r="BO638" s="606">
        <f t="shared" si="779"/>
        <v>0</v>
      </c>
      <c r="BP638" s="607">
        <f t="shared" si="780"/>
        <v>0</v>
      </c>
      <c r="BQ638" s="606">
        <f t="shared" si="781"/>
        <v>0</v>
      </c>
      <c r="BR638" s="607">
        <f t="shared" si="782"/>
        <v>0</v>
      </c>
      <c r="BS638" s="606">
        <f t="shared" si="783"/>
        <v>0</v>
      </c>
      <c r="BT638" s="607">
        <f t="shared" si="784"/>
        <v>0</v>
      </c>
      <c r="BU638" s="606">
        <f t="shared" si="785"/>
        <v>0</v>
      </c>
      <c r="BV638" s="607">
        <f t="shared" si="786"/>
        <v>0</v>
      </c>
      <c r="BW638" s="608">
        <f t="shared" si="787"/>
        <v>0</v>
      </c>
      <c r="BX638" s="607">
        <f t="shared" si="788"/>
        <v>0</v>
      </c>
      <c r="BY638" s="608">
        <f t="shared" si="789"/>
        <v>0</v>
      </c>
      <c r="BZ638" s="607">
        <f t="shared" si="790"/>
        <v>0</v>
      </c>
      <c r="CA638" s="608">
        <f t="shared" si="791"/>
        <v>0</v>
      </c>
      <c r="CB638" s="607">
        <f t="shared" si="792"/>
        <v>0</v>
      </c>
      <c r="CC638" s="608">
        <f t="shared" si="793"/>
        <v>0</v>
      </c>
      <c r="CD638" s="607">
        <f t="shared" si="794"/>
        <v>0</v>
      </c>
      <c r="CE638" s="608">
        <f t="shared" si="795"/>
        <v>0</v>
      </c>
      <c r="CF638" s="607">
        <f t="shared" si="796"/>
        <v>0</v>
      </c>
      <c r="CG638" s="608">
        <f t="shared" si="797"/>
        <v>0</v>
      </c>
      <c r="CH638" s="607">
        <f t="shared" si="798"/>
        <v>0</v>
      </c>
      <c r="CI638" s="608">
        <f t="shared" si="799"/>
        <v>0</v>
      </c>
      <c r="CJ638" s="607">
        <f t="shared" si="800"/>
        <v>0</v>
      </c>
      <c r="CK638" s="608">
        <f t="shared" si="801"/>
        <v>0</v>
      </c>
      <c r="CL638" s="609">
        <f t="shared" si="802"/>
        <v>0</v>
      </c>
      <c r="CM638" s="608">
        <f t="shared" si="803"/>
        <v>0</v>
      </c>
      <c r="CN638" s="610">
        <f t="shared" si="804"/>
        <v>0</v>
      </c>
      <c r="CO638" s="606">
        <f t="shared" si="805"/>
        <v>0</v>
      </c>
      <c r="CP638" s="607">
        <f t="shared" si="806"/>
        <v>0</v>
      </c>
      <c r="CQ638" s="606">
        <f t="shared" si="807"/>
        <v>0</v>
      </c>
      <c r="CR638" s="607">
        <f t="shared" si="808"/>
        <v>0</v>
      </c>
      <c r="CS638" s="606">
        <f t="shared" si="809"/>
        <v>0</v>
      </c>
      <c r="CT638" s="607">
        <f t="shared" si="810"/>
        <v>0</v>
      </c>
      <c r="CU638" s="608">
        <f t="shared" si="811"/>
        <v>0</v>
      </c>
      <c r="CV638" s="610">
        <f t="shared" si="812"/>
        <v>0</v>
      </c>
      <c r="CW638" s="608">
        <f t="shared" si="813"/>
        <v>0</v>
      </c>
      <c r="CX638" s="610">
        <f t="shared" si="814"/>
        <v>0</v>
      </c>
      <c r="CY638" s="611">
        <f t="shared" si="815"/>
        <v>0</v>
      </c>
      <c r="CZ638" s="605">
        <f t="shared" si="816"/>
        <v>0</v>
      </c>
      <c r="DA638" s="612">
        <f t="shared" si="817"/>
        <v>0</v>
      </c>
      <c r="DB638" s="607">
        <f t="shared" si="818"/>
        <v>0</v>
      </c>
      <c r="DC638" s="606">
        <f t="shared" si="819"/>
        <v>0</v>
      </c>
      <c r="DD638" s="607">
        <f t="shared" si="820"/>
        <v>0</v>
      </c>
      <c r="DE638" s="606">
        <f t="shared" si="821"/>
        <v>0</v>
      </c>
      <c r="DF638" s="607">
        <f t="shared" si="822"/>
        <v>0</v>
      </c>
      <c r="DG638" s="606">
        <f t="shared" si="823"/>
        <v>0</v>
      </c>
      <c r="DH638" s="607">
        <f t="shared" si="824"/>
        <v>0</v>
      </c>
      <c r="DI638" s="608">
        <f t="shared" si="825"/>
        <v>0</v>
      </c>
      <c r="DJ638" s="607">
        <f t="shared" si="826"/>
        <v>0</v>
      </c>
      <c r="DK638" s="608">
        <f t="shared" si="827"/>
        <v>0</v>
      </c>
      <c r="DL638" s="607">
        <f t="shared" si="828"/>
        <v>0</v>
      </c>
      <c r="DM638" s="608">
        <f t="shared" si="829"/>
        <v>0</v>
      </c>
      <c r="DN638" s="607">
        <f t="shared" si="830"/>
        <v>0</v>
      </c>
      <c r="DO638" s="612">
        <f t="shared" si="831"/>
        <v>0</v>
      </c>
      <c r="DP638" s="607">
        <f t="shared" si="832"/>
        <v>0</v>
      </c>
      <c r="DQ638" s="606">
        <f t="shared" si="833"/>
        <v>0</v>
      </c>
      <c r="DR638" s="607">
        <f t="shared" si="834"/>
        <v>0</v>
      </c>
      <c r="DS638" s="606">
        <f t="shared" si="835"/>
        <v>0</v>
      </c>
      <c r="DT638" s="607">
        <f t="shared" si="836"/>
        <v>0</v>
      </c>
      <c r="DU638" s="606">
        <f t="shared" si="837"/>
        <v>0</v>
      </c>
      <c r="DV638" s="607">
        <f t="shared" si="838"/>
        <v>0</v>
      </c>
      <c r="DW638" s="608">
        <f t="shared" si="839"/>
        <v>0</v>
      </c>
      <c r="DX638" s="607">
        <f t="shared" si="840"/>
        <v>0</v>
      </c>
      <c r="DY638" s="608">
        <f t="shared" si="841"/>
        <v>0</v>
      </c>
      <c r="DZ638" s="607">
        <f t="shared" si="842"/>
        <v>0</v>
      </c>
      <c r="EA638" s="608">
        <f t="shared" si="843"/>
        <v>0</v>
      </c>
    </row>
    <row r="639" spans="1:131" x14ac:dyDescent="0.2">
      <c r="A639" s="473" t="s">
        <v>44</v>
      </c>
      <c r="B639" s="478" t="s">
        <v>1042</v>
      </c>
      <c r="C639" s="568"/>
      <c r="D639" s="473">
        <v>231536</v>
      </c>
      <c r="E639" s="476">
        <v>9</v>
      </c>
      <c r="F639" s="598"/>
      <c r="G639" s="599"/>
      <c r="H639" s="600"/>
      <c r="I639" s="601"/>
      <c r="J639" s="600"/>
      <c r="K639" s="599"/>
      <c r="L639" s="600"/>
      <c r="M639" s="601"/>
      <c r="N639" s="600"/>
      <c r="O639" s="599"/>
      <c r="P639" s="600"/>
      <c r="Q639" s="601"/>
      <c r="R639" s="600"/>
      <c r="S639" s="599"/>
      <c r="T639" s="600"/>
      <c r="U639" s="601"/>
      <c r="V639" s="600"/>
      <c r="W639" s="599"/>
      <c r="X639" s="600"/>
      <c r="Y639" s="601"/>
      <c r="Z639" s="600"/>
      <c r="AA639" s="599"/>
      <c r="AB639" s="600"/>
      <c r="AC639" s="601"/>
      <c r="AD639" s="600"/>
      <c r="AE639" s="599"/>
      <c r="AF639" s="600"/>
      <c r="AG639" s="601"/>
      <c r="AH639" s="600"/>
      <c r="AI639" s="599"/>
      <c r="AJ639" s="600"/>
      <c r="AK639" s="601"/>
      <c r="AL639" s="600"/>
      <c r="AM639" s="599"/>
      <c r="AN639" s="600"/>
      <c r="AO639" s="601"/>
      <c r="AP639" s="600"/>
      <c r="AQ639" s="599"/>
      <c r="AR639" s="600"/>
      <c r="AS639" s="601"/>
      <c r="AT639" s="600"/>
      <c r="AU639" s="599"/>
      <c r="AV639" s="600"/>
      <c r="AW639" s="601"/>
      <c r="AX639" s="600"/>
      <c r="AY639" s="599"/>
      <c r="AZ639" s="600"/>
      <c r="BA639" s="601"/>
      <c r="BB639" s="602">
        <v>0</v>
      </c>
      <c r="BC639" s="599"/>
      <c r="BD639" s="600">
        <v>0</v>
      </c>
      <c r="BE639" s="599"/>
      <c r="BF639" s="600">
        <v>0</v>
      </c>
      <c r="BG639" s="599"/>
      <c r="BH639" s="600">
        <v>0</v>
      </c>
      <c r="BI639" s="599"/>
      <c r="BJ639" s="600">
        <v>0</v>
      </c>
      <c r="BK639" s="615"/>
      <c r="BL639" s="600">
        <v>0</v>
      </c>
      <c r="BM639" s="604"/>
      <c r="BN639" s="605">
        <f t="shared" si="778"/>
        <v>0</v>
      </c>
      <c r="BO639" s="606">
        <f t="shared" si="779"/>
        <v>0</v>
      </c>
      <c r="BP639" s="607">
        <f t="shared" si="780"/>
        <v>0</v>
      </c>
      <c r="BQ639" s="606">
        <f t="shared" si="781"/>
        <v>0</v>
      </c>
      <c r="BR639" s="607">
        <f t="shared" si="782"/>
        <v>0</v>
      </c>
      <c r="BS639" s="606">
        <f t="shared" si="783"/>
        <v>0</v>
      </c>
      <c r="BT639" s="607">
        <f t="shared" si="784"/>
        <v>0</v>
      </c>
      <c r="BU639" s="606">
        <f t="shared" si="785"/>
        <v>0</v>
      </c>
      <c r="BV639" s="607">
        <f t="shared" si="786"/>
        <v>0</v>
      </c>
      <c r="BW639" s="608">
        <f t="shared" si="787"/>
        <v>0</v>
      </c>
      <c r="BX639" s="607">
        <f t="shared" si="788"/>
        <v>0</v>
      </c>
      <c r="BY639" s="608">
        <f t="shared" si="789"/>
        <v>0</v>
      </c>
      <c r="BZ639" s="607">
        <f t="shared" si="790"/>
        <v>0</v>
      </c>
      <c r="CA639" s="608">
        <f t="shared" si="791"/>
        <v>0</v>
      </c>
      <c r="CB639" s="607">
        <f t="shared" si="792"/>
        <v>0</v>
      </c>
      <c r="CC639" s="608">
        <f t="shared" si="793"/>
        <v>0</v>
      </c>
      <c r="CD639" s="607">
        <f t="shared" si="794"/>
        <v>0</v>
      </c>
      <c r="CE639" s="608">
        <f t="shared" si="795"/>
        <v>0</v>
      </c>
      <c r="CF639" s="607">
        <f t="shared" si="796"/>
        <v>0</v>
      </c>
      <c r="CG639" s="608">
        <f t="shared" si="797"/>
        <v>0</v>
      </c>
      <c r="CH639" s="607">
        <f t="shared" si="798"/>
        <v>0</v>
      </c>
      <c r="CI639" s="608">
        <f t="shared" si="799"/>
        <v>0</v>
      </c>
      <c r="CJ639" s="607">
        <f t="shared" si="800"/>
        <v>0</v>
      </c>
      <c r="CK639" s="608">
        <f t="shared" si="801"/>
        <v>0</v>
      </c>
      <c r="CL639" s="609">
        <f t="shared" si="802"/>
        <v>0</v>
      </c>
      <c r="CM639" s="608">
        <f t="shared" si="803"/>
        <v>0</v>
      </c>
      <c r="CN639" s="610">
        <f t="shared" si="804"/>
        <v>0</v>
      </c>
      <c r="CO639" s="606">
        <f t="shared" si="805"/>
        <v>0</v>
      </c>
      <c r="CP639" s="607">
        <f t="shared" si="806"/>
        <v>0</v>
      </c>
      <c r="CQ639" s="606">
        <f t="shared" si="807"/>
        <v>0</v>
      </c>
      <c r="CR639" s="607">
        <f t="shared" si="808"/>
        <v>0</v>
      </c>
      <c r="CS639" s="606">
        <f t="shared" si="809"/>
        <v>0</v>
      </c>
      <c r="CT639" s="607">
        <f t="shared" si="810"/>
        <v>0</v>
      </c>
      <c r="CU639" s="608">
        <f t="shared" si="811"/>
        <v>0</v>
      </c>
      <c r="CV639" s="610">
        <f t="shared" si="812"/>
        <v>0</v>
      </c>
      <c r="CW639" s="608">
        <f t="shared" si="813"/>
        <v>0</v>
      </c>
      <c r="CX639" s="610">
        <f t="shared" si="814"/>
        <v>0</v>
      </c>
      <c r="CY639" s="611">
        <f t="shared" si="815"/>
        <v>0</v>
      </c>
      <c r="CZ639" s="605">
        <f t="shared" si="816"/>
        <v>0</v>
      </c>
      <c r="DA639" s="612">
        <f t="shared" si="817"/>
        <v>0</v>
      </c>
      <c r="DB639" s="607">
        <f t="shared" si="818"/>
        <v>0</v>
      </c>
      <c r="DC639" s="606">
        <f t="shared" si="819"/>
        <v>0</v>
      </c>
      <c r="DD639" s="607">
        <f t="shared" si="820"/>
        <v>0</v>
      </c>
      <c r="DE639" s="606">
        <f t="shared" si="821"/>
        <v>0</v>
      </c>
      <c r="DF639" s="607">
        <f t="shared" si="822"/>
        <v>0</v>
      </c>
      <c r="DG639" s="606">
        <f t="shared" si="823"/>
        <v>0</v>
      </c>
      <c r="DH639" s="607">
        <f t="shared" si="824"/>
        <v>0</v>
      </c>
      <c r="DI639" s="608">
        <f t="shared" si="825"/>
        <v>0</v>
      </c>
      <c r="DJ639" s="607">
        <f t="shared" si="826"/>
        <v>0</v>
      </c>
      <c r="DK639" s="608">
        <f t="shared" si="827"/>
        <v>0</v>
      </c>
      <c r="DL639" s="607">
        <f t="shared" si="828"/>
        <v>0</v>
      </c>
      <c r="DM639" s="608">
        <f t="shared" si="829"/>
        <v>0</v>
      </c>
      <c r="DN639" s="607">
        <f t="shared" si="830"/>
        <v>0</v>
      </c>
      <c r="DO639" s="612">
        <f t="shared" si="831"/>
        <v>0</v>
      </c>
      <c r="DP639" s="607">
        <f t="shared" si="832"/>
        <v>0</v>
      </c>
      <c r="DQ639" s="606">
        <f t="shared" si="833"/>
        <v>0</v>
      </c>
      <c r="DR639" s="607">
        <f t="shared" si="834"/>
        <v>0</v>
      </c>
      <c r="DS639" s="606">
        <f t="shared" si="835"/>
        <v>0</v>
      </c>
      <c r="DT639" s="607">
        <f t="shared" si="836"/>
        <v>0</v>
      </c>
      <c r="DU639" s="606">
        <f t="shared" si="837"/>
        <v>0</v>
      </c>
      <c r="DV639" s="607">
        <f t="shared" si="838"/>
        <v>0</v>
      </c>
      <c r="DW639" s="608">
        <f t="shared" si="839"/>
        <v>0</v>
      </c>
      <c r="DX639" s="607">
        <f t="shared" si="840"/>
        <v>0</v>
      </c>
      <c r="DY639" s="608">
        <f t="shared" si="841"/>
        <v>0</v>
      </c>
      <c r="DZ639" s="607">
        <f t="shared" si="842"/>
        <v>0</v>
      </c>
      <c r="EA639" s="608">
        <f t="shared" si="843"/>
        <v>0</v>
      </c>
    </row>
    <row r="640" spans="1:131" x14ac:dyDescent="0.2">
      <c r="A640" s="473" t="s">
        <v>44</v>
      </c>
      <c r="B640" s="478" t="s">
        <v>1043</v>
      </c>
      <c r="C640" s="568"/>
      <c r="D640" s="473">
        <v>231697</v>
      </c>
      <c r="E640" s="476">
        <v>9</v>
      </c>
      <c r="F640" s="598"/>
      <c r="G640" s="599"/>
      <c r="H640" s="600"/>
      <c r="I640" s="601"/>
      <c r="J640" s="600"/>
      <c r="K640" s="599"/>
      <c r="L640" s="600"/>
      <c r="M640" s="601"/>
      <c r="N640" s="600"/>
      <c r="O640" s="599"/>
      <c r="P640" s="600"/>
      <c r="Q640" s="601"/>
      <c r="R640" s="600"/>
      <c r="S640" s="599"/>
      <c r="T640" s="600"/>
      <c r="U640" s="601"/>
      <c r="V640" s="600"/>
      <c r="W640" s="599"/>
      <c r="X640" s="600"/>
      <c r="Y640" s="601"/>
      <c r="Z640" s="600"/>
      <c r="AA640" s="599"/>
      <c r="AB640" s="600"/>
      <c r="AC640" s="601"/>
      <c r="AD640" s="600"/>
      <c r="AE640" s="599"/>
      <c r="AF640" s="600"/>
      <c r="AG640" s="601"/>
      <c r="AH640" s="600"/>
      <c r="AI640" s="599"/>
      <c r="AJ640" s="600"/>
      <c r="AK640" s="601"/>
      <c r="AL640" s="600"/>
      <c r="AM640" s="599"/>
      <c r="AN640" s="600"/>
      <c r="AO640" s="601"/>
      <c r="AP640" s="600"/>
      <c r="AQ640" s="599"/>
      <c r="AR640" s="600"/>
      <c r="AS640" s="601"/>
      <c r="AT640" s="600"/>
      <c r="AU640" s="599"/>
      <c r="AV640" s="600"/>
      <c r="AW640" s="601"/>
      <c r="AX640" s="600"/>
      <c r="AY640" s="599"/>
      <c r="AZ640" s="600"/>
      <c r="BA640" s="601"/>
      <c r="BB640" s="602">
        <v>0</v>
      </c>
      <c r="BC640" s="599"/>
      <c r="BD640" s="600">
        <v>0</v>
      </c>
      <c r="BE640" s="599"/>
      <c r="BF640" s="600">
        <v>0</v>
      </c>
      <c r="BG640" s="599"/>
      <c r="BH640" s="600">
        <v>0</v>
      </c>
      <c r="BI640" s="599"/>
      <c r="BJ640" s="600">
        <v>0</v>
      </c>
      <c r="BK640" s="615"/>
      <c r="BL640" s="600">
        <v>0</v>
      </c>
      <c r="BM640" s="604"/>
      <c r="BN640" s="605">
        <f t="shared" si="778"/>
        <v>0</v>
      </c>
      <c r="BO640" s="606">
        <f t="shared" si="779"/>
        <v>0</v>
      </c>
      <c r="BP640" s="607">
        <f t="shared" si="780"/>
        <v>0</v>
      </c>
      <c r="BQ640" s="606">
        <f t="shared" si="781"/>
        <v>0</v>
      </c>
      <c r="BR640" s="607">
        <f t="shared" si="782"/>
        <v>0</v>
      </c>
      <c r="BS640" s="606">
        <f t="shared" si="783"/>
        <v>0</v>
      </c>
      <c r="BT640" s="607">
        <f t="shared" si="784"/>
        <v>0</v>
      </c>
      <c r="BU640" s="606">
        <f t="shared" si="785"/>
        <v>0</v>
      </c>
      <c r="BV640" s="607">
        <f t="shared" si="786"/>
        <v>0</v>
      </c>
      <c r="BW640" s="608">
        <f t="shared" si="787"/>
        <v>0</v>
      </c>
      <c r="BX640" s="607">
        <f t="shared" si="788"/>
        <v>0</v>
      </c>
      <c r="BY640" s="608">
        <f t="shared" si="789"/>
        <v>0</v>
      </c>
      <c r="BZ640" s="607">
        <f t="shared" si="790"/>
        <v>0</v>
      </c>
      <c r="CA640" s="608">
        <f t="shared" si="791"/>
        <v>0</v>
      </c>
      <c r="CB640" s="607">
        <f t="shared" si="792"/>
        <v>0</v>
      </c>
      <c r="CC640" s="608">
        <f t="shared" si="793"/>
        <v>0</v>
      </c>
      <c r="CD640" s="607">
        <f t="shared" si="794"/>
        <v>0</v>
      </c>
      <c r="CE640" s="608">
        <f t="shared" si="795"/>
        <v>0</v>
      </c>
      <c r="CF640" s="607">
        <f t="shared" si="796"/>
        <v>0</v>
      </c>
      <c r="CG640" s="608">
        <f t="shared" si="797"/>
        <v>0</v>
      </c>
      <c r="CH640" s="607">
        <f t="shared" si="798"/>
        <v>0</v>
      </c>
      <c r="CI640" s="608">
        <f t="shared" si="799"/>
        <v>0</v>
      </c>
      <c r="CJ640" s="607">
        <f t="shared" si="800"/>
        <v>0</v>
      </c>
      <c r="CK640" s="608">
        <f t="shared" si="801"/>
        <v>0</v>
      </c>
      <c r="CL640" s="609">
        <f t="shared" si="802"/>
        <v>0</v>
      </c>
      <c r="CM640" s="608">
        <f t="shared" si="803"/>
        <v>0</v>
      </c>
      <c r="CN640" s="610">
        <f t="shared" si="804"/>
        <v>0</v>
      </c>
      <c r="CO640" s="606">
        <f t="shared" si="805"/>
        <v>0</v>
      </c>
      <c r="CP640" s="607">
        <f t="shared" si="806"/>
        <v>0</v>
      </c>
      <c r="CQ640" s="606">
        <f t="shared" si="807"/>
        <v>0</v>
      </c>
      <c r="CR640" s="607">
        <f t="shared" si="808"/>
        <v>0</v>
      </c>
      <c r="CS640" s="606">
        <f t="shared" si="809"/>
        <v>0</v>
      </c>
      <c r="CT640" s="607">
        <f t="shared" si="810"/>
        <v>0</v>
      </c>
      <c r="CU640" s="608">
        <f t="shared" si="811"/>
        <v>0</v>
      </c>
      <c r="CV640" s="610">
        <f t="shared" si="812"/>
        <v>0</v>
      </c>
      <c r="CW640" s="608">
        <f t="shared" si="813"/>
        <v>0</v>
      </c>
      <c r="CX640" s="610">
        <f t="shared" si="814"/>
        <v>0</v>
      </c>
      <c r="CY640" s="611">
        <f t="shared" si="815"/>
        <v>0</v>
      </c>
      <c r="CZ640" s="605">
        <f t="shared" si="816"/>
        <v>0</v>
      </c>
      <c r="DA640" s="612">
        <f t="shared" si="817"/>
        <v>0</v>
      </c>
      <c r="DB640" s="607">
        <f t="shared" si="818"/>
        <v>0</v>
      </c>
      <c r="DC640" s="606">
        <f t="shared" si="819"/>
        <v>0</v>
      </c>
      <c r="DD640" s="607">
        <f t="shared" si="820"/>
        <v>0</v>
      </c>
      <c r="DE640" s="606">
        <f t="shared" si="821"/>
        <v>0</v>
      </c>
      <c r="DF640" s="607">
        <f t="shared" si="822"/>
        <v>0</v>
      </c>
      <c r="DG640" s="606">
        <f t="shared" si="823"/>
        <v>0</v>
      </c>
      <c r="DH640" s="607">
        <f t="shared" si="824"/>
        <v>0</v>
      </c>
      <c r="DI640" s="608">
        <f t="shared" si="825"/>
        <v>0</v>
      </c>
      <c r="DJ640" s="607">
        <f t="shared" si="826"/>
        <v>0</v>
      </c>
      <c r="DK640" s="608">
        <f t="shared" si="827"/>
        <v>0</v>
      </c>
      <c r="DL640" s="607">
        <f t="shared" si="828"/>
        <v>0</v>
      </c>
      <c r="DM640" s="608">
        <f t="shared" si="829"/>
        <v>0</v>
      </c>
      <c r="DN640" s="607">
        <f t="shared" si="830"/>
        <v>0</v>
      </c>
      <c r="DO640" s="612">
        <f t="shared" si="831"/>
        <v>0</v>
      </c>
      <c r="DP640" s="607">
        <f t="shared" si="832"/>
        <v>0</v>
      </c>
      <c r="DQ640" s="606">
        <f t="shared" si="833"/>
        <v>0</v>
      </c>
      <c r="DR640" s="607">
        <f t="shared" si="834"/>
        <v>0</v>
      </c>
      <c r="DS640" s="606">
        <f t="shared" si="835"/>
        <v>0</v>
      </c>
      <c r="DT640" s="607">
        <f t="shared" si="836"/>
        <v>0</v>
      </c>
      <c r="DU640" s="606">
        <f t="shared" si="837"/>
        <v>0</v>
      </c>
      <c r="DV640" s="607">
        <f t="shared" si="838"/>
        <v>0</v>
      </c>
      <c r="DW640" s="608">
        <f t="shared" si="839"/>
        <v>0</v>
      </c>
      <c r="DX640" s="607">
        <f t="shared" si="840"/>
        <v>0</v>
      </c>
      <c r="DY640" s="608">
        <f t="shared" si="841"/>
        <v>0</v>
      </c>
      <c r="DZ640" s="607">
        <f t="shared" si="842"/>
        <v>0</v>
      </c>
      <c r="EA640" s="608">
        <f t="shared" si="843"/>
        <v>0</v>
      </c>
    </row>
    <row r="641" spans="1:131" x14ac:dyDescent="0.2">
      <c r="A641" s="473" t="s">
        <v>44</v>
      </c>
      <c r="B641" s="478" t="s">
        <v>1044</v>
      </c>
      <c r="C641" s="568"/>
      <c r="D641" s="473">
        <v>231882</v>
      </c>
      <c r="E641" s="476">
        <v>9</v>
      </c>
      <c r="F641" s="598"/>
      <c r="G641" s="599"/>
      <c r="H641" s="600"/>
      <c r="I641" s="601"/>
      <c r="J641" s="600"/>
      <c r="K641" s="599"/>
      <c r="L641" s="600"/>
      <c r="M641" s="601"/>
      <c r="N641" s="600"/>
      <c r="O641" s="599"/>
      <c r="P641" s="600"/>
      <c r="Q641" s="601"/>
      <c r="R641" s="600"/>
      <c r="S641" s="599"/>
      <c r="T641" s="600"/>
      <c r="U641" s="601"/>
      <c r="V641" s="600"/>
      <c r="W641" s="599"/>
      <c r="X641" s="600"/>
      <c r="Y641" s="601"/>
      <c r="Z641" s="600"/>
      <c r="AA641" s="599"/>
      <c r="AB641" s="600"/>
      <c r="AC641" s="601"/>
      <c r="AD641" s="600"/>
      <c r="AE641" s="599"/>
      <c r="AF641" s="600"/>
      <c r="AG641" s="601"/>
      <c r="AH641" s="600"/>
      <c r="AI641" s="599"/>
      <c r="AJ641" s="600"/>
      <c r="AK641" s="601"/>
      <c r="AL641" s="600"/>
      <c r="AM641" s="599"/>
      <c r="AN641" s="600"/>
      <c r="AO641" s="601"/>
      <c r="AP641" s="600"/>
      <c r="AQ641" s="599"/>
      <c r="AR641" s="600"/>
      <c r="AS641" s="601"/>
      <c r="AT641" s="600"/>
      <c r="AU641" s="599"/>
      <c r="AV641" s="600"/>
      <c r="AW641" s="601"/>
      <c r="AX641" s="600"/>
      <c r="AY641" s="599"/>
      <c r="AZ641" s="600"/>
      <c r="BA641" s="601"/>
      <c r="BB641" s="602">
        <v>0</v>
      </c>
      <c r="BC641" s="599"/>
      <c r="BD641" s="600">
        <v>0</v>
      </c>
      <c r="BE641" s="599"/>
      <c r="BF641" s="600">
        <v>0</v>
      </c>
      <c r="BG641" s="599"/>
      <c r="BH641" s="600">
        <v>0</v>
      </c>
      <c r="BI641" s="599"/>
      <c r="BJ641" s="600">
        <v>0</v>
      </c>
      <c r="BK641" s="615"/>
      <c r="BL641" s="600">
        <v>0</v>
      </c>
      <c r="BM641" s="604"/>
      <c r="BN641" s="605">
        <f t="shared" si="778"/>
        <v>0</v>
      </c>
      <c r="BO641" s="606">
        <f t="shared" si="779"/>
        <v>0</v>
      </c>
      <c r="BP641" s="607">
        <f t="shared" si="780"/>
        <v>0</v>
      </c>
      <c r="BQ641" s="606">
        <f t="shared" si="781"/>
        <v>0</v>
      </c>
      <c r="BR641" s="607">
        <f t="shared" si="782"/>
        <v>0</v>
      </c>
      <c r="BS641" s="606">
        <f t="shared" si="783"/>
        <v>0</v>
      </c>
      <c r="BT641" s="607">
        <f t="shared" si="784"/>
        <v>0</v>
      </c>
      <c r="BU641" s="606">
        <f t="shared" si="785"/>
        <v>0</v>
      </c>
      <c r="BV641" s="607">
        <f t="shared" si="786"/>
        <v>0</v>
      </c>
      <c r="BW641" s="608">
        <f t="shared" si="787"/>
        <v>0</v>
      </c>
      <c r="BX641" s="607">
        <f t="shared" si="788"/>
        <v>0</v>
      </c>
      <c r="BY641" s="608">
        <f t="shared" si="789"/>
        <v>0</v>
      </c>
      <c r="BZ641" s="607">
        <f t="shared" si="790"/>
        <v>0</v>
      </c>
      <c r="CA641" s="608">
        <f t="shared" si="791"/>
        <v>0</v>
      </c>
      <c r="CB641" s="607">
        <f t="shared" si="792"/>
        <v>0</v>
      </c>
      <c r="CC641" s="608">
        <f t="shared" si="793"/>
        <v>0</v>
      </c>
      <c r="CD641" s="607">
        <f t="shared" si="794"/>
        <v>0</v>
      </c>
      <c r="CE641" s="608">
        <f t="shared" si="795"/>
        <v>0</v>
      </c>
      <c r="CF641" s="607">
        <f t="shared" si="796"/>
        <v>0</v>
      </c>
      <c r="CG641" s="608">
        <f t="shared" si="797"/>
        <v>0</v>
      </c>
      <c r="CH641" s="607">
        <f t="shared" si="798"/>
        <v>0</v>
      </c>
      <c r="CI641" s="608">
        <f t="shared" si="799"/>
        <v>0</v>
      </c>
      <c r="CJ641" s="607">
        <f t="shared" si="800"/>
        <v>0</v>
      </c>
      <c r="CK641" s="608">
        <f t="shared" si="801"/>
        <v>0</v>
      </c>
      <c r="CL641" s="609">
        <f t="shared" si="802"/>
        <v>0</v>
      </c>
      <c r="CM641" s="608">
        <f t="shared" si="803"/>
        <v>0</v>
      </c>
      <c r="CN641" s="610">
        <f t="shared" si="804"/>
        <v>0</v>
      </c>
      <c r="CO641" s="606">
        <f t="shared" si="805"/>
        <v>0</v>
      </c>
      <c r="CP641" s="607">
        <f t="shared" si="806"/>
        <v>0</v>
      </c>
      <c r="CQ641" s="606">
        <f t="shared" si="807"/>
        <v>0</v>
      </c>
      <c r="CR641" s="607">
        <f t="shared" si="808"/>
        <v>0</v>
      </c>
      <c r="CS641" s="606">
        <f t="shared" si="809"/>
        <v>0</v>
      </c>
      <c r="CT641" s="607">
        <f t="shared" si="810"/>
        <v>0</v>
      </c>
      <c r="CU641" s="608">
        <f t="shared" si="811"/>
        <v>0</v>
      </c>
      <c r="CV641" s="610">
        <f t="shared" si="812"/>
        <v>0</v>
      </c>
      <c r="CW641" s="608">
        <f t="shared" si="813"/>
        <v>0</v>
      </c>
      <c r="CX641" s="610">
        <f t="shared" si="814"/>
        <v>0</v>
      </c>
      <c r="CY641" s="611">
        <f t="shared" si="815"/>
        <v>0</v>
      </c>
      <c r="CZ641" s="605">
        <f t="shared" si="816"/>
        <v>0</v>
      </c>
      <c r="DA641" s="612">
        <f t="shared" si="817"/>
        <v>0</v>
      </c>
      <c r="DB641" s="607">
        <f t="shared" si="818"/>
        <v>0</v>
      </c>
      <c r="DC641" s="606">
        <f t="shared" si="819"/>
        <v>0</v>
      </c>
      <c r="DD641" s="607">
        <f t="shared" si="820"/>
        <v>0</v>
      </c>
      <c r="DE641" s="606">
        <f t="shared" si="821"/>
        <v>0</v>
      </c>
      <c r="DF641" s="607">
        <f t="shared" si="822"/>
        <v>0</v>
      </c>
      <c r="DG641" s="606">
        <f t="shared" si="823"/>
        <v>0</v>
      </c>
      <c r="DH641" s="607">
        <f t="shared" si="824"/>
        <v>0</v>
      </c>
      <c r="DI641" s="608">
        <f t="shared" si="825"/>
        <v>0</v>
      </c>
      <c r="DJ641" s="607">
        <f t="shared" si="826"/>
        <v>0</v>
      </c>
      <c r="DK641" s="608">
        <f t="shared" si="827"/>
        <v>0</v>
      </c>
      <c r="DL641" s="607">
        <f t="shared" si="828"/>
        <v>0</v>
      </c>
      <c r="DM641" s="608">
        <f t="shared" si="829"/>
        <v>0</v>
      </c>
      <c r="DN641" s="607">
        <f t="shared" si="830"/>
        <v>0</v>
      </c>
      <c r="DO641" s="612">
        <f t="shared" si="831"/>
        <v>0</v>
      </c>
      <c r="DP641" s="607">
        <f t="shared" si="832"/>
        <v>0</v>
      </c>
      <c r="DQ641" s="606">
        <f t="shared" si="833"/>
        <v>0</v>
      </c>
      <c r="DR641" s="607">
        <f t="shared" si="834"/>
        <v>0</v>
      </c>
      <c r="DS641" s="606">
        <f t="shared" si="835"/>
        <v>0</v>
      </c>
      <c r="DT641" s="607">
        <f t="shared" si="836"/>
        <v>0</v>
      </c>
      <c r="DU641" s="606">
        <f t="shared" si="837"/>
        <v>0</v>
      </c>
      <c r="DV641" s="607">
        <f t="shared" si="838"/>
        <v>0</v>
      </c>
      <c r="DW641" s="608">
        <f t="shared" si="839"/>
        <v>0</v>
      </c>
      <c r="DX641" s="607">
        <f t="shared" si="840"/>
        <v>0</v>
      </c>
      <c r="DY641" s="608">
        <f t="shared" si="841"/>
        <v>0</v>
      </c>
      <c r="DZ641" s="607">
        <f t="shared" si="842"/>
        <v>0</v>
      </c>
      <c r="EA641" s="608">
        <f t="shared" si="843"/>
        <v>0</v>
      </c>
    </row>
    <row r="642" spans="1:131" x14ac:dyDescent="0.2">
      <c r="A642" s="473" t="s">
        <v>44</v>
      </c>
      <c r="B642" s="478" t="s">
        <v>1045</v>
      </c>
      <c r="C642" s="568"/>
      <c r="D642" s="473">
        <v>232195</v>
      </c>
      <c r="E642" s="476">
        <v>9</v>
      </c>
      <c r="F642" s="598"/>
      <c r="G642" s="599"/>
      <c r="H642" s="600"/>
      <c r="I642" s="601"/>
      <c r="J642" s="600"/>
      <c r="K642" s="599"/>
      <c r="L642" s="600"/>
      <c r="M642" s="601"/>
      <c r="N642" s="600"/>
      <c r="O642" s="599"/>
      <c r="P642" s="600"/>
      <c r="Q642" s="601"/>
      <c r="R642" s="600"/>
      <c r="S642" s="599"/>
      <c r="T642" s="600"/>
      <c r="U642" s="601"/>
      <c r="V642" s="600"/>
      <c r="W642" s="599"/>
      <c r="X642" s="600"/>
      <c r="Y642" s="601"/>
      <c r="Z642" s="600"/>
      <c r="AA642" s="599"/>
      <c r="AB642" s="600"/>
      <c r="AC642" s="601"/>
      <c r="AD642" s="600"/>
      <c r="AE642" s="599"/>
      <c r="AF642" s="600"/>
      <c r="AG642" s="601"/>
      <c r="AH642" s="600"/>
      <c r="AI642" s="599"/>
      <c r="AJ642" s="600"/>
      <c r="AK642" s="601"/>
      <c r="AL642" s="600"/>
      <c r="AM642" s="599"/>
      <c r="AN642" s="600"/>
      <c r="AO642" s="601"/>
      <c r="AP642" s="600"/>
      <c r="AQ642" s="599"/>
      <c r="AR642" s="600"/>
      <c r="AS642" s="601"/>
      <c r="AT642" s="600"/>
      <c r="AU642" s="599"/>
      <c r="AV642" s="600"/>
      <c r="AW642" s="601"/>
      <c r="AX642" s="600"/>
      <c r="AY642" s="599"/>
      <c r="AZ642" s="600"/>
      <c r="BA642" s="601"/>
      <c r="BB642" s="602">
        <v>0</v>
      </c>
      <c r="BC642" s="599"/>
      <c r="BD642" s="600">
        <v>0</v>
      </c>
      <c r="BE642" s="599"/>
      <c r="BF642" s="600">
        <v>0</v>
      </c>
      <c r="BG642" s="599"/>
      <c r="BH642" s="600">
        <v>0</v>
      </c>
      <c r="BI642" s="599"/>
      <c r="BJ642" s="600">
        <v>0</v>
      </c>
      <c r="BK642" s="615"/>
      <c r="BL642" s="600">
        <v>0</v>
      </c>
      <c r="BM642" s="604"/>
      <c r="BN642" s="605">
        <f t="shared" si="778"/>
        <v>0</v>
      </c>
      <c r="BO642" s="606">
        <f t="shared" si="779"/>
        <v>0</v>
      </c>
      <c r="BP642" s="607">
        <f t="shared" si="780"/>
        <v>0</v>
      </c>
      <c r="BQ642" s="606">
        <f t="shared" si="781"/>
        <v>0</v>
      </c>
      <c r="BR642" s="607">
        <f t="shared" si="782"/>
        <v>0</v>
      </c>
      <c r="BS642" s="606">
        <f t="shared" si="783"/>
        <v>0</v>
      </c>
      <c r="BT642" s="607">
        <f t="shared" si="784"/>
        <v>0</v>
      </c>
      <c r="BU642" s="606">
        <f t="shared" si="785"/>
        <v>0</v>
      </c>
      <c r="BV642" s="607">
        <f t="shared" si="786"/>
        <v>0</v>
      </c>
      <c r="BW642" s="608">
        <f t="shared" si="787"/>
        <v>0</v>
      </c>
      <c r="BX642" s="607">
        <f t="shared" si="788"/>
        <v>0</v>
      </c>
      <c r="BY642" s="608">
        <f t="shared" si="789"/>
        <v>0</v>
      </c>
      <c r="BZ642" s="607">
        <f t="shared" si="790"/>
        <v>0</v>
      </c>
      <c r="CA642" s="608">
        <f t="shared" si="791"/>
        <v>0</v>
      </c>
      <c r="CB642" s="607">
        <f t="shared" si="792"/>
        <v>0</v>
      </c>
      <c r="CC642" s="608">
        <f t="shared" si="793"/>
        <v>0</v>
      </c>
      <c r="CD642" s="607">
        <f t="shared" si="794"/>
        <v>0</v>
      </c>
      <c r="CE642" s="608">
        <f t="shared" si="795"/>
        <v>0</v>
      </c>
      <c r="CF642" s="607">
        <f t="shared" si="796"/>
        <v>0</v>
      </c>
      <c r="CG642" s="608">
        <f t="shared" si="797"/>
        <v>0</v>
      </c>
      <c r="CH642" s="607">
        <f t="shared" si="798"/>
        <v>0</v>
      </c>
      <c r="CI642" s="608">
        <f t="shared" si="799"/>
        <v>0</v>
      </c>
      <c r="CJ642" s="607">
        <f t="shared" si="800"/>
        <v>0</v>
      </c>
      <c r="CK642" s="608">
        <f t="shared" si="801"/>
        <v>0</v>
      </c>
      <c r="CL642" s="609">
        <f t="shared" si="802"/>
        <v>0</v>
      </c>
      <c r="CM642" s="608">
        <f t="shared" si="803"/>
        <v>0</v>
      </c>
      <c r="CN642" s="610">
        <f t="shared" si="804"/>
        <v>0</v>
      </c>
      <c r="CO642" s="606">
        <f t="shared" si="805"/>
        <v>0</v>
      </c>
      <c r="CP642" s="607">
        <f t="shared" si="806"/>
        <v>0</v>
      </c>
      <c r="CQ642" s="606">
        <f t="shared" si="807"/>
        <v>0</v>
      </c>
      <c r="CR642" s="607">
        <f t="shared" si="808"/>
        <v>0</v>
      </c>
      <c r="CS642" s="606">
        <f t="shared" si="809"/>
        <v>0</v>
      </c>
      <c r="CT642" s="607">
        <f t="shared" si="810"/>
        <v>0</v>
      </c>
      <c r="CU642" s="608">
        <f t="shared" si="811"/>
        <v>0</v>
      </c>
      <c r="CV642" s="610">
        <f t="shared" si="812"/>
        <v>0</v>
      </c>
      <c r="CW642" s="608">
        <f t="shared" si="813"/>
        <v>0</v>
      </c>
      <c r="CX642" s="610">
        <f t="shared" si="814"/>
        <v>0</v>
      </c>
      <c r="CY642" s="611">
        <f t="shared" si="815"/>
        <v>0</v>
      </c>
      <c r="CZ642" s="605">
        <f t="shared" si="816"/>
        <v>0</v>
      </c>
      <c r="DA642" s="612">
        <f t="shared" si="817"/>
        <v>0</v>
      </c>
      <c r="DB642" s="607">
        <f t="shared" si="818"/>
        <v>0</v>
      </c>
      <c r="DC642" s="606">
        <f t="shared" si="819"/>
        <v>0</v>
      </c>
      <c r="DD642" s="607">
        <f t="shared" si="820"/>
        <v>0</v>
      </c>
      <c r="DE642" s="606">
        <f t="shared" si="821"/>
        <v>0</v>
      </c>
      <c r="DF642" s="607">
        <f t="shared" si="822"/>
        <v>0</v>
      </c>
      <c r="DG642" s="606">
        <f t="shared" si="823"/>
        <v>0</v>
      </c>
      <c r="DH642" s="607">
        <f t="shared" si="824"/>
        <v>0</v>
      </c>
      <c r="DI642" s="608">
        <f t="shared" si="825"/>
        <v>0</v>
      </c>
      <c r="DJ642" s="607">
        <f t="shared" si="826"/>
        <v>0</v>
      </c>
      <c r="DK642" s="608">
        <f t="shared" si="827"/>
        <v>0</v>
      </c>
      <c r="DL642" s="607">
        <f t="shared" si="828"/>
        <v>0</v>
      </c>
      <c r="DM642" s="608">
        <f t="shared" si="829"/>
        <v>0</v>
      </c>
      <c r="DN642" s="607">
        <f t="shared" si="830"/>
        <v>0</v>
      </c>
      <c r="DO642" s="612">
        <f t="shared" si="831"/>
        <v>0</v>
      </c>
      <c r="DP642" s="607">
        <f t="shared" si="832"/>
        <v>0</v>
      </c>
      <c r="DQ642" s="606">
        <f t="shared" si="833"/>
        <v>0</v>
      </c>
      <c r="DR642" s="607">
        <f t="shared" si="834"/>
        <v>0</v>
      </c>
      <c r="DS642" s="606">
        <f t="shared" si="835"/>
        <v>0</v>
      </c>
      <c r="DT642" s="607">
        <f t="shared" si="836"/>
        <v>0</v>
      </c>
      <c r="DU642" s="606">
        <f t="shared" si="837"/>
        <v>0</v>
      </c>
      <c r="DV642" s="607">
        <f t="shared" si="838"/>
        <v>0</v>
      </c>
      <c r="DW642" s="608">
        <f t="shared" si="839"/>
        <v>0</v>
      </c>
      <c r="DX642" s="607">
        <f t="shared" si="840"/>
        <v>0</v>
      </c>
      <c r="DY642" s="608">
        <f t="shared" si="841"/>
        <v>0</v>
      </c>
      <c r="DZ642" s="607">
        <f t="shared" si="842"/>
        <v>0</v>
      </c>
      <c r="EA642" s="608">
        <f t="shared" si="843"/>
        <v>0</v>
      </c>
    </row>
    <row r="643" spans="1:131" x14ac:dyDescent="0.2">
      <c r="A643" s="473" t="s">
        <v>44</v>
      </c>
      <c r="B643" s="478" t="s">
        <v>1046</v>
      </c>
      <c r="C643" s="589" t="s">
        <v>1065</v>
      </c>
      <c r="D643" s="507">
        <v>232450</v>
      </c>
      <c r="E643" s="496">
        <v>9</v>
      </c>
      <c r="F643" s="598"/>
      <c r="G643" s="599"/>
      <c r="H643" s="600"/>
      <c r="I643" s="601"/>
      <c r="J643" s="600"/>
      <c r="K643" s="599"/>
      <c r="L643" s="600"/>
      <c r="M643" s="601"/>
      <c r="N643" s="600"/>
      <c r="O643" s="599"/>
      <c r="P643" s="600"/>
      <c r="Q643" s="601"/>
      <c r="R643" s="600"/>
      <c r="S643" s="599"/>
      <c r="T643" s="600"/>
      <c r="U643" s="601"/>
      <c r="V643" s="600"/>
      <c r="W643" s="599"/>
      <c r="X643" s="600"/>
      <c r="Y643" s="601"/>
      <c r="Z643" s="600"/>
      <c r="AA643" s="599"/>
      <c r="AB643" s="600"/>
      <c r="AC643" s="601"/>
      <c r="AD643" s="600"/>
      <c r="AE643" s="599"/>
      <c r="AF643" s="600"/>
      <c r="AG643" s="601"/>
      <c r="AH643" s="600"/>
      <c r="AI643" s="599"/>
      <c r="AJ643" s="600"/>
      <c r="AK643" s="601"/>
      <c r="AL643" s="600"/>
      <c r="AM643" s="599"/>
      <c r="AN643" s="600"/>
      <c r="AO643" s="601"/>
      <c r="AP643" s="600"/>
      <c r="AQ643" s="599"/>
      <c r="AR643" s="600"/>
      <c r="AS643" s="601"/>
      <c r="AT643" s="600"/>
      <c r="AU643" s="599"/>
      <c r="AV643" s="600"/>
      <c r="AW643" s="601"/>
      <c r="AX643" s="600"/>
      <c r="AY643" s="599"/>
      <c r="AZ643" s="600"/>
      <c r="BA643" s="601"/>
      <c r="BB643" s="602">
        <v>0</v>
      </c>
      <c r="BC643" s="599"/>
      <c r="BD643" s="600">
        <v>0</v>
      </c>
      <c r="BE643" s="599"/>
      <c r="BF643" s="600">
        <v>0</v>
      </c>
      <c r="BG643" s="599"/>
      <c r="BH643" s="600">
        <v>0</v>
      </c>
      <c r="BI643" s="599"/>
      <c r="BJ643" s="600">
        <v>0</v>
      </c>
      <c r="BK643" s="615"/>
      <c r="BL643" s="600">
        <v>0</v>
      </c>
      <c r="BM643" s="604"/>
      <c r="BN643" s="605">
        <f t="shared" si="778"/>
        <v>0</v>
      </c>
      <c r="BO643" s="606">
        <f t="shared" si="779"/>
        <v>0</v>
      </c>
      <c r="BP643" s="607">
        <f t="shared" si="780"/>
        <v>0</v>
      </c>
      <c r="BQ643" s="606">
        <f t="shared" si="781"/>
        <v>0</v>
      </c>
      <c r="BR643" s="607">
        <f t="shared" si="782"/>
        <v>0</v>
      </c>
      <c r="BS643" s="606">
        <f t="shared" si="783"/>
        <v>0</v>
      </c>
      <c r="BT643" s="607">
        <f t="shared" si="784"/>
        <v>0</v>
      </c>
      <c r="BU643" s="606">
        <f t="shared" si="785"/>
        <v>0</v>
      </c>
      <c r="BV643" s="607">
        <f t="shared" si="786"/>
        <v>0</v>
      </c>
      <c r="BW643" s="608">
        <f t="shared" si="787"/>
        <v>0</v>
      </c>
      <c r="BX643" s="607">
        <f t="shared" si="788"/>
        <v>0</v>
      </c>
      <c r="BY643" s="608">
        <f t="shared" si="789"/>
        <v>0</v>
      </c>
      <c r="BZ643" s="607">
        <f t="shared" si="790"/>
        <v>0</v>
      </c>
      <c r="CA643" s="608">
        <f t="shared" si="791"/>
        <v>0</v>
      </c>
      <c r="CB643" s="607">
        <f t="shared" si="792"/>
        <v>0</v>
      </c>
      <c r="CC643" s="608">
        <f t="shared" si="793"/>
        <v>0</v>
      </c>
      <c r="CD643" s="607">
        <f t="shared" si="794"/>
        <v>0</v>
      </c>
      <c r="CE643" s="608">
        <f t="shared" si="795"/>
        <v>0</v>
      </c>
      <c r="CF643" s="607">
        <f t="shared" si="796"/>
        <v>0</v>
      </c>
      <c r="CG643" s="608">
        <f t="shared" si="797"/>
        <v>0</v>
      </c>
      <c r="CH643" s="607">
        <f t="shared" si="798"/>
        <v>0</v>
      </c>
      <c r="CI643" s="608">
        <f t="shared" si="799"/>
        <v>0</v>
      </c>
      <c r="CJ643" s="607">
        <f t="shared" si="800"/>
        <v>0</v>
      </c>
      <c r="CK643" s="608">
        <f t="shared" si="801"/>
        <v>0</v>
      </c>
      <c r="CL643" s="609">
        <f t="shared" si="802"/>
        <v>0</v>
      </c>
      <c r="CM643" s="608">
        <f t="shared" si="803"/>
        <v>0</v>
      </c>
      <c r="CN643" s="610">
        <f t="shared" si="804"/>
        <v>0</v>
      </c>
      <c r="CO643" s="606">
        <f t="shared" si="805"/>
        <v>0</v>
      </c>
      <c r="CP643" s="607">
        <f t="shared" si="806"/>
        <v>0</v>
      </c>
      <c r="CQ643" s="606">
        <f t="shared" si="807"/>
        <v>0</v>
      </c>
      <c r="CR643" s="607">
        <f t="shared" si="808"/>
        <v>0</v>
      </c>
      <c r="CS643" s="606">
        <f t="shared" si="809"/>
        <v>0</v>
      </c>
      <c r="CT643" s="607">
        <f t="shared" si="810"/>
        <v>0</v>
      </c>
      <c r="CU643" s="608">
        <f t="shared" si="811"/>
        <v>0</v>
      </c>
      <c r="CV643" s="610">
        <f t="shared" si="812"/>
        <v>0</v>
      </c>
      <c r="CW643" s="608">
        <f t="shared" si="813"/>
        <v>0</v>
      </c>
      <c r="CX643" s="610">
        <f t="shared" si="814"/>
        <v>0</v>
      </c>
      <c r="CY643" s="611">
        <f t="shared" si="815"/>
        <v>0</v>
      </c>
      <c r="CZ643" s="605">
        <f t="shared" si="816"/>
        <v>0</v>
      </c>
      <c r="DA643" s="612">
        <f t="shared" si="817"/>
        <v>0</v>
      </c>
      <c r="DB643" s="607">
        <f t="shared" si="818"/>
        <v>0</v>
      </c>
      <c r="DC643" s="606">
        <f t="shared" si="819"/>
        <v>0</v>
      </c>
      <c r="DD643" s="607">
        <f t="shared" si="820"/>
        <v>0</v>
      </c>
      <c r="DE643" s="606">
        <f t="shared" si="821"/>
        <v>0</v>
      </c>
      <c r="DF643" s="607">
        <f t="shared" si="822"/>
        <v>0</v>
      </c>
      <c r="DG643" s="606">
        <f t="shared" si="823"/>
        <v>0</v>
      </c>
      <c r="DH643" s="607">
        <f t="shared" si="824"/>
        <v>0</v>
      </c>
      <c r="DI643" s="608">
        <f t="shared" si="825"/>
        <v>0</v>
      </c>
      <c r="DJ643" s="607">
        <f t="shared" si="826"/>
        <v>0</v>
      </c>
      <c r="DK643" s="608">
        <f t="shared" si="827"/>
        <v>0</v>
      </c>
      <c r="DL643" s="607">
        <f t="shared" si="828"/>
        <v>0</v>
      </c>
      <c r="DM643" s="608">
        <f t="shared" si="829"/>
        <v>0</v>
      </c>
      <c r="DN643" s="607">
        <f t="shared" si="830"/>
        <v>0</v>
      </c>
      <c r="DO643" s="612">
        <f t="shared" si="831"/>
        <v>0</v>
      </c>
      <c r="DP643" s="607">
        <f t="shared" si="832"/>
        <v>0</v>
      </c>
      <c r="DQ643" s="606">
        <f t="shared" si="833"/>
        <v>0</v>
      </c>
      <c r="DR643" s="607">
        <f t="shared" si="834"/>
        <v>0</v>
      </c>
      <c r="DS643" s="606">
        <f t="shared" si="835"/>
        <v>0</v>
      </c>
      <c r="DT643" s="607">
        <f t="shared" si="836"/>
        <v>0</v>
      </c>
      <c r="DU643" s="606">
        <f t="shared" si="837"/>
        <v>0</v>
      </c>
      <c r="DV643" s="607">
        <f t="shared" si="838"/>
        <v>0</v>
      </c>
      <c r="DW643" s="608">
        <f t="shared" si="839"/>
        <v>0</v>
      </c>
      <c r="DX643" s="607">
        <f t="shared" si="840"/>
        <v>0</v>
      </c>
      <c r="DY643" s="608">
        <f t="shared" si="841"/>
        <v>0</v>
      </c>
      <c r="DZ643" s="607">
        <f t="shared" si="842"/>
        <v>0</v>
      </c>
      <c r="EA643" s="608">
        <f t="shared" si="843"/>
        <v>0</v>
      </c>
    </row>
    <row r="644" spans="1:131" x14ac:dyDescent="0.2">
      <c r="A644" s="473" t="s">
        <v>44</v>
      </c>
      <c r="B644" s="478" t="s">
        <v>1047</v>
      </c>
      <c r="C644" s="589"/>
      <c r="D644" s="507">
        <v>232575</v>
      </c>
      <c r="E644" s="496">
        <v>9</v>
      </c>
      <c r="F644" s="598"/>
      <c r="G644" s="599"/>
      <c r="H644" s="600"/>
      <c r="I644" s="601"/>
      <c r="J644" s="600"/>
      <c r="K644" s="599"/>
      <c r="L644" s="600"/>
      <c r="M644" s="601"/>
      <c r="N644" s="600"/>
      <c r="O644" s="599"/>
      <c r="P644" s="600"/>
      <c r="Q644" s="601"/>
      <c r="R644" s="600"/>
      <c r="S644" s="599"/>
      <c r="T644" s="600"/>
      <c r="U644" s="601"/>
      <c r="V644" s="600"/>
      <c r="W644" s="599"/>
      <c r="X644" s="600"/>
      <c r="Y644" s="601"/>
      <c r="Z644" s="600"/>
      <c r="AA644" s="599"/>
      <c r="AB644" s="600"/>
      <c r="AC644" s="601"/>
      <c r="AD644" s="600"/>
      <c r="AE644" s="599"/>
      <c r="AF644" s="600"/>
      <c r="AG644" s="601"/>
      <c r="AH644" s="600"/>
      <c r="AI644" s="599"/>
      <c r="AJ644" s="600"/>
      <c r="AK644" s="601"/>
      <c r="AL644" s="600"/>
      <c r="AM644" s="599"/>
      <c r="AN644" s="600"/>
      <c r="AO644" s="601"/>
      <c r="AP644" s="600"/>
      <c r="AQ644" s="599"/>
      <c r="AR644" s="600"/>
      <c r="AS644" s="601"/>
      <c r="AT644" s="600"/>
      <c r="AU644" s="599"/>
      <c r="AV644" s="600"/>
      <c r="AW644" s="601"/>
      <c r="AX644" s="600"/>
      <c r="AY644" s="599"/>
      <c r="AZ644" s="600"/>
      <c r="BA644" s="601"/>
      <c r="BB644" s="602">
        <v>0</v>
      </c>
      <c r="BC644" s="599"/>
      <c r="BD644" s="600">
        <v>0</v>
      </c>
      <c r="BE644" s="599"/>
      <c r="BF644" s="600">
        <v>0</v>
      </c>
      <c r="BG644" s="599"/>
      <c r="BH644" s="600">
        <v>0</v>
      </c>
      <c r="BI644" s="599"/>
      <c r="BJ644" s="600">
        <v>0</v>
      </c>
      <c r="BK644" s="615"/>
      <c r="BL644" s="600">
        <v>0</v>
      </c>
      <c r="BM644" s="604"/>
      <c r="BN644" s="605">
        <f t="shared" si="778"/>
        <v>0</v>
      </c>
      <c r="BO644" s="606">
        <f t="shared" si="779"/>
        <v>0</v>
      </c>
      <c r="BP644" s="607">
        <f t="shared" si="780"/>
        <v>0</v>
      </c>
      <c r="BQ644" s="606">
        <f t="shared" si="781"/>
        <v>0</v>
      </c>
      <c r="BR644" s="607">
        <f t="shared" si="782"/>
        <v>0</v>
      </c>
      <c r="BS644" s="606">
        <f t="shared" si="783"/>
        <v>0</v>
      </c>
      <c r="BT644" s="607">
        <f t="shared" si="784"/>
        <v>0</v>
      </c>
      <c r="BU644" s="606">
        <f t="shared" si="785"/>
        <v>0</v>
      </c>
      <c r="BV644" s="607">
        <f t="shared" si="786"/>
        <v>0</v>
      </c>
      <c r="BW644" s="608">
        <f t="shared" si="787"/>
        <v>0</v>
      </c>
      <c r="BX644" s="607">
        <f t="shared" si="788"/>
        <v>0</v>
      </c>
      <c r="BY644" s="608">
        <f t="shared" si="789"/>
        <v>0</v>
      </c>
      <c r="BZ644" s="607">
        <f t="shared" si="790"/>
        <v>0</v>
      </c>
      <c r="CA644" s="608">
        <f t="shared" si="791"/>
        <v>0</v>
      </c>
      <c r="CB644" s="607">
        <f t="shared" si="792"/>
        <v>0</v>
      </c>
      <c r="CC644" s="608">
        <f t="shared" si="793"/>
        <v>0</v>
      </c>
      <c r="CD644" s="607">
        <f t="shared" si="794"/>
        <v>0</v>
      </c>
      <c r="CE644" s="608">
        <f t="shared" si="795"/>
        <v>0</v>
      </c>
      <c r="CF644" s="607">
        <f t="shared" si="796"/>
        <v>0</v>
      </c>
      <c r="CG644" s="608">
        <f t="shared" si="797"/>
        <v>0</v>
      </c>
      <c r="CH644" s="607">
        <f t="shared" si="798"/>
        <v>0</v>
      </c>
      <c r="CI644" s="608">
        <f t="shared" si="799"/>
        <v>0</v>
      </c>
      <c r="CJ644" s="607">
        <f t="shared" si="800"/>
        <v>0</v>
      </c>
      <c r="CK644" s="608">
        <f t="shared" si="801"/>
        <v>0</v>
      </c>
      <c r="CL644" s="609">
        <f t="shared" si="802"/>
        <v>0</v>
      </c>
      <c r="CM644" s="608">
        <f t="shared" si="803"/>
        <v>0</v>
      </c>
      <c r="CN644" s="610">
        <f t="shared" si="804"/>
        <v>0</v>
      </c>
      <c r="CO644" s="606">
        <f t="shared" si="805"/>
        <v>0</v>
      </c>
      <c r="CP644" s="607">
        <f t="shared" si="806"/>
        <v>0</v>
      </c>
      <c r="CQ644" s="606">
        <f t="shared" si="807"/>
        <v>0</v>
      </c>
      <c r="CR644" s="607">
        <f t="shared" si="808"/>
        <v>0</v>
      </c>
      <c r="CS644" s="606">
        <f t="shared" si="809"/>
        <v>0</v>
      </c>
      <c r="CT644" s="607">
        <f t="shared" si="810"/>
        <v>0</v>
      </c>
      <c r="CU644" s="608">
        <f t="shared" si="811"/>
        <v>0</v>
      </c>
      <c r="CV644" s="610">
        <f t="shared" si="812"/>
        <v>0</v>
      </c>
      <c r="CW644" s="608">
        <f t="shared" si="813"/>
        <v>0</v>
      </c>
      <c r="CX644" s="610">
        <f t="shared" si="814"/>
        <v>0</v>
      </c>
      <c r="CY644" s="611">
        <f t="shared" si="815"/>
        <v>0</v>
      </c>
      <c r="CZ644" s="605">
        <f t="shared" si="816"/>
        <v>0</v>
      </c>
      <c r="DA644" s="612">
        <f t="shared" si="817"/>
        <v>0</v>
      </c>
      <c r="DB644" s="607">
        <f t="shared" si="818"/>
        <v>0</v>
      </c>
      <c r="DC644" s="606">
        <f t="shared" si="819"/>
        <v>0</v>
      </c>
      <c r="DD644" s="607">
        <f t="shared" si="820"/>
        <v>0</v>
      </c>
      <c r="DE644" s="606">
        <f t="shared" si="821"/>
        <v>0</v>
      </c>
      <c r="DF644" s="607">
        <f t="shared" si="822"/>
        <v>0</v>
      </c>
      <c r="DG644" s="606">
        <f t="shared" si="823"/>
        <v>0</v>
      </c>
      <c r="DH644" s="607">
        <f t="shared" si="824"/>
        <v>0</v>
      </c>
      <c r="DI644" s="608">
        <f t="shared" si="825"/>
        <v>0</v>
      </c>
      <c r="DJ644" s="607">
        <f t="shared" si="826"/>
        <v>0</v>
      </c>
      <c r="DK644" s="608">
        <f t="shared" si="827"/>
        <v>0</v>
      </c>
      <c r="DL644" s="607">
        <f t="shared" si="828"/>
        <v>0</v>
      </c>
      <c r="DM644" s="608">
        <f t="shared" si="829"/>
        <v>0</v>
      </c>
      <c r="DN644" s="607">
        <f t="shared" si="830"/>
        <v>0</v>
      </c>
      <c r="DO644" s="612">
        <f t="shared" si="831"/>
        <v>0</v>
      </c>
      <c r="DP644" s="607">
        <f t="shared" si="832"/>
        <v>0</v>
      </c>
      <c r="DQ644" s="606">
        <f t="shared" si="833"/>
        <v>0</v>
      </c>
      <c r="DR644" s="607">
        <f t="shared" si="834"/>
        <v>0</v>
      </c>
      <c r="DS644" s="606">
        <f t="shared" si="835"/>
        <v>0</v>
      </c>
      <c r="DT644" s="607">
        <f t="shared" si="836"/>
        <v>0</v>
      </c>
      <c r="DU644" s="606">
        <f t="shared" si="837"/>
        <v>0</v>
      </c>
      <c r="DV644" s="607">
        <f t="shared" si="838"/>
        <v>0</v>
      </c>
      <c r="DW644" s="608">
        <f t="shared" si="839"/>
        <v>0</v>
      </c>
      <c r="DX644" s="607">
        <f t="shared" si="840"/>
        <v>0</v>
      </c>
      <c r="DY644" s="608">
        <f t="shared" si="841"/>
        <v>0</v>
      </c>
      <c r="DZ644" s="607">
        <f t="shared" si="842"/>
        <v>0</v>
      </c>
      <c r="EA644" s="608">
        <f t="shared" si="843"/>
        <v>0</v>
      </c>
    </row>
    <row r="645" spans="1:131" x14ac:dyDescent="0.2">
      <c r="A645" s="473" t="s">
        <v>44</v>
      </c>
      <c r="B645" s="478" t="s">
        <v>1048</v>
      </c>
      <c r="C645" s="589"/>
      <c r="D645" s="507">
        <v>232867</v>
      </c>
      <c r="E645" s="496">
        <v>9</v>
      </c>
      <c r="F645" s="598"/>
      <c r="G645" s="599"/>
      <c r="H645" s="600"/>
      <c r="I645" s="601"/>
      <c r="J645" s="600"/>
      <c r="K645" s="599"/>
      <c r="L645" s="600"/>
      <c r="M645" s="601"/>
      <c r="N645" s="600"/>
      <c r="O645" s="599"/>
      <c r="P645" s="600"/>
      <c r="Q645" s="601"/>
      <c r="R645" s="600"/>
      <c r="S645" s="599"/>
      <c r="T645" s="600"/>
      <c r="U645" s="601"/>
      <c r="V645" s="600"/>
      <c r="W645" s="599"/>
      <c r="X645" s="600"/>
      <c r="Y645" s="601"/>
      <c r="Z645" s="600"/>
      <c r="AA645" s="599"/>
      <c r="AB645" s="600"/>
      <c r="AC645" s="601"/>
      <c r="AD645" s="600"/>
      <c r="AE645" s="599"/>
      <c r="AF645" s="600"/>
      <c r="AG645" s="601"/>
      <c r="AH645" s="600"/>
      <c r="AI645" s="599"/>
      <c r="AJ645" s="600"/>
      <c r="AK645" s="601"/>
      <c r="AL645" s="600"/>
      <c r="AM645" s="599"/>
      <c r="AN645" s="600"/>
      <c r="AO645" s="601"/>
      <c r="AP645" s="600"/>
      <c r="AQ645" s="599"/>
      <c r="AR645" s="600"/>
      <c r="AS645" s="601"/>
      <c r="AT645" s="600"/>
      <c r="AU645" s="599"/>
      <c r="AV645" s="600"/>
      <c r="AW645" s="601"/>
      <c r="AX645" s="600"/>
      <c r="AY645" s="599"/>
      <c r="AZ645" s="600"/>
      <c r="BA645" s="601"/>
      <c r="BB645" s="602">
        <v>0</v>
      </c>
      <c r="BC645" s="599"/>
      <c r="BD645" s="600">
        <v>0</v>
      </c>
      <c r="BE645" s="599"/>
      <c r="BF645" s="600">
        <v>0</v>
      </c>
      <c r="BG645" s="599"/>
      <c r="BH645" s="600">
        <v>0</v>
      </c>
      <c r="BI645" s="599"/>
      <c r="BJ645" s="600">
        <v>0</v>
      </c>
      <c r="BK645" s="615"/>
      <c r="BL645" s="600">
        <v>0</v>
      </c>
      <c r="BM645" s="604"/>
      <c r="BN645" s="605">
        <f t="shared" si="778"/>
        <v>0</v>
      </c>
      <c r="BO645" s="606">
        <f t="shared" si="779"/>
        <v>0</v>
      </c>
      <c r="BP645" s="607">
        <f t="shared" si="780"/>
        <v>0</v>
      </c>
      <c r="BQ645" s="606">
        <f t="shared" si="781"/>
        <v>0</v>
      </c>
      <c r="BR645" s="607">
        <f t="shared" si="782"/>
        <v>0</v>
      </c>
      <c r="BS645" s="606">
        <f t="shared" si="783"/>
        <v>0</v>
      </c>
      <c r="BT645" s="607">
        <f t="shared" si="784"/>
        <v>0</v>
      </c>
      <c r="BU645" s="606">
        <f t="shared" si="785"/>
        <v>0</v>
      </c>
      <c r="BV645" s="607">
        <f t="shared" si="786"/>
        <v>0</v>
      </c>
      <c r="BW645" s="608">
        <f t="shared" si="787"/>
        <v>0</v>
      </c>
      <c r="BX645" s="607">
        <f t="shared" si="788"/>
        <v>0</v>
      </c>
      <c r="BY645" s="608">
        <f t="shared" si="789"/>
        <v>0</v>
      </c>
      <c r="BZ645" s="607">
        <f t="shared" si="790"/>
        <v>0</v>
      </c>
      <c r="CA645" s="608">
        <f t="shared" si="791"/>
        <v>0</v>
      </c>
      <c r="CB645" s="607">
        <f t="shared" si="792"/>
        <v>0</v>
      </c>
      <c r="CC645" s="608">
        <f t="shared" si="793"/>
        <v>0</v>
      </c>
      <c r="CD645" s="607">
        <f t="shared" si="794"/>
        <v>0</v>
      </c>
      <c r="CE645" s="608">
        <f t="shared" si="795"/>
        <v>0</v>
      </c>
      <c r="CF645" s="607">
        <f t="shared" si="796"/>
        <v>0</v>
      </c>
      <c r="CG645" s="608">
        <f t="shared" si="797"/>
        <v>0</v>
      </c>
      <c r="CH645" s="607">
        <f t="shared" si="798"/>
        <v>0</v>
      </c>
      <c r="CI645" s="608">
        <f t="shared" si="799"/>
        <v>0</v>
      </c>
      <c r="CJ645" s="607">
        <f t="shared" si="800"/>
        <v>0</v>
      </c>
      <c r="CK645" s="608">
        <f t="shared" si="801"/>
        <v>0</v>
      </c>
      <c r="CL645" s="609">
        <f t="shared" si="802"/>
        <v>0</v>
      </c>
      <c r="CM645" s="608">
        <f t="shared" si="803"/>
        <v>0</v>
      </c>
      <c r="CN645" s="610">
        <f t="shared" si="804"/>
        <v>0</v>
      </c>
      <c r="CO645" s="606">
        <f t="shared" si="805"/>
        <v>0</v>
      </c>
      <c r="CP645" s="607">
        <f t="shared" si="806"/>
        <v>0</v>
      </c>
      <c r="CQ645" s="606">
        <f t="shared" si="807"/>
        <v>0</v>
      </c>
      <c r="CR645" s="607">
        <f t="shared" si="808"/>
        <v>0</v>
      </c>
      <c r="CS645" s="606">
        <f t="shared" si="809"/>
        <v>0</v>
      </c>
      <c r="CT645" s="607">
        <f t="shared" si="810"/>
        <v>0</v>
      </c>
      <c r="CU645" s="608">
        <f t="shared" si="811"/>
        <v>0</v>
      </c>
      <c r="CV645" s="610">
        <f t="shared" si="812"/>
        <v>0</v>
      </c>
      <c r="CW645" s="608">
        <f t="shared" si="813"/>
        <v>0</v>
      </c>
      <c r="CX645" s="610">
        <f t="shared" si="814"/>
        <v>0</v>
      </c>
      <c r="CY645" s="611">
        <f t="shared" si="815"/>
        <v>0</v>
      </c>
      <c r="CZ645" s="605">
        <f t="shared" si="816"/>
        <v>0</v>
      </c>
      <c r="DA645" s="612">
        <f t="shared" si="817"/>
        <v>0</v>
      </c>
      <c r="DB645" s="607">
        <f t="shared" si="818"/>
        <v>0</v>
      </c>
      <c r="DC645" s="606">
        <f t="shared" si="819"/>
        <v>0</v>
      </c>
      <c r="DD645" s="607">
        <f t="shared" si="820"/>
        <v>0</v>
      </c>
      <c r="DE645" s="606">
        <f t="shared" si="821"/>
        <v>0</v>
      </c>
      <c r="DF645" s="607">
        <f t="shared" si="822"/>
        <v>0</v>
      </c>
      <c r="DG645" s="606">
        <f t="shared" si="823"/>
        <v>0</v>
      </c>
      <c r="DH645" s="607">
        <f t="shared" si="824"/>
        <v>0</v>
      </c>
      <c r="DI645" s="608">
        <f t="shared" si="825"/>
        <v>0</v>
      </c>
      <c r="DJ645" s="607">
        <f t="shared" si="826"/>
        <v>0</v>
      </c>
      <c r="DK645" s="608">
        <f t="shared" si="827"/>
        <v>0</v>
      </c>
      <c r="DL645" s="607">
        <f t="shared" si="828"/>
        <v>0</v>
      </c>
      <c r="DM645" s="608">
        <f t="shared" si="829"/>
        <v>0</v>
      </c>
      <c r="DN645" s="607">
        <f t="shared" si="830"/>
        <v>0</v>
      </c>
      <c r="DO645" s="612">
        <f t="shared" si="831"/>
        <v>0</v>
      </c>
      <c r="DP645" s="607">
        <f t="shared" si="832"/>
        <v>0</v>
      </c>
      <c r="DQ645" s="606">
        <f t="shared" si="833"/>
        <v>0</v>
      </c>
      <c r="DR645" s="607">
        <f t="shared" si="834"/>
        <v>0</v>
      </c>
      <c r="DS645" s="606">
        <f t="shared" si="835"/>
        <v>0</v>
      </c>
      <c r="DT645" s="607">
        <f t="shared" si="836"/>
        <v>0</v>
      </c>
      <c r="DU645" s="606">
        <f t="shared" si="837"/>
        <v>0</v>
      </c>
      <c r="DV645" s="607">
        <f t="shared" si="838"/>
        <v>0</v>
      </c>
      <c r="DW645" s="608">
        <f t="shared" si="839"/>
        <v>0</v>
      </c>
      <c r="DX645" s="607">
        <f t="shared" si="840"/>
        <v>0</v>
      </c>
      <c r="DY645" s="608">
        <f t="shared" si="841"/>
        <v>0</v>
      </c>
      <c r="DZ645" s="607">
        <f t="shared" si="842"/>
        <v>0</v>
      </c>
      <c r="EA645" s="608">
        <f t="shared" si="843"/>
        <v>0</v>
      </c>
    </row>
    <row r="646" spans="1:131" x14ac:dyDescent="0.2">
      <c r="A646" s="473" t="s">
        <v>44</v>
      </c>
      <c r="B646" s="508" t="s">
        <v>1049</v>
      </c>
      <c r="C646" s="590"/>
      <c r="D646" s="507">
        <v>233019</v>
      </c>
      <c r="E646" s="500">
        <v>9</v>
      </c>
      <c r="F646" s="598"/>
      <c r="G646" s="599"/>
      <c r="H646" s="600"/>
      <c r="I646" s="601"/>
      <c r="J646" s="600"/>
      <c r="K646" s="599"/>
      <c r="L646" s="600"/>
      <c r="M646" s="601"/>
      <c r="N646" s="600"/>
      <c r="O646" s="599"/>
      <c r="P646" s="600"/>
      <c r="Q646" s="601"/>
      <c r="R646" s="600"/>
      <c r="S646" s="599"/>
      <c r="T646" s="600"/>
      <c r="U646" s="601"/>
      <c r="V646" s="600"/>
      <c r="W646" s="599"/>
      <c r="X646" s="600"/>
      <c r="Y646" s="601"/>
      <c r="Z646" s="600"/>
      <c r="AA646" s="599"/>
      <c r="AB646" s="600"/>
      <c r="AC646" s="601"/>
      <c r="AD646" s="600"/>
      <c r="AE646" s="599"/>
      <c r="AF646" s="600"/>
      <c r="AG646" s="601"/>
      <c r="AH646" s="600"/>
      <c r="AI646" s="599"/>
      <c r="AJ646" s="600"/>
      <c r="AK646" s="601"/>
      <c r="AL646" s="600"/>
      <c r="AM646" s="599"/>
      <c r="AN646" s="600"/>
      <c r="AO646" s="601"/>
      <c r="AP646" s="600"/>
      <c r="AQ646" s="599"/>
      <c r="AR646" s="600"/>
      <c r="AS646" s="601"/>
      <c r="AT646" s="600"/>
      <c r="AU646" s="599"/>
      <c r="AV646" s="600"/>
      <c r="AW646" s="601"/>
      <c r="AX646" s="600"/>
      <c r="AY646" s="599"/>
      <c r="AZ646" s="600"/>
      <c r="BA646" s="601"/>
      <c r="BB646" s="602">
        <v>0</v>
      </c>
      <c r="BC646" s="599"/>
      <c r="BD646" s="600">
        <v>0</v>
      </c>
      <c r="BE646" s="599"/>
      <c r="BF646" s="600">
        <v>0</v>
      </c>
      <c r="BG646" s="599"/>
      <c r="BH646" s="600">
        <v>0</v>
      </c>
      <c r="BI646" s="599"/>
      <c r="BJ646" s="600">
        <v>0</v>
      </c>
      <c r="BK646" s="615"/>
      <c r="BL646" s="600">
        <v>0</v>
      </c>
      <c r="BM646" s="604"/>
      <c r="BN646" s="605">
        <f t="shared" si="778"/>
        <v>0</v>
      </c>
      <c r="BO646" s="606">
        <f t="shared" si="779"/>
        <v>0</v>
      </c>
      <c r="BP646" s="607">
        <f t="shared" si="780"/>
        <v>0</v>
      </c>
      <c r="BQ646" s="606">
        <f t="shared" si="781"/>
        <v>0</v>
      </c>
      <c r="BR646" s="607">
        <f t="shared" si="782"/>
        <v>0</v>
      </c>
      <c r="BS646" s="606">
        <f t="shared" si="783"/>
        <v>0</v>
      </c>
      <c r="BT646" s="607">
        <f t="shared" si="784"/>
        <v>0</v>
      </c>
      <c r="BU646" s="606">
        <f t="shared" si="785"/>
        <v>0</v>
      </c>
      <c r="BV646" s="607">
        <f t="shared" si="786"/>
        <v>0</v>
      </c>
      <c r="BW646" s="608">
        <f t="shared" si="787"/>
        <v>0</v>
      </c>
      <c r="BX646" s="607">
        <f t="shared" si="788"/>
        <v>0</v>
      </c>
      <c r="BY646" s="608">
        <f t="shared" si="789"/>
        <v>0</v>
      </c>
      <c r="BZ646" s="607">
        <f t="shared" si="790"/>
        <v>0</v>
      </c>
      <c r="CA646" s="608">
        <f t="shared" si="791"/>
        <v>0</v>
      </c>
      <c r="CB646" s="607">
        <f t="shared" si="792"/>
        <v>0</v>
      </c>
      <c r="CC646" s="608">
        <f t="shared" si="793"/>
        <v>0</v>
      </c>
      <c r="CD646" s="607">
        <f t="shared" si="794"/>
        <v>0</v>
      </c>
      <c r="CE646" s="608">
        <f t="shared" si="795"/>
        <v>0</v>
      </c>
      <c r="CF646" s="607">
        <f t="shared" si="796"/>
        <v>0</v>
      </c>
      <c r="CG646" s="608">
        <f t="shared" si="797"/>
        <v>0</v>
      </c>
      <c r="CH646" s="607">
        <f t="shared" si="798"/>
        <v>0</v>
      </c>
      <c r="CI646" s="608">
        <f t="shared" si="799"/>
        <v>0</v>
      </c>
      <c r="CJ646" s="607">
        <f t="shared" si="800"/>
        <v>0</v>
      </c>
      <c r="CK646" s="608">
        <f t="shared" si="801"/>
        <v>0</v>
      </c>
      <c r="CL646" s="609">
        <f t="shared" si="802"/>
        <v>0</v>
      </c>
      <c r="CM646" s="608">
        <f t="shared" si="803"/>
        <v>0</v>
      </c>
      <c r="CN646" s="610">
        <f t="shared" si="804"/>
        <v>0</v>
      </c>
      <c r="CO646" s="606">
        <f t="shared" si="805"/>
        <v>0</v>
      </c>
      <c r="CP646" s="607">
        <f t="shared" si="806"/>
        <v>0</v>
      </c>
      <c r="CQ646" s="606">
        <f t="shared" si="807"/>
        <v>0</v>
      </c>
      <c r="CR646" s="607">
        <f t="shared" si="808"/>
        <v>0</v>
      </c>
      <c r="CS646" s="606">
        <f t="shared" si="809"/>
        <v>0</v>
      </c>
      <c r="CT646" s="607">
        <f t="shared" si="810"/>
        <v>0</v>
      </c>
      <c r="CU646" s="608">
        <f t="shared" si="811"/>
        <v>0</v>
      </c>
      <c r="CV646" s="610">
        <f t="shared" si="812"/>
        <v>0</v>
      </c>
      <c r="CW646" s="608">
        <f t="shared" si="813"/>
        <v>0</v>
      </c>
      <c r="CX646" s="610">
        <f t="shared" si="814"/>
        <v>0</v>
      </c>
      <c r="CY646" s="611">
        <f t="shared" si="815"/>
        <v>0</v>
      </c>
      <c r="CZ646" s="605">
        <f t="shared" si="816"/>
        <v>0</v>
      </c>
      <c r="DA646" s="612">
        <f t="shared" si="817"/>
        <v>0</v>
      </c>
      <c r="DB646" s="607">
        <f t="shared" si="818"/>
        <v>0</v>
      </c>
      <c r="DC646" s="606">
        <f t="shared" si="819"/>
        <v>0</v>
      </c>
      <c r="DD646" s="607">
        <f t="shared" si="820"/>
        <v>0</v>
      </c>
      <c r="DE646" s="606">
        <f t="shared" si="821"/>
        <v>0</v>
      </c>
      <c r="DF646" s="607">
        <f t="shared" si="822"/>
        <v>0</v>
      </c>
      <c r="DG646" s="606">
        <f t="shared" si="823"/>
        <v>0</v>
      </c>
      <c r="DH646" s="607">
        <f t="shared" si="824"/>
        <v>0</v>
      </c>
      <c r="DI646" s="608">
        <f t="shared" si="825"/>
        <v>0</v>
      </c>
      <c r="DJ646" s="607">
        <f t="shared" si="826"/>
        <v>0</v>
      </c>
      <c r="DK646" s="608">
        <f t="shared" si="827"/>
        <v>0</v>
      </c>
      <c r="DL646" s="607">
        <f t="shared" si="828"/>
        <v>0</v>
      </c>
      <c r="DM646" s="608">
        <f t="shared" si="829"/>
        <v>0</v>
      </c>
      <c r="DN646" s="607">
        <f t="shared" si="830"/>
        <v>0</v>
      </c>
      <c r="DO646" s="612">
        <f t="shared" si="831"/>
        <v>0</v>
      </c>
      <c r="DP646" s="607">
        <f t="shared" si="832"/>
        <v>0</v>
      </c>
      <c r="DQ646" s="606">
        <f t="shared" si="833"/>
        <v>0</v>
      </c>
      <c r="DR646" s="607">
        <f t="shared" si="834"/>
        <v>0</v>
      </c>
      <c r="DS646" s="606">
        <f t="shared" si="835"/>
        <v>0</v>
      </c>
      <c r="DT646" s="607">
        <f t="shared" si="836"/>
        <v>0</v>
      </c>
      <c r="DU646" s="606">
        <f t="shared" si="837"/>
        <v>0</v>
      </c>
      <c r="DV646" s="607">
        <f t="shared" si="838"/>
        <v>0</v>
      </c>
      <c r="DW646" s="608">
        <f t="shared" si="839"/>
        <v>0</v>
      </c>
      <c r="DX646" s="607">
        <f t="shared" si="840"/>
        <v>0</v>
      </c>
      <c r="DY646" s="608">
        <f t="shared" si="841"/>
        <v>0</v>
      </c>
      <c r="DZ646" s="607">
        <f t="shared" si="842"/>
        <v>0</v>
      </c>
      <c r="EA646" s="608">
        <f t="shared" si="843"/>
        <v>0</v>
      </c>
    </row>
    <row r="647" spans="1:131" x14ac:dyDescent="0.2">
      <c r="A647" s="473" t="s">
        <v>44</v>
      </c>
      <c r="B647" s="478" t="s">
        <v>1050</v>
      </c>
      <c r="C647" s="589"/>
      <c r="D647" s="507">
        <v>233116</v>
      </c>
      <c r="E647" s="496">
        <v>9</v>
      </c>
      <c r="F647" s="598"/>
      <c r="G647" s="599"/>
      <c r="H647" s="600"/>
      <c r="I647" s="601"/>
      <c r="J647" s="600"/>
      <c r="K647" s="599"/>
      <c r="L647" s="600"/>
      <c r="M647" s="601"/>
      <c r="N647" s="600"/>
      <c r="O647" s="599"/>
      <c r="P647" s="600"/>
      <c r="Q647" s="601"/>
      <c r="R647" s="600"/>
      <c r="S647" s="599"/>
      <c r="T647" s="600"/>
      <c r="U647" s="601"/>
      <c r="V647" s="600"/>
      <c r="W647" s="599"/>
      <c r="X647" s="600"/>
      <c r="Y647" s="601"/>
      <c r="Z647" s="600"/>
      <c r="AA647" s="599"/>
      <c r="AB647" s="600"/>
      <c r="AC647" s="601"/>
      <c r="AD647" s="600"/>
      <c r="AE647" s="599"/>
      <c r="AF647" s="600"/>
      <c r="AG647" s="601"/>
      <c r="AH647" s="600"/>
      <c r="AI647" s="599"/>
      <c r="AJ647" s="600"/>
      <c r="AK647" s="601"/>
      <c r="AL647" s="600"/>
      <c r="AM647" s="599"/>
      <c r="AN647" s="600"/>
      <c r="AO647" s="601"/>
      <c r="AP647" s="600"/>
      <c r="AQ647" s="599"/>
      <c r="AR647" s="600"/>
      <c r="AS647" s="601"/>
      <c r="AT647" s="600"/>
      <c r="AU647" s="599"/>
      <c r="AV647" s="600"/>
      <c r="AW647" s="601"/>
      <c r="AX647" s="600"/>
      <c r="AY647" s="599"/>
      <c r="AZ647" s="600"/>
      <c r="BA647" s="601"/>
      <c r="BB647" s="602">
        <v>0</v>
      </c>
      <c r="BC647" s="599"/>
      <c r="BD647" s="600">
        <v>0</v>
      </c>
      <c r="BE647" s="599"/>
      <c r="BF647" s="600">
        <v>0</v>
      </c>
      <c r="BG647" s="599"/>
      <c r="BH647" s="600">
        <v>0</v>
      </c>
      <c r="BI647" s="599"/>
      <c r="BJ647" s="600">
        <v>0</v>
      </c>
      <c r="BK647" s="615"/>
      <c r="BL647" s="600">
        <v>0</v>
      </c>
      <c r="BM647" s="604"/>
      <c r="BN647" s="605">
        <f t="shared" si="778"/>
        <v>0</v>
      </c>
      <c r="BO647" s="606">
        <f t="shared" si="779"/>
        <v>0</v>
      </c>
      <c r="BP647" s="607">
        <f t="shared" si="780"/>
        <v>0</v>
      </c>
      <c r="BQ647" s="606">
        <f t="shared" si="781"/>
        <v>0</v>
      </c>
      <c r="BR647" s="607">
        <f t="shared" si="782"/>
        <v>0</v>
      </c>
      <c r="BS647" s="606">
        <f t="shared" si="783"/>
        <v>0</v>
      </c>
      <c r="BT647" s="607">
        <f t="shared" si="784"/>
        <v>0</v>
      </c>
      <c r="BU647" s="606">
        <f t="shared" si="785"/>
        <v>0</v>
      </c>
      <c r="BV647" s="607">
        <f t="shared" si="786"/>
        <v>0</v>
      </c>
      <c r="BW647" s="608">
        <f t="shared" si="787"/>
        <v>0</v>
      </c>
      <c r="BX647" s="607">
        <f t="shared" si="788"/>
        <v>0</v>
      </c>
      <c r="BY647" s="608">
        <f t="shared" si="789"/>
        <v>0</v>
      </c>
      <c r="BZ647" s="607">
        <f t="shared" si="790"/>
        <v>0</v>
      </c>
      <c r="CA647" s="608">
        <f t="shared" si="791"/>
        <v>0</v>
      </c>
      <c r="CB647" s="607">
        <f t="shared" si="792"/>
        <v>0</v>
      </c>
      <c r="CC647" s="608">
        <f t="shared" si="793"/>
        <v>0</v>
      </c>
      <c r="CD647" s="607">
        <f t="shared" si="794"/>
        <v>0</v>
      </c>
      <c r="CE647" s="608">
        <f t="shared" si="795"/>
        <v>0</v>
      </c>
      <c r="CF647" s="607">
        <f t="shared" si="796"/>
        <v>0</v>
      </c>
      <c r="CG647" s="608">
        <f t="shared" si="797"/>
        <v>0</v>
      </c>
      <c r="CH647" s="607">
        <f t="shared" si="798"/>
        <v>0</v>
      </c>
      <c r="CI647" s="608">
        <f t="shared" si="799"/>
        <v>0</v>
      </c>
      <c r="CJ647" s="607">
        <f t="shared" si="800"/>
        <v>0</v>
      </c>
      <c r="CK647" s="608">
        <f t="shared" si="801"/>
        <v>0</v>
      </c>
      <c r="CL647" s="609">
        <f t="shared" si="802"/>
        <v>0</v>
      </c>
      <c r="CM647" s="608">
        <f t="shared" si="803"/>
        <v>0</v>
      </c>
      <c r="CN647" s="610">
        <f t="shared" si="804"/>
        <v>0</v>
      </c>
      <c r="CO647" s="606">
        <f t="shared" si="805"/>
        <v>0</v>
      </c>
      <c r="CP647" s="607">
        <f t="shared" si="806"/>
        <v>0</v>
      </c>
      <c r="CQ647" s="606">
        <f t="shared" si="807"/>
        <v>0</v>
      </c>
      <c r="CR647" s="607">
        <f t="shared" si="808"/>
        <v>0</v>
      </c>
      <c r="CS647" s="606">
        <f t="shared" si="809"/>
        <v>0</v>
      </c>
      <c r="CT647" s="607">
        <f t="shared" si="810"/>
        <v>0</v>
      </c>
      <c r="CU647" s="608">
        <f t="shared" si="811"/>
        <v>0</v>
      </c>
      <c r="CV647" s="610">
        <f t="shared" si="812"/>
        <v>0</v>
      </c>
      <c r="CW647" s="608">
        <f t="shared" si="813"/>
        <v>0</v>
      </c>
      <c r="CX647" s="610">
        <f t="shared" si="814"/>
        <v>0</v>
      </c>
      <c r="CY647" s="611">
        <f t="shared" si="815"/>
        <v>0</v>
      </c>
      <c r="CZ647" s="605">
        <f t="shared" si="816"/>
        <v>0</v>
      </c>
      <c r="DA647" s="612">
        <f t="shared" si="817"/>
        <v>0</v>
      </c>
      <c r="DB647" s="607">
        <f t="shared" si="818"/>
        <v>0</v>
      </c>
      <c r="DC647" s="606">
        <f t="shared" si="819"/>
        <v>0</v>
      </c>
      <c r="DD647" s="607">
        <f t="shared" si="820"/>
        <v>0</v>
      </c>
      <c r="DE647" s="606">
        <f t="shared" si="821"/>
        <v>0</v>
      </c>
      <c r="DF647" s="607">
        <f t="shared" si="822"/>
        <v>0</v>
      </c>
      <c r="DG647" s="606">
        <f t="shared" si="823"/>
        <v>0</v>
      </c>
      <c r="DH647" s="607">
        <f t="shared" si="824"/>
        <v>0</v>
      </c>
      <c r="DI647" s="608">
        <f t="shared" si="825"/>
        <v>0</v>
      </c>
      <c r="DJ647" s="607">
        <f t="shared" si="826"/>
        <v>0</v>
      </c>
      <c r="DK647" s="608">
        <f t="shared" si="827"/>
        <v>0</v>
      </c>
      <c r="DL647" s="607">
        <f t="shared" si="828"/>
        <v>0</v>
      </c>
      <c r="DM647" s="608">
        <f t="shared" si="829"/>
        <v>0</v>
      </c>
      <c r="DN647" s="607">
        <f t="shared" si="830"/>
        <v>0</v>
      </c>
      <c r="DO647" s="612">
        <f t="shared" si="831"/>
        <v>0</v>
      </c>
      <c r="DP647" s="607">
        <f t="shared" si="832"/>
        <v>0</v>
      </c>
      <c r="DQ647" s="606">
        <f t="shared" si="833"/>
        <v>0</v>
      </c>
      <c r="DR647" s="607">
        <f t="shared" si="834"/>
        <v>0</v>
      </c>
      <c r="DS647" s="606">
        <f t="shared" si="835"/>
        <v>0</v>
      </c>
      <c r="DT647" s="607">
        <f t="shared" si="836"/>
        <v>0</v>
      </c>
      <c r="DU647" s="606">
        <f t="shared" si="837"/>
        <v>0</v>
      </c>
      <c r="DV647" s="607">
        <f t="shared" si="838"/>
        <v>0</v>
      </c>
      <c r="DW647" s="608">
        <f t="shared" si="839"/>
        <v>0</v>
      </c>
      <c r="DX647" s="607">
        <f t="shared" si="840"/>
        <v>0</v>
      </c>
      <c r="DY647" s="608">
        <f t="shared" si="841"/>
        <v>0</v>
      </c>
      <c r="DZ647" s="607">
        <f t="shared" si="842"/>
        <v>0</v>
      </c>
      <c r="EA647" s="608">
        <f t="shared" si="843"/>
        <v>0</v>
      </c>
    </row>
    <row r="648" spans="1:131" x14ac:dyDescent="0.2">
      <c r="A648" s="473" t="s">
        <v>44</v>
      </c>
      <c r="B648" s="478" t="s">
        <v>1051</v>
      </c>
      <c r="C648" s="589"/>
      <c r="D648" s="507">
        <v>233639</v>
      </c>
      <c r="E648" s="496">
        <v>9</v>
      </c>
      <c r="F648" s="598"/>
      <c r="G648" s="599"/>
      <c r="H648" s="600"/>
      <c r="I648" s="601"/>
      <c r="J648" s="600"/>
      <c r="K648" s="599"/>
      <c r="L648" s="600"/>
      <c r="M648" s="601"/>
      <c r="N648" s="600"/>
      <c r="O648" s="599"/>
      <c r="P648" s="600"/>
      <c r="Q648" s="601"/>
      <c r="R648" s="600"/>
      <c r="S648" s="599"/>
      <c r="T648" s="600"/>
      <c r="U648" s="601"/>
      <c r="V648" s="600"/>
      <c r="W648" s="599"/>
      <c r="X648" s="600"/>
      <c r="Y648" s="601"/>
      <c r="Z648" s="600"/>
      <c r="AA648" s="599"/>
      <c r="AB648" s="600"/>
      <c r="AC648" s="601"/>
      <c r="AD648" s="600"/>
      <c r="AE648" s="599"/>
      <c r="AF648" s="600"/>
      <c r="AG648" s="601"/>
      <c r="AH648" s="600"/>
      <c r="AI648" s="599"/>
      <c r="AJ648" s="600"/>
      <c r="AK648" s="601"/>
      <c r="AL648" s="600"/>
      <c r="AM648" s="599"/>
      <c r="AN648" s="600"/>
      <c r="AO648" s="601"/>
      <c r="AP648" s="600"/>
      <c r="AQ648" s="599"/>
      <c r="AR648" s="600"/>
      <c r="AS648" s="601"/>
      <c r="AT648" s="600"/>
      <c r="AU648" s="599"/>
      <c r="AV648" s="600"/>
      <c r="AW648" s="601"/>
      <c r="AX648" s="600"/>
      <c r="AY648" s="599"/>
      <c r="AZ648" s="600"/>
      <c r="BA648" s="601"/>
      <c r="BB648" s="602">
        <v>0</v>
      </c>
      <c r="BC648" s="599"/>
      <c r="BD648" s="600">
        <v>0</v>
      </c>
      <c r="BE648" s="599"/>
      <c r="BF648" s="600">
        <v>0</v>
      </c>
      <c r="BG648" s="599"/>
      <c r="BH648" s="600">
        <v>0</v>
      </c>
      <c r="BI648" s="599"/>
      <c r="BJ648" s="600">
        <v>0</v>
      </c>
      <c r="BK648" s="615"/>
      <c r="BL648" s="600">
        <v>0</v>
      </c>
      <c r="BM648" s="604"/>
      <c r="BN648" s="605">
        <f t="shared" si="778"/>
        <v>0</v>
      </c>
      <c r="BO648" s="606">
        <f t="shared" si="779"/>
        <v>0</v>
      </c>
      <c r="BP648" s="607">
        <f t="shared" si="780"/>
        <v>0</v>
      </c>
      <c r="BQ648" s="606">
        <f t="shared" si="781"/>
        <v>0</v>
      </c>
      <c r="BR648" s="607">
        <f t="shared" si="782"/>
        <v>0</v>
      </c>
      <c r="BS648" s="606">
        <f t="shared" si="783"/>
        <v>0</v>
      </c>
      <c r="BT648" s="607">
        <f t="shared" si="784"/>
        <v>0</v>
      </c>
      <c r="BU648" s="606">
        <f t="shared" si="785"/>
        <v>0</v>
      </c>
      <c r="BV648" s="607">
        <f t="shared" si="786"/>
        <v>0</v>
      </c>
      <c r="BW648" s="608">
        <f t="shared" si="787"/>
        <v>0</v>
      </c>
      <c r="BX648" s="607">
        <f t="shared" si="788"/>
        <v>0</v>
      </c>
      <c r="BY648" s="608">
        <f t="shared" si="789"/>
        <v>0</v>
      </c>
      <c r="BZ648" s="607">
        <f t="shared" si="790"/>
        <v>0</v>
      </c>
      <c r="CA648" s="608">
        <f t="shared" si="791"/>
        <v>0</v>
      </c>
      <c r="CB648" s="607">
        <f t="shared" si="792"/>
        <v>0</v>
      </c>
      <c r="CC648" s="608">
        <f t="shared" si="793"/>
        <v>0</v>
      </c>
      <c r="CD648" s="607">
        <f t="shared" si="794"/>
        <v>0</v>
      </c>
      <c r="CE648" s="608">
        <f t="shared" si="795"/>
        <v>0</v>
      </c>
      <c r="CF648" s="607">
        <f t="shared" si="796"/>
        <v>0</v>
      </c>
      <c r="CG648" s="608">
        <f t="shared" si="797"/>
        <v>0</v>
      </c>
      <c r="CH648" s="607">
        <f t="shared" si="798"/>
        <v>0</v>
      </c>
      <c r="CI648" s="608">
        <f t="shared" si="799"/>
        <v>0</v>
      </c>
      <c r="CJ648" s="607">
        <f t="shared" si="800"/>
        <v>0</v>
      </c>
      <c r="CK648" s="608">
        <f t="shared" si="801"/>
        <v>0</v>
      </c>
      <c r="CL648" s="609">
        <f t="shared" si="802"/>
        <v>0</v>
      </c>
      <c r="CM648" s="608">
        <f t="shared" si="803"/>
        <v>0</v>
      </c>
      <c r="CN648" s="610">
        <f t="shared" si="804"/>
        <v>0</v>
      </c>
      <c r="CO648" s="606">
        <f t="shared" si="805"/>
        <v>0</v>
      </c>
      <c r="CP648" s="607">
        <f t="shared" si="806"/>
        <v>0</v>
      </c>
      <c r="CQ648" s="606">
        <f t="shared" si="807"/>
        <v>0</v>
      </c>
      <c r="CR648" s="607">
        <f t="shared" si="808"/>
        <v>0</v>
      </c>
      <c r="CS648" s="606">
        <f t="shared" si="809"/>
        <v>0</v>
      </c>
      <c r="CT648" s="607">
        <f t="shared" si="810"/>
        <v>0</v>
      </c>
      <c r="CU648" s="608">
        <f t="shared" si="811"/>
        <v>0</v>
      </c>
      <c r="CV648" s="610">
        <f t="shared" si="812"/>
        <v>0</v>
      </c>
      <c r="CW648" s="608">
        <f t="shared" si="813"/>
        <v>0</v>
      </c>
      <c r="CX648" s="610">
        <f t="shared" si="814"/>
        <v>0</v>
      </c>
      <c r="CY648" s="611">
        <f t="shared" si="815"/>
        <v>0</v>
      </c>
      <c r="CZ648" s="605">
        <f t="shared" si="816"/>
        <v>0</v>
      </c>
      <c r="DA648" s="612">
        <f t="shared" si="817"/>
        <v>0</v>
      </c>
      <c r="DB648" s="607">
        <f t="shared" si="818"/>
        <v>0</v>
      </c>
      <c r="DC648" s="606">
        <f t="shared" si="819"/>
        <v>0</v>
      </c>
      <c r="DD648" s="607">
        <f t="shared" si="820"/>
        <v>0</v>
      </c>
      <c r="DE648" s="606">
        <f t="shared" si="821"/>
        <v>0</v>
      </c>
      <c r="DF648" s="607">
        <f t="shared" si="822"/>
        <v>0</v>
      </c>
      <c r="DG648" s="606">
        <f t="shared" si="823"/>
        <v>0</v>
      </c>
      <c r="DH648" s="607">
        <f t="shared" si="824"/>
        <v>0</v>
      </c>
      <c r="DI648" s="608">
        <f t="shared" si="825"/>
        <v>0</v>
      </c>
      <c r="DJ648" s="607">
        <f t="shared" si="826"/>
        <v>0</v>
      </c>
      <c r="DK648" s="608">
        <f t="shared" si="827"/>
        <v>0</v>
      </c>
      <c r="DL648" s="607">
        <f t="shared" si="828"/>
        <v>0</v>
      </c>
      <c r="DM648" s="608">
        <f t="shared" si="829"/>
        <v>0</v>
      </c>
      <c r="DN648" s="607">
        <f t="shared" si="830"/>
        <v>0</v>
      </c>
      <c r="DO648" s="612">
        <f t="shared" si="831"/>
        <v>0</v>
      </c>
      <c r="DP648" s="607">
        <f t="shared" si="832"/>
        <v>0</v>
      </c>
      <c r="DQ648" s="606">
        <f t="shared" si="833"/>
        <v>0</v>
      </c>
      <c r="DR648" s="607">
        <f t="shared" si="834"/>
        <v>0</v>
      </c>
      <c r="DS648" s="606">
        <f t="shared" si="835"/>
        <v>0</v>
      </c>
      <c r="DT648" s="607">
        <f t="shared" si="836"/>
        <v>0</v>
      </c>
      <c r="DU648" s="606">
        <f t="shared" si="837"/>
        <v>0</v>
      </c>
      <c r="DV648" s="607">
        <f t="shared" si="838"/>
        <v>0</v>
      </c>
      <c r="DW648" s="608">
        <f t="shared" si="839"/>
        <v>0</v>
      </c>
      <c r="DX648" s="607">
        <f t="shared" si="840"/>
        <v>0</v>
      </c>
      <c r="DY648" s="608">
        <f t="shared" si="841"/>
        <v>0</v>
      </c>
      <c r="DZ648" s="607">
        <f t="shared" si="842"/>
        <v>0</v>
      </c>
      <c r="EA648" s="608">
        <f t="shared" si="843"/>
        <v>0</v>
      </c>
    </row>
    <row r="649" spans="1:131" x14ac:dyDescent="0.2">
      <c r="A649" s="473" t="s">
        <v>44</v>
      </c>
      <c r="B649" s="478" t="s">
        <v>1052</v>
      </c>
      <c r="C649" s="589" t="s">
        <v>388</v>
      </c>
      <c r="D649" s="507">
        <v>233648</v>
      </c>
      <c r="E649" s="496">
        <v>9</v>
      </c>
      <c r="F649" s="598"/>
      <c r="G649" s="599"/>
      <c r="H649" s="600"/>
      <c r="I649" s="601"/>
      <c r="J649" s="600"/>
      <c r="K649" s="599"/>
      <c r="L649" s="600"/>
      <c r="M649" s="601"/>
      <c r="N649" s="600"/>
      <c r="O649" s="599"/>
      <c r="P649" s="600"/>
      <c r="Q649" s="601"/>
      <c r="R649" s="600"/>
      <c r="S649" s="599"/>
      <c r="T649" s="600"/>
      <c r="U649" s="601"/>
      <c r="V649" s="600"/>
      <c r="W649" s="599"/>
      <c r="X649" s="600"/>
      <c r="Y649" s="601"/>
      <c r="Z649" s="600"/>
      <c r="AA649" s="599"/>
      <c r="AB649" s="600"/>
      <c r="AC649" s="601"/>
      <c r="AD649" s="600"/>
      <c r="AE649" s="599"/>
      <c r="AF649" s="600"/>
      <c r="AG649" s="601"/>
      <c r="AH649" s="600"/>
      <c r="AI649" s="599"/>
      <c r="AJ649" s="600"/>
      <c r="AK649" s="601"/>
      <c r="AL649" s="600"/>
      <c r="AM649" s="599"/>
      <c r="AN649" s="600"/>
      <c r="AO649" s="601"/>
      <c r="AP649" s="600"/>
      <c r="AQ649" s="599"/>
      <c r="AR649" s="600"/>
      <c r="AS649" s="601"/>
      <c r="AT649" s="600"/>
      <c r="AU649" s="599"/>
      <c r="AV649" s="600"/>
      <c r="AW649" s="601"/>
      <c r="AX649" s="600"/>
      <c r="AY649" s="599"/>
      <c r="AZ649" s="600"/>
      <c r="BA649" s="601"/>
      <c r="BB649" s="602">
        <v>0</v>
      </c>
      <c r="BC649" s="599"/>
      <c r="BD649" s="600">
        <v>0</v>
      </c>
      <c r="BE649" s="599"/>
      <c r="BF649" s="600">
        <v>0</v>
      </c>
      <c r="BG649" s="599"/>
      <c r="BH649" s="600">
        <v>0</v>
      </c>
      <c r="BI649" s="599"/>
      <c r="BJ649" s="600">
        <v>0</v>
      </c>
      <c r="BK649" s="615"/>
      <c r="BL649" s="600">
        <v>0</v>
      </c>
      <c r="BM649" s="604"/>
      <c r="BN649" s="605">
        <f t="shared" si="778"/>
        <v>0</v>
      </c>
      <c r="BO649" s="606">
        <f t="shared" si="779"/>
        <v>0</v>
      </c>
      <c r="BP649" s="607">
        <f t="shared" si="780"/>
        <v>0</v>
      </c>
      <c r="BQ649" s="606">
        <f t="shared" si="781"/>
        <v>0</v>
      </c>
      <c r="BR649" s="607">
        <f t="shared" si="782"/>
        <v>0</v>
      </c>
      <c r="BS649" s="606">
        <f t="shared" si="783"/>
        <v>0</v>
      </c>
      <c r="BT649" s="607">
        <f t="shared" si="784"/>
        <v>0</v>
      </c>
      <c r="BU649" s="606">
        <f t="shared" si="785"/>
        <v>0</v>
      </c>
      <c r="BV649" s="607">
        <f t="shared" si="786"/>
        <v>0</v>
      </c>
      <c r="BW649" s="608">
        <f t="shared" si="787"/>
        <v>0</v>
      </c>
      <c r="BX649" s="607">
        <f t="shared" si="788"/>
        <v>0</v>
      </c>
      <c r="BY649" s="608">
        <f t="shared" si="789"/>
        <v>0</v>
      </c>
      <c r="BZ649" s="607">
        <f t="shared" si="790"/>
        <v>0</v>
      </c>
      <c r="CA649" s="608">
        <f t="shared" si="791"/>
        <v>0</v>
      </c>
      <c r="CB649" s="607">
        <f t="shared" si="792"/>
        <v>0</v>
      </c>
      <c r="CC649" s="608">
        <f t="shared" si="793"/>
        <v>0</v>
      </c>
      <c r="CD649" s="607">
        <f t="shared" si="794"/>
        <v>0</v>
      </c>
      <c r="CE649" s="608">
        <f t="shared" si="795"/>
        <v>0</v>
      </c>
      <c r="CF649" s="607">
        <f t="shared" si="796"/>
        <v>0</v>
      </c>
      <c r="CG649" s="608">
        <f t="shared" si="797"/>
        <v>0</v>
      </c>
      <c r="CH649" s="607">
        <f t="shared" si="798"/>
        <v>0</v>
      </c>
      <c r="CI649" s="608">
        <f t="shared" si="799"/>
        <v>0</v>
      </c>
      <c r="CJ649" s="607">
        <f t="shared" si="800"/>
        <v>0</v>
      </c>
      <c r="CK649" s="608">
        <f t="shared" si="801"/>
        <v>0</v>
      </c>
      <c r="CL649" s="609">
        <f t="shared" si="802"/>
        <v>0</v>
      </c>
      <c r="CM649" s="608">
        <f t="shared" si="803"/>
        <v>0</v>
      </c>
      <c r="CN649" s="610">
        <f t="shared" si="804"/>
        <v>0</v>
      </c>
      <c r="CO649" s="606">
        <f t="shared" si="805"/>
        <v>0</v>
      </c>
      <c r="CP649" s="607">
        <f t="shared" si="806"/>
        <v>0</v>
      </c>
      <c r="CQ649" s="606">
        <f t="shared" si="807"/>
        <v>0</v>
      </c>
      <c r="CR649" s="607">
        <f t="shared" si="808"/>
        <v>0</v>
      </c>
      <c r="CS649" s="606">
        <f t="shared" si="809"/>
        <v>0</v>
      </c>
      <c r="CT649" s="607">
        <f t="shared" si="810"/>
        <v>0</v>
      </c>
      <c r="CU649" s="608">
        <f t="shared" si="811"/>
        <v>0</v>
      </c>
      <c r="CV649" s="610">
        <f t="shared" si="812"/>
        <v>0</v>
      </c>
      <c r="CW649" s="608">
        <f t="shared" si="813"/>
        <v>0</v>
      </c>
      <c r="CX649" s="610">
        <f t="shared" si="814"/>
        <v>0</v>
      </c>
      <c r="CY649" s="611">
        <f t="shared" si="815"/>
        <v>0</v>
      </c>
      <c r="CZ649" s="605">
        <f t="shared" si="816"/>
        <v>0</v>
      </c>
      <c r="DA649" s="612">
        <f t="shared" si="817"/>
        <v>0</v>
      </c>
      <c r="DB649" s="607">
        <f t="shared" si="818"/>
        <v>0</v>
      </c>
      <c r="DC649" s="606">
        <f t="shared" si="819"/>
        <v>0</v>
      </c>
      <c r="DD649" s="607">
        <f t="shared" si="820"/>
        <v>0</v>
      </c>
      <c r="DE649" s="606">
        <f t="shared" si="821"/>
        <v>0</v>
      </c>
      <c r="DF649" s="607">
        <f t="shared" si="822"/>
        <v>0</v>
      </c>
      <c r="DG649" s="606">
        <f t="shared" si="823"/>
        <v>0</v>
      </c>
      <c r="DH649" s="607">
        <f t="shared" si="824"/>
        <v>0</v>
      </c>
      <c r="DI649" s="608">
        <f t="shared" si="825"/>
        <v>0</v>
      </c>
      <c r="DJ649" s="607">
        <f t="shared" si="826"/>
        <v>0</v>
      </c>
      <c r="DK649" s="608">
        <f t="shared" si="827"/>
        <v>0</v>
      </c>
      <c r="DL649" s="607">
        <f t="shared" si="828"/>
        <v>0</v>
      </c>
      <c r="DM649" s="608">
        <f t="shared" si="829"/>
        <v>0</v>
      </c>
      <c r="DN649" s="607">
        <f t="shared" si="830"/>
        <v>0</v>
      </c>
      <c r="DO649" s="612">
        <f t="shared" si="831"/>
        <v>0</v>
      </c>
      <c r="DP649" s="607">
        <f t="shared" si="832"/>
        <v>0</v>
      </c>
      <c r="DQ649" s="606">
        <f t="shared" si="833"/>
        <v>0</v>
      </c>
      <c r="DR649" s="607">
        <f t="shared" si="834"/>
        <v>0</v>
      </c>
      <c r="DS649" s="606">
        <f t="shared" si="835"/>
        <v>0</v>
      </c>
      <c r="DT649" s="607">
        <f t="shared" si="836"/>
        <v>0</v>
      </c>
      <c r="DU649" s="606">
        <f t="shared" si="837"/>
        <v>0</v>
      </c>
      <c r="DV649" s="607">
        <f t="shared" si="838"/>
        <v>0</v>
      </c>
      <c r="DW649" s="608">
        <f t="shared" si="839"/>
        <v>0</v>
      </c>
      <c r="DX649" s="607">
        <f t="shared" si="840"/>
        <v>0</v>
      </c>
      <c r="DY649" s="608">
        <f t="shared" si="841"/>
        <v>0</v>
      </c>
      <c r="DZ649" s="607">
        <f t="shared" si="842"/>
        <v>0</v>
      </c>
      <c r="EA649" s="608">
        <f t="shared" si="843"/>
        <v>0</v>
      </c>
    </row>
    <row r="650" spans="1:131" x14ac:dyDescent="0.2">
      <c r="A650" s="473" t="s">
        <v>44</v>
      </c>
      <c r="B650" s="474" t="s">
        <v>1053</v>
      </c>
      <c r="C650" s="567"/>
      <c r="D650" s="507">
        <v>233949</v>
      </c>
      <c r="E650" s="496">
        <v>9</v>
      </c>
      <c r="F650" s="598"/>
      <c r="G650" s="599"/>
      <c r="H650" s="600"/>
      <c r="I650" s="601"/>
      <c r="J650" s="600"/>
      <c r="K650" s="599"/>
      <c r="L650" s="600"/>
      <c r="M650" s="601"/>
      <c r="N650" s="600"/>
      <c r="O650" s="599"/>
      <c r="P650" s="600"/>
      <c r="Q650" s="601"/>
      <c r="R650" s="600"/>
      <c r="S650" s="599"/>
      <c r="T650" s="600"/>
      <c r="U650" s="601"/>
      <c r="V650" s="600"/>
      <c r="W650" s="599"/>
      <c r="X650" s="600"/>
      <c r="Y650" s="601"/>
      <c r="Z650" s="600"/>
      <c r="AA650" s="599"/>
      <c r="AB650" s="600"/>
      <c r="AC650" s="601"/>
      <c r="AD650" s="600"/>
      <c r="AE650" s="599"/>
      <c r="AF650" s="600"/>
      <c r="AG650" s="601"/>
      <c r="AH650" s="600"/>
      <c r="AI650" s="599"/>
      <c r="AJ650" s="600"/>
      <c r="AK650" s="601"/>
      <c r="AL650" s="600"/>
      <c r="AM650" s="599"/>
      <c r="AN650" s="600"/>
      <c r="AO650" s="601"/>
      <c r="AP650" s="600"/>
      <c r="AQ650" s="599"/>
      <c r="AR650" s="600"/>
      <c r="AS650" s="601"/>
      <c r="AT650" s="600"/>
      <c r="AU650" s="599"/>
      <c r="AV650" s="600"/>
      <c r="AW650" s="601"/>
      <c r="AX650" s="600"/>
      <c r="AY650" s="599"/>
      <c r="AZ650" s="600"/>
      <c r="BA650" s="601"/>
      <c r="BB650" s="602">
        <v>0</v>
      </c>
      <c r="BC650" s="599"/>
      <c r="BD650" s="600">
        <v>0</v>
      </c>
      <c r="BE650" s="599"/>
      <c r="BF650" s="600">
        <v>0</v>
      </c>
      <c r="BG650" s="599"/>
      <c r="BH650" s="600">
        <v>0</v>
      </c>
      <c r="BI650" s="599"/>
      <c r="BJ650" s="600">
        <v>0</v>
      </c>
      <c r="BK650" s="615"/>
      <c r="BL650" s="600">
        <v>0</v>
      </c>
      <c r="BM650" s="604"/>
      <c r="BN650" s="605">
        <f t="shared" si="778"/>
        <v>0</v>
      </c>
      <c r="BO650" s="606">
        <f t="shared" si="779"/>
        <v>0</v>
      </c>
      <c r="BP650" s="607">
        <f t="shared" si="780"/>
        <v>0</v>
      </c>
      <c r="BQ650" s="606">
        <f t="shared" si="781"/>
        <v>0</v>
      </c>
      <c r="BR650" s="607">
        <f t="shared" si="782"/>
        <v>0</v>
      </c>
      <c r="BS650" s="606">
        <f t="shared" si="783"/>
        <v>0</v>
      </c>
      <c r="BT650" s="607">
        <f t="shared" si="784"/>
        <v>0</v>
      </c>
      <c r="BU650" s="606">
        <f t="shared" si="785"/>
        <v>0</v>
      </c>
      <c r="BV650" s="607">
        <f t="shared" si="786"/>
        <v>0</v>
      </c>
      <c r="BW650" s="608">
        <f t="shared" si="787"/>
        <v>0</v>
      </c>
      <c r="BX650" s="607">
        <f t="shared" si="788"/>
        <v>0</v>
      </c>
      <c r="BY650" s="608">
        <f t="shared" si="789"/>
        <v>0</v>
      </c>
      <c r="BZ650" s="607">
        <f t="shared" si="790"/>
        <v>0</v>
      </c>
      <c r="CA650" s="608">
        <f t="shared" si="791"/>
        <v>0</v>
      </c>
      <c r="CB650" s="607">
        <f t="shared" si="792"/>
        <v>0</v>
      </c>
      <c r="CC650" s="608">
        <f t="shared" si="793"/>
        <v>0</v>
      </c>
      <c r="CD650" s="607">
        <f t="shared" si="794"/>
        <v>0</v>
      </c>
      <c r="CE650" s="608">
        <f t="shared" si="795"/>
        <v>0</v>
      </c>
      <c r="CF650" s="607">
        <f t="shared" si="796"/>
        <v>0</v>
      </c>
      <c r="CG650" s="608">
        <f t="shared" si="797"/>
        <v>0</v>
      </c>
      <c r="CH650" s="607">
        <f t="shared" si="798"/>
        <v>0</v>
      </c>
      <c r="CI650" s="608">
        <f t="shared" si="799"/>
        <v>0</v>
      </c>
      <c r="CJ650" s="607">
        <f t="shared" si="800"/>
        <v>0</v>
      </c>
      <c r="CK650" s="608">
        <f t="shared" si="801"/>
        <v>0</v>
      </c>
      <c r="CL650" s="609">
        <f t="shared" si="802"/>
        <v>0</v>
      </c>
      <c r="CM650" s="608">
        <f t="shared" si="803"/>
        <v>0</v>
      </c>
      <c r="CN650" s="610">
        <f t="shared" si="804"/>
        <v>0</v>
      </c>
      <c r="CO650" s="606">
        <f t="shared" si="805"/>
        <v>0</v>
      </c>
      <c r="CP650" s="607">
        <f t="shared" si="806"/>
        <v>0</v>
      </c>
      <c r="CQ650" s="606">
        <f t="shared" si="807"/>
        <v>0</v>
      </c>
      <c r="CR650" s="607">
        <f t="shared" si="808"/>
        <v>0</v>
      </c>
      <c r="CS650" s="606">
        <f t="shared" si="809"/>
        <v>0</v>
      </c>
      <c r="CT650" s="607">
        <f t="shared" si="810"/>
        <v>0</v>
      </c>
      <c r="CU650" s="608">
        <f t="shared" si="811"/>
        <v>0</v>
      </c>
      <c r="CV650" s="610">
        <f t="shared" si="812"/>
        <v>0</v>
      </c>
      <c r="CW650" s="608">
        <f t="shared" si="813"/>
        <v>0</v>
      </c>
      <c r="CX650" s="610">
        <f t="shared" si="814"/>
        <v>0</v>
      </c>
      <c r="CY650" s="611">
        <f t="shared" si="815"/>
        <v>0</v>
      </c>
      <c r="CZ650" s="605">
        <f t="shared" si="816"/>
        <v>0</v>
      </c>
      <c r="DA650" s="612">
        <f t="shared" si="817"/>
        <v>0</v>
      </c>
      <c r="DB650" s="607">
        <f t="shared" si="818"/>
        <v>0</v>
      </c>
      <c r="DC650" s="606">
        <f t="shared" si="819"/>
        <v>0</v>
      </c>
      <c r="DD650" s="607">
        <f t="shared" si="820"/>
        <v>0</v>
      </c>
      <c r="DE650" s="606">
        <f t="shared" si="821"/>
        <v>0</v>
      </c>
      <c r="DF650" s="607">
        <f t="shared" si="822"/>
        <v>0</v>
      </c>
      <c r="DG650" s="606">
        <f t="shared" si="823"/>
        <v>0</v>
      </c>
      <c r="DH650" s="607">
        <f t="shared" si="824"/>
        <v>0</v>
      </c>
      <c r="DI650" s="608">
        <f t="shared" si="825"/>
        <v>0</v>
      </c>
      <c r="DJ650" s="607">
        <f t="shared" si="826"/>
        <v>0</v>
      </c>
      <c r="DK650" s="608">
        <f t="shared" si="827"/>
        <v>0</v>
      </c>
      <c r="DL650" s="607">
        <f t="shared" si="828"/>
        <v>0</v>
      </c>
      <c r="DM650" s="608">
        <f t="shared" si="829"/>
        <v>0</v>
      </c>
      <c r="DN650" s="607">
        <f t="shared" si="830"/>
        <v>0</v>
      </c>
      <c r="DO650" s="612">
        <f t="shared" si="831"/>
        <v>0</v>
      </c>
      <c r="DP650" s="607">
        <f t="shared" si="832"/>
        <v>0</v>
      </c>
      <c r="DQ650" s="606">
        <f t="shared" si="833"/>
        <v>0</v>
      </c>
      <c r="DR650" s="607">
        <f t="shared" si="834"/>
        <v>0</v>
      </c>
      <c r="DS650" s="606">
        <f t="shared" si="835"/>
        <v>0</v>
      </c>
      <c r="DT650" s="607">
        <f t="shared" si="836"/>
        <v>0</v>
      </c>
      <c r="DU650" s="606">
        <f t="shared" si="837"/>
        <v>0</v>
      </c>
      <c r="DV650" s="607">
        <f t="shared" si="838"/>
        <v>0</v>
      </c>
      <c r="DW650" s="608">
        <f t="shared" si="839"/>
        <v>0</v>
      </c>
      <c r="DX650" s="607">
        <f t="shared" si="840"/>
        <v>0</v>
      </c>
      <c r="DY650" s="608">
        <f t="shared" si="841"/>
        <v>0</v>
      </c>
      <c r="DZ650" s="607">
        <f t="shared" si="842"/>
        <v>0</v>
      </c>
      <c r="EA650" s="608">
        <f t="shared" si="843"/>
        <v>0</v>
      </c>
    </row>
    <row r="651" spans="1:131" x14ac:dyDescent="0.2">
      <c r="A651" s="473" t="s">
        <v>44</v>
      </c>
      <c r="B651" s="474" t="s">
        <v>1054</v>
      </c>
      <c r="C651" s="590"/>
      <c r="D651" s="507">
        <v>234377</v>
      </c>
      <c r="E651" s="500">
        <v>9</v>
      </c>
      <c r="F651" s="598"/>
      <c r="G651" s="599"/>
      <c r="H651" s="600"/>
      <c r="I651" s="601"/>
      <c r="J651" s="600"/>
      <c r="K651" s="599"/>
      <c r="L651" s="600"/>
      <c r="M651" s="601"/>
      <c r="N651" s="600"/>
      <c r="O651" s="599"/>
      <c r="P651" s="600"/>
      <c r="Q651" s="601"/>
      <c r="R651" s="600"/>
      <c r="S651" s="599"/>
      <c r="T651" s="600"/>
      <c r="U651" s="601"/>
      <c r="V651" s="600"/>
      <c r="W651" s="599"/>
      <c r="X651" s="600"/>
      <c r="Y651" s="601"/>
      <c r="Z651" s="600"/>
      <c r="AA651" s="599"/>
      <c r="AB651" s="600"/>
      <c r="AC651" s="601"/>
      <c r="AD651" s="600"/>
      <c r="AE651" s="599"/>
      <c r="AF651" s="600"/>
      <c r="AG651" s="601"/>
      <c r="AH651" s="600"/>
      <c r="AI651" s="599"/>
      <c r="AJ651" s="600"/>
      <c r="AK651" s="601"/>
      <c r="AL651" s="600"/>
      <c r="AM651" s="599"/>
      <c r="AN651" s="600"/>
      <c r="AO651" s="601"/>
      <c r="AP651" s="600"/>
      <c r="AQ651" s="599"/>
      <c r="AR651" s="600"/>
      <c r="AS651" s="601"/>
      <c r="AT651" s="600"/>
      <c r="AU651" s="599"/>
      <c r="AV651" s="600"/>
      <c r="AW651" s="601"/>
      <c r="AX651" s="600"/>
      <c r="AY651" s="599"/>
      <c r="AZ651" s="600"/>
      <c r="BA651" s="601"/>
      <c r="BB651" s="602">
        <v>0</v>
      </c>
      <c r="BC651" s="599"/>
      <c r="BD651" s="600">
        <v>0</v>
      </c>
      <c r="BE651" s="599"/>
      <c r="BF651" s="600">
        <v>0</v>
      </c>
      <c r="BG651" s="599"/>
      <c r="BH651" s="600">
        <v>0</v>
      </c>
      <c r="BI651" s="599"/>
      <c r="BJ651" s="600">
        <v>0</v>
      </c>
      <c r="BK651" s="615"/>
      <c r="BL651" s="600">
        <v>0</v>
      </c>
      <c r="BM651" s="604"/>
      <c r="BN651" s="605">
        <f t="shared" si="778"/>
        <v>0</v>
      </c>
      <c r="BO651" s="606">
        <f t="shared" si="779"/>
        <v>0</v>
      </c>
      <c r="BP651" s="607">
        <f t="shared" si="780"/>
        <v>0</v>
      </c>
      <c r="BQ651" s="606">
        <f t="shared" si="781"/>
        <v>0</v>
      </c>
      <c r="BR651" s="607">
        <f t="shared" si="782"/>
        <v>0</v>
      </c>
      <c r="BS651" s="606">
        <f t="shared" si="783"/>
        <v>0</v>
      </c>
      <c r="BT651" s="607">
        <f t="shared" si="784"/>
        <v>0</v>
      </c>
      <c r="BU651" s="606">
        <f t="shared" si="785"/>
        <v>0</v>
      </c>
      <c r="BV651" s="607">
        <f t="shared" si="786"/>
        <v>0</v>
      </c>
      <c r="BW651" s="608">
        <f t="shared" si="787"/>
        <v>0</v>
      </c>
      <c r="BX651" s="607">
        <f t="shared" si="788"/>
        <v>0</v>
      </c>
      <c r="BY651" s="608">
        <f t="shared" si="789"/>
        <v>0</v>
      </c>
      <c r="BZ651" s="607">
        <f t="shared" si="790"/>
        <v>0</v>
      </c>
      <c r="CA651" s="608">
        <f t="shared" si="791"/>
        <v>0</v>
      </c>
      <c r="CB651" s="607">
        <f t="shared" si="792"/>
        <v>0</v>
      </c>
      <c r="CC651" s="608">
        <f t="shared" si="793"/>
        <v>0</v>
      </c>
      <c r="CD651" s="607">
        <f t="shared" si="794"/>
        <v>0</v>
      </c>
      <c r="CE651" s="608">
        <f t="shared" si="795"/>
        <v>0</v>
      </c>
      <c r="CF651" s="607">
        <f t="shared" si="796"/>
        <v>0</v>
      </c>
      <c r="CG651" s="608">
        <f t="shared" si="797"/>
        <v>0</v>
      </c>
      <c r="CH651" s="607">
        <f t="shared" si="798"/>
        <v>0</v>
      </c>
      <c r="CI651" s="608">
        <f t="shared" si="799"/>
        <v>0</v>
      </c>
      <c r="CJ651" s="607">
        <f t="shared" si="800"/>
        <v>0</v>
      </c>
      <c r="CK651" s="608">
        <f t="shared" si="801"/>
        <v>0</v>
      </c>
      <c r="CL651" s="609">
        <f t="shared" si="802"/>
        <v>0</v>
      </c>
      <c r="CM651" s="608">
        <f t="shared" si="803"/>
        <v>0</v>
      </c>
      <c r="CN651" s="610">
        <f t="shared" si="804"/>
        <v>0</v>
      </c>
      <c r="CO651" s="606">
        <f t="shared" si="805"/>
        <v>0</v>
      </c>
      <c r="CP651" s="607">
        <f t="shared" si="806"/>
        <v>0</v>
      </c>
      <c r="CQ651" s="606">
        <f t="shared" si="807"/>
        <v>0</v>
      </c>
      <c r="CR651" s="607">
        <f t="shared" si="808"/>
        <v>0</v>
      </c>
      <c r="CS651" s="606">
        <f t="shared" si="809"/>
        <v>0</v>
      </c>
      <c r="CT651" s="607">
        <f t="shared" si="810"/>
        <v>0</v>
      </c>
      <c r="CU651" s="608">
        <f t="shared" si="811"/>
        <v>0</v>
      </c>
      <c r="CV651" s="610">
        <f t="shared" si="812"/>
        <v>0</v>
      </c>
      <c r="CW651" s="608">
        <f t="shared" si="813"/>
        <v>0</v>
      </c>
      <c r="CX651" s="610">
        <f t="shared" si="814"/>
        <v>0</v>
      </c>
      <c r="CY651" s="611">
        <f t="shared" si="815"/>
        <v>0</v>
      </c>
      <c r="CZ651" s="605">
        <f t="shared" si="816"/>
        <v>0</v>
      </c>
      <c r="DA651" s="612">
        <f t="shared" si="817"/>
        <v>0</v>
      </c>
      <c r="DB651" s="607">
        <f t="shared" si="818"/>
        <v>0</v>
      </c>
      <c r="DC651" s="606">
        <f t="shared" si="819"/>
        <v>0</v>
      </c>
      <c r="DD651" s="607">
        <f t="shared" si="820"/>
        <v>0</v>
      </c>
      <c r="DE651" s="606">
        <f t="shared" si="821"/>
        <v>0</v>
      </c>
      <c r="DF651" s="607">
        <f t="shared" si="822"/>
        <v>0</v>
      </c>
      <c r="DG651" s="606">
        <f t="shared" si="823"/>
        <v>0</v>
      </c>
      <c r="DH651" s="607">
        <f t="shared" si="824"/>
        <v>0</v>
      </c>
      <c r="DI651" s="608">
        <f t="shared" si="825"/>
        <v>0</v>
      </c>
      <c r="DJ651" s="607">
        <f t="shared" si="826"/>
        <v>0</v>
      </c>
      <c r="DK651" s="608">
        <f t="shared" si="827"/>
        <v>0</v>
      </c>
      <c r="DL651" s="607">
        <f t="shared" si="828"/>
        <v>0</v>
      </c>
      <c r="DM651" s="608">
        <f t="shared" si="829"/>
        <v>0</v>
      </c>
      <c r="DN651" s="607">
        <f t="shared" si="830"/>
        <v>0</v>
      </c>
      <c r="DO651" s="612">
        <f t="shared" si="831"/>
        <v>0</v>
      </c>
      <c r="DP651" s="607">
        <f t="shared" si="832"/>
        <v>0</v>
      </c>
      <c r="DQ651" s="606">
        <f t="shared" si="833"/>
        <v>0</v>
      </c>
      <c r="DR651" s="607">
        <f t="shared" si="834"/>
        <v>0</v>
      </c>
      <c r="DS651" s="606">
        <f t="shared" si="835"/>
        <v>0</v>
      </c>
      <c r="DT651" s="607">
        <f t="shared" si="836"/>
        <v>0</v>
      </c>
      <c r="DU651" s="606">
        <f t="shared" si="837"/>
        <v>0</v>
      </c>
      <c r="DV651" s="607">
        <f t="shared" si="838"/>
        <v>0</v>
      </c>
      <c r="DW651" s="608">
        <f t="shared" si="839"/>
        <v>0</v>
      </c>
      <c r="DX651" s="607">
        <f t="shared" si="840"/>
        <v>0</v>
      </c>
      <c r="DY651" s="608">
        <f t="shared" si="841"/>
        <v>0</v>
      </c>
      <c r="DZ651" s="607">
        <f t="shared" si="842"/>
        <v>0</v>
      </c>
      <c r="EA651" s="608">
        <f t="shared" si="843"/>
        <v>0</v>
      </c>
    </row>
    <row r="652" spans="1:131" x14ac:dyDescent="0.2">
      <c r="A652" s="473" t="s">
        <v>44</v>
      </c>
      <c r="B652" s="474" t="s">
        <v>1055</v>
      </c>
      <c r="C652" s="567"/>
      <c r="D652" s="507">
        <v>231873</v>
      </c>
      <c r="E652" s="496">
        <v>10</v>
      </c>
      <c r="F652" s="598"/>
      <c r="G652" s="599"/>
      <c r="H652" s="600"/>
      <c r="I652" s="601"/>
      <c r="J652" s="600"/>
      <c r="K652" s="599"/>
      <c r="L652" s="600"/>
      <c r="M652" s="601"/>
      <c r="N652" s="600"/>
      <c r="O652" s="599"/>
      <c r="P652" s="600"/>
      <c r="Q652" s="601"/>
      <c r="R652" s="600"/>
      <c r="S652" s="599"/>
      <c r="T652" s="600"/>
      <c r="U652" s="601"/>
      <c r="V652" s="600"/>
      <c r="W652" s="599"/>
      <c r="X652" s="600"/>
      <c r="Y652" s="601"/>
      <c r="Z652" s="600"/>
      <c r="AA652" s="599"/>
      <c r="AB652" s="600"/>
      <c r="AC652" s="601"/>
      <c r="AD652" s="600"/>
      <c r="AE652" s="599"/>
      <c r="AF652" s="600"/>
      <c r="AG652" s="601"/>
      <c r="AH652" s="600"/>
      <c r="AI652" s="599"/>
      <c r="AJ652" s="600"/>
      <c r="AK652" s="601"/>
      <c r="AL652" s="600"/>
      <c r="AM652" s="599"/>
      <c r="AN652" s="600"/>
      <c r="AO652" s="601"/>
      <c r="AP652" s="600"/>
      <c r="AQ652" s="599"/>
      <c r="AR652" s="600"/>
      <c r="AS652" s="601"/>
      <c r="AT652" s="600"/>
      <c r="AU652" s="599"/>
      <c r="AV652" s="600"/>
      <c r="AW652" s="601"/>
      <c r="AX652" s="600"/>
      <c r="AY652" s="599"/>
      <c r="AZ652" s="600"/>
      <c r="BA652" s="601"/>
      <c r="BB652" s="602">
        <v>0</v>
      </c>
      <c r="BC652" s="599"/>
      <c r="BD652" s="600">
        <v>0</v>
      </c>
      <c r="BE652" s="599"/>
      <c r="BF652" s="600">
        <v>0</v>
      </c>
      <c r="BG652" s="599"/>
      <c r="BH652" s="600">
        <v>0</v>
      </c>
      <c r="BI652" s="599"/>
      <c r="BJ652" s="600">
        <v>0</v>
      </c>
      <c r="BK652" s="615"/>
      <c r="BL652" s="600">
        <v>0</v>
      </c>
      <c r="BM652" s="604"/>
      <c r="BN652" s="605">
        <f t="shared" si="778"/>
        <v>0</v>
      </c>
      <c r="BO652" s="606">
        <f t="shared" si="779"/>
        <v>0</v>
      </c>
      <c r="BP652" s="607">
        <f t="shared" si="780"/>
        <v>0</v>
      </c>
      <c r="BQ652" s="606">
        <f t="shared" si="781"/>
        <v>0</v>
      </c>
      <c r="BR652" s="607">
        <f t="shared" si="782"/>
        <v>0</v>
      </c>
      <c r="BS652" s="606">
        <f t="shared" si="783"/>
        <v>0</v>
      </c>
      <c r="BT652" s="607">
        <f t="shared" si="784"/>
        <v>0</v>
      </c>
      <c r="BU652" s="606">
        <f t="shared" si="785"/>
        <v>0</v>
      </c>
      <c r="BV652" s="607">
        <f t="shared" si="786"/>
        <v>0</v>
      </c>
      <c r="BW652" s="608">
        <f t="shared" si="787"/>
        <v>0</v>
      </c>
      <c r="BX652" s="607">
        <f t="shared" si="788"/>
        <v>0</v>
      </c>
      <c r="BY652" s="608">
        <f t="shared" si="789"/>
        <v>0</v>
      </c>
      <c r="BZ652" s="607">
        <f t="shared" si="790"/>
        <v>0</v>
      </c>
      <c r="CA652" s="608">
        <f t="shared" si="791"/>
        <v>0</v>
      </c>
      <c r="CB652" s="607">
        <f t="shared" si="792"/>
        <v>0</v>
      </c>
      <c r="CC652" s="608">
        <f t="shared" si="793"/>
        <v>0</v>
      </c>
      <c r="CD652" s="607">
        <f t="shared" si="794"/>
        <v>0</v>
      </c>
      <c r="CE652" s="608">
        <f t="shared" si="795"/>
        <v>0</v>
      </c>
      <c r="CF652" s="607">
        <f t="shared" si="796"/>
        <v>0</v>
      </c>
      <c r="CG652" s="608">
        <f t="shared" si="797"/>
        <v>0</v>
      </c>
      <c r="CH652" s="607">
        <f t="shared" si="798"/>
        <v>0</v>
      </c>
      <c r="CI652" s="608">
        <f t="shared" si="799"/>
        <v>0</v>
      </c>
      <c r="CJ652" s="607">
        <f t="shared" si="800"/>
        <v>0</v>
      </c>
      <c r="CK652" s="608">
        <f t="shared" si="801"/>
        <v>0</v>
      </c>
      <c r="CL652" s="609">
        <f t="shared" si="802"/>
        <v>0</v>
      </c>
      <c r="CM652" s="608">
        <f t="shared" si="803"/>
        <v>0</v>
      </c>
      <c r="CN652" s="610">
        <f t="shared" si="804"/>
        <v>0</v>
      </c>
      <c r="CO652" s="606">
        <f t="shared" si="805"/>
        <v>0</v>
      </c>
      <c r="CP652" s="607">
        <f t="shared" si="806"/>
        <v>0</v>
      </c>
      <c r="CQ652" s="606">
        <f t="shared" si="807"/>
        <v>0</v>
      </c>
      <c r="CR652" s="607">
        <f t="shared" si="808"/>
        <v>0</v>
      </c>
      <c r="CS652" s="606">
        <f t="shared" si="809"/>
        <v>0</v>
      </c>
      <c r="CT652" s="607">
        <f t="shared" si="810"/>
        <v>0</v>
      </c>
      <c r="CU652" s="608">
        <f t="shared" si="811"/>
        <v>0</v>
      </c>
      <c r="CV652" s="610">
        <f t="shared" si="812"/>
        <v>0</v>
      </c>
      <c r="CW652" s="608">
        <f t="shared" si="813"/>
        <v>0</v>
      </c>
      <c r="CX652" s="610">
        <f t="shared" si="814"/>
        <v>0</v>
      </c>
      <c r="CY652" s="611">
        <f t="shared" si="815"/>
        <v>0</v>
      </c>
      <c r="CZ652" s="605">
        <f t="shared" si="816"/>
        <v>0</v>
      </c>
      <c r="DA652" s="612">
        <f t="shared" si="817"/>
        <v>0</v>
      </c>
      <c r="DB652" s="607">
        <f t="shared" si="818"/>
        <v>0</v>
      </c>
      <c r="DC652" s="606">
        <f t="shared" si="819"/>
        <v>0</v>
      </c>
      <c r="DD652" s="607">
        <f t="shared" si="820"/>
        <v>0</v>
      </c>
      <c r="DE652" s="606">
        <f t="shared" si="821"/>
        <v>0</v>
      </c>
      <c r="DF652" s="607">
        <f t="shared" si="822"/>
        <v>0</v>
      </c>
      <c r="DG652" s="606">
        <f t="shared" si="823"/>
        <v>0</v>
      </c>
      <c r="DH652" s="607">
        <f t="shared" si="824"/>
        <v>0</v>
      </c>
      <c r="DI652" s="608">
        <f t="shared" si="825"/>
        <v>0</v>
      </c>
      <c r="DJ652" s="607">
        <f t="shared" si="826"/>
        <v>0</v>
      </c>
      <c r="DK652" s="608">
        <f t="shared" si="827"/>
        <v>0</v>
      </c>
      <c r="DL652" s="607">
        <f t="shared" si="828"/>
        <v>0</v>
      </c>
      <c r="DM652" s="608">
        <f t="shared" si="829"/>
        <v>0</v>
      </c>
      <c r="DN652" s="607">
        <f t="shared" si="830"/>
        <v>0</v>
      </c>
      <c r="DO652" s="612">
        <f t="shared" si="831"/>
        <v>0</v>
      </c>
      <c r="DP652" s="607">
        <f t="shared" si="832"/>
        <v>0</v>
      </c>
      <c r="DQ652" s="606">
        <f t="shared" si="833"/>
        <v>0</v>
      </c>
      <c r="DR652" s="607">
        <f t="shared" si="834"/>
        <v>0</v>
      </c>
      <c r="DS652" s="606">
        <f t="shared" si="835"/>
        <v>0</v>
      </c>
      <c r="DT652" s="607">
        <f t="shared" si="836"/>
        <v>0</v>
      </c>
      <c r="DU652" s="606">
        <f t="shared" si="837"/>
        <v>0</v>
      </c>
      <c r="DV652" s="607">
        <f t="shared" si="838"/>
        <v>0</v>
      </c>
      <c r="DW652" s="608">
        <f t="shared" si="839"/>
        <v>0</v>
      </c>
      <c r="DX652" s="607">
        <f t="shared" si="840"/>
        <v>0</v>
      </c>
      <c r="DY652" s="608">
        <f t="shared" si="841"/>
        <v>0</v>
      </c>
      <c r="DZ652" s="607">
        <f t="shared" si="842"/>
        <v>0</v>
      </c>
      <c r="EA652" s="608">
        <f t="shared" si="843"/>
        <v>0</v>
      </c>
    </row>
    <row r="653" spans="1:131" x14ac:dyDescent="0.2">
      <c r="A653" s="473" t="s">
        <v>44</v>
      </c>
      <c r="B653" s="478" t="s">
        <v>1056</v>
      </c>
      <c r="C653" s="567"/>
      <c r="D653" s="507">
        <v>232052</v>
      </c>
      <c r="E653" s="496">
        <v>10</v>
      </c>
      <c r="F653" s="598"/>
      <c r="G653" s="599"/>
      <c r="H653" s="600"/>
      <c r="I653" s="601"/>
      <c r="J653" s="600"/>
      <c r="K653" s="599"/>
      <c r="L653" s="600"/>
      <c r="M653" s="601"/>
      <c r="N653" s="600"/>
      <c r="O653" s="599"/>
      <c r="P653" s="600"/>
      <c r="Q653" s="601"/>
      <c r="R653" s="600"/>
      <c r="S653" s="599"/>
      <c r="T653" s="600"/>
      <c r="U653" s="601"/>
      <c r="V653" s="600"/>
      <c r="W653" s="599"/>
      <c r="X653" s="600"/>
      <c r="Y653" s="601"/>
      <c r="Z653" s="600"/>
      <c r="AA653" s="599"/>
      <c r="AB653" s="600"/>
      <c r="AC653" s="601"/>
      <c r="AD653" s="600"/>
      <c r="AE653" s="599"/>
      <c r="AF653" s="600"/>
      <c r="AG653" s="601"/>
      <c r="AH653" s="600"/>
      <c r="AI653" s="599"/>
      <c r="AJ653" s="600"/>
      <c r="AK653" s="601"/>
      <c r="AL653" s="600"/>
      <c r="AM653" s="599"/>
      <c r="AN653" s="600"/>
      <c r="AO653" s="601"/>
      <c r="AP653" s="600"/>
      <c r="AQ653" s="599"/>
      <c r="AR653" s="600"/>
      <c r="AS653" s="601"/>
      <c r="AT653" s="600"/>
      <c r="AU653" s="599"/>
      <c r="AV653" s="600"/>
      <c r="AW653" s="601"/>
      <c r="AX653" s="600"/>
      <c r="AY653" s="599"/>
      <c r="AZ653" s="600"/>
      <c r="BA653" s="601"/>
      <c r="BB653" s="602">
        <v>0</v>
      </c>
      <c r="BC653" s="599"/>
      <c r="BD653" s="600">
        <v>0</v>
      </c>
      <c r="BE653" s="599"/>
      <c r="BF653" s="600">
        <v>0</v>
      </c>
      <c r="BG653" s="599"/>
      <c r="BH653" s="600">
        <v>0</v>
      </c>
      <c r="BI653" s="599"/>
      <c r="BJ653" s="600">
        <v>0</v>
      </c>
      <c r="BK653" s="615"/>
      <c r="BL653" s="600">
        <v>0</v>
      </c>
      <c r="BM653" s="604"/>
      <c r="BN653" s="605">
        <f t="shared" si="778"/>
        <v>0</v>
      </c>
      <c r="BO653" s="606">
        <f t="shared" si="779"/>
        <v>0</v>
      </c>
      <c r="BP653" s="607">
        <f t="shared" si="780"/>
        <v>0</v>
      </c>
      <c r="BQ653" s="606">
        <f t="shared" si="781"/>
        <v>0</v>
      </c>
      <c r="BR653" s="607">
        <f t="shared" si="782"/>
        <v>0</v>
      </c>
      <c r="BS653" s="606">
        <f t="shared" si="783"/>
        <v>0</v>
      </c>
      <c r="BT653" s="607">
        <f t="shared" si="784"/>
        <v>0</v>
      </c>
      <c r="BU653" s="606">
        <f t="shared" si="785"/>
        <v>0</v>
      </c>
      <c r="BV653" s="607">
        <f t="shared" si="786"/>
        <v>0</v>
      </c>
      <c r="BW653" s="608">
        <f t="shared" si="787"/>
        <v>0</v>
      </c>
      <c r="BX653" s="607">
        <f t="shared" si="788"/>
        <v>0</v>
      </c>
      <c r="BY653" s="608">
        <f t="shared" si="789"/>
        <v>0</v>
      </c>
      <c r="BZ653" s="607">
        <f t="shared" si="790"/>
        <v>0</v>
      </c>
      <c r="CA653" s="608">
        <f t="shared" si="791"/>
        <v>0</v>
      </c>
      <c r="CB653" s="607">
        <f t="shared" si="792"/>
        <v>0</v>
      </c>
      <c r="CC653" s="608">
        <f t="shared" si="793"/>
        <v>0</v>
      </c>
      <c r="CD653" s="607">
        <f t="shared" si="794"/>
        <v>0</v>
      </c>
      <c r="CE653" s="608">
        <f t="shared" si="795"/>
        <v>0</v>
      </c>
      <c r="CF653" s="607">
        <f t="shared" si="796"/>
        <v>0</v>
      </c>
      <c r="CG653" s="608">
        <f t="shared" si="797"/>
        <v>0</v>
      </c>
      <c r="CH653" s="607">
        <f t="shared" si="798"/>
        <v>0</v>
      </c>
      <c r="CI653" s="608">
        <f t="shared" si="799"/>
        <v>0</v>
      </c>
      <c r="CJ653" s="607">
        <f t="shared" si="800"/>
        <v>0</v>
      </c>
      <c r="CK653" s="608">
        <f t="shared" si="801"/>
        <v>0</v>
      </c>
      <c r="CL653" s="609">
        <f t="shared" si="802"/>
        <v>0</v>
      </c>
      <c r="CM653" s="608">
        <f t="shared" si="803"/>
        <v>0</v>
      </c>
      <c r="CN653" s="610">
        <f t="shared" si="804"/>
        <v>0</v>
      </c>
      <c r="CO653" s="606">
        <f t="shared" si="805"/>
        <v>0</v>
      </c>
      <c r="CP653" s="607">
        <f t="shared" si="806"/>
        <v>0</v>
      </c>
      <c r="CQ653" s="606">
        <f t="shared" si="807"/>
        <v>0</v>
      </c>
      <c r="CR653" s="607">
        <f t="shared" si="808"/>
        <v>0</v>
      </c>
      <c r="CS653" s="606">
        <f t="shared" si="809"/>
        <v>0</v>
      </c>
      <c r="CT653" s="607">
        <f t="shared" si="810"/>
        <v>0</v>
      </c>
      <c r="CU653" s="608">
        <f t="shared" si="811"/>
        <v>0</v>
      </c>
      <c r="CV653" s="610">
        <f t="shared" si="812"/>
        <v>0</v>
      </c>
      <c r="CW653" s="608">
        <f t="shared" si="813"/>
        <v>0</v>
      </c>
      <c r="CX653" s="610">
        <f t="shared" si="814"/>
        <v>0</v>
      </c>
      <c r="CY653" s="611">
        <f t="shared" si="815"/>
        <v>0</v>
      </c>
      <c r="CZ653" s="605">
        <f t="shared" si="816"/>
        <v>0</v>
      </c>
      <c r="DA653" s="612">
        <f t="shared" si="817"/>
        <v>0</v>
      </c>
      <c r="DB653" s="607">
        <f t="shared" si="818"/>
        <v>0</v>
      </c>
      <c r="DC653" s="606">
        <f t="shared" si="819"/>
        <v>0</v>
      </c>
      <c r="DD653" s="607">
        <f t="shared" si="820"/>
        <v>0</v>
      </c>
      <c r="DE653" s="606">
        <f t="shared" si="821"/>
        <v>0</v>
      </c>
      <c r="DF653" s="607">
        <f t="shared" si="822"/>
        <v>0</v>
      </c>
      <c r="DG653" s="606">
        <f t="shared" si="823"/>
        <v>0</v>
      </c>
      <c r="DH653" s="607">
        <f t="shared" si="824"/>
        <v>0</v>
      </c>
      <c r="DI653" s="608">
        <f t="shared" si="825"/>
        <v>0</v>
      </c>
      <c r="DJ653" s="607">
        <f t="shared" si="826"/>
        <v>0</v>
      </c>
      <c r="DK653" s="608">
        <f t="shared" si="827"/>
        <v>0</v>
      </c>
      <c r="DL653" s="607">
        <f t="shared" si="828"/>
        <v>0</v>
      </c>
      <c r="DM653" s="608">
        <f t="shared" si="829"/>
        <v>0</v>
      </c>
      <c r="DN653" s="607">
        <f t="shared" si="830"/>
        <v>0</v>
      </c>
      <c r="DO653" s="612">
        <f t="shared" si="831"/>
        <v>0</v>
      </c>
      <c r="DP653" s="607">
        <f t="shared" si="832"/>
        <v>0</v>
      </c>
      <c r="DQ653" s="606">
        <f t="shared" si="833"/>
        <v>0</v>
      </c>
      <c r="DR653" s="607">
        <f t="shared" si="834"/>
        <v>0</v>
      </c>
      <c r="DS653" s="606">
        <f t="shared" si="835"/>
        <v>0</v>
      </c>
      <c r="DT653" s="607">
        <f t="shared" si="836"/>
        <v>0</v>
      </c>
      <c r="DU653" s="606">
        <f t="shared" si="837"/>
        <v>0</v>
      </c>
      <c r="DV653" s="607">
        <f t="shared" si="838"/>
        <v>0</v>
      </c>
      <c r="DW653" s="608">
        <f t="shared" si="839"/>
        <v>0</v>
      </c>
      <c r="DX653" s="607">
        <f t="shared" si="840"/>
        <v>0</v>
      </c>
      <c r="DY653" s="608">
        <f t="shared" si="841"/>
        <v>0</v>
      </c>
      <c r="DZ653" s="607">
        <f t="shared" si="842"/>
        <v>0</v>
      </c>
      <c r="EA653" s="608">
        <f t="shared" si="843"/>
        <v>0</v>
      </c>
    </row>
    <row r="654" spans="1:131" x14ac:dyDescent="0.2">
      <c r="A654" s="473" t="s">
        <v>44</v>
      </c>
      <c r="B654" s="474" t="s">
        <v>1057</v>
      </c>
      <c r="C654" s="591" t="s">
        <v>549</v>
      </c>
      <c r="D654" s="507">
        <v>232788</v>
      </c>
      <c r="E654" s="509">
        <v>9</v>
      </c>
      <c r="F654" s="598"/>
      <c r="G654" s="599"/>
      <c r="H654" s="600"/>
      <c r="I654" s="601"/>
      <c r="J654" s="600"/>
      <c r="K654" s="599"/>
      <c r="L654" s="600"/>
      <c r="M654" s="601"/>
      <c r="N654" s="600"/>
      <c r="O654" s="599"/>
      <c r="P654" s="600"/>
      <c r="Q654" s="601"/>
      <c r="R654" s="600"/>
      <c r="S654" s="599"/>
      <c r="T654" s="600"/>
      <c r="U654" s="601"/>
      <c r="V654" s="600"/>
      <c r="W654" s="599"/>
      <c r="X654" s="600"/>
      <c r="Y654" s="601"/>
      <c r="Z654" s="600"/>
      <c r="AA654" s="599"/>
      <c r="AB654" s="600"/>
      <c r="AC654" s="601"/>
      <c r="AD654" s="600"/>
      <c r="AE654" s="599"/>
      <c r="AF654" s="600"/>
      <c r="AG654" s="601"/>
      <c r="AH654" s="600"/>
      <c r="AI654" s="599"/>
      <c r="AJ654" s="600"/>
      <c r="AK654" s="601"/>
      <c r="AL654" s="600"/>
      <c r="AM654" s="599"/>
      <c r="AN654" s="600"/>
      <c r="AO654" s="601"/>
      <c r="AP654" s="600"/>
      <c r="AQ654" s="599"/>
      <c r="AR654" s="600"/>
      <c r="AS654" s="601"/>
      <c r="AT654" s="600"/>
      <c r="AU654" s="599"/>
      <c r="AV654" s="600"/>
      <c r="AW654" s="601"/>
      <c r="AX654" s="600"/>
      <c r="AY654" s="599"/>
      <c r="AZ654" s="600"/>
      <c r="BA654" s="601"/>
      <c r="BB654" s="602">
        <v>0</v>
      </c>
      <c r="BC654" s="599"/>
      <c r="BD654" s="600">
        <v>0</v>
      </c>
      <c r="BE654" s="599"/>
      <c r="BF654" s="600">
        <v>0</v>
      </c>
      <c r="BG654" s="599"/>
      <c r="BH654" s="600">
        <v>0</v>
      </c>
      <c r="BI654" s="599"/>
      <c r="BJ654" s="600">
        <v>0</v>
      </c>
      <c r="BK654" s="615"/>
      <c r="BL654" s="600">
        <v>0</v>
      </c>
      <c r="BM654" s="604"/>
      <c r="BN654" s="605">
        <f t="shared" si="778"/>
        <v>0</v>
      </c>
      <c r="BO654" s="606">
        <f t="shared" si="779"/>
        <v>0</v>
      </c>
      <c r="BP654" s="607">
        <f t="shared" si="780"/>
        <v>0</v>
      </c>
      <c r="BQ654" s="606">
        <f t="shared" si="781"/>
        <v>0</v>
      </c>
      <c r="BR654" s="607">
        <f t="shared" si="782"/>
        <v>0</v>
      </c>
      <c r="BS654" s="606">
        <f t="shared" si="783"/>
        <v>0</v>
      </c>
      <c r="BT654" s="607">
        <f t="shared" si="784"/>
        <v>0</v>
      </c>
      <c r="BU654" s="606">
        <f t="shared" si="785"/>
        <v>0</v>
      </c>
      <c r="BV654" s="607">
        <f t="shared" si="786"/>
        <v>0</v>
      </c>
      <c r="BW654" s="608">
        <f t="shared" si="787"/>
        <v>0</v>
      </c>
      <c r="BX654" s="607">
        <f t="shared" si="788"/>
        <v>0</v>
      </c>
      <c r="BY654" s="608">
        <f t="shared" si="789"/>
        <v>0</v>
      </c>
      <c r="BZ654" s="607">
        <f t="shared" si="790"/>
        <v>0</v>
      </c>
      <c r="CA654" s="608">
        <f t="shared" si="791"/>
        <v>0</v>
      </c>
      <c r="CB654" s="607">
        <f t="shared" si="792"/>
        <v>0</v>
      </c>
      <c r="CC654" s="608">
        <f t="shared" si="793"/>
        <v>0</v>
      </c>
      <c r="CD654" s="607">
        <f t="shared" si="794"/>
        <v>0</v>
      </c>
      <c r="CE654" s="608">
        <f t="shared" si="795"/>
        <v>0</v>
      </c>
      <c r="CF654" s="607">
        <f t="shared" si="796"/>
        <v>0</v>
      </c>
      <c r="CG654" s="608">
        <f t="shared" si="797"/>
        <v>0</v>
      </c>
      <c r="CH654" s="607">
        <f t="shared" si="798"/>
        <v>0</v>
      </c>
      <c r="CI654" s="608">
        <f t="shared" si="799"/>
        <v>0</v>
      </c>
      <c r="CJ654" s="607">
        <f t="shared" si="800"/>
        <v>0</v>
      </c>
      <c r="CK654" s="608">
        <f t="shared" si="801"/>
        <v>0</v>
      </c>
      <c r="CL654" s="609">
        <f t="shared" si="802"/>
        <v>0</v>
      </c>
      <c r="CM654" s="608">
        <f t="shared" si="803"/>
        <v>0</v>
      </c>
      <c r="CN654" s="610">
        <f t="shared" si="804"/>
        <v>0</v>
      </c>
      <c r="CO654" s="606">
        <f t="shared" si="805"/>
        <v>0</v>
      </c>
      <c r="CP654" s="607">
        <f t="shared" si="806"/>
        <v>0</v>
      </c>
      <c r="CQ654" s="606">
        <f t="shared" si="807"/>
        <v>0</v>
      </c>
      <c r="CR654" s="607">
        <f t="shared" si="808"/>
        <v>0</v>
      </c>
      <c r="CS654" s="606">
        <f t="shared" si="809"/>
        <v>0</v>
      </c>
      <c r="CT654" s="607">
        <f t="shared" si="810"/>
        <v>0</v>
      </c>
      <c r="CU654" s="608">
        <f t="shared" si="811"/>
        <v>0</v>
      </c>
      <c r="CV654" s="610">
        <f t="shared" si="812"/>
        <v>0</v>
      </c>
      <c r="CW654" s="608">
        <f t="shared" si="813"/>
        <v>0</v>
      </c>
      <c r="CX654" s="610">
        <f t="shared" si="814"/>
        <v>0</v>
      </c>
      <c r="CY654" s="611">
        <f t="shared" si="815"/>
        <v>0</v>
      </c>
      <c r="CZ654" s="605">
        <f t="shared" si="816"/>
        <v>0</v>
      </c>
      <c r="DA654" s="612">
        <f t="shared" si="817"/>
        <v>0</v>
      </c>
      <c r="DB654" s="607">
        <f t="shared" si="818"/>
        <v>0</v>
      </c>
      <c r="DC654" s="606">
        <f t="shared" si="819"/>
        <v>0</v>
      </c>
      <c r="DD654" s="607">
        <f t="shared" si="820"/>
        <v>0</v>
      </c>
      <c r="DE654" s="606">
        <f t="shared" si="821"/>
        <v>0</v>
      </c>
      <c r="DF654" s="607">
        <f t="shared" si="822"/>
        <v>0</v>
      </c>
      <c r="DG654" s="606">
        <f t="shared" si="823"/>
        <v>0</v>
      </c>
      <c r="DH654" s="607">
        <f t="shared" si="824"/>
        <v>0</v>
      </c>
      <c r="DI654" s="608">
        <f t="shared" si="825"/>
        <v>0</v>
      </c>
      <c r="DJ654" s="607">
        <f t="shared" si="826"/>
        <v>0</v>
      </c>
      <c r="DK654" s="608">
        <f t="shared" si="827"/>
        <v>0</v>
      </c>
      <c r="DL654" s="607">
        <f t="shared" si="828"/>
        <v>0</v>
      </c>
      <c r="DM654" s="608">
        <f t="shared" si="829"/>
        <v>0</v>
      </c>
      <c r="DN654" s="607">
        <f t="shared" si="830"/>
        <v>0</v>
      </c>
      <c r="DO654" s="612">
        <f t="shared" si="831"/>
        <v>0</v>
      </c>
      <c r="DP654" s="607">
        <f t="shared" si="832"/>
        <v>0</v>
      </c>
      <c r="DQ654" s="606">
        <f t="shared" si="833"/>
        <v>0</v>
      </c>
      <c r="DR654" s="607">
        <f t="shared" si="834"/>
        <v>0</v>
      </c>
      <c r="DS654" s="606">
        <f t="shared" si="835"/>
        <v>0</v>
      </c>
      <c r="DT654" s="607">
        <f t="shared" si="836"/>
        <v>0</v>
      </c>
      <c r="DU654" s="606">
        <f t="shared" si="837"/>
        <v>0</v>
      </c>
      <c r="DV654" s="607">
        <f t="shared" si="838"/>
        <v>0</v>
      </c>
      <c r="DW654" s="608">
        <f t="shared" si="839"/>
        <v>0</v>
      </c>
      <c r="DX654" s="607">
        <f t="shared" si="840"/>
        <v>0</v>
      </c>
      <c r="DY654" s="608">
        <f t="shared" si="841"/>
        <v>0</v>
      </c>
      <c r="DZ654" s="607">
        <f t="shared" si="842"/>
        <v>0</v>
      </c>
      <c r="EA654" s="608">
        <f t="shared" si="843"/>
        <v>0</v>
      </c>
    </row>
    <row r="655" spans="1:131" x14ac:dyDescent="0.2">
      <c r="A655" s="473" t="s">
        <v>44</v>
      </c>
      <c r="B655" s="478" t="s">
        <v>1058</v>
      </c>
      <c r="C655" s="567"/>
      <c r="D655" s="507">
        <v>233037</v>
      </c>
      <c r="E655" s="496">
        <v>10</v>
      </c>
      <c r="F655" s="598"/>
      <c r="G655" s="599"/>
      <c r="H655" s="600"/>
      <c r="I655" s="601"/>
      <c r="J655" s="600"/>
      <c r="K655" s="599"/>
      <c r="L655" s="600"/>
      <c r="M655" s="601"/>
      <c r="N655" s="600"/>
      <c r="O655" s="599"/>
      <c r="P655" s="600"/>
      <c r="Q655" s="601"/>
      <c r="R655" s="600"/>
      <c r="S655" s="599"/>
      <c r="T655" s="600"/>
      <c r="U655" s="601"/>
      <c r="V655" s="600"/>
      <c r="W655" s="599"/>
      <c r="X655" s="600"/>
      <c r="Y655" s="601"/>
      <c r="Z655" s="600"/>
      <c r="AA655" s="599"/>
      <c r="AB655" s="600"/>
      <c r="AC655" s="601"/>
      <c r="AD655" s="600"/>
      <c r="AE655" s="599"/>
      <c r="AF655" s="600"/>
      <c r="AG655" s="601"/>
      <c r="AH655" s="600"/>
      <c r="AI655" s="599"/>
      <c r="AJ655" s="600"/>
      <c r="AK655" s="601"/>
      <c r="AL655" s="600"/>
      <c r="AM655" s="599"/>
      <c r="AN655" s="600"/>
      <c r="AO655" s="601"/>
      <c r="AP655" s="600"/>
      <c r="AQ655" s="599"/>
      <c r="AR655" s="600"/>
      <c r="AS655" s="601"/>
      <c r="AT655" s="600"/>
      <c r="AU655" s="599"/>
      <c r="AV655" s="600"/>
      <c r="AW655" s="601"/>
      <c r="AX655" s="600"/>
      <c r="AY655" s="599"/>
      <c r="AZ655" s="600"/>
      <c r="BA655" s="601"/>
      <c r="BB655" s="602">
        <v>0</v>
      </c>
      <c r="BC655" s="599"/>
      <c r="BD655" s="600">
        <v>0</v>
      </c>
      <c r="BE655" s="599"/>
      <c r="BF655" s="600">
        <v>0</v>
      </c>
      <c r="BG655" s="599"/>
      <c r="BH655" s="600">
        <v>0</v>
      </c>
      <c r="BI655" s="599"/>
      <c r="BJ655" s="600">
        <v>0</v>
      </c>
      <c r="BK655" s="615"/>
      <c r="BL655" s="600">
        <v>0</v>
      </c>
      <c r="BM655" s="604"/>
      <c r="BN655" s="605">
        <f t="shared" si="778"/>
        <v>0</v>
      </c>
      <c r="BO655" s="606">
        <f t="shared" si="779"/>
        <v>0</v>
      </c>
      <c r="BP655" s="607">
        <f t="shared" si="780"/>
        <v>0</v>
      </c>
      <c r="BQ655" s="606">
        <f t="shared" si="781"/>
        <v>0</v>
      </c>
      <c r="BR655" s="607">
        <f t="shared" si="782"/>
        <v>0</v>
      </c>
      <c r="BS655" s="606">
        <f t="shared" si="783"/>
        <v>0</v>
      </c>
      <c r="BT655" s="607">
        <f t="shared" si="784"/>
        <v>0</v>
      </c>
      <c r="BU655" s="606">
        <f t="shared" si="785"/>
        <v>0</v>
      </c>
      <c r="BV655" s="607">
        <f t="shared" si="786"/>
        <v>0</v>
      </c>
      <c r="BW655" s="608">
        <f t="shared" si="787"/>
        <v>0</v>
      </c>
      <c r="BX655" s="607">
        <f t="shared" si="788"/>
        <v>0</v>
      </c>
      <c r="BY655" s="608">
        <f t="shared" si="789"/>
        <v>0</v>
      </c>
      <c r="BZ655" s="607">
        <f t="shared" si="790"/>
        <v>0</v>
      </c>
      <c r="CA655" s="608">
        <f t="shared" si="791"/>
        <v>0</v>
      </c>
      <c r="CB655" s="607">
        <f t="shared" si="792"/>
        <v>0</v>
      </c>
      <c r="CC655" s="608">
        <f t="shared" si="793"/>
        <v>0</v>
      </c>
      <c r="CD655" s="607">
        <f t="shared" si="794"/>
        <v>0</v>
      </c>
      <c r="CE655" s="608">
        <f t="shared" si="795"/>
        <v>0</v>
      </c>
      <c r="CF655" s="607">
        <f t="shared" si="796"/>
        <v>0</v>
      </c>
      <c r="CG655" s="608">
        <f t="shared" si="797"/>
        <v>0</v>
      </c>
      <c r="CH655" s="607">
        <f t="shared" si="798"/>
        <v>0</v>
      </c>
      <c r="CI655" s="608">
        <f t="shared" si="799"/>
        <v>0</v>
      </c>
      <c r="CJ655" s="607">
        <f t="shared" si="800"/>
        <v>0</v>
      </c>
      <c r="CK655" s="608">
        <f t="shared" si="801"/>
        <v>0</v>
      </c>
      <c r="CL655" s="609">
        <f t="shared" si="802"/>
        <v>0</v>
      </c>
      <c r="CM655" s="608">
        <f t="shared" si="803"/>
        <v>0</v>
      </c>
      <c r="CN655" s="610">
        <f t="shared" si="804"/>
        <v>0</v>
      </c>
      <c r="CO655" s="606">
        <f t="shared" si="805"/>
        <v>0</v>
      </c>
      <c r="CP655" s="607">
        <f t="shared" si="806"/>
        <v>0</v>
      </c>
      <c r="CQ655" s="606">
        <f t="shared" si="807"/>
        <v>0</v>
      </c>
      <c r="CR655" s="607">
        <f t="shared" si="808"/>
        <v>0</v>
      </c>
      <c r="CS655" s="606">
        <f t="shared" si="809"/>
        <v>0</v>
      </c>
      <c r="CT655" s="607">
        <f t="shared" si="810"/>
        <v>0</v>
      </c>
      <c r="CU655" s="608">
        <f t="shared" si="811"/>
        <v>0</v>
      </c>
      <c r="CV655" s="610">
        <f t="shared" si="812"/>
        <v>0</v>
      </c>
      <c r="CW655" s="608">
        <f t="shared" si="813"/>
        <v>0</v>
      </c>
      <c r="CX655" s="610">
        <f t="shared" si="814"/>
        <v>0</v>
      </c>
      <c r="CY655" s="611">
        <f t="shared" si="815"/>
        <v>0</v>
      </c>
      <c r="CZ655" s="605">
        <f t="shared" si="816"/>
        <v>0</v>
      </c>
      <c r="DA655" s="612">
        <f t="shared" si="817"/>
        <v>0</v>
      </c>
      <c r="DB655" s="607">
        <f t="shared" si="818"/>
        <v>0</v>
      </c>
      <c r="DC655" s="606">
        <f t="shared" si="819"/>
        <v>0</v>
      </c>
      <c r="DD655" s="607">
        <f t="shared" si="820"/>
        <v>0</v>
      </c>
      <c r="DE655" s="606">
        <f t="shared" si="821"/>
        <v>0</v>
      </c>
      <c r="DF655" s="607">
        <f t="shared" si="822"/>
        <v>0</v>
      </c>
      <c r="DG655" s="606">
        <f t="shared" si="823"/>
        <v>0</v>
      </c>
      <c r="DH655" s="607">
        <f t="shared" si="824"/>
        <v>0</v>
      </c>
      <c r="DI655" s="608">
        <f t="shared" si="825"/>
        <v>0</v>
      </c>
      <c r="DJ655" s="607">
        <f t="shared" si="826"/>
        <v>0</v>
      </c>
      <c r="DK655" s="608">
        <f t="shared" si="827"/>
        <v>0</v>
      </c>
      <c r="DL655" s="607">
        <f t="shared" si="828"/>
        <v>0</v>
      </c>
      <c r="DM655" s="608">
        <f t="shared" si="829"/>
        <v>0</v>
      </c>
      <c r="DN655" s="607">
        <f t="shared" si="830"/>
        <v>0</v>
      </c>
      <c r="DO655" s="612">
        <f t="shared" si="831"/>
        <v>0</v>
      </c>
      <c r="DP655" s="607">
        <f t="shared" si="832"/>
        <v>0</v>
      </c>
      <c r="DQ655" s="606">
        <f t="shared" si="833"/>
        <v>0</v>
      </c>
      <c r="DR655" s="607">
        <f t="shared" si="834"/>
        <v>0</v>
      </c>
      <c r="DS655" s="606">
        <f t="shared" si="835"/>
        <v>0</v>
      </c>
      <c r="DT655" s="607">
        <f t="shared" si="836"/>
        <v>0</v>
      </c>
      <c r="DU655" s="606">
        <f t="shared" si="837"/>
        <v>0</v>
      </c>
      <c r="DV655" s="607">
        <f t="shared" si="838"/>
        <v>0</v>
      </c>
      <c r="DW655" s="608">
        <f t="shared" si="839"/>
        <v>0</v>
      </c>
      <c r="DX655" s="607">
        <f t="shared" si="840"/>
        <v>0</v>
      </c>
      <c r="DY655" s="608">
        <f t="shared" si="841"/>
        <v>0</v>
      </c>
      <c r="DZ655" s="607">
        <f t="shared" si="842"/>
        <v>0</v>
      </c>
      <c r="EA655" s="608">
        <f t="shared" si="843"/>
        <v>0</v>
      </c>
    </row>
    <row r="656" spans="1:131" x14ac:dyDescent="0.2">
      <c r="A656" s="473" t="s">
        <v>44</v>
      </c>
      <c r="B656" s="478" t="s">
        <v>1059</v>
      </c>
      <c r="C656" s="567" t="s">
        <v>678</v>
      </c>
      <c r="D656" s="507">
        <v>233310</v>
      </c>
      <c r="E656" s="496">
        <v>10</v>
      </c>
      <c r="F656" s="598"/>
      <c r="G656" s="599"/>
      <c r="H656" s="600"/>
      <c r="I656" s="601"/>
      <c r="J656" s="600"/>
      <c r="K656" s="599"/>
      <c r="L656" s="600"/>
      <c r="M656" s="601"/>
      <c r="N656" s="600"/>
      <c r="O656" s="599"/>
      <c r="P656" s="600"/>
      <c r="Q656" s="601"/>
      <c r="R656" s="600"/>
      <c r="S656" s="599"/>
      <c r="T656" s="600"/>
      <c r="U656" s="601"/>
      <c r="V656" s="600"/>
      <c r="W656" s="599"/>
      <c r="X656" s="600"/>
      <c r="Y656" s="601"/>
      <c r="Z656" s="600"/>
      <c r="AA656" s="599"/>
      <c r="AB656" s="600"/>
      <c r="AC656" s="601"/>
      <c r="AD656" s="600"/>
      <c r="AE656" s="599"/>
      <c r="AF656" s="600"/>
      <c r="AG656" s="601"/>
      <c r="AH656" s="600"/>
      <c r="AI656" s="599"/>
      <c r="AJ656" s="600"/>
      <c r="AK656" s="601"/>
      <c r="AL656" s="600"/>
      <c r="AM656" s="599"/>
      <c r="AN656" s="600"/>
      <c r="AO656" s="601"/>
      <c r="AP656" s="600"/>
      <c r="AQ656" s="599"/>
      <c r="AR656" s="600"/>
      <c r="AS656" s="601"/>
      <c r="AT656" s="600"/>
      <c r="AU656" s="599"/>
      <c r="AV656" s="600"/>
      <c r="AW656" s="601"/>
      <c r="AX656" s="600"/>
      <c r="AY656" s="599"/>
      <c r="AZ656" s="600"/>
      <c r="BA656" s="601"/>
      <c r="BB656" s="602">
        <v>0</v>
      </c>
      <c r="BC656" s="599"/>
      <c r="BD656" s="600">
        <v>0</v>
      </c>
      <c r="BE656" s="599"/>
      <c r="BF656" s="600">
        <v>0</v>
      </c>
      <c r="BG656" s="599"/>
      <c r="BH656" s="600">
        <v>0</v>
      </c>
      <c r="BI656" s="599"/>
      <c r="BJ656" s="600">
        <v>0</v>
      </c>
      <c r="BK656" s="615"/>
      <c r="BL656" s="600">
        <v>0</v>
      </c>
      <c r="BM656" s="604"/>
      <c r="BN656" s="605">
        <f t="shared" si="778"/>
        <v>0</v>
      </c>
      <c r="BO656" s="606">
        <f t="shared" si="779"/>
        <v>0</v>
      </c>
      <c r="BP656" s="607">
        <f t="shared" si="780"/>
        <v>0</v>
      </c>
      <c r="BQ656" s="606">
        <f t="shared" si="781"/>
        <v>0</v>
      </c>
      <c r="BR656" s="607">
        <f t="shared" si="782"/>
        <v>0</v>
      </c>
      <c r="BS656" s="606">
        <f t="shared" si="783"/>
        <v>0</v>
      </c>
      <c r="BT656" s="607">
        <f t="shared" si="784"/>
        <v>0</v>
      </c>
      <c r="BU656" s="606">
        <f t="shared" si="785"/>
        <v>0</v>
      </c>
      <c r="BV656" s="607">
        <f t="shared" si="786"/>
        <v>0</v>
      </c>
      <c r="BW656" s="608">
        <f t="shared" si="787"/>
        <v>0</v>
      </c>
      <c r="BX656" s="607">
        <f t="shared" si="788"/>
        <v>0</v>
      </c>
      <c r="BY656" s="608">
        <f t="shared" si="789"/>
        <v>0</v>
      </c>
      <c r="BZ656" s="607">
        <f t="shared" si="790"/>
        <v>0</v>
      </c>
      <c r="CA656" s="608">
        <f t="shared" si="791"/>
        <v>0</v>
      </c>
      <c r="CB656" s="607">
        <f t="shared" si="792"/>
        <v>0</v>
      </c>
      <c r="CC656" s="608">
        <f t="shared" si="793"/>
        <v>0</v>
      </c>
      <c r="CD656" s="607">
        <f t="shared" si="794"/>
        <v>0</v>
      </c>
      <c r="CE656" s="608">
        <f t="shared" si="795"/>
        <v>0</v>
      </c>
      <c r="CF656" s="607">
        <f t="shared" si="796"/>
        <v>0</v>
      </c>
      <c r="CG656" s="608">
        <f t="shared" si="797"/>
        <v>0</v>
      </c>
      <c r="CH656" s="607">
        <f t="shared" si="798"/>
        <v>0</v>
      </c>
      <c r="CI656" s="608">
        <f t="shared" si="799"/>
        <v>0</v>
      </c>
      <c r="CJ656" s="607">
        <f t="shared" si="800"/>
        <v>0</v>
      </c>
      <c r="CK656" s="608">
        <f t="shared" si="801"/>
        <v>0</v>
      </c>
      <c r="CL656" s="609">
        <f t="shared" si="802"/>
        <v>0</v>
      </c>
      <c r="CM656" s="608">
        <f t="shared" si="803"/>
        <v>0</v>
      </c>
      <c r="CN656" s="610">
        <f t="shared" si="804"/>
        <v>0</v>
      </c>
      <c r="CO656" s="606">
        <f t="shared" si="805"/>
        <v>0</v>
      </c>
      <c r="CP656" s="607">
        <f t="shared" si="806"/>
        <v>0</v>
      </c>
      <c r="CQ656" s="606">
        <f t="shared" si="807"/>
        <v>0</v>
      </c>
      <c r="CR656" s="607">
        <f t="shared" si="808"/>
        <v>0</v>
      </c>
      <c r="CS656" s="606">
        <f t="shared" si="809"/>
        <v>0</v>
      </c>
      <c r="CT656" s="607">
        <f t="shared" si="810"/>
        <v>0</v>
      </c>
      <c r="CU656" s="608">
        <f t="shared" si="811"/>
        <v>0</v>
      </c>
      <c r="CV656" s="610">
        <f t="shared" si="812"/>
        <v>0</v>
      </c>
      <c r="CW656" s="608">
        <f t="shared" si="813"/>
        <v>0</v>
      </c>
      <c r="CX656" s="610">
        <f t="shared" si="814"/>
        <v>0</v>
      </c>
      <c r="CY656" s="611">
        <f t="shared" si="815"/>
        <v>0</v>
      </c>
      <c r="CZ656" s="605">
        <f t="shared" si="816"/>
        <v>0</v>
      </c>
      <c r="DA656" s="612">
        <f t="shared" si="817"/>
        <v>0</v>
      </c>
      <c r="DB656" s="607">
        <f t="shared" si="818"/>
        <v>0</v>
      </c>
      <c r="DC656" s="606">
        <f t="shared" si="819"/>
        <v>0</v>
      </c>
      <c r="DD656" s="607">
        <f t="shared" si="820"/>
        <v>0</v>
      </c>
      <c r="DE656" s="606">
        <f t="shared" si="821"/>
        <v>0</v>
      </c>
      <c r="DF656" s="607">
        <f t="shared" si="822"/>
        <v>0</v>
      </c>
      <c r="DG656" s="606">
        <f t="shared" si="823"/>
        <v>0</v>
      </c>
      <c r="DH656" s="607">
        <f t="shared" si="824"/>
        <v>0</v>
      </c>
      <c r="DI656" s="608">
        <f t="shared" si="825"/>
        <v>0</v>
      </c>
      <c r="DJ656" s="607">
        <f t="shared" si="826"/>
        <v>0</v>
      </c>
      <c r="DK656" s="608">
        <f t="shared" si="827"/>
        <v>0</v>
      </c>
      <c r="DL656" s="607">
        <f t="shared" si="828"/>
        <v>0</v>
      </c>
      <c r="DM656" s="608">
        <f t="shared" si="829"/>
        <v>0</v>
      </c>
      <c r="DN656" s="607">
        <f t="shared" si="830"/>
        <v>0</v>
      </c>
      <c r="DO656" s="612">
        <f t="shared" si="831"/>
        <v>0</v>
      </c>
      <c r="DP656" s="607">
        <f t="shared" si="832"/>
        <v>0</v>
      </c>
      <c r="DQ656" s="606">
        <f t="shared" si="833"/>
        <v>0</v>
      </c>
      <c r="DR656" s="607">
        <f t="shared" si="834"/>
        <v>0</v>
      </c>
      <c r="DS656" s="606">
        <f t="shared" si="835"/>
        <v>0</v>
      </c>
      <c r="DT656" s="607">
        <f t="shared" si="836"/>
        <v>0</v>
      </c>
      <c r="DU656" s="606">
        <f t="shared" si="837"/>
        <v>0</v>
      </c>
      <c r="DV656" s="607">
        <f t="shared" si="838"/>
        <v>0</v>
      </c>
      <c r="DW656" s="608">
        <f t="shared" si="839"/>
        <v>0</v>
      </c>
      <c r="DX656" s="607">
        <f t="shared" si="840"/>
        <v>0</v>
      </c>
      <c r="DY656" s="608">
        <f t="shared" si="841"/>
        <v>0</v>
      </c>
      <c r="DZ656" s="607">
        <f t="shared" si="842"/>
        <v>0</v>
      </c>
      <c r="EA656" s="608">
        <f t="shared" si="843"/>
        <v>0</v>
      </c>
    </row>
    <row r="657" spans="1:131" x14ac:dyDescent="0.2">
      <c r="A657" s="473" t="s">
        <v>44</v>
      </c>
      <c r="B657" s="478" t="s">
        <v>1060</v>
      </c>
      <c r="C657" s="568"/>
      <c r="D657" s="473">
        <v>233338</v>
      </c>
      <c r="E657" s="476">
        <v>10</v>
      </c>
      <c r="F657" s="598">
        <v>11</v>
      </c>
      <c r="G657" s="599">
        <v>9</v>
      </c>
      <c r="H657" s="600"/>
      <c r="I657" s="601"/>
      <c r="J657" s="600"/>
      <c r="K657" s="599"/>
      <c r="L657" s="600"/>
      <c r="M657" s="601"/>
      <c r="N657" s="600">
        <v>13</v>
      </c>
      <c r="O657" s="599">
        <v>16</v>
      </c>
      <c r="P657" s="600"/>
      <c r="Q657" s="601"/>
      <c r="R657" s="600"/>
      <c r="S657" s="599"/>
      <c r="T657" s="600"/>
      <c r="U657" s="601"/>
      <c r="V657" s="600">
        <v>10</v>
      </c>
      <c r="W657" s="599">
        <v>8</v>
      </c>
      <c r="X657" s="600"/>
      <c r="Y657" s="601"/>
      <c r="Z657" s="600"/>
      <c r="AA657" s="599"/>
      <c r="AB657" s="600"/>
      <c r="AC657" s="601"/>
      <c r="AD657" s="600"/>
      <c r="AE657" s="599"/>
      <c r="AF657" s="600"/>
      <c r="AG657" s="601"/>
      <c r="AH657" s="600"/>
      <c r="AI657" s="599"/>
      <c r="AJ657" s="600"/>
      <c r="AK657" s="601"/>
      <c r="AL657" s="600"/>
      <c r="AM657" s="599"/>
      <c r="AN657" s="600"/>
      <c r="AO657" s="601"/>
      <c r="AP657" s="600"/>
      <c r="AQ657" s="599"/>
      <c r="AR657" s="600"/>
      <c r="AS657" s="601"/>
      <c r="AT657" s="600"/>
      <c r="AU657" s="599"/>
      <c r="AV657" s="600"/>
      <c r="AW657" s="601"/>
      <c r="AX657" s="600"/>
      <c r="AY657" s="599"/>
      <c r="AZ657" s="600"/>
      <c r="BA657" s="601"/>
      <c r="BB657" s="602">
        <v>737935</v>
      </c>
      <c r="BC657" s="599">
        <v>602365</v>
      </c>
      <c r="BD657" s="600">
        <v>702039</v>
      </c>
      <c r="BE657" s="599">
        <v>922484</v>
      </c>
      <c r="BF657" s="600">
        <v>462680</v>
      </c>
      <c r="BG657" s="599">
        <v>370850</v>
      </c>
      <c r="BH657" s="600">
        <v>0</v>
      </c>
      <c r="BI657" s="599"/>
      <c r="BJ657" s="600">
        <v>0</v>
      </c>
      <c r="BK657" s="615"/>
      <c r="BL657" s="600">
        <v>0</v>
      </c>
      <c r="BM657" s="604"/>
      <c r="BN657" s="605">
        <f t="shared" si="778"/>
        <v>99</v>
      </c>
      <c r="BO657" s="606">
        <f t="shared" si="779"/>
        <v>81</v>
      </c>
      <c r="BP657" s="607">
        <f t="shared" si="780"/>
        <v>117</v>
      </c>
      <c r="BQ657" s="606">
        <f t="shared" si="781"/>
        <v>144</v>
      </c>
      <c r="BR657" s="607">
        <f t="shared" si="782"/>
        <v>90</v>
      </c>
      <c r="BS657" s="606">
        <f t="shared" si="783"/>
        <v>72</v>
      </c>
      <c r="BT657" s="607">
        <f t="shared" si="784"/>
        <v>0</v>
      </c>
      <c r="BU657" s="606">
        <f t="shared" si="785"/>
        <v>0</v>
      </c>
      <c r="BV657" s="607">
        <f t="shared" si="786"/>
        <v>0</v>
      </c>
      <c r="BW657" s="608">
        <f t="shared" si="787"/>
        <v>0</v>
      </c>
      <c r="BX657" s="607">
        <f t="shared" si="788"/>
        <v>0</v>
      </c>
      <c r="BY657" s="608">
        <f t="shared" si="789"/>
        <v>0</v>
      </c>
      <c r="BZ657" s="607">
        <f t="shared" si="790"/>
        <v>7453.8888888888887</v>
      </c>
      <c r="CA657" s="608">
        <f t="shared" si="791"/>
        <v>7436.6049382716046</v>
      </c>
      <c r="CB657" s="607">
        <f t="shared" si="792"/>
        <v>6000.333333333333</v>
      </c>
      <c r="CC657" s="608">
        <f t="shared" si="793"/>
        <v>6406.1388888888887</v>
      </c>
      <c r="CD657" s="607">
        <f t="shared" si="794"/>
        <v>5140.8888888888887</v>
      </c>
      <c r="CE657" s="608">
        <f t="shared" si="795"/>
        <v>5150.6944444444443</v>
      </c>
      <c r="CF657" s="607">
        <f t="shared" si="796"/>
        <v>0</v>
      </c>
      <c r="CG657" s="608">
        <f t="shared" si="797"/>
        <v>0</v>
      </c>
      <c r="CH657" s="607">
        <f t="shared" si="798"/>
        <v>0</v>
      </c>
      <c r="CI657" s="608">
        <f t="shared" si="799"/>
        <v>0</v>
      </c>
      <c r="CJ657" s="607">
        <f t="shared" si="800"/>
        <v>0</v>
      </c>
      <c r="CK657" s="608">
        <f t="shared" si="801"/>
        <v>0</v>
      </c>
      <c r="CL657" s="609">
        <f t="shared" si="802"/>
        <v>67085</v>
      </c>
      <c r="CM657" s="608">
        <f t="shared" si="803"/>
        <v>66929.444444444438</v>
      </c>
      <c r="CN657" s="610">
        <f t="shared" si="804"/>
        <v>54003</v>
      </c>
      <c r="CO657" s="606">
        <f t="shared" si="805"/>
        <v>57655.25</v>
      </c>
      <c r="CP657" s="607">
        <f t="shared" si="806"/>
        <v>46268</v>
      </c>
      <c r="CQ657" s="606">
        <f t="shared" si="807"/>
        <v>46356.25</v>
      </c>
      <c r="CR657" s="607">
        <f t="shared" si="808"/>
        <v>0</v>
      </c>
      <c r="CS657" s="606">
        <f t="shared" si="809"/>
        <v>0</v>
      </c>
      <c r="CT657" s="607">
        <f t="shared" si="810"/>
        <v>0</v>
      </c>
      <c r="CU657" s="608">
        <f t="shared" si="811"/>
        <v>0</v>
      </c>
      <c r="CV657" s="610">
        <f t="shared" si="812"/>
        <v>0</v>
      </c>
      <c r="CW657" s="608">
        <f t="shared" si="813"/>
        <v>0</v>
      </c>
      <c r="CX657" s="610">
        <f t="shared" si="814"/>
        <v>55960.411764705881</v>
      </c>
      <c r="CY657" s="611">
        <f t="shared" si="815"/>
        <v>57445.42424242424</v>
      </c>
      <c r="CZ657" s="605">
        <f t="shared" si="816"/>
        <v>11</v>
      </c>
      <c r="DA657" s="612">
        <f t="shared" si="817"/>
        <v>9</v>
      </c>
      <c r="DB657" s="607">
        <f t="shared" si="818"/>
        <v>13</v>
      </c>
      <c r="DC657" s="606">
        <f t="shared" si="819"/>
        <v>16</v>
      </c>
      <c r="DD657" s="607">
        <f t="shared" si="820"/>
        <v>10</v>
      </c>
      <c r="DE657" s="606">
        <f t="shared" si="821"/>
        <v>8</v>
      </c>
      <c r="DF657" s="607">
        <f t="shared" si="822"/>
        <v>0</v>
      </c>
      <c r="DG657" s="606">
        <f t="shared" si="823"/>
        <v>0</v>
      </c>
      <c r="DH657" s="607">
        <f t="shared" si="824"/>
        <v>0</v>
      </c>
      <c r="DI657" s="608">
        <f t="shared" si="825"/>
        <v>0</v>
      </c>
      <c r="DJ657" s="607">
        <f t="shared" si="826"/>
        <v>0</v>
      </c>
      <c r="DK657" s="608">
        <f t="shared" si="827"/>
        <v>0</v>
      </c>
      <c r="DL657" s="607">
        <f t="shared" si="828"/>
        <v>34</v>
      </c>
      <c r="DM657" s="608">
        <f t="shared" si="829"/>
        <v>33</v>
      </c>
      <c r="DN657" s="607">
        <f t="shared" si="830"/>
        <v>737935</v>
      </c>
      <c r="DO657" s="612">
        <f t="shared" si="831"/>
        <v>602365</v>
      </c>
      <c r="DP657" s="607">
        <f t="shared" si="832"/>
        <v>702039</v>
      </c>
      <c r="DQ657" s="606">
        <f t="shared" si="833"/>
        <v>922484</v>
      </c>
      <c r="DR657" s="607">
        <f t="shared" si="834"/>
        <v>462680</v>
      </c>
      <c r="DS657" s="606">
        <f t="shared" si="835"/>
        <v>370850</v>
      </c>
      <c r="DT657" s="607">
        <f t="shared" si="836"/>
        <v>0</v>
      </c>
      <c r="DU657" s="606">
        <f t="shared" si="837"/>
        <v>0</v>
      </c>
      <c r="DV657" s="607">
        <f t="shared" si="838"/>
        <v>0</v>
      </c>
      <c r="DW657" s="608">
        <f t="shared" si="839"/>
        <v>0</v>
      </c>
      <c r="DX657" s="607">
        <f t="shared" si="840"/>
        <v>0</v>
      </c>
      <c r="DY657" s="608">
        <f t="shared" si="841"/>
        <v>0</v>
      </c>
      <c r="DZ657" s="607">
        <f t="shared" si="842"/>
        <v>1902654</v>
      </c>
      <c r="EA657" s="608">
        <f t="shared" si="843"/>
        <v>1895699</v>
      </c>
    </row>
    <row r="658" spans="1:131" x14ac:dyDescent="0.2">
      <c r="A658" s="473" t="s">
        <v>44</v>
      </c>
      <c r="B658" s="478" t="s">
        <v>1061</v>
      </c>
      <c r="C658" s="568"/>
      <c r="D658" s="473">
        <v>233903</v>
      </c>
      <c r="E658" s="476">
        <v>10</v>
      </c>
      <c r="F658" s="598"/>
      <c r="G658" s="599"/>
      <c r="H658" s="600"/>
      <c r="I658" s="601"/>
      <c r="J658" s="600"/>
      <c r="K658" s="599"/>
      <c r="L658" s="600"/>
      <c r="M658" s="601"/>
      <c r="N658" s="600"/>
      <c r="O658" s="599"/>
      <c r="P658" s="600"/>
      <c r="Q658" s="601"/>
      <c r="R658" s="600"/>
      <c r="S658" s="599"/>
      <c r="T658" s="600"/>
      <c r="U658" s="601"/>
      <c r="V658" s="600"/>
      <c r="W658" s="599"/>
      <c r="X658" s="600"/>
      <c r="Y658" s="601"/>
      <c r="Z658" s="600"/>
      <c r="AA658" s="599"/>
      <c r="AB658" s="600"/>
      <c r="AC658" s="601"/>
      <c r="AD658" s="600"/>
      <c r="AE658" s="599"/>
      <c r="AF658" s="600"/>
      <c r="AG658" s="601"/>
      <c r="AH658" s="600"/>
      <c r="AI658" s="599"/>
      <c r="AJ658" s="600"/>
      <c r="AK658" s="601"/>
      <c r="AL658" s="600"/>
      <c r="AM658" s="599"/>
      <c r="AN658" s="600"/>
      <c r="AO658" s="601"/>
      <c r="AP658" s="600"/>
      <c r="AQ658" s="599"/>
      <c r="AR658" s="600"/>
      <c r="AS658" s="601"/>
      <c r="AT658" s="600"/>
      <c r="AU658" s="599"/>
      <c r="AV658" s="600"/>
      <c r="AW658" s="601"/>
      <c r="AX658" s="600"/>
      <c r="AY658" s="599"/>
      <c r="AZ658" s="600"/>
      <c r="BA658" s="601"/>
      <c r="BB658" s="602">
        <v>0</v>
      </c>
      <c r="BC658" s="599"/>
      <c r="BD658" s="600">
        <v>0</v>
      </c>
      <c r="BE658" s="599"/>
      <c r="BF658" s="600">
        <v>0</v>
      </c>
      <c r="BG658" s="599"/>
      <c r="BH658" s="600">
        <v>0</v>
      </c>
      <c r="BI658" s="599"/>
      <c r="BJ658" s="600">
        <v>0</v>
      </c>
      <c r="BK658" s="615"/>
      <c r="BL658" s="600">
        <v>0</v>
      </c>
      <c r="BM658" s="604"/>
      <c r="BN658" s="605">
        <f t="shared" si="778"/>
        <v>0</v>
      </c>
      <c r="BO658" s="606">
        <f t="shared" si="779"/>
        <v>0</v>
      </c>
      <c r="BP658" s="607">
        <f t="shared" si="780"/>
        <v>0</v>
      </c>
      <c r="BQ658" s="606">
        <f t="shared" si="781"/>
        <v>0</v>
      </c>
      <c r="BR658" s="607">
        <f t="shared" si="782"/>
        <v>0</v>
      </c>
      <c r="BS658" s="606">
        <f t="shared" si="783"/>
        <v>0</v>
      </c>
      <c r="BT658" s="607">
        <f t="shared" si="784"/>
        <v>0</v>
      </c>
      <c r="BU658" s="606">
        <f t="shared" si="785"/>
        <v>0</v>
      </c>
      <c r="BV658" s="607">
        <f t="shared" si="786"/>
        <v>0</v>
      </c>
      <c r="BW658" s="608">
        <f t="shared" si="787"/>
        <v>0</v>
      </c>
      <c r="BX658" s="607">
        <f t="shared" si="788"/>
        <v>0</v>
      </c>
      <c r="BY658" s="608">
        <f t="shared" si="789"/>
        <v>0</v>
      </c>
      <c r="BZ658" s="607">
        <f t="shared" si="790"/>
        <v>0</v>
      </c>
      <c r="CA658" s="608">
        <f t="shared" si="791"/>
        <v>0</v>
      </c>
      <c r="CB658" s="607">
        <f t="shared" si="792"/>
        <v>0</v>
      </c>
      <c r="CC658" s="608">
        <f t="shared" si="793"/>
        <v>0</v>
      </c>
      <c r="CD658" s="607">
        <f t="shared" si="794"/>
        <v>0</v>
      </c>
      <c r="CE658" s="608">
        <f t="shared" si="795"/>
        <v>0</v>
      </c>
      <c r="CF658" s="607">
        <f t="shared" si="796"/>
        <v>0</v>
      </c>
      <c r="CG658" s="608">
        <f t="shared" si="797"/>
        <v>0</v>
      </c>
      <c r="CH658" s="607">
        <f t="shared" si="798"/>
        <v>0</v>
      </c>
      <c r="CI658" s="608">
        <f t="shared" si="799"/>
        <v>0</v>
      </c>
      <c r="CJ658" s="607">
        <f t="shared" si="800"/>
        <v>0</v>
      </c>
      <c r="CK658" s="608">
        <f t="shared" si="801"/>
        <v>0</v>
      </c>
      <c r="CL658" s="609">
        <f t="shared" si="802"/>
        <v>0</v>
      </c>
      <c r="CM658" s="608">
        <f t="shared" si="803"/>
        <v>0</v>
      </c>
      <c r="CN658" s="610">
        <f t="shared" si="804"/>
        <v>0</v>
      </c>
      <c r="CO658" s="606">
        <f t="shared" si="805"/>
        <v>0</v>
      </c>
      <c r="CP658" s="607">
        <f t="shared" si="806"/>
        <v>0</v>
      </c>
      <c r="CQ658" s="606">
        <f t="shared" si="807"/>
        <v>0</v>
      </c>
      <c r="CR658" s="607">
        <f t="shared" si="808"/>
        <v>0</v>
      </c>
      <c r="CS658" s="606">
        <f t="shared" si="809"/>
        <v>0</v>
      </c>
      <c r="CT658" s="607">
        <f t="shared" si="810"/>
        <v>0</v>
      </c>
      <c r="CU658" s="608">
        <f t="shared" si="811"/>
        <v>0</v>
      </c>
      <c r="CV658" s="610">
        <f t="shared" si="812"/>
        <v>0</v>
      </c>
      <c r="CW658" s="608">
        <f t="shared" si="813"/>
        <v>0</v>
      </c>
      <c r="CX658" s="610">
        <f t="shared" si="814"/>
        <v>0</v>
      </c>
      <c r="CY658" s="611">
        <f t="shared" si="815"/>
        <v>0</v>
      </c>
      <c r="CZ658" s="605">
        <f t="shared" si="816"/>
        <v>0</v>
      </c>
      <c r="DA658" s="612">
        <f t="shared" si="817"/>
        <v>0</v>
      </c>
      <c r="DB658" s="607">
        <f t="shared" si="818"/>
        <v>0</v>
      </c>
      <c r="DC658" s="606">
        <f t="shared" si="819"/>
        <v>0</v>
      </c>
      <c r="DD658" s="607">
        <f t="shared" si="820"/>
        <v>0</v>
      </c>
      <c r="DE658" s="606">
        <f t="shared" si="821"/>
        <v>0</v>
      </c>
      <c r="DF658" s="607">
        <f t="shared" si="822"/>
        <v>0</v>
      </c>
      <c r="DG658" s="606">
        <f t="shared" si="823"/>
        <v>0</v>
      </c>
      <c r="DH658" s="607">
        <f t="shared" si="824"/>
        <v>0</v>
      </c>
      <c r="DI658" s="608">
        <f t="shared" si="825"/>
        <v>0</v>
      </c>
      <c r="DJ658" s="607">
        <f t="shared" si="826"/>
        <v>0</v>
      </c>
      <c r="DK658" s="608">
        <f t="shared" si="827"/>
        <v>0</v>
      </c>
      <c r="DL658" s="607">
        <f t="shared" si="828"/>
        <v>0</v>
      </c>
      <c r="DM658" s="608">
        <f t="shared" si="829"/>
        <v>0</v>
      </c>
      <c r="DN658" s="607">
        <f t="shared" si="830"/>
        <v>0</v>
      </c>
      <c r="DO658" s="612">
        <f t="shared" si="831"/>
        <v>0</v>
      </c>
      <c r="DP658" s="607">
        <f t="shared" si="832"/>
        <v>0</v>
      </c>
      <c r="DQ658" s="606">
        <f t="shared" si="833"/>
        <v>0</v>
      </c>
      <c r="DR658" s="607">
        <f t="shared" si="834"/>
        <v>0</v>
      </c>
      <c r="DS658" s="606">
        <f t="shared" si="835"/>
        <v>0</v>
      </c>
      <c r="DT658" s="607">
        <f t="shared" si="836"/>
        <v>0</v>
      </c>
      <c r="DU658" s="606">
        <f t="shared" si="837"/>
        <v>0</v>
      </c>
      <c r="DV658" s="607">
        <f t="shared" si="838"/>
        <v>0</v>
      </c>
      <c r="DW658" s="608">
        <f t="shared" si="839"/>
        <v>0</v>
      </c>
      <c r="DX658" s="607">
        <f t="shared" si="840"/>
        <v>0</v>
      </c>
      <c r="DY658" s="608">
        <f t="shared" si="841"/>
        <v>0</v>
      </c>
      <c r="DZ658" s="607">
        <f t="shared" si="842"/>
        <v>0</v>
      </c>
      <c r="EA658" s="608">
        <f t="shared" si="843"/>
        <v>0</v>
      </c>
    </row>
    <row r="659" spans="1:131" x14ac:dyDescent="0.2">
      <c r="A659" s="473" t="s">
        <v>44</v>
      </c>
      <c r="B659" s="478" t="s">
        <v>1062</v>
      </c>
      <c r="C659" s="568"/>
      <c r="D659" s="510" t="s">
        <v>1063</v>
      </c>
      <c r="E659" s="511">
        <v>11</v>
      </c>
      <c r="F659" s="598">
        <v>412</v>
      </c>
      <c r="G659" s="599">
        <v>426</v>
      </c>
      <c r="H659" s="600"/>
      <c r="I659" s="601"/>
      <c r="J659" s="600">
        <v>31</v>
      </c>
      <c r="K659" s="599"/>
      <c r="L659" s="600"/>
      <c r="M659" s="601">
        <v>21</v>
      </c>
      <c r="N659" s="600">
        <v>644</v>
      </c>
      <c r="O659" s="599">
        <v>671</v>
      </c>
      <c r="P659" s="600"/>
      <c r="Q659" s="601"/>
      <c r="R659" s="600">
        <v>55</v>
      </c>
      <c r="S659" s="599"/>
      <c r="T659" s="600"/>
      <c r="U659" s="601">
        <v>49</v>
      </c>
      <c r="V659" s="600">
        <v>626</v>
      </c>
      <c r="W659" s="599">
        <v>702</v>
      </c>
      <c r="X659" s="600"/>
      <c r="Y659" s="601"/>
      <c r="Z659" s="600">
        <v>52</v>
      </c>
      <c r="AA659" s="599"/>
      <c r="AB659" s="600"/>
      <c r="AC659" s="601">
        <v>39</v>
      </c>
      <c r="AD659" s="600">
        <v>451</v>
      </c>
      <c r="AE659" s="599">
        <v>481</v>
      </c>
      <c r="AF659" s="600"/>
      <c r="AG659" s="601"/>
      <c r="AH659" s="600">
        <v>69</v>
      </c>
      <c r="AI659" s="599"/>
      <c r="AJ659" s="600"/>
      <c r="AK659" s="601">
        <v>77</v>
      </c>
      <c r="AL659" s="600">
        <v>1</v>
      </c>
      <c r="AM659" s="599">
        <v>11</v>
      </c>
      <c r="AN659" s="600"/>
      <c r="AO659" s="601"/>
      <c r="AP659" s="600">
        <v>1</v>
      </c>
      <c r="AQ659" s="599"/>
      <c r="AR659" s="600"/>
      <c r="AS659" s="601">
        <v>14</v>
      </c>
      <c r="AT659" s="600"/>
      <c r="AU659" s="599"/>
      <c r="AV659" s="600"/>
      <c r="AW659" s="601"/>
      <c r="AX659" s="600"/>
      <c r="AY659" s="599"/>
      <c r="AZ659" s="600"/>
      <c r="BA659" s="601"/>
      <c r="BB659" s="602">
        <v>30769291</v>
      </c>
      <c r="BC659" s="599">
        <v>31362073</v>
      </c>
      <c r="BD659" s="600">
        <v>43729432</v>
      </c>
      <c r="BE659" s="599">
        <v>45647010</v>
      </c>
      <c r="BF659" s="600">
        <v>38030722</v>
      </c>
      <c r="BG659" s="599">
        <v>42072474</v>
      </c>
      <c r="BH659" s="600">
        <v>26696147</v>
      </c>
      <c r="BI659" s="599">
        <v>29005811</v>
      </c>
      <c r="BJ659" s="600">
        <v>120826</v>
      </c>
      <c r="BK659" s="615">
        <v>1156425</v>
      </c>
      <c r="BL659" s="600">
        <v>0</v>
      </c>
      <c r="BM659" s="604"/>
      <c r="BN659" s="605">
        <f t="shared" si="778"/>
        <v>4049</v>
      </c>
      <c r="BO659" s="606">
        <f t="shared" si="779"/>
        <v>4086</v>
      </c>
      <c r="BP659" s="607">
        <f t="shared" si="780"/>
        <v>6401</v>
      </c>
      <c r="BQ659" s="606">
        <f t="shared" si="781"/>
        <v>6627</v>
      </c>
      <c r="BR659" s="607">
        <f t="shared" si="782"/>
        <v>6206</v>
      </c>
      <c r="BS659" s="606">
        <f t="shared" si="783"/>
        <v>6786</v>
      </c>
      <c r="BT659" s="607">
        <f t="shared" si="784"/>
        <v>4818</v>
      </c>
      <c r="BU659" s="606">
        <f t="shared" si="785"/>
        <v>5253</v>
      </c>
      <c r="BV659" s="607">
        <f t="shared" si="786"/>
        <v>20</v>
      </c>
      <c r="BW659" s="608">
        <f t="shared" si="787"/>
        <v>267</v>
      </c>
      <c r="BX659" s="607">
        <f t="shared" si="788"/>
        <v>0</v>
      </c>
      <c r="BY659" s="608">
        <f t="shared" si="789"/>
        <v>0</v>
      </c>
      <c r="BZ659" s="607">
        <f t="shared" si="790"/>
        <v>7599.2321560879227</v>
      </c>
      <c r="CA659" s="608">
        <f t="shared" si="791"/>
        <v>7675.4951052373963</v>
      </c>
      <c r="CB659" s="607">
        <f t="shared" si="792"/>
        <v>6831.6563037025462</v>
      </c>
      <c r="CC659" s="608">
        <f t="shared" si="793"/>
        <v>6888.0353100950661</v>
      </c>
      <c r="CD659" s="607">
        <f t="shared" si="794"/>
        <v>6128.0570415726716</v>
      </c>
      <c r="CE659" s="608">
        <f t="shared" si="795"/>
        <v>6199.8930150309461</v>
      </c>
      <c r="CF659" s="607">
        <f t="shared" si="796"/>
        <v>5540.9188459941888</v>
      </c>
      <c r="CG659" s="608">
        <f t="shared" si="797"/>
        <v>5521.7610889015805</v>
      </c>
      <c r="CH659" s="607">
        <f t="shared" si="798"/>
        <v>6041.3</v>
      </c>
      <c r="CI659" s="608">
        <f t="shared" si="799"/>
        <v>4331.1797752808989</v>
      </c>
      <c r="CJ659" s="607">
        <f t="shared" si="800"/>
        <v>0</v>
      </c>
      <c r="CK659" s="608">
        <f t="shared" si="801"/>
        <v>0</v>
      </c>
      <c r="CL659" s="609">
        <f t="shared" si="802"/>
        <v>68393.089404791303</v>
      </c>
      <c r="CM659" s="608">
        <f t="shared" si="803"/>
        <v>69079.455947136565</v>
      </c>
      <c r="CN659" s="610">
        <f t="shared" si="804"/>
        <v>61484.906733322918</v>
      </c>
      <c r="CO659" s="606">
        <f t="shared" si="805"/>
        <v>61992.317790855595</v>
      </c>
      <c r="CP659" s="607">
        <f t="shared" si="806"/>
        <v>55152.513374154041</v>
      </c>
      <c r="CQ659" s="606">
        <f t="shared" si="807"/>
        <v>55799.037135278515</v>
      </c>
      <c r="CR659" s="607">
        <f t="shared" si="808"/>
        <v>49868.269613947698</v>
      </c>
      <c r="CS659" s="606">
        <f t="shared" si="809"/>
        <v>49695.849800114222</v>
      </c>
      <c r="CT659" s="607">
        <f t="shared" si="810"/>
        <v>54371.700000000004</v>
      </c>
      <c r="CU659" s="608">
        <f t="shared" si="811"/>
        <v>38980.617977528091</v>
      </c>
      <c r="CV659" s="610">
        <f t="shared" si="812"/>
        <v>0</v>
      </c>
      <c r="CW659" s="608">
        <f t="shared" si="813"/>
        <v>0</v>
      </c>
      <c r="CX659" s="610">
        <f t="shared" si="814"/>
        <v>58373.072621624466</v>
      </c>
      <c r="CY659" s="611">
        <f t="shared" si="815"/>
        <v>58436.319459224971</v>
      </c>
      <c r="CZ659" s="605">
        <f t="shared" si="816"/>
        <v>443</v>
      </c>
      <c r="DA659" s="612">
        <f t="shared" si="817"/>
        <v>447</v>
      </c>
      <c r="DB659" s="607">
        <f t="shared" si="818"/>
        <v>699</v>
      </c>
      <c r="DC659" s="606">
        <f t="shared" si="819"/>
        <v>720</v>
      </c>
      <c r="DD659" s="607">
        <f t="shared" si="820"/>
        <v>678</v>
      </c>
      <c r="DE659" s="606">
        <f t="shared" si="821"/>
        <v>741</v>
      </c>
      <c r="DF659" s="607">
        <f t="shared" si="822"/>
        <v>520</v>
      </c>
      <c r="DG659" s="606">
        <f t="shared" si="823"/>
        <v>558</v>
      </c>
      <c r="DH659" s="607">
        <f t="shared" si="824"/>
        <v>2</v>
      </c>
      <c r="DI659" s="608">
        <f t="shared" si="825"/>
        <v>25</v>
      </c>
      <c r="DJ659" s="607">
        <f t="shared" si="826"/>
        <v>0</v>
      </c>
      <c r="DK659" s="608">
        <f t="shared" si="827"/>
        <v>0</v>
      </c>
      <c r="DL659" s="607">
        <f t="shared" si="828"/>
        <v>2342</v>
      </c>
      <c r="DM659" s="608">
        <f t="shared" si="829"/>
        <v>2491</v>
      </c>
      <c r="DN659" s="607">
        <f t="shared" si="830"/>
        <v>30298138.606322546</v>
      </c>
      <c r="DO659" s="612">
        <f t="shared" si="831"/>
        <v>30878516.808370043</v>
      </c>
      <c r="DP659" s="607">
        <f t="shared" si="832"/>
        <v>42977949.806592718</v>
      </c>
      <c r="DQ659" s="606">
        <f t="shared" si="833"/>
        <v>44634468.809416026</v>
      </c>
      <c r="DR659" s="607">
        <f t="shared" si="834"/>
        <v>37393404.06767644</v>
      </c>
      <c r="DS659" s="606">
        <f t="shared" si="835"/>
        <v>41347086.517241381</v>
      </c>
      <c r="DT659" s="607">
        <f t="shared" si="836"/>
        <v>25931500.199252803</v>
      </c>
      <c r="DU659" s="606">
        <f t="shared" si="837"/>
        <v>27730284.188463736</v>
      </c>
      <c r="DV659" s="607">
        <f t="shared" si="838"/>
        <v>108743.40000000001</v>
      </c>
      <c r="DW659" s="608">
        <f t="shared" si="839"/>
        <v>974515.44943820231</v>
      </c>
      <c r="DX659" s="607">
        <f t="shared" si="840"/>
        <v>0</v>
      </c>
      <c r="DY659" s="608">
        <f t="shared" si="841"/>
        <v>0</v>
      </c>
      <c r="DZ659" s="607">
        <f t="shared" si="842"/>
        <v>136709736.0798445</v>
      </c>
      <c r="EA659" s="608">
        <f t="shared" si="843"/>
        <v>145564871.7729294</v>
      </c>
    </row>
    <row r="660" spans="1:131" x14ac:dyDescent="0.2">
      <c r="A660" s="317" t="s">
        <v>45</v>
      </c>
      <c r="B660" s="318" t="s">
        <v>367</v>
      </c>
      <c r="C660" s="592"/>
      <c r="D660" s="333">
        <v>238032</v>
      </c>
      <c r="E660" s="319">
        <v>1</v>
      </c>
      <c r="F660" s="598">
        <v>211</v>
      </c>
      <c r="G660" s="599">
        <v>202</v>
      </c>
      <c r="H660" s="600"/>
      <c r="I660" s="601">
        <v>5</v>
      </c>
      <c r="J660" s="600">
        <v>81</v>
      </c>
      <c r="K660" s="599">
        <v>9</v>
      </c>
      <c r="L660" s="600"/>
      <c r="M660" s="601">
        <v>74</v>
      </c>
      <c r="N660" s="600">
        <v>221</v>
      </c>
      <c r="O660" s="599">
        <v>246</v>
      </c>
      <c r="P660" s="600"/>
      <c r="Q660" s="601">
        <v>3</v>
      </c>
      <c r="R660" s="600">
        <v>41</v>
      </c>
      <c r="S660" s="599">
        <v>8</v>
      </c>
      <c r="T660" s="600"/>
      <c r="U660" s="601">
        <v>36</v>
      </c>
      <c r="V660" s="600">
        <v>321</v>
      </c>
      <c r="W660" s="599">
        <v>322</v>
      </c>
      <c r="X660" s="600"/>
      <c r="Y660" s="601">
        <v>5</v>
      </c>
      <c r="Z660" s="600">
        <v>39</v>
      </c>
      <c r="AA660" s="599"/>
      <c r="AB660" s="600"/>
      <c r="AC660" s="601">
        <v>37</v>
      </c>
      <c r="AD660" s="600">
        <v>47</v>
      </c>
      <c r="AE660" s="599">
        <v>48</v>
      </c>
      <c r="AF660" s="600"/>
      <c r="AG660" s="601">
        <v>1</v>
      </c>
      <c r="AH660" s="600">
        <v>4</v>
      </c>
      <c r="AI660" s="599"/>
      <c r="AJ660" s="600"/>
      <c r="AK660" s="601">
        <v>3</v>
      </c>
      <c r="AL660" s="600">
        <v>19</v>
      </c>
      <c r="AM660" s="599">
        <v>18</v>
      </c>
      <c r="AN660" s="600"/>
      <c r="AO660" s="601"/>
      <c r="AP660" s="600">
        <v>6</v>
      </c>
      <c r="AQ660" s="599"/>
      <c r="AR660" s="600"/>
      <c r="AS660" s="601">
        <v>4</v>
      </c>
      <c r="AT660" s="600"/>
      <c r="AU660" s="599"/>
      <c r="AV660" s="600"/>
      <c r="AW660" s="601"/>
      <c r="AX660" s="600"/>
      <c r="AY660" s="599"/>
      <c r="AZ660" s="600"/>
      <c r="BA660" s="601"/>
      <c r="BB660" s="602">
        <v>33484754</v>
      </c>
      <c r="BC660" s="599">
        <v>34130996</v>
      </c>
      <c r="BD660" s="600">
        <v>21559234</v>
      </c>
      <c r="BE660" s="599">
        <v>25157282</v>
      </c>
      <c r="BF660" s="600">
        <v>23708460</v>
      </c>
      <c r="BG660" s="599">
        <v>24579342</v>
      </c>
      <c r="BH660" s="600">
        <v>2184338</v>
      </c>
      <c r="BI660" s="599">
        <v>2233799</v>
      </c>
      <c r="BJ660" s="600">
        <v>1445557</v>
      </c>
      <c r="BK660" s="615">
        <v>1287644</v>
      </c>
      <c r="BL660" s="600">
        <v>0</v>
      </c>
      <c r="BM660" s="604"/>
      <c r="BN660" s="605">
        <f t="shared" si="695"/>
        <v>2790</v>
      </c>
      <c r="BO660" s="606">
        <f t="shared" si="696"/>
        <v>2855</v>
      </c>
      <c r="BP660" s="607">
        <f t="shared" si="697"/>
        <v>2440</v>
      </c>
      <c r="BQ660" s="606">
        <f t="shared" si="698"/>
        <v>2764</v>
      </c>
      <c r="BR660" s="607">
        <f t="shared" si="699"/>
        <v>3318</v>
      </c>
      <c r="BS660" s="606">
        <f t="shared" si="700"/>
        <v>3392</v>
      </c>
      <c r="BT660" s="607">
        <f t="shared" si="701"/>
        <v>467</v>
      </c>
      <c r="BU660" s="606">
        <f t="shared" si="702"/>
        <v>478</v>
      </c>
      <c r="BV660" s="607">
        <f t="shared" si="703"/>
        <v>237</v>
      </c>
      <c r="BW660" s="608">
        <f t="shared" si="704"/>
        <v>210</v>
      </c>
      <c r="BX660" s="607">
        <f t="shared" si="705"/>
        <v>0</v>
      </c>
      <c r="BY660" s="608">
        <f t="shared" si="706"/>
        <v>0</v>
      </c>
      <c r="BZ660" s="607">
        <f t="shared" si="707"/>
        <v>12001.70394265233</v>
      </c>
      <c r="CA660" s="608">
        <f t="shared" si="708"/>
        <v>11954.814711033276</v>
      </c>
      <c r="CB660" s="607">
        <f t="shared" si="709"/>
        <v>8835.751639344262</v>
      </c>
      <c r="CC660" s="608">
        <f t="shared" si="710"/>
        <v>9101.7662807525321</v>
      </c>
      <c r="CD660" s="607">
        <f t="shared" si="711"/>
        <v>7145.4068716094034</v>
      </c>
      <c r="CE660" s="608">
        <f t="shared" si="712"/>
        <v>7246.2682783018872</v>
      </c>
      <c r="CF660" s="607">
        <f t="shared" si="713"/>
        <v>4677.3832976445392</v>
      </c>
      <c r="CG660" s="608">
        <f t="shared" si="714"/>
        <v>4673.2196652719667</v>
      </c>
      <c r="CH660" s="607">
        <f t="shared" si="715"/>
        <v>6099.3966244725734</v>
      </c>
      <c r="CI660" s="608">
        <f t="shared" si="716"/>
        <v>6131.638095238095</v>
      </c>
      <c r="CJ660" s="607">
        <f t="shared" si="717"/>
        <v>0</v>
      </c>
      <c r="CK660" s="608">
        <f t="shared" si="718"/>
        <v>0</v>
      </c>
      <c r="CL660" s="609">
        <f t="shared" si="719"/>
        <v>108015.33548387096</v>
      </c>
      <c r="CM660" s="608">
        <f t="shared" si="720"/>
        <v>107593.33239929948</v>
      </c>
      <c r="CN660" s="610">
        <f t="shared" si="721"/>
        <v>79521.76475409836</v>
      </c>
      <c r="CO660" s="606">
        <f t="shared" si="722"/>
        <v>81915.896526772791</v>
      </c>
      <c r="CP660" s="607">
        <f t="shared" si="723"/>
        <v>64308.661844484632</v>
      </c>
      <c r="CQ660" s="606">
        <f t="shared" si="724"/>
        <v>65216.414504716988</v>
      </c>
      <c r="CR660" s="607">
        <f t="shared" si="725"/>
        <v>42096.449678800855</v>
      </c>
      <c r="CS660" s="606">
        <f t="shared" si="726"/>
        <v>42058.976987447699</v>
      </c>
      <c r="CT660" s="607">
        <f t="shared" si="727"/>
        <v>54894.569620253162</v>
      </c>
      <c r="CU660" s="608">
        <f t="shared" si="728"/>
        <v>55184.742857142854</v>
      </c>
      <c r="CV660" s="610">
        <f t="shared" si="729"/>
        <v>0</v>
      </c>
      <c r="CW660" s="608">
        <f t="shared" si="730"/>
        <v>0</v>
      </c>
      <c r="CX660" s="610">
        <f t="shared" si="731"/>
        <v>79844.021984852268</v>
      </c>
      <c r="CY660" s="611">
        <f t="shared" si="732"/>
        <v>80649.686683704873</v>
      </c>
      <c r="CZ660" s="605">
        <f t="shared" si="733"/>
        <v>292</v>
      </c>
      <c r="DA660" s="612">
        <f t="shared" si="734"/>
        <v>290</v>
      </c>
      <c r="DB660" s="607">
        <f t="shared" si="735"/>
        <v>262</v>
      </c>
      <c r="DC660" s="606">
        <f t="shared" si="736"/>
        <v>293</v>
      </c>
      <c r="DD660" s="607">
        <f t="shared" si="737"/>
        <v>360</v>
      </c>
      <c r="DE660" s="606">
        <f t="shared" si="738"/>
        <v>364</v>
      </c>
      <c r="DF660" s="607">
        <f t="shared" si="739"/>
        <v>51</v>
      </c>
      <c r="DG660" s="606">
        <f t="shared" si="740"/>
        <v>52</v>
      </c>
      <c r="DH660" s="607">
        <f t="shared" si="741"/>
        <v>25</v>
      </c>
      <c r="DI660" s="608">
        <f t="shared" si="742"/>
        <v>22</v>
      </c>
      <c r="DJ660" s="607">
        <f t="shared" si="743"/>
        <v>0</v>
      </c>
      <c r="DK660" s="608">
        <f t="shared" si="744"/>
        <v>0</v>
      </c>
      <c r="DL660" s="607">
        <f t="shared" si="745"/>
        <v>990</v>
      </c>
      <c r="DM660" s="608">
        <f t="shared" si="746"/>
        <v>1021</v>
      </c>
      <c r="DN660" s="607">
        <f t="shared" si="747"/>
        <v>31540477.961290322</v>
      </c>
      <c r="DO660" s="612">
        <f t="shared" si="748"/>
        <v>31202066.39579685</v>
      </c>
      <c r="DP660" s="607">
        <f t="shared" si="749"/>
        <v>20834702.365573771</v>
      </c>
      <c r="DQ660" s="606">
        <f t="shared" si="750"/>
        <v>24001357.682344429</v>
      </c>
      <c r="DR660" s="607">
        <f t="shared" si="751"/>
        <v>23151118.264014468</v>
      </c>
      <c r="DS660" s="606">
        <f t="shared" si="752"/>
        <v>23738774.879716985</v>
      </c>
      <c r="DT660" s="607">
        <f t="shared" si="753"/>
        <v>2146918.9336188436</v>
      </c>
      <c r="DU660" s="606">
        <f t="shared" si="754"/>
        <v>2187066.8033472802</v>
      </c>
      <c r="DV660" s="607">
        <f t="shared" si="755"/>
        <v>1372364.2405063291</v>
      </c>
      <c r="DW660" s="608">
        <f t="shared" si="756"/>
        <v>1214064.3428571427</v>
      </c>
      <c r="DX660" s="607">
        <f t="shared" si="757"/>
        <v>0</v>
      </c>
      <c r="DY660" s="608">
        <f t="shared" si="758"/>
        <v>0</v>
      </c>
      <c r="DZ660" s="607">
        <f t="shared" si="759"/>
        <v>79045581.765003741</v>
      </c>
      <c r="EA660" s="608">
        <f t="shared" si="760"/>
        <v>82343330.104062676</v>
      </c>
    </row>
    <row r="661" spans="1:131" x14ac:dyDescent="0.2">
      <c r="A661" s="317" t="s">
        <v>45</v>
      </c>
      <c r="B661" s="318" t="s">
        <v>368</v>
      </c>
      <c r="C661" s="592"/>
      <c r="D661" s="333">
        <v>237525</v>
      </c>
      <c r="E661" s="319">
        <v>3</v>
      </c>
      <c r="F661" s="598">
        <v>181</v>
      </c>
      <c r="G661" s="599">
        <v>173</v>
      </c>
      <c r="H661" s="600"/>
      <c r="I661" s="601">
        <v>1</v>
      </c>
      <c r="J661" s="600">
        <v>22</v>
      </c>
      <c r="K661" s="599"/>
      <c r="L661" s="600"/>
      <c r="M661" s="601">
        <v>22</v>
      </c>
      <c r="N661" s="600">
        <v>114</v>
      </c>
      <c r="O661" s="599">
        <v>121</v>
      </c>
      <c r="P661" s="600"/>
      <c r="Q661" s="601"/>
      <c r="R661" s="600">
        <v>4</v>
      </c>
      <c r="S661" s="599"/>
      <c r="T661" s="600"/>
      <c r="U661" s="601">
        <v>5</v>
      </c>
      <c r="V661" s="600">
        <v>113</v>
      </c>
      <c r="W661" s="599">
        <v>117</v>
      </c>
      <c r="X661" s="600"/>
      <c r="Y661" s="601"/>
      <c r="Z661" s="600">
        <v>4</v>
      </c>
      <c r="AA661" s="599"/>
      <c r="AB661" s="600"/>
      <c r="AC661" s="601">
        <v>8</v>
      </c>
      <c r="AD661" s="600">
        <v>62</v>
      </c>
      <c r="AE661" s="599">
        <v>61</v>
      </c>
      <c r="AF661" s="600"/>
      <c r="AG661" s="601"/>
      <c r="AH661" s="600"/>
      <c r="AI661" s="599"/>
      <c r="AJ661" s="600"/>
      <c r="AK661" s="601"/>
      <c r="AL661" s="600"/>
      <c r="AM661" s="599"/>
      <c r="AN661" s="600"/>
      <c r="AO661" s="601"/>
      <c r="AP661" s="600"/>
      <c r="AQ661" s="599"/>
      <c r="AR661" s="600"/>
      <c r="AS661" s="601"/>
      <c r="AT661" s="600"/>
      <c r="AU661" s="599"/>
      <c r="AV661" s="600"/>
      <c r="AW661" s="601"/>
      <c r="AX661" s="600"/>
      <c r="AY661" s="599"/>
      <c r="AZ661" s="600"/>
      <c r="BA661" s="601"/>
      <c r="BB661" s="602">
        <v>15701112</v>
      </c>
      <c r="BC661" s="599">
        <v>15114116</v>
      </c>
      <c r="BD661" s="600">
        <v>7360268</v>
      </c>
      <c r="BE661" s="599">
        <v>7967058</v>
      </c>
      <c r="BF661" s="600">
        <v>6120472</v>
      </c>
      <c r="BG661" s="599">
        <v>6793476</v>
      </c>
      <c r="BH661" s="600">
        <v>2256862</v>
      </c>
      <c r="BI661" s="599">
        <v>2131160</v>
      </c>
      <c r="BJ661" s="600"/>
      <c r="BK661" s="615"/>
      <c r="BL661" s="600">
        <v>0</v>
      </c>
      <c r="BM661" s="604"/>
      <c r="BN661" s="605">
        <f t="shared" si="695"/>
        <v>1871</v>
      </c>
      <c r="BO661" s="606">
        <f t="shared" si="696"/>
        <v>1831</v>
      </c>
      <c r="BP661" s="607">
        <f t="shared" si="697"/>
        <v>1070</v>
      </c>
      <c r="BQ661" s="606">
        <f t="shared" si="698"/>
        <v>1149</v>
      </c>
      <c r="BR661" s="607">
        <f t="shared" si="699"/>
        <v>1061</v>
      </c>
      <c r="BS661" s="606">
        <f t="shared" si="700"/>
        <v>1149</v>
      </c>
      <c r="BT661" s="607">
        <f t="shared" si="701"/>
        <v>558</v>
      </c>
      <c r="BU661" s="606">
        <f t="shared" si="702"/>
        <v>549</v>
      </c>
      <c r="BV661" s="607">
        <f t="shared" si="703"/>
        <v>0</v>
      </c>
      <c r="BW661" s="608">
        <f t="shared" si="704"/>
        <v>0</v>
      </c>
      <c r="BX661" s="607">
        <f t="shared" si="705"/>
        <v>0</v>
      </c>
      <c r="BY661" s="608">
        <f t="shared" si="706"/>
        <v>0</v>
      </c>
      <c r="BZ661" s="607">
        <f t="shared" si="707"/>
        <v>8391.8289684660613</v>
      </c>
      <c r="CA661" s="608">
        <f t="shared" si="708"/>
        <v>8254.5690879300928</v>
      </c>
      <c r="CB661" s="607">
        <f t="shared" si="709"/>
        <v>6878.7551401869159</v>
      </c>
      <c r="CC661" s="608">
        <f t="shared" si="710"/>
        <v>6933.906005221932</v>
      </c>
      <c r="CD661" s="607">
        <f t="shared" si="711"/>
        <v>5768.5881244109332</v>
      </c>
      <c r="CE661" s="608">
        <f t="shared" si="712"/>
        <v>5912.511749347258</v>
      </c>
      <c r="CF661" s="607">
        <f t="shared" si="713"/>
        <v>4044.5555555555557</v>
      </c>
      <c r="CG661" s="608">
        <f t="shared" si="714"/>
        <v>3881.8943533697634</v>
      </c>
      <c r="CH661" s="607">
        <f t="shared" si="715"/>
        <v>0</v>
      </c>
      <c r="CI661" s="608">
        <f t="shared" si="716"/>
        <v>0</v>
      </c>
      <c r="CJ661" s="607">
        <f t="shared" si="717"/>
        <v>0</v>
      </c>
      <c r="CK661" s="608">
        <f t="shared" si="718"/>
        <v>0</v>
      </c>
      <c r="CL661" s="609">
        <f t="shared" si="719"/>
        <v>75526.460716194546</v>
      </c>
      <c r="CM661" s="608">
        <f t="shared" si="720"/>
        <v>74291.121791370839</v>
      </c>
      <c r="CN661" s="610">
        <f t="shared" si="721"/>
        <v>61908.796261682241</v>
      </c>
      <c r="CO661" s="606">
        <f t="shared" si="722"/>
        <v>62405.154046997384</v>
      </c>
      <c r="CP661" s="607">
        <f t="shared" si="723"/>
        <v>51917.293119698399</v>
      </c>
      <c r="CQ661" s="606">
        <f t="shared" si="724"/>
        <v>53212.605744125322</v>
      </c>
      <c r="CR661" s="607">
        <f t="shared" si="725"/>
        <v>36401</v>
      </c>
      <c r="CS661" s="606">
        <f t="shared" si="726"/>
        <v>34937.049180327871</v>
      </c>
      <c r="CT661" s="607">
        <f t="shared" si="727"/>
        <v>0</v>
      </c>
      <c r="CU661" s="608">
        <f t="shared" si="728"/>
        <v>0</v>
      </c>
      <c r="CV661" s="610">
        <f t="shared" si="729"/>
        <v>0</v>
      </c>
      <c r="CW661" s="608">
        <f t="shared" si="730"/>
        <v>0</v>
      </c>
      <c r="CX661" s="610">
        <f t="shared" si="731"/>
        <v>61936.589558541418</v>
      </c>
      <c r="CY661" s="611">
        <f t="shared" si="732"/>
        <v>61430.797242216577</v>
      </c>
      <c r="CZ661" s="605">
        <f t="shared" si="733"/>
        <v>203</v>
      </c>
      <c r="DA661" s="612">
        <f t="shared" si="734"/>
        <v>196</v>
      </c>
      <c r="DB661" s="607">
        <f t="shared" si="735"/>
        <v>118</v>
      </c>
      <c r="DC661" s="606">
        <f t="shared" si="736"/>
        <v>126</v>
      </c>
      <c r="DD661" s="607">
        <f t="shared" si="737"/>
        <v>117</v>
      </c>
      <c r="DE661" s="606">
        <f t="shared" si="738"/>
        <v>125</v>
      </c>
      <c r="DF661" s="607">
        <f t="shared" si="739"/>
        <v>62</v>
      </c>
      <c r="DG661" s="606">
        <f t="shared" si="740"/>
        <v>61</v>
      </c>
      <c r="DH661" s="607">
        <f t="shared" si="741"/>
        <v>0</v>
      </c>
      <c r="DI661" s="608">
        <f t="shared" si="742"/>
        <v>0</v>
      </c>
      <c r="DJ661" s="607">
        <f t="shared" si="743"/>
        <v>0</v>
      </c>
      <c r="DK661" s="608">
        <f t="shared" si="744"/>
        <v>0</v>
      </c>
      <c r="DL661" s="607">
        <f t="shared" si="745"/>
        <v>500</v>
      </c>
      <c r="DM661" s="608">
        <f t="shared" si="746"/>
        <v>508</v>
      </c>
      <c r="DN661" s="607">
        <f t="shared" si="747"/>
        <v>15331871.525387492</v>
      </c>
      <c r="DO661" s="612">
        <f t="shared" si="748"/>
        <v>14561059.871108685</v>
      </c>
      <c r="DP661" s="607">
        <f t="shared" si="749"/>
        <v>7305237.9588785041</v>
      </c>
      <c r="DQ661" s="606">
        <f t="shared" si="750"/>
        <v>7863049.4099216703</v>
      </c>
      <c r="DR661" s="607">
        <f t="shared" si="751"/>
        <v>6074323.2950047124</v>
      </c>
      <c r="DS661" s="606">
        <f t="shared" si="752"/>
        <v>6651575.7180156652</v>
      </c>
      <c r="DT661" s="607">
        <f t="shared" si="753"/>
        <v>2256862</v>
      </c>
      <c r="DU661" s="606">
        <f t="shared" si="754"/>
        <v>2131160</v>
      </c>
      <c r="DV661" s="607">
        <f t="shared" si="755"/>
        <v>0</v>
      </c>
      <c r="DW661" s="608">
        <f t="shared" si="756"/>
        <v>0</v>
      </c>
      <c r="DX661" s="607">
        <f t="shared" si="757"/>
        <v>0</v>
      </c>
      <c r="DY661" s="608">
        <f t="shared" si="758"/>
        <v>0</v>
      </c>
      <c r="DZ661" s="607">
        <f t="shared" si="759"/>
        <v>30968294.779270709</v>
      </c>
      <c r="EA661" s="608">
        <f t="shared" si="760"/>
        <v>31206844.99904602</v>
      </c>
    </row>
    <row r="662" spans="1:131" x14ac:dyDescent="0.2">
      <c r="A662" s="317" t="s">
        <v>45</v>
      </c>
      <c r="B662" s="318" t="s">
        <v>369</v>
      </c>
      <c r="C662" s="592"/>
      <c r="D662" s="333">
        <v>237367</v>
      </c>
      <c r="E662" s="319">
        <v>5</v>
      </c>
      <c r="F662" s="598">
        <v>50</v>
      </c>
      <c r="G662" s="599">
        <v>47</v>
      </c>
      <c r="H662" s="600"/>
      <c r="I662" s="601"/>
      <c r="J662" s="600">
        <v>6</v>
      </c>
      <c r="K662" s="599"/>
      <c r="L662" s="600"/>
      <c r="M662" s="601">
        <v>6</v>
      </c>
      <c r="N662" s="600">
        <v>33</v>
      </c>
      <c r="O662" s="599">
        <v>32</v>
      </c>
      <c r="P662" s="600"/>
      <c r="Q662" s="601">
        <v>2</v>
      </c>
      <c r="R662" s="600">
        <v>4</v>
      </c>
      <c r="S662" s="599">
        <v>4</v>
      </c>
      <c r="T662" s="600"/>
      <c r="U662" s="601"/>
      <c r="V662" s="600">
        <v>54</v>
      </c>
      <c r="W662" s="599">
        <v>51</v>
      </c>
      <c r="X662" s="600"/>
      <c r="Y662" s="601">
        <v>2</v>
      </c>
      <c r="Z662" s="600">
        <v>3</v>
      </c>
      <c r="AA662" s="599"/>
      <c r="AB662" s="600"/>
      <c r="AC662" s="601">
        <v>1</v>
      </c>
      <c r="AD662" s="600">
        <v>9</v>
      </c>
      <c r="AE662" s="599">
        <v>2</v>
      </c>
      <c r="AF662" s="600"/>
      <c r="AG662" s="601">
        <v>5</v>
      </c>
      <c r="AH662" s="600">
        <v>6</v>
      </c>
      <c r="AI662" s="599"/>
      <c r="AJ662" s="600"/>
      <c r="AK662" s="601">
        <v>5</v>
      </c>
      <c r="AL662" s="600">
        <v>3</v>
      </c>
      <c r="AM662" s="599">
        <v>6</v>
      </c>
      <c r="AN662" s="600"/>
      <c r="AO662" s="601"/>
      <c r="AP662" s="600">
        <v>1</v>
      </c>
      <c r="AQ662" s="599">
        <v>1</v>
      </c>
      <c r="AR662" s="600"/>
      <c r="AS662" s="601">
        <v>1</v>
      </c>
      <c r="AT662" s="600"/>
      <c r="AU662" s="599"/>
      <c r="AV662" s="600"/>
      <c r="AW662" s="601"/>
      <c r="AX662" s="600"/>
      <c r="AY662" s="599"/>
      <c r="AZ662" s="600"/>
      <c r="BA662" s="601"/>
      <c r="BB662" s="602">
        <v>4367702</v>
      </c>
      <c r="BC662" s="599">
        <v>4156151</v>
      </c>
      <c r="BD662" s="600">
        <v>2403558</v>
      </c>
      <c r="BE662" s="599">
        <v>2442049</v>
      </c>
      <c r="BF662" s="600">
        <v>2922138</v>
      </c>
      <c r="BG662" s="599">
        <v>2840688</v>
      </c>
      <c r="BH662" s="600">
        <v>703179</v>
      </c>
      <c r="BI662" s="599">
        <v>526017</v>
      </c>
      <c r="BJ662" s="600">
        <v>223044</v>
      </c>
      <c r="BK662" s="615">
        <v>428817</v>
      </c>
      <c r="BL662" s="600">
        <v>0</v>
      </c>
      <c r="BM662" s="604"/>
      <c r="BN662" s="605">
        <f t="shared" si="695"/>
        <v>516</v>
      </c>
      <c r="BO662" s="606">
        <f t="shared" si="696"/>
        <v>495</v>
      </c>
      <c r="BP662" s="607">
        <f t="shared" si="697"/>
        <v>341</v>
      </c>
      <c r="BQ662" s="606">
        <f t="shared" si="698"/>
        <v>352</v>
      </c>
      <c r="BR662" s="607">
        <f t="shared" si="699"/>
        <v>519</v>
      </c>
      <c r="BS662" s="606">
        <f t="shared" si="700"/>
        <v>491</v>
      </c>
      <c r="BT662" s="607">
        <f t="shared" si="701"/>
        <v>147</v>
      </c>
      <c r="BU662" s="606">
        <f t="shared" si="702"/>
        <v>128</v>
      </c>
      <c r="BV662" s="607">
        <f t="shared" si="703"/>
        <v>38</v>
      </c>
      <c r="BW662" s="608">
        <f t="shared" si="704"/>
        <v>77</v>
      </c>
      <c r="BX662" s="607">
        <f t="shared" si="705"/>
        <v>0</v>
      </c>
      <c r="BY662" s="608">
        <f t="shared" si="706"/>
        <v>0</v>
      </c>
      <c r="BZ662" s="607">
        <f t="shared" si="707"/>
        <v>8464.5387596899218</v>
      </c>
      <c r="CA662" s="608">
        <f t="shared" si="708"/>
        <v>8396.2646464646459</v>
      </c>
      <c r="CB662" s="607">
        <f t="shared" si="709"/>
        <v>7048.5571847507335</v>
      </c>
      <c r="CC662" s="608">
        <f t="shared" si="710"/>
        <v>6937.639204545455</v>
      </c>
      <c r="CD662" s="607">
        <f t="shared" si="711"/>
        <v>5630.3236994219651</v>
      </c>
      <c r="CE662" s="608">
        <f t="shared" si="712"/>
        <v>5785.5152749490835</v>
      </c>
      <c r="CF662" s="607">
        <f t="shared" si="713"/>
        <v>4783.5306122448983</v>
      </c>
      <c r="CG662" s="608">
        <f t="shared" si="714"/>
        <v>4109.5078125</v>
      </c>
      <c r="CH662" s="607">
        <f t="shared" si="715"/>
        <v>5869.5789473684208</v>
      </c>
      <c r="CI662" s="608">
        <f t="shared" si="716"/>
        <v>5569.0519480519479</v>
      </c>
      <c r="CJ662" s="607">
        <f t="shared" si="717"/>
        <v>0</v>
      </c>
      <c r="CK662" s="608">
        <f t="shared" si="718"/>
        <v>0</v>
      </c>
      <c r="CL662" s="609">
        <f t="shared" si="719"/>
        <v>76180.848837209298</v>
      </c>
      <c r="CM662" s="608">
        <f t="shared" si="720"/>
        <v>75566.381818181806</v>
      </c>
      <c r="CN662" s="610">
        <f t="shared" si="721"/>
        <v>63437.014662756599</v>
      </c>
      <c r="CO662" s="606">
        <f t="shared" si="722"/>
        <v>62438.752840909096</v>
      </c>
      <c r="CP662" s="607">
        <f t="shared" si="723"/>
        <v>50672.913294797683</v>
      </c>
      <c r="CQ662" s="606">
        <f t="shared" si="724"/>
        <v>52069.637474541749</v>
      </c>
      <c r="CR662" s="607">
        <f t="shared" si="725"/>
        <v>43051.775510204083</v>
      </c>
      <c r="CS662" s="606">
        <f t="shared" si="726"/>
        <v>36985.5703125</v>
      </c>
      <c r="CT662" s="607">
        <f t="shared" si="727"/>
        <v>52826.210526315786</v>
      </c>
      <c r="CU662" s="608">
        <f t="shared" si="728"/>
        <v>50121.467532467534</v>
      </c>
      <c r="CV662" s="610">
        <f t="shared" si="729"/>
        <v>0</v>
      </c>
      <c r="CW662" s="608">
        <f t="shared" si="730"/>
        <v>0</v>
      </c>
      <c r="CX662" s="610">
        <f t="shared" si="731"/>
        <v>61294.287632943844</v>
      </c>
      <c r="CY662" s="611">
        <f t="shared" si="732"/>
        <v>60813.63546638289</v>
      </c>
      <c r="CZ662" s="605">
        <f t="shared" si="733"/>
        <v>56</v>
      </c>
      <c r="DA662" s="612">
        <f t="shared" si="734"/>
        <v>53</v>
      </c>
      <c r="DB662" s="607">
        <f t="shared" si="735"/>
        <v>37</v>
      </c>
      <c r="DC662" s="606">
        <f t="shared" si="736"/>
        <v>38</v>
      </c>
      <c r="DD662" s="607">
        <f t="shared" si="737"/>
        <v>57</v>
      </c>
      <c r="DE662" s="606">
        <f t="shared" si="738"/>
        <v>54</v>
      </c>
      <c r="DF662" s="607">
        <f t="shared" si="739"/>
        <v>15</v>
      </c>
      <c r="DG662" s="606">
        <f t="shared" si="740"/>
        <v>12</v>
      </c>
      <c r="DH662" s="607">
        <f t="shared" si="741"/>
        <v>4</v>
      </c>
      <c r="DI662" s="608">
        <f t="shared" si="742"/>
        <v>8</v>
      </c>
      <c r="DJ662" s="607">
        <f t="shared" si="743"/>
        <v>0</v>
      </c>
      <c r="DK662" s="608">
        <f t="shared" si="744"/>
        <v>0</v>
      </c>
      <c r="DL662" s="607">
        <f t="shared" si="745"/>
        <v>169</v>
      </c>
      <c r="DM662" s="608">
        <f t="shared" si="746"/>
        <v>165</v>
      </c>
      <c r="DN662" s="607">
        <f t="shared" si="747"/>
        <v>4266127.5348837208</v>
      </c>
      <c r="DO662" s="612">
        <f t="shared" si="748"/>
        <v>4005018.2363636359</v>
      </c>
      <c r="DP662" s="607">
        <f t="shared" si="749"/>
        <v>2347169.5425219941</v>
      </c>
      <c r="DQ662" s="606">
        <f t="shared" si="750"/>
        <v>2372672.6079545454</v>
      </c>
      <c r="DR662" s="607">
        <f t="shared" si="751"/>
        <v>2888356.0578034678</v>
      </c>
      <c r="DS662" s="606">
        <f t="shared" si="752"/>
        <v>2811760.4236252545</v>
      </c>
      <c r="DT662" s="607">
        <f t="shared" si="753"/>
        <v>645776.6326530613</v>
      </c>
      <c r="DU662" s="606">
        <f t="shared" si="754"/>
        <v>443826.84375</v>
      </c>
      <c r="DV662" s="607">
        <f t="shared" si="755"/>
        <v>211304.84210526315</v>
      </c>
      <c r="DW662" s="608">
        <f t="shared" si="756"/>
        <v>400971.74025974027</v>
      </c>
      <c r="DX662" s="607">
        <f t="shared" si="757"/>
        <v>0</v>
      </c>
      <c r="DY662" s="608">
        <f t="shared" si="758"/>
        <v>0</v>
      </c>
      <c r="DZ662" s="607">
        <f t="shared" si="759"/>
        <v>10358734.609967509</v>
      </c>
      <c r="EA662" s="608">
        <f t="shared" si="760"/>
        <v>10034249.851953177</v>
      </c>
    </row>
    <row r="663" spans="1:131" x14ac:dyDescent="0.2">
      <c r="A663" s="317" t="s">
        <v>45</v>
      </c>
      <c r="B663" s="320" t="s">
        <v>370</v>
      </c>
      <c r="C663" s="593"/>
      <c r="D663" s="333">
        <v>237792</v>
      </c>
      <c r="E663" s="334">
        <v>5</v>
      </c>
      <c r="F663" s="598">
        <v>28</v>
      </c>
      <c r="G663" s="599">
        <v>26</v>
      </c>
      <c r="H663" s="600"/>
      <c r="I663" s="601">
        <v>2</v>
      </c>
      <c r="J663" s="600">
        <v>2</v>
      </c>
      <c r="K663" s="599"/>
      <c r="L663" s="600"/>
      <c r="M663" s="601">
        <v>1</v>
      </c>
      <c r="N663" s="600">
        <v>40</v>
      </c>
      <c r="O663" s="599">
        <v>47</v>
      </c>
      <c r="P663" s="600"/>
      <c r="Q663" s="601">
        <v>1</v>
      </c>
      <c r="R663" s="600"/>
      <c r="S663" s="599"/>
      <c r="T663" s="600"/>
      <c r="U663" s="601"/>
      <c r="V663" s="600">
        <v>52</v>
      </c>
      <c r="W663" s="599">
        <v>51</v>
      </c>
      <c r="X663" s="600"/>
      <c r="Y663" s="601">
        <v>2</v>
      </c>
      <c r="Z663" s="600"/>
      <c r="AA663" s="599"/>
      <c r="AB663" s="600"/>
      <c r="AC663" s="601"/>
      <c r="AD663" s="600"/>
      <c r="AE663" s="599"/>
      <c r="AF663" s="600"/>
      <c r="AG663" s="601"/>
      <c r="AH663" s="600"/>
      <c r="AI663" s="599"/>
      <c r="AJ663" s="600"/>
      <c r="AK663" s="601"/>
      <c r="AL663" s="600">
        <v>11</v>
      </c>
      <c r="AM663" s="599">
        <v>9</v>
      </c>
      <c r="AN663" s="600"/>
      <c r="AO663" s="601">
        <v>2</v>
      </c>
      <c r="AP663" s="600">
        <v>1</v>
      </c>
      <c r="AQ663" s="599"/>
      <c r="AR663" s="600"/>
      <c r="AS663" s="601">
        <v>1</v>
      </c>
      <c r="AT663" s="600"/>
      <c r="AU663" s="599"/>
      <c r="AV663" s="600"/>
      <c r="AW663" s="601"/>
      <c r="AX663" s="600"/>
      <c r="AY663" s="599"/>
      <c r="AZ663" s="600"/>
      <c r="BA663" s="601"/>
      <c r="BB663" s="602">
        <v>2297852</v>
      </c>
      <c r="BC663" s="599">
        <v>2198551</v>
      </c>
      <c r="BD663" s="600">
        <v>2561240</v>
      </c>
      <c r="BE663" s="599">
        <v>3023268</v>
      </c>
      <c r="BF663" s="600">
        <v>2897960</v>
      </c>
      <c r="BG663" s="599">
        <v>2886133</v>
      </c>
      <c r="BH663" s="600"/>
      <c r="BI663" s="599"/>
      <c r="BJ663" s="600">
        <v>633387</v>
      </c>
      <c r="BK663" s="615">
        <v>568292</v>
      </c>
      <c r="BL663" s="600">
        <v>0</v>
      </c>
      <c r="BM663" s="604"/>
      <c r="BN663" s="605">
        <f t="shared" si="695"/>
        <v>274</v>
      </c>
      <c r="BO663" s="606">
        <f t="shared" si="696"/>
        <v>266</v>
      </c>
      <c r="BP663" s="607">
        <f t="shared" si="697"/>
        <v>360</v>
      </c>
      <c r="BQ663" s="606">
        <f t="shared" si="698"/>
        <v>433</v>
      </c>
      <c r="BR663" s="607">
        <f t="shared" si="699"/>
        <v>468</v>
      </c>
      <c r="BS663" s="606">
        <f t="shared" si="700"/>
        <v>479</v>
      </c>
      <c r="BT663" s="607">
        <f t="shared" si="701"/>
        <v>0</v>
      </c>
      <c r="BU663" s="606">
        <f t="shared" si="702"/>
        <v>0</v>
      </c>
      <c r="BV663" s="607">
        <f t="shared" si="703"/>
        <v>110</v>
      </c>
      <c r="BW663" s="608">
        <f t="shared" si="704"/>
        <v>113</v>
      </c>
      <c r="BX663" s="607">
        <f t="shared" si="705"/>
        <v>0</v>
      </c>
      <c r="BY663" s="608">
        <f t="shared" si="706"/>
        <v>0</v>
      </c>
      <c r="BZ663" s="607">
        <f t="shared" si="707"/>
        <v>8386.3211678832122</v>
      </c>
      <c r="CA663" s="608">
        <f t="shared" si="708"/>
        <v>8265.229323308271</v>
      </c>
      <c r="CB663" s="607">
        <f t="shared" si="709"/>
        <v>7114.5555555555557</v>
      </c>
      <c r="CC663" s="608">
        <f t="shared" si="710"/>
        <v>6982.1431870669749</v>
      </c>
      <c r="CD663" s="607">
        <f t="shared" si="711"/>
        <v>6192.2222222222226</v>
      </c>
      <c r="CE663" s="608">
        <f t="shared" si="712"/>
        <v>6025.329853862213</v>
      </c>
      <c r="CF663" s="607">
        <f t="shared" si="713"/>
        <v>0</v>
      </c>
      <c r="CG663" s="608">
        <f t="shared" si="714"/>
        <v>0</v>
      </c>
      <c r="CH663" s="607">
        <f t="shared" si="715"/>
        <v>5758.0636363636368</v>
      </c>
      <c r="CI663" s="608">
        <f t="shared" si="716"/>
        <v>5029.1327433628321</v>
      </c>
      <c r="CJ663" s="607">
        <f t="shared" si="717"/>
        <v>0</v>
      </c>
      <c r="CK663" s="608">
        <f t="shared" si="718"/>
        <v>0</v>
      </c>
      <c r="CL663" s="609">
        <f t="shared" si="719"/>
        <v>75476.890510948913</v>
      </c>
      <c r="CM663" s="608">
        <f t="shared" si="720"/>
        <v>74387.063909774442</v>
      </c>
      <c r="CN663" s="610">
        <f t="shared" si="721"/>
        <v>64031</v>
      </c>
      <c r="CO663" s="606">
        <f t="shared" si="722"/>
        <v>62839.288683602776</v>
      </c>
      <c r="CP663" s="607">
        <f t="shared" si="723"/>
        <v>55730</v>
      </c>
      <c r="CQ663" s="606">
        <f t="shared" si="724"/>
        <v>54227.968684759915</v>
      </c>
      <c r="CR663" s="607">
        <f t="shared" si="725"/>
        <v>0</v>
      </c>
      <c r="CS663" s="606">
        <f t="shared" si="726"/>
        <v>0</v>
      </c>
      <c r="CT663" s="607">
        <f t="shared" si="727"/>
        <v>51822.572727272731</v>
      </c>
      <c r="CU663" s="608">
        <f t="shared" si="728"/>
        <v>45262.194690265489</v>
      </c>
      <c r="CV663" s="610">
        <f t="shared" si="729"/>
        <v>0</v>
      </c>
      <c r="CW663" s="608">
        <f t="shared" si="730"/>
        <v>0</v>
      </c>
      <c r="CX663" s="610">
        <f t="shared" si="731"/>
        <v>62278.937224296576</v>
      </c>
      <c r="CY663" s="611">
        <f t="shared" si="732"/>
        <v>60498.164695576437</v>
      </c>
      <c r="CZ663" s="605">
        <f t="shared" si="733"/>
        <v>30</v>
      </c>
      <c r="DA663" s="612">
        <f t="shared" si="734"/>
        <v>29</v>
      </c>
      <c r="DB663" s="607">
        <f t="shared" si="735"/>
        <v>40</v>
      </c>
      <c r="DC663" s="606">
        <f t="shared" si="736"/>
        <v>48</v>
      </c>
      <c r="DD663" s="607">
        <f t="shared" si="737"/>
        <v>52</v>
      </c>
      <c r="DE663" s="606">
        <f t="shared" si="738"/>
        <v>53</v>
      </c>
      <c r="DF663" s="607">
        <f t="shared" si="739"/>
        <v>0</v>
      </c>
      <c r="DG663" s="606">
        <f t="shared" si="740"/>
        <v>0</v>
      </c>
      <c r="DH663" s="607">
        <f t="shared" si="741"/>
        <v>12</v>
      </c>
      <c r="DI663" s="608">
        <f t="shared" si="742"/>
        <v>12</v>
      </c>
      <c r="DJ663" s="607">
        <f t="shared" si="743"/>
        <v>0</v>
      </c>
      <c r="DK663" s="608">
        <f t="shared" si="744"/>
        <v>0</v>
      </c>
      <c r="DL663" s="607">
        <f t="shared" si="745"/>
        <v>134</v>
      </c>
      <c r="DM663" s="608">
        <f t="shared" si="746"/>
        <v>142</v>
      </c>
      <c r="DN663" s="607">
        <f t="shared" si="747"/>
        <v>2264306.7153284675</v>
      </c>
      <c r="DO663" s="612">
        <f t="shared" si="748"/>
        <v>2157224.8533834587</v>
      </c>
      <c r="DP663" s="607">
        <f t="shared" si="749"/>
        <v>2561240</v>
      </c>
      <c r="DQ663" s="606">
        <f t="shared" si="750"/>
        <v>3016285.8568129335</v>
      </c>
      <c r="DR663" s="607">
        <f t="shared" si="751"/>
        <v>2897960</v>
      </c>
      <c r="DS663" s="606">
        <f t="shared" si="752"/>
        <v>2874082.3402922754</v>
      </c>
      <c r="DT663" s="607">
        <f t="shared" si="753"/>
        <v>0</v>
      </c>
      <c r="DU663" s="606">
        <f t="shared" si="754"/>
        <v>0</v>
      </c>
      <c r="DV663" s="607">
        <f t="shared" si="755"/>
        <v>621870.8727272728</v>
      </c>
      <c r="DW663" s="608">
        <f t="shared" si="756"/>
        <v>543146.33628318587</v>
      </c>
      <c r="DX663" s="607">
        <f t="shared" si="757"/>
        <v>0</v>
      </c>
      <c r="DY663" s="608">
        <f t="shared" si="758"/>
        <v>0</v>
      </c>
      <c r="DZ663" s="607">
        <f t="shared" si="759"/>
        <v>8345377.588055741</v>
      </c>
      <c r="EA663" s="608">
        <f t="shared" si="760"/>
        <v>8590739.386771854</v>
      </c>
    </row>
    <row r="664" spans="1:131" x14ac:dyDescent="0.2">
      <c r="A664" s="317" t="s">
        <v>45</v>
      </c>
      <c r="B664" s="318" t="s">
        <v>371</v>
      </c>
      <c r="C664" s="592"/>
      <c r="D664" s="333">
        <v>237215</v>
      </c>
      <c r="E664" s="319">
        <v>6</v>
      </c>
      <c r="F664" s="598">
        <v>21</v>
      </c>
      <c r="G664" s="599">
        <v>20</v>
      </c>
      <c r="H664" s="600"/>
      <c r="I664" s="601"/>
      <c r="J664" s="600">
        <v>2</v>
      </c>
      <c r="K664" s="599"/>
      <c r="L664" s="600"/>
      <c r="M664" s="601">
        <v>1</v>
      </c>
      <c r="N664" s="600">
        <v>18</v>
      </c>
      <c r="O664" s="599">
        <v>17</v>
      </c>
      <c r="P664" s="600"/>
      <c r="Q664" s="601">
        <v>1</v>
      </c>
      <c r="R664" s="600">
        <v>1</v>
      </c>
      <c r="S664" s="599"/>
      <c r="T664" s="600"/>
      <c r="U664" s="601">
        <v>1</v>
      </c>
      <c r="V664" s="600">
        <v>27</v>
      </c>
      <c r="W664" s="599">
        <v>26</v>
      </c>
      <c r="X664" s="600"/>
      <c r="Y664" s="601">
        <v>1</v>
      </c>
      <c r="Z664" s="600">
        <v>1</v>
      </c>
      <c r="AA664" s="599"/>
      <c r="AB664" s="600"/>
      <c r="AC664" s="601"/>
      <c r="AD664" s="600">
        <v>2</v>
      </c>
      <c r="AE664" s="599">
        <v>6</v>
      </c>
      <c r="AF664" s="600"/>
      <c r="AG664" s="601"/>
      <c r="AH664" s="600"/>
      <c r="AI664" s="599"/>
      <c r="AJ664" s="600"/>
      <c r="AK664" s="601"/>
      <c r="AL664" s="600">
        <v>1</v>
      </c>
      <c r="AM664" s="599">
        <v>1</v>
      </c>
      <c r="AN664" s="600"/>
      <c r="AO664" s="601"/>
      <c r="AP664" s="600"/>
      <c r="AQ664" s="599"/>
      <c r="AR664" s="600"/>
      <c r="AS664" s="601"/>
      <c r="AT664" s="600"/>
      <c r="AU664" s="599"/>
      <c r="AV664" s="600"/>
      <c r="AW664" s="601"/>
      <c r="AX664" s="600"/>
      <c r="AY664" s="599"/>
      <c r="AZ664" s="600"/>
      <c r="BA664" s="601"/>
      <c r="BB664" s="602">
        <v>1550070</v>
      </c>
      <c r="BC664" s="599">
        <v>1375872</v>
      </c>
      <c r="BD664" s="600">
        <v>1096206</v>
      </c>
      <c r="BE664" s="599">
        <v>1105968</v>
      </c>
      <c r="BF664" s="600">
        <v>1485144</v>
      </c>
      <c r="BG664" s="599">
        <v>1434468</v>
      </c>
      <c r="BH664" s="600">
        <v>85152</v>
      </c>
      <c r="BI664" s="599">
        <v>240976</v>
      </c>
      <c r="BJ664" s="600">
        <v>39564</v>
      </c>
      <c r="BK664" s="615">
        <v>39624</v>
      </c>
      <c r="BL664" s="600">
        <v>0</v>
      </c>
      <c r="BM664" s="604"/>
      <c r="BN664" s="605">
        <f t="shared" si="695"/>
        <v>211</v>
      </c>
      <c r="BO664" s="606">
        <f t="shared" si="696"/>
        <v>192</v>
      </c>
      <c r="BP664" s="607">
        <f t="shared" si="697"/>
        <v>173</v>
      </c>
      <c r="BQ664" s="606">
        <f t="shared" si="698"/>
        <v>175</v>
      </c>
      <c r="BR664" s="607">
        <f t="shared" si="699"/>
        <v>254</v>
      </c>
      <c r="BS664" s="606">
        <f t="shared" si="700"/>
        <v>244</v>
      </c>
      <c r="BT664" s="607">
        <f t="shared" si="701"/>
        <v>18</v>
      </c>
      <c r="BU664" s="606">
        <f t="shared" si="702"/>
        <v>54</v>
      </c>
      <c r="BV664" s="607">
        <f t="shared" si="703"/>
        <v>9</v>
      </c>
      <c r="BW664" s="608">
        <f t="shared" si="704"/>
        <v>9</v>
      </c>
      <c r="BX664" s="607">
        <f t="shared" si="705"/>
        <v>0</v>
      </c>
      <c r="BY664" s="608">
        <f t="shared" si="706"/>
        <v>0</v>
      </c>
      <c r="BZ664" s="607">
        <f t="shared" si="707"/>
        <v>7346.3033175355449</v>
      </c>
      <c r="CA664" s="608">
        <f t="shared" si="708"/>
        <v>7166</v>
      </c>
      <c r="CB664" s="607">
        <f t="shared" si="709"/>
        <v>6336.4508670520236</v>
      </c>
      <c r="CC664" s="608">
        <f t="shared" si="710"/>
        <v>6319.8171428571432</v>
      </c>
      <c r="CD664" s="607">
        <f t="shared" si="711"/>
        <v>5847.0236220472443</v>
      </c>
      <c r="CE664" s="608">
        <f t="shared" si="712"/>
        <v>5878.9672131147545</v>
      </c>
      <c r="CF664" s="607">
        <f t="shared" si="713"/>
        <v>4730.666666666667</v>
      </c>
      <c r="CG664" s="608">
        <f t="shared" si="714"/>
        <v>4462.5185185185182</v>
      </c>
      <c r="CH664" s="607">
        <f t="shared" si="715"/>
        <v>4396</v>
      </c>
      <c r="CI664" s="608">
        <f t="shared" si="716"/>
        <v>4402.666666666667</v>
      </c>
      <c r="CJ664" s="607">
        <f t="shared" si="717"/>
        <v>0</v>
      </c>
      <c r="CK664" s="608">
        <f t="shared" si="718"/>
        <v>0</v>
      </c>
      <c r="CL664" s="609">
        <f t="shared" si="719"/>
        <v>66116.729857819912</v>
      </c>
      <c r="CM664" s="608">
        <f t="shared" si="720"/>
        <v>64494</v>
      </c>
      <c r="CN664" s="610">
        <f t="shared" si="721"/>
        <v>57028.057803468211</v>
      </c>
      <c r="CO664" s="606">
        <f t="shared" si="722"/>
        <v>56878.354285714289</v>
      </c>
      <c r="CP664" s="607">
        <f t="shared" si="723"/>
        <v>52623.212598425198</v>
      </c>
      <c r="CQ664" s="606">
        <f t="shared" si="724"/>
        <v>52910.704918032789</v>
      </c>
      <c r="CR664" s="607">
        <f t="shared" si="725"/>
        <v>42576</v>
      </c>
      <c r="CS664" s="606">
        <f t="shared" si="726"/>
        <v>40162.666666666664</v>
      </c>
      <c r="CT664" s="607">
        <f t="shared" si="727"/>
        <v>39564</v>
      </c>
      <c r="CU664" s="608">
        <f t="shared" si="728"/>
        <v>39624</v>
      </c>
      <c r="CV664" s="610">
        <f t="shared" si="729"/>
        <v>0</v>
      </c>
      <c r="CW664" s="608">
        <f t="shared" si="730"/>
        <v>0</v>
      </c>
      <c r="CX664" s="610">
        <f t="shared" si="731"/>
        <v>57566.901887009037</v>
      </c>
      <c r="CY664" s="611">
        <f t="shared" si="732"/>
        <v>56003.402219127791</v>
      </c>
      <c r="CZ664" s="605">
        <f t="shared" si="733"/>
        <v>23</v>
      </c>
      <c r="DA664" s="612">
        <f t="shared" si="734"/>
        <v>21</v>
      </c>
      <c r="DB664" s="607">
        <f t="shared" si="735"/>
        <v>19</v>
      </c>
      <c r="DC664" s="606">
        <f t="shared" si="736"/>
        <v>19</v>
      </c>
      <c r="DD664" s="607">
        <f t="shared" si="737"/>
        <v>28</v>
      </c>
      <c r="DE664" s="606">
        <f t="shared" si="738"/>
        <v>27</v>
      </c>
      <c r="DF664" s="607">
        <f t="shared" si="739"/>
        <v>2</v>
      </c>
      <c r="DG664" s="606">
        <f t="shared" si="740"/>
        <v>6</v>
      </c>
      <c r="DH664" s="607">
        <f t="shared" si="741"/>
        <v>1</v>
      </c>
      <c r="DI664" s="608">
        <f t="shared" si="742"/>
        <v>1</v>
      </c>
      <c r="DJ664" s="607">
        <f t="shared" si="743"/>
        <v>0</v>
      </c>
      <c r="DK664" s="608">
        <f t="shared" si="744"/>
        <v>0</v>
      </c>
      <c r="DL664" s="607">
        <f t="shared" si="745"/>
        <v>73</v>
      </c>
      <c r="DM664" s="608">
        <f t="shared" si="746"/>
        <v>74</v>
      </c>
      <c r="DN664" s="607">
        <f t="shared" si="747"/>
        <v>1520684.786729858</v>
      </c>
      <c r="DO664" s="612">
        <f t="shared" si="748"/>
        <v>1354374</v>
      </c>
      <c r="DP664" s="607">
        <f t="shared" si="749"/>
        <v>1083533.0982658961</v>
      </c>
      <c r="DQ664" s="606">
        <f t="shared" si="750"/>
        <v>1080688.7314285715</v>
      </c>
      <c r="DR664" s="607">
        <f t="shared" si="751"/>
        <v>1473449.9527559055</v>
      </c>
      <c r="DS664" s="606">
        <f t="shared" si="752"/>
        <v>1428589.0327868853</v>
      </c>
      <c r="DT664" s="607">
        <f t="shared" si="753"/>
        <v>85152</v>
      </c>
      <c r="DU664" s="606">
        <f t="shared" si="754"/>
        <v>240976</v>
      </c>
      <c r="DV664" s="607">
        <f t="shared" si="755"/>
        <v>39564</v>
      </c>
      <c r="DW664" s="608">
        <f t="shared" si="756"/>
        <v>39624</v>
      </c>
      <c r="DX664" s="607">
        <f t="shared" si="757"/>
        <v>0</v>
      </c>
      <c r="DY664" s="608">
        <f t="shared" si="758"/>
        <v>0</v>
      </c>
      <c r="DZ664" s="607">
        <f t="shared" si="759"/>
        <v>4202383.8377516596</v>
      </c>
      <c r="EA664" s="608">
        <f t="shared" si="760"/>
        <v>4144251.7642154563</v>
      </c>
    </row>
    <row r="665" spans="1:131" x14ac:dyDescent="0.2">
      <c r="A665" s="317" t="s">
        <v>45</v>
      </c>
      <c r="B665" s="318" t="s">
        <v>372</v>
      </c>
      <c r="C665" s="592"/>
      <c r="D665" s="333">
        <v>237330</v>
      </c>
      <c r="E665" s="319">
        <v>6</v>
      </c>
      <c r="F665" s="598">
        <v>29</v>
      </c>
      <c r="G665" s="599">
        <v>29</v>
      </c>
      <c r="H665" s="600"/>
      <c r="I665" s="601">
        <v>1</v>
      </c>
      <c r="J665" s="600">
        <v>4</v>
      </c>
      <c r="K665" s="599">
        <v>3</v>
      </c>
      <c r="L665" s="600"/>
      <c r="M665" s="601">
        <v>3</v>
      </c>
      <c r="N665" s="600">
        <v>25</v>
      </c>
      <c r="O665" s="599">
        <v>27</v>
      </c>
      <c r="P665" s="600"/>
      <c r="Q665" s="601"/>
      <c r="R665" s="600"/>
      <c r="S665" s="599">
        <v>2</v>
      </c>
      <c r="T665" s="600"/>
      <c r="U665" s="601"/>
      <c r="V665" s="600">
        <v>41</v>
      </c>
      <c r="W665" s="599">
        <v>37</v>
      </c>
      <c r="X665" s="600"/>
      <c r="Y665" s="601"/>
      <c r="Z665" s="600"/>
      <c r="AA665" s="599"/>
      <c r="AB665" s="600"/>
      <c r="AC665" s="601">
        <v>1</v>
      </c>
      <c r="AD665" s="600">
        <v>16</v>
      </c>
      <c r="AE665" s="599">
        <v>14</v>
      </c>
      <c r="AF665" s="600"/>
      <c r="AG665" s="601">
        <v>2</v>
      </c>
      <c r="AH665" s="600">
        <v>2</v>
      </c>
      <c r="AI665" s="599">
        <v>1</v>
      </c>
      <c r="AJ665" s="600"/>
      <c r="AK665" s="601">
        <v>1</v>
      </c>
      <c r="AL665" s="600">
        <v>5</v>
      </c>
      <c r="AM665" s="599">
        <v>5</v>
      </c>
      <c r="AN665" s="600"/>
      <c r="AO665" s="601"/>
      <c r="AP665" s="600"/>
      <c r="AQ665" s="599"/>
      <c r="AR665" s="600"/>
      <c r="AS665" s="601">
        <v>1</v>
      </c>
      <c r="AT665" s="600"/>
      <c r="AU665" s="599"/>
      <c r="AV665" s="600"/>
      <c r="AW665" s="601"/>
      <c r="AX665" s="600"/>
      <c r="AY665" s="599"/>
      <c r="AZ665" s="600"/>
      <c r="BA665" s="601"/>
      <c r="BB665" s="602">
        <v>2386537</v>
      </c>
      <c r="BC665" s="599">
        <v>2602117</v>
      </c>
      <c r="BD665" s="600">
        <v>1473525</v>
      </c>
      <c r="BE665" s="599">
        <v>1713496</v>
      </c>
      <c r="BF665" s="600">
        <v>2125973</v>
      </c>
      <c r="BG665" s="599">
        <v>1997717</v>
      </c>
      <c r="BH665" s="600">
        <v>760028</v>
      </c>
      <c r="BI665" s="599">
        <v>753227</v>
      </c>
      <c r="BJ665" s="600">
        <v>157500</v>
      </c>
      <c r="BK665" s="615">
        <f>91445+157500</f>
        <v>248945</v>
      </c>
      <c r="BL665" s="600">
        <v>0</v>
      </c>
      <c r="BM665" s="604"/>
      <c r="BN665" s="605">
        <f t="shared" si="695"/>
        <v>305</v>
      </c>
      <c r="BO665" s="606">
        <f t="shared" si="696"/>
        <v>340</v>
      </c>
      <c r="BP665" s="607">
        <f t="shared" si="697"/>
        <v>225</v>
      </c>
      <c r="BQ665" s="606">
        <f t="shared" si="698"/>
        <v>265</v>
      </c>
      <c r="BR665" s="607">
        <f t="shared" si="699"/>
        <v>369</v>
      </c>
      <c r="BS665" s="606">
        <f t="shared" si="700"/>
        <v>345</v>
      </c>
      <c r="BT665" s="607">
        <f t="shared" si="701"/>
        <v>166</v>
      </c>
      <c r="BU665" s="606">
        <f t="shared" si="702"/>
        <v>169</v>
      </c>
      <c r="BV665" s="607">
        <f t="shared" si="703"/>
        <v>45</v>
      </c>
      <c r="BW665" s="608">
        <f t="shared" si="704"/>
        <v>57</v>
      </c>
      <c r="BX665" s="607">
        <f t="shared" si="705"/>
        <v>0</v>
      </c>
      <c r="BY665" s="608">
        <f t="shared" si="706"/>
        <v>0</v>
      </c>
      <c r="BZ665" s="607">
        <f t="shared" si="707"/>
        <v>7824.7114754098357</v>
      </c>
      <c r="CA665" s="608">
        <f t="shared" si="708"/>
        <v>7653.285294117647</v>
      </c>
      <c r="CB665" s="607">
        <f t="shared" si="709"/>
        <v>6549</v>
      </c>
      <c r="CC665" s="608">
        <f t="shared" si="710"/>
        <v>6466.0226415094339</v>
      </c>
      <c r="CD665" s="607">
        <f t="shared" si="711"/>
        <v>5761.4444444444443</v>
      </c>
      <c r="CE665" s="608">
        <f t="shared" si="712"/>
        <v>5790.4840579710144</v>
      </c>
      <c r="CF665" s="607">
        <f t="shared" si="713"/>
        <v>4578.4819277108436</v>
      </c>
      <c r="CG665" s="608">
        <f t="shared" si="714"/>
        <v>4456.9644970414201</v>
      </c>
      <c r="CH665" s="607">
        <f t="shared" si="715"/>
        <v>3500</v>
      </c>
      <c r="CI665" s="608">
        <f t="shared" si="716"/>
        <v>4367.4561403508769</v>
      </c>
      <c r="CJ665" s="607">
        <f t="shared" si="717"/>
        <v>0</v>
      </c>
      <c r="CK665" s="608">
        <f t="shared" si="718"/>
        <v>0</v>
      </c>
      <c r="CL665" s="609">
        <f t="shared" si="719"/>
        <v>70422.403278688522</v>
      </c>
      <c r="CM665" s="608">
        <f t="shared" si="720"/>
        <v>68879.567647058822</v>
      </c>
      <c r="CN665" s="610">
        <f t="shared" si="721"/>
        <v>58941</v>
      </c>
      <c r="CO665" s="606">
        <f t="shared" si="722"/>
        <v>58194.203773584908</v>
      </c>
      <c r="CP665" s="607">
        <f t="shared" si="723"/>
        <v>51853</v>
      </c>
      <c r="CQ665" s="606">
        <f t="shared" si="724"/>
        <v>52114.35652173913</v>
      </c>
      <c r="CR665" s="607">
        <f t="shared" si="725"/>
        <v>41206.337349397596</v>
      </c>
      <c r="CS665" s="606">
        <f t="shared" si="726"/>
        <v>40112.680473372784</v>
      </c>
      <c r="CT665" s="607">
        <f t="shared" si="727"/>
        <v>31500</v>
      </c>
      <c r="CU665" s="608">
        <f t="shared" si="728"/>
        <v>39307.105263157893</v>
      </c>
      <c r="CV665" s="610">
        <f t="shared" si="729"/>
        <v>0</v>
      </c>
      <c r="CW665" s="608">
        <f t="shared" si="730"/>
        <v>0</v>
      </c>
      <c r="CX665" s="610">
        <f t="shared" si="731"/>
        <v>55923.371971195724</v>
      </c>
      <c r="CY665" s="611">
        <f t="shared" si="732"/>
        <v>55948.919469715154</v>
      </c>
      <c r="CZ665" s="605">
        <f t="shared" si="733"/>
        <v>33</v>
      </c>
      <c r="DA665" s="612">
        <f t="shared" si="734"/>
        <v>36</v>
      </c>
      <c r="DB665" s="607">
        <f t="shared" si="735"/>
        <v>25</v>
      </c>
      <c r="DC665" s="606">
        <f t="shared" si="736"/>
        <v>29</v>
      </c>
      <c r="DD665" s="607">
        <f t="shared" si="737"/>
        <v>41</v>
      </c>
      <c r="DE665" s="606">
        <f t="shared" si="738"/>
        <v>38</v>
      </c>
      <c r="DF665" s="607">
        <f t="shared" si="739"/>
        <v>18</v>
      </c>
      <c r="DG665" s="606">
        <f t="shared" si="740"/>
        <v>18</v>
      </c>
      <c r="DH665" s="607">
        <f t="shared" si="741"/>
        <v>5</v>
      </c>
      <c r="DI665" s="608">
        <f t="shared" si="742"/>
        <v>6</v>
      </c>
      <c r="DJ665" s="607">
        <f t="shared" si="743"/>
        <v>0</v>
      </c>
      <c r="DK665" s="608">
        <f t="shared" si="744"/>
        <v>0</v>
      </c>
      <c r="DL665" s="607">
        <f t="shared" si="745"/>
        <v>122</v>
      </c>
      <c r="DM665" s="608">
        <f t="shared" si="746"/>
        <v>127</v>
      </c>
      <c r="DN665" s="607">
        <f t="shared" si="747"/>
        <v>2323939.3081967211</v>
      </c>
      <c r="DO665" s="612">
        <f t="shared" si="748"/>
        <v>2479664.4352941178</v>
      </c>
      <c r="DP665" s="607">
        <f t="shared" si="749"/>
        <v>1473525</v>
      </c>
      <c r="DQ665" s="606">
        <f t="shared" si="750"/>
        <v>1687631.9094339623</v>
      </c>
      <c r="DR665" s="607">
        <f t="shared" si="751"/>
        <v>2125973</v>
      </c>
      <c r="DS665" s="606">
        <f t="shared" si="752"/>
        <v>1980345.5478260869</v>
      </c>
      <c r="DT665" s="607">
        <f t="shared" si="753"/>
        <v>741714.07228915673</v>
      </c>
      <c r="DU665" s="606">
        <f t="shared" si="754"/>
        <v>722028.24852071016</v>
      </c>
      <c r="DV665" s="607">
        <f t="shared" si="755"/>
        <v>157500</v>
      </c>
      <c r="DW665" s="608">
        <f t="shared" si="756"/>
        <v>235842.63157894736</v>
      </c>
      <c r="DX665" s="607">
        <f t="shared" si="757"/>
        <v>0</v>
      </c>
      <c r="DY665" s="608">
        <f t="shared" si="758"/>
        <v>0</v>
      </c>
      <c r="DZ665" s="607">
        <f t="shared" si="759"/>
        <v>6822651.3804858783</v>
      </c>
      <c r="EA665" s="608">
        <f t="shared" si="760"/>
        <v>7105512.7726538246</v>
      </c>
    </row>
    <row r="666" spans="1:131" x14ac:dyDescent="0.2">
      <c r="A666" s="317" t="s">
        <v>45</v>
      </c>
      <c r="B666" s="318" t="s">
        <v>373</v>
      </c>
      <c r="C666" s="592"/>
      <c r="D666" s="333">
        <v>237385</v>
      </c>
      <c r="E666" s="319">
        <v>6</v>
      </c>
      <c r="F666" s="598">
        <v>8</v>
      </c>
      <c r="G666" s="599">
        <v>8</v>
      </c>
      <c r="H666" s="600"/>
      <c r="I666" s="601"/>
      <c r="J666" s="600"/>
      <c r="K666" s="599"/>
      <c r="L666" s="600"/>
      <c r="M666" s="601"/>
      <c r="N666" s="600">
        <v>11</v>
      </c>
      <c r="O666" s="599">
        <v>10</v>
      </c>
      <c r="P666" s="600"/>
      <c r="Q666" s="601">
        <v>1</v>
      </c>
      <c r="R666" s="600">
        <v>2</v>
      </c>
      <c r="S666" s="599"/>
      <c r="T666" s="600"/>
      <c r="U666" s="601">
        <v>2</v>
      </c>
      <c r="V666" s="600">
        <v>28</v>
      </c>
      <c r="W666" s="599">
        <v>27</v>
      </c>
      <c r="X666" s="600"/>
      <c r="Y666" s="601"/>
      <c r="Z666" s="600"/>
      <c r="AA666" s="599"/>
      <c r="AB666" s="600"/>
      <c r="AC666" s="601"/>
      <c r="AD666" s="600">
        <v>16</v>
      </c>
      <c r="AE666" s="599">
        <v>15</v>
      </c>
      <c r="AF666" s="600"/>
      <c r="AG666" s="601">
        <v>2</v>
      </c>
      <c r="AH666" s="600">
        <v>1</v>
      </c>
      <c r="AI666" s="599"/>
      <c r="AJ666" s="600"/>
      <c r="AK666" s="601">
        <v>1</v>
      </c>
      <c r="AL666" s="600"/>
      <c r="AM666" s="599"/>
      <c r="AN666" s="600"/>
      <c r="AO666" s="601"/>
      <c r="AP666" s="600">
        <v>1</v>
      </c>
      <c r="AQ666" s="599"/>
      <c r="AR666" s="600"/>
      <c r="AS666" s="601"/>
      <c r="AT666" s="600"/>
      <c r="AU666" s="599"/>
      <c r="AV666" s="600"/>
      <c r="AW666" s="601"/>
      <c r="AX666" s="600"/>
      <c r="AY666" s="599"/>
      <c r="AZ666" s="600"/>
      <c r="BA666" s="601"/>
      <c r="BB666" s="602">
        <v>561656</v>
      </c>
      <c r="BC666" s="599">
        <v>593245</v>
      </c>
      <c r="BD666" s="600">
        <v>847902</v>
      </c>
      <c r="BE666" s="599">
        <v>875951</v>
      </c>
      <c r="BF666" s="600">
        <v>1402408</v>
      </c>
      <c r="BG666" s="599">
        <v>1416172</v>
      </c>
      <c r="BH666" s="600">
        <v>737321</v>
      </c>
      <c r="BI666" s="599">
        <v>808876</v>
      </c>
      <c r="BJ666" s="600">
        <v>45636</v>
      </c>
      <c r="BK666" s="615"/>
      <c r="BL666" s="600">
        <v>0</v>
      </c>
      <c r="BM666" s="604"/>
      <c r="BN666" s="605">
        <f t="shared" si="695"/>
        <v>72</v>
      </c>
      <c r="BO666" s="606">
        <f t="shared" si="696"/>
        <v>72</v>
      </c>
      <c r="BP666" s="607">
        <f t="shared" si="697"/>
        <v>121</v>
      </c>
      <c r="BQ666" s="606">
        <f t="shared" si="698"/>
        <v>124</v>
      </c>
      <c r="BR666" s="607">
        <f t="shared" si="699"/>
        <v>252</v>
      </c>
      <c r="BS666" s="606">
        <f t="shared" si="700"/>
        <v>243</v>
      </c>
      <c r="BT666" s="607">
        <f t="shared" si="701"/>
        <v>155</v>
      </c>
      <c r="BU666" s="606">
        <f t="shared" si="702"/>
        <v>167</v>
      </c>
      <c r="BV666" s="607">
        <f t="shared" si="703"/>
        <v>11</v>
      </c>
      <c r="BW666" s="608">
        <f t="shared" si="704"/>
        <v>0</v>
      </c>
      <c r="BX666" s="607">
        <f t="shared" si="705"/>
        <v>0</v>
      </c>
      <c r="BY666" s="608">
        <f t="shared" si="706"/>
        <v>0</v>
      </c>
      <c r="BZ666" s="607">
        <f t="shared" si="707"/>
        <v>7800.7777777777774</v>
      </c>
      <c r="CA666" s="608">
        <f t="shared" si="708"/>
        <v>8239.5138888888887</v>
      </c>
      <c r="CB666" s="607">
        <f t="shared" si="709"/>
        <v>7007.454545454545</v>
      </c>
      <c r="CC666" s="608">
        <f t="shared" si="710"/>
        <v>7064.1209677419356</v>
      </c>
      <c r="CD666" s="607">
        <f t="shared" si="711"/>
        <v>5565.1111111111113</v>
      </c>
      <c r="CE666" s="608">
        <f t="shared" si="712"/>
        <v>5827.8683127572012</v>
      </c>
      <c r="CF666" s="607">
        <f t="shared" si="713"/>
        <v>4756.9096774193549</v>
      </c>
      <c r="CG666" s="608">
        <f t="shared" si="714"/>
        <v>4843.5688622754487</v>
      </c>
      <c r="CH666" s="607">
        <f t="shared" si="715"/>
        <v>4148.727272727273</v>
      </c>
      <c r="CI666" s="608">
        <f t="shared" si="716"/>
        <v>0</v>
      </c>
      <c r="CJ666" s="607">
        <f t="shared" si="717"/>
        <v>0</v>
      </c>
      <c r="CK666" s="608">
        <f t="shared" si="718"/>
        <v>0</v>
      </c>
      <c r="CL666" s="609">
        <f t="shared" si="719"/>
        <v>70207</v>
      </c>
      <c r="CM666" s="608">
        <f t="shared" si="720"/>
        <v>74155.625</v>
      </c>
      <c r="CN666" s="610">
        <f t="shared" si="721"/>
        <v>63067.090909090904</v>
      </c>
      <c r="CO666" s="606">
        <f t="shared" si="722"/>
        <v>63577.088709677424</v>
      </c>
      <c r="CP666" s="607">
        <f t="shared" si="723"/>
        <v>50086</v>
      </c>
      <c r="CQ666" s="606">
        <f t="shared" si="724"/>
        <v>52450.81481481481</v>
      </c>
      <c r="CR666" s="607">
        <f t="shared" si="725"/>
        <v>42812.187096774192</v>
      </c>
      <c r="CS666" s="606">
        <f t="shared" si="726"/>
        <v>43592.119760479036</v>
      </c>
      <c r="CT666" s="607">
        <f t="shared" si="727"/>
        <v>37338.545454545456</v>
      </c>
      <c r="CU666" s="608">
        <f t="shared" si="728"/>
        <v>0</v>
      </c>
      <c r="CV666" s="610">
        <f t="shared" si="729"/>
        <v>0</v>
      </c>
      <c r="CW666" s="608">
        <f t="shared" si="730"/>
        <v>0</v>
      </c>
      <c r="CX666" s="610">
        <f t="shared" si="731"/>
        <v>52971.371759968482</v>
      </c>
      <c r="CY666" s="611">
        <f t="shared" si="732"/>
        <v>54857.231953248927</v>
      </c>
      <c r="CZ666" s="605">
        <f t="shared" si="733"/>
        <v>8</v>
      </c>
      <c r="DA666" s="612">
        <f t="shared" si="734"/>
        <v>8</v>
      </c>
      <c r="DB666" s="607">
        <f t="shared" si="735"/>
        <v>13</v>
      </c>
      <c r="DC666" s="606">
        <f t="shared" si="736"/>
        <v>13</v>
      </c>
      <c r="DD666" s="607">
        <f t="shared" si="737"/>
        <v>28</v>
      </c>
      <c r="DE666" s="606">
        <f t="shared" si="738"/>
        <v>27</v>
      </c>
      <c r="DF666" s="607">
        <f t="shared" si="739"/>
        <v>17</v>
      </c>
      <c r="DG666" s="606">
        <f t="shared" si="740"/>
        <v>18</v>
      </c>
      <c r="DH666" s="607">
        <f t="shared" si="741"/>
        <v>1</v>
      </c>
      <c r="DI666" s="608">
        <f t="shared" si="742"/>
        <v>0</v>
      </c>
      <c r="DJ666" s="607">
        <f t="shared" si="743"/>
        <v>0</v>
      </c>
      <c r="DK666" s="608">
        <f t="shared" si="744"/>
        <v>0</v>
      </c>
      <c r="DL666" s="607">
        <f t="shared" si="745"/>
        <v>67</v>
      </c>
      <c r="DM666" s="608">
        <f t="shared" si="746"/>
        <v>66</v>
      </c>
      <c r="DN666" s="607">
        <f t="shared" si="747"/>
        <v>561656</v>
      </c>
      <c r="DO666" s="612">
        <f t="shared" si="748"/>
        <v>593245</v>
      </c>
      <c r="DP666" s="607">
        <f t="shared" si="749"/>
        <v>819872.18181818177</v>
      </c>
      <c r="DQ666" s="606">
        <f t="shared" si="750"/>
        <v>826502.15322580654</v>
      </c>
      <c r="DR666" s="607">
        <f t="shared" si="751"/>
        <v>1402408</v>
      </c>
      <c r="DS666" s="606">
        <f t="shared" si="752"/>
        <v>1416171.9999999998</v>
      </c>
      <c r="DT666" s="607">
        <f t="shared" si="753"/>
        <v>727807.18064516131</v>
      </c>
      <c r="DU666" s="606">
        <f t="shared" si="754"/>
        <v>784658.15568862262</v>
      </c>
      <c r="DV666" s="607">
        <f t="shared" si="755"/>
        <v>37338.545454545456</v>
      </c>
      <c r="DW666" s="608">
        <f t="shared" si="756"/>
        <v>0</v>
      </c>
      <c r="DX666" s="607">
        <f t="shared" si="757"/>
        <v>0</v>
      </c>
      <c r="DY666" s="608">
        <f t="shared" si="758"/>
        <v>0</v>
      </c>
      <c r="DZ666" s="607">
        <f t="shared" si="759"/>
        <v>3549081.9079178884</v>
      </c>
      <c r="EA666" s="608">
        <f t="shared" si="760"/>
        <v>3620577.308914429</v>
      </c>
    </row>
    <row r="667" spans="1:131" x14ac:dyDescent="0.2">
      <c r="A667" s="317" t="s">
        <v>45</v>
      </c>
      <c r="B667" s="335" t="s">
        <v>374</v>
      </c>
      <c r="C667" s="594"/>
      <c r="D667" s="333">
        <v>237932</v>
      </c>
      <c r="E667" s="319">
        <v>6</v>
      </c>
      <c r="F667" s="598">
        <v>16</v>
      </c>
      <c r="G667" s="599">
        <v>13</v>
      </c>
      <c r="H667" s="600"/>
      <c r="I667" s="601">
        <v>4</v>
      </c>
      <c r="J667" s="600">
        <v>3</v>
      </c>
      <c r="K667" s="599">
        <v>2</v>
      </c>
      <c r="L667" s="600"/>
      <c r="M667" s="601">
        <v>5</v>
      </c>
      <c r="N667" s="600">
        <v>34</v>
      </c>
      <c r="O667" s="599">
        <v>25</v>
      </c>
      <c r="P667" s="600"/>
      <c r="Q667" s="601">
        <v>10</v>
      </c>
      <c r="R667" s="600">
        <v>1</v>
      </c>
      <c r="S667" s="599">
        <v>2</v>
      </c>
      <c r="T667" s="600"/>
      <c r="U667" s="601">
        <v>4</v>
      </c>
      <c r="V667" s="600">
        <v>41</v>
      </c>
      <c r="W667" s="599">
        <v>40</v>
      </c>
      <c r="X667" s="600"/>
      <c r="Y667" s="601">
        <v>5</v>
      </c>
      <c r="Z667" s="600">
        <v>1</v>
      </c>
      <c r="AA667" s="599"/>
      <c r="AB667" s="600"/>
      <c r="AC667" s="601">
        <v>5</v>
      </c>
      <c r="AD667" s="600">
        <v>32</v>
      </c>
      <c r="AE667" s="599">
        <v>24</v>
      </c>
      <c r="AF667" s="600"/>
      <c r="AG667" s="601">
        <v>2</v>
      </c>
      <c r="AH667" s="600">
        <v>1</v>
      </c>
      <c r="AI667" s="599"/>
      <c r="AJ667" s="600"/>
      <c r="AK667" s="601">
        <v>1</v>
      </c>
      <c r="AL667" s="600">
        <v>2</v>
      </c>
      <c r="AM667" s="599">
        <f>2+1</f>
        <v>3</v>
      </c>
      <c r="AN667" s="600"/>
      <c r="AO667" s="601"/>
      <c r="AP667" s="600"/>
      <c r="AQ667" s="599"/>
      <c r="AR667" s="600"/>
      <c r="AS667" s="601"/>
      <c r="AT667" s="600"/>
      <c r="AU667" s="599"/>
      <c r="AV667" s="600"/>
      <c r="AW667" s="601"/>
      <c r="AX667" s="600"/>
      <c r="AY667" s="599"/>
      <c r="AZ667" s="600"/>
      <c r="BA667" s="601"/>
      <c r="BB667" s="602">
        <v>1354882</v>
      </c>
      <c r="BC667" s="599">
        <v>1754833</v>
      </c>
      <c r="BD667" s="600">
        <v>2251710</v>
      </c>
      <c r="BE667" s="599">
        <v>2805919</v>
      </c>
      <c r="BF667" s="600">
        <v>2202334</v>
      </c>
      <c r="BG667" s="599">
        <v>2856628</v>
      </c>
      <c r="BH667" s="600">
        <v>1586515</v>
      </c>
      <c r="BI667" s="599">
        <v>1263749</v>
      </c>
      <c r="BJ667" s="600">
        <v>78452</v>
      </c>
      <c r="BK667" s="615">
        <f>40000+78305</f>
        <v>118305</v>
      </c>
      <c r="BL667" s="600">
        <v>0</v>
      </c>
      <c r="BM667" s="604"/>
      <c r="BN667" s="605">
        <f t="shared" si="695"/>
        <v>177</v>
      </c>
      <c r="BO667" s="606">
        <f t="shared" si="696"/>
        <v>239</v>
      </c>
      <c r="BP667" s="607">
        <f t="shared" si="697"/>
        <v>317</v>
      </c>
      <c r="BQ667" s="606">
        <f t="shared" si="698"/>
        <v>395</v>
      </c>
      <c r="BR667" s="607">
        <f t="shared" si="699"/>
        <v>380</v>
      </c>
      <c r="BS667" s="606">
        <f t="shared" si="700"/>
        <v>470</v>
      </c>
      <c r="BT667" s="607">
        <f t="shared" si="701"/>
        <v>299</v>
      </c>
      <c r="BU667" s="606">
        <f t="shared" si="702"/>
        <v>248</v>
      </c>
      <c r="BV667" s="607">
        <f t="shared" si="703"/>
        <v>18</v>
      </c>
      <c r="BW667" s="608">
        <f t="shared" si="704"/>
        <v>27</v>
      </c>
      <c r="BX667" s="607">
        <f t="shared" si="705"/>
        <v>0</v>
      </c>
      <c r="BY667" s="608">
        <f t="shared" si="706"/>
        <v>0</v>
      </c>
      <c r="BZ667" s="607">
        <f t="shared" si="707"/>
        <v>7654.7005649717512</v>
      </c>
      <c r="CA667" s="608">
        <f t="shared" si="708"/>
        <v>7342.3974895397487</v>
      </c>
      <c r="CB667" s="607">
        <f t="shared" si="709"/>
        <v>7103.186119873817</v>
      </c>
      <c r="CC667" s="608">
        <f t="shared" si="710"/>
        <v>7103.5924050632912</v>
      </c>
      <c r="CD667" s="607">
        <f t="shared" si="711"/>
        <v>5795.6157894736843</v>
      </c>
      <c r="CE667" s="608">
        <f t="shared" si="712"/>
        <v>6077.9319148936174</v>
      </c>
      <c r="CF667" s="607">
        <f t="shared" si="713"/>
        <v>5306.0702341137121</v>
      </c>
      <c r="CG667" s="608">
        <f t="shared" si="714"/>
        <v>5095.7620967741932</v>
      </c>
      <c r="CH667" s="607">
        <f t="shared" si="715"/>
        <v>4358.4444444444443</v>
      </c>
      <c r="CI667" s="608">
        <f t="shared" si="716"/>
        <v>4381.666666666667</v>
      </c>
      <c r="CJ667" s="607">
        <f t="shared" si="717"/>
        <v>0</v>
      </c>
      <c r="CK667" s="608">
        <f t="shared" si="718"/>
        <v>0</v>
      </c>
      <c r="CL667" s="609">
        <f t="shared" si="719"/>
        <v>68892.305084745763</v>
      </c>
      <c r="CM667" s="608">
        <f t="shared" si="720"/>
        <v>66081.577405857737</v>
      </c>
      <c r="CN667" s="610">
        <f t="shared" si="721"/>
        <v>63928.675078864355</v>
      </c>
      <c r="CO667" s="606">
        <f t="shared" si="722"/>
        <v>63932.331645569619</v>
      </c>
      <c r="CP667" s="607">
        <f t="shared" si="723"/>
        <v>52160.542105263157</v>
      </c>
      <c r="CQ667" s="606">
        <f t="shared" si="724"/>
        <v>54701.387234042559</v>
      </c>
      <c r="CR667" s="607">
        <f t="shared" si="725"/>
        <v>47754.632107023412</v>
      </c>
      <c r="CS667" s="606">
        <f t="shared" si="726"/>
        <v>45861.858870967742</v>
      </c>
      <c r="CT667" s="607">
        <f t="shared" si="727"/>
        <v>39226</v>
      </c>
      <c r="CU667" s="608">
        <f t="shared" si="728"/>
        <v>39435</v>
      </c>
      <c r="CV667" s="610">
        <f t="shared" si="729"/>
        <v>0</v>
      </c>
      <c r="CW667" s="608">
        <f t="shared" si="730"/>
        <v>0</v>
      </c>
      <c r="CX667" s="610">
        <f t="shared" si="731"/>
        <v>56424.084368879754</v>
      </c>
      <c r="CY667" s="611">
        <f t="shared" si="732"/>
        <v>57233.296596049629</v>
      </c>
      <c r="CZ667" s="605">
        <f t="shared" si="733"/>
        <v>19</v>
      </c>
      <c r="DA667" s="612">
        <f t="shared" si="734"/>
        <v>24</v>
      </c>
      <c r="DB667" s="607">
        <f t="shared" si="735"/>
        <v>35</v>
      </c>
      <c r="DC667" s="606">
        <f t="shared" si="736"/>
        <v>41</v>
      </c>
      <c r="DD667" s="607">
        <f t="shared" si="737"/>
        <v>42</v>
      </c>
      <c r="DE667" s="606">
        <f t="shared" si="738"/>
        <v>50</v>
      </c>
      <c r="DF667" s="607">
        <f t="shared" si="739"/>
        <v>33</v>
      </c>
      <c r="DG667" s="606">
        <f t="shared" si="740"/>
        <v>27</v>
      </c>
      <c r="DH667" s="607">
        <f t="shared" si="741"/>
        <v>2</v>
      </c>
      <c r="DI667" s="608">
        <f t="shared" si="742"/>
        <v>3</v>
      </c>
      <c r="DJ667" s="607">
        <f t="shared" si="743"/>
        <v>0</v>
      </c>
      <c r="DK667" s="608">
        <f t="shared" si="744"/>
        <v>0</v>
      </c>
      <c r="DL667" s="607">
        <f t="shared" si="745"/>
        <v>131</v>
      </c>
      <c r="DM667" s="608">
        <f t="shared" si="746"/>
        <v>145</v>
      </c>
      <c r="DN667" s="607">
        <f t="shared" si="747"/>
        <v>1308953.7966101696</v>
      </c>
      <c r="DO667" s="612">
        <f t="shared" si="748"/>
        <v>1585957.8577405857</v>
      </c>
      <c r="DP667" s="607">
        <f t="shared" si="749"/>
        <v>2237503.6277602524</v>
      </c>
      <c r="DQ667" s="606">
        <f t="shared" si="750"/>
        <v>2621225.5974683543</v>
      </c>
      <c r="DR667" s="607">
        <f t="shared" si="751"/>
        <v>2190742.7684210525</v>
      </c>
      <c r="DS667" s="606">
        <f t="shared" si="752"/>
        <v>2735069.3617021278</v>
      </c>
      <c r="DT667" s="607">
        <f t="shared" si="753"/>
        <v>1575902.8595317726</v>
      </c>
      <c r="DU667" s="606">
        <f t="shared" si="754"/>
        <v>1238270.189516129</v>
      </c>
      <c r="DV667" s="607">
        <f t="shared" si="755"/>
        <v>78452</v>
      </c>
      <c r="DW667" s="608">
        <f t="shared" si="756"/>
        <v>118305</v>
      </c>
      <c r="DX667" s="607">
        <f t="shared" si="757"/>
        <v>0</v>
      </c>
      <c r="DY667" s="608">
        <f t="shared" si="758"/>
        <v>0</v>
      </c>
      <c r="DZ667" s="607">
        <f t="shared" si="759"/>
        <v>7391555.0523232482</v>
      </c>
      <c r="EA667" s="608">
        <f t="shared" si="760"/>
        <v>8298828.0064271959</v>
      </c>
    </row>
    <row r="668" spans="1:131" x14ac:dyDescent="0.2">
      <c r="A668" s="317" t="s">
        <v>45</v>
      </c>
      <c r="B668" s="318" t="s">
        <v>375</v>
      </c>
      <c r="C668" s="592"/>
      <c r="D668" s="333">
        <v>237899</v>
      </c>
      <c r="E668" s="319">
        <v>6</v>
      </c>
      <c r="F668" s="598">
        <v>28</v>
      </c>
      <c r="G668" s="599">
        <v>24</v>
      </c>
      <c r="H668" s="600"/>
      <c r="I668" s="601">
        <v>2</v>
      </c>
      <c r="J668" s="600">
        <v>1</v>
      </c>
      <c r="K668" s="599"/>
      <c r="L668" s="600"/>
      <c r="M668" s="601">
        <v>1</v>
      </c>
      <c r="N668" s="600">
        <v>40</v>
      </c>
      <c r="O668" s="599">
        <v>40</v>
      </c>
      <c r="P668" s="600"/>
      <c r="Q668" s="601">
        <v>1</v>
      </c>
      <c r="R668" s="600">
        <v>1</v>
      </c>
      <c r="S668" s="599">
        <v>1</v>
      </c>
      <c r="T668" s="600"/>
      <c r="U668" s="601"/>
      <c r="V668" s="600">
        <v>42</v>
      </c>
      <c r="W668" s="599">
        <v>41</v>
      </c>
      <c r="X668" s="600"/>
      <c r="Y668" s="601">
        <v>2</v>
      </c>
      <c r="Z668" s="600"/>
      <c r="AA668" s="599"/>
      <c r="AB668" s="600"/>
      <c r="AC668" s="601"/>
      <c r="AD668" s="600">
        <v>8</v>
      </c>
      <c r="AE668" s="599">
        <v>7</v>
      </c>
      <c r="AF668" s="600"/>
      <c r="AG668" s="601"/>
      <c r="AH668" s="600"/>
      <c r="AI668" s="599"/>
      <c r="AJ668" s="600"/>
      <c r="AK668" s="601"/>
      <c r="AL668" s="600"/>
      <c r="AM668" s="599"/>
      <c r="AN668" s="600"/>
      <c r="AO668" s="601"/>
      <c r="AP668" s="600"/>
      <c r="AQ668" s="599"/>
      <c r="AR668" s="600"/>
      <c r="AS668" s="601"/>
      <c r="AT668" s="600"/>
      <c r="AU668" s="599"/>
      <c r="AV668" s="600"/>
      <c r="AW668" s="601"/>
      <c r="AX668" s="600"/>
      <c r="AY668" s="599"/>
      <c r="AZ668" s="600"/>
      <c r="BA668" s="601"/>
      <c r="BB668" s="602">
        <v>1850541</v>
      </c>
      <c r="BC668" s="599">
        <v>1734519</v>
      </c>
      <c r="BD668" s="600">
        <v>2245892</v>
      </c>
      <c r="BE668" s="599">
        <v>2330064</v>
      </c>
      <c r="BF668" s="600">
        <v>2058546</v>
      </c>
      <c r="BG668" s="599">
        <v>2084158</v>
      </c>
      <c r="BH668" s="600">
        <v>310056</v>
      </c>
      <c r="BI668" s="599">
        <v>267394</v>
      </c>
      <c r="BJ668" s="600"/>
      <c r="BK668" s="615"/>
      <c r="BL668" s="600">
        <v>0</v>
      </c>
      <c r="BM668" s="604"/>
      <c r="BN668" s="605">
        <f t="shared" si="695"/>
        <v>263</v>
      </c>
      <c r="BO668" s="606">
        <f t="shared" si="696"/>
        <v>248</v>
      </c>
      <c r="BP668" s="607">
        <f t="shared" si="697"/>
        <v>371</v>
      </c>
      <c r="BQ668" s="606">
        <f t="shared" si="698"/>
        <v>381</v>
      </c>
      <c r="BR668" s="607">
        <f t="shared" si="699"/>
        <v>378</v>
      </c>
      <c r="BS668" s="606">
        <f t="shared" si="700"/>
        <v>389</v>
      </c>
      <c r="BT668" s="607">
        <f t="shared" si="701"/>
        <v>72</v>
      </c>
      <c r="BU668" s="606">
        <f t="shared" si="702"/>
        <v>63</v>
      </c>
      <c r="BV668" s="607">
        <f t="shared" si="703"/>
        <v>0</v>
      </c>
      <c r="BW668" s="608">
        <f t="shared" si="704"/>
        <v>0</v>
      </c>
      <c r="BX668" s="607">
        <f t="shared" si="705"/>
        <v>0</v>
      </c>
      <c r="BY668" s="608">
        <f t="shared" si="706"/>
        <v>0</v>
      </c>
      <c r="BZ668" s="607">
        <f t="shared" si="707"/>
        <v>7036.277566539924</v>
      </c>
      <c r="CA668" s="608">
        <f t="shared" si="708"/>
        <v>6994.0282258064517</v>
      </c>
      <c r="CB668" s="607">
        <f t="shared" si="709"/>
        <v>6053.6172506738549</v>
      </c>
      <c r="CC668" s="608">
        <f t="shared" si="710"/>
        <v>6115.6535433070867</v>
      </c>
      <c r="CD668" s="607">
        <f t="shared" si="711"/>
        <v>5445.8888888888887</v>
      </c>
      <c r="CE668" s="608">
        <f t="shared" si="712"/>
        <v>5357.7326478149098</v>
      </c>
      <c r="CF668" s="607">
        <f t="shared" si="713"/>
        <v>4306.333333333333</v>
      </c>
      <c r="CG668" s="608">
        <f t="shared" si="714"/>
        <v>4244.3492063492067</v>
      </c>
      <c r="CH668" s="607">
        <f t="shared" si="715"/>
        <v>0</v>
      </c>
      <c r="CI668" s="608">
        <f t="shared" si="716"/>
        <v>0</v>
      </c>
      <c r="CJ668" s="607">
        <f t="shared" si="717"/>
        <v>0</v>
      </c>
      <c r="CK668" s="608">
        <f t="shared" si="718"/>
        <v>0</v>
      </c>
      <c r="CL668" s="609">
        <f t="shared" si="719"/>
        <v>63326.498098859316</v>
      </c>
      <c r="CM668" s="608">
        <f t="shared" si="720"/>
        <v>62946.254032258068</v>
      </c>
      <c r="CN668" s="610">
        <f t="shared" si="721"/>
        <v>54482.55525606469</v>
      </c>
      <c r="CO668" s="606">
        <f t="shared" si="722"/>
        <v>55040.881889763783</v>
      </c>
      <c r="CP668" s="607">
        <f t="shared" si="723"/>
        <v>49013</v>
      </c>
      <c r="CQ668" s="606">
        <f t="shared" si="724"/>
        <v>48219.59383033419</v>
      </c>
      <c r="CR668" s="607">
        <f t="shared" si="725"/>
        <v>38757</v>
      </c>
      <c r="CS668" s="606">
        <f t="shared" si="726"/>
        <v>38199.142857142862</v>
      </c>
      <c r="CT668" s="607">
        <f t="shared" si="727"/>
        <v>0</v>
      </c>
      <c r="CU668" s="608">
        <f t="shared" si="728"/>
        <v>0</v>
      </c>
      <c r="CV668" s="610">
        <f t="shared" si="729"/>
        <v>0</v>
      </c>
      <c r="CW668" s="608">
        <f t="shared" si="730"/>
        <v>0</v>
      </c>
      <c r="CX668" s="610">
        <f t="shared" si="731"/>
        <v>53657.126753046432</v>
      </c>
      <c r="CY668" s="611">
        <f t="shared" si="732"/>
        <v>53379.012041558126</v>
      </c>
      <c r="CZ668" s="605">
        <f t="shared" si="733"/>
        <v>29</v>
      </c>
      <c r="DA668" s="612">
        <f t="shared" si="734"/>
        <v>27</v>
      </c>
      <c r="DB668" s="607">
        <f t="shared" si="735"/>
        <v>41</v>
      </c>
      <c r="DC668" s="606">
        <f t="shared" si="736"/>
        <v>42</v>
      </c>
      <c r="DD668" s="607">
        <f t="shared" si="737"/>
        <v>42</v>
      </c>
      <c r="DE668" s="606">
        <f t="shared" si="738"/>
        <v>43</v>
      </c>
      <c r="DF668" s="607">
        <f t="shared" si="739"/>
        <v>8</v>
      </c>
      <c r="DG668" s="606">
        <f t="shared" si="740"/>
        <v>7</v>
      </c>
      <c r="DH668" s="607">
        <f t="shared" si="741"/>
        <v>0</v>
      </c>
      <c r="DI668" s="608">
        <f t="shared" si="742"/>
        <v>0</v>
      </c>
      <c r="DJ668" s="607">
        <f t="shared" si="743"/>
        <v>0</v>
      </c>
      <c r="DK668" s="608">
        <f t="shared" si="744"/>
        <v>0</v>
      </c>
      <c r="DL668" s="607">
        <f t="shared" si="745"/>
        <v>120</v>
      </c>
      <c r="DM668" s="608">
        <f t="shared" si="746"/>
        <v>119</v>
      </c>
      <c r="DN668" s="607">
        <f t="shared" si="747"/>
        <v>1836468.4448669201</v>
      </c>
      <c r="DO668" s="612">
        <f t="shared" si="748"/>
        <v>1699548.8588709678</v>
      </c>
      <c r="DP668" s="607">
        <f t="shared" si="749"/>
        <v>2233784.7654986521</v>
      </c>
      <c r="DQ668" s="606">
        <f t="shared" si="750"/>
        <v>2311717.0393700791</v>
      </c>
      <c r="DR668" s="607">
        <f t="shared" si="751"/>
        <v>2058546</v>
      </c>
      <c r="DS668" s="606">
        <f t="shared" si="752"/>
        <v>2073442.5347043702</v>
      </c>
      <c r="DT668" s="607">
        <f t="shared" si="753"/>
        <v>310056</v>
      </c>
      <c r="DU668" s="606">
        <f t="shared" si="754"/>
        <v>267394.00000000006</v>
      </c>
      <c r="DV668" s="607">
        <f t="shared" si="755"/>
        <v>0</v>
      </c>
      <c r="DW668" s="608">
        <f t="shared" si="756"/>
        <v>0</v>
      </c>
      <c r="DX668" s="607">
        <f t="shared" si="757"/>
        <v>0</v>
      </c>
      <c r="DY668" s="608">
        <f t="shared" si="758"/>
        <v>0</v>
      </c>
      <c r="DZ668" s="607">
        <f t="shared" si="759"/>
        <v>6438855.210365572</v>
      </c>
      <c r="EA668" s="608">
        <f t="shared" si="760"/>
        <v>6352102.4329454172</v>
      </c>
    </row>
    <row r="669" spans="1:131" x14ac:dyDescent="0.2">
      <c r="A669" s="317" t="s">
        <v>45</v>
      </c>
      <c r="B669" s="318" t="s">
        <v>376</v>
      </c>
      <c r="C669" s="592"/>
      <c r="D669" s="333">
        <v>237950</v>
      </c>
      <c r="E669" s="319">
        <v>6</v>
      </c>
      <c r="F669" s="598">
        <v>21</v>
      </c>
      <c r="G669" s="599">
        <v>10</v>
      </c>
      <c r="H669" s="600"/>
      <c r="I669" s="601">
        <v>7</v>
      </c>
      <c r="J669" s="600"/>
      <c r="K669" s="599"/>
      <c r="L669" s="600"/>
      <c r="M669" s="601"/>
      <c r="N669" s="600">
        <v>14</v>
      </c>
      <c r="O669" s="599">
        <v>11</v>
      </c>
      <c r="P669" s="600"/>
      <c r="Q669" s="601">
        <v>5</v>
      </c>
      <c r="R669" s="600">
        <v>2</v>
      </c>
      <c r="S669" s="599"/>
      <c r="T669" s="600"/>
      <c r="U669" s="601">
        <v>1</v>
      </c>
      <c r="V669" s="600">
        <v>29</v>
      </c>
      <c r="W669" s="599">
        <v>28</v>
      </c>
      <c r="X669" s="600"/>
      <c r="Y669" s="601"/>
      <c r="Z669" s="600">
        <v>3</v>
      </c>
      <c r="AA669" s="599"/>
      <c r="AB669" s="600"/>
      <c r="AC669" s="601">
        <v>3</v>
      </c>
      <c r="AD669" s="600">
        <v>1</v>
      </c>
      <c r="AE669" s="599">
        <v>2</v>
      </c>
      <c r="AF669" s="600"/>
      <c r="AG669" s="601"/>
      <c r="AH669" s="600"/>
      <c r="AI669" s="599"/>
      <c r="AJ669" s="600"/>
      <c r="AK669" s="601"/>
      <c r="AL669" s="600">
        <v>11</v>
      </c>
      <c r="AM669" s="599">
        <v>11</v>
      </c>
      <c r="AN669" s="600"/>
      <c r="AO669" s="601"/>
      <c r="AP669" s="600"/>
      <c r="AQ669" s="599"/>
      <c r="AR669" s="600"/>
      <c r="AS669" s="601"/>
      <c r="AT669" s="600"/>
      <c r="AU669" s="599"/>
      <c r="AV669" s="600"/>
      <c r="AW669" s="601"/>
      <c r="AX669" s="600"/>
      <c r="AY669" s="599"/>
      <c r="AZ669" s="600"/>
      <c r="BA669" s="601"/>
      <c r="BB669" s="602">
        <v>1618239</v>
      </c>
      <c r="BC669" s="599">
        <v>1371086</v>
      </c>
      <c r="BD669" s="600">
        <v>924068</v>
      </c>
      <c r="BE669" s="599">
        <v>1034721</v>
      </c>
      <c r="BF669" s="600">
        <v>1763889</v>
      </c>
      <c r="BG669" s="599">
        <v>1765094</v>
      </c>
      <c r="BH669" s="600">
        <v>35000</v>
      </c>
      <c r="BI669" s="599">
        <v>79176</v>
      </c>
      <c r="BJ669" s="600">
        <v>558305</v>
      </c>
      <c r="BK669" s="615">
        <v>566424</v>
      </c>
      <c r="BL669" s="600">
        <v>0</v>
      </c>
      <c r="BM669" s="604"/>
      <c r="BN669" s="605">
        <f t="shared" si="695"/>
        <v>189</v>
      </c>
      <c r="BO669" s="606">
        <f t="shared" si="696"/>
        <v>160</v>
      </c>
      <c r="BP669" s="607">
        <f t="shared" si="697"/>
        <v>148</v>
      </c>
      <c r="BQ669" s="606">
        <f t="shared" si="698"/>
        <v>161</v>
      </c>
      <c r="BR669" s="607">
        <f t="shared" si="699"/>
        <v>294</v>
      </c>
      <c r="BS669" s="606">
        <f t="shared" si="700"/>
        <v>288</v>
      </c>
      <c r="BT669" s="607">
        <f t="shared" si="701"/>
        <v>9</v>
      </c>
      <c r="BU669" s="606">
        <f t="shared" si="702"/>
        <v>18</v>
      </c>
      <c r="BV669" s="607">
        <f t="shared" si="703"/>
        <v>99</v>
      </c>
      <c r="BW669" s="608">
        <f t="shared" si="704"/>
        <v>99</v>
      </c>
      <c r="BX669" s="607">
        <f t="shared" si="705"/>
        <v>0</v>
      </c>
      <c r="BY669" s="608">
        <f t="shared" si="706"/>
        <v>0</v>
      </c>
      <c r="BZ669" s="607">
        <f t="shared" si="707"/>
        <v>8562.1111111111113</v>
      </c>
      <c r="CA669" s="608">
        <f t="shared" si="708"/>
        <v>8569.2875000000004</v>
      </c>
      <c r="CB669" s="607">
        <f t="shared" si="709"/>
        <v>6243.7027027027025</v>
      </c>
      <c r="CC669" s="608">
        <f t="shared" si="710"/>
        <v>6426.8385093167699</v>
      </c>
      <c r="CD669" s="607">
        <f t="shared" si="711"/>
        <v>5999.6224489795923</v>
      </c>
      <c r="CE669" s="608">
        <f t="shared" si="712"/>
        <v>6128.7986111111113</v>
      </c>
      <c r="CF669" s="607">
        <f t="shared" si="713"/>
        <v>3888.8888888888887</v>
      </c>
      <c r="CG669" s="608">
        <f t="shared" si="714"/>
        <v>4398.666666666667</v>
      </c>
      <c r="CH669" s="607">
        <f t="shared" si="715"/>
        <v>5639.4444444444443</v>
      </c>
      <c r="CI669" s="608">
        <f t="shared" si="716"/>
        <v>5721.454545454545</v>
      </c>
      <c r="CJ669" s="607">
        <f t="shared" si="717"/>
        <v>0</v>
      </c>
      <c r="CK669" s="608">
        <f t="shared" si="718"/>
        <v>0</v>
      </c>
      <c r="CL669" s="609">
        <f t="shared" si="719"/>
        <v>77059</v>
      </c>
      <c r="CM669" s="608">
        <f t="shared" si="720"/>
        <v>77123.587500000009</v>
      </c>
      <c r="CN669" s="610">
        <f t="shared" si="721"/>
        <v>56193.32432432432</v>
      </c>
      <c r="CO669" s="606">
        <f t="shared" si="722"/>
        <v>57841.546583850926</v>
      </c>
      <c r="CP669" s="607">
        <f t="shared" si="723"/>
        <v>53996.602040816331</v>
      </c>
      <c r="CQ669" s="606">
        <f t="shared" si="724"/>
        <v>55159.1875</v>
      </c>
      <c r="CR669" s="607">
        <f t="shared" si="725"/>
        <v>35000</v>
      </c>
      <c r="CS669" s="606">
        <f t="shared" si="726"/>
        <v>39588</v>
      </c>
      <c r="CT669" s="607">
        <f t="shared" si="727"/>
        <v>50755</v>
      </c>
      <c r="CU669" s="608">
        <f t="shared" si="728"/>
        <v>51493.090909090904</v>
      </c>
      <c r="CV669" s="610">
        <f t="shared" si="729"/>
        <v>0</v>
      </c>
      <c r="CW669" s="608">
        <f t="shared" si="730"/>
        <v>0</v>
      </c>
      <c r="CX669" s="610">
        <f t="shared" si="731"/>
        <v>59734.919191300141</v>
      </c>
      <c r="CY669" s="611">
        <f t="shared" si="732"/>
        <v>59614.642204172633</v>
      </c>
      <c r="CZ669" s="605">
        <f t="shared" si="733"/>
        <v>21</v>
      </c>
      <c r="DA669" s="612">
        <f t="shared" si="734"/>
        <v>17</v>
      </c>
      <c r="DB669" s="607">
        <f t="shared" si="735"/>
        <v>16</v>
      </c>
      <c r="DC669" s="606">
        <f t="shared" si="736"/>
        <v>17</v>
      </c>
      <c r="DD669" s="607">
        <f t="shared" si="737"/>
        <v>32</v>
      </c>
      <c r="DE669" s="606">
        <f t="shared" si="738"/>
        <v>31</v>
      </c>
      <c r="DF669" s="607">
        <f t="shared" si="739"/>
        <v>1</v>
      </c>
      <c r="DG669" s="606">
        <f t="shared" si="740"/>
        <v>2</v>
      </c>
      <c r="DH669" s="607">
        <f t="shared" si="741"/>
        <v>11</v>
      </c>
      <c r="DI669" s="608">
        <f t="shared" si="742"/>
        <v>11</v>
      </c>
      <c r="DJ669" s="607">
        <f t="shared" si="743"/>
        <v>0</v>
      </c>
      <c r="DK669" s="608">
        <f t="shared" si="744"/>
        <v>0</v>
      </c>
      <c r="DL669" s="607">
        <f t="shared" si="745"/>
        <v>81</v>
      </c>
      <c r="DM669" s="608">
        <f t="shared" si="746"/>
        <v>78</v>
      </c>
      <c r="DN669" s="607">
        <f t="shared" si="747"/>
        <v>1618239</v>
      </c>
      <c r="DO669" s="612">
        <f t="shared" si="748"/>
        <v>1311100.9875</v>
      </c>
      <c r="DP669" s="607">
        <f t="shared" si="749"/>
        <v>899093.18918918911</v>
      </c>
      <c r="DQ669" s="606">
        <f t="shared" si="750"/>
        <v>983306.29192546569</v>
      </c>
      <c r="DR669" s="607">
        <f t="shared" si="751"/>
        <v>1727891.2653061226</v>
      </c>
      <c r="DS669" s="606">
        <f t="shared" si="752"/>
        <v>1709934.8125</v>
      </c>
      <c r="DT669" s="607">
        <f t="shared" si="753"/>
        <v>35000</v>
      </c>
      <c r="DU669" s="606">
        <f t="shared" si="754"/>
        <v>79176</v>
      </c>
      <c r="DV669" s="607">
        <f t="shared" si="755"/>
        <v>558305</v>
      </c>
      <c r="DW669" s="608">
        <f t="shared" si="756"/>
        <v>566424</v>
      </c>
      <c r="DX669" s="607">
        <f t="shared" si="757"/>
        <v>0</v>
      </c>
      <c r="DY669" s="608">
        <f t="shared" si="758"/>
        <v>0</v>
      </c>
      <c r="DZ669" s="607">
        <f t="shared" si="759"/>
        <v>4838528.4544953117</v>
      </c>
      <c r="EA669" s="608">
        <f t="shared" si="760"/>
        <v>4649942.0919254655</v>
      </c>
    </row>
    <row r="670" spans="1:131" x14ac:dyDescent="0.2">
      <c r="A670" s="317" t="s">
        <v>45</v>
      </c>
      <c r="B670" s="336" t="s">
        <v>377</v>
      </c>
      <c r="C670" s="595"/>
      <c r="D670" s="333">
        <v>237701</v>
      </c>
      <c r="E670" s="339">
        <v>7</v>
      </c>
      <c r="F670" s="598">
        <v>12</v>
      </c>
      <c r="G670" s="599">
        <v>12</v>
      </c>
      <c r="H670" s="600"/>
      <c r="I670" s="601"/>
      <c r="J670" s="600"/>
      <c r="K670" s="599"/>
      <c r="L670" s="600"/>
      <c r="M670" s="601"/>
      <c r="N670" s="600">
        <v>4</v>
      </c>
      <c r="O670" s="599">
        <v>2</v>
      </c>
      <c r="P670" s="600"/>
      <c r="Q670" s="601"/>
      <c r="R670" s="600"/>
      <c r="S670" s="599"/>
      <c r="T670" s="600"/>
      <c r="U670" s="601"/>
      <c r="V670" s="600">
        <v>11</v>
      </c>
      <c r="W670" s="599">
        <v>17</v>
      </c>
      <c r="X670" s="600"/>
      <c r="Y670" s="601"/>
      <c r="Z670" s="600"/>
      <c r="AA670" s="599"/>
      <c r="AB670" s="600"/>
      <c r="AC670" s="601"/>
      <c r="AD670" s="600">
        <v>12</v>
      </c>
      <c r="AE670" s="599">
        <v>11</v>
      </c>
      <c r="AF670" s="600"/>
      <c r="AG670" s="601"/>
      <c r="AH670" s="600"/>
      <c r="AI670" s="599"/>
      <c r="AJ670" s="600"/>
      <c r="AK670" s="601"/>
      <c r="AL670" s="600">
        <v>2</v>
      </c>
      <c r="AM670" s="599"/>
      <c r="AN670" s="600"/>
      <c r="AO670" s="601"/>
      <c r="AP670" s="600"/>
      <c r="AQ670" s="599"/>
      <c r="AR670" s="600"/>
      <c r="AS670" s="601"/>
      <c r="AT670" s="600"/>
      <c r="AU670" s="599"/>
      <c r="AV670" s="600"/>
      <c r="AW670" s="601"/>
      <c r="AX670" s="600"/>
      <c r="AY670" s="599"/>
      <c r="AZ670" s="600"/>
      <c r="BA670" s="601"/>
      <c r="BB670" s="602">
        <v>830904</v>
      </c>
      <c r="BC670" s="599">
        <v>804422</v>
      </c>
      <c r="BD670" s="600">
        <v>202296</v>
      </c>
      <c r="BE670" s="599">
        <v>99039</v>
      </c>
      <c r="BF670" s="600">
        <v>485276</v>
      </c>
      <c r="BG670" s="599">
        <v>767830</v>
      </c>
      <c r="BH670" s="600">
        <v>495504</v>
      </c>
      <c r="BI670" s="599">
        <v>437354</v>
      </c>
      <c r="BJ670" s="600">
        <v>72500</v>
      </c>
      <c r="BK670" s="615"/>
      <c r="BL670" s="600">
        <v>0</v>
      </c>
      <c r="BM670" s="604"/>
      <c r="BN670" s="605">
        <f t="shared" si="695"/>
        <v>108</v>
      </c>
      <c r="BO670" s="606">
        <f t="shared" si="696"/>
        <v>108</v>
      </c>
      <c r="BP670" s="607">
        <f t="shared" si="697"/>
        <v>36</v>
      </c>
      <c r="BQ670" s="606">
        <f t="shared" si="698"/>
        <v>18</v>
      </c>
      <c r="BR670" s="607">
        <f t="shared" si="699"/>
        <v>99</v>
      </c>
      <c r="BS670" s="606">
        <f t="shared" si="700"/>
        <v>153</v>
      </c>
      <c r="BT670" s="607">
        <f t="shared" si="701"/>
        <v>108</v>
      </c>
      <c r="BU670" s="606">
        <f t="shared" si="702"/>
        <v>99</v>
      </c>
      <c r="BV670" s="607">
        <f t="shared" si="703"/>
        <v>18</v>
      </c>
      <c r="BW670" s="608">
        <f t="shared" si="704"/>
        <v>0</v>
      </c>
      <c r="BX670" s="607">
        <f t="shared" si="705"/>
        <v>0</v>
      </c>
      <c r="BY670" s="608">
        <f t="shared" si="706"/>
        <v>0</v>
      </c>
      <c r="BZ670" s="607">
        <f t="shared" si="707"/>
        <v>7693.5555555555557</v>
      </c>
      <c r="CA670" s="608">
        <f t="shared" si="708"/>
        <v>7448.3518518518522</v>
      </c>
      <c r="CB670" s="607">
        <f t="shared" si="709"/>
        <v>5619.333333333333</v>
      </c>
      <c r="CC670" s="608">
        <f t="shared" si="710"/>
        <v>5502.166666666667</v>
      </c>
      <c r="CD670" s="607">
        <f t="shared" si="711"/>
        <v>4901.7777777777774</v>
      </c>
      <c r="CE670" s="608">
        <f t="shared" si="712"/>
        <v>5018.4967320261439</v>
      </c>
      <c r="CF670" s="607">
        <f t="shared" si="713"/>
        <v>4588</v>
      </c>
      <c r="CG670" s="608">
        <f t="shared" si="714"/>
        <v>4417.7171717171714</v>
      </c>
      <c r="CH670" s="607">
        <f t="shared" si="715"/>
        <v>4027.7777777777778</v>
      </c>
      <c r="CI670" s="608">
        <f t="shared" si="716"/>
        <v>0</v>
      </c>
      <c r="CJ670" s="607">
        <f t="shared" si="717"/>
        <v>0</v>
      </c>
      <c r="CK670" s="608">
        <f t="shared" si="718"/>
        <v>0</v>
      </c>
      <c r="CL670" s="609">
        <f t="shared" si="719"/>
        <v>69242</v>
      </c>
      <c r="CM670" s="608">
        <f t="shared" si="720"/>
        <v>67035.166666666672</v>
      </c>
      <c r="CN670" s="610">
        <f t="shared" si="721"/>
        <v>50574</v>
      </c>
      <c r="CO670" s="606">
        <f t="shared" si="722"/>
        <v>49519.5</v>
      </c>
      <c r="CP670" s="607">
        <f t="shared" si="723"/>
        <v>44116</v>
      </c>
      <c r="CQ670" s="606">
        <f t="shared" si="724"/>
        <v>45166.470588235294</v>
      </c>
      <c r="CR670" s="607">
        <f t="shared" si="725"/>
        <v>41292</v>
      </c>
      <c r="CS670" s="606">
        <f t="shared" si="726"/>
        <v>39759.454545454544</v>
      </c>
      <c r="CT670" s="607">
        <f t="shared" si="727"/>
        <v>36250</v>
      </c>
      <c r="CU670" s="608">
        <f t="shared" si="728"/>
        <v>0</v>
      </c>
      <c r="CV670" s="610">
        <f t="shared" si="729"/>
        <v>0</v>
      </c>
      <c r="CW670" s="608">
        <f t="shared" si="730"/>
        <v>0</v>
      </c>
      <c r="CX670" s="610">
        <f t="shared" si="731"/>
        <v>50889.756097560974</v>
      </c>
      <c r="CY670" s="611">
        <f t="shared" si="732"/>
        <v>50205.833333333336</v>
      </c>
      <c r="CZ670" s="605">
        <f t="shared" si="733"/>
        <v>12</v>
      </c>
      <c r="DA670" s="612">
        <f t="shared" si="734"/>
        <v>12</v>
      </c>
      <c r="DB670" s="607">
        <f t="shared" si="735"/>
        <v>4</v>
      </c>
      <c r="DC670" s="606">
        <f t="shared" si="736"/>
        <v>2</v>
      </c>
      <c r="DD670" s="607">
        <f t="shared" si="737"/>
        <v>11</v>
      </c>
      <c r="DE670" s="606">
        <f t="shared" si="738"/>
        <v>17</v>
      </c>
      <c r="DF670" s="607">
        <f t="shared" si="739"/>
        <v>12</v>
      </c>
      <c r="DG670" s="606">
        <f t="shared" si="740"/>
        <v>11</v>
      </c>
      <c r="DH670" s="607">
        <f t="shared" si="741"/>
        <v>2</v>
      </c>
      <c r="DI670" s="608">
        <f t="shared" si="742"/>
        <v>0</v>
      </c>
      <c r="DJ670" s="607">
        <f t="shared" si="743"/>
        <v>0</v>
      </c>
      <c r="DK670" s="608">
        <f t="shared" si="744"/>
        <v>0</v>
      </c>
      <c r="DL670" s="607">
        <f t="shared" si="745"/>
        <v>41</v>
      </c>
      <c r="DM670" s="608">
        <f t="shared" si="746"/>
        <v>42</v>
      </c>
      <c r="DN670" s="607">
        <f t="shared" si="747"/>
        <v>830904</v>
      </c>
      <c r="DO670" s="612">
        <f t="shared" si="748"/>
        <v>804422</v>
      </c>
      <c r="DP670" s="607">
        <f t="shared" si="749"/>
        <v>202296</v>
      </c>
      <c r="DQ670" s="606">
        <f t="shared" si="750"/>
        <v>99039</v>
      </c>
      <c r="DR670" s="607">
        <f t="shared" si="751"/>
        <v>485276</v>
      </c>
      <c r="DS670" s="606">
        <f t="shared" si="752"/>
        <v>767830</v>
      </c>
      <c r="DT670" s="607">
        <f t="shared" si="753"/>
        <v>495504</v>
      </c>
      <c r="DU670" s="606">
        <f t="shared" si="754"/>
        <v>437354</v>
      </c>
      <c r="DV670" s="607">
        <f t="shared" si="755"/>
        <v>72500</v>
      </c>
      <c r="DW670" s="608">
        <f t="shared" si="756"/>
        <v>0</v>
      </c>
      <c r="DX670" s="607">
        <f t="shared" si="757"/>
        <v>0</v>
      </c>
      <c r="DY670" s="608">
        <f t="shared" si="758"/>
        <v>0</v>
      </c>
      <c r="DZ670" s="607">
        <f t="shared" si="759"/>
        <v>2086480</v>
      </c>
      <c r="EA670" s="608">
        <f t="shared" si="760"/>
        <v>2108645</v>
      </c>
    </row>
    <row r="671" spans="1:131" x14ac:dyDescent="0.2">
      <c r="A671" s="317" t="s">
        <v>45</v>
      </c>
      <c r="B671" s="318" t="s">
        <v>378</v>
      </c>
      <c r="C671" s="596"/>
      <c r="D671" s="333">
        <v>237686</v>
      </c>
      <c r="E671" s="339">
        <v>7</v>
      </c>
      <c r="F671" s="598">
        <v>27</v>
      </c>
      <c r="G671" s="599">
        <v>26</v>
      </c>
      <c r="H671" s="600"/>
      <c r="I671" s="601">
        <v>4</v>
      </c>
      <c r="J671" s="600">
        <v>2</v>
      </c>
      <c r="K671" s="599"/>
      <c r="L671" s="600"/>
      <c r="M671" s="601">
        <v>2</v>
      </c>
      <c r="N671" s="600">
        <v>7</v>
      </c>
      <c r="O671" s="599">
        <v>10</v>
      </c>
      <c r="P671" s="600"/>
      <c r="Q671" s="601">
        <v>1</v>
      </c>
      <c r="R671" s="600"/>
      <c r="S671" s="599"/>
      <c r="T671" s="600"/>
      <c r="U671" s="601">
        <v>1</v>
      </c>
      <c r="V671" s="600">
        <v>18</v>
      </c>
      <c r="W671" s="599">
        <v>21</v>
      </c>
      <c r="X671" s="600"/>
      <c r="Y671" s="601"/>
      <c r="Z671" s="600">
        <v>2</v>
      </c>
      <c r="AA671" s="599"/>
      <c r="AB671" s="600"/>
      <c r="AC671" s="601">
        <v>1</v>
      </c>
      <c r="AD671" s="600">
        <v>24</v>
      </c>
      <c r="AE671" s="599">
        <v>16</v>
      </c>
      <c r="AF671" s="600"/>
      <c r="AG671" s="601">
        <v>1</v>
      </c>
      <c r="AH671" s="600">
        <v>1</v>
      </c>
      <c r="AI671" s="599"/>
      <c r="AJ671" s="600"/>
      <c r="AK671" s="601"/>
      <c r="AL671" s="600">
        <v>9</v>
      </c>
      <c r="AM671" s="599">
        <v>10</v>
      </c>
      <c r="AN671" s="600"/>
      <c r="AO671" s="601"/>
      <c r="AP671" s="600">
        <v>1</v>
      </c>
      <c r="AQ671" s="599"/>
      <c r="AR671" s="600"/>
      <c r="AS671" s="601">
        <v>2</v>
      </c>
      <c r="AT671" s="600"/>
      <c r="AU671" s="599"/>
      <c r="AV671" s="600"/>
      <c r="AW671" s="601"/>
      <c r="AX671" s="600"/>
      <c r="AY671" s="599"/>
      <c r="AZ671" s="600"/>
      <c r="BA671" s="601"/>
      <c r="BB671" s="602">
        <v>1710902</v>
      </c>
      <c r="BC671" s="599">
        <v>2016758</v>
      </c>
      <c r="BD671" s="600">
        <v>390292</v>
      </c>
      <c r="BE671" s="599">
        <v>653043</v>
      </c>
      <c r="BF671" s="600">
        <v>924406</v>
      </c>
      <c r="BG671" s="599">
        <v>990657</v>
      </c>
      <c r="BH671" s="600">
        <v>965496</v>
      </c>
      <c r="BI671" s="599">
        <v>633335</v>
      </c>
      <c r="BJ671" s="600">
        <v>371850</v>
      </c>
      <c r="BK671" s="615">
        <v>428652</v>
      </c>
      <c r="BL671" s="600">
        <v>0</v>
      </c>
      <c r="BM671" s="604"/>
      <c r="BN671" s="605">
        <f t="shared" si="695"/>
        <v>265</v>
      </c>
      <c r="BO671" s="606">
        <f t="shared" si="696"/>
        <v>298</v>
      </c>
      <c r="BP671" s="607">
        <f t="shared" si="697"/>
        <v>63</v>
      </c>
      <c r="BQ671" s="606">
        <f t="shared" si="698"/>
        <v>112</v>
      </c>
      <c r="BR671" s="607">
        <f t="shared" si="699"/>
        <v>184</v>
      </c>
      <c r="BS671" s="606">
        <f t="shared" si="700"/>
        <v>201</v>
      </c>
      <c r="BT671" s="607">
        <f t="shared" si="701"/>
        <v>227</v>
      </c>
      <c r="BU671" s="606">
        <f t="shared" si="702"/>
        <v>154</v>
      </c>
      <c r="BV671" s="607">
        <f t="shared" si="703"/>
        <v>92</v>
      </c>
      <c r="BW671" s="608">
        <f t="shared" si="704"/>
        <v>114</v>
      </c>
      <c r="BX671" s="607">
        <f t="shared" si="705"/>
        <v>0</v>
      </c>
      <c r="BY671" s="608">
        <f t="shared" si="706"/>
        <v>0</v>
      </c>
      <c r="BZ671" s="607">
        <f t="shared" si="707"/>
        <v>6456.2339622641512</v>
      </c>
      <c r="CA671" s="608">
        <f t="shared" si="708"/>
        <v>6767.6442953020132</v>
      </c>
      <c r="CB671" s="607">
        <f t="shared" si="709"/>
        <v>6195.1111111111113</v>
      </c>
      <c r="CC671" s="608">
        <f t="shared" si="710"/>
        <v>5830.7410714285716</v>
      </c>
      <c r="CD671" s="607">
        <f t="shared" si="711"/>
        <v>5023.945652173913</v>
      </c>
      <c r="CE671" s="608">
        <f t="shared" si="712"/>
        <v>4928.6417910447763</v>
      </c>
      <c r="CF671" s="607">
        <f t="shared" si="713"/>
        <v>4253.2863436123343</v>
      </c>
      <c r="CG671" s="608">
        <f t="shared" si="714"/>
        <v>4112.5649350649346</v>
      </c>
      <c r="CH671" s="607">
        <f t="shared" si="715"/>
        <v>4041.8478260869565</v>
      </c>
      <c r="CI671" s="608">
        <f t="shared" si="716"/>
        <v>3760.1052631578946</v>
      </c>
      <c r="CJ671" s="607">
        <f t="shared" si="717"/>
        <v>0</v>
      </c>
      <c r="CK671" s="608">
        <f t="shared" si="718"/>
        <v>0</v>
      </c>
      <c r="CL671" s="609">
        <f t="shared" si="719"/>
        <v>58106.105660377361</v>
      </c>
      <c r="CM671" s="608">
        <f t="shared" si="720"/>
        <v>60908.798657718122</v>
      </c>
      <c r="CN671" s="610">
        <f t="shared" si="721"/>
        <v>55756</v>
      </c>
      <c r="CO671" s="606">
        <f t="shared" si="722"/>
        <v>52476.669642857145</v>
      </c>
      <c r="CP671" s="607">
        <f t="shared" si="723"/>
        <v>45215.510869565216</v>
      </c>
      <c r="CQ671" s="606">
        <f t="shared" si="724"/>
        <v>44357.776119402988</v>
      </c>
      <c r="CR671" s="607">
        <f t="shared" si="725"/>
        <v>38279.577092511012</v>
      </c>
      <c r="CS671" s="606">
        <f t="shared" si="726"/>
        <v>37013.08441558441</v>
      </c>
      <c r="CT671" s="607">
        <f t="shared" si="727"/>
        <v>36376.630434782608</v>
      </c>
      <c r="CU671" s="608">
        <f t="shared" si="728"/>
        <v>33840.947368421053</v>
      </c>
      <c r="CV671" s="610">
        <f t="shared" si="729"/>
        <v>0</v>
      </c>
      <c r="CW671" s="608">
        <f t="shared" si="730"/>
        <v>0</v>
      </c>
      <c r="CX671" s="610">
        <f t="shared" si="731"/>
        <v>47257.527617613727</v>
      </c>
      <c r="CY671" s="611">
        <f t="shared" si="732"/>
        <v>48315.647061832839</v>
      </c>
      <c r="CZ671" s="605">
        <f t="shared" si="733"/>
        <v>29</v>
      </c>
      <c r="DA671" s="612">
        <f t="shared" si="734"/>
        <v>32</v>
      </c>
      <c r="DB671" s="607">
        <f t="shared" si="735"/>
        <v>7</v>
      </c>
      <c r="DC671" s="606">
        <f t="shared" si="736"/>
        <v>12</v>
      </c>
      <c r="DD671" s="607">
        <f t="shared" si="737"/>
        <v>20</v>
      </c>
      <c r="DE671" s="606">
        <f t="shared" si="738"/>
        <v>22</v>
      </c>
      <c r="DF671" s="607">
        <f t="shared" si="739"/>
        <v>25</v>
      </c>
      <c r="DG671" s="606">
        <f t="shared" si="740"/>
        <v>17</v>
      </c>
      <c r="DH671" s="607">
        <f t="shared" si="741"/>
        <v>10</v>
      </c>
      <c r="DI671" s="608">
        <f t="shared" si="742"/>
        <v>12</v>
      </c>
      <c r="DJ671" s="607">
        <f t="shared" si="743"/>
        <v>0</v>
      </c>
      <c r="DK671" s="608">
        <f t="shared" si="744"/>
        <v>0</v>
      </c>
      <c r="DL671" s="607">
        <f t="shared" si="745"/>
        <v>91</v>
      </c>
      <c r="DM671" s="608">
        <f t="shared" si="746"/>
        <v>95</v>
      </c>
      <c r="DN671" s="607">
        <f t="shared" si="747"/>
        <v>1685077.0641509434</v>
      </c>
      <c r="DO671" s="612">
        <f t="shared" si="748"/>
        <v>1949081.5570469799</v>
      </c>
      <c r="DP671" s="607">
        <f t="shared" si="749"/>
        <v>390292</v>
      </c>
      <c r="DQ671" s="606">
        <f t="shared" si="750"/>
        <v>629720.03571428568</v>
      </c>
      <c r="DR671" s="607">
        <f t="shared" si="751"/>
        <v>904310.21739130432</v>
      </c>
      <c r="DS671" s="606">
        <f t="shared" si="752"/>
        <v>975871.0746268658</v>
      </c>
      <c r="DT671" s="607">
        <f t="shared" si="753"/>
        <v>956989.42731277528</v>
      </c>
      <c r="DU671" s="606">
        <f t="shared" si="754"/>
        <v>629222.43506493501</v>
      </c>
      <c r="DV671" s="607">
        <f t="shared" si="755"/>
        <v>363766.30434782605</v>
      </c>
      <c r="DW671" s="608">
        <f t="shared" si="756"/>
        <v>406091.36842105264</v>
      </c>
      <c r="DX671" s="607">
        <f t="shared" si="757"/>
        <v>0</v>
      </c>
      <c r="DY671" s="608">
        <f t="shared" si="758"/>
        <v>0</v>
      </c>
      <c r="DZ671" s="607">
        <f t="shared" si="759"/>
        <v>4300435.0132028488</v>
      </c>
      <c r="EA671" s="608">
        <f t="shared" si="760"/>
        <v>4589986.4708741195</v>
      </c>
    </row>
    <row r="672" spans="1:131" x14ac:dyDescent="0.2">
      <c r="A672" s="317" t="s">
        <v>45</v>
      </c>
      <c r="B672" s="320" t="s">
        <v>385</v>
      </c>
      <c r="C672" s="597" t="s">
        <v>389</v>
      </c>
      <c r="D672" s="333">
        <v>447582</v>
      </c>
      <c r="E672" s="338">
        <v>9</v>
      </c>
      <c r="F672" s="598">
        <v>7</v>
      </c>
      <c r="G672" s="599">
        <v>7</v>
      </c>
      <c r="H672" s="600"/>
      <c r="I672" s="601"/>
      <c r="J672" s="600"/>
      <c r="K672" s="599"/>
      <c r="L672" s="600"/>
      <c r="M672" s="601"/>
      <c r="N672" s="600">
        <v>6</v>
      </c>
      <c r="O672" s="599">
        <v>6</v>
      </c>
      <c r="P672" s="600"/>
      <c r="Q672" s="601"/>
      <c r="R672" s="600">
        <v>1</v>
      </c>
      <c r="S672" s="599"/>
      <c r="T672" s="600"/>
      <c r="U672" s="601"/>
      <c r="V672" s="600">
        <v>6</v>
      </c>
      <c r="W672" s="599">
        <v>6</v>
      </c>
      <c r="X672" s="600"/>
      <c r="Y672" s="601"/>
      <c r="Z672" s="600"/>
      <c r="AA672" s="599"/>
      <c r="AB672" s="600"/>
      <c r="AC672" s="601"/>
      <c r="AD672" s="600">
        <v>15</v>
      </c>
      <c r="AE672" s="599">
        <v>17</v>
      </c>
      <c r="AF672" s="600"/>
      <c r="AG672" s="601"/>
      <c r="AH672" s="600">
        <v>15</v>
      </c>
      <c r="AI672" s="599">
        <v>6</v>
      </c>
      <c r="AJ672" s="600"/>
      <c r="AK672" s="601">
        <v>12</v>
      </c>
      <c r="AL672" s="600"/>
      <c r="AM672" s="599"/>
      <c r="AN672" s="600"/>
      <c r="AO672" s="601"/>
      <c r="AP672" s="600"/>
      <c r="AQ672" s="599"/>
      <c r="AR672" s="600"/>
      <c r="AS672" s="601"/>
      <c r="AT672" s="600"/>
      <c r="AU672" s="599"/>
      <c r="AV672" s="600"/>
      <c r="AW672" s="601"/>
      <c r="AX672" s="600"/>
      <c r="AY672" s="599"/>
      <c r="AZ672" s="600"/>
      <c r="BA672" s="601"/>
      <c r="BB672" s="602">
        <v>466935</v>
      </c>
      <c r="BC672" s="599">
        <v>475757</v>
      </c>
      <c r="BD672" s="600">
        <v>406260</v>
      </c>
      <c r="BE672" s="599">
        <v>345311</v>
      </c>
      <c r="BF672" s="600">
        <v>281256</v>
      </c>
      <c r="BG672" s="599">
        <v>290460</v>
      </c>
      <c r="BH672" s="600">
        <v>1354650</v>
      </c>
      <c r="BI672" s="599">
        <v>1660103</v>
      </c>
      <c r="BJ672" s="600"/>
      <c r="BK672" s="615"/>
      <c r="BL672" s="600">
        <v>0</v>
      </c>
      <c r="BM672" s="604"/>
      <c r="BN672" s="605">
        <f t="shared" si="695"/>
        <v>63</v>
      </c>
      <c r="BO672" s="606">
        <f t="shared" si="696"/>
        <v>63</v>
      </c>
      <c r="BP672" s="607">
        <f t="shared" si="697"/>
        <v>65</v>
      </c>
      <c r="BQ672" s="606">
        <f t="shared" si="698"/>
        <v>54</v>
      </c>
      <c r="BR672" s="607">
        <f t="shared" si="699"/>
        <v>54</v>
      </c>
      <c r="BS672" s="606">
        <f t="shared" si="700"/>
        <v>54</v>
      </c>
      <c r="BT672" s="607">
        <f t="shared" si="701"/>
        <v>300</v>
      </c>
      <c r="BU672" s="606">
        <f t="shared" si="702"/>
        <v>363</v>
      </c>
      <c r="BV672" s="607">
        <f t="shared" si="703"/>
        <v>0</v>
      </c>
      <c r="BW672" s="608">
        <f t="shared" si="704"/>
        <v>0</v>
      </c>
      <c r="BX672" s="607">
        <f t="shared" si="705"/>
        <v>0</v>
      </c>
      <c r="BY672" s="608">
        <f t="shared" si="706"/>
        <v>0</v>
      </c>
      <c r="BZ672" s="607">
        <f t="shared" si="707"/>
        <v>7411.666666666667</v>
      </c>
      <c r="CA672" s="608">
        <f t="shared" si="708"/>
        <v>7551.6984126984125</v>
      </c>
      <c r="CB672" s="607">
        <f t="shared" si="709"/>
        <v>6250.1538461538457</v>
      </c>
      <c r="CC672" s="608">
        <f t="shared" si="710"/>
        <v>6394.6481481481478</v>
      </c>
      <c r="CD672" s="607">
        <f t="shared" si="711"/>
        <v>5208.4444444444443</v>
      </c>
      <c r="CE672" s="608">
        <f t="shared" si="712"/>
        <v>5378.8888888888887</v>
      </c>
      <c r="CF672" s="607">
        <f t="shared" si="713"/>
        <v>4515.5</v>
      </c>
      <c r="CG672" s="608">
        <f t="shared" si="714"/>
        <v>4573.2865013774108</v>
      </c>
      <c r="CH672" s="607">
        <f t="shared" si="715"/>
        <v>0</v>
      </c>
      <c r="CI672" s="608">
        <f t="shared" si="716"/>
        <v>0</v>
      </c>
      <c r="CJ672" s="607">
        <f t="shared" si="717"/>
        <v>0</v>
      </c>
      <c r="CK672" s="608">
        <f t="shared" si="718"/>
        <v>0</v>
      </c>
      <c r="CL672" s="609">
        <f t="shared" si="719"/>
        <v>66705</v>
      </c>
      <c r="CM672" s="608">
        <f t="shared" si="720"/>
        <v>67965.28571428571</v>
      </c>
      <c r="CN672" s="610">
        <f t="shared" si="721"/>
        <v>56251.38461538461</v>
      </c>
      <c r="CO672" s="606">
        <f t="shared" si="722"/>
        <v>57551.833333333328</v>
      </c>
      <c r="CP672" s="607">
        <f t="shared" si="723"/>
        <v>46876</v>
      </c>
      <c r="CQ672" s="606">
        <f t="shared" si="724"/>
        <v>48410</v>
      </c>
      <c r="CR672" s="607">
        <f t="shared" si="725"/>
        <v>40639.5</v>
      </c>
      <c r="CS672" s="606">
        <f t="shared" si="726"/>
        <v>41159.5785123967</v>
      </c>
      <c r="CT672" s="607">
        <f t="shared" si="727"/>
        <v>0</v>
      </c>
      <c r="CU672" s="608">
        <f t="shared" si="728"/>
        <v>0</v>
      </c>
      <c r="CV672" s="610">
        <f t="shared" si="729"/>
        <v>0</v>
      </c>
      <c r="CW672" s="608">
        <f t="shared" si="730"/>
        <v>0</v>
      </c>
      <c r="CX672" s="610">
        <f t="shared" si="731"/>
        <v>47222.713846153842</v>
      </c>
      <c r="CY672" s="611">
        <f t="shared" si="732"/>
        <v>47261.35644322008</v>
      </c>
      <c r="CZ672" s="605">
        <f t="shared" si="733"/>
        <v>7</v>
      </c>
      <c r="DA672" s="612">
        <f t="shared" si="734"/>
        <v>7</v>
      </c>
      <c r="DB672" s="607">
        <f t="shared" si="735"/>
        <v>7</v>
      </c>
      <c r="DC672" s="606">
        <f t="shared" si="736"/>
        <v>6</v>
      </c>
      <c r="DD672" s="607">
        <f t="shared" si="737"/>
        <v>6</v>
      </c>
      <c r="DE672" s="606">
        <f t="shared" si="738"/>
        <v>6</v>
      </c>
      <c r="DF672" s="607">
        <f t="shared" si="739"/>
        <v>30</v>
      </c>
      <c r="DG672" s="606">
        <f t="shared" si="740"/>
        <v>35</v>
      </c>
      <c r="DH672" s="607">
        <f t="shared" si="741"/>
        <v>0</v>
      </c>
      <c r="DI672" s="608">
        <f t="shared" si="742"/>
        <v>0</v>
      </c>
      <c r="DJ672" s="607">
        <f t="shared" si="743"/>
        <v>0</v>
      </c>
      <c r="DK672" s="608">
        <f t="shared" si="744"/>
        <v>0</v>
      </c>
      <c r="DL672" s="607">
        <f t="shared" si="745"/>
        <v>50</v>
      </c>
      <c r="DM672" s="608">
        <f t="shared" si="746"/>
        <v>54</v>
      </c>
      <c r="DN672" s="607">
        <f t="shared" si="747"/>
        <v>466935</v>
      </c>
      <c r="DO672" s="612">
        <f t="shared" si="748"/>
        <v>475757</v>
      </c>
      <c r="DP672" s="607">
        <f t="shared" si="749"/>
        <v>393759.69230769225</v>
      </c>
      <c r="DQ672" s="606">
        <f t="shared" si="750"/>
        <v>345311</v>
      </c>
      <c r="DR672" s="607">
        <f t="shared" si="751"/>
        <v>281256</v>
      </c>
      <c r="DS672" s="606">
        <f t="shared" si="752"/>
        <v>290460</v>
      </c>
      <c r="DT672" s="607">
        <f t="shared" si="753"/>
        <v>1219185</v>
      </c>
      <c r="DU672" s="606">
        <f t="shared" si="754"/>
        <v>1440585.2479338844</v>
      </c>
      <c r="DV672" s="607">
        <f t="shared" si="755"/>
        <v>0</v>
      </c>
      <c r="DW672" s="608">
        <f t="shared" si="756"/>
        <v>0</v>
      </c>
      <c r="DX672" s="607">
        <f t="shared" si="757"/>
        <v>0</v>
      </c>
      <c r="DY672" s="608">
        <f t="shared" si="758"/>
        <v>0</v>
      </c>
      <c r="DZ672" s="607">
        <f t="shared" si="759"/>
        <v>2361135.692307692</v>
      </c>
      <c r="EA672" s="608">
        <f t="shared" si="760"/>
        <v>2552113.2479338842</v>
      </c>
    </row>
    <row r="673" spans="1:131" x14ac:dyDescent="0.2">
      <c r="A673" s="317" t="s">
        <v>45</v>
      </c>
      <c r="B673" s="337" t="s">
        <v>386</v>
      </c>
      <c r="C673" s="597" t="s">
        <v>389</v>
      </c>
      <c r="D673" s="333">
        <v>443492</v>
      </c>
      <c r="E673" s="338">
        <v>9</v>
      </c>
      <c r="F673" s="598">
        <v>3</v>
      </c>
      <c r="G673" s="599">
        <v>1</v>
      </c>
      <c r="H673" s="600"/>
      <c r="I673" s="601">
        <v>4</v>
      </c>
      <c r="J673" s="600">
        <v>4</v>
      </c>
      <c r="K673" s="599">
        <v>3</v>
      </c>
      <c r="L673" s="600"/>
      <c r="M673" s="601">
        <v>1</v>
      </c>
      <c r="N673" s="600">
        <v>3</v>
      </c>
      <c r="O673" s="599">
        <v>5</v>
      </c>
      <c r="P673" s="600"/>
      <c r="Q673" s="601">
        <v>4</v>
      </c>
      <c r="R673" s="600">
        <v>1</v>
      </c>
      <c r="S673" s="599">
        <v>1</v>
      </c>
      <c r="T673" s="600"/>
      <c r="U673" s="601">
        <v>1</v>
      </c>
      <c r="V673" s="600">
        <v>28</v>
      </c>
      <c r="W673" s="599">
        <v>15</v>
      </c>
      <c r="X673" s="600"/>
      <c r="Y673" s="601">
        <v>7</v>
      </c>
      <c r="Z673" s="600">
        <v>4</v>
      </c>
      <c r="AA673" s="599">
        <v>4</v>
      </c>
      <c r="AB673" s="600"/>
      <c r="AC673" s="601">
        <v>1</v>
      </c>
      <c r="AD673" s="600">
        <v>13</v>
      </c>
      <c r="AE673" s="599">
        <v>8</v>
      </c>
      <c r="AF673" s="600"/>
      <c r="AG673" s="601">
        <v>4</v>
      </c>
      <c r="AH673" s="600">
        <v>5</v>
      </c>
      <c r="AI673" s="599">
        <v>3</v>
      </c>
      <c r="AJ673" s="600"/>
      <c r="AK673" s="601">
        <v>1</v>
      </c>
      <c r="AL673" s="600">
        <v>2</v>
      </c>
      <c r="AM673" s="599">
        <v>1</v>
      </c>
      <c r="AN673" s="600"/>
      <c r="AO673" s="601">
        <v>1</v>
      </c>
      <c r="AP673" s="600"/>
      <c r="AQ673" s="599"/>
      <c r="AR673" s="600"/>
      <c r="AS673" s="601"/>
      <c r="AT673" s="600"/>
      <c r="AU673" s="599"/>
      <c r="AV673" s="600"/>
      <c r="AW673" s="601"/>
      <c r="AX673" s="600"/>
      <c r="AY673" s="599"/>
      <c r="AZ673" s="600"/>
      <c r="BA673" s="601"/>
      <c r="BB673" s="602">
        <v>628728</v>
      </c>
      <c r="BC673" s="599">
        <v>778292</v>
      </c>
      <c r="BD673" s="600">
        <v>207408</v>
      </c>
      <c r="BE673" s="599">
        <v>649872</v>
      </c>
      <c r="BF673" s="600">
        <v>1641392</v>
      </c>
      <c r="BG673" s="599">
        <v>1357818</v>
      </c>
      <c r="BH673" s="600">
        <v>849475</v>
      </c>
      <c r="BI673" s="599">
        <v>689960</v>
      </c>
      <c r="BJ673" s="600">
        <v>83340</v>
      </c>
      <c r="BK673" s="615">
        <v>92516</v>
      </c>
      <c r="BL673" s="600">
        <v>0</v>
      </c>
      <c r="BM673" s="604"/>
      <c r="BN673" s="605">
        <f t="shared" si="695"/>
        <v>71</v>
      </c>
      <c r="BO673" s="606">
        <f t="shared" si="696"/>
        <v>94</v>
      </c>
      <c r="BP673" s="607">
        <f t="shared" si="697"/>
        <v>38</v>
      </c>
      <c r="BQ673" s="606">
        <f t="shared" si="698"/>
        <v>108</v>
      </c>
      <c r="BR673" s="607">
        <f t="shared" si="699"/>
        <v>296</v>
      </c>
      <c r="BS673" s="606">
        <f t="shared" si="700"/>
        <v>261</v>
      </c>
      <c r="BT673" s="607">
        <f t="shared" si="701"/>
        <v>172</v>
      </c>
      <c r="BU673" s="606">
        <f t="shared" si="702"/>
        <v>157</v>
      </c>
      <c r="BV673" s="607">
        <f t="shared" si="703"/>
        <v>18</v>
      </c>
      <c r="BW673" s="608">
        <f t="shared" si="704"/>
        <v>19</v>
      </c>
      <c r="BX673" s="607">
        <f t="shared" si="705"/>
        <v>0</v>
      </c>
      <c r="BY673" s="608">
        <f t="shared" si="706"/>
        <v>0</v>
      </c>
      <c r="BZ673" s="607">
        <f t="shared" si="707"/>
        <v>8855.3239436619715</v>
      </c>
      <c r="CA673" s="608">
        <f t="shared" si="708"/>
        <v>8279.7021276595751</v>
      </c>
      <c r="CB673" s="607">
        <f t="shared" si="709"/>
        <v>5458.105263157895</v>
      </c>
      <c r="CC673" s="608">
        <f t="shared" si="710"/>
        <v>6017.333333333333</v>
      </c>
      <c r="CD673" s="607">
        <f t="shared" si="711"/>
        <v>5545.2432432432433</v>
      </c>
      <c r="CE673" s="608">
        <f t="shared" si="712"/>
        <v>5202.3678160919544</v>
      </c>
      <c r="CF673" s="607">
        <f t="shared" si="713"/>
        <v>4938.8081395348836</v>
      </c>
      <c r="CG673" s="608">
        <f t="shared" si="714"/>
        <v>4394.6496815286628</v>
      </c>
      <c r="CH673" s="607">
        <f t="shared" si="715"/>
        <v>4630</v>
      </c>
      <c r="CI673" s="608">
        <f t="shared" si="716"/>
        <v>4869.2631578947367</v>
      </c>
      <c r="CJ673" s="607">
        <f t="shared" si="717"/>
        <v>0</v>
      </c>
      <c r="CK673" s="608">
        <f t="shared" si="718"/>
        <v>0</v>
      </c>
      <c r="CL673" s="609">
        <f t="shared" si="719"/>
        <v>79697.915492957749</v>
      </c>
      <c r="CM673" s="608">
        <f t="shared" si="720"/>
        <v>74517.319148936178</v>
      </c>
      <c r="CN673" s="610">
        <f t="shared" si="721"/>
        <v>49122.947368421053</v>
      </c>
      <c r="CO673" s="606">
        <f t="shared" si="722"/>
        <v>54156</v>
      </c>
      <c r="CP673" s="607">
        <f t="shared" si="723"/>
        <v>49907.189189189186</v>
      </c>
      <c r="CQ673" s="606">
        <f t="shared" si="724"/>
        <v>46821.310344827587</v>
      </c>
      <c r="CR673" s="607">
        <f t="shared" si="725"/>
        <v>44449.273255813954</v>
      </c>
      <c r="CS673" s="606">
        <f t="shared" si="726"/>
        <v>39551.847133757969</v>
      </c>
      <c r="CT673" s="607">
        <f t="shared" si="727"/>
        <v>41670</v>
      </c>
      <c r="CU673" s="608">
        <f t="shared" si="728"/>
        <v>43823.368421052626</v>
      </c>
      <c r="CV673" s="610">
        <f t="shared" si="729"/>
        <v>0</v>
      </c>
      <c r="CW673" s="608">
        <f t="shared" si="730"/>
        <v>0</v>
      </c>
      <c r="CX673" s="610">
        <f t="shared" si="731"/>
        <v>51346.574136239578</v>
      </c>
      <c r="CY673" s="611">
        <f t="shared" si="732"/>
        <v>50015.746809738499</v>
      </c>
      <c r="CZ673" s="605">
        <f t="shared" si="733"/>
        <v>7</v>
      </c>
      <c r="DA673" s="612">
        <f t="shared" si="734"/>
        <v>9</v>
      </c>
      <c r="DB673" s="607">
        <f t="shared" si="735"/>
        <v>4</v>
      </c>
      <c r="DC673" s="606">
        <f t="shared" si="736"/>
        <v>11</v>
      </c>
      <c r="DD673" s="607">
        <f t="shared" si="737"/>
        <v>32</v>
      </c>
      <c r="DE673" s="606">
        <f t="shared" si="738"/>
        <v>27</v>
      </c>
      <c r="DF673" s="607">
        <f t="shared" si="739"/>
        <v>18</v>
      </c>
      <c r="DG673" s="606">
        <f t="shared" si="740"/>
        <v>16</v>
      </c>
      <c r="DH673" s="607">
        <f t="shared" si="741"/>
        <v>2</v>
      </c>
      <c r="DI673" s="608">
        <f t="shared" si="742"/>
        <v>2</v>
      </c>
      <c r="DJ673" s="607">
        <f t="shared" si="743"/>
        <v>0</v>
      </c>
      <c r="DK673" s="608">
        <f t="shared" si="744"/>
        <v>0</v>
      </c>
      <c r="DL673" s="607">
        <f t="shared" si="745"/>
        <v>63</v>
      </c>
      <c r="DM673" s="608">
        <f t="shared" si="746"/>
        <v>65</v>
      </c>
      <c r="DN673" s="607">
        <f t="shared" si="747"/>
        <v>557885.4084507043</v>
      </c>
      <c r="DO673" s="612">
        <f t="shared" si="748"/>
        <v>670655.87234042562</v>
      </c>
      <c r="DP673" s="607">
        <f t="shared" si="749"/>
        <v>196491.78947368421</v>
      </c>
      <c r="DQ673" s="606">
        <f t="shared" si="750"/>
        <v>595716</v>
      </c>
      <c r="DR673" s="607">
        <f t="shared" si="751"/>
        <v>1597030.054054054</v>
      </c>
      <c r="DS673" s="606">
        <f t="shared" si="752"/>
        <v>1264175.3793103448</v>
      </c>
      <c r="DT673" s="607">
        <f t="shared" si="753"/>
        <v>800086.91860465123</v>
      </c>
      <c r="DU673" s="606">
        <f t="shared" si="754"/>
        <v>632829.5541401275</v>
      </c>
      <c r="DV673" s="607">
        <f t="shared" si="755"/>
        <v>83340</v>
      </c>
      <c r="DW673" s="608">
        <f t="shared" si="756"/>
        <v>87646.736842105252</v>
      </c>
      <c r="DX673" s="607">
        <f t="shared" si="757"/>
        <v>0</v>
      </c>
      <c r="DY673" s="608">
        <f t="shared" si="758"/>
        <v>0</v>
      </c>
      <c r="DZ673" s="607">
        <f t="shared" si="759"/>
        <v>3234834.1705830935</v>
      </c>
      <c r="EA673" s="608">
        <f t="shared" si="760"/>
        <v>3251023.5426330026</v>
      </c>
    </row>
    <row r="674" spans="1:131" x14ac:dyDescent="0.2">
      <c r="A674" s="317" t="s">
        <v>45</v>
      </c>
      <c r="B674" s="320" t="s">
        <v>379</v>
      </c>
      <c r="C674" s="593" t="s">
        <v>388</v>
      </c>
      <c r="D674" s="333">
        <v>238014</v>
      </c>
      <c r="E674" s="340">
        <v>9</v>
      </c>
      <c r="F674" s="598">
        <v>22</v>
      </c>
      <c r="G674" s="599">
        <v>20</v>
      </c>
      <c r="H674" s="600"/>
      <c r="I674" s="601"/>
      <c r="J674" s="600"/>
      <c r="K674" s="599"/>
      <c r="L674" s="600"/>
      <c r="M674" s="601"/>
      <c r="N674" s="600">
        <v>9</v>
      </c>
      <c r="O674" s="599">
        <v>9</v>
      </c>
      <c r="P674" s="600"/>
      <c r="Q674" s="601"/>
      <c r="R674" s="600"/>
      <c r="S674" s="599"/>
      <c r="T674" s="600"/>
      <c r="U674" s="601"/>
      <c r="V674" s="600">
        <v>6</v>
      </c>
      <c r="W674" s="599">
        <v>5</v>
      </c>
      <c r="X674" s="600"/>
      <c r="Y674" s="601"/>
      <c r="Z674" s="600">
        <v>1</v>
      </c>
      <c r="AA674" s="599"/>
      <c r="AB674" s="600"/>
      <c r="AC674" s="601">
        <v>1</v>
      </c>
      <c r="AD674" s="600">
        <v>20</v>
      </c>
      <c r="AE674" s="599">
        <v>22</v>
      </c>
      <c r="AF674" s="600"/>
      <c r="AG674" s="601"/>
      <c r="AH674" s="600">
        <v>4</v>
      </c>
      <c r="AI674" s="599"/>
      <c r="AJ674" s="600"/>
      <c r="AK674" s="601">
        <v>3</v>
      </c>
      <c r="AL674" s="600"/>
      <c r="AM674" s="599"/>
      <c r="AN674" s="600"/>
      <c r="AO674" s="601"/>
      <c r="AP674" s="600"/>
      <c r="AQ674" s="599"/>
      <c r="AR674" s="600"/>
      <c r="AS674" s="601"/>
      <c r="AT674" s="600"/>
      <c r="AU674" s="599"/>
      <c r="AV674" s="600"/>
      <c r="AW674" s="601"/>
      <c r="AX674" s="600"/>
      <c r="AY674" s="599"/>
      <c r="AZ674" s="600"/>
      <c r="BA674" s="601"/>
      <c r="BB674" s="602">
        <v>1297252</v>
      </c>
      <c r="BC674" s="599">
        <v>1204020</v>
      </c>
      <c r="BD674" s="600">
        <v>425637</v>
      </c>
      <c r="BE674" s="599">
        <v>430553</v>
      </c>
      <c r="BF674" s="600">
        <v>291546</v>
      </c>
      <c r="BG674" s="599">
        <v>262763</v>
      </c>
      <c r="BH674" s="600">
        <v>836100</v>
      </c>
      <c r="BI674" s="599">
        <v>895815</v>
      </c>
      <c r="BJ674" s="600"/>
      <c r="BK674" s="615"/>
      <c r="BL674" s="600">
        <v>0</v>
      </c>
      <c r="BM674" s="604"/>
      <c r="BN674" s="605">
        <f t="shared" si="695"/>
        <v>198</v>
      </c>
      <c r="BO674" s="606">
        <f t="shared" si="696"/>
        <v>180</v>
      </c>
      <c r="BP674" s="607">
        <f t="shared" si="697"/>
        <v>81</v>
      </c>
      <c r="BQ674" s="606">
        <f t="shared" si="698"/>
        <v>81</v>
      </c>
      <c r="BR674" s="607">
        <f t="shared" si="699"/>
        <v>65</v>
      </c>
      <c r="BS674" s="606">
        <f t="shared" si="700"/>
        <v>57</v>
      </c>
      <c r="BT674" s="607">
        <f t="shared" si="701"/>
        <v>224</v>
      </c>
      <c r="BU674" s="606">
        <f t="shared" si="702"/>
        <v>234</v>
      </c>
      <c r="BV674" s="607">
        <f t="shared" si="703"/>
        <v>0</v>
      </c>
      <c r="BW674" s="608">
        <f t="shared" si="704"/>
        <v>0</v>
      </c>
      <c r="BX674" s="607">
        <f t="shared" si="705"/>
        <v>0</v>
      </c>
      <c r="BY674" s="608">
        <f t="shared" si="706"/>
        <v>0</v>
      </c>
      <c r="BZ674" s="607">
        <f t="shared" si="707"/>
        <v>6551.7777777777774</v>
      </c>
      <c r="CA674" s="608">
        <f t="shared" si="708"/>
        <v>6689</v>
      </c>
      <c r="CB674" s="607">
        <f t="shared" si="709"/>
        <v>5254.7777777777774</v>
      </c>
      <c r="CC674" s="608">
        <f t="shared" si="710"/>
        <v>5315.4691358024693</v>
      </c>
      <c r="CD674" s="607">
        <f t="shared" si="711"/>
        <v>4485.3230769230768</v>
      </c>
      <c r="CE674" s="608">
        <f t="shared" si="712"/>
        <v>4609.8771929824561</v>
      </c>
      <c r="CF674" s="607">
        <f t="shared" si="713"/>
        <v>3732.5892857142858</v>
      </c>
      <c r="CG674" s="608">
        <f t="shared" si="714"/>
        <v>3828.2692307692309</v>
      </c>
      <c r="CH674" s="607">
        <f t="shared" si="715"/>
        <v>0</v>
      </c>
      <c r="CI674" s="608">
        <f t="shared" si="716"/>
        <v>0</v>
      </c>
      <c r="CJ674" s="607">
        <f t="shared" si="717"/>
        <v>0</v>
      </c>
      <c r="CK674" s="608">
        <f t="shared" si="718"/>
        <v>0</v>
      </c>
      <c r="CL674" s="609">
        <f t="shared" si="719"/>
        <v>58966</v>
      </c>
      <c r="CM674" s="608">
        <f t="shared" si="720"/>
        <v>60201</v>
      </c>
      <c r="CN674" s="610">
        <f t="shared" si="721"/>
        <v>47293</v>
      </c>
      <c r="CO674" s="606">
        <f t="shared" si="722"/>
        <v>47839.222222222226</v>
      </c>
      <c r="CP674" s="607">
        <f t="shared" si="723"/>
        <v>40367.907692307694</v>
      </c>
      <c r="CQ674" s="606">
        <f t="shared" si="724"/>
        <v>41488.894736842107</v>
      </c>
      <c r="CR674" s="607">
        <f t="shared" si="725"/>
        <v>33593.303571428572</v>
      </c>
      <c r="CS674" s="606">
        <f t="shared" si="726"/>
        <v>34454.423076923078</v>
      </c>
      <c r="CT674" s="607">
        <f t="shared" si="727"/>
        <v>0</v>
      </c>
      <c r="CU674" s="608">
        <f t="shared" si="728"/>
        <v>0</v>
      </c>
      <c r="CV674" s="610">
        <f t="shared" si="729"/>
        <v>0</v>
      </c>
      <c r="CW674" s="608">
        <f t="shared" si="730"/>
        <v>0</v>
      </c>
      <c r="CX674" s="610">
        <f t="shared" si="731"/>
        <v>45350.058702587739</v>
      </c>
      <c r="CY674" s="611">
        <f t="shared" si="732"/>
        <v>45747.782422402161</v>
      </c>
      <c r="CZ674" s="605">
        <f t="shared" si="733"/>
        <v>22</v>
      </c>
      <c r="DA674" s="612">
        <f t="shared" si="734"/>
        <v>20</v>
      </c>
      <c r="DB674" s="607">
        <f t="shared" si="735"/>
        <v>9</v>
      </c>
      <c r="DC674" s="606">
        <f t="shared" si="736"/>
        <v>9</v>
      </c>
      <c r="DD674" s="607">
        <f t="shared" si="737"/>
        <v>7</v>
      </c>
      <c r="DE674" s="606">
        <f t="shared" si="738"/>
        <v>6</v>
      </c>
      <c r="DF674" s="607">
        <f t="shared" si="739"/>
        <v>24</v>
      </c>
      <c r="DG674" s="606">
        <f t="shared" si="740"/>
        <v>25</v>
      </c>
      <c r="DH674" s="607">
        <f t="shared" si="741"/>
        <v>0</v>
      </c>
      <c r="DI674" s="608">
        <f t="shared" si="742"/>
        <v>0</v>
      </c>
      <c r="DJ674" s="607">
        <f t="shared" si="743"/>
        <v>0</v>
      </c>
      <c r="DK674" s="608">
        <f t="shared" si="744"/>
        <v>0</v>
      </c>
      <c r="DL674" s="607">
        <f t="shared" si="745"/>
        <v>62</v>
      </c>
      <c r="DM674" s="608">
        <f t="shared" si="746"/>
        <v>60</v>
      </c>
      <c r="DN674" s="607">
        <f t="shared" si="747"/>
        <v>1297252</v>
      </c>
      <c r="DO674" s="612">
        <f t="shared" si="748"/>
        <v>1204020</v>
      </c>
      <c r="DP674" s="607">
        <f t="shared" si="749"/>
        <v>425637</v>
      </c>
      <c r="DQ674" s="606">
        <f t="shared" si="750"/>
        <v>430553.00000000006</v>
      </c>
      <c r="DR674" s="607">
        <f t="shared" si="751"/>
        <v>282575.35384615383</v>
      </c>
      <c r="DS674" s="606">
        <f t="shared" si="752"/>
        <v>248933.36842105264</v>
      </c>
      <c r="DT674" s="607">
        <f t="shared" si="753"/>
        <v>806239.28571428568</v>
      </c>
      <c r="DU674" s="606">
        <f t="shared" si="754"/>
        <v>861360.57692307699</v>
      </c>
      <c r="DV674" s="607">
        <f t="shared" si="755"/>
        <v>0</v>
      </c>
      <c r="DW674" s="608">
        <f t="shared" si="756"/>
        <v>0</v>
      </c>
      <c r="DX674" s="607">
        <f t="shared" si="757"/>
        <v>0</v>
      </c>
      <c r="DY674" s="608">
        <f t="shared" si="758"/>
        <v>0</v>
      </c>
      <c r="DZ674" s="607">
        <f t="shared" si="759"/>
        <v>2811703.6395604396</v>
      </c>
      <c r="EA674" s="608">
        <f t="shared" si="760"/>
        <v>2744866.9453441296</v>
      </c>
    </row>
    <row r="675" spans="1:131" x14ac:dyDescent="0.2">
      <c r="A675" s="317" t="s">
        <v>45</v>
      </c>
      <c r="B675" s="318" t="s">
        <v>380</v>
      </c>
      <c r="C675" s="596"/>
      <c r="D675" s="333">
        <v>446774</v>
      </c>
      <c r="E675" s="339">
        <v>10</v>
      </c>
      <c r="F675" s="598"/>
      <c r="G675" s="599"/>
      <c r="H675" s="600"/>
      <c r="I675" s="601"/>
      <c r="J675" s="600">
        <v>1</v>
      </c>
      <c r="K675" s="599"/>
      <c r="L675" s="600"/>
      <c r="M675" s="601">
        <v>1</v>
      </c>
      <c r="N675" s="600">
        <v>3</v>
      </c>
      <c r="O675" s="599">
        <v>3</v>
      </c>
      <c r="P675" s="600"/>
      <c r="Q675" s="601"/>
      <c r="R675" s="600"/>
      <c r="S675" s="599"/>
      <c r="T675" s="600"/>
      <c r="U675" s="601">
        <v>1</v>
      </c>
      <c r="V675" s="600">
        <v>11</v>
      </c>
      <c r="W675" s="599">
        <v>11</v>
      </c>
      <c r="X675" s="600"/>
      <c r="Y675" s="601"/>
      <c r="Z675" s="600">
        <v>6</v>
      </c>
      <c r="AA675" s="599"/>
      <c r="AB675" s="600"/>
      <c r="AC675" s="601">
        <v>8</v>
      </c>
      <c r="AD675" s="600">
        <v>3</v>
      </c>
      <c r="AE675" s="599">
        <v>4</v>
      </c>
      <c r="AF675" s="600"/>
      <c r="AG675" s="601"/>
      <c r="AH675" s="600">
        <v>4</v>
      </c>
      <c r="AI675" s="599"/>
      <c r="AJ675" s="600"/>
      <c r="AK675" s="601">
        <v>9</v>
      </c>
      <c r="AL675" s="600">
        <v>9</v>
      </c>
      <c r="AM675" s="599">
        <v>8</v>
      </c>
      <c r="AN675" s="600"/>
      <c r="AO675" s="601"/>
      <c r="AP675" s="600">
        <v>6</v>
      </c>
      <c r="AQ675" s="599"/>
      <c r="AR675" s="600"/>
      <c r="AS675" s="601">
        <v>8</v>
      </c>
      <c r="AT675" s="600"/>
      <c r="AU675" s="599"/>
      <c r="AV675" s="600"/>
      <c r="AW675" s="601"/>
      <c r="AX675" s="600"/>
      <c r="AY675" s="599"/>
      <c r="AZ675" s="600"/>
      <c r="BA675" s="601"/>
      <c r="BB675" s="602">
        <v>95270</v>
      </c>
      <c r="BC675" s="599">
        <v>98161</v>
      </c>
      <c r="BD675" s="600">
        <v>193947</v>
      </c>
      <c r="BE675" s="599">
        <v>333261</v>
      </c>
      <c r="BF675" s="600">
        <v>871351</v>
      </c>
      <c r="BG675" s="599">
        <v>1028455</v>
      </c>
      <c r="BH675" s="600">
        <v>296754</v>
      </c>
      <c r="BI675" s="599">
        <v>629219</v>
      </c>
      <c r="BJ675" s="600">
        <v>637692</v>
      </c>
      <c r="BK675" s="615">
        <v>708119</v>
      </c>
      <c r="BL675" s="600">
        <v>0</v>
      </c>
      <c r="BM675" s="604"/>
      <c r="BN675" s="605">
        <f t="shared" si="695"/>
        <v>11</v>
      </c>
      <c r="BO675" s="606">
        <f t="shared" si="696"/>
        <v>12</v>
      </c>
      <c r="BP675" s="607">
        <f t="shared" si="697"/>
        <v>27</v>
      </c>
      <c r="BQ675" s="606">
        <f t="shared" si="698"/>
        <v>39</v>
      </c>
      <c r="BR675" s="607">
        <f t="shared" si="699"/>
        <v>165</v>
      </c>
      <c r="BS675" s="606">
        <f t="shared" si="700"/>
        <v>195</v>
      </c>
      <c r="BT675" s="607">
        <f t="shared" si="701"/>
        <v>71</v>
      </c>
      <c r="BU675" s="606">
        <f t="shared" si="702"/>
        <v>144</v>
      </c>
      <c r="BV675" s="607">
        <f t="shared" si="703"/>
        <v>147</v>
      </c>
      <c r="BW675" s="608">
        <f t="shared" si="704"/>
        <v>168</v>
      </c>
      <c r="BX675" s="607">
        <f t="shared" si="705"/>
        <v>0</v>
      </c>
      <c r="BY675" s="608">
        <f t="shared" si="706"/>
        <v>0</v>
      </c>
      <c r="BZ675" s="607">
        <f t="shared" si="707"/>
        <v>8660.9090909090901</v>
      </c>
      <c r="CA675" s="608">
        <f t="shared" si="708"/>
        <v>8180.083333333333</v>
      </c>
      <c r="CB675" s="607">
        <f t="shared" si="709"/>
        <v>7183.2222222222226</v>
      </c>
      <c r="CC675" s="608">
        <f t="shared" si="710"/>
        <v>8545.1538461538457</v>
      </c>
      <c r="CD675" s="607">
        <f t="shared" si="711"/>
        <v>5280.9151515151516</v>
      </c>
      <c r="CE675" s="608">
        <f t="shared" si="712"/>
        <v>5274.1282051282051</v>
      </c>
      <c r="CF675" s="607">
        <f t="shared" si="713"/>
        <v>4179.6338028169012</v>
      </c>
      <c r="CG675" s="608">
        <f t="shared" si="714"/>
        <v>4369.5763888888887</v>
      </c>
      <c r="CH675" s="607">
        <f t="shared" si="715"/>
        <v>4338.0408163265311</v>
      </c>
      <c r="CI675" s="608">
        <f t="shared" si="716"/>
        <v>4214.9940476190477</v>
      </c>
      <c r="CJ675" s="607">
        <f t="shared" si="717"/>
        <v>0</v>
      </c>
      <c r="CK675" s="608">
        <f t="shared" si="718"/>
        <v>0</v>
      </c>
      <c r="CL675" s="609">
        <f t="shared" si="719"/>
        <v>77948.181818181809</v>
      </c>
      <c r="CM675" s="608">
        <f t="shared" si="720"/>
        <v>73620.75</v>
      </c>
      <c r="CN675" s="610">
        <f t="shared" si="721"/>
        <v>64649</v>
      </c>
      <c r="CO675" s="606">
        <f t="shared" si="722"/>
        <v>76906.38461538461</v>
      </c>
      <c r="CP675" s="607">
        <f t="shared" si="723"/>
        <v>47528.236363636366</v>
      </c>
      <c r="CQ675" s="606">
        <f t="shared" si="724"/>
        <v>47467.153846153844</v>
      </c>
      <c r="CR675" s="607">
        <f t="shared" si="725"/>
        <v>37616.704225352107</v>
      </c>
      <c r="CS675" s="606">
        <f t="shared" si="726"/>
        <v>39326.1875</v>
      </c>
      <c r="CT675" s="607">
        <f t="shared" si="727"/>
        <v>39042.36734693878</v>
      </c>
      <c r="CU675" s="608">
        <f t="shared" si="728"/>
        <v>37934.946428571428</v>
      </c>
      <c r="CV675" s="610">
        <f t="shared" si="729"/>
        <v>0</v>
      </c>
      <c r="CW675" s="608">
        <f t="shared" si="730"/>
        <v>0</v>
      </c>
      <c r="CX675" s="610">
        <f t="shared" si="731"/>
        <v>44856.456739105728</v>
      </c>
      <c r="CY675" s="611">
        <f t="shared" si="732"/>
        <v>45307.958337652912</v>
      </c>
      <c r="CZ675" s="605">
        <f t="shared" si="733"/>
        <v>1</v>
      </c>
      <c r="DA675" s="612">
        <f t="shared" si="734"/>
        <v>1</v>
      </c>
      <c r="DB675" s="607">
        <f t="shared" si="735"/>
        <v>3</v>
      </c>
      <c r="DC675" s="606">
        <f t="shared" si="736"/>
        <v>4</v>
      </c>
      <c r="DD675" s="607">
        <f t="shared" si="737"/>
        <v>17</v>
      </c>
      <c r="DE675" s="606">
        <f t="shared" si="738"/>
        <v>19</v>
      </c>
      <c r="DF675" s="607">
        <f t="shared" si="739"/>
        <v>7</v>
      </c>
      <c r="DG675" s="606">
        <f t="shared" si="740"/>
        <v>13</v>
      </c>
      <c r="DH675" s="607">
        <f t="shared" si="741"/>
        <v>15</v>
      </c>
      <c r="DI675" s="608">
        <f t="shared" si="742"/>
        <v>16</v>
      </c>
      <c r="DJ675" s="607">
        <f t="shared" si="743"/>
        <v>0</v>
      </c>
      <c r="DK675" s="608">
        <f t="shared" si="744"/>
        <v>0</v>
      </c>
      <c r="DL675" s="607">
        <f t="shared" si="745"/>
        <v>43</v>
      </c>
      <c r="DM675" s="608">
        <f t="shared" si="746"/>
        <v>53</v>
      </c>
      <c r="DN675" s="607">
        <f t="shared" si="747"/>
        <v>77948.181818181809</v>
      </c>
      <c r="DO675" s="612">
        <f t="shared" si="748"/>
        <v>73620.75</v>
      </c>
      <c r="DP675" s="607">
        <f t="shared" si="749"/>
        <v>193947</v>
      </c>
      <c r="DQ675" s="606">
        <f t="shared" si="750"/>
        <v>307625.53846153844</v>
      </c>
      <c r="DR675" s="607">
        <f t="shared" si="751"/>
        <v>807980.01818181819</v>
      </c>
      <c r="DS675" s="606">
        <f t="shared" si="752"/>
        <v>901875.92307692301</v>
      </c>
      <c r="DT675" s="607">
        <f t="shared" si="753"/>
        <v>263316.92957746476</v>
      </c>
      <c r="DU675" s="606">
        <f t="shared" si="754"/>
        <v>511240.4375</v>
      </c>
      <c r="DV675" s="607">
        <f t="shared" si="755"/>
        <v>585635.51020408166</v>
      </c>
      <c r="DW675" s="608">
        <f t="shared" si="756"/>
        <v>606959.14285714284</v>
      </c>
      <c r="DX675" s="607">
        <f t="shared" si="757"/>
        <v>0</v>
      </c>
      <c r="DY675" s="608">
        <f t="shared" si="758"/>
        <v>0</v>
      </c>
      <c r="DZ675" s="607">
        <f t="shared" si="759"/>
        <v>1928827.6397815463</v>
      </c>
      <c r="EA675" s="608">
        <f t="shared" si="760"/>
        <v>2401321.7918956042</v>
      </c>
    </row>
    <row r="676" spans="1:131" x14ac:dyDescent="0.2">
      <c r="A676" s="317" t="s">
        <v>45</v>
      </c>
      <c r="B676" s="318" t="s">
        <v>381</v>
      </c>
      <c r="C676" s="596"/>
      <c r="D676" s="333">
        <v>445674</v>
      </c>
      <c r="E676" s="339">
        <v>10</v>
      </c>
      <c r="F676" s="598">
        <v>6</v>
      </c>
      <c r="G676" s="599">
        <v>3</v>
      </c>
      <c r="H676" s="600"/>
      <c r="I676" s="601">
        <v>3</v>
      </c>
      <c r="J676" s="600">
        <v>2</v>
      </c>
      <c r="K676" s="599">
        <v>1</v>
      </c>
      <c r="L676" s="600"/>
      <c r="M676" s="601"/>
      <c r="N676" s="600">
        <v>8</v>
      </c>
      <c r="O676" s="599">
        <v>6</v>
      </c>
      <c r="P676" s="600"/>
      <c r="Q676" s="601">
        <v>2</v>
      </c>
      <c r="R676" s="600">
        <v>1</v>
      </c>
      <c r="S676" s="599"/>
      <c r="T676" s="600"/>
      <c r="U676" s="601"/>
      <c r="V676" s="600">
        <v>8</v>
      </c>
      <c r="W676" s="599">
        <v>6</v>
      </c>
      <c r="X676" s="600"/>
      <c r="Y676" s="601">
        <v>2</v>
      </c>
      <c r="Z676" s="600"/>
      <c r="AA676" s="599"/>
      <c r="AB676" s="600"/>
      <c r="AC676" s="601">
        <v>1</v>
      </c>
      <c r="AD676" s="600">
        <v>8</v>
      </c>
      <c r="AE676" s="599">
        <v>6</v>
      </c>
      <c r="AF676" s="600"/>
      <c r="AG676" s="601">
        <v>2</v>
      </c>
      <c r="AH676" s="600">
        <v>2</v>
      </c>
      <c r="AI676" s="599">
        <v>1</v>
      </c>
      <c r="AJ676" s="600"/>
      <c r="AK676" s="601">
        <v>2</v>
      </c>
      <c r="AL676" s="600"/>
      <c r="AM676" s="599"/>
      <c r="AN676" s="600"/>
      <c r="AO676" s="601"/>
      <c r="AP676" s="600">
        <v>3</v>
      </c>
      <c r="AQ676" s="599">
        <v>1</v>
      </c>
      <c r="AR676" s="600"/>
      <c r="AS676" s="601">
        <v>1</v>
      </c>
      <c r="AT676" s="600"/>
      <c r="AU676" s="599"/>
      <c r="AV676" s="600"/>
      <c r="AW676" s="601"/>
      <c r="AX676" s="600"/>
      <c r="AY676" s="599"/>
      <c r="AZ676" s="600"/>
      <c r="BA676" s="601"/>
      <c r="BB676" s="602">
        <v>638026</v>
      </c>
      <c r="BC676" s="599">
        <v>554205</v>
      </c>
      <c r="BD676" s="600">
        <v>595228</v>
      </c>
      <c r="BE676" s="599">
        <v>515646</v>
      </c>
      <c r="BF676" s="600">
        <v>410280</v>
      </c>
      <c r="BG676" s="599">
        <v>477441</v>
      </c>
      <c r="BH676" s="600">
        <v>436794</v>
      </c>
      <c r="BI676" s="599">
        <v>455222</v>
      </c>
      <c r="BJ676" s="600">
        <v>155166</v>
      </c>
      <c r="BK676" s="615">
        <v>119344</v>
      </c>
      <c r="BL676" s="600">
        <v>0</v>
      </c>
      <c r="BM676" s="604"/>
      <c r="BN676" s="605">
        <f t="shared" si="695"/>
        <v>76</v>
      </c>
      <c r="BO676" s="606">
        <f t="shared" si="696"/>
        <v>68</v>
      </c>
      <c r="BP676" s="607">
        <f t="shared" si="697"/>
        <v>83</v>
      </c>
      <c r="BQ676" s="606">
        <f t="shared" si="698"/>
        <v>74</v>
      </c>
      <c r="BR676" s="607">
        <f t="shared" si="699"/>
        <v>72</v>
      </c>
      <c r="BS676" s="606">
        <f t="shared" si="700"/>
        <v>86</v>
      </c>
      <c r="BT676" s="607">
        <f t="shared" si="701"/>
        <v>94</v>
      </c>
      <c r="BU676" s="606">
        <f t="shared" si="702"/>
        <v>109</v>
      </c>
      <c r="BV676" s="607">
        <f t="shared" si="703"/>
        <v>33</v>
      </c>
      <c r="BW676" s="608">
        <f t="shared" si="704"/>
        <v>23</v>
      </c>
      <c r="BX676" s="607">
        <f t="shared" si="705"/>
        <v>0</v>
      </c>
      <c r="BY676" s="608">
        <f t="shared" si="706"/>
        <v>0</v>
      </c>
      <c r="BZ676" s="607">
        <f t="shared" si="707"/>
        <v>8395.0789473684217</v>
      </c>
      <c r="CA676" s="608">
        <f t="shared" si="708"/>
        <v>8150.0735294117649</v>
      </c>
      <c r="CB676" s="607">
        <f t="shared" si="709"/>
        <v>7171.4216867469877</v>
      </c>
      <c r="CC676" s="608">
        <f t="shared" si="710"/>
        <v>6968.1891891891892</v>
      </c>
      <c r="CD676" s="607">
        <f t="shared" si="711"/>
        <v>5698.333333333333</v>
      </c>
      <c r="CE676" s="608">
        <f t="shared" si="712"/>
        <v>5551.6395348837214</v>
      </c>
      <c r="CF676" s="607">
        <f t="shared" si="713"/>
        <v>4646.744680851064</v>
      </c>
      <c r="CG676" s="608">
        <f t="shared" si="714"/>
        <v>4176.3486238532114</v>
      </c>
      <c r="CH676" s="607">
        <f t="shared" si="715"/>
        <v>4702</v>
      </c>
      <c r="CI676" s="608">
        <f t="shared" si="716"/>
        <v>5188.869565217391</v>
      </c>
      <c r="CJ676" s="607">
        <f t="shared" si="717"/>
        <v>0</v>
      </c>
      <c r="CK676" s="608">
        <f t="shared" si="718"/>
        <v>0</v>
      </c>
      <c r="CL676" s="609">
        <f t="shared" si="719"/>
        <v>75555.710526315801</v>
      </c>
      <c r="CM676" s="608">
        <f t="shared" si="720"/>
        <v>73350.661764705888</v>
      </c>
      <c r="CN676" s="610">
        <f t="shared" si="721"/>
        <v>64542.795180722889</v>
      </c>
      <c r="CO676" s="606">
        <f t="shared" si="722"/>
        <v>62713.7027027027</v>
      </c>
      <c r="CP676" s="607">
        <f t="shared" si="723"/>
        <v>51285</v>
      </c>
      <c r="CQ676" s="606">
        <f t="shared" si="724"/>
        <v>49964.755813953496</v>
      </c>
      <c r="CR676" s="607">
        <f t="shared" si="725"/>
        <v>41820.702127659577</v>
      </c>
      <c r="CS676" s="606">
        <f t="shared" si="726"/>
        <v>37587.137614678904</v>
      </c>
      <c r="CT676" s="607">
        <f t="shared" si="727"/>
        <v>42318</v>
      </c>
      <c r="CU676" s="608">
        <f t="shared" si="728"/>
        <v>46699.82608695652</v>
      </c>
      <c r="CV676" s="610">
        <f t="shared" si="729"/>
        <v>0</v>
      </c>
      <c r="CW676" s="608">
        <f t="shared" si="730"/>
        <v>0</v>
      </c>
      <c r="CX676" s="610">
        <f t="shared" si="731"/>
        <v>56336.101634569175</v>
      </c>
      <c r="CY676" s="611">
        <f t="shared" si="732"/>
        <v>53289.330330689874</v>
      </c>
      <c r="CZ676" s="605">
        <f t="shared" si="733"/>
        <v>8</v>
      </c>
      <c r="DA676" s="612">
        <f t="shared" si="734"/>
        <v>7</v>
      </c>
      <c r="DB676" s="607">
        <f t="shared" si="735"/>
        <v>9</v>
      </c>
      <c r="DC676" s="606">
        <f t="shared" si="736"/>
        <v>8</v>
      </c>
      <c r="DD676" s="607">
        <f t="shared" si="737"/>
        <v>8</v>
      </c>
      <c r="DE676" s="606">
        <f t="shared" si="738"/>
        <v>9</v>
      </c>
      <c r="DF676" s="607">
        <f t="shared" si="739"/>
        <v>10</v>
      </c>
      <c r="DG676" s="606">
        <f t="shared" si="740"/>
        <v>11</v>
      </c>
      <c r="DH676" s="607">
        <f t="shared" si="741"/>
        <v>3</v>
      </c>
      <c r="DI676" s="608">
        <f t="shared" si="742"/>
        <v>2</v>
      </c>
      <c r="DJ676" s="607">
        <f t="shared" si="743"/>
        <v>0</v>
      </c>
      <c r="DK676" s="608">
        <f t="shared" si="744"/>
        <v>0</v>
      </c>
      <c r="DL676" s="607">
        <f t="shared" si="745"/>
        <v>38</v>
      </c>
      <c r="DM676" s="608">
        <f t="shared" si="746"/>
        <v>37</v>
      </c>
      <c r="DN676" s="607">
        <f t="shared" si="747"/>
        <v>604445.68421052641</v>
      </c>
      <c r="DO676" s="612">
        <f t="shared" si="748"/>
        <v>513454.6323529412</v>
      </c>
      <c r="DP676" s="607">
        <f t="shared" si="749"/>
        <v>580885.15662650601</v>
      </c>
      <c r="DQ676" s="606">
        <f t="shared" si="750"/>
        <v>501709.6216216216</v>
      </c>
      <c r="DR676" s="607">
        <f t="shared" si="751"/>
        <v>410280</v>
      </c>
      <c r="DS676" s="606">
        <f t="shared" si="752"/>
        <v>449682.80232558143</v>
      </c>
      <c r="DT676" s="607">
        <f t="shared" si="753"/>
        <v>418207.02127659577</v>
      </c>
      <c r="DU676" s="606">
        <f t="shared" si="754"/>
        <v>413458.51376146794</v>
      </c>
      <c r="DV676" s="607">
        <f t="shared" si="755"/>
        <v>126954</v>
      </c>
      <c r="DW676" s="608">
        <f t="shared" si="756"/>
        <v>93399.65217391304</v>
      </c>
      <c r="DX676" s="607">
        <f t="shared" si="757"/>
        <v>0</v>
      </c>
      <c r="DY676" s="608">
        <f t="shared" si="758"/>
        <v>0</v>
      </c>
      <c r="DZ676" s="607">
        <f t="shared" si="759"/>
        <v>2140771.8621136285</v>
      </c>
      <c r="EA676" s="608">
        <f t="shared" si="760"/>
        <v>1971705.2222355253</v>
      </c>
    </row>
    <row r="677" spans="1:131" x14ac:dyDescent="0.2">
      <c r="A677" s="317" t="s">
        <v>45</v>
      </c>
      <c r="B677" s="318" t="s">
        <v>382</v>
      </c>
      <c r="C677" s="596"/>
      <c r="D677" s="333">
        <v>438708</v>
      </c>
      <c r="E677" s="339">
        <v>10</v>
      </c>
      <c r="F677" s="598"/>
      <c r="G677" s="599"/>
      <c r="H677" s="600"/>
      <c r="I677" s="601"/>
      <c r="J677" s="600"/>
      <c r="K677" s="599"/>
      <c r="L677" s="600"/>
      <c r="M677" s="601"/>
      <c r="N677" s="600"/>
      <c r="O677" s="599"/>
      <c r="P677" s="600"/>
      <c r="Q677" s="601"/>
      <c r="R677" s="600"/>
      <c r="S677" s="599"/>
      <c r="T677" s="600"/>
      <c r="U677" s="601"/>
      <c r="V677" s="600"/>
      <c r="W677" s="599"/>
      <c r="X677" s="600"/>
      <c r="Y677" s="601"/>
      <c r="Z677" s="600"/>
      <c r="AA677" s="599"/>
      <c r="AB677" s="600"/>
      <c r="AC677" s="601"/>
      <c r="AD677" s="600"/>
      <c r="AE677" s="599"/>
      <c r="AF677" s="600"/>
      <c r="AG677" s="601"/>
      <c r="AH677" s="600"/>
      <c r="AI677" s="599"/>
      <c r="AJ677" s="600"/>
      <c r="AK677" s="601">
        <v>2</v>
      </c>
      <c r="AL677" s="600"/>
      <c r="AM677" s="599"/>
      <c r="AN677" s="600"/>
      <c r="AO677" s="601"/>
      <c r="AP677" s="600">
        <v>5</v>
      </c>
      <c r="AQ677" s="599"/>
      <c r="AR677" s="600"/>
      <c r="AS677" s="601">
        <v>3</v>
      </c>
      <c r="AT677" s="600"/>
      <c r="AU677" s="599"/>
      <c r="AV677" s="600"/>
      <c r="AW677" s="601"/>
      <c r="AX677" s="600"/>
      <c r="AY677" s="599"/>
      <c r="AZ677" s="600"/>
      <c r="BA677" s="601"/>
      <c r="BB677" s="602" t="s">
        <v>438</v>
      </c>
      <c r="BC677" s="599"/>
      <c r="BD677" s="600" t="s">
        <v>438</v>
      </c>
      <c r="BE677" s="599"/>
      <c r="BF677" s="600" t="s">
        <v>438</v>
      </c>
      <c r="BG677" s="599"/>
      <c r="BH677" s="600"/>
      <c r="BI677" s="599">
        <v>75678</v>
      </c>
      <c r="BJ677" s="600">
        <v>198070</v>
      </c>
      <c r="BK677" s="615">
        <v>127977</v>
      </c>
      <c r="BL677" s="600">
        <v>0</v>
      </c>
      <c r="BM677" s="604"/>
      <c r="BN677" s="605">
        <f t="shared" si="695"/>
        <v>0</v>
      </c>
      <c r="BO677" s="606">
        <f t="shared" si="696"/>
        <v>0</v>
      </c>
      <c r="BP677" s="607">
        <f t="shared" si="697"/>
        <v>0</v>
      </c>
      <c r="BQ677" s="606">
        <f t="shared" si="698"/>
        <v>0</v>
      </c>
      <c r="BR677" s="607">
        <f t="shared" si="699"/>
        <v>0</v>
      </c>
      <c r="BS677" s="606">
        <f t="shared" si="700"/>
        <v>0</v>
      </c>
      <c r="BT677" s="607">
        <f t="shared" si="701"/>
        <v>0</v>
      </c>
      <c r="BU677" s="606">
        <f t="shared" si="702"/>
        <v>24</v>
      </c>
      <c r="BV677" s="607">
        <f t="shared" si="703"/>
        <v>55</v>
      </c>
      <c r="BW677" s="608">
        <f t="shared" si="704"/>
        <v>36</v>
      </c>
      <c r="BX677" s="607">
        <f t="shared" si="705"/>
        <v>0</v>
      </c>
      <c r="BY677" s="608">
        <f t="shared" si="706"/>
        <v>0</v>
      </c>
      <c r="BZ677" s="607">
        <f t="shared" si="707"/>
        <v>0</v>
      </c>
      <c r="CA677" s="608">
        <f t="shared" si="708"/>
        <v>0</v>
      </c>
      <c r="CB677" s="607">
        <f t="shared" si="709"/>
        <v>0</v>
      </c>
      <c r="CC677" s="608">
        <f t="shared" si="710"/>
        <v>0</v>
      </c>
      <c r="CD677" s="607">
        <f t="shared" si="711"/>
        <v>0</v>
      </c>
      <c r="CE677" s="608">
        <f t="shared" si="712"/>
        <v>0</v>
      </c>
      <c r="CF677" s="607">
        <f t="shared" si="713"/>
        <v>0</v>
      </c>
      <c r="CG677" s="608">
        <f t="shared" si="714"/>
        <v>3153.25</v>
      </c>
      <c r="CH677" s="607">
        <f t="shared" si="715"/>
        <v>3601.2727272727275</v>
      </c>
      <c r="CI677" s="608">
        <f t="shared" si="716"/>
        <v>3554.9166666666665</v>
      </c>
      <c r="CJ677" s="607">
        <f t="shared" si="717"/>
        <v>0</v>
      </c>
      <c r="CK677" s="608">
        <f t="shared" si="718"/>
        <v>0</v>
      </c>
      <c r="CL677" s="609">
        <f t="shared" si="719"/>
        <v>0</v>
      </c>
      <c r="CM677" s="608">
        <f t="shared" si="720"/>
        <v>0</v>
      </c>
      <c r="CN677" s="610">
        <f t="shared" si="721"/>
        <v>0</v>
      </c>
      <c r="CO677" s="606">
        <f t="shared" si="722"/>
        <v>0</v>
      </c>
      <c r="CP677" s="607">
        <f t="shared" si="723"/>
        <v>0</v>
      </c>
      <c r="CQ677" s="606">
        <f t="shared" si="724"/>
        <v>0</v>
      </c>
      <c r="CR677" s="607">
        <f t="shared" si="725"/>
        <v>0</v>
      </c>
      <c r="CS677" s="606">
        <f t="shared" si="726"/>
        <v>28379.25</v>
      </c>
      <c r="CT677" s="607">
        <f t="shared" si="727"/>
        <v>32411.454545454548</v>
      </c>
      <c r="CU677" s="608">
        <f t="shared" si="728"/>
        <v>31994.25</v>
      </c>
      <c r="CV677" s="610">
        <f t="shared" si="729"/>
        <v>0</v>
      </c>
      <c r="CW677" s="608">
        <f t="shared" si="730"/>
        <v>0</v>
      </c>
      <c r="CX677" s="610">
        <f t="shared" si="731"/>
        <v>32411.454545454548</v>
      </c>
      <c r="CY677" s="611">
        <f t="shared" si="732"/>
        <v>30548.25</v>
      </c>
      <c r="CZ677" s="605">
        <f t="shared" si="733"/>
        <v>0</v>
      </c>
      <c r="DA677" s="612">
        <f t="shared" si="734"/>
        <v>0</v>
      </c>
      <c r="DB677" s="607">
        <f t="shared" si="735"/>
        <v>0</v>
      </c>
      <c r="DC677" s="606">
        <f t="shared" si="736"/>
        <v>0</v>
      </c>
      <c r="DD677" s="607">
        <f t="shared" si="737"/>
        <v>0</v>
      </c>
      <c r="DE677" s="606">
        <f t="shared" si="738"/>
        <v>0</v>
      </c>
      <c r="DF677" s="607">
        <f t="shared" si="739"/>
        <v>0</v>
      </c>
      <c r="DG677" s="606">
        <f t="shared" si="740"/>
        <v>2</v>
      </c>
      <c r="DH677" s="607">
        <f t="shared" si="741"/>
        <v>5</v>
      </c>
      <c r="DI677" s="608">
        <f t="shared" si="742"/>
        <v>3</v>
      </c>
      <c r="DJ677" s="607">
        <f t="shared" si="743"/>
        <v>0</v>
      </c>
      <c r="DK677" s="608">
        <f t="shared" si="744"/>
        <v>0</v>
      </c>
      <c r="DL677" s="607">
        <f t="shared" si="745"/>
        <v>5</v>
      </c>
      <c r="DM677" s="608">
        <f t="shared" si="746"/>
        <v>5</v>
      </c>
      <c r="DN677" s="607">
        <f t="shared" si="747"/>
        <v>0</v>
      </c>
      <c r="DO677" s="612">
        <f t="shared" si="748"/>
        <v>0</v>
      </c>
      <c r="DP677" s="607">
        <f t="shared" si="749"/>
        <v>0</v>
      </c>
      <c r="DQ677" s="606">
        <f t="shared" si="750"/>
        <v>0</v>
      </c>
      <c r="DR677" s="607">
        <f t="shared" si="751"/>
        <v>0</v>
      </c>
      <c r="DS677" s="606">
        <f t="shared" si="752"/>
        <v>0</v>
      </c>
      <c r="DT677" s="607">
        <f t="shared" si="753"/>
        <v>0</v>
      </c>
      <c r="DU677" s="606">
        <f t="shared" si="754"/>
        <v>56758.5</v>
      </c>
      <c r="DV677" s="607">
        <f t="shared" si="755"/>
        <v>162057.27272727274</v>
      </c>
      <c r="DW677" s="608">
        <f t="shared" si="756"/>
        <v>95982.75</v>
      </c>
      <c r="DX677" s="607">
        <f t="shared" si="757"/>
        <v>0</v>
      </c>
      <c r="DY677" s="608">
        <f t="shared" si="758"/>
        <v>0</v>
      </c>
      <c r="DZ677" s="607">
        <f t="shared" si="759"/>
        <v>162057.27272727274</v>
      </c>
      <c r="EA677" s="608">
        <f t="shared" si="760"/>
        <v>152741.25</v>
      </c>
    </row>
    <row r="678" spans="1:131" x14ac:dyDescent="0.2">
      <c r="A678" s="317" t="s">
        <v>45</v>
      </c>
      <c r="B678" s="318" t="s">
        <v>383</v>
      </c>
      <c r="C678" s="593"/>
      <c r="D678" s="333">
        <v>445018</v>
      </c>
      <c r="E678" s="339">
        <v>10</v>
      </c>
      <c r="F678" s="598">
        <v>2</v>
      </c>
      <c r="G678" s="599">
        <v>2</v>
      </c>
      <c r="H678" s="600"/>
      <c r="I678" s="601"/>
      <c r="J678" s="600"/>
      <c r="K678" s="599"/>
      <c r="L678" s="600"/>
      <c r="M678" s="601"/>
      <c r="N678" s="600">
        <v>2</v>
      </c>
      <c r="O678" s="599">
        <v>4</v>
      </c>
      <c r="P678" s="600"/>
      <c r="Q678" s="601"/>
      <c r="R678" s="600"/>
      <c r="S678" s="599"/>
      <c r="T678" s="600"/>
      <c r="U678" s="601">
        <v>2</v>
      </c>
      <c r="V678" s="600">
        <v>7</v>
      </c>
      <c r="W678" s="599">
        <v>9</v>
      </c>
      <c r="X678" s="600"/>
      <c r="Y678" s="601"/>
      <c r="Z678" s="600">
        <v>2</v>
      </c>
      <c r="AA678" s="599">
        <v>1</v>
      </c>
      <c r="AB678" s="600"/>
      <c r="AC678" s="601">
        <v>3</v>
      </c>
      <c r="AD678" s="600">
        <v>20</v>
      </c>
      <c r="AE678" s="599">
        <v>23</v>
      </c>
      <c r="AF678" s="600"/>
      <c r="AG678" s="601"/>
      <c r="AH678" s="600">
        <v>11</v>
      </c>
      <c r="AI678" s="599"/>
      <c r="AJ678" s="600"/>
      <c r="AK678" s="601">
        <v>6</v>
      </c>
      <c r="AL678" s="600">
        <v>8</v>
      </c>
      <c r="AM678" s="599">
        <v>4</v>
      </c>
      <c r="AN678" s="600"/>
      <c r="AO678" s="601"/>
      <c r="AP678" s="600">
        <v>2</v>
      </c>
      <c r="AQ678" s="599"/>
      <c r="AR678" s="600"/>
      <c r="AS678" s="601"/>
      <c r="AT678" s="600"/>
      <c r="AU678" s="599"/>
      <c r="AV678" s="600"/>
      <c r="AW678" s="601"/>
      <c r="AX678" s="600"/>
      <c r="AY678" s="599"/>
      <c r="AZ678" s="600"/>
      <c r="BA678" s="601"/>
      <c r="BB678" s="602">
        <v>126842</v>
      </c>
      <c r="BC678" s="599">
        <v>137474</v>
      </c>
      <c r="BD678" s="600">
        <v>125164</v>
      </c>
      <c r="BE678" s="599">
        <v>349465</v>
      </c>
      <c r="BF678" s="600">
        <v>478854</v>
      </c>
      <c r="BG678" s="599">
        <v>735467</v>
      </c>
      <c r="BH678" s="600">
        <v>1457085</v>
      </c>
      <c r="BI678" s="599">
        <v>1306771</v>
      </c>
      <c r="BJ678" s="600">
        <v>490550</v>
      </c>
      <c r="BK678" s="615">
        <v>180443</v>
      </c>
      <c r="BL678" s="600">
        <v>0</v>
      </c>
      <c r="BM678" s="604"/>
      <c r="BN678" s="605">
        <f t="shared" si="695"/>
        <v>18</v>
      </c>
      <c r="BO678" s="606">
        <f t="shared" si="696"/>
        <v>18</v>
      </c>
      <c r="BP678" s="607">
        <f t="shared" si="697"/>
        <v>18</v>
      </c>
      <c r="BQ678" s="606">
        <f t="shared" si="698"/>
        <v>60</v>
      </c>
      <c r="BR678" s="607">
        <f t="shared" si="699"/>
        <v>85</v>
      </c>
      <c r="BS678" s="606">
        <f t="shared" si="700"/>
        <v>128</v>
      </c>
      <c r="BT678" s="607">
        <f t="shared" si="701"/>
        <v>301</v>
      </c>
      <c r="BU678" s="606">
        <f t="shared" si="702"/>
        <v>279</v>
      </c>
      <c r="BV678" s="607">
        <f t="shared" si="703"/>
        <v>94</v>
      </c>
      <c r="BW678" s="608">
        <f t="shared" si="704"/>
        <v>36</v>
      </c>
      <c r="BX678" s="607">
        <f t="shared" si="705"/>
        <v>0</v>
      </c>
      <c r="BY678" s="608">
        <f t="shared" si="706"/>
        <v>0</v>
      </c>
      <c r="BZ678" s="607">
        <f t="shared" si="707"/>
        <v>7046.7777777777774</v>
      </c>
      <c r="CA678" s="608">
        <f t="shared" si="708"/>
        <v>7637.4444444444443</v>
      </c>
      <c r="CB678" s="607">
        <f t="shared" si="709"/>
        <v>6953.5555555555557</v>
      </c>
      <c r="CC678" s="608">
        <f t="shared" si="710"/>
        <v>5824.416666666667</v>
      </c>
      <c r="CD678" s="607">
        <f t="shared" si="711"/>
        <v>5633.5764705882357</v>
      </c>
      <c r="CE678" s="608">
        <f t="shared" si="712"/>
        <v>5745.8359375</v>
      </c>
      <c r="CF678" s="607">
        <f t="shared" si="713"/>
        <v>4840.8139534883721</v>
      </c>
      <c r="CG678" s="608">
        <f t="shared" si="714"/>
        <v>4683.7670250896053</v>
      </c>
      <c r="CH678" s="607">
        <f t="shared" si="715"/>
        <v>5218.6170212765956</v>
      </c>
      <c r="CI678" s="608">
        <f t="shared" si="716"/>
        <v>5012.3055555555557</v>
      </c>
      <c r="CJ678" s="607">
        <f t="shared" si="717"/>
        <v>0</v>
      </c>
      <c r="CK678" s="608">
        <f t="shared" si="718"/>
        <v>0</v>
      </c>
      <c r="CL678" s="609">
        <f t="shared" si="719"/>
        <v>63421</v>
      </c>
      <c r="CM678" s="608">
        <f t="shared" si="720"/>
        <v>68737</v>
      </c>
      <c r="CN678" s="610">
        <f t="shared" si="721"/>
        <v>62582</v>
      </c>
      <c r="CO678" s="606">
        <f t="shared" si="722"/>
        <v>52419.75</v>
      </c>
      <c r="CP678" s="607">
        <f t="shared" si="723"/>
        <v>50702.188235294117</v>
      </c>
      <c r="CQ678" s="606">
        <f t="shared" si="724"/>
        <v>51712.5234375</v>
      </c>
      <c r="CR678" s="607">
        <f t="shared" si="725"/>
        <v>43567.325581395351</v>
      </c>
      <c r="CS678" s="606">
        <f t="shared" si="726"/>
        <v>42153.903225806447</v>
      </c>
      <c r="CT678" s="607">
        <f t="shared" si="727"/>
        <v>46967.553191489358</v>
      </c>
      <c r="CU678" s="608">
        <f t="shared" si="728"/>
        <v>45110.75</v>
      </c>
      <c r="CV678" s="610">
        <f t="shared" si="729"/>
        <v>0</v>
      </c>
      <c r="CW678" s="608">
        <f t="shared" si="730"/>
        <v>0</v>
      </c>
      <c r="CX678" s="610">
        <f t="shared" si="731"/>
        <v>46825.709612144383</v>
      </c>
      <c r="CY678" s="611">
        <f t="shared" si="732"/>
        <v>46799.287004368278</v>
      </c>
      <c r="CZ678" s="605">
        <f t="shared" si="733"/>
        <v>2</v>
      </c>
      <c r="DA678" s="612">
        <f t="shared" si="734"/>
        <v>2</v>
      </c>
      <c r="DB678" s="607">
        <f t="shared" si="735"/>
        <v>2</v>
      </c>
      <c r="DC678" s="606">
        <f t="shared" si="736"/>
        <v>6</v>
      </c>
      <c r="DD678" s="607">
        <f t="shared" si="737"/>
        <v>9</v>
      </c>
      <c r="DE678" s="606">
        <f t="shared" si="738"/>
        <v>13</v>
      </c>
      <c r="DF678" s="607">
        <f t="shared" si="739"/>
        <v>31</v>
      </c>
      <c r="DG678" s="606">
        <f t="shared" si="740"/>
        <v>29</v>
      </c>
      <c r="DH678" s="607">
        <f t="shared" si="741"/>
        <v>10</v>
      </c>
      <c r="DI678" s="608">
        <f t="shared" si="742"/>
        <v>4</v>
      </c>
      <c r="DJ678" s="607">
        <f t="shared" si="743"/>
        <v>0</v>
      </c>
      <c r="DK678" s="608">
        <f t="shared" si="744"/>
        <v>0</v>
      </c>
      <c r="DL678" s="607">
        <f t="shared" si="745"/>
        <v>54</v>
      </c>
      <c r="DM678" s="608">
        <f t="shared" si="746"/>
        <v>54</v>
      </c>
      <c r="DN678" s="607">
        <f t="shared" si="747"/>
        <v>126842</v>
      </c>
      <c r="DO678" s="612">
        <f t="shared" si="748"/>
        <v>137474</v>
      </c>
      <c r="DP678" s="607">
        <f t="shared" si="749"/>
        <v>125164</v>
      </c>
      <c r="DQ678" s="606">
        <f t="shared" si="750"/>
        <v>314518.5</v>
      </c>
      <c r="DR678" s="607">
        <f t="shared" si="751"/>
        <v>456319.69411764707</v>
      </c>
      <c r="DS678" s="606">
        <f t="shared" si="752"/>
        <v>672262.8046875</v>
      </c>
      <c r="DT678" s="607">
        <f t="shared" si="753"/>
        <v>1350587.0930232559</v>
      </c>
      <c r="DU678" s="606">
        <f t="shared" si="754"/>
        <v>1222463.1935483869</v>
      </c>
      <c r="DV678" s="607">
        <f t="shared" si="755"/>
        <v>469675.5319148936</v>
      </c>
      <c r="DW678" s="608">
        <f t="shared" si="756"/>
        <v>180443</v>
      </c>
      <c r="DX678" s="607">
        <f t="shared" si="757"/>
        <v>0</v>
      </c>
      <c r="DY678" s="608">
        <f t="shared" si="758"/>
        <v>0</v>
      </c>
      <c r="DZ678" s="607">
        <f t="shared" si="759"/>
        <v>2528588.3190557966</v>
      </c>
      <c r="EA678" s="608">
        <f t="shared" si="760"/>
        <v>2527161.4982358869</v>
      </c>
    </row>
    <row r="679" spans="1:131" x14ac:dyDescent="0.2">
      <c r="A679" s="317" t="s">
        <v>45</v>
      </c>
      <c r="B679" s="320" t="s">
        <v>384</v>
      </c>
      <c r="C679" s="593"/>
      <c r="D679" s="333">
        <v>444954</v>
      </c>
      <c r="E679" s="339">
        <v>10</v>
      </c>
      <c r="F679" s="598">
        <v>10</v>
      </c>
      <c r="G679" s="599">
        <v>5</v>
      </c>
      <c r="H679" s="600"/>
      <c r="I679" s="601">
        <v>2</v>
      </c>
      <c r="J679" s="600"/>
      <c r="K679" s="599"/>
      <c r="L679" s="600"/>
      <c r="M679" s="601"/>
      <c r="N679" s="600">
        <v>10</v>
      </c>
      <c r="O679" s="599">
        <v>5</v>
      </c>
      <c r="P679" s="600"/>
      <c r="Q679" s="601">
        <v>4</v>
      </c>
      <c r="R679" s="600"/>
      <c r="S679" s="599"/>
      <c r="T679" s="600"/>
      <c r="U679" s="601"/>
      <c r="V679" s="600">
        <v>20</v>
      </c>
      <c r="W679" s="599">
        <v>21</v>
      </c>
      <c r="X679" s="600"/>
      <c r="Y679" s="601">
        <v>6</v>
      </c>
      <c r="Z679" s="600">
        <v>2</v>
      </c>
      <c r="AA679" s="599">
        <v>1</v>
      </c>
      <c r="AB679" s="600"/>
      <c r="AC679" s="601">
        <v>1</v>
      </c>
      <c r="AD679" s="600">
        <v>8</v>
      </c>
      <c r="AE679" s="599">
        <v>7</v>
      </c>
      <c r="AF679" s="600"/>
      <c r="AG679" s="601">
        <v>2</v>
      </c>
      <c r="AH679" s="600">
        <v>2</v>
      </c>
      <c r="AI679" s="599"/>
      <c r="AJ679" s="600"/>
      <c r="AK679" s="601">
        <v>2</v>
      </c>
      <c r="AL679" s="600"/>
      <c r="AM679" s="599"/>
      <c r="AN679" s="600"/>
      <c r="AO679" s="601"/>
      <c r="AP679" s="600"/>
      <c r="AQ679" s="599"/>
      <c r="AR679" s="600"/>
      <c r="AS679" s="601"/>
      <c r="AT679" s="600"/>
      <c r="AU679" s="599"/>
      <c r="AV679" s="600"/>
      <c r="AW679" s="601"/>
      <c r="AX679" s="600"/>
      <c r="AY679" s="599"/>
      <c r="AZ679" s="600"/>
      <c r="BA679" s="601"/>
      <c r="BB679" s="602">
        <v>657200</v>
      </c>
      <c r="BC679" s="599">
        <v>486049</v>
      </c>
      <c r="BD679" s="600">
        <v>559210</v>
      </c>
      <c r="BE679" s="599">
        <v>535914</v>
      </c>
      <c r="BF679" s="600">
        <v>926534</v>
      </c>
      <c r="BG679" s="599">
        <v>1222315</v>
      </c>
      <c r="BH679" s="600">
        <v>404250</v>
      </c>
      <c r="BI679" s="599">
        <v>424894</v>
      </c>
      <c r="BJ679" s="600"/>
      <c r="BK679" s="615"/>
      <c r="BL679" s="600">
        <v>0</v>
      </c>
      <c r="BM679" s="604"/>
      <c r="BN679" s="605">
        <f t="shared" si="695"/>
        <v>90</v>
      </c>
      <c r="BO679" s="606">
        <f t="shared" si="696"/>
        <v>65</v>
      </c>
      <c r="BP679" s="607">
        <f t="shared" si="697"/>
        <v>90</v>
      </c>
      <c r="BQ679" s="606">
        <f t="shared" si="698"/>
        <v>85</v>
      </c>
      <c r="BR679" s="607">
        <f t="shared" si="699"/>
        <v>202</v>
      </c>
      <c r="BS679" s="606">
        <f t="shared" si="700"/>
        <v>272</v>
      </c>
      <c r="BT679" s="607">
        <f t="shared" si="701"/>
        <v>94</v>
      </c>
      <c r="BU679" s="606">
        <f t="shared" si="702"/>
        <v>107</v>
      </c>
      <c r="BV679" s="607">
        <f t="shared" si="703"/>
        <v>0</v>
      </c>
      <c r="BW679" s="608">
        <f t="shared" si="704"/>
        <v>0</v>
      </c>
      <c r="BX679" s="607">
        <f t="shared" si="705"/>
        <v>0</v>
      </c>
      <c r="BY679" s="608">
        <f t="shared" si="706"/>
        <v>0</v>
      </c>
      <c r="BZ679" s="607">
        <f t="shared" si="707"/>
        <v>7302.2222222222226</v>
      </c>
      <c r="CA679" s="608">
        <f t="shared" si="708"/>
        <v>7477.6769230769232</v>
      </c>
      <c r="CB679" s="607">
        <f t="shared" si="709"/>
        <v>6213.4444444444443</v>
      </c>
      <c r="CC679" s="608">
        <f t="shared" si="710"/>
        <v>6304.8705882352942</v>
      </c>
      <c r="CD679" s="607">
        <f t="shared" si="711"/>
        <v>4586.8019801980199</v>
      </c>
      <c r="CE679" s="608">
        <f t="shared" si="712"/>
        <v>4493.8051470588234</v>
      </c>
      <c r="CF679" s="607">
        <f t="shared" si="713"/>
        <v>4300.5319148936169</v>
      </c>
      <c r="CG679" s="608">
        <f t="shared" si="714"/>
        <v>3970.9719626168226</v>
      </c>
      <c r="CH679" s="607">
        <f t="shared" si="715"/>
        <v>0</v>
      </c>
      <c r="CI679" s="608">
        <f t="shared" si="716"/>
        <v>0</v>
      </c>
      <c r="CJ679" s="607">
        <f t="shared" si="717"/>
        <v>0</v>
      </c>
      <c r="CK679" s="608">
        <f t="shared" si="718"/>
        <v>0</v>
      </c>
      <c r="CL679" s="609">
        <f t="shared" si="719"/>
        <v>65720</v>
      </c>
      <c r="CM679" s="608">
        <f t="shared" si="720"/>
        <v>67299.092307692306</v>
      </c>
      <c r="CN679" s="610">
        <f t="shared" si="721"/>
        <v>55921</v>
      </c>
      <c r="CO679" s="606">
        <f t="shared" si="722"/>
        <v>56743.835294117649</v>
      </c>
      <c r="CP679" s="607">
        <f t="shared" si="723"/>
        <v>41281.217821782178</v>
      </c>
      <c r="CQ679" s="606">
        <f t="shared" si="724"/>
        <v>40444.246323529413</v>
      </c>
      <c r="CR679" s="607">
        <f t="shared" si="725"/>
        <v>38704.787234042553</v>
      </c>
      <c r="CS679" s="606">
        <f t="shared" si="726"/>
        <v>35738.747663551403</v>
      </c>
      <c r="CT679" s="607">
        <f t="shared" si="727"/>
        <v>0</v>
      </c>
      <c r="CU679" s="608">
        <f t="shared" si="728"/>
        <v>0</v>
      </c>
      <c r="CV679" s="610">
        <f t="shared" si="729"/>
        <v>0</v>
      </c>
      <c r="CW679" s="608">
        <f t="shared" si="730"/>
        <v>0</v>
      </c>
      <c r="CX679" s="610">
        <f t="shared" si="731"/>
        <v>48300.858931146795</v>
      </c>
      <c r="CY679" s="611">
        <f t="shared" si="732"/>
        <v>45496.38449075578</v>
      </c>
      <c r="CZ679" s="605">
        <f t="shared" si="733"/>
        <v>10</v>
      </c>
      <c r="DA679" s="612">
        <f t="shared" si="734"/>
        <v>7</v>
      </c>
      <c r="DB679" s="607">
        <f t="shared" si="735"/>
        <v>10</v>
      </c>
      <c r="DC679" s="606">
        <f t="shared" si="736"/>
        <v>9</v>
      </c>
      <c r="DD679" s="607">
        <f t="shared" si="737"/>
        <v>22</v>
      </c>
      <c r="DE679" s="606">
        <f t="shared" si="738"/>
        <v>29</v>
      </c>
      <c r="DF679" s="607">
        <f t="shared" si="739"/>
        <v>10</v>
      </c>
      <c r="DG679" s="606">
        <f t="shared" si="740"/>
        <v>11</v>
      </c>
      <c r="DH679" s="607">
        <f t="shared" si="741"/>
        <v>0</v>
      </c>
      <c r="DI679" s="608">
        <f t="shared" si="742"/>
        <v>0</v>
      </c>
      <c r="DJ679" s="607">
        <f t="shared" si="743"/>
        <v>0</v>
      </c>
      <c r="DK679" s="608">
        <f t="shared" si="744"/>
        <v>0</v>
      </c>
      <c r="DL679" s="607">
        <f t="shared" si="745"/>
        <v>52</v>
      </c>
      <c r="DM679" s="608">
        <f t="shared" si="746"/>
        <v>56</v>
      </c>
      <c r="DN679" s="607">
        <f t="shared" si="747"/>
        <v>657200</v>
      </c>
      <c r="DO679" s="612">
        <f t="shared" si="748"/>
        <v>471093.64615384617</v>
      </c>
      <c r="DP679" s="607">
        <f t="shared" si="749"/>
        <v>559210</v>
      </c>
      <c r="DQ679" s="606">
        <f t="shared" si="750"/>
        <v>510694.51764705882</v>
      </c>
      <c r="DR679" s="607">
        <f t="shared" si="751"/>
        <v>908186.79207920795</v>
      </c>
      <c r="DS679" s="606">
        <f t="shared" si="752"/>
        <v>1172883.143382353</v>
      </c>
      <c r="DT679" s="607">
        <f t="shared" si="753"/>
        <v>387047.8723404255</v>
      </c>
      <c r="DU679" s="606">
        <f t="shared" si="754"/>
        <v>393126.22429906542</v>
      </c>
      <c r="DV679" s="607">
        <f t="shared" si="755"/>
        <v>0</v>
      </c>
      <c r="DW679" s="608">
        <f t="shared" si="756"/>
        <v>0</v>
      </c>
      <c r="DX679" s="607">
        <f t="shared" si="757"/>
        <v>0</v>
      </c>
      <c r="DY679" s="608">
        <f t="shared" si="758"/>
        <v>0</v>
      </c>
      <c r="DZ679" s="607">
        <f t="shared" si="759"/>
        <v>2511644.6644196333</v>
      </c>
      <c r="EA679" s="608">
        <f t="shared" si="760"/>
        <v>2547797.5314823235</v>
      </c>
    </row>
    <row r="680" spans="1:131" x14ac:dyDescent="0.2">
      <c r="A680" s="317" t="s">
        <v>45</v>
      </c>
      <c r="B680" s="318" t="s">
        <v>387</v>
      </c>
      <c r="C680" s="596"/>
      <c r="D680" s="333">
        <v>237817</v>
      </c>
      <c r="E680" s="339">
        <v>10</v>
      </c>
      <c r="F680" s="598">
        <v>19</v>
      </c>
      <c r="G680" s="599">
        <v>11</v>
      </c>
      <c r="H680" s="600"/>
      <c r="I680" s="601">
        <v>6</v>
      </c>
      <c r="J680" s="600"/>
      <c r="K680" s="599"/>
      <c r="L680" s="600"/>
      <c r="M680" s="601"/>
      <c r="N680" s="600">
        <v>13</v>
      </c>
      <c r="O680" s="599">
        <v>9</v>
      </c>
      <c r="P680" s="600"/>
      <c r="Q680" s="601">
        <v>4</v>
      </c>
      <c r="R680" s="600"/>
      <c r="S680" s="599"/>
      <c r="T680" s="600"/>
      <c r="U680" s="601"/>
      <c r="V680" s="600">
        <v>23</v>
      </c>
      <c r="W680" s="599">
        <v>18</v>
      </c>
      <c r="X680" s="600"/>
      <c r="Y680" s="601">
        <v>6</v>
      </c>
      <c r="Z680" s="600"/>
      <c r="AA680" s="599"/>
      <c r="AB680" s="600"/>
      <c r="AC680" s="601"/>
      <c r="AD680" s="600">
        <v>18</v>
      </c>
      <c r="AE680" s="599">
        <v>20</v>
      </c>
      <c r="AF680" s="600"/>
      <c r="AG680" s="601">
        <v>3</v>
      </c>
      <c r="AH680" s="600">
        <v>1</v>
      </c>
      <c r="AI680" s="599"/>
      <c r="AJ680" s="600"/>
      <c r="AK680" s="601"/>
      <c r="AL680" s="600"/>
      <c r="AM680" s="599"/>
      <c r="AN680" s="600"/>
      <c r="AO680" s="601"/>
      <c r="AP680" s="600"/>
      <c r="AQ680" s="599"/>
      <c r="AR680" s="600"/>
      <c r="AS680" s="601"/>
      <c r="AT680" s="600"/>
      <c r="AU680" s="599"/>
      <c r="AV680" s="600"/>
      <c r="AW680" s="601"/>
      <c r="AX680" s="600"/>
      <c r="AY680" s="599"/>
      <c r="AZ680" s="600"/>
      <c r="BA680" s="601"/>
      <c r="BB680" s="602">
        <v>1136504</v>
      </c>
      <c r="BC680" s="599">
        <v>1038457</v>
      </c>
      <c r="BD680" s="600">
        <v>628940</v>
      </c>
      <c r="BE680" s="599">
        <v>645072</v>
      </c>
      <c r="BF680" s="600">
        <v>951648</v>
      </c>
      <c r="BG680" s="599">
        <v>1018732</v>
      </c>
      <c r="BH680" s="600">
        <v>630296</v>
      </c>
      <c r="BI680" s="599">
        <v>782862</v>
      </c>
      <c r="BJ680" s="600"/>
      <c r="BK680" s="615"/>
      <c r="BL680" s="600">
        <v>0</v>
      </c>
      <c r="BM680" s="604"/>
      <c r="BN680" s="605">
        <f t="shared" si="695"/>
        <v>171</v>
      </c>
      <c r="BO680" s="606">
        <f t="shared" si="696"/>
        <v>159</v>
      </c>
      <c r="BP680" s="607">
        <f t="shared" si="697"/>
        <v>117</v>
      </c>
      <c r="BQ680" s="606">
        <f t="shared" si="698"/>
        <v>121</v>
      </c>
      <c r="BR680" s="607">
        <f t="shared" si="699"/>
        <v>207</v>
      </c>
      <c r="BS680" s="606">
        <f t="shared" si="700"/>
        <v>222</v>
      </c>
      <c r="BT680" s="607">
        <f t="shared" si="701"/>
        <v>173</v>
      </c>
      <c r="BU680" s="606">
        <f t="shared" si="702"/>
        <v>210</v>
      </c>
      <c r="BV680" s="607">
        <f t="shared" si="703"/>
        <v>0</v>
      </c>
      <c r="BW680" s="608">
        <f t="shared" si="704"/>
        <v>0</v>
      </c>
      <c r="BX680" s="607">
        <f t="shared" si="705"/>
        <v>0</v>
      </c>
      <c r="BY680" s="608">
        <f t="shared" si="706"/>
        <v>0</v>
      </c>
      <c r="BZ680" s="607">
        <f t="shared" si="707"/>
        <v>6646.2222222222226</v>
      </c>
      <c r="CA680" s="608">
        <f t="shared" si="708"/>
        <v>6531.1761006289307</v>
      </c>
      <c r="CB680" s="607">
        <f t="shared" si="709"/>
        <v>5375.5555555555557</v>
      </c>
      <c r="CC680" s="608">
        <f t="shared" si="710"/>
        <v>5331.1735537190079</v>
      </c>
      <c r="CD680" s="607">
        <f t="shared" si="711"/>
        <v>4597.333333333333</v>
      </c>
      <c r="CE680" s="608">
        <f t="shared" si="712"/>
        <v>4588.8828828828828</v>
      </c>
      <c r="CF680" s="607">
        <f t="shared" si="713"/>
        <v>3643.3294797687863</v>
      </c>
      <c r="CG680" s="608">
        <f t="shared" si="714"/>
        <v>3727.9142857142856</v>
      </c>
      <c r="CH680" s="607">
        <f t="shared" si="715"/>
        <v>0</v>
      </c>
      <c r="CI680" s="608">
        <f t="shared" si="716"/>
        <v>0</v>
      </c>
      <c r="CJ680" s="607">
        <f t="shared" si="717"/>
        <v>0</v>
      </c>
      <c r="CK680" s="608">
        <f t="shared" si="718"/>
        <v>0</v>
      </c>
      <c r="CL680" s="609">
        <f t="shared" si="719"/>
        <v>59816</v>
      </c>
      <c r="CM680" s="608">
        <f t="shared" si="720"/>
        <v>58780.584905660377</v>
      </c>
      <c r="CN680" s="610">
        <f t="shared" si="721"/>
        <v>48380</v>
      </c>
      <c r="CO680" s="606">
        <f t="shared" si="722"/>
        <v>47980.561983471074</v>
      </c>
      <c r="CP680" s="607">
        <f t="shared" si="723"/>
        <v>41376</v>
      </c>
      <c r="CQ680" s="606">
        <f t="shared" si="724"/>
        <v>41299.945945945947</v>
      </c>
      <c r="CR680" s="607">
        <f t="shared" si="725"/>
        <v>32789.965317919079</v>
      </c>
      <c r="CS680" s="606">
        <f t="shared" si="726"/>
        <v>33551.228571428568</v>
      </c>
      <c r="CT680" s="607">
        <f t="shared" si="727"/>
        <v>0</v>
      </c>
      <c r="CU680" s="608">
        <f t="shared" si="728"/>
        <v>0</v>
      </c>
      <c r="CV680" s="610">
        <f t="shared" si="729"/>
        <v>0</v>
      </c>
      <c r="CW680" s="608">
        <f t="shared" si="730"/>
        <v>0</v>
      </c>
      <c r="CX680" s="610">
        <f t="shared" si="731"/>
        <v>45136.504608654897</v>
      </c>
      <c r="CY680" s="611">
        <f t="shared" si="732"/>
        <v>43972.652065284543</v>
      </c>
      <c r="CZ680" s="605">
        <f t="shared" si="733"/>
        <v>19</v>
      </c>
      <c r="DA680" s="612">
        <f t="shared" si="734"/>
        <v>17</v>
      </c>
      <c r="DB680" s="607">
        <f t="shared" si="735"/>
        <v>13</v>
      </c>
      <c r="DC680" s="606">
        <f t="shared" si="736"/>
        <v>13</v>
      </c>
      <c r="DD680" s="607">
        <f t="shared" si="737"/>
        <v>23</v>
      </c>
      <c r="DE680" s="606">
        <f t="shared" si="738"/>
        <v>24</v>
      </c>
      <c r="DF680" s="607">
        <f t="shared" si="739"/>
        <v>19</v>
      </c>
      <c r="DG680" s="606">
        <f t="shared" si="740"/>
        <v>23</v>
      </c>
      <c r="DH680" s="607">
        <f t="shared" si="741"/>
        <v>0</v>
      </c>
      <c r="DI680" s="608">
        <f t="shared" si="742"/>
        <v>0</v>
      </c>
      <c r="DJ680" s="607">
        <f t="shared" si="743"/>
        <v>0</v>
      </c>
      <c r="DK680" s="608">
        <f t="shared" si="744"/>
        <v>0</v>
      </c>
      <c r="DL680" s="607">
        <f t="shared" si="745"/>
        <v>74</v>
      </c>
      <c r="DM680" s="608">
        <f t="shared" si="746"/>
        <v>77</v>
      </c>
      <c r="DN680" s="607">
        <f t="shared" si="747"/>
        <v>1136504</v>
      </c>
      <c r="DO680" s="612">
        <f t="shared" si="748"/>
        <v>999269.94339622639</v>
      </c>
      <c r="DP680" s="607">
        <f t="shared" si="749"/>
        <v>628940</v>
      </c>
      <c r="DQ680" s="606">
        <f t="shared" si="750"/>
        <v>623747.30578512396</v>
      </c>
      <c r="DR680" s="607">
        <f t="shared" si="751"/>
        <v>951648</v>
      </c>
      <c r="DS680" s="606">
        <f t="shared" si="752"/>
        <v>991198.70270270272</v>
      </c>
      <c r="DT680" s="607">
        <f t="shared" si="753"/>
        <v>623009.34104046249</v>
      </c>
      <c r="DU680" s="606">
        <f t="shared" si="754"/>
        <v>771678.25714285707</v>
      </c>
      <c r="DV680" s="607">
        <f t="shared" si="755"/>
        <v>0</v>
      </c>
      <c r="DW680" s="608">
        <f t="shared" si="756"/>
        <v>0</v>
      </c>
      <c r="DX680" s="607">
        <f t="shared" si="757"/>
        <v>0</v>
      </c>
      <c r="DY680" s="608">
        <f t="shared" si="758"/>
        <v>0</v>
      </c>
      <c r="DZ680" s="607">
        <f t="shared" si="759"/>
        <v>3340101.3410404623</v>
      </c>
      <c r="EA680" s="608">
        <f t="shared" si="760"/>
        <v>3385894.2090269099</v>
      </c>
    </row>
  </sheetData>
  <sortState ref="A8:EA581">
    <sortCondition ref="A8:A581"/>
    <sortCondition ref="E8:E581"/>
    <sortCondition ref="B8:B581"/>
  </sortState>
  <phoneticPr fontId="6" type="noConversion"/>
  <conditionalFormatting sqref="G8:G22 I8:I22 K8:K22 M8:M22 O8:O22 Q8:Q22 S8:S22 U8:U22 W8:W22 Y8:Y22 AA8:AA22 AC8:AC22 AE8:AE22 AG8:AG22 AI8:AI22 AK8:AK22 AM8:AM22 AO8:AO22 AQ8:AQ22 AS8:AS22 AU8:AU22 AW8:AW22 AY8:AY22 BA8:BA22 BC8:BC22 BE8:BE22 BG8:BG22 BI8:BI22 BK8:BK22 BM8:BM22 G52:G94 I52:I94 K52:K94 M52:M94 O52:O94 Q52:Q94 S52:S94 U52:U94 W52:W94 Y52:Y94 AA52:AA94 AC52:AC94 AE79:AE94 AG79:AG94 AI79:AI94 AK79:AK94 AM79:AM94 AO52:AO63 AQ52:AQ63 AS79:AS94 BC52:BC94 BE52:BE94 BG52:BG94 BI52:BI64 BK65:BK94 BM123:BM126 BK123:BK126 BI123:BI126 BG123:BG126 BE123:BE126 BC123:BC126 BA123:BA126 AY123:AY126 AW123:AW126 AU123:AU126 AS123:AS126 AQ123:AQ126 AO123:AO126 AM123:AM126 AK123:AK126 AI123:AI126 AG123:AG126 AE123:AE126 AC123:AC126 AA123:AA126 Y123:Y126 W123:W126 U123:U126 S123:S126 Q123:Q126 O123:O126 M123:M126 K123:K126 I123:I126 G123:G126 G415:G433 I415:I433 K415:K433 M415:M433 O415:O433 Q415:Q433 S415:S433 U415:U433 W415:W433 Y415:Y433 AA415:AA433 AC415:AC433 AE415:AE433 AG415:AG433 AI415:AI433 AK415:AK433 AM415:AM433 AO415:AO433 AQ415:AQ433 AS415:AS433 AU415:AU433 AW415:AW433 AY415:AY433 BA415:BA433 BC415:BC433 BE415:BE433 BG415:BG433 BI415:BI433 BK415:BK433 BM415:BM433 BM466:BM473 BK466:BK473 BI466:BI473 BG466:BG473 BE466:BE473 BC466:BC473 BA466:BA473 AY466:AY473 AW466:AW473 AU466:AU473 AS466:AS473 AQ466:AQ473 AO466:AO473 AM466:AM473 AK466:AK473 AI466:AI473 AG466:AG473 AE466:AE473 AC466:AC473 AA466:AA473 Y466:Y473 W466:W473 U466:U473 S466:S473 Q466:Q473 O466:O473 M466:M473 K466:K473 I466:I473 G466:G473 AU79:AU94 AW79:AW94 AY79:AY94 BA79:BA94 BM79:BM94 AO65:AO94 AQ65:AQ94 BI79:BI94">
    <cfRule type="expression" dxfId="151" priority="341">
      <formula>AND(F8=0,(G8&gt;0))</formula>
    </cfRule>
    <cfRule type="expression" dxfId="150" priority="342">
      <formula>((G8-F8)/F8)&gt;0.05</formula>
    </cfRule>
  </conditionalFormatting>
  <conditionalFormatting sqref="G23 I23 K23 M23 O23 Q23 S23 U23 W23 Y23 AA23 AC23 AE23 AG23 AI23 AK23 AM23 AO23 AQ23 AS23 AU23 AW23 AY23 BA23 BC23 BE23 BG23 BI23 BK23 BM23">
    <cfRule type="expression" dxfId="149" priority="337">
      <formula>AND(F23=0,(G23&gt;0))</formula>
    </cfRule>
    <cfRule type="expression" dxfId="148" priority="338">
      <formula>((G23-F23)/F23)&gt;0.05</formula>
    </cfRule>
  </conditionalFormatting>
  <conditionalFormatting sqref="G24 I24 K24 M24 O24 Q24 S24 U24 W24 Y24 AA24 AC24 AE24 AG24 AI24 AK24 AM24 AO24 AQ24 AS24 AU24 AW24 AY24 BA24 BC24 BE24 BG24 BI24 BK24 BM24">
    <cfRule type="expression" dxfId="147" priority="335">
      <formula>AND(F24=0,(G24&gt;0))</formula>
    </cfRule>
    <cfRule type="expression" dxfId="146" priority="336">
      <formula>((G24-F24)/F24)&gt;0.05</formula>
    </cfRule>
  </conditionalFormatting>
  <conditionalFormatting sqref="G25 I25 K25 M25 O25 Q25 S25 U25 W25 Y25 AA25 AC25 AE25 AG25 AI25 AK25 AM25 AO25 AQ25 AS25 AU25 AW25 AY25 BA25 BC25 BE25 BG25 BI25 BK25 BM25">
    <cfRule type="expression" dxfId="145" priority="333">
      <formula>AND(F25=0,(G25&gt;0))</formula>
    </cfRule>
    <cfRule type="expression" dxfId="144" priority="334">
      <formula>((G25-F25)/F25)&gt;0.05</formula>
    </cfRule>
  </conditionalFormatting>
  <conditionalFormatting sqref="G26 I26 K26 M26 O26 Q26 S26 U26 W26 Y26 AA26 AC26 AE26 AG26 AI26 AK26 AM26 AO26 AQ26 AS26 AU26 AW26 AY26 BA26 BC26 BE26 BG26 BI26 BK26 BM26">
    <cfRule type="expression" dxfId="143" priority="331">
      <formula>AND(F26=0,(G26&gt;0))</formula>
    </cfRule>
    <cfRule type="expression" dxfId="142" priority="332">
      <formula>((G26-F26)/F26)&gt;0.05</formula>
    </cfRule>
  </conditionalFormatting>
  <conditionalFormatting sqref="G27 I27 K27 M27 O27 Q27 S27 U27 W27 Y27 AA27 AC27 AE27 AG27 AI27 AK27 AM27 AO27 AQ27 AS27 AU27 AW27 AY27 BA27 BC27 BE27 BG27 BI27 BK27 BM27">
    <cfRule type="expression" dxfId="141" priority="329">
      <formula>AND(F27=0,(G27&gt;0))</formula>
    </cfRule>
    <cfRule type="expression" dxfId="140" priority="330">
      <formula>((G27-F27)/F27)&gt;0.05</formula>
    </cfRule>
  </conditionalFormatting>
  <conditionalFormatting sqref="G28 I28 K28 M28 O28 Q28 S28 U28 W28 Y28 AA28 AC28 AE28 AG28 AI28 AK28 AM28 AO28 AQ28 AS28 AU28 AW28 AY28 BA28 BC28 BE28 BG28 BI28 BK28 BM28">
    <cfRule type="expression" dxfId="139" priority="327">
      <formula>AND(F28=0,(G28&gt;0))</formula>
    </cfRule>
    <cfRule type="expression" dxfId="138" priority="328">
      <formula>((G28-F28)/F28)&gt;0.05</formula>
    </cfRule>
  </conditionalFormatting>
  <conditionalFormatting sqref="G29 I29 K29 M29 O29 Q29 S29 U29 W29 Y29 AA29 AC29 AE29 AG29 AI29 AK29 AM29 AO29 AQ29 AS29 AU29 AW29 AY29 BA29 BC29 BE29 BG29 BI29 BK29 BM29">
    <cfRule type="expression" dxfId="137" priority="325">
      <formula>AND(F29=0,(G29&gt;0))</formula>
    </cfRule>
    <cfRule type="expression" dxfId="136" priority="326">
      <formula>((G29-F29)/F29)&gt;0.05</formula>
    </cfRule>
  </conditionalFormatting>
  <conditionalFormatting sqref="G30 I30 K30 M30 O30 Q30 S30 U30 W30 Y30 AA30 AC30 AE30 AG30 AI30 AK30 AM30 AO30 AQ30 AS30 AU30 AW30 AY30 BA30 BC30 BE30 BG30 BI30 BK30 BM30">
    <cfRule type="expression" dxfId="135" priority="323">
      <formula>AND(F30=0,(G30&gt;0))</formula>
    </cfRule>
    <cfRule type="expression" dxfId="134" priority="324">
      <formula>((G30-F30)/F30)&gt;0.05</formula>
    </cfRule>
  </conditionalFormatting>
  <conditionalFormatting sqref="G31 I31 K31 M31 O31 Q31 S31 U31 W31 Y31 AA31 AC31 AE31 AG31 AI31 AK31 AM31 AO31 AQ31 AS31 AU31 AW31 AY31 BA31 BC31 BE31 BG31 BI31 BK31 BM31">
    <cfRule type="expression" dxfId="133" priority="321">
      <formula>AND(F31=0,(G31&gt;0))</formula>
    </cfRule>
    <cfRule type="expression" dxfId="132" priority="322">
      <formula>((G31-F31)/F31)&gt;0.05</formula>
    </cfRule>
  </conditionalFormatting>
  <conditionalFormatting sqref="G32 I32 K32 M32 O32 Q32 S32 U32 W32 Y32 AA32 AC32 AE32 AG32 AI32 AK32 AM32 AO32 AQ32 AS32 AU32 AW32 AY32 BA32 BC32 BE32 BG32 BI32 BK32 BM32">
    <cfRule type="expression" dxfId="131" priority="319">
      <formula>AND(F32=0,(G32&gt;0))</formula>
    </cfRule>
    <cfRule type="expression" dxfId="130" priority="320">
      <formula>((G32-F32)/F32)&gt;0.05</formula>
    </cfRule>
  </conditionalFormatting>
  <conditionalFormatting sqref="G33 I33 K33 M33 O33 Q33 S33 U33 W33 Y33 AA33 AC33 AE33 AG33 AI33 AK33 AM33 AO33 AQ33 AS33 AU33 AW33 AY33 BA33 BC33 BE33 BG33 BI33 BK33 BM33">
    <cfRule type="expression" dxfId="129" priority="317">
      <formula>AND(F33=0,(G33&gt;0))</formula>
    </cfRule>
    <cfRule type="expression" dxfId="128" priority="318">
      <formula>((G33-F33)/F33)&gt;0.05</formula>
    </cfRule>
  </conditionalFormatting>
  <conditionalFormatting sqref="G34 I34 K34 M34 O34 Q34 S34 U34 W34 Y34 AA34 AC34 AE34 AG34 AI34 AK34 AM34 AO34 AQ34 AS34 AU34 AW34 AY34 BA34 BC34 BE34 BG34 BI34 BK34 BM34">
    <cfRule type="expression" dxfId="127" priority="315">
      <formula>AND(F34=0,(G34&gt;0))</formula>
    </cfRule>
    <cfRule type="expression" dxfId="126" priority="316">
      <formula>((G34-F34)/F34)&gt;0.05</formula>
    </cfRule>
  </conditionalFormatting>
  <conditionalFormatting sqref="G35 I35 K35 M35 O35 Q35 S35 U35 W35 Y35 AA35 AC35 AE35 AG35 AI35 AK35 AM35 AO35 AQ35 AS35 AU35 AW35 AY35 BA35 BC35 BE35 BG35 BI35 BK35 BM35">
    <cfRule type="expression" dxfId="125" priority="313">
      <formula>AND(F35=0,(G35&gt;0))</formula>
    </cfRule>
    <cfRule type="expression" dxfId="124" priority="314">
      <formula>((G35-F35)/F35)&gt;0.05</formula>
    </cfRule>
  </conditionalFormatting>
  <conditionalFormatting sqref="G36 I36 K36 M36 O36 Q36 S36 U36 W36 Y36 AA36 AC36 AE36 AG36 AI36 AK36 AM36 AO36 AQ36 AS36 AU36 AW36 AY36 BA36 BC36 BE36 BG36 BI36 BK36 BM36">
    <cfRule type="expression" dxfId="123" priority="311">
      <formula>AND(F36=0,(G36&gt;0))</formula>
    </cfRule>
    <cfRule type="expression" dxfId="122" priority="312">
      <formula>((G36-F36)/F36)&gt;0.05</formula>
    </cfRule>
  </conditionalFormatting>
  <conditionalFormatting sqref="G37 I37 K37 M37 O37 Q37 S37 U37 W37 Y37 AA37 AC37 AE37 AG37 AI37 AK37 AM37 AO37 AQ37 AS37 AU37 AW37 AY37 BA37 BC37 BE37 BG37 BI37 BK37 BM37">
    <cfRule type="expression" dxfId="121" priority="309">
      <formula>AND(F37=0,(G37&gt;0))</formula>
    </cfRule>
    <cfRule type="expression" dxfId="120" priority="310">
      <formula>((G37-F37)/F37)&gt;0.05</formula>
    </cfRule>
  </conditionalFormatting>
  <conditionalFormatting sqref="G38 I38 K38 M38 O38 Q38 S38 U38 W38 Y38 AA38 AC38 AE38 AG38 AI38 AK38 AM38 AO38 AQ38 AS38 AU38 AW38 AY38 BA38 BC38 BE38 BG38 BI38 BK38 BM38">
    <cfRule type="expression" dxfId="119" priority="307">
      <formula>AND(F38=0,(G38&gt;0))</formula>
    </cfRule>
    <cfRule type="expression" dxfId="118" priority="308">
      <formula>((G38-F38)/F38)&gt;0.05</formula>
    </cfRule>
  </conditionalFormatting>
  <conditionalFormatting sqref="G39 I39 K39 M39 O39 Q39 S39 U39 W39 Y39 AA39 AC39 AE39 AG39 AI39 AK39 AM39 AO39 AQ39 AS39 AU39 AW39 AY39 BA39 BC39 BE39 BG39 BI39 BK39 BM39">
    <cfRule type="expression" dxfId="117" priority="305">
      <formula>AND(F39=0,(G39&gt;0))</formula>
    </cfRule>
    <cfRule type="expression" dxfId="116" priority="306">
      <formula>((G39-F39)/F39)&gt;0.05</formula>
    </cfRule>
  </conditionalFormatting>
  <conditionalFormatting sqref="G40 I40 K40 M40 O40 Q40 S40 U40 W40 Y40 AA40 AC40 AE40 AG40 AI40 AK40 AM40 AO40 AQ40 AS40 AU40 AW40 AY40 BA40 BC40 BE40 BG40 BI40 BK40 BM40">
    <cfRule type="expression" dxfId="115" priority="303">
      <formula>AND(F40=0,(G40&gt;0))</formula>
    </cfRule>
    <cfRule type="expression" dxfId="114" priority="304">
      <formula>((G40-F40)/F40)&gt;0.05</formula>
    </cfRule>
  </conditionalFormatting>
  <conditionalFormatting sqref="G41 I41 K41 M41 O41 Q41 S41 U41 W41 Y41 AA41 AC41 AE41 AG41 AI41 AK41 AM41 AO41 AQ41 AS41 AU41 AW41 AY41 BA41 BC41 BE41 BG41 BI41 BK41 BM41">
    <cfRule type="expression" dxfId="113" priority="301">
      <formula>AND(F41=0,(G41&gt;0))</formula>
    </cfRule>
    <cfRule type="expression" dxfId="112" priority="302">
      <formula>((G41-F41)/F41)&gt;0.05</formula>
    </cfRule>
  </conditionalFormatting>
  <conditionalFormatting sqref="G42 I42 K42 M42 O42 Q42 S42 U42 W42 Y42 AA42 AC42 AE42 AG42 AI42 AK42 AM42 AO42 AQ42 AS42 AU42 AW42 AY42 BA42 BC42 BE42 BG42 BI42 BK42 BM42">
    <cfRule type="expression" dxfId="111" priority="299">
      <formula>AND(F42=0,(G42&gt;0))</formula>
    </cfRule>
    <cfRule type="expression" dxfId="110" priority="300">
      <formula>((G42-F42)/F42)&gt;0.05</formula>
    </cfRule>
  </conditionalFormatting>
  <conditionalFormatting sqref="G43 I43 K43 M43 O43 Q43 S43 U43 W43 Y43 AA43 AC43 AE43 AG43 AI43 AK43 AM43 AO43 AQ43 AS43 AU43 AW43 AY43 BA43 BC43 BE43 BG43 BI43 BK43 BM43">
    <cfRule type="expression" dxfId="109" priority="297">
      <formula>AND(F43=0,(G43&gt;0))</formula>
    </cfRule>
    <cfRule type="expression" dxfId="108" priority="298">
      <formula>((G43-F43)/F43)&gt;0.05</formula>
    </cfRule>
  </conditionalFormatting>
  <conditionalFormatting sqref="G127:G232 I127:I232 K127:K232 M127:M222 O127:O232 Q127:Q232 S127:S232 U127:U222 W127:W222 Y127:Y232 AA127:AA232 AC127:AC221 AE127:AE222 AG127:AG232 AI127:AI232 AK127:AK222 AM127:AM232 AO127:AO232 AQ127:AQ232 AS127:AS222 AU127:AU232 AW127:AW232 AY127:AY232 BA127:BA232 BE127:BE222 BG127:BG222 BI127:BI222 BK127:BK222 BM127:BM232 M224:M232 U224:U232 W224:W232 AE224:AE232 AS224:AS232 BC224:BC232 BE224:BE232 BG224:BG232 BI224:BI232 BC127:BC222">
    <cfRule type="expression" dxfId="107" priority="293">
      <formula>AND(F127=0,(G127&gt;0))</formula>
    </cfRule>
    <cfRule type="expression" dxfId="106" priority="294">
      <formula>((G127-F127)/F127)&gt;0.05</formula>
    </cfRule>
  </conditionalFormatting>
  <conditionalFormatting sqref="G44:G51 I44:I51 K44:K51 M44:M51 O44:O51 Q44:Q51 S44:S51 U44:U51 W44:W51 Y44:Y51 AA44:AA51 AC44:AC51 AE44:AE46 AG44:AG46 AI44:AI46 AK44:AK46 AM44:AM50 AO44:AO51 AQ44:AQ51 AS44:AS46 AU44:AU47 AW44:AW47 AY44:AY47 BA44:BA46 BC44:BC51 BE44:BE51 BG44:BG51 BI44:BI51 BK44:BK46 BM44:BM46">
    <cfRule type="expression" dxfId="105" priority="291">
      <formula>AND(F44=0,(G44&gt;0))</formula>
    </cfRule>
    <cfRule type="expression" dxfId="104" priority="292">
      <formula>((G44-F44)/F44)&gt;0.05</formula>
    </cfRule>
  </conditionalFormatting>
  <conditionalFormatting sqref="G233:G257 I233:I257 K233:K257 M233:M257 O233:O257 Q233:Q257 S233:S257 U233:U257 W233:W257 Y233:Y257 AA233:AA257 AC236:AC257 AE233:AE257 AG233:AG257 AI233:AI257 AK233:AK257 AM233:AM257 AO233:AO257 AQ233:AQ257 AS233:AS257 AU233:AU257 AW233:AW257 AY233:AY257 BA233:BA257 BC233:BC257 BE233:BE257 BG233:BG257 BI233:BI257 BK235:BK257 BM233:BM257">
    <cfRule type="expression" dxfId="103" priority="109">
      <formula>AND(F233=0,(G233&gt;0))</formula>
    </cfRule>
    <cfRule type="expression" dxfId="102" priority="110">
      <formula>((G233-F233)/F233)&gt;0.05</formula>
    </cfRule>
  </conditionalFormatting>
  <conditionalFormatting sqref="G258:G271 I258:I271 K258:K271 M258:M271 O258:O271 Q258:Q271 S258:S271 U258:U271 W258:W271 Y258:Y271 AA258:AA271 AC258:AC271 AE258:AE271 AG258:AG271 AI258:AI271 AK258:AK271 AM258:AM271 AO258:AO271 AQ258:AQ271 AS258:AS271 AU258:AU271 AW258:AW271 AY258:AY271 BA258:BA271 BC258:BC271 BE258:BE271 BG258:BG271 BI258:BI271 BK258:BK271 BM258:BM271 BM273:BM289 BK273:BK289 BI273:BI289 BG273:BG289 BE273:BE289 BC273:BC289 BA273:BA289 AY273:AY289 AW273:AW289 AU273:AU289 AS273:AS289 AQ273:AQ289 AO273:AO289 AM273:AM289 AK273:AK289 AI273:AI289 AG273:AG289 AE273:AE289 AC273:AC289 AA273:AA289 Y273:Y289 W273:W289 U273:U289 S273:S289 Q273:Q289 O273:O289 M273:M289 K273:K289 I273:I289 G273:G289">
    <cfRule type="expression" dxfId="101" priority="107">
      <formula>AND(F258=0,(G258&gt;0))</formula>
    </cfRule>
    <cfRule type="expression" dxfId="100" priority="108">
      <formula>((G258-F258)/F258)&gt;0.05</formula>
    </cfRule>
  </conditionalFormatting>
  <conditionalFormatting sqref="G290:G293 I290:I293 K290:K293 M290:M293 O290:O293 Q290:Q293 S290:S293 U290:U293 W290:W293 Y290:Y293 AA290:AA293 AC290:AC293 AE290:AE293 AG290:AG293 AI290:AI293 AK290:AK293 AM290:AM293 AO290:AO293 AQ290:AQ293 AS290:AS293 AU290:AU293 AW290:AW293 AY290:AY293 BA290:BA293 BC290:BC293 BE290:BE293 BG290:BG293 BI290:BI293 BK290:BK293 BM290:BM293">
    <cfRule type="expression" dxfId="99" priority="101">
      <formula>AND(F290=0,(G290&gt;0))</formula>
    </cfRule>
    <cfRule type="expression" dxfId="98" priority="102">
      <formula>((G290-F290)/F290)&gt;0.05</formula>
    </cfRule>
  </conditionalFormatting>
  <conditionalFormatting sqref="G294:G318 I294:I318 K294:K318 M294:M318 O294:O318 Q294:Q318 S294:S318 U294:U318 W294:W318 Y294:Y318 AA294:AA318 AC294:AC318 AE294:AE312 AG294:AG312 AI294:AI312 AM294:AM318 AO294:AO318 AQ294:AQ318 AS294:AS318 BC294:BC318 BE294:BE318 BG294:BG318 BI294:BI318 BK294:BK318 BM294:BM318 AU294:AU318 AW294:AW318 AY294:AY318 BA294:BA318 AK294:AK312 AK314:AK318 AI314:AI318 AG314:AG318 AE314:AE318">
    <cfRule type="expression" dxfId="97" priority="99">
      <formula>AND(F294=0,(G294&gt;0))</formula>
    </cfRule>
    <cfRule type="expression" dxfId="96" priority="100">
      <formula>((G294-F294)/F294)&gt;0.05</formula>
    </cfRule>
  </conditionalFormatting>
  <conditionalFormatting sqref="G319:G347 I319:I347 K319:K347 M319:M347 O319:O347 Q319:Q347 S319:S347 U319:U347 W319:W347 Y319:Y347 AA319:AA347 AC319:AC347 AG319:AG347 AI319:AI347 AK319:AK347 AM319:AM347 AO319:AO347 AQ319:AQ347 AS319:AS347 AW319:AW347 AY319:AY347 BA319:BA347 BC319:BC347 BE319:BE347 BG319:BG347 BI319:BI347 BK319:BK347 BM319:BM347 AU319:AU347 AE319:AE347">
    <cfRule type="expression" dxfId="95" priority="97">
      <formula>AND(F319=0,(G319&gt;0))</formula>
    </cfRule>
    <cfRule type="expression" dxfId="94" priority="98">
      <formula>((G319-F319)/F319)&gt;0.05</formula>
    </cfRule>
  </conditionalFormatting>
  <conditionalFormatting sqref="BM348:BM374 BK348:BK374 BI348:BI374 BG348:BG374 BE348:BE374 BC348:BC374 BA348:BA374 AY348:AY374 AW348:AW374 AU348:AU374 AS348:AS374 AQ348:AQ374 AO348:AO374 AM348:AM374 AK348:AK374 AI348:AI374 AG348:AG374 AE348:AE374 AC348:AC374 AA348:AA374 Y348:Y374 W348:W374 U348:U374 S348:S374 Q348:Q374 O348:O374 M348:M374 K348:K374 I348:I374 G348:G374">
    <cfRule type="expression" dxfId="93" priority="95">
      <formula>AND(F348=0,(G348&gt;0))</formula>
    </cfRule>
    <cfRule type="expression" dxfId="92" priority="96">
      <formula>((G348-F348)/F348)&gt;0.05</formula>
    </cfRule>
  </conditionalFormatting>
  <conditionalFormatting sqref="G375:G379 I375:I379 K375:K379 M375:M379 O375:O379 Q375:Q379 S375:S379 U375:U379 W375:W379 Y375:Y379 AA375:AA379 AC375:AC379 AE375:AE379 AG375:AG379 AI375:AI379 AK375:AK379 AM375:AM379 AO375:AO379 AQ375:AQ379 AS375:AS379 AU375:AU379 AW375:AW379 AY375:AY379 BA375:BA379 BC375:BC379 BE375:BE379 BG375:BG379 BI375:BI379 BK375:BK379 BM375:BM379">
    <cfRule type="expression" dxfId="91" priority="93">
      <formula>AND(F375=0,(G375&gt;0))</formula>
    </cfRule>
    <cfRule type="expression" dxfId="90" priority="94">
      <formula>((G375-F375)/F375)&gt;0.05</formula>
    </cfRule>
  </conditionalFormatting>
  <conditionalFormatting sqref="G380:G403 I380:I403 K380:K403 M380:M403 O380:O403 Q380:Q403 S380:S403 U380:U403 W380:W403 Y380:Y403 AA380:AA403 AC380:AC403 AE380:AE403 AG380:AG403 AI380:AI403 AK380:AK403 AM380:AM403 AO380:AO403 AQ380:AQ403 AS380:AS403 AU380:AU403 AW380:AW403 AY380:AY403 BA380:BA403 BC380:BC403 BE380:BE403 BG380:BG403 BI380:BI403 BK380:BK403 BM380:BM403">
    <cfRule type="expression" dxfId="89" priority="91">
      <formula>AND(F380=0,(G380&gt;0))</formula>
    </cfRule>
    <cfRule type="expression" dxfId="88" priority="92">
      <formula>((G380-F380)/F380)&gt;0.05</formula>
    </cfRule>
  </conditionalFormatting>
  <conditionalFormatting sqref="I404:I414 G404:G414 O404:O414 Q404:Q414 M404:M414 W404:W414 Y404:Y414 U404:U414 AE404:AE414 AG404:AG414 AC404:AC414 AM404:AM414 AO404:AO414 AK404:AK414 AU404:AU414 AW404:AW414 AY404:AY414 BA404:BA414 BC404:BC414 BE404:BE414 BG404:BG414 BI404:BI414 BK404:BK414 BM404:BM414 AS404:AS414">
    <cfRule type="expression" dxfId="87" priority="89">
      <formula>AND(F404=0,(G404&gt;0))</formula>
    </cfRule>
    <cfRule type="expression" dxfId="86" priority="90">
      <formula>((G404-F404)/F404)&gt;0.05</formula>
    </cfRule>
  </conditionalFormatting>
  <conditionalFormatting sqref="AG475:AG512 AE475:AE512 AC475:AC512 W475:W512 U475:U512 O475:O512 BM475:BM502 BK475:BK512 BI475:BI512 BG475:BG512 BE475:BE512 BC475:BC512 BA475:BA512 AY475:AY512 AW475:AW512 AU475:AU512 AS475:AS512 AQ475:AQ512 AO475:AO512 AM475:AM512 AK475:AK512 AI475:AI512 AA475:AA512 Y475:Y512 S475:S512 Q475:Q512 M475:M512 K475:K512 I475:I512 G475:G512">
    <cfRule type="expression" dxfId="85" priority="83">
      <formula>AND(F475=0,(G475&gt;0))</formula>
    </cfRule>
    <cfRule type="expression" dxfId="84" priority="84">
      <formula>((G475-F475)/F475)&gt;0.05</formula>
    </cfRule>
  </conditionalFormatting>
  <conditionalFormatting sqref="G474 I474 K474 M474 O474 Q474 S474 U474 W474 Y474 AA474 AC474 AE474 AG474 AI474 AK474 AM474 AO474 AQ474 AS474 AU474 AW474 AY474 BA474 BC474 BE474 BG474 BI474 BK474 BM474">
    <cfRule type="expression" dxfId="83" priority="81">
      <formula>AND(F474=0,(G474&gt;0))</formula>
    </cfRule>
    <cfRule type="expression" dxfId="82" priority="82">
      <formula>((G474-F474)/F474)&gt;0.05</formula>
    </cfRule>
  </conditionalFormatting>
  <conditionalFormatting sqref="BM503:BM511">
    <cfRule type="expression" dxfId="81" priority="85">
      <formula>AND(BL504=0,(BM503&gt;0))</formula>
    </cfRule>
    <cfRule type="expression" dxfId="80" priority="86">
      <formula>((BM503-BL504)/BL504)&gt;0.05</formula>
    </cfRule>
  </conditionalFormatting>
  <conditionalFormatting sqref="G513:G544 I513:I544 K513:K544 M513:M544 O513:O544 Q513:Q544 S513:S544 U513:U544 W513:W544 Y513:Y544 AA513:AA544 AC513:AC544 AE513:AE544 AG513:AG544 AI513:AI544 AK513:AK544 AM513:AM544 AO513:AO544 AQ513:AQ544 AS513:AS544 AU513:AU544 AW513:AW544 AY513:AY544 BA513:BA544 BC513:BC544 BE513:BE544 BG513:BG544 BI513:BI544 BK513:BK544 BM513:BM544">
    <cfRule type="expression" dxfId="79" priority="79">
      <formula>AND(F513=0,(G513&gt;0))</formula>
    </cfRule>
    <cfRule type="expression" dxfId="78" priority="80">
      <formula>((G513-F513)/F513)&gt;0.05</formula>
    </cfRule>
  </conditionalFormatting>
  <conditionalFormatting sqref="G545:G577 I545:I577 K545:K577 M545:M577 O545:O577 Q545:Q577 S545:S577 U545:U577 W545:W577 Y545:Y577 AA545:AA577 AC545:AC577 AE545:AE577 AG545:AG577 AI545:AI577 AK545:AK577 AM545:AM577 AO545:AO577 AQ545:AQ577 AS545:AS577 AU545:AU577 AW545:AW577 AY545:AY577 BA545:BA577 BC545:BC577 BE545:BE577 BG545:BG577 BK545:BK546 BM545:BM577 BK548:BK577 BI545:BI546 BI548:BI577">
    <cfRule type="expression" dxfId="77" priority="75">
      <formula>AND(F545=0,(G545&gt;0))</formula>
    </cfRule>
    <cfRule type="expression" dxfId="76" priority="76">
      <formula>((G545-F545)/F545)&gt;0.05</formula>
    </cfRule>
  </conditionalFormatting>
  <conditionalFormatting sqref="BK547">
    <cfRule type="expression" dxfId="75" priority="77">
      <formula>AND(BH547=0,(BK547&gt;0))</formula>
    </cfRule>
    <cfRule type="expression" dxfId="74" priority="78">
      <formula>((BK547-BH547)/BH547)&gt;0.05</formula>
    </cfRule>
  </conditionalFormatting>
  <conditionalFormatting sqref="BI547">
    <cfRule type="expression" dxfId="73" priority="73">
      <formula>AND(BH547=0,(BI547&gt;0))</formula>
    </cfRule>
    <cfRule type="expression" dxfId="72" priority="74">
      <formula>((BI547-BH547)/BH547)&gt;0.05</formula>
    </cfRule>
  </conditionalFormatting>
  <conditionalFormatting sqref="G578:G592 I578:I592 K578:K592 M578:M592 O578:O592 Q578:Q592 S578:S592 U578:U592 W578:W592 Y578:Y592 AA578:AA592 AC578:AC592 AE578:AE592 AG578:AG592 AI578:AI592 AK578:AK592 AM578:AM592 AO578:AO592 AQ578:AQ592 AS578:AS592 AU578:AU592 AW578:AW592 AY578:AY592 BA578:BA592 BC578:BC592 BE578:BE592 BG578:BG592 BI578:BI592 BK578:BK592 BM578:BM592">
    <cfRule type="expression" dxfId="71" priority="71">
      <formula>AND(F578=0,(G578&gt;0))</formula>
    </cfRule>
    <cfRule type="expression" dxfId="70" priority="72">
      <formula>((G578-F578)/F578)&gt;0.05</formula>
    </cfRule>
  </conditionalFormatting>
  <conditionalFormatting sqref="G593:G620 I593:I620 K593:K620 M593:M620 O593:O620 Q593:Q620 S593:S620 U593:U620 W593:W620 Y593:Y620 AA593:AA620 AC593:AC620 AE593:AE620 AG593:AG620 AI593:AI620 AK593:AK620 AM593:AM620 AO593:AO620 AQ593:AQ620 AS593:AS620 AU593:AU620 AW593:AW620 AY593:AY620 BA593:BA620 BC593:BC620 BE593:BE620 BG593:BG620 BI593:BI620 BK593:BK620 BM593:BM620 BM660:BM680 BK660:BK680 BI660:BI680 BG660:BG680 BE660:BE680 BC660:BC680 BA660:BA680 AY660:AY680 AW660:AW680 AU660:AU680 AS660:AS680 AQ660:AQ680 AO660:AO680 AM660:AM680 AK660:AK680 AI660:AI680 AG660:AG680 AE660:AE680 AC660:AC680 AA660:AA680 Y660:Y680 W660:W680 U660:U680 S660:S680 Q660:Q680 O660:O680 M660:M680 K660:K680 I660:I680 G660:G680">
    <cfRule type="expression" dxfId="69" priority="69">
      <formula>AND(F593=0,(G593&gt;0))</formula>
    </cfRule>
    <cfRule type="expression" dxfId="68" priority="70">
      <formula>((G593-F593)/F593)&gt;0.05</formula>
    </cfRule>
  </conditionalFormatting>
  <conditionalFormatting sqref="BM272 BK272 BI272 BG272 BE272 BC272 BA272 AY272 AW272 AU272 AS272 AQ272 AO272 AM272 AK272 AI272 AG272 AE272 AC272 AA272 Y272 W272 U272 S272 Q272 O272 M272 K272 I272 G272">
    <cfRule type="expression" dxfId="67" priority="67">
      <formula>AND(F272=0,(G272&gt;0))</formula>
    </cfRule>
    <cfRule type="expression" dxfId="66" priority="68">
      <formula>((G272-F272)/F272)&gt;0.05</formula>
    </cfRule>
  </conditionalFormatting>
  <conditionalFormatting sqref="G95:G122 I95:I122 K95:K122 M95:M122 O95:O122 Q95:Q122 S95:S122 U95:U122 W95:W122 Y95:Y122 AA95:AA122 AC95:AC122 AE95:AE122 AG95:AG122 AI95:AI122 AK95:AK122 AM95:AM122 AO95:AO122 AQ95:AQ122 AS95:AS122 AU95:AU122 AW95:AW122 AY95:AY122 BA95:BA122 BC95:BC122 BE95:BE122 BG95:BG122 BI95:BI122 BK95:BK122 BM95:BM122">
    <cfRule type="expression" dxfId="65" priority="65">
      <formula>AND(F95=0,(G95&gt;0))</formula>
    </cfRule>
    <cfRule type="expression" dxfId="64" priority="66">
      <formula>((G95-F95)/F95)&gt;0.05</formula>
    </cfRule>
  </conditionalFormatting>
  <conditionalFormatting sqref="G434:G465 I434:I465 K434:K465 M434:M465 O434:O465 Q434:Q465 S434:S465 U434:U465 W434:W465 Y434:Y465 AA434:AA465 AC434:AC465 AE434:AE465 AG434:AG465 AI434:AI465 AK434:AK465 AM434:AM465 AO434:AO465 AQ434:AQ465 AS434:AS465 AU434:AU465 AW434:AW465 AY434:AY465 BA434:BA465 BC434:BC465 BE434:BE465 BG434:BG465 BI434:BI465 BK434:BK465 BM434:BM465">
    <cfRule type="expression" dxfId="63" priority="63">
      <formula>AND(F434=0,(G434&gt;0))</formula>
    </cfRule>
    <cfRule type="expression" dxfId="62" priority="64">
      <formula>((G434-F434)/F434)&gt;0.05</formula>
    </cfRule>
  </conditionalFormatting>
  <conditionalFormatting sqref="G621:G659 I621:I659 K621:K659 M621:M659 O621:O659 Q621:Q659 S621:S659 U621:U659 W621:W659 Y621:Y659 AA621:AA659 AC621:AC659 AE621:AE659 AG621:AG659 AI621:AI659 AK621:AK659 AM621:AM659 AO621:AO659 AQ621:AQ659 AS621:AS659 AU621:AU659 AW621:AW659 AY621:AY659 BA621:BA659 BC621:BC659 BE621:BE659 BG621:BG659 BI621:BI659 BK621:BK659 BM621:BM659">
    <cfRule type="expression" dxfId="61" priority="61">
      <formula>AND(F621=0,(G621&gt;0))</formula>
    </cfRule>
    <cfRule type="expression" dxfId="60" priority="62">
      <formula>((G621-F621)/F621)&gt;0.05</formula>
    </cfRule>
  </conditionalFormatting>
  <conditionalFormatting sqref="AE313 AG313 AI313 AK313">
    <cfRule type="expression" dxfId="59" priority="59">
      <formula>AND(AD313=0,(AE313&gt;0))</formula>
    </cfRule>
    <cfRule type="expression" dxfId="58" priority="60">
      <formula>((AE313-AD313)/AD313)&gt;0.05</formula>
    </cfRule>
  </conditionalFormatting>
  <conditionalFormatting sqref="M223">
    <cfRule type="expression" dxfId="57" priority="57">
      <formula>AND(L223=0,(M223&gt;0))</formula>
    </cfRule>
    <cfRule type="expression" dxfId="56" priority="58">
      <formula>((M223-L223)/L223)&gt;0.05</formula>
    </cfRule>
  </conditionalFormatting>
  <conditionalFormatting sqref="U223">
    <cfRule type="expression" dxfId="55" priority="55">
      <formula>AND(T223=0,(U223&gt;0))</formula>
    </cfRule>
    <cfRule type="expression" dxfId="54" priority="56">
      <formula>((U223-T223)/T223)&gt;0.05</formula>
    </cfRule>
  </conditionalFormatting>
  <conditionalFormatting sqref="W223">
    <cfRule type="expression" dxfId="53" priority="53">
      <formula>AND(V223=0,(W223&gt;0))</formula>
    </cfRule>
    <cfRule type="expression" dxfId="52" priority="54">
      <formula>((W223-V223)/V223)&gt;0.05</formula>
    </cfRule>
  </conditionalFormatting>
  <conditionalFormatting sqref="AC222:AC232">
    <cfRule type="expression" dxfId="51" priority="51">
      <formula>AND(AB222=0,(AC222&gt;0))</formula>
    </cfRule>
    <cfRule type="expression" dxfId="50" priority="52">
      <formula>((AC222-AB222)/AB222)&gt;0.05</formula>
    </cfRule>
  </conditionalFormatting>
  <conditionalFormatting sqref="AC233:AC235">
    <cfRule type="expression" dxfId="49" priority="49">
      <formula>AND(AB233=0,(AC233&gt;0))</formula>
    </cfRule>
    <cfRule type="expression" dxfId="48" priority="50">
      <formula>((AC233-AB233)/AB233)&gt;0.05</formula>
    </cfRule>
  </conditionalFormatting>
  <conditionalFormatting sqref="AE223">
    <cfRule type="expression" dxfId="47" priority="47">
      <formula>AND(AD223=0,(AE223&gt;0))</formula>
    </cfRule>
    <cfRule type="expression" dxfId="46" priority="48">
      <formula>((AE223-AD223)/AD223)&gt;0.05</formula>
    </cfRule>
  </conditionalFormatting>
  <conditionalFormatting sqref="AK223:AK232">
    <cfRule type="expression" dxfId="45" priority="45">
      <formula>AND(AJ223=0,(AK223&gt;0))</formula>
    </cfRule>
    <cfRule type="expression" dxfId="44" priority="46">
      <formula>((AK223-AJ223)/AJ223)&gt;0.05</formula>
    </cfRule>
  </conditionalFormatting>
  <conditionalFormatting sqref="AS223">
    <cfRule type="expression" dxfId="43" priority="43">
      <formula>AND(AR223=0,(AS223&gt;0))</formula>
    </cfRule>
    <cfRule type="expression" dxfId="42" priority="44">
      <formula>((AS223-AR223)/AR223)&gt;0.05</formula>
    </cfRule>
  </conditionalFormatting>
  <conditionalFormatting sqref="BC223">
    <cfRule type="expression" dxfId="41" priority="41">
      <formula>AND(BB223=0,(BC223&gt;0))</formula>
    </cfRule>
    <cfRule type="expression" dxfId="40" priority="42">
      <formula>((BC223-BB223)/BB223)&gt;0.05</formula>
    </cfRule>
  </conditionalFormatting>
  <conditionalFormatting sqref="BE223">
    <cfRule type="expression" dxfId="39" priority="39">
      <formula>AND(BD223=0,(BE223&gt;0))</formula>
    </cfRule>
    <cfRule type="expression" dxfId="38" priority="40">
      <formula>((BE223-BD223)/BD223)&gt;0.05</formula>
    </cfRule>
  </conditionalFormatting>
  <conditionalFormatting sqref="BG223">
    <cfRule type="expression" dxfId="37" priority="37">
      <formula>AND(BF223=0,(BG223&gt;0))</formula>
    </cfRule>
    <cfRule type="expression" dxfId="36" priority="38">
      <formula>((BG223-BF223)/BF223)&gt;0.05</formula>
    </cfRule>
  </conditionalFormatting>
  <conditionalFormatting sqref="BI223">
    <cfRule type="expression" dxfId="35" priority="35">
      <formula>AND(BH223=0,(BI223&gt;0))</formula>
    </cfRule>
    <cfRule type="expression" dxfId="34" priority="36">
      <formula>((BI223-BH223)/BH223)&gt;0.05</formula>
    </cfRule>
  </conditionalFormatting>
  <conditionalFormatting sqref="BK223:BK232">
    <cfRule type="expression" dxfId="33" priority="33">
      <formula>AND(BJ223=0,(BK223&gt;0))</formula>
    </cfRule>
    <cfRule type="expression" dxfId="32" priority="34">
      <formula>((BK223-BJ223)/BJ223)&gt;0.05</formula>
    </cfRule>
  </conditionalFormatting>
  <conditionalFormatting sqref="BK233:BK234">
    <cfRule type="expression" dxfId="31" priority="31">
      <formula>AND(BJ233=0,(BK233&gt;0))</formula>
    </cfRule>
    <cfRule type="expression" dxfId="30" priority="32">
      <formula>((BK233-BJ233)/BJ233)&gt;0.05</formula>
    </cfRule>
  </conditionalFormatting>
  <conditionalFormatting sqref="AE47:AE78">
    <cfRule type="expression" dxfId="29" priority="29">
      <formula>AND(AD47=0,(AE47&gt;0))</formula>
    </cfRule>
    <cfRule type="expression" dxfId="28" priority="30">
      <formula>((AE47-AD47)/AD47)&gt;0.05</formula>
    </cfRule>
  </conditionalFormatting>
  <conditionalFormatting sqref="AG47:AG78">
    <cfRule type="expression" dxfId="27" priority="27">
      <formula>AND(AF47=0,(AG47&gt;0))</formula>
    </cfRule>
    <cfRule type="expression" dxfId="26" priority="28">
      <formula>((AG47-AF47)/AF47)&gt;0.05</formula>
    </cfRule>
  </conditionalFormatting>
  <conditionalFormatting sqref="AI47:AI78">
    <cfRule type="expression" dxfId="25" priority="25">
      <formula>AND(AH47=0,(AI47&gt;0))</formula>
    </cfRule>
    <cfRule type="expression" dxfId="24" priority="26">
      <formula>((AI47-AH47)/AH47)&gt;0.05</formula>
    </cfRule>
  </conditionalFormatting>
  <conditionalFormatting sqref="AK47:AK78">
    <cfRule type="expression" dxfId="23" priority="23">
      <formula>AND(AJ47=0,(AK47&gt;0))</formula>
    </cfRule>
    <cfRule type="expression" dxfId="22" priority="24">
      <formula>((AK47-AJ47)/AJ47)&gt;0.05</formula>
    </cfRule>
  </conditionalFormatting>
  <conditionalFormatting sqref="AM51:AM78">
    <cfRule type="expression" dxfId="21" priority="21">
      <formula>AND(AL51=0,(AM51&gt;0))</formula>
    </cfRule>
    <cfRule type="expression" dxfId="20" priority="22">
      <formula>((AM51-AL51)/AL51)&gt;0.05</formula>
    </cfRule>
  </conditionalFormatting>
  <conditionalFormatting sqref="AO64">
    <cfRule type="expression" dxfId="19" priority="19">
      <formula>AND(AN64=0,(AO64&gt;0))</formula>
    </cfRule>
    <cfRule type="expression" dxfId="18" priority="20">
      <formula>((AO64-AN64)/AN64)&gt;0.05</formula>
    </cfRule>
  </conditionalFormatting>
  <conditionalFormatting sqref="AQ64">
    <cfRule type="expression" dxfId="17" priority="17">
      <formula>AND(AP64=0,(AQ64&gt;0))</formula>
    </cfRule>
    <cfRule type="expression" dxfId="16" priority="18">
      <formula>((AQ64-AP64)/AP64)&gt;0.05</formula>
    </cfRule>
  </conditionalFormatting>
  <conditionalFormatting sqref="AS47:AS78">
    <cfRule type="expression" dxfId="15" priority="15">
      <formula>AND(AR47=0,(AS47&gt;0))</formula>
    </cfRule>
    <cfRule type="expression" dxfId="14" priority="16">
      <formula>((AS47-AR47)/AR47)&gt;0.05</formula>
    </cfRule>
  </conditionalFormatting>
  <conditionalFormatting sqref="AU48:AU78">
    <cfRule type="expression" dxfId="13" priority="13">
      <formula>AND(AT48=0,(AU48&gt;0))</formula>
    </cfRule>
    <cfRule type="expression" dxfId="12" priority="14">
      <formula>((AU48-AT48)/AT48)&gt;0.05</formula>
    </cfRule>
  </conditionalFormatting>
  <conditionalFormatting sqref="AW48:AW78">
    <cfRule type="expression" dxfId="11" priority="11">
      <formula>AND(AV48=0,(AW48&gt;0))</formula>
    </cfRule>
    <cfRule type="expression" dxfId="10" priority="12">
      <formula>((AW48-AV48)/AV48)&gt;0.05</formula>
    </cfRule>
  </conditionalFormatting>
  <conditionalFormatting sqref="AY48:AY78">
    <cfRule type="expression" dxfId="9" priority="9">
      <formula>AND(AX48=0,(AY48&gt;0))</formula>
    </cfRule>
    <cfRule type="expression" dxfId="8" priority="10">
      <formula>((AY48-AX48)/AX48)&gt;0.05</formula>
    </cfRule>
  </conditionalFormatting>
  <conditionalFormatting sqref="BA47:BA78">
    <cfRule type="expression" dxfId="7" priority="7">
      <formula>AND(AZ47=0,(BA47&gt;0))</formula>
    </cfRule>
    <cfRule type="expression" dxfId="6" priority="8">
      <formula>((BA47-AZ47)/AZ47)&gt;0.05</formula>
    </cfRule>
  </conditionalFormatting>
  <conditionalFormatting sqref="BI65:BI78">
    <cfRule type="expression" dxfId="5" priority="5">
      <formula>AND(BH65=0,(BI65&gt;0))</formula>
    </cfRule>
    <cfRule type="expression" dxfId="4" priority="6">
      <formula>((BI65-BH65)/BH65)&gt;0.05</formula>
    </cfRule>
  </conditionalFormatting>
  <conditionalFormatting sqref="BK47:BK64">
    <cfRule type="expression" dxfId="3" priority="3">
      <formula>AND(BJ47=0,(BK47&gt;0))</formula>
    </cfRule>
    <cfRule type="expression" dxfId="2" priority="4">
      <formula>((BK47-BJ47)/BJ47)&gt;0.05</formula>
    </cfRule>
  </conditionalFormatting>
  <conditionalFormatting sqref="BM47:BM78">
    <cfRule type="expression" dxfId="1" priority="1">
      <formula>AND(BL47=0,(BM47&gt;0))</formula>
    </cfRule>
    <cfRule type="expression" dxfId="0" priority="2">
      <formula>((BM47-BL47)/BL47)&gt;0.05</formula>
    </cfRule>
  </conditionalFormatting>
  <pageMargins left="0.75" right="0.75" top="1" bottom="1" header="0.5" footer="0.5"/>
  <pageSetup orientation="portrait" r:id="rId1"/>
  <headerFooter alignWithMargins="0"/>
  <ignoredErrors>
    <ignoredError sqref="EB9:GT581 EB8:HH8 EB660:HH680 EB582:HH620" evalError="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497"/>
  <sheetViews>
    <sheetView workbookViewId="0">
      <selection sqref="A1:XFD1048576"/>
    </sheetView>
  </sheetViews>
  <sheetFormatPr defaultColWidth="9" defaultRowHeight="12.75" x14ac:dyDescent="0.2"/>
  <cols>
    <col min="1" max="1" width="23.5" style="292" customWidth="1"/>
    <col min="2" max="2" width="13.125" style="293" customWidth="1"/>
    <col min="3" max="3" width="8.625" style="293" customWidth="1"/>
    <col min="4" max="4" width="9.875" style="293" customWidth="1"/>
    <col min="5" max="7" width="8.625" style="293" customWidth="1"/>
    <col min="8" max="8" width="11.625" style="293" customWidth="1"/>
    <col min="9" max="9" width="9.375" style="293" customWidth="1"/>
    <col min="10" max="10" width="9.875" style="293" customWidth="1"/>
    <col min="11" max="13" width="8.625" style="293" customWidth="1"/>
    <col min="14" max="14" width="11.5" style="293" customWidth="1"/>
    <col min="15" max="15" width="9.5" style="293" customWidth="1"/>
    <col min="16" max="16" width="7.875" style="293" customWidth="1"/>
    <col min="17" max="17" width="11.625" style="293" customWidth="1"/>
    <col min="18" max="18" width="3.125" style="298" customWidth="1"/>
    <col min="19" max="34" width="7" style="293" customWidth="1"/>
    <col min="35" max="35" width="7.125" style="298" customWidth="1"/>
    <col min="36" max="38" width="6.375" style="298" customWidth="1"/>
    <col min="39" max="39" width="7.375" style="298" customWidth="1"/>
    <col min="40" max="47" width="6.375" style="298" customWidth="1"/>
    <col min="48" max="48" width="7" style="298" customWidth="1"/>
    <col min="49" max="49" width="6.375" style="298" customWidth="1"/>
    <col min="50" max="50" width="7.25" style="298" customWidth="1"/>
    <col min="51" max="16384" width="9" style="298"/>
  </cols>
  <sheetData>
    <row r="1" spans="1:50" x14ac:dyDescent="0.2">
      <c r="A1" s="637"/>
      <c r="B1" s="640"/>
      <c r="C1" s="640"/>
      <c r="D1" s="640"/>
      <c r="E1" s="640"/>
      <c r="F1" s="640"/>
      <c r="G1" s="640"/>
      <c r="H1" s="640"/>
      <c r="I1" s="640"/>
      <c r="J1" s="640"/>
      <c r="K1" s="640"/>
      <c r="L1" s="640"/>
      <c r="M1" s="640"/>
      <c r="N1" s="640"/>
      <c r="O1" s="640"/>
      <c r="P1" s="640"/>
      <c r="Q1" s="640"/>
      <c r="S1" s="303"/>
      <c r="T1" s="303"/>
      <c r="U1" s="303"/>
      <c r="V1" s="303"/>
      <c r="W1" s="303"/>
      <c r="X1" s="303"/>
      <c r="Y1" s="303"/>
      <c r="Z1" s="303"/>
      <c r="AA1" s="303"/>
      <c r="AB1" s="303"/>
      <c r="AC1" s="303"/>
      <c r="AD1" s="303"/>
      <c r="AE1" s="303"/>
      <c r="AF1" s="303"/>
      <c r="AG1" s="303"/>
      <c r="AH1" s="303"/>
      <c r="AI1" s="514"/>
      <c r="AJ1" s="303"/>
      <c r="AK1" s="303"/>
      <c r="AL1" s="303"/>
      <c r="AM1" s="303"/>
      <c r="AN1" s="303"/>
      <c r="AO1" s="303"/>
      <c r="AP1" s="303"/>
      <c r="AQ1" s="303"/>
      <c r="AR1" s="303"/>
      <c r="AS1" s="303"/>
      <c r="AT1" s="303"/>
      <c r="AU1" s="303"/>
      <c r="AV1" s="303"/>
      <c r="AW1" s="303"/>
      <c r="AX1" s="303"/>
    </row>
    <row r="2" spans="1:50" s="300" customFormat="1" x14ac:dyDescent="0.2">
      <c r="A2" s="637"/>
      <c r="B2" s="640"/>
      <c r="C2" s="640"/>
      <c r="D2" s="640"/>
      <c r="E2" s="640"/>
      <c r="F2" s="640"/>
      <c r="G2" s="640"/>
      <c r="H2" s="640"/>
      <c r="I2" s="640"/>
      <c r="J2" s="640"/>
      <c r="K2" s="640"/>
      <c r="L2" s="640"/>
      <c r="M2" s="640"/>
      <c r="N2" s="640"/>
      <c r="O2" s="640"/>
      <c r="P2" s="640"/>
      <c r="Q2" s="640"/>
      <c r="S2" s="301"/>
      <c r="T2" s="299"/>
      <c r="U2" s="299"/>
      <c r="V2" s="299"/>
      <c r="W2" s="299"/>
      <c r="X2" s="299"/>
      <c r="Y2" s="299"/>
      <c r="Z2" s="308"/>
      <c r="AA2" s="299"/>
      <c r="AB2" s="299"/>
      <c r="AC2" s="299"/>
      <c r="AD2" s="299"/>
      <c r="AE2" s="299"/>
      <c r="AF2" s="308"/>
      <c r="AG2" s="299"/>
      <c r="AH2" s="299"/>
      <c r="AI2" s="515"/>
      <c r="AJ2" s="299"/>
      <c r="AK2" s="299"/>
      <c r="AL2" s="299"/>
      <c r="AM2" s="299"/>
      <c r="AN2" s="299"/>
      <c r="AO2" s="299"/>
      <c r="AP2" s="308"/>
      <c r="AQ2" s="299"/>
      <c r="AR2" s="299"/>
      <c r="AS2" s="299"/>
      <c r="AT2" s="299"/>
      <c r="AU2" s="522"/>
      <c r="AV2" s="521"/>
      <c r="AW2" s="299"/>
      <c r="AX2" s="522"/>
    </row>
    <row r="3" spans="1:50" x14ac:dyDescent="0.2">
      <c r="A3" s="637"/>
      <c r="B3" s="640"/>
      <c r="C3" s="640"/>
      <c r="D3" s="640"/>
      <c r="E3" s="640"/>
      <c r="F3" s="640"/>
      <c r="G3" s="640"/>
      <c r="H3" s="640"/>
      <c r="I3" s="640"/>
      <c r="J3" s="640"/>
      <c r="K3" s="640"/>
      <c r="L3" s="640"/>
      <c r="M3" s="640"/>
      <c r="N3" s="640"/>
      <c r="O3" s="640"/>
      <c r="P3" s="640"/>
      <c r="Q3" s="640"/>
      <c r="S3" s="297"/>
      <c r="T3" s="297"/>
      <c r="U3" s="297"/>
      <c r="V3" s="297"/>
      <c r="W3" s="297"/>
      <c r="X3" s="297"/>
      <c r="Y3" s="297"/>
      <c r="Z3" s="304"/>
      <c r="AA3" s="297"/>
      <c r="AB3" s="297"/>
      <c r="AC3" s="297"/>
      <c r="AD3" s="297"/>
      <c r="AE3" s="297"/>
      <c r="AF3" s="304"/>
      <c r="AG3" s="297"/>
      <c r="AH3" s="297"/>
      <c r="AI3" s="304"/>
      <c r="AJ3" s="297"/>
      <c r="AK3" s="297"/>
      <c r="AL3" s="297"/>
      <c r="AM3" s="297"/>
      <c r="AN3" s="297"/>
      <c r="AO3" s="523"/>
      <c r="AP3" s="513"/>
      <c r="AQ3" s="297"/>
      <c r="AR3" s="297"/>
      <c r="AS3" s="297"/>
      <c r="AT3" s="297"/>
      <c r="AU3" s="523"/>
      <c r="AV3" s="513"/>
      <c r="AW3" s="297"/>
      <c r="AX3" s="523"/>
    </row>
    <row r="4" spans="1:50" x14ac:dyDescent="0.2">
      <c r="A4" s="638"/>
      <c r="B4" s="640"/>
      <c r="C4" s="640"/>
      <c r="D4" s="640"/>
      <c r="E4" s="640"/>
      <c r="F4" s="640"/>
      <c r="G4" s="640"/>
      <c r="H4" s="640"/>
      <c r="I4" s="640"/>
      <c r="J4" s="640"/>
      <c r="K4" s="640"/>
      <c r="L4" s="640"/>
      <c r="M4" s="640"/>
      <c r="N4" s="640"/>
      <c r="O4" s="640"/>
      <c r="P4" s="640"/>
      <c r="Q4" s="640"/>
      <c r="Y4" s="309"/>
      <c r="Z4" s="305"/>
      <c r="AE4" s="309"/>
      <c r="AF4" s="305"/>
      <c r="AH4" s="309"/>
      <c r="AI4" s="516"/>
      <c r="AO4" s="524"/>
      <c r="AU4" s="524"/>
      <c r="AX4" s="524"/>
    </row>
    <row r="5" spans="1:50" x14ac:dyDescent="0.2">
      <c r="A5" s="639"/>
      <c r="B5" s="640"/>
      <c r="C5" s="640"/>
      <c r="D5" s="640"/>
      <c r="E5" s="640"/>
      <c r="F5" s="640"/>
      <c r="G5" s="640"/>
      <c r="H5" s="640"/>
      <c r="I5" s="640"/>
      <c r="J5" s="640"/>
      <c r="K5" s="640"/>
      <c r="L5" s="640"/>
      <c r="M5" s="640"/>
      <c r="N5" s="640"/>
      <c r="O5" s="640"/>
      <c r="P5" s="640"/>
      <c r="Q5" s="640"/>
      <c r="S5" s="295"/>
      <c r="T5" s="295"/>
      <c r="U5" s="295"/>
      <c r="V5" s="295"/>
      <c r="W5" s="295"/>
      <c r="X5" s="295"/>
      <c r="Y5" s="310"/>
      <c r="Z5" s="305"/>
      <c r="AA5" s="295"/>
      <c r="AB5" s="295"/>
      <c r="AC5" s="295"/>
      <c r="AD5" s="295"/>
      <c r="AE5" s="310"/>
      <c r="AF5" s="305"/>
      <c r="AG5" s="295"/>
      <c r="AH5" s="310"/>
      <c r="AI5" s="516"/>
      <c r="AO5" s="524"/>
      <c r="AU5" s="524"/>
      <c r="AX5" s="524"/>
    </row>
    <row r="6" spans="1:50" x14ac:dyDescent="0.2">
      <c r="A6" s="649"/>
      <c r="B6" s="650"/>
      <c r="C6" s="650"/>
      <c r="D6" s="650"/>
      <c r="E6" s="650"/>
      <c r="F6" s="650"/>
      <c r="G6" s="650"/>
      <c r="H6" s="650"/>
      <c r="I6" s="650"/>
      <c r="J6" s="650"/>
      <c r="K6" s="650"/>
      <c r="L6" s="650"/>
      <c r="M6" s="650"/>
      <c r="N6" s="650"/>
      <c r="O6" s="650"/>
      <c r="P6" s="650"/>
      <c r="Q6" s="650"/>
      <c r="S6" s="296"/>
      <c r="T6" s="296"/>
      <c r="U6" s="296"/>
      <c r="V6" s="296"/>
      <c r="W6" s="296"/>
      <c r="X6" s="296"/>
      <c r="Y6" s="311"/>
      <c r="Z6" s="306"/>
      <c r="AA6" s="296"/>
      <c r="AB6" s="296"/>
      <c r="AC6" s="296"/>
      <c r="AD6" s="296"/>
      <c r="AE6" s="311"/>
      <c r="AF6" s="306"/>
      <c r="AG6" s="296"/>
      <c r="AH6" s="311"/>
      <c r="AI6" s="516"/>
      <c r="AO6" s="524"/>
      <c r="AU6" s="524"/>
      <c r="AX6" s="524"/>
    </row>
    <row r="7" spans="1:50" x14ac:dyDescent="0.2">
      <c r="A7" s="639"/>
      <c r="B7" s="640"/>
      <c r="C7" s="640"/>
      <c r="D7" s="640"/>
      <c r="E7" s="640"/>
      <c r="F7" s="640"/>
      <c r="G7" s="640"/>
      <c r="H7" s="640"/>
      <c r="I7" s="640"/>
      <c r="J7" s="640"/>
      <c r="K7" s="640"/>
      <c r="L7" s="640"/>
      <c r="M7" s="640"/>
      <c r="N7" s="640"/>
      <c r="O7" s="640"/>
      <c r="P7" s="640"/>
      <c r="Q7" s="640"/>
      <c r="Y7" s="309"/>
      <c r="Z7" s="305"/>
      <c r="AE7" s="309"/>
      <c r="AF7" s="305"/>
      <c r="AH7" s="309"/>
      <c r="AI7" s="516"/>
      <c r="AO7" s="524"/>
      <c r="AU7" s="524"/>
      <c r="AX7" s="524"/>
    </row>
    <row r="8" spans="1:50" x14ac:dyDescent="0.2">
      <c r="A8" s="639"/>
      <c r="B8" s="640"/>
      <c r="C8" s="640"/>
      <c r="D8" s="640"/>
      <c r="E8" s="640"/>
      <c r="F8" s="640"/>
      <c r="G8" s="640"/>
      <c r="H8" s="640"/>
      <c r="I8" s="640"/>
      <c r="J8" s="640"/>
      <c r="K8" s="640"/>
      <c r="L8" s="640"/>
      <c r="M8" s="640"/>
      <c r="N8" s="640"/>
      <c r="O8" s="640"/>
      <c r="P8" s="640"/>
      <c r="Q8" s="640"/>
      <c r="R8" s="294"/>
      <c r="S8" s="296"/>
      <c r="T8" s="296"/>
      <c r="U8" s="296"/>
      <c r="V8" s="296"/>
      <c r="W8" s="296"/>
      <c r="X8" s="296"/>
      <c r="Y8" s="311"/>
      <c r="Z8" s="306"/>
      <c r="AA8" s="296"/>
      <c r="AB8" s="296"/>
      <c r="AC8" s="296"/>
      <c r="AD8" s="296"/>
      <c r="AE8" s="311"/>
      <c r="AF8" s="306"/>
      <c r="AG8" s="296"/>
      <c r="AH8" s="311"/>
      <c r="AI8" s="517"/>
      <c r="AJ8" s="518"/>
      <c r="AK8" s="518"/>
      <c r="AL8" s="518"/>
      <c r="AM8" s="527"/>
      <c r="AN8" s="518"/>
      <c r="AO8" s="525"/>
      <c r="AP8" s="518"/>
      <c r="AQ8" s="518"/>
      <c r="AR8" s="518"/>
      <c r="AS8" s="518"/>
      <c r="AT8" s="518"/>
      <c r="AU8" s="525"/>
      <c r="AV8" s="518"/>
      <c r="AW8" s="518"/>
      <c r="AX8" s="525"/>
    </row>
    <row r="9" spans="1:50" x14ac:dyDescent="0.2">
      <c r="A9" s="639"/>
      <c r="B9" s="640"/>
      <c r="C9" s="640"/>
      <c r="D9" s="640"/>
      <c r="E9" s="640"/>
      <c r="F9" s="640"/>
      <c r="G9" s="640"/>
      <c r="H9" s="640"/>
      <c r="I9" s="640"/>
      <c r="J9" s="640"/>
      <c r="K9" s="640"/>
      <c r="L9" s="640"/>
      <c r="M9" s="640"/>
      <c r="N9" s="640"/>
      <c r="O9" s="640"/>
      <c r="P9" s="640"/>
      <c r="Q9" s="640"/>
      <c r="Y9" s="309"/>
      <c r="Z9" s="305"/>
      <c r="AE9" s="309"/>
      <c r="AF9" s="305"/>
      <c r="AH9" s="309"/>
      <c r="AI9" s="516"/>
      <c r="AO9" s="524"/>
      <c r="AU9" s="524"/>
      <c r="AX9" s="524"/>
    </row>
    <row r="10" spans="1:50" x14ac:dyDescent="0.2">
      <c r="A10" s="649"/>
      <c r="B10" s="650"/>
      <c r="C10" s="650"/>
      <c r="D10" s="650"/>
      <c r="E10" s="650"/>
      <c r="F10" s="650"/>
      <c r="G10" s="650"/>
      <c r="H10" s="650"/>
      <c r="I10" s="650"/>
      <c r="J10" s="650"/>
      <c r="K10" s="650"/>
      <c r="L10" s="650"/>
      <c r="M10" s="650"/>
      <c r="N10" s="650"/>
      <c r="O10" s="650"/>
      <c r="P10" s="650"/>
      <c r="Q10" s="650"/>
      <c r="S10" s="296"/>
      <c r="T10" s="296"/>
      <c r="U10" s="296"/>
      <c r="V10" s="296"/>
      <c r="W10" s="296"/>
      <c r="X10" s="296"/>
      <c r="Y10" s="311"/>
      <c r="Z10" s="306"/>
      <c r="AA10" s="296"/>
      <c r="AB10" s="296"/>
      <c r="AC10" s="296"/>
      <c r="AD10" s="296"/>
      <c r="AE10" s="311"/>
      <c r="AF10" s="306"/>
      <c r="AG10" s="296"/>
      <c r="AH10" s="311"/>
      <c r="AI10" s="516"/>
      <c r="AO10" s="524"/>
      <c r="AU10" s="524"/>
      <c r="AX10" s="524"/>
    </row>
    <row r="11" spans="1:50" x14ac:dyDescent="0.2">
      <c r="A11" s="639"/>
      <c r="B11" s="640"/>
      <c r="C11" s="640"/>
      <c r="D11" s="640"/>
      <c r="E11" s="640"/>
      <c r="F11" s="640"/>
      <c r="G11" s="640"/>
      <c r="H11" s="640"/>
      <c r="I11" s="640"/>
      <c r="J11" s="640"/>
      <c r="K11" s="640"/>
      <c r="L11" s="640"/>
      <c r="M11" s="640"/>
      <c r="N11" s="640"/>
      <c r="O11" s="640"/>
      <c r="P11" s="640"/>
      <c r="Q11" s="640"/>
      <c r="Y11" s="309"/>
      <c r="Z11" s="305"/>
      <c r="AE11" s="309"/>
      <c r="AF11" s="305"/>
      <c r="AH11" s="309"/>
      <c r="AI11" s="516"/>
      <c r="AO11" s="524"/>
      <c r="AU11" s="524"/>
      <c r="AX11" s="524"/>
    </row>
    <row r="12" spans="1:50" x14ac:dyDescent="0.2">
      <c r="A12" s="639"/>
      <c r="B12" s="640"/>
      <c r="C12" s="640"/>
      <c r="D12" s="640"/>
      <c r="E12" s="640"/>
      <c r="F12" s="640"/>
      <c r="G12" s="640"/>
      <c r="H12" s="640"/>
      <c r="I12" s="640"/>
      <c r="J12" s="640"/>
      <c r="K12" s="640"/>
      <c r="L12" s="640"/>
      <c r="M12" s="640"/>
      <c r="N12" s="640"/>
      <c r="O12" s="640"/>
      <c r="P12" s="640"/>
      <c r="Q12" s="640"/>
      <c r="R12" s="294"/>
      <c r="S12" s="296"/>
      <c r="T12" s="296"/>
      <c r="U12" s="296"/>
      <c r="V12" s="296"/>
      <c r="W12" s="296"/>
      <c r="X12" s="296"/>
      <c r="Y12" s="311"/>
      <c r="Z12" s="306"/>
      <c r="AA12" s="296"/>
      <c r="AB12" s="296"/>
      <c r="AC12" s="296"/>
      <c r="AD12" s="296"/>
      <c r="AE12" s="311"/>
      <c r="AF12" s="306"/>
      <c r="AG12" s="296"/>
      <c r="AH12" s="311"/>
      <c r="AI12" s="517"/>
      <c r="AJ12" s="518"/>
      <c r="AK12" s="518"/>
      <c r="AL12" s="518"/>
      <c r="AM12" s="527"/>
      <c r="AN12" s="518"/>
      <c r="AO12" s="525"/>
      <c r="AP12" s="518"/>
      <c r="AQ12" s="518"/>
      <c r="AR12" s="518"/>
      <c r="AS12" s="518"/>
      <c r="AT12" s="518"/>
      <c r="AU12" s="525"/>
      <c r="AV12" s="518"/>
      <c r="AW12" s="518"/>
      <c r="AX12" s="525"/>
    </row>
    <row r="13" spans="1:50" x14ac:dyDescent="0.2">
      <c r="A13" s="639"/>
      <c r="B13" s="640"/>
      <c r="C13" s="640"/>
      <c r="D13" s="640"/>
      <c r="E13" s="640"/>
      <c r="F13" s="640"/>
      <c r="G13" s="640"/>
      <c r="H13" s="640"/>
      <c r="I13" s="640"/>
      <c r="J13" s="640"/>
      <c r="K13" s="640"/>
      <c r="L13" s="640"/>
      <c r="M13" s="640"/>
      <c r="N13" s="640"/>
      <c r="O13" s="640"/>
      <c r="P13" s="640"/>
      <c r="Q13" s="640"/>
      <c r="Y13" s="309"/>
      <c r="Z13" s="305"/>
      <c r="AE13" s="309"/>
      <c r="AF13" s="305"/>
      <c r="AH13" s="309"/>
      <c r="AI13" s="516"/>
      <c r="AO13" s="524"/>
      <c r="AU13" s="524"/>
      <c r="AX13" s="524"/>
    </row>
    <row r="14" spans="1:50" x14ac:dyDescent="0.2">
      <c r="A14" s="639"/>
      <c r="B14" s="640"/>
      <c r="C14" s="640"/>
      <c r="D14" s="640"/>
      <c r="E14" s="640"/>
      <c r="F14" s="640"/>
      <c r="G14" s="640"/>
      <c r="H14" s="640"/>
      <c r="I14" s="640"/>
      <c r="J14" s="640"/>
      <c r="K14" s="640"/>
      <c r="L14" s="640"/>
      <c r="M14" s="640"/>
      <c r="N14" s="640"/>
      <c r="O14" s="640"/>
      <c r="P14" s="640"/>
      <c r="Q14" s="640"/>
      <c r="R14" s="294"/>
      <c r="S14" s="296"/>
      <c r="T14" s="296"/>
      <c r="U14" s="296"/>
      <c r="V14" s="296"/>
      <c r="W14" s="296"/>
      <c r="X14" s="296"/>
      <c r="Y14" s="311"/>
      <c r="Z14" s="306"/>
      <c r="AA14" s="296"/>
      <c r="AB14" s="296"/>
      <c r="AC14" s="296"/>
      <c r="AD14" s="296"/>
      <c r="AE14" s="311"/>
      <c r="AF14" s="306"/>
      <c r="AG14" s="296"/>
      <c r="AH14" s="311"/>
      <c r="AI14" s="516"/>
      <c r="AO14" s="524"/>
      <c r="AU14" s="524"/>
      <c r="AX14" s="524"/>
    </row>
    <row r="15" spans="1:50" x14ac:dyDescent="0.2">
      <c r="A15" s="639"/>
      <c r="B15" s="640"/>
      <c r="C15" s="640"/>
      <c r="D15" s="640"/>
      <c r="E15" s="640"/>
      <c r="F15" s="640"/>
      <c r="G15" s="640"/>
      <c r="H15" s="640"/>
      <c r="I15" s="640"/>
      <c r="J15" s="640"/>
      <c r="K15" s="640"/>
      <c r="L15" s="640"/>
      <c r="M15" s="640"/>
      <c r="N15" s="640"/>
      <c r="O15" s="640"/>
      <c r="P15" s="640"/>
      <c r="Q15" s="640"/>
      <c r="Y15" s="309"/>
      <c r="Z15" s="305"/>
      <c r="AE15" s="309"/>
      <c r="AF15" s="305"/>
      <c r="AH15" s="309"/>
      <c r="AI15" s="516"/>
      <c r="AO15" s="524"/>
      <c r="AU15" s="524"/>
      <c r="AX15" s="524"/>
    </row>
    <row r="16" spans="1:50" x14ac:dyDescent="0.2">
      <c r="A16" s="639"/>
      <c r="B16" s="640"/>
      <c r="C16" s="640"/>
      <c r="D16" s="640"/>
      <c r="E16" s="640"/>
      <c r="F16" s="640"/>
      <c r="G16" s="640"/>
      <c r="H16" s="640"/>
      <c r="I16" s="640"/>
      <c r="J16" s="640"/>
      <c r="K16" s="640"/>
      <c r="L16" s="640"/>
      <c r="M16" s="640"/>
      <c r="N16" s="640"/>
      <c r="O16" s="640"/>
      <c r="P16" s="640"/>
      <c r="Q16" s="640"/>
      <c r="R16" s="294"/>
      <c r="S16" s="296"/>
      <c r="T16" s="296"/>
      <c r="U16" s="296"/>
      <c r="V16" s="296"/>
      <c r="W16" s="296"/>
      <c r="X16" s="296"/>
      <c r="Y16" s="311"/>
      <c r="Z16" s="306"/>
      <c r="AA16" s="296"/>
      <c r="AB16" s="296"/>
      <c r="AC16" s="296"/>
      <c r="AD16" s="296"/>
      <c r="AE16" s="311"/>
      <c r="AF16" s="306"/>
      <c r="AG16" s="296"/>
      <c r="AH16" s="311"/>
      <c r="AI16" s="517"/>
      <c r="AJ16" s="518"/>
      <c r="AK16" s="518"/>
      <c r="AL16" s="518"/>
      <c r="AM16" s="518"/>
      <c r="AN16" s="518"/>
      <c r="AO16" s="525"/>
      <c r="AP16" s="518"/>
      <c r="AQ16" s="518"/>
      <c r="AR16" s="518"/>
      <c r="AS16" s="518"/>
      <c r="AT16" s="518"/>
      <c r="AU16" s="525"/>
      <c r="AV16" s="518"/>
      <c r="AW16" s="518"/>
      <c r="AX16" s="525"/>
    </row>
    <row r="17" spans="1:50" x14ac:dyDescent="0.2">
      <c r="A17" s="639"/>
      <c r="B17" s="640"/>
      <c r="C17" s="640"/>
      <c r="D17" s="640"/>
      <c r="E17" s="640"/>
      <c r="F17" s="640"/>
      <c r="G17" s="640"/>
      <c r="H17" s="640"/>
      <c r="I17" s="640"/>
      <c r="J17" s="640"/>
      <c r="K17" s="640"/>
      <c r="L17" s="640"/>
      <c r="M17" s="640"/>
      <c r="N17" s="640"/>
      <c r="O17" s="640"/>
      <c r="P17" s="640"/>
      <c r="Q17" s="640"/>
      <c r="Y17" s="309"/>
      <c r="Z17" s="305"/>
      <c r="AE17" s="309"/>
      <c r="AF17" s="305"/>
      <c r="AH17" s="309"/>
      <c r="AI17" s="516"/>
      <c r="AO17" s="524"/>
      <c r="AU17" s="524"/>
      <c r="AX17" s="524"/>
    </row>
    <row r="18" spans="1:50" x14ac:dyDescent="0.2">
      <c r="A18" s="639"/>
      <c r="B18" s="640"/>
      <c r="C18" s="640"/>
      <c r="D18" s="640"/>
      <c r="E18" s="640"/>
      <c r="F18" s="640"/>
      <c r="G18" s="640"/>
      <c r="H18" s="640"/>
      <c r="I18" s="640"/>
      <c r="J18" s="640"/>
      <c r="K18" s="640"/>
      <c r="L18" s="640"/>
      <c r="M18" s="640"/>
      <c r="N18" s="640"/>
      <c r="O18" s="640"/>
      <c r="P18" s="640"/>
      <c r="Q18" s="640"/>
      <c r="R18" s="294"/>
      <c r="S18" s="296"/>
      <c r="T18" s="296"/>
      <c r="U18" s="296"/>
      <c r="V18" s="296"/>
      <c r="W18" s="296"/>
      <c r="X18" s="296"/>
      <c r="Y18" s="311"/>
      <c r="Z18" s="306"/>
      <c r="AA18" s="296"/>
      <c r="AB18" s="296"/>
      <c r="AC18" s="296"/>
      <c r="AD18" s="296"/>
      <c r="AE18" s="311"/>
      <c r="AF18" s="306"/>
      <c r="AG18" s="296"/>
      <c r="AH18" s="311"/>
      <c r="AI18" s="516"/>
      <c r="AO18" s="524"/>
      <c r="AU18" s="524"/>
      <c r="AX18" s="524"/>
    </row>
    <row r="19" spans="1:50" x14ac:dyDescent="0.2">
      <c r="A19" s="639"/>
      <c r="B19" s="640"/>
      <c r="C19" s="640"/>
      <c r="D19" s="640"/>
      <c r="E19" s="640"/>
      <c r="F19" s="640"/>
      <c r="G19" s="640"/>
      <c r="H19" s="640"/>
      <c r="I19" s="640"/>
      <c r="J19" s="640"/>
      <c r="K19" s="640"/>
      <c r="L19" s="640"/>
      <c r="M19" s="640"/>
      <c r="N19" s="640"/>
      <c r="O19" s="640"/>
      <c r="P19" s="640"/>
      <c r="Q19" s="640"/>
      <c r="Y19" s="309"/>
      <c r="Z19" s="305"/>
      <c r="AE19" s="309"/>
      <c r="AF19" s="305"/>
      <c r="AH19" s="309"/>
      <c r="AI19" s="516"/>
      <c r="AO19" s="524"/>
      <c r="AU19" s="524"/>
      <c r="AX19" s="524"/>
    </row>
    <row r="20" spans="1:50" x14ac:dyDescent="0.2">
      <c r="A20" s="639"/>
      <c r="B20" s="640"/>
      <c r="C20" s="640"/>
      <c r="D20" s="640"/>
      <c r="E20" s="640"/>
      <c r="F20" s="640"/>
      <c r="G20" s="640"/>
      <c r="H20" s="640"/>
      <c r="I20" s="640"/>
      <c r="J20" s="640"/>
      <c r="K20" s="640"/>
      <c r="L20" s="640"/>
      <c r="M20" s="640"/>
      <c r="N20" s="640"/>
      <c r="O20" s="640"/>
      <c r="P20" s="640"/>
      <c r="Q20" s="640"/>
      <c r="R20" s="294"/>
      <c r="S20" s="296"/>
      <c r="T20" s="296"/>
      <c r="U20" s="296"/>
      <c r="V20" s="296"/>
      <c r="W20" s="296"/>
      <c r="X20" s="296"/>
      <c r="Y20" s="311"/>
      <c r="Z20" s="306"/>
      <c r="AA20" s="296"/>
      <c r="AB20" s="296"/>
      <c r="AC20" s="296"/>
      <c r="AD20" s="296"/>
      <c r="AE20" s="311"/>
      <c r="AF20" s="306"/>
      <c r="AG20" s="296"/>
      <c r="AH20" s="311"/>
      <c r="AI20" s="517"/>
      <c r="AJ20" s="518"/>
      <c r="AK20" s="518"/>
      <c r="AL20" s="518"/>
      <c r="AM20" s="518"/>
      <c r="AN20" s="518"/>
      <c r="AO20" s="525"/>
      <c r="AP20" s="518"/>
      <c r="AQ20" s="518"/>
      <c r="AR20" s="518"/>
      <c r="AS20" s="518"/>
      <c r="AT20" s="518"/>
      <c r="AU20" s="525"/>
      <c r="AV20" s="518"/>
      <c r="AW20" s="518"/>
      <c r="AX20" s="525"/>
    </row>
    <row r="21" spans="1:50" x14ac:dyDescent="0.2">
      <c r="A21" s="639"/>
      <c r="B21" s="640"/>
      <c r="C21" s="640"/>
      <c r="D21" s="640"/>
      <c r="E21" s="640"/>
      <c r="F21" s="640"/>
      <c r="G21" s="640"/>
      <c r="H21" s="640"/>
      <c r="I21" s="640"/>
      <c r="J21" s="640"/>
      <c r="K21" s="640"/>
      <c r="L21" s="640"/>
      <c r="M21" s="640"/>
      <c r="N21" s="640"/>
      <c r="O21" s="640"/>
      <c r="P21" s="640"/>
      <c r="Q21" s="640"/>
      <c r="Y21" s="309"/>
      <c r="Z21" s="305"/>
      <c r="AE21" s="309"/>
      <c r="AF21" s="305"/>
      <c r="AH21" s="309"/>
      <c r="AI21" s="516"/>
      <c r="AO21" s="524"/>
      <c r="AU21" s="524"/>
      <c r="AX21" s="524"/>
    </row>
    <row r="22" spans="1:50" x14ac:dyDescent="0.2">
      <c r="A22" s="639"/>
      <c r="B22" s="640"/>
      <c r="C22" s="640"/>
      <c r="D22" s="640"/>
      <c r="E22" s="640"/>
      <c r="F22" s="640"/>
      <c r="G22" s="640"/>
      <c r="H22" s="640"/>
      <c r="I22" s="640"/>
      <c r="J22" s="640"/>
      <c r="K22" s="640"/>
      <c r="L22" s="640"/>
      <c r="M22" s="640"/>
      <c r="N22" s="640"/>
      <c r="O22" s="640"/>
      <c r="P22" s="640"/>
      <c r="Q22" s="640"/>
      <c r="R22" s="294"/>
      <c r="S22" s="296"/>
      <c r="T22" s="296"/>
      <c r="U22" s="296"/>
      <c r="V22" s="296"/>
      <c r="W22" s="296"/>
      <c r="X22" s="296"/>
      <c r="Y22" s="311"/>
      <c r="Z22" s="306"/>
      <c r="AA22" s="296"/>
      <c r="AB22" s="296"/>
      <c r="AC22" s="296"/>
      <c r="AD22" s="296"/>
      <c r="AE22" s="311"/>
      <c r="AF22" s="306"/>
      <c r="AG22" s="296"/>
      <c r="AH22" s="311"/>
      <c r="AI22" s="516"/>
      <c r="AO22" s="524"/>
      <c r="AU22" s="524"/>
      <c r="AX22" s="524"/>
    </row>
    <row r="23" spans="1:50" x14ac:dyDescent="0.2">
      <c r="A23" s="639"/>
      <c r="B23" s="640"/>
      <c r="C23" s="640"/>
      <c r="D23" s="640"/>
      <c r="E23" s="640"/>
      <c r="F23" s="640"/>
      <c r="G23" s="640"/>
      <c r="H23" s="640"/>
      <c r="I23" s="640"/>
      <c r="J23" s="640"/>
      <c r="K23" s="640"/>
      <c r="L23" s="640"/>
      <c r="M23" s="640"/>
      <c r="N23" s="640"/>
      <c r="O23" s="640"/>
      <c r="P23" s="640"/>
      <c r="Q23" s="640"/>
      <c r="Y23" s="309"/>
      <c r="Z23" s="305"/>
      <c r="AE23" s="309"/>
      <c r="AF23" s="305"/>
      <c r="AH23" s="309"/>
      <c r="AI23" s="516"/>
      <c r="AO23" s="524"/>
      <c r="AU23" s="524"/>
      <c r="AX23" s="524"/>
    </row>
    <row r="24" spans="1:50" x14ac:dyDescent="0.2">
      <c r="A24" s="639"/>
      <c r="B24" s="640"/>
      <c r="C24" s="640"/>
      <c r="D24" s="640"/>
      <c r="E24" s="640"/>
      <c r="F24" s="640"/>
      <c r="G24" s="640"/>
      <c r="H24" s="640"/>
      <c r="I24" s="640"/>
      <c r="J24" s="640"/>
      <c r="K24" s="640"/>
      <c r="L24" s="640"/>
      <c r="M24" s="640"/>
      <c r="N24" s="640"/>
      <c r="O24" s="640"/>
      <c r="P24" s="640"/>
      <c r="Q24" s="640"/>
      <c r="R24" s="294"/>
      <c r="S24" s="296"/>
      <c r="T24" s="296"/>
      <c r="U24" s="296"/>
      <c r="V24" s="296"/>
      <c r="W24" s="296"/>
      <c r="X24" s="296"/>
      <c r="Y24" s="311"/>
      <c r="Z24" s="306"/>
      <c r="AA24" s="296"/>
      <c r="AB24" s="296"/>
      <c r="AC24" s="296"/>
      <c r="AD24" s="296"/>
      <c r="AE24" s="311"/>
      <c r="AF24" s="306"/>
      <c r="AG24" s="296"/>
      <c r="AH24" s="311"/>
      <c r="AI24" s="517"/>
      <c r="AJ24" s="518"/>
      <c r="AK24" s="518"/>
      <c r="AL24" s="518"/>
      <c r="AM24" s="518"/>
      <c r="AN24" s="518"/>
      <c r="AO24" s="525"/>
      <c r="AP24" s="518"/>
      <c r="AQ24" s="518"/>
      <c r="AR24" s="518"/>
      <c r="AS24" s="518"/>
      <c r="AT24" s="518"/>
      <c r="AU24" s="525"/>
      <c r="AV24" s="518"/>
      <c r="AW24" s="518"/>
      <c r="AX24" s="525"/>
    </row>
    <row r="25" spans="1:50" x14ac:dyDescent="0.2">
      <c r="A25" s="639"/>
      <c r="B25" s="640"/>
      <c r="C25" s="640"/>
      <c r="D25" s="640"/>
      <c r="E25" s="640"/>
      <c r="F25" s="640"/>
      <c r="G25" s="640"/>
      <c r="H25" s="640"/>
      <c r="I25" s="640"/>
      <c r="J25" s="640"/>
      <c r="K25" s="640"/>
      <c r="L25" s="640"/>
      <c r="M25" s="640"/>
      <c r="N25" s="640"/>
      <c r="O25" s="640"/>
      <c r="P25" s="640"/>
      <c r="Q25" s="640"/>
      <c r="Y25" s="309"/>
      <c r="Z25" s="305"/>
      <c r="AE25" s="309"/>
      <c r="AF25" s="305"/>
      <c r="AH25" s="309"/>
      <c r="AI25" s="516"/>
      <c r="AO25" s="524"/>
      <c r="AU25" s="524"/>
      <c r="AX25" s="524"/>
    </row>
    <row r="26" spans="1:50" x14ac:dyDescent="0.2">
      <c r="A26" s="639"/>
      <c r="B26" s="640"/>
      <c r="C26" s="640"/>
      <c r="D26" s="640"/>
      <c r="E26" s="640"/>
      <c r="F26" s="640"/>
      <c r="G26" s="640"/>
      <c r="H26" s="640"/>
      <c r="I26" s="640"/>
      <c r="J26" s="640"/>
      <c r="K26" s="640"/>
      <c r="L26" s="640"/>
      <c r="M26" s="640"/>
      <c r="N26" s="640"/>
      <c r="O26" s="640"/>
      <c r="P26" s="640"/>
      <c r="Q26" s="640"/>
      <c r="R26" s="294"/>
      <c r="S26" s="296"/>
      <c r="T26" s="296"/>
      <c r="U26" s="296"/>
      <c r="V26" s="296"/>
      <c r="W26" s="296"/>
      <c r="X26" s="296"/>
      <c r="Y26" s="311"/>
      <c r="Z26" s="306"/>
      <c r="AA26" s="296"/>
      <c r="AB26" s="296"/>
      <c r="AC26" s="296"/>
      <c r="AD26" s="296"/>
      <c r="AE26" s="311"/>
      <c r="AF26" s="306"/>
      <c r="AG26" s="296"/>
      <c r="AH26" s="311"/>
      <c r="AI26" s="516"/>
      <c r="AO26" s="524"/>
      <c r="AU26" s="524"/>
      <c r="AX26" s="524"/>
    </row>
    <row r="27" spans="1:50" x14ac:dyDescent="0.2">
      <c r="A27" s="639"/>
      <c r="B27" s="640"/>
      <c r="C27" s="640"/>
      <c r="D27" s="640"/>
      <c r="E27" s="640"/>
      <c r="F27" s="640"/>
      <c r="G27" s="640"/>
      <c r="H27" s="640"/>
      <c r="I27" s="640"/>
      <c r="J27" s="640"/>
      <c r="K27" s="640"/>
      <c r="L27" s="640"/>
      <c r="M27" s="640"/>
      <c r="N27" s="640"/>
      <c r="O27" s="640"/>
      <c r="P27" s="640"/>
      <c r="Q27" s="640"/>
      <c r="Y27" s="309"/>
      <c r="Z27" s="305"/>
      <c r="AE27" s="309"/>
      <c r="AF27" s="305"/>
      <c r="AH27" s="309"/>
      <c r="AI27" s="516"/>
      <c r="AO27" s="524"/>
      <c r="AU27" s="524"/>
      <c r="AX27" s="524"/>
    </row>
    <row r="28" spans="1:50" x14ac:dyDescent="0.2">
      <c r="A28" s="639"/>
      <c r="B28" s="640"/>
      <c r="C28" s="640"/>
      <c r="D28" s="640"/>
      <c r="E28" s="640"/>
      <c r="F28" s="640"/>
      <c r="G28" s="640"/>
      <c r="H28" s="640"/>
      <c r="I28" s="640"/>
      <c r="J28" s="640"/>
      <c r="K28" s="640"/>
      <c r="L28" s="640"/>
      <c r="M28" s="640"/>
      <c r="N28" s="640"/>
      <c r="O28" s="640"/>
      <c r="P28" s="640"/>
      <c r="Q28" s="640"/>
      <c r="R28" s="294"/>
      <c r="S28" s="296"/>
      <c r="T28" s="296"/>
      <c r="U28" s="296"/>
      <c r="V28" s="296"/>
      <c r="W28" s="296"/>
      <c r="X28" s="296"/>
      <c r="Y28" s="311"/>
      <c r="Z28" s="306"/>
      <c r="AA28" s="296"/>
      <c r="AB28" s="296"/>
      <c r="AC28" s="296"/>
      <c r="AD28" s="296"/>
      <c r="AE28" s="311"/>
      <c r="AF28" s="306"/>
      <c r="AG28" s="296"/>
      <c r="AH28" s="311"/>
      <c r="AI28" s="517"/>
      <c r="AJ28" s="518"/>
      <c r="AK28" s="518"/>
      <c r="AL28" s="518"/>
      <c r="AM28" s="518"/>
      <c r="AN28" s="518"/>
      <c r="AO28" s="525"/>
      <c r="AP28" s="518"/>
      <c r="AQ28" s="527"/>
      <c r="AR28" s="527"/>
      <c r="AS28" s="527"/>
      <c r="AT28" s="518"/>
      <c r="AU28" s="525"/>
      <c r="AV28" s="518"/>
      <c r="AW28" s="518"/>
      <c r="AX28" s="525"/>
    </row>
    <row r="29" spans="1:50" x14ac:dyDescent="0.2">
      <c r="A29" s="639"/>
      <c r="B29" s="640"/>
      <c r="C29" s="640"/>
      <c r="D29" s="640"/>
      <c r="E29" s="640"/>
      <c r="F29" s="640"/>
      <c r="G29" s="640"/>
      <c r="H29" s="640"/>
      <c r="I29" s="640"/>
      <c r="J29" s="640"/>
      <c r="K29" s="640"/>
      <c r="L29" s="640"/>
      <c r="M29" s="640"/>
      <c r="N29" s="640"/>
      <c r="O29" s="640"/>
      <c r="P29" s="640"/>
      <c r="Q29" s="640"/>
      <c r="Y29" s="309"/>
      <c r="Z29" s="305"/>
      <c r="AE29" s="309"/>
      <c r="AF29" s="305"/>
      <c r="AH29" s="309"/>
      <c r="AI29" s="516"/>
      <c r="AO29" s="524"/>
      <c r="AU29" s="524"/>
      <c r="AX29" s="524"/>
    </row>
    <row r="30" spans="1:50" x14ac:dyDescent="0.2">
      <c r="A30" s="639"/>
      <c r="B30" s="640"/>
      <c r="C30" s="640"/>
      <c r="D30" s="640"/>
      <c r="E30" s="640"/>
      <c r="F30" s="640"/>
      <c r="G30" s="640"/>
      <c r="H30" s="640"/>
      <c r="I30" s="640"/>
      <c r="J30" s="640"/>
      <c r="K30" s="640"/>
      <c r="L30" s="640"/>
      <c r="M30" s="640"/>
      <c r="N30" s="640"/>
      <c r="O30" s="640"/>
      <c r="P30" s="640"/>
      <c r="Q30" s="640"/>
      <c r="R30" s="294"/>
      <c r="S30" s="296"/>
      <c r="T30" s="296"/>
      <c r="U30" s="296"/>
      <c r="V30" s="296"/>
      <c r="W30" s="296"/>
      <c r="X30" s="296"/>
      <c r="Y30" s="311"/>
      <c r="Z30" s="306"/>
      <c r="AA30" s="296"/>
      <c r="AB30" s="296"/>
      <c r="AC30" s="296"/>
      <c r="AD30" s="296"/>
      <c r="AE30" s="311"/>
      <c r="AF30" s="306"/>
      <c r="AG30" s="296"/>
      <c r="AH30" s="311"/>
      <c r="AI30" s="516"/>
      <c r="AO30" s="524"/>
      <c r="AU30" s="524"/>
      <c r="AX30" s="524"/>
    </row>
    <row r="31" spans="1:50" x14ac:dyDescent="0.2">
      <c r="A31" s="639"/>
      <c r="B31" s="640"/>
      <c r="C31" s="640"/>
      <c r="D31" s="640"/>
      <c r="E31" s="640"/>
      <c r="F31" s="640"/>
      <c r="G31" s="640"/>
      <c r="H31" s="640"/>
      <c r="I31" s="640"/>
      <c r="J31" s="640"/>
      <c r="K31" s="640"/>
      <c r="L31" s="640"/>
      <c r="M31" s="640"/>
      <c r="N31" s="640"/>
      <c r="O31" s="640"/>
      <c r="P31" s="640"/>
      <c r="Q31" s="640"/>
      <c r="Y31" s="309"/>
      <c r="Z31" s="305"/>
      <c r="AE31" s="309"/>
      <c r="AF31" s="305"/>
      <c r="AH31" s="309"/>
      <c r="AI31" s="516"/>
      <c r="AO31" s="524"/>
      <c r="AU31" s="524"/>
      <c r="AX31" s="524"/>
    </row>
    <row r="32" spans="1:50" ht="13.5" thickBot="1" x14ac:dyDescent="0.25">
      <c r="A32" s="651"/>
      <c r="B32" s="652"/>
      <c r="C32" s="652"/>
      <c r="D32" s="652"/>
      <c r="E32" s="652"/>
      <c r="F32" s="652"/>
      <c r="G32" s="652"/>
      <c r="H32" s="652"/>
      <c r="I32" s="652"/>
      <c r="J32" s="652"/>
      <c r="K32" s="652"/>
      <c r="L32" s="652"/>
      <c r="M32" s="652"/>
      <c r="N32" s="652"/>
      <c r="O32" s="652"/>
      <c r="P32" s="652"/>
      <c r="Q32" s="652"/>
      <c r="S32" s="302"/>
      <c r="T32" s="302"/>
      <c r="U32" s="302"/>
      <c r="V32" s="302"/>
      <c r="W32" s="302"/>
      <c r="X32" s="302"/>
      <c r="Y32" s="312"/>
      <c r="Z32" s="307"/>
      <c r="AA32" s="302"/>
      <c r="AB32" s="302"/>
      <c r="AC32" s="302"/>
      <c r="AD32" s="302"/>
      <c r="AE32" s="312"/>
      <c r="AF32" s="307"/>
      <c r="AG32" s="302"/>
      <c r="AH32" s="312"/>
      <c r="AI32" s="519"/>
      <c r="AJ32" s="520"/>
      <c r="AK32" s="520"/>
      <c r="AL32" s="520"/>
      <c r="AM32" s="520"/>
      <c r="AN32" s="520"/>
      <c r="AO32" s="526"/>
      <c r="AP32" s="520"/>
      <c r="AQ32" s="520"/>
      <c r="AR32" s="520"/>
      <c r="AS32" s="520"/>
      <c r="AT32" s="520"/>
      <c r="AU32" s="526"/>
      <c r="AV32" s="520"/>
      <c r="AW32" s="520"/>
      <c r="AX32" s="526"/>
    </row>
    <row r="33" spans="1:50" x14ac:dyDescent="0.2">
      <c r="A33" s="638"/>
      <c r="B33" s="640"/>
      <c r="C33" s="640"/>
      <c r="D33" s="640"/>
      <c r="E33" s="640"/>
      <c r="F33" s="640"/>
      <c r="G33" s="640"/>
      <c r="H33" s="640"/>
      <c r="I33" s="640"/>
      <c r="J33" s="640"/>
      <c r="K33" s="640"/>
      <c r="L33" s="640"/>
      <c r="M33" s="640"/>
      <c r="N33" s="640"/>
      <c r="O33" s="640"/>
      <c r="P33" s="640"/>
      <c r="Q33" s="640"/>
      <c r="Y33" s="309"/>
      <c r="Z33" s="305"/>
      <c r="AE33" s="309"/>
      <c r="AF33" s="305"/>
      <c r="AH33" s="309"/>
      <c r="AI33" s="516"/>
      <c r="AO33" s="524"/>
      <c r="AU33" s="524"/>
      <c r="AX33" s="524"/>
    </row>
    <row r="34" spans="1:50" x14ac:dyDescent="0.2">
      <c r="A34" s="639"/>
      <c r="B34" s="640"/>
      <c r="C34" s="640"/>
      <c r="D34" s="640"/>
      <c r="E34" s="640"/>
      <c r="F34" s="640"/>
      <c r="G34" s="640"/>
      <c r="H34" s="640"/>
      <c r="I34" s="640"/>
      <c r="J34" s="640"/>
      <c r="K34" s="640"/>
      <c r="L34" s="640"/>
      <c r="M34" s="640"/>
      <c r="N34" s="640"/>
      <c r="O34" s="640"/>
      <c r="P34" s="640"/>
      <c r="Q34" s="640"/>
      <c r="S34" s="295"/>
      <c r="T34" s="295"/>
      <c r="U34" s="295"/>
      <c r="V34" s="295"/>
      <c r="W34" s="295"/>
      <c r="X34" s="295"/>
      <c r="Y34" s="310"/>
      <c r="Z34" s="305"/>
      <c r="AA34" s="295"/>
      <c r="AB34" s="295"/>
      <c r="AC34" s="295"/>
      <c r="AD34" s="295"/>
      <c r="AE34" s="310"/>
      <c r="AF34" s="305"/>
      <c r="AG34" s="295"/>
      <c r="AH34" s="310"/>
      <c r="AI34" s="516"/>
      <c r="AO34" s="524"/>
      <c r="AU34" s="524"/>
      <c r="AX34" s="524"/>
    </row>
    <row r="35" spans="1:50" x14ac:dyDescent="0.2">
      <c r="A35" s="639"/>
      <c r="B35" s="640"/>
      <c r="C35" s="640"/>
      <c r="D35" s="640"/>
      <c r="E35" s="640"/>
      <c r="F35" s="640"/>
      <c r="G35" s="640"/>
      <c r="H35" s="640"/>
      <c r="I35" s="640"/>
      <c r="J35" s="640"/>
      <c r="K35" s="640"/>
      <c r="L35" s="640"/>
      <c r="M35" s="640"/>
      <c r="N35" s="640"/>
      <c r="O35" s="640"/>
      <c r="P35" s="640"/>
      <c r="Q35" s="640"/>
      <c r="S35" s="296"/>
      <c r="T35" s="296"/>
      <c r="U35" s="296"/>
      <c r="V35" s="296"/>
      <c r="W35" s="296"/>
      <c r="X35" s="296"/>
      <c r="Y35" s="311"/>
      <c r="Z35" s="306"/>
      <c r="AA35" s="296"/>
      <c r="AB35" s="296"/>
      <c r="AC35" s="296"/>
      <c r="AD35" s="296"/>
      <c r="AE35" s="311"/>
      <c r="AF35" s="306"/>
      <c r="AG35" s="296"/>
      <c r="AH35" s="311"/>
      <c r="AI35" s="516"/>
      <c r="AO35" s="524"/>
      <c r="AU35" s="524"/>
      <c r="AX35" s="524"/>
    </row>
    <row r="36" spans="1:50" x14ac:dyDescent="0.2">
      <c r="A36" s="639"/>
      <c r="B36" s="640"/>
      <c r="C36" s="640"/>
      <c r="D36" s="640"/>
      <c r="E36" s="640"/>
      <c r="F36" s="640"/>
      <c r="G36" s="640"/>
      <c r="H36" s="640"/>
      <c r="I36" s="640"/>
      <c r="J36" s="640"/>
      <c r="K36" s="640"/>
      <c r="L36" s="640"/>
      <c r="M36" s="640"/>
      <c r="N36" s="640"/>
      <c r="O36" s="640"/>
      <c r="P36" s="640"/>
      <c r="Q36" s="640"/>
      <c r="Y36" s="309"/>
      <c r="Z36" s="305"/>
      <c r="AE36" s="309"/>
      <c r="AF36" s="305"/>
      <c r="AH36" s="309"/>
      <c r="AI36" s="516"/>
      <c r="AO36" s="524"/>
      <c r="AU36" s="524"/>
      <c r="AX36" s="524"/>
    </row>
    <row r="37" spans="1:50" x14ac:dyDescent="0.2">
      <c r="A37" s="639"/>
      <c r="B37" s="640"/>
      <c r="C37" s="640"/>
      <c r="D37" s="640"/>
      <c r="E37" s="640"/>
      <c r="F37" s="640"/>
      <c r="G37" s="640"/>
      <c r="H37" s="640"/>
      <c r="I37" s="640"/>
      <c r="J37" s="640"/>
      <c r="K37" s="640"/>
      <c r="L37" s="640"/>
      <c r="M37" s="640"/>
      <c r="N37" s="640"/>
      <c r="O37" s="640"/>
      <c r="P37" s="640"/>
      <c r="Q37" s="640"/>
      <c r="R37" s="294"/>
      <c r="S37" s="296"/>
      <c r="T37" s="296"/>
      <c r="U37" s="296"/>
      <c r="V37" s="296"/>
      <c r="W37" s="296"/>
      <c r="X37" s="296"/>
      <c r="Y37" s="311"/>
      <c r="Z37" s="306"/>
      <c r="AA37" s="296"/>
      <c r="AB37" s="296"/>
      <c r="AC37" s="296"/>
      <c r="AD37" s="296"/>
      <c r="AE37" s="311"/>
      <c r="AF37" s="306"/>
      <c r="AG37" s="296"/>
      <c r="AH37" s="311"/>
      <c r="AI37" s="527"/>
      <c r="AJ37" s="518"/>
      <c r="AK37" s="518"/>
      <c r="AL37" s="518"/>
      <c r="AM37" s="527"/>
      <c r="AN37" s="518"/>
      <c r="AO37" s="525"/>
      <c r="AP37" s="518"/>
      <c r="AQ37" s="518"/>
      <c r="AR37" s="527"/>
      <c r="AS37" s="527"/>
      <c r="AT37" s="518"/>
      <c r="AU37" s="525"/>
      <c r="AV37" s="518"/>
      <c r="AW37" s="518"/>
      <c r="AX37" s="525"/>
    </row>
    <row r="38" spans="1:50" x14ac:dyDescent="0.2">
      <c r="A38" s="639"/>
      <c r="B38" s="640"/>
      <c r="C38" s="640"/>
      <c r="D38" s="640"/>
      <c r="E38" s="640"/>
      <c r="F38" s="640"/>
      <c r="G38" s="640"/>
      <c r="H38" s="640"/>
      <c r="I38" s="640"/>
      <c r="J38" s="640"/>
      <c r="K38" s="640"/>
      <c r="L38" s="640"/>
      <c r="M38" s="640"/>
      <c r="N38" s="640"/>
      <c r="O38" s="640"/>
      <c r="P38" s="640"/>
      <c r="Q38" s="640"/>
      <c r="Y38" s="309"/>
      <c r="Z38" s="305"/>
      <c r="AE38" s="309"/>
      <c r="AF38" s="305"/>
      <c r="AH38" s="309"/>
      <c r="AI38" s="516"/>
      <c r="AO38" s="524"/>
      <c r="AU38" s="524"/>
      <c r="AX38" s="524"/>
    </row>
    <row r="39" spans="1:50" x14ac:dyDescent="0.2">
      <c r="A39" s="649"/>
      <c r="B39" s="650"/>
      <c r="C39" s="650"/>
      <c r="D39" s="650"/>
      <c r="E39" s="650"/>
      <c r="F39" s="650"/>
      <c r="G39" s="650"/>
      <c r="H39" s="650"/>
      <c r="I39" s="650"/>
      <c r="J39" s="650"/>
      <c r="K39" s="650"/>
      <c r="L39" s="650"/>
      <c r="M39" s="650"/>
      <c r="N39" s="650"/>
      <c r="O39" s="650"/>
      <c r="P39" s="650"/>
      <c r="Q39" s="650"/>
      <c r="S39" s="296"/>
      <c r="T39" s="296"/>
      <c r="U39" s="296"/>
      <c r="V39" s="296"/>
      <c r="W39" s="296"/>
      <c r="X39" s="296"/>
      <c r="Y39" s="311"/>
      <c r="Z39" s="306"/>
      <c r="AA39" s="296"/>
      <c r="AB39" s="296"/>
      <c r="AC39" s="296"/>
      <c r="AD39" s="296"/>
      <c r="AE39" s="311"/>
      <c r="AF39" s="306"/>
      <c r="AG39" s="296"/>
      <c r="AH39" s="311"/>
      <c r="AI39" s="516"/>
      <c r="AO39" s="524"/>
      <c r="AU39" s="524"/>
      <c r="AX39" s="524"/>
    </row>
    <row r="40" spans="1:50" x14ac:dyDescent="0.2">
      <c r="A40" s="639"/>
      <c r="B40" s="640"/>
      <c r="C40" s="640"/>
      <c r="D40" s="640"/>
      <c r="E40" s="640"/>
      <c r="F40" s="640"/>
      <c r="G40" s="640"/>
      <c r="H40" s="640"/>
      <c r="I40" s="640"/>
      <c r="J40" s="640"/>
      <c r="K40" s="640"/>
      <c r="L40" s="640"/>
      <c r="M40" s="640"/>
      <c r="N40" s="640"/>
      <c r="O40" s="640"/>
      <c r="P40" s="640"/>
      <c r="Q40" s="640"/>
      <c r="Y40" s="309"/>
      <c r="Z40" s="305"/>
      <c r="AE40" s="309"/>
      <c r="AF40" s="305"/>
      <c r="AH40" s="309"/>
      <c r="AI40" s="516"/>
      <c r="AO40" s="524"/>
      <c r="AU40" s="524"/>
      <c r="AX40" s="524"/>
    </row>
    <row r="41" spans="1:50" x14ac:dyDescent="0.2">
      <c r="A41" s="639"/>
      <c r="B41" s="640"/>
      <c r="C41" s="640"/>
      <c r="D41" s="640"/>
      <c r="E41" s="640"/>
      <c r="F41" s="640"/>
      <c r="G41" s="640"/>
      <c r="H41" s="640"/>
      <c r="I41" s="640"/>
      <c r="J41" s="640"/>
      <c r="K41" s="640"/>
      <c r="L41" s="640"/>
      <c r="M41" s="640"/>
      <c r="N41" s="640"/>
      <c r="O41" s="640"/>
      <c r="P41" s="640"/>
      <c r="Q41" s="640"/>
      <c r="R41" s="294"/>
      <c r="S41" s="296"/>
      <c r="T41" s="296"/>
      <c r="U41" s="296"/>
      <c r="V41" s="296"/>
      <c r="W41" s="296"/>
      <c r="X41" s="296"/>
      <c r="Y41" s="311"/>
      <c r="Z41" s="306"/>
      <c r="AA41" s="296"/>
      <c r="AB41" s="296"/>
      <c r="AC41" s="296"/>
      <c r="AD41" s="296"/>
      <c r="AE41" s="311"/>
      <c r="AF41" s="306"/>
      <c r="AG41" s="296"/>
      <c r="AH41" s="311"/>
      <c r="AI41" s="517"/>
      <c r="AJ41" s="518"/>
      <c r="AK41" s="518"/>
      <c r="AL41" s="518"/>
      <c r="AM41" s="527"/>
      <c r="AN41" s="518"/>
      <c r="AO41" s="525"/>
      <c r="AP41" s="518"/>
      <c r="AQ41" s="518"/>
      <c r="AR41" s="527"/>
      <c r="AS41" s="527"/>
      <c r="AT41" s="518"/>
      <c r="AU41" s="525"/>
      <c r="AV41" s="518"/>
      <c r="AW41" s="518"/>
      <c r="AX41" s="525"/>
    </row>
    <row r="42" spans="1:50" x14ac:dyDescent="0.2">
      <c r="A42" s="639"/>
      <c r="B42" s="640"/>
      <c r="C42" s="640"/>
      <c r="D42" s="640"/>
      <c r="E42" s="640"/>
      <c r="F42" s="640"/>
      <c r="G42" s="640"/>
      <c r="H42" s="640"/>
      <c r="I42" s="640"/>
      <c r="J42" s="640"/>
      <c r="K42" s="640"/>
      <c r="L42" s="640"/>
      <c r="M42" s="640"/>
      <c r="N42" s="640"/>
      <c r="O42" s="640"/>
      <c r="P42" s="640"/>
      <c r="Q42" s="640"/>
      <c r="Y42" s="309"/>
      <c r="Z42" s="305"/>
      <c r="AE42" s="309"/>
      <c r="AF42" s="305"/>
      <c r="AH42" s="309"/>
      <c r="AI42" s="516"/>
      <c r="AO42" s="524"/>
      <c r="AU42" s="524"/>
      <c r="AX42" s="524"/>
    </row>
    <row r="43" spans="1:50" x14ac:dyDescent="0.2">
      <c r="A43" s="639"/>
      <c r="B43" s="640"/>
      <c r="C43" s="640"/>
      <c r="D43" s="640"/>
      <c r="E43" s="640"/>
      <c r="F43" s="640"/>
      <c r="G43" s="640"/>
      <c r="H43" s="640"/>
      <c r="I43" s="640"/>
      <c r="J43" s="640"/>
      <c r="K43" s="640"/>
      <c r="L43" s="640"/>
      <c r="M43" s="640"/>
      <c r="N43" s="640"/>
      <c r="O43" s="640"/>
      <c r="P43" s="640"/>
      <c r="Q43" s="640"/>
      <c r="R43" s="294"/>
      <c r="S43" s="296"/>
      <c r="T43" s="296"/>
      <c r="U43" s="296"/>
      <c r="V43" s="296"/>
      <c r="W43" s="296"/>
      <c r="X43" s="296"/>
      <c r="Y43" s="311"/>
      <c r="Z43" s="306"/>
      <c r="AA43" s="296"/>
      <c r="AB43" s="296"/>
      <c r="AC43" s="296"/>
      <c r="AD43" s="296"/>
      <c r="AE43" s="311"/>
      <c r="AF43" s="306"/>
      <c r="AG43" s="296"/>
      <c r="AH43" s="311"/>
      <c r="AI43" s="516"/>
      <c r="AO43" s="524"/>
      <c r="AU43" s="524"/>
      <c r="AX43" s="524"/>
    </row>
    <row r="44" spans="1:50" x14ac:dyDescent="0.2">
      <c r="A44" s="639"/>
      <c r="B44" s="640"/>
      <c r="C44" s="640"/>
      <c r="D44" s="640"/>
      <c r="E44" s="640"/>
      <c r="F44" s="640"/>
      <c r="G44" s="640"/>
      <c r="H44" s="640"/>
      <c r="I44" s="640"/>
      <c r="J44" s="640"/>
      <c r="K44" s="640"/>
      <c r="L44" s="640"/>
      <c r="M44" s="640"/>
      <c r="N44" s="640"/>
      <c r="O44" s="640"/>
      <c r="P44" s="640"/>
      <c r="Q44" s="640"/>
      <c r="Y44" s="309"/>
      <c r="Z44" s="305"/>
      <c r="AE44" s="309"/>
      <c r="AF44" s="305"/>
      <c r="AH44" s="309"/>
      <c r="AI44" s="516"/>
      <c r="AO44" s="524"/>
      <c r="AU44" s="524"/>
      <c r="AX44" s="524"/>
    </row>
    <row r="45" spans="1:50" x14ac:dyDescent="0.2">
      <c r="A45" s="639"/>
      <c r="B45" s="640"/>
      <c r="C45" s="640"/>
      <c r="D45" s="640"/>
      <c r="E45" s="640"/>
      <c r="F45" s="640"/>
      <c r="G45" s="640"/>
      <c r="H45" s="640"/>
      <c r="I45" s="640"/>
      <c r="J45" s="640"/>
      <c r="K45" s="640"/>
      <c r="L45" s="640"/>
      <c r="M45" s="640"/>
      <c r="N45" s="640"/>
      <c r="O45" s="640"/>
      <c r="P45" s="640"/>
      <c r="Q45" s="640"/>
      <c r="R45" s="294"/>
      <c r="S45" s="296"/>
      <c r="T45" s="296"/>
      <c r="U45" s="296"/>
      <c r="V45" s="296"/>
      <c r="W45" s="296"/>
      <c r="X45" s="296"/>
      <c r="Y45" s="311"/>
      <c r="Z45" s="306"/>
      <c r="AA45" s="296"/>
      <c r="AB45" s="296"/>
      <c r="AC45" s="296"/>
      <c r="AD45" s="296"/>
      <c r="AE45" s="311"/>
      <c r="AF45" s="306"/>
      <c r="AG45" s="296"/>
      <c r="AH45" s="311"/>
      <c r="AI45" s="517"/>
      <c r="AJ45" s="518"/>
      <c r="AK45" s="518"/>
      <c r="AL45" s="518"/>
      <c r="AM45" s="527"/>
      <c r="AN45" s="518"/>
      <c r="AO45" s="525"/>
      <c r="AP45" s="518"/>
      <c r="AQ45" s="518"/>
      <c r="AR45" s="518"/>
      <c r="AS45" s="518"/>
      <c r="AT45" s="518"/>
      <c r="AU45" s="525"/>
      <c r="AV45" s="518"/>
      <c r="AW45" s="518"/>
      <c r="AX45" s="525"/>
    </row>
    <row r="46" spans="1:50" x14ac:dyDescent="0.2">
      <c r="A46" s="639"/>
      <c r="B46" s="640"/>
      <c r="C46" s="640"/>
      <c r="D46" s="640"/>
      <c r="E46" s="640"/>
      <c r="F46" s="640"/>
      <c r="G46" s="640"/>
      <c r="H46" s="640"/>
      <c r="I46" s="640"/>
      <c r="J46" s="640"/>
      <c r="K46" s="640"/>
      <c r="L46" s="640"/>
      <c r="M46" s="640"/>
      <c r="N46" s="640"/>
      <c r="O46" s="640"/>
      <c r="P46" s="640"/>
      <c r="Q46" s="640"/>
      <c r="Y46" s="309"/>
      <c r="Z46" s="305"/>
      <c r="AE46" s="309"/>
      <c r="AF46" s="305"/>
      <c r="AH46" s="309"/>
      <c r="AI46" s="516"/>
      <c r="AO46" s="524"/>
      <c r="AU46" s="524"/>
      <c r="AX46" s="524"/>
    </row>
    <row r="47" spans="1:50" x14ac:dyDescent="0.2">
      <c r="A47" s="639"/>
      <c r="B47" s="640"/>
      <c r="C47" s="640"/>
      <c r="D47" s="640"/>
      <c r="E47" s="640"/>
      <c r="F47" s="640"/>
      <c r="G47" s="640"/>
      <c r="H47" s="640"/>
      <c r="I47" s="640"/>
      <c r="J47" s="640"/>
      <c r="K47" s="640"/>
      <c r="L47" s="640"/>
      <c r="M47" s="640"/>
      <c r="N47" s="640"/>
      <c r="O47" s="640"/>
      <c r="P47" s="640"/>
      <c r="Q47" s="640"/>
      <c r="R47" s="294"/>
      <c r="S47" s="296"/>
      <c r="T47" s="296"/>
      <c r="U47" s="296"/>
      <c r="V47" s="296"/>
      <c r="W47" s="296"/>
      <c r="X47" s="296"/>
      <c r="Y47" s="311"/>
      <c r="Z47" s="306"/>
      <c r="AA47" s="296"/>
      <c r="AB47" s="296"/>
      <c r="AC47" s="296"/>
      <c r="AD47" s="296"/>
      <c r="AE47" s="311"/>
      <c r="AF47" s="306"/>
      <c r="AG47" s="296"/>
      <c r="AH47" s="311"/>
      <c r="AI47" s="516"/>
      <c r="AO47" s="524"/>
      <c r="AU47" s="524"/>
      <c r="AX47" s="524"/>
    </row>
    <row r="48" spans="1:50" x14ac:dyDescent="0.2">
      <c r="A48" s="639"/>
      <c r="B48" s="640"/>
      <c r="C48" s="640"/>
      <c r="D48" s="640"/>
      <c r="E48" s="640"/>
      <c r="F48" s="640"/>
      <c r="G48" s="640"/>
      <c r="H48" s="640"/>
      <c r="I48" s="640"/>
      <c r="J48" s="640"/>
      <c r="K48" s="640"/>
      <c r="L48" s="640"/>
      <c r="M48" s="640"/>
      <c r="N48" s="640"/>
      <c r="O48" s="640"/>
      <c r="P48" s="640"/>
      <c r="Q48" s="640"/>
      <c r="Y48" s="309"/>
      <c r="Z48" s="305"/>
      <c r="AE48" s="309"/>
      <c r="AF48" s="305"/>
      <c r="AH48" s="309"/>
      <c r="AI48" s="516"/>
      <c r="AO48" s="524"/>
      <c r="AU48" s="524"/>
      <c r="AX48" s="524"/>
    </row>
    <row r="49" spans="1:50" x14ac:dyDescent="0.2">
      <c r="A49" s="639"/>
      <c r="B49" s="640"/>
      <c r="C49" s="640"/>
      <c r="D49" s="640"/>
      <c r="E49" s="640"/>
      <c r="F49" s="640"/>
      <c r="G49" s="640"/>
      <c r="H49" s="640"/>
      <c r="I49" s="640"/>
      <c r="J49" s="640"/>
      <c r="K49" s="640"/>
      <c r="L49" s="640"/>
      <c r="M49" s="640"/>
      <c r="N49" s="640"/>
      <c r="O49" s="640"/>
      <c r="P49" s="640"/>
      <c r="Q49" s="640"/>
      <c r="R49" s="294"/>
      <c r="S49" s="296"/>
      <c r="T49" s="296"/>
      <c r="U49" s="296"/>
      <c r="V49" s="296"/>
      <c r="W49" s="296"/>
      <c r="X49" s="296"/>
      <c r="Y49" s="311"/>
      <c r="Z49" s="306"/>
      <c r="AA49" s="296"/>
      <c r="AB49" s="296"/>
      <c r="AC49" s="296"/>
      <c r="AD49" s="296"/>
      <c r="AE49" s="311"/>
      <c r="AF49" s="306"/>
      <c r="AG49" s="296"/>
      <c r="AH49" s="311"/>
      <c r="AI49" s="517"/>
      <c r="AJ49" s="518"/>
      <c r="AK49" s="518"/>
      <c r="AL49" s="518"/>
      <c r="AM49" s="527"/>
      <c r="AN49" s="518"/>
      <c r="AO49" s="525"/>
      <c r="AP49" s="518"/>
      <c r="AQ49" s="518"/>
      <c r="AR49" s="518"/>
      <c r="AS49" s="518"/>
      <c r="AT49" s="518"/>
      <c r="AU49" s="525"/>
      <c r="AV49" s="518"/>
      <c r="AW49" s="518"/>
      <c r="AX49" s="525"/>
    </row>
    <row r="50" spans="1:50" x14ac:dyDescent="0.2">
      <c r="A50" s="639"/>
      <c r="B50" s="640"/>
      <c r="C50" s="640"/>
      <c r="D50" s="640"/>
      <c r="E50" s="640"/>
      <c r="F50" s="640"/>
      <c r="G50" s="640"/>
      <c r="H50" s="640"/>
      <c r="I50" s="640"/>
      <c r="J50" s="640"/>
      <c r="K50" s="640"/>
      <c r="L50" s="640"/>
      <c r="M50" s="640"/>
      <c r="N50" s="640"/>
      <c r="O50" s="640"/>
      <c r="P50" s="640"/>
      <c r="Q50" s="640"/>
      <c r="Y50" s="309"/>
      <c r="Z50" s="305"/>
      <c r="AE50" s="309"/>
      <c r="AF50" s="305"/>
      <c r="AH50" s="309"/>
      <c r="AI50" s="516"/>
      <c r="AO50" s="524"/>
      <c r="AU50" s="524"/>
      <c r="AX50" s="524"/>
    </row>
    <row r="51" spans="1:50" x14ac:dyDescent="0.2">
      <c r="A51" s="639"/>
      <c r="B51" s="640"/>
      <c r="C51" s="640"/>
      <c r="D51" s="640"/>
      <c r="E51" s="640"/>
      <c r="F51" s="640"/>
      <c r="G51" s="640"/>
      <c r="H51" s="640"/>
      <c r="I51" s="640"/>
      <c r="J51" s="640"/>
      <c r="K51" s="640"/>
      <c r="L51" s="640"/>
      <c r="M51" s="640"/>
      <c r="N51" s="640"/>
      <c r="O51" s="640"/>
      <c r="P51" s="640"/>
      <c r="Q51" s="640"/>
      <c r="R51" s="294"/>
      <c r="S51" s="296"/>
      <c r="T51" s="296"/>
      <c r="U51" s="296"/>
      <c r="V51" s="296"/>
      <c r="W51" s="296"/>
      <c r="X51" s="296"/>
      <c r="Y51" s="311"/>
      <c r="Z51" s="306"/>
      <c r="AA51" s="296"/>
      <c r="AB51" s="296"/>
      <c r="AC51" s="296"/>
      <c r="AD51" s="296"/>
      <c r="AE51" s="311"/>
      <c r="AF51" s="306"/>
      <c r="AG51" s="296"/>
      <c r="AH51" s="311"/>
      <c r="AI51" s="516"/>
      <c r="AO51" s="524"/>
      <c r="AU51" s="524"/>
      <c r="AX51" s="524"/>
    </row>
    <row r="52" spans="1:50" x14ac:dyDescent="0.2">
      <c r="A52" s="639"/>
      <c r="B52" s="640"/>
      <c r="C52" s="640"/>
      <c r="D52" s="640"/>
      <c r="E52" s="640"/>
      <c r="F52" s="640"/>
      <c r="G52" s="640"/>
      <c r="H52" s="640"/>
      <c r="I52" s="640"/>
      <c r="J52" s="640"/>
      <c r="K52" s="640"/>
      <c r="L52" s="640"/>
      <c r="M52" s="640"/>
      <c r="N52" s="640"/>
      <c r="O52" s="640"/>
      <c r="P52" s="640"/>
      <c r="Q52" s="640"/>
      <c r="Y52" s="309"/>
      <c r="Z52" s="305"/>
      <c r="AE52" s="309"/>
      <c r="AF52" s="305"/>
      <c r="AH52" s="309"/>
      <c r="AI52" s="516"/>
      <c r="AO52" s="524"/>
      <c r="AU52" s="524"/>
      <c r="AX52" s="524"/>
    </row>
    <row r="53" spans="1:50" x14ac:dyDescent="0.2">
      <c r="A53" s="639"/>
      <c r="B53" s="640"/>
      <c r="C53" s="640"/>
      <c r="D53" s="640"/>
      <c r="E53" s="640"/>
      <c r="F53" s="640"/>
      <c r="G53" s="640"/>
      <c r="H53" s="640"/>
      <c r="I53" s="640"/>
      <c r="J53" s="640"/>
      <c r="K53" s="640"/>
      <c r="L53" s="640"/>
      <c r="M53" s="640"/>
      <c r="N53" s="640"/>
      <c r="O53" s="640"/>
      <c r="P53" s="640"/>
      <c r="Q53" s="640"/>
      <c r="R53" s="294"/>
      <c r="S53" s="296"/>
      <c r="T53" s="296"/>
      <c r="U53" s="296"/>
      <c r="V53" s="296"/>
      <c r="W53" s="296"/>
      <c r="X53" s="296"/>
      <c r="Y53" s="311"/>
      <c r="Z53" s="306"/>
      <c r="AA53" s="296"/>
      <c r="AB53" s="296"/>
      <c r="AC53" s="296"/>
      <c r="AD53" s="296"/>
      <c r="AE53" s="311"/>
      <c r="AF53" s="306"/>
      <c r="AG53" s="296"/>
      <c r="AH53" s="311"/>
      <c r="AI53" s="517"/>
      <c r="AJ53" s="518"/>
      <c r="AK53" s="518"/>
      <c r="AL53" s="518"/>
      <c r="AM53" s="518"/>
      <c r="AN53" s="518"/>
      <c r="AO53" s="525"/>
      <c r="AP53" s="518"/>
      <c r="AQ53" s="518"/>
      <c r="AR53" s="518"/>
      <c r="AS53" s="518"/>
      <c r="AT53" s="518"/>
      <c r="AU53" s="525"/>
      <c r="AV53" s="518"/>
      <c r="AW53" s="518"/>
      <c r="AX53" s="525"/>
    </row>
    <row r="54" spans="1:50" x14ac:dyDescent="0.2">
      <c r="A54" s="639"/>
      <c r="B54" s="640"/>
      <c r="C54" s="640"/>
      <c r="D54" s="640"/>
      <c r="E54" s="640"/>
      <c r="F54" s="640"/>
      <c r="G54" s="640"/>
      <c r="H54" s="640"/>
      <c r="I54" s="640"/>
      <c r="J54" s="640"/>
      <c r="K54" s="640"/>
      <c r="L54" s="640"/>
      <c r="M54" s="640"/>
      <c r="N54" s="640"/>
      <c r="O54" s="640"/>
      <c r="P54" s="640"/>
      <c r="Q54" s="640"/>
      <c r="Y54" s="309"/>
      <c r="Z54" s="305"/>
      <c r="AE54" s="309"/>
      <c r="AF54" s="305"/>
      <c r="AH54" s="309"/>
      <c r="AI54" s="516"/>
      <c r="AO54" s="524"/>
      <c r="AU54" s="524"/>
      <c r="AX54" s="524"/>
    </row>
    <row r="55" spans="1:50" x14ac:dyDescent="0.2">
      <c r="A55" s="639"/>
      <c r="B55" s="640"/>
      <c r="C55" s="640"/>
      <c r="D55" s="640"/>
      <c r="E55" s="640"/>
      <c r="F55" s="640"/>
      <c r="G55" s="640"/>
      <c r="H55" s="640"/>
      <c r="I55" s="640"/>
      <c r="J55" s="640"/>
      <c r="K55" s="640"/>
      <c r="L55" s="640"/>
      <c r="M55" s="640"/>
      <c r="N55" s="640"/>
      <c r="O55" s="640"/>
      <c r="P55" s="640"/>
      <c r="Q55" s="640"/>
      <c r="R55" s="294"/>
      <c r="S55" s="296"/>
      <c r="T55" s="296"/>
      <c r="U55" s="296"/>
      <c r="V55" s="296"/>
      <c r="W55" s="296"/>
      <c r="X55" s="296"/>
      <c r="Y55" s="311"/>
      <c r="Z55" s="306"/>
      <c r="AA55" s="296"/>
      <c r="AB55" s="296"/>
      <c r="AC55" s="296"/>
      <c r="AD55" s="296"/>
      <c r="AE55" s="311"/>
      <c r="AF55" s="306"/>
      <c r="AG55" s="296"/>
      <c r="AH55" s="311"/>
      <c r="AI55" s="516"/>
      <c r="AO55" s="524"/>
      <c r="AU55" s="524"/>
      <c r="AX55" s="524"/>
    </row>
    <row r="56" spans="1:50" x14ac:dyDescent="0.2">
      <c r="A56" s="639"/>
      <c r="B56" s="640"/>
      <c r="C56" s="640"/>
      <c r="D56" s="640"/>
      <c r="E56" s="640"/>
      <c r="F56" s="640"/>
      <c r="G56" s="640"/>
      <c r="H56" s="640"/>
      <c r="I56" s="640"/>
      <c r="J56" s="640"/>
      <c r="K56" s="640"/>
      <c r="L56" s="640"/>
      <c r="M56" s="640"/>
      <c r="N56" s="640"/>
      <c r="O56" s="640"/>
      <c r="P56" s="640"/>
      <c r="Q56" s="640"/>
      <c r="Y56" s="309"/>
      <c r="Z56" s="305"/>
      <c r="AE56" s="309"/>
      <c r="AF56" s="305"/>
      <c r="AH56" s="309"/>
      <c r="AI56" s="516"/>
      <c r="AO56" s="524"/>
      <c r="AU56" s="524"/>
      <c r="AX56" s="524"/>
    </row>
    <row r="57" spans="1:50" x14ac:dyDescent="0.2">
      <c r="A57" s="639"/>
      <c r="B57" s="640"/>
      <c r="C57" s="640"/>
      <c r="D57" s="640"/>
      <c r="E57" s="640"/>
      <c r="F57" s="640"/>
      <c r="G57" s="640"/>
      <c r="H57" s="640"/>
      <c r="I57" s="640"/>
      <c r="J57" s="640"/>
      <c r="K57" s="640"/>
      <c r="L57" s="640"/>
      <c r="M57" s="640"/>
      <c r="N57" s="640"/>
      <c r="O57" s="640"/>
      <c r="P57" s="640"/>
      <c r="Q57" s="640"/>
      <c r="R57" s="294"/>
      <c r="S57" s="296"/>
      <c r="T57" s="296"/>
      <c r="U57" s="296"/>
      <c r="V57" s="296"/>
      <c r="W57" s="296"/>
      <c r="X57" s="296"/>
      <c r="Y57" s="311"/>
      <c r="Z57" s="306"/>
      <c r="AA57" s="296"/>
      <c r="AB57" s="296"/>
      <c r="AC57" s="296"/>
      <c r="AD57" s="296"/>
      <c r="AE57" s="311"/>
      <c r="AF57" s="306"/>
      <c r="AG57" s="296"/>
      <c r="AH57" s="311"/>
      <c r="AI57" s="517"/>
      <c r="AJ57" s="518"/>
      <c r="AK57" s="518"/>
      <c r="AL57" s="518"/>
      <c r="AM57" s="518"/>
      <c r="AN57" s="518"/>
      <c r="AO57" s="525"/>
      <c r="AP57" s="518"/>
      <c r="AQ57" s="527"/>
      <c r="AR57" s="527"/>
      <c r="AS57" s="518"/>
      <c r="AT57" s="518"/>
      <c r="AU57" s="525"/>
      <c r="AV57" s="518"/>
      <c r="AW57" s="518"/>
      <c r="AX57" s="525"/>
    </row>
    <row r="58" spans="1:50" x14ac:dyDescent="0.2">
      <c r="A58" s="639"/>
      <c r="B58" s="640"/>
      <c r="C58" s="640"/>
      <c r="D58" s="640"/>
      <c r="E58" s="640"/>
      <c r="F58" s="640"/>
      <c r="G58" s="640"/>
      <c r="H58" s="640"/>
      <c r="I58" s="640"/>
      <c r="J58" s="640"/>
      <c r="K58" s="640"/>
      <c r="L58" s="640"/>
      <c r="M58" s="640"/>
      <c r="N58" s="640"/>
      <c r="O58" s="640"/>
      <c r="P58" s="640"/>
      <c r="Q58" s="640"/>
      <c r="Y58" s="309"/>
      <c r="Z58" s="305"/>
      <c r="AE58" s="309"/>
      <c r="AF58" s="305"/>
      <c r="AH58" s="309"/>
      <c r="AI58" s="516"/>
      <c r="AO58" s="524"/>
      <c r="AU58" s="524"/>
      <c r="AX58" s="524"/>
    </row>
    <row r="59" spans="1:50" x14ac:dyDescent="0.2">
      <c r="A59" s="639"/>
      <c r="B59" s="640"/>
      <c r="C59" s="640"/>
      <c r="D59" s="640"/>
      <c r="E59" s="640"/>
      <c r="F59" s="640"/>
      <c r="G59" s="640"/>
      <c r="H59" s="640"/>
      <c r="I59" s="640"/>
      <c r="J59" s="640"/>
      <c r="K59" s="640"/>
      <c r="L59" s="640"/>
      <c r="M59" s="640"/>
      <c r="N59" s="640"/>
      <c r="O59" s="640"/>
      <c r="P59" s="640"/>
      <c r="Q59" s="640"/>
      <c r="R59" s="294"/>
      <c r="S59" s="296"/>
      <c r="T59" s="296"/>
      <c r="U59" s="296"/>
      <c r="V59" s="296"/>
      <c r="W59" s="296"/>
      <c r="X59" s="296"/>
      <c r="Y59" s="311"/>
      <c r="Z59" s="306"/>
      <c r="AA59" s="296"/>
      <c r="AB59" s="296"/>
      <c r="AC59" s="296"/>
      <c r="AD59" s="296"/>
      <c r="AE59" s="311"/>
      <c r="AF59" s="306"/>
      <c r="AG59" s="296"/>
      <c r="AH59" s="311"/>
      <c r="AI59" s="516"/>
      <c r="AO59" s="524"/>
      <c r="AU59" s="524"/>
      <c r="AX59" s="524"/>
    </row>
    <row r="60" spans="1:50" x14ac:dyDescent="0.2">
      <c r="A60" s="639"/>
      <c r="B60" s="640"/>
      <c r="C60" s="640"/>
      <c r="D60" s="640"/>
      <c r="E60" s="640"/>
      <c r="F60" s="640"/>
      <c r="G60" s="640"/>
      <c r="H60" s="640"/>
      <c r="I60" s="640"/>
      <c r="J60" s="640"/>
      <c r="K60" s="640"/>
      <c r="L60" s="640"/>
      <c r="M60" s="640"/>
      <c r="N60" s="640"/>
      <c r="O60" s="640"/>
      <c r="P60" s="640"/>
      <c r="Q60" s="640"/>
      <c r="Y60" s="309"/>
      <c r="Z60" s="305"/>
      <c r="AE60" s="309"/>
      <c r="AF60" s="305"/>
      <c r="AH60" s="309"/>
      <c r="AI60" s="516"/>
      <c r="AO60" s="524"/>
      <c r="AU60" s="524"/>
      <c r="AX60" s="524"/>
    </row>
    <row r="61" spans="1:50" ht="13.5" thickBot="1" x14ac:dyDescent="0.25">
      <c r="A61" s="651"/>
      <c r="B61" s="652"/>
      <c r="C61" s="652"/>
      <c r="D61" s="652"/>
      <c r="E61" s="652"/>
      <c r="F61" s="652"/>
      <c r="G61" s="652"/>
      <c r="H61" s="652"/>
      <c r="I61" s="652"/>
      <c r="J61" s="652"/>
      <c r="K61" s="652"/>
      <c r="L61" s="652"/>
      <c r="M61" s="652"/>
      <c r="N61" s="652"/>
      <c r="O61" s="652"/>
      <c r="P61" s="652"/>
      <c r="Q61" s="652"/>
      <c r="S61" s="302"/>
      <c r="T61" s="302"/>
      <c r="U61" s="302"/>
      <c r="V61" s="302"/>
      <c r="W61" s="302"/>
      <c r="X61" s="302"/>
      <c r="Y61" s="312"/>
      <c r="Z61" s="307"/>
      <c r="AA61" s="302"/>
      <c r="AB61" s="302"/>
      <c r="AC61" s="302"/>
      <c r="AD61" s="302"/>
      <c r="AE61" s="312"/>
      <c r="AF61" s="307"/>
      <c r="AG61" s="302"/>
      <c r="AH61" s="312"/>
      <c r="AI61" s="519"/>
      <c r="AJ61" s="520"/>
      <c r="AK61" s="520"/>
      <c r="AL61" s="520"/>
      <c r="AM61" s="520"/>
      <c r="AN61" s="520"/>
      <c r="AO61" s="526"/>
      <c r="AP61" s="520"/>
      <c r="AQ61" s="520"/>
      <c r="AR61" s="520"/>
      <c r="AS61" s="520"/>
      <c r="AT61" s="520"/>
      <c r="AU61" s="526"/>
      <c r="AV61" s="520"/>
      <c r="AW61" s="520"/>
      <c r="AX61" s="526"/>
    </row>
    <row r="62" spans="1:50" x14ac:dyDescent="0.2">
      <c r="A62" s="638"/>
      <c r="B62" s="640"/>
      <c r="C62" s="640"/>
      <c r="D62" s="640"/>
      <c r="E62" s="640"/>
      <c r="F62" s="640"/>
      <c r="G62" s="640"/>
      <c r="H62" s="640"/>
      <c r="I62" s="640"/>
      <c r="J62" s="640"/>
      <c r="K62" s="640"/>
      <c r="L62" s="640"/>
      <c r="M62" s="640"/>
      <c r="N62" s="640"/>
      <c r="O62" s="640"/>
      <c r="P62" s="640"/>
      <c r="Q62" s="640"/>
      <c r="Y62" s="309"/>
      <c r="Z62" s="305"/>
      <c r="AE62" s="309"/>
      <c r="AF62" s="305"/>
      <c r="AH62" s="309"/>
      <c r="AI62" s="516"/>
      <c r="AO62" s="524"/>
      <c r="AU62" s="524"/>
      <c r="AX62" s="524"/>
    </row>
    <row r="63" spans="1:50" x14ac:dyDescent="0.2">
      <c r="A63" s="639"/>
      <c r="B63" s="640"/>
      <c r="C63" s="640"/>
      <c r="D63" s="640"/>
      <c r="E63" s="640"/>
      <c r="F63" s="640"/>
      <c r="G63" s="640"/>
      <c r="H63" s="640"/>
      <c r="I63" s="640"/>
      <c r="J63" s="640"/>
      <c r="K63" s="640"/>
      <c r="L63" s="640"/>
      <c r="M63" s="640"/>
      <c r="N63" s="640"/>
      <c r="O63" s="640"/>
      <c r="P63" s="640"/>
      <c r="Q63" s="640"/>
      <c r="S63" s="295"/>
      <c r="T63" s="295"/>
      <c r="U63" s="295"/>
      <c r="V63" s="295"/>
      <c r="W63" s="295"/>
      <c r="X63" s="295"/>
      <c r="Y63" s="310"/>
      <c r="Z63" s="305"/>
      <c r="AA63" s="295"/>
      <c r="AB63" s="295"/>
      <c r="AC63" s="295"/>
      <c r="AD63" s="295"/>
      <c r="AE63" s="310"/>
      <c r="AF63" s="305"/>
      <c r="AG63" s="295"/>
      <c r="AH63" s="310"/>
      <c r="AI63" s="516"/>
      <c r="AO63" s="524"/>
      <c r="AU63" s="524"/>
      <c r="AX63" s="524"/>
    </row>
    <row r="64" spans="1:50" x14ac:dyDescent="0.2">
      <c r="A64" s="639"/>
      <c r="B64" s="640"/>
      <c r="C64" s="640"/>
      <c r="D64" s="640"/>
      <c r="E64" s="640"/>
      <c r="F64" s="640"/>
      <c r="G64" s="640"/>
      <c r="H64" s="640"/>
      <c r="I64" s="640"/>
      <c r="J64" s="640"/>
      <c r="K64" s="640"/>
      <c r="L64" s="640"/>
      <c r="M64" s="640"/>
      <c r="N64" s="640"/>
      <c r="O64" s="640"/>
      <c r="P64" s="640"/>
      <c r="Q64" s="640"/>
      <c r="S64" s="296"/>
      <c r="T64" s="296"/>
      <c r="U64" s="296"/>
      <c r="V64" s="296"/>
      <c r="W64" s="296"/>
      <c r="X64" s="296"/>
      <c r="Y64" s="311"/>
      <c r="Z64" s="306"/>
      <c r="AA64" s="296"/>
      <c r="AB64" s="296"/>
      <c r="AC64" s="296"/>
      <c r="AD64" s="296"/>
      <c r="AE64" s="311"/>
      <c r="AF64" s="306"/>
      <c r="AG64" s="296"/>
      <c r="AH64" s="311"/>
      <c r="AI64" s="516"/>
      <c r="AO64" s="524"/>
      <c r="AU64" s="524"/>
      <c r="AX64" s="524"/>
    </row>
    <row r="65" spans="1:50" x14ac:dyDescent="0.2">
      <c r="A65" s="639"/>
      <c r="B65" s="640"/>
      <c r="C65" s="640"/>
      <c r="D65" s="640"/>
      <c r="E65" s="640"/>
      <c r="F65" s="640"/>
      <c r="G65" s="640"/>
      <c r="H65" s="640"/>
      <c r="I65" s="640"/>
      <c r="J65" s="640"/>
      <c r="K65" s="640"/>
      <c r="L65" s="640"/>
      <c r="M65" s="640"/>
      <c r="N65" s="640"/>
      <c r="O65" s="640"/>
      <c r="P65" s="640"/>
      <c r="Q65" s="640"/>
      <c r="Y65" s="309"/>
      <c r="Z65" s="305"/>
      <c r="AE65" s="309"/>
      <c r="AF65" s="305"/>
      <c r="AH65" s="309"/>
      <c r="AI65" s="516"/>
      <c r="AO65" s="524"/>
      <c r="AU65" s="524"/>
      <c r="AX65" s="524"/>
    </row>
    <row r="66" spans="1:50" x14ac:dyDescent="0.2">
      <c r="A66" s="639"/>
      <c r="B66" s="640"/>
      <c r="C66" s="640"/>
      <c r="D66" s="640"/>
      <c r="E66" s="640"/>
      <c r="F66" s="640"/>
      <c r="G66" s="640"/>
      <c r="H66" s="640"/>
      <c r="I66" s="640"/>
      <c r="J66" s="640"/>
      <c r="K66" s="640"/>
      <c r="L66" s="640"/>
      <c r="M66" s="640"/>
      <c r="N66" s="640"/>
      <c r="O66" s="640"/>
      <c r="P66" s="640"/>
      <c r="Q66" s="640"/>
      <c r="R66" s="294"/>
      <c r="S66" s="296"/>
      <c r="T66" s="296"/>
      <c r="U66" s="296"/>
      <c r="V66" s="296"/>
      <c r="W66" s="296"/>
      <c r="X66" s="296"/>
      <c r="Y66" s="311"/>
      <c r="Z66" s="306"/>
      <c r="AA66" s="296"/>
      <c r="AB66" s="296"/>
      <c r="AC66" s="296"/>
      <c r="AD66" s="296"/>
      <c r="AE66" s="311"/>
      <c r="AF66" s="306"/>
      <c r="AG66" s="296"/>
      <c r="AH66" s="311"/>
      <c r="AI66" s="517"/>
      <c r="AJ66" s="518"/>
      <c r="AK66" s="518"/>
      <c r="AL66" s="518"/>
      <c r="AM66" s="518"/>
      <c r="AN66" s="518"/>
      <c r="AO66" s="525"/>
      <c r="AP66" s="518"/>
      <c r="AQ66" s="518"/>
      <c r="AR66" s="518"/>
      <c r="AS66" s="518"/>
      <c r="AT66" s="518"/>
      <c r="AU66" s="525"/>
      <c r="AV66" s="518"/>
      <c r="AW66" s="518"/>
      <c r="AX66" s="525"/>
    </row>
    <row r="67" spans="1:50" x14ac:dyDescent="0.2">
      <c r="A67" s="639"/>
      <c r="B67" s="640"/>
      <c r="C67" s="640"/>
      <c r="D67" s="640"/>
      <c r="E67" s="640"/>
      <c r="F67" s="640"/>
      <c r="G67" s="640"/>
      <c r="H67" s="640"/>
      <c r="I67" s="640"/>
      <c r="J67" s="640"/>
      <c r="K67" s="640"/>
      <c r="L67" s="640"/>
      <c r="M67" s="640"/>
      <c r="N67" s="640"/>
      <c r="O67" s="640"/>
      <c r="P67" s="640"/>
      <c r="Q67" s="640"/>
      <c r="Y67" s="309"/>
      <c r="Z67" s="305"/>
      <c r="AE67" s="309"/>
      <c r="AF67" s="305"/>
      <c r="AH67" s="309"/>
      <c r="AI67" s="516"/>
      <c r="AO67" s="524"/>
      <c r="AU67" s="524"/>
      <c r="AX67" s="524"/>
    </row>
    <row r="68" spans="1:50" x14ac:dyDescent="0.2">
      <c r="A68" s="649"/>
      <c r="B68" s="650"/>
      <c r="C68" s="650"/>
      <c r="D68" s="650"/>
      <c r="E68" s="650"/>
      <c r="F68" s="650"/>
      <c r="G68" s="650"/>
      <c r="H68" s="650"/>
      <c r="I68" s="650"/>
      <c r="J68" s="650"/>
      <c r="K68" s="650"/>
      <c r="L68" s="650"/>
      <c r="M68" s="650"/>
      <c r="N68" s="650"/>
      <c r="O68" s="650"/>
      <c r="P68" s="650"/>
      <c r="Q68" s="650"/>
      <c r="S68" s="296"/>
      <c r="T68" s="296"/>
      <c r="U68" s="296"/>
      <c r="V68" s="296"/>
      <c r="W68" s="296"/>
      <c r="X68" s="296"/>
      <c r="Y68" s="311"/>
      <c r="Z68" s="306"/>
      <c r="AA68" s="296"/>
      <c r="AB68" s="296"/>
      <c r="AC68" s="296"/>
      <c r="AD68" s="296"/>
      <c r="AE68" s="311"/>
      <c r="AF68" s="306"/>
      <c r="AG68" s="296"/>
      <c r="AH68" s="311"/>
      <c r="AI68" s="516"/>
      <c r="AO68" s="524"/>
      <c r="AU68" s="524"/>
      <c r="AX68" s="524"/>
    </row>
    <row r="69" spans="1:50" x14ac:dyDescent="0.2">
      <c r="A69" s="639"/>
      <c r="B69" s="640"/>
      <c r="C69" s="640"/>
      <c r="D69" s="640"/>
      <c r="E69" s="640"/>
      <c r="F69" s="640"/>
      <c r="G69" s="640"/>
      <c r="H69" s="640"/>
      <c r="I69" s="640"/>
      <c r="J69" s="640"/>
      <c r="K69" s="640"/>
      <c r="L69" s="640"/>
      <c r="M69" s="640"/>
      <c r="N69" s="640"/>
      <c r="O69" s="640"/>
      <c r="P69" s="640"/>
      <c r="Q69" s="640"/>
      <c r="Y69" s="309"/>
      <c r="Z69" s="305"/>
      <c r="AE69" s="309"/>
      <c r="AF69" s="305"/>
      <c r="AH69" s="309"/>
      <c r="AI69" s="516"/>
      <c r="AO69" s="524"/>
      <c r="AU69" s="524"/>
      <c r="AX69" s="524"/>
    </row>
    <row r="70" spans="1:50" x14ac:dyDescent="0.2">
      <c r="A70" s="639"/>
      <c r="B70" s="640"/>
      <c r="C70" s="640"/>
      <c r="D70" s="640"/>
      <c r="E70" s="640"/>
      <c r="F70" s="640"/>
      <c r="G70" s="640"/>
      <c r="H70" s="640"/>
      <c r="I70" s="640"/>
      <c r="J70" s="640"/>
      <c r="K70" s="640"/>
      <c r="L70" s="640"/>
      <c r="M70" s="640"/>
      <c r="N70" s="640"/>
      <c r="O70" s="640"/>
      <c r="P70" s="640"/>
      <c r="Q70" s="640"/>
      <c r="R70" s="294"/>
      <c r="S70" s="296"/>
      <c r="T70" s="296"/>
      <c r="U70" s="296"/>
      <c r="V70" s="296"/>
      <c r="W70" s="296"/>
      <c r="X70" s="296"/>
      <c r="Y70" s="311"/>
      <c r="Z70" s="306"/>
      <c r="AA70" s="296"/>
      <c r="AB70" s="296"/>
      <c r="AC70" s="296"/>
      <c r="AD70" s="296"/>
      <c r="AE70" s="311"/>
      <c r="AF70" s="306"/>
      <c r="AG70" s="296"/>
      <c r="AH70" s="311"/>
      <c r="AI70" s="517"/>
      <c r="AJ70" s="518"/>
      <c r="AK70" s="518"/>
      <c r="AL70" s="518"/>
      <c r="AM70" s="518"/>
      <c r="AN70" s="518"/>
      <c r="AO70" s="525"/>
      <c r="AP70" s="518"/>
      <c r="AQ70" s="518"/>
      <c r="AR70" s="518"/>
      <c r="AS70" s="518"/>
      <c r="AT70" s="518"/>
      <c r="AU70" s="525"/>
      <c r="AV70" s="518"/>
      <c r="AW70" s="518"/>
      <c r="AX70" s="525"/>
    </row>
    <row r="71" spans="1:50" x14ac:dyDescent="0.2">
      <c r="A71" s="639"/>
      <c r="B71" s="640"/>
      <c r="C71" s="640"/>
      <c r="D71" s="640"/>
      <c r="E71" s="640"/>
      <c r="F71" s="640"/>
      <c r="G71" s="640"/>
      <c r="H71" s="640"/>
      <c r="I71" s="640"/>
      <c r="J71" s="640"/>
      <c r="K71" s="640"/>
      <c r="L71" s="640"/>
      <c r="M71" s="640"/>
      <c r="N71" s="640"/>
      <c r="O71" s="640"/>
      <c r="P71" s="640"/>
      <c r="Q71" s="640"/>
      <c r="Y71" s="309"/>
      <c r="Z71" s="305"/>
      <c r="AE71" s="309"/>
      <c r="AF71" s="305"/>
      <c r="AH71" s="309"/>
      <c r="AI71" s="516"/>
      <c r="AO71" s="524"/>
      <c r="AU71" s="524"/>
      <c r="AX71" s="524"/>
    </row>
    <row r="72" spans="1:50" x14ac:dyDescent="0.2">
      <c r="A72" s="639"/>
      <c r="B72" s="640"/>
      <c r="C72" s="640"/>
      <c r="D72" s="640"/>
      <c r="E72" s="640"/>
      <c r="F72" s="640"/>
      <c r="G72" s="640"/>
      <c r="H72" s="640"/>
      <c r="I72" s="640"/>
      <c r="J72" s="640"/>
      <c r="K72" s="640"/>
      <c r="L72" s="640"/>
      <c r="M72" s="640"/>
      <c r="N72" s="640"/>
      <c r="O72" s="640"/>
      <c r="P72" s="640"/>
      <c r="Q72" s="640"/>
      <c r="R72" s="294"/>
      <c r="S72" s="296"/>
      <c r="T72" s="296"/>
      <c r="U72" s="296"/>
      <c r="V72" s="296"/>
      <c r="W72" s="296"/>
      <c r="X72" s="296"/>
      <c r="Y72" s="311"/>
      <c r="Z72" s="306"/>
      <c r="AA72" s="296"/>
      <c r="AB72" s="296"/>
      <c r="AC72" s="296"/>
      <c r="AD72" s="296"/>
      <c r="AE72" s="311"/>
      <c r="AF72" s="306"/>
      <c r="AG72" s="296"/>
      <c r="AH72" s="311"/>
      <c r="AI72" s="516"/>
      <c r="AO72" s="524"/>
      <c r="AU72" s="524"/>
      <c r="AX72" s="524"/>
    </row>
    <row r="73" spans="1:50" x14ac:dyDescent="0.2">
      <c r="A73" s="639"/>
      <c r="B73" s="640"/>
      <c r="C73" s="640"/>
      <c r="D73" s="640"/>
      <c r="E73" s="640"/>
      <c r="F73" s="640"/>
      <c r="G73" s="640"/>
      <c r="H73" s="640"/>
      <c r="I73" s="640"/>
      <c r="J73" s="640"/>
      <c r="K73" s="640"/>
      <c r="L73" s="640"/>
      <c r="M73" s="640"/>
      <c r="N73" s="640"/>
      <c r="O73" s="640"/>
      <c r="P73" s="640"/>
      <c r="Q73" s="640"/>
      <c r="Y73" s="309"/>
      <c r="Z73" s="305"/>
      <c r="AE73" s="309"/>
      <c r="AF73" s="305"/>
      <c r="AH73" s="309"/>
      <c r="AI73" s="516"/>
      <c r="AO73" s="524"/>
      <c r="AU73" s="524"/>
      <c r="AX73" s="524"/>
    </row>
    <row r="74" spans="1:50" x14ac:dyDescent="0.2">
      <c r="A74" s="639"/>
      <c r="B74" s="640"/>
      <c r="C74" s="640"/>
      <c r="D74" s="640"/>
      <c r="E74" s="640"/>
      <c r="F74" s="640"/>
      <c r="G74" s="640"/>
      <c r="H74" s="640"/>
      <c r="I74" s="640"/>
      <c r="J74" s="640"/>
      <c r="K74" s="640"/>
      <c r="L74" s="640"/>
      <c r="M74" s="640"/>
      <c r="N74" s="640"/>
      <c r="O74" s="640"/>
      <c r="P74" s="640"/>
      <c r="Q74" s="640"/>
      <c r="R74" s="294"/>
      <c r="S74" s="296"/>
      <c r="T74" s="296"/>
      <c r="U74" s="296"/>
      <c r="V74" s="296"/>
      <c r="W74" s="296"/>
      <c r="X74" s="296"/>
      <c r="Y74" s="311"/>
      <c r="Z74" s="306"/>
      <c r="AA74" s="296"/>
      <c r="AB74" s="296"/>
      <c r="AC74" s="296"/>
      <c r="AD74" s="296"/>
      <c r="AE74" s="311"/>
      <c r="AF74" s="306"/>
      <c r="AG74" s="296"/>
      <c r="AH74" s="311"/>
      <c r="AI74" s="517"/>
      <c r="AJ74" s="518"/>
      <c r="AK74" s="527"/>
      <c r="AL74" s="518"/>
      <c r="AM74" s="518"/>
      <c r="AN74" s="518"/>
      <c r="AO74" s="525"/>
      <c r="AP74" s="518"/>
      <c r="AQ74" s="518"/>
      <c r="AR74" s="518"/>
      <c r="AS74" s="518"/>
      <c r="AT74" s="518"/>
      <c r="AU74" s="525"/>
      <c r="AV74" s="518"/>
      <c r="AW74" s="518"/>
      <c r="AX74" s="525"/>
    </row>
    <row r="75" spans="1:50" x14ac:dyDescent="0.2">
      <c r="A75" s="639"/>
      <c r="B75" s="640"/>
      <c r="C75" s="640"/>
      <c r="D75" s="640"/>
      <c r="E75" s="640"/>
      <c r="F75" s="640"/>
      <c r="G75" s="640"/>
      <c r="H75" s="640"/>
      <c r="I75" s="640"/>
      <c r="J75" s="640"/>
      <c r="K75" s="640"/>
      <c r="L75" s="640"/>
      <c r="M75" s="640"/>
      <c r="N75" s="640"/>
      <c r="O75" s="640"/>
      <c r="P75" s="640"/>
      <c r="Q75" s="640"/>
      <c r="Y75" s="309"/>
      <c r="Z75" s="305"/>
      <c r="AE75" s="309"/>
      <c r="AF75" s="305"/>
      <c r="AH75" s="309"/>
      <c r="AI75" s="516"/>
      <c r="AO75" s="524"/>
      <c r="AU75" s="524"/>
      <c r="AX75" s="524"/>
    </row>
    <row r="76" spans="1:50" x14ac:dyDescent="0.2">
      <c r="A76" s="639"/>
      <c r="B76" s="640"/>
      <c r="C76" s="640"/>
      <c r="D76" s="640"/>
      <c r="E76" s="640"/>
      <c r="F76" s="640"/>
      <c r="G76" s="640"/>
      <c r="H76" s="640"/>
      <c r="I76" s="640"/>
      <c r="J76" s="640"/>
      <c r="K76" s="640"/>
      <c r="L76" s="640"/>
      <c r="M76" s="640"/>
      <c r="N76" s="640"/>
      <c r="O76" s="640"/>
      <c r="P76" s="640"/>
      <c r="Q76" s="640"/>
      <c r="R76" s="294"/>
      <c r="S76" s="296"/>
      <c r="T76" s="296"/>
      <c r="U76" s="296"/>
      <c r="V76" s="296"/>
      <c r="W76" s="296"/>
      <c r="X76" s="296"/>
      <c r="Y76" s="311"/>
      <c r="Z76" s="306"/>
      <c r="AA76" s="296"/>
      <c r="AB76" s="296"/>
      <c r="AC76" s="296"/>
      <c r="AD76" s="296"/>
      <c r="AE76" s="311"/>
      <c r="AF76" s="306"/>
      <c r="AG76" s="296"/>
      <c r="AH76" s="311"/>
      <c r="AI76" s="516"/>
      <c r="AO76" s="524"/>
      <c r="AU76" s="524"/>
      <c r="AX76" s="524"/>
    </row>
    <row r="77" spans="1:50" x14ac:dyDescent="0.2">
      <c r="A77" s="639"/>
      <c r="B77" s="640"/>
      <c r="C77" s="640"/>
      <c r="D77" s="640"/>
      <c r="E77" s="640"/>
      <c r="F77" s="640"/>
      <c r="G77" s="640"/>
      <c r="H77" s="640"/>
      <c r="I77" s="640"/>
      <c r="J77" s="640"/>
      <c r="K77" s="640"/>
      <c r="L77" s="640"/>
      <c r="M77" s="640"/>
      <c r="N77" s="640"/>
      <c r="O77" s="640"/>
      <c r="P77" s="640"/>
      <c r="Q77" s="640"/>
      <c r="Y77" s="309"/>
      <c r="Z77" s="305"/>
      <c r="AE77" s="309"/>
      <c r="AF77" s="305"/>
      <c r="AH77" s="309"/>
      <c r="AI77" s="516"/>
      <c r="AO77" s="524"/>
      <c r="AU77" s="524"/>
      <c r="AX77" s="524"/>
    </row>
    <row r="78" spans="1:50" x14ac:dyDescent="0.2">
      <c r="A78" s="639"/>
      <c r="B78" s="640"/>
      <c r="C78" s="640"/>
      <c r="D78" s="640"/>
      <c r="E78" s="640"/>
      <c r="F78" s="640"/>
      <c r="G78" s="640"/>
      <c r="H78" s="640"/>
      <c r="I78" s="640"/>
      <c r="J78" s="640"/>
      <c r="K78" s="640"/>
      <c r="L78" s="640"/>
      <c r="M78" s="640"/>
      <c r="N78" s="640"/>
      <c r="O78" s="640"/>
      <c r="P78" s="640"/>
      <c r="Q78" s="640"/>
      <c r="R78" s="294"/>
      <c r="S78" s="296"/>
      <c r="T78" s="296"/>
      <c r="U78" s="296"/>
      <c r="V78" s="296"/>
      <c r="W78" s="296"/>
      <c r="X78" s="296"/>
      <c r="Y78" s="311"/>
      <c r="Z78" s="306"/>
      <c r="AA78" s="296"/>
      <c r="AB78" s="296"/>
      <c r="AC78" s="296"/>
      <c r="AD78" s="296"/>
      <c r="AE78" s="311"/>
      <c r="AF78" s="306"/>
      <c r="AG78" s="296"/>
      <c r="AH78" s="311"/>
      <c r="AI78" s="517"/>
      <c r="AJ78" s="518"/>
      <c r="AK78" s="518"/>
      <c r="AL78" s="518"/>
      <c r="AM78" s="518"/>
      <c r="AN78" s="518"/>
      <c r="AO78" s="525"/>
      <c r="AP78" s="518"/>
      <c r="AQ78" s="518"/>
      <c r="AR78" s="518"/>
      <c r="AS78" s="518"/>
      <c r="AT78" s="518"/>
      <c r="AU78" s="525"/>
      <c r="AV78" s="518"/>
      <c r="AW78" s="518"/>
      <c r="AX78" s="525"/>
    </row>
    <row r="79" spans="1:50" x14ac:dyDescent="0.2">
      <c r="A79" s="639"/>
      <c r="B79" s="640"/>
      <c r="C79" s="640"/>
      <c r="D79" s="640"/>
      <c r="E79" s="640"/>
      <c r="F79" s="640"/>
      <c r="G79" s="640"/>
      <c r="H79" s="640"/>
      <c r="I79" s="640"/>
      <c r="J79" s="640"/>
      <c r="K79" s="640"/>
      <c r="L79" s="640"/>
      <c r="M79" s="640"/>
      <c r="N79" s="640"/>
      <c r="O79" s="640"/>
      <c r="P79" s="640"/>
      <c r="Q79" s="640"/>
      <c r="Y79" s="309"/>
      <c r="Z79" s="305"/>
      <c r="AE79" s="309"/>
      <c r="AF79" s="305"/>
      <c r="AH79" s="309"/>
      <c r="AI79" s="516"/>
      <c r="AO79" s="524"/>
      <c r="AU79" s="524"/>
      <c r="AX79" s="524"/>
    </row>
    <row r="80" spans="1:50" x14ac:dyDescent="0.2">
      <c r="A80" s="639"/>
      <c r="B80" s="640"/>
      <c r="C80" s="640"/>
      <c r="D80" s="640"/>
      <c r="E80" s="640"/>
      <c r="F80" s="640"/>
      <c r="G80" s="640"/>
      <c r="H80" s="640"/>
      <c r="I80" s="640"/>
      <c r="J80" s="640"/>
      <c r="K80" s="640"/>
      <c r="L80" s="640"/>
      <c r="M80" s="640"/>
      <c r="N80" s="640"/>
      <c r="O80" s="640"/>
      <c r="P80" s="640"/>
      <c r="Q80" s="640"/>
      <c r="R80" s="294"/>
      <c r="S80" s="296"/>
      <c r="T80" s="296"/>
      <c r="U80" s="296"/>
      <c r="V80" s="296"/>
      <c r="W80" s="296"/>
      <c r="X80" s="296"/>
      <c r="Y80" s="311"/>
      <c r="Z80" s="306"/>
      <c r="AA80" s="296"/>
      <c r="AB80" s="296"/>
      <c r="AC80" s="296"/>
      <c r="AD80" s="296"/>
      <c r="AE80" s="311"/>
      <c r="AF80" s="306"/>
      <c r="AG80" s="296"/>
      <c r="AH80" s="311"/>
      <c r="AI80" s="516"/>
      <c r="AO80" s="524"/>
      <c r="AU80" s="524"/>
      <c r="AX80" s="524"/>
    </row>
    <row r="81" spans="1:50" x14ac:dyDescent="0.2">
      <c r="A81" s="639"/>
      <c r="B81" s="640"/>
      <c r="C81" s="640"/>
      <c r="D81" s="640"/>
      <c r="E81" s="640"/>
      <c r="F81" s="640"/>
      <c r="G81" s="640"/>
      <c r="H81" s="640"/>
      <c r="I81" s="640"/>
      <c r="J81" s="640"/>
      <c r="K81" s="640"/>
      <c r="L81" s="640"/>
      <c r="M81" s="640"/>
      <c r="N81" s="640"/>
      <c r="O81" s="640"/>
      <c r="P81" s="640"/>
      <c r="Q81" s="640"/>
      <c r="Y81" s="309"/>
      <c r="Z81" s="305"/>
      <c r="AE81" s="309"/>
      <c r="AF81" s="305"/>
      <c r="AH81" s="309"/>
      <c r="AI81" s="516"/>
      <c r="AO81" s="524"/>
      <c r="AU81" s="524"/>
      <c r="AX81" s="524"/>
    </row>
    <row r="82" spans="1:50" x14ac:dyDescent="0.2">
      <c r="A82" s="639"/>
      <c r="B82" s="640"/>
      <c r="C82" s="640"/>
      <c r="D82" s="640"/>
      <c r="E82" s="640"/>
      <c r="F82" s="640"/>
      <c r="G82" s="640"/>
      <c r="H82" s="640"/>
      <c r="I82" s="640"/>
      <c r="J82" s="640"/>
      <c r="K82" s="640"/>
      <c r="L82" s="640"/>
      <c r="M82" s="640"/>
      <c r="N82" s="640"/>
      <c r="O82" s="640"/>
      <c r="P82" s="640"/>
      <c r="Q82" s="640"/>
      <c r="R82" s="294"/>
      <c r="S82" s="296"/>
      <c r="T82" s="296"/>
      <c r="U82" s="296"/>
      <c r="V82" s="296"/>
      <c r="W82" s="296"/>
      <c r="X82" s="296"/>
      <c r="Y82" s="311"/>
      <c r="Z82" s="306"/>
      <c r="AA82" s="296"/>
      <c r="AB82" s="296"/>
      <c r="AC82" s="296"/>
      <c r="AD82" s="296"/>
      <c r="AE82" s="311"/>
      <c r="AF82" s="306"/>
      <c r="AG82" s="296"/>
      <c r="AH82" s="311"/>
      <c r="AI82" s="517"/>
      <c r="AJ82" s="518"/>
      <c r="AK82" s="518"/>
      <c r="AL82" s="518"/>
      <c r="AM82" s="518"/>
      <c r="AN82" s="518"/>
      <c r="AO82" s="525"/>
      <c r="AP82" s="518"/>
      <c r="AQ82" s="518"/>
      <c r="AR82" s="518"/>
      <c r="AS82" s="518"/>
      <c r="AT82" s="518"/>
      <c r="AU82" s="525"/>
      <c r="AV82" s="518"/>
      <c r="AW82" s="518"/>
      <c r="AX82" s="525"/>
    </row>
    <row r="83" spans="1:50" x14ac:dyDescent="0.2">
      <c r="A83" s="639"/>
      <c r="B83" s="640"/>
      <c r="C83" s="640"/>
      <c r="D83" s="640"/>
      <c r="E83" s="640"/>
      <c r="F83" s="640"/>
      <c r="G83" s="640"/>
      <c r="H83" s="640"/>
      <c r="I83" s="640"/>
      <c r="J83" s="640"/>
      <c r="K83" s="640"/>
      <c r="L83" s="640"/>
      <c r="M83" s="640"/>
      <c r="N83" s="640"/>
      <c r="O83" s="640"/>
      <c r="P83" s="640"/>
      <c r="Q83" s="640"/>
      <c r="Y83" s="309"/>
      <c r="Z83" s="305"/>
      <c r="AE83" s="309"/>
      <c r="AF83" s="305"/>
      <c r="AH83" s="309"/>
      <c r="AI83" s="516"/>
      <c r="AO83" s="524"/>
      <c r="AU83" s="524"/>
      <c r="AX83" s="524"/>
    </row>
    <row r="84" spans="1:50" x14ac:dyDescent="0.2">
      <c r="A84" s="639"/>
      <c r="B84" s="640"/>
      <c r="C84" s="640"/>
      <c r="D84" s="640"/>
      <c r="E84" s="640"/>
      <c r="F84" s="640"/>
      <c r="G84" s="640"/>
      <c r="H84" s="640"/>
      <c r="I84" s="640"/>
      <c r="J84" s="640"/>
      <c r="K84" s="640"/>
      <c r="L84" s="640"/>
      <c r="M84" s="640"/>
      <c r="N84" s="640"/>
      <c r="O84" s="640"/>
      <c r="P84" s="640"/>
      <c r="Q84" s="640"/>
      <c r="R84" s="294"/>
      <c r="S84" s="296"/>
      <c r="T84" s="296"/>
      <c r="U84" s="296"/>
      <c r="V84" s="296"/>
      <c r="W84" s="296"/>
      <c r="X84" s="296"/>
      <c r="Y84" s="311"/>
      <c r="Z84" s="306"/>
      <c r="AA84" s="296"/>
      <c r="AB84" s="296"/>
      <c r="AC84" s="296"/>
      <c r="AD84" s="296"/>
      <c r="AE84" s="311"/>
      <c r="AF84" s="306"/>
      <c r="AG84" s="296"/>
      <c r="AH84" s="311"/>
      <c r="AI84" s="516"/>
      <c r="AO84" s="524"/>
      <c r="AU84" s="524"/>
      <c r="AX84" s="524"/>
    </row>
    <row r="85" spans="1:50" x14ac:dyDescent="0.2">
      <c r="A85" s="639"/>
      <c r="B85" s="640"/>
      <c r="C85" s="640"/>
      <c r="D85" s="640"/>
      <c r="E85" s="640"/>
      <c r="F85" s="640"/>
      <c r="G85" s="640"/>
      <c r="H85" s="640"/>
      <c r="I85" s="640"/>
      <c r="J85" s="640"/>
      <c r="K85" s="640"/>
      <c r="L85" s="640"/>
      <c r="M85" s="640"/>
      <c r="N85" s="640"/>
      <c r="O85" s="640"/>
      <c r="P85" s="640"/>
      <c r="Q85" s="640"/>
      <c r="Y85" s="309"/>
      <c r="Z85" s="305"/>
      <c r="AE85" s="309"/>
      <c r="AF85" s="305"/>
      <c r="AH85" s="309"/>
      <c r="AI85" s="516"/>
      <c r="AO85" s="524"/>
      <c r="AU85" s="524"/>
      <c r="AX85" s="524"/>
    </row>
    <row r="86" spans="1:50" x14ac:dyDescent="0.2">
      <c r="A86" s="639"/>
      <c r="B86" s="640"/>
      <c r="C86" s="640"/>
      <c r="D86" s="640"/>
      <c r="E86" s="640"/>
      <c r="F86" s="640"/>
      <c r="G86" s="640"/>
      <c r="H86" s="640"/>
      <c r="I86" s="640"/>
      <c r="J86" s="640"/>
      <c r="K86" s="640"/>
      <c r="L86" s="640"/>
      <c r="M86" s="640"/>
      <c r="N86" s="640"/>
      <c r="O86" s="640"/>
      <c r="P86" s="640"/>
      <c r="Q86" s="640"/>
      <c r="R86" s="294"/>
      <c r="S86" s="296"/>
      <c r="T86" s="296"/>
      <c r="U86" s="296"/>
      <c r="V86" s="296"/>
      <c r="W86" s="296"/>
      <c r="X86" s="296"/>
      <c r="Y86" s="311"/>
      <c r="Z86" s="306"/>
      <c r="AA86" s="296"/>
      <c r="AB86" s="296"/>
      <c r="AC86" s="296"/>
      <c r="AD86" s="296"/>
      <c r="AE86" s="311"/>
      <c r="AF86" s="306"/>
      <c r="AG86" s="296"/>
      <c r="AH86" s="311"/>
      <c r="AI86" s="517"/>
      <c r="AJ86" s="518"/>
      <c r="AK86" s="518"/>
      <c r="AL86" s="518"/>
      <c r="AM86" s="518"/>
      <c r="AN86" s="518"/>
      <c r="AO86" s="525"/>
      <c r="AP86" s="518"/>
      <c r="AQ86" s="527"/>
      <c r="AR86" s="527"/>
      <c r="AS86" s="518"/>
      <c r="AT86" s="518"/>
      <c r="AU86" s="525"/>
      <c r="AV86" s="518"/>
      <c r="AW86" s="518"/>
      <c r="AX86" s="525"/>
    </row>
    <row r="87" spans="1:50" x14ac:dyDescent="0.2">
      <c r="A87" s="639"/>
      <c r="B87" s="640"/>
      <c r="C87" s="640"/>
      <c r="D87" s="640"/>
      <c r="E87" s="640"/>
      <c r="F87" s="640"/>
      <c r="G87" s="640"/>
      <c r="H87" s="640"/>
      <c r="I87" s="640"/>
      <c r="J87" s="640"/>
      <c r="K87" s="640"/>
      <c r="L87" s="640"/>
      <c r="M87" s="640"/>
      <c r="N87" s="640"/>
      <c r="O87" s="640"/>
      <c r="P87" s="640"/>
      <c r="Q87" s="640"/>
      <c r="Y87" s="309"/>
      <c r="Z87" s="305"/>
      <c r="AE87" s="309"/>
      <c r="AF87" s="305"/>
      <c r="AH87" s="309"/>
      <c r="AI87" s="516"/>
      <c r="AO87" s="524"/>
      <c r="AU87" s="524"/>
      <c r="AX87" s="524"/>
    </row>
    <row r="88" spans="1:50" x14ac:dyDescent="0.2">
      <c r="A88" s="639"/>
      <c r="B88" s="640"/>
      <c r="C88" s="640"/>
      <c r="D88" s="640"/>
      <c r="E88" s="640"/>
      <c r="F88" s="640"/>
      <c r="G88" s="640"/>
      <c r="H88" s="640"/>
      <c r="I88" s="640"/>
      <c r="J88" s="640"/>
      <c r="K88" s="640"/>
      <c r="L88" s="640"/>
      <c r="M88" s="640"/>
      <c r="N88" s="640"/>
      <c r="O88" s="640"/>
      <c r="P88" s="640"/>
      <c r="Q88" s="640"/>
      <c r="R88" s="294"/>
      <c r="S88" s="296"/>
      <c r="T88" s="296"/>
      <c r="U88" s="296"/>
      <c r="V88" s="296"/>
      <c r="W88" s="296"/>
      <c r="X88" s="296"/>
      <c r="Y88" s="311"/>
      <c r="Z88" s="306"/>
      <c r="AA88" s="296"/>
      <c r="AB88" s="296"/>
      <c r="AC88" s="296"/>
      <c r="AD88" s="296"/>
      <c r="AE88" s="311"/>
      <c r="AF88" s="306"/>
      <c r="AG88" s="296"/>
      <c r="AH88" s="311"/>
      <c r="AI88" s="516"/>
      <c r="AO88" s="524"/>
      <c r="AU88" s="524"/>
      <c r="AX88" s="524"/>
    </row>
    <row r="89" spans="1:50" x14ac:dyDescent="0.2">
      <c r="A89" s="639"/>
      <c r="B89" s="640"/>
      <c r="C89" s="640"/>
      <c r="D89" s="640"/>
      <c r="E89" s="640"/>
      <c r="F89" s="640"/>
      <c r="G89" s="640"/>
      <c r="H89" s="640"/>
      <c r="I89" s="640"/>
      <c r="J89" s="640"/>
      <c r="K89" s="640"/>
      <c r="L89" s="640"/>
      <c r="M89" s="640"/>
      <c r="N89" s="640"/>
      <c r="O89" s="640"/>
      <c r="P89" s="640"/>
      <c r="Q89" s="640"/>
      <c r="Y89" s="309"/>
      <c r="Z89" s="305"/>
      <c r="AE89" s="309"/>
      <c r="AF89" s="305"/>
      <c r="AH89" s="309"/>
      <c r="AI89" s="516"/>
      <c r="AO89" s="524"/>
      <c r="AU89" s="524"/>
      <c r="AX89" s="524"/>
    </row>
    <row r="90" spans="1:50" ht="13.5" thickBot="1" x14ac:dyDescent="0.25">
      <c r="A90" s="651"/>
      <c r="B90" s="652"/>
      <c r="C90" s="652"/>
      <c r="D90" s="652"/>
      <c r="E90" s="652"/>
      <c r="F90" s="652"/>
      <c r="G90" s="652"/>
      <c r="H90" s="652"/>
      <c r="I90" s="652"/>
      <c r="J90" s="652"/>
      <c r="K90" s="652"/>
      <c r="L90" s="652"/>
      <c r="M90" s="652"/>
      <c r="N90" s="652"/>
      <c r="O90" s="652"/>
      <c r="P90" s="652"/>
      <c r="Q90" s="652"/>
      <c r="S90" s="302"/>
      <c r="T90" s="302"/>
      <c r="U90" s="302"/>
      <c r="V90" s="302"/>
      <c r="W90" s="302"/>
      <c r="X90" s="302"/>
      <c r="Y90" s="312"/>
      <c r="Z90" s="307"/>
      <c r="AA90" s="302"/>
      <c r="AB90" s="302"/>
      <c r="AC90" s="302"/>
      <c r="AD90" s="302"/>
      <c r="AE90" s="312"/>
      <c r="AF90" s="307"/>
      <c r="AG90" s="302"/>
      <c r="AH90" s="312"/>
      <c r="AI90" s="519"/>
      <c r="AJ90" s="520"/>
      <c r="AK90" s="520"/>
      <c r="AL90" s="520"/>
      <c r="AM90" s="520"/>
      <c r="AN90" s="520"/>
      <c r="AO90" s="526"/>
      <c r="AP90" s="520"/>
      <c r="AQ90" s="520"/>
      <c r="AR90" s="520"/>
      <c r="AS90" s="520"/>
      <c r="AT90" s="520"/>
      <c r="AU90" s="526"/>
      <c r="AV90" s="520"/>
      <c r="AW90" s="520"/>
      <c r="AX90" s="526"/>
    </row>
    <row r="91" spans="1:50" x14ac:dyDescent="0.2">
      <c r="A91" s="638"/>
      <c r="B91" s="640"/>
      <c r="C91" s="640"/>
      <c r="D91" s="640"/>
      <c r="E91" s="640"/>
      <c r="F91" s="640"/>
      <c r="G91" s="640"/>
      <c r="H91" s="640"/>
      <c r="I91" s="640"/>
      <c r="J91" s="640"/>
      <c r="K91" s="640"/>
      <c r="L91" s="640"/>
      <c r="M91" s="640"/>
      <c r="N91" s="640"/>
      <c r="O91" s="640"/>
      <c r="P91" s="640"/>
      <c r="Q91" s="640"/>
      <c r="Y91" s="309"/>
      <c r="Z91" s="305"/>
      <c r="AE91" s="309"/>
      <c r="AF91" s="305"/>
      <c r="AH91" s="309"/>
      <c r="AI91" s="516"/>
      <c r="AO91" s="524"/>
      <c r="AU91" s="524"/>
      <c r="AX91" s="524"/>
    </row>
    <row r="92" spans="1:50" x14ac:dyDescent="0.2">
      <c r="A92" s="639"/>
      <c r="B92" s="640"/>
      <c r="C92" s="640"/>
      <c r="D92" s="640"/>
      <c r="E92" s="640"/>
      <c r="F92" s="640"/>
      <c r="G92" s="640"/>
      <c r="H92" s="640"/>
      <c r="I92" s="640"/>
      <c r="J92" s="640"/>
      <c r="K92" s="640"/>
      <c r="L92" s="640"/>
      <c r="M92" s="640"/>
      <c r="N92" s="640"/>
      <c r="O92" s="640"/>
      <c r="P92" s="640"/>
      <c r="Q92" s="640"/>
      <c r="S92" s="295"/>
      <c r="T92" s="295"/>
      <c r="U92" s="295"/>
      <c r="V92" s="295"/>
      <c r="W92" s="295"/>
      <c r="X92" s="295"/>
      <c r="Y92" s="310"/>
      <c r="Z92" s="305"/>
      <c r="AA92" s="295"/>
      <c r="AB92" s="295"/>
      <c r="AC92" s="295"/>
      <c r="AD92" s="295"/>
      <c r="AE92" s="310"/>
      <c r="AF92" s="305"/>
      <c r="AG92" s="295"/>
      <c r="AH92" s="310"/>
      <c r="AI92" s="516"/>
      <c r="AO92" s="524"/>
      <c r="AU92" s="524"/>
      <c r="AX92" s="524"/>
    </row>
    <row r="93" spans="1:50" x14ac:dyDescent="0.2">
      <c r="A93" s="639"/>
      <c r="B93" s="640"/>
      <c r="C93" s="640"/>
      <c r="D93" s="640"/>
      <c r="E93" s="640"/>
      <c r="F93" s="640"/>
      <c r="G93" s="640"/>
      <c r="H93" s="640"/>
      <c r="I93" s="640"/>
      <c r="J93" s="640"/>
      <c r="K93" s="640"/>
      <c r="L93" s="640"/>
      <c r="M93" s="640"/>
      <c r="N93" s="640"/>
      <c r="O93" s="640"/>
      <c r="P93" s="640"/>
      <c r="Q93" s="640"/>
      <c r="S93" s="296"/>
      <c r="T93" s="296"/>
      <c r="U93" s="296"/>
      <c r="V93" s="296"/>
      <c r="W93" s="296"/>
      <c r="X93" s="296"/>
      <c r="Y93" s="311"/>
      <c r="Z93" s="306"/>
      <c r="AA93" s="296"/>
      <c r="AB93" s="296"/>
      <c r="AC93" s="296"/>
      <c r="AD93" s="296"/>
      <c r="AE93" s="311"/>
      <c r="AF93" s="306"/>
      <c r="AG93" s="296"/>
      <c r="AH93" s="311"/>
      <c r="AI93" s="516"/>
      <c r="AO93" s="524"/>
      <c r="AU93" s="524"/>
      <c r="AX93" s="524"/>
    </row>
    <row r="94" spans="1:50" x14ac:dyDescent="0.2">
      <c r="A94" s="639"/>
      <c r="B94" s="640"/>
      <c r="C94" s="640"/>
      <c r="D94" s="640"/>
      <c r="E94" s="640"/>
      <c r="F94" s="640"/>
      <c r="G94" s="640"/>
      <c r="H94" s="640"/>
      <c r="I94" s="640"/>
      <c r="J94" s="640"/>
      <c r="K94" s="640"/>
      <c r="L94" s="640"/>
      <c r="M94" s="640"/>
      <c r="N94" s="640"/>
      <c r="O94" s="640"/>
      <c r="P94" s="640"/>
      <c r="Q94" s="640"/>
      <c r="Y94" s="309"/>
      <c r="Z94" s="305"/>
      <c r="AE94" s="309"/>
      <c r="AF94" s="305"/>
      <c r="AH94" s="309"/>
      <c r="AI94" s="516"/>
      <c r="AO94" s="524"/>
      <c r="AU94" s="524"/>
      <c r="AX94" s="524"/>
    </row>
    <row r="95" spans="1:50" x14ac:dyDescent="0.2">
      <c r="A95" s="639"/>
      <c r="B95" s="640"/>
      <c r="C95" s="640"/>
      <c r="D95" s="640"/>
      <c r="E95" s="640"/>
      <c r="F95" s="640"/>
      <c r="G95" s="640"/>
      <c r="H95" s="640"/>
      <c r="I95" s="640"/>
      <c r="J95" s="640"/>
      <c r="K95" s="640"/>
      <c r="L95" s="640"/>
      <c r="M95" s="640"/>
      <c r="N95" s="640"/>
      <c r="O95" s="640"/>
      <c r="P95" s="640"/>
      <c r="Q95" s="640"/>
      <c r="R95" s="294"/>
      <c r="S95" s="296"/>
      <c r="T95" s="296"/>
      <c r="U95" s="296"/>
      <c r="V95" s="296"/>
      <c r="W95" s="296"/>
      <c r="X95" s="296"/>
      <c r="Y95" s="311"/>
      <c r="Z95" s="306"/>
      <c r="AA95" s="296"/>
      <c r="AB95" s="296"/>
      <c r="AC95" s="296"/>
      <c r="AD95" s="296"/>
      <c r="AE95" s="311"/>
      <c r="AF95" s="306"/>
      <c r="AG95" s="296"/>
      <c r="AH95" s="311"/>
      <c r="AI95" s="517"/>
      <c r="AJ95" s="518"/>
      <c r="AK95" s="518"/>
      <c r="AL95" s="518"/>
      <c r="AM95" s="518"/>
      <c r="AN95" s="518"/>
      <c r="AO95" s="525"/>
      <c r="AP95" s="518"/>
      <c r="AQ95" s="518"/>
      <c r="AR95" s="518"/>
      <c r="AS95" s="518"/>
      <c r="AT95" s="518"/>
      <c r="AU95" s="525"/>
      <c r="AV95" s="518"/>
      <c r="AW95" s="518"/>
      <c r="AX95" s="525"/>
    </row>
    <row r="96" spans="1:50" x14ac:dyDescent="0.2">
      <c r="A96" s="639"/>
      <c r="B96" s="640"/>
      <c r="C96" s="640"/>
      <c r="D96" s="640"/>
      <c r="E96" s="640"/>
      <c r="F96" s="640"/>
      <c r="G96" s="640"/>
      <c r="H96" s="640"/>
      <c r="I96" s="640"/>
      <c r="J96" s="640"/>
      <c r="K96" s="640"/>
      <c r="L96" s="640"/>
      <c r="M96" s="640"/>
      <c r="N96" s="640"/>
      <c r="O96" s="640"/>
      <c r="P96" s="640"/>
      <c r="Q96" s="640"/>
      <c r="Y96" s="309"/>
      <c r="Z96" s="305"/>
      <c r="AE96" s="309"/>
      <c r="AF96" s="305"/>
      <c r="AH96" s="309"/>
      <c r="AI96" s="516"/>
      <c r="AO96" s="524"/>
      <c r="AU96" s="524"/>
      <c r="AX96" s="524"/>
    </row>
    <row r="97" spans="1:50" x14ac:dyDescent="0.2">
      <c r="A97" s="649"/>
      <c r="B97" s="650"/>
      <c r="C97" s="650"/>
      <c r="D97" s="650"/>
      <c r="E97" s="650"/>
      <c r="F97" s="650"/>
      <c r="G97" s="650"/>
      <c r="H97" s="650"/>
      <c r="I97" s="650"/>
      <c r="J97" s="650"/>
      <c r="K97" s="650"/>
      <c r="L97" s="650"/>
      <c r="M97" s="650"/>
      <c r="N97" s="650"/>
      <c r="O97" s="650"/>
      <c r="P97" s="650"/>
      <c r="Q97" s="650"/>
      <c r="S97" s="296"/>
      <c r="T97" s="296"/>
      <c r="U97" s="296"/>
      <c r="V97" s="296"/>
      <c r="W97" s="296"/>
      <c r="X97" s="296"/>
      <c r="Y97" s="311"/>
      <c r="Z97" s="306"/>
      <c r="AA97" s="296"/>
      <c r="AB97" s="296"/>
      <c r="AC97" s="296"/>
      <c r="AD97" s="296"/>
      <c r="AE97" s="311"/>
      <c r="AF97" s="306"/>
      <c r="AG97" s="296"/>
      <c r="AH97" s="311"/>
      <c r="AI97" s="516"/>
      <c r="AO97" s="524"/>
      <c r="AU97" s="524"/>
      <c r="AX97" s="524"/>
    </row>
    <row r="98" spans="1:50" x14ac:dyDescent="0.2">
      <c r="A98" s="639"/>
      <c r="B98" s="640"/>
      <c r="C98" s="640"/>
      <c r="D98" s="640"/>
      <c r="E98" s="640"/>
      <c r="F98" s="640"/>
      <c r="G98" s="640"/>
      <c r="H98" s="640"/>
      <c r="I98" s="640"/>
      <c r="J98" s="640"/>
      <c r="K98" s="640"/>
      <c r="L98" s="640"/>
      <c r="M98" s="640"/>
      <c r="N98" s="640"/>
      <c r="O98" s="640"/>
      <c r="P98" s="640"/>
      <c r="Q98" s="640"/>
      <c r="Y98" s="309"/>
      <c r="Z98" s="305"/>
      <c r="AE98" s="309"/>
      <c r="AF98" s="305"/>
      <c r="AH98" s="309"/>
      <c r="AI98" s="516"/>
      <c r="AO98" s="524"/>
      <c r="AU98" s="524"/>
      <c r="AX98" s="524"/>
    </row>
    <row r="99" spans="1:50" x14ac:dyDescent="0.2">
      <c r="A99" s="639"/>
      <c r="B99" s="640"/>
      <c r="C99" s="640"/>
      <c r="D99" s="640"/>
      <c r="E99" s="640"/>
      <c r="F99" s="640"/>
      <c r="G99" s="640"/>
      <c r="H99" s="640"/>
      <c r="I99" s="640"/>
      <c r="J99" s="640"/>
      <c r="K99" s="640"/>
      <c r="L99" s="640"/>
      <c r="M99" s="640"/>
      <c r="N99" s="640"/>
      <c r="O99" s="640"/>
      <c r="P99" s="640"/>
      <c r="Q99" s="640"/>
      <c r="R99" s="294"/>
      <c r="S99" s="296"/>
      <c r="T99" s="296"/>
      <c r="U99" s="296"/>
      <c r="V99" s="296"/>
      <c r="W99" s="296"/>
      <c r="X99" s="296"/>
      <c r="Y99" s="311"/>
      <c r="Z99" s="306"/>
      <c r="AA99" s="296"/>
      <c r="AB99" s="296"/>
      <c r="AC99" s="296"/>
      <c r="AD99" s="296"/>
      <c r="AE99" s="311"/>
      <c r="AF99" s="306"/>
      <c r="AG99" s="296"/>
      <c r="AH99" s="311"/>
      <c r="AI99" s="517"/>
      <c r="AJ99" s="518"/>
      <c r="AK99" s="518"/>
      <c r="AL99" s="518"/>
      <c r="AM99" s="518"/>
      <c r="AN99" s="518"/>
      <c r="AO99" s="525"/>
      <c r="AP99" s="518"/>
      <c r="AQ99" s="518"/>
      <c r="AR99" s="518"/>
      <c r="AS99" s="518"/>
      <c r="AT99" s="518"/>
      <c r="AU99" s="525"/>
      <c r="AV99" s="518"/>
      <c r="AW99" s="518"/>
      <c r="AX99" s="525"/>
    </row>
    <row r="100" spans="1:50" x14ac:dyDescent="0.2">
      <c r="A100" s="639"/>
      <c r="B100" s="640"/>
      <c r="C100" s="640"/>
      <c r="D100" s="640"/>
      <c r="E100" s="640"/>
      <c r="F100" s="640"/>
      <c r="G100" s="640"/>
      <c r="H100" s="640"/>
      <c r="I100" s="640"/>
      <c r="J100" s="640"/>
      <c r="K100" s="640"/>
      <c r="L100" s="640"/>
      <c r="M100" s="640"/>
      <c r="N100" s="640"/>
      <c r="O100" s="640"/>
      <c r="P100" s="640"/>
      <c r="Q100" s="640"/>
      <c r="Y100" s="309"/>
      <c r="Z100" s="305"/>
      <c r="AE100" s="309"/>
      <c r="AF100" s="305"/>
      <c r="AH100" s="309"/>
      <c r="AI100" s="516"/>
      <c r="AO100" s="524"/>
      <c r="AU100" s="524"/>
      <c r="AX100" s="524"/>
    </row>
    <row r="101" spans="1:50" x14ac:dyDescent="0.2">
      <c r="A101" s="639"/>
      <c r="B101" s="640"/>
      <c r="C101" s="640"/>
      <c r="D101" s="640"/>
      <c r="E101" s="640"/>
      <c r="F101" s="640"/>
      <c r="G101" s="640"/>
      <c r="H101" s="640"/>
      <c r="I101" s="640"/>
      <c r="J101" s="640"/>
      <c r="K101" s="640"/>
      <c r="L101" s="640"/>
      <c r="M101" s="640"/>
      <c r="N101" s="640"/>
      <c r="O101" s="640"/>
      <c r="P101" s="640"/>
      <c r="Q101" s="640"/>
      <c r="R101" s="294"/>
      <c r="S101" s="296"/>
      <c r="T101" s="296"/>
      <c r="U101" s="296"/>
      <c r="V101" s="296"/>
      <c r="W101" s="296"/>
      <c r="X101" s="296"/>
      <c r="Y101" s="311"/>
      <c r="Z101" s="306"/>
      <c r="AA101" s="296"/>
      <c r="AB101" s="296"/>
      <c r="AC101" s="296"/>
      <c r="AD101" s="296"/>
      <c r="AE101" s="311"/>
      <c r="AF101" s="306"/>
      <c r="AG101" s="296"/>
      <c r="AH101" s="311"/>
      <c r="AI101" s="516"/>
      <c r="AO101" s="524"/>
      <c r="AU101" s="524"/>
      <c r="AX101" s="524"/>
    </row>
    <row r="102" spans="1:50" x14ac:dyDescent="0.2">
      <c r="A102" s="639"/>
      <c r="B102" s="640"/>
      <c r="C102" s="640"/>
      <c r="D102" s="640"/>
      <c r="E102" s="640"/>
      <c r="F102" s="640"/>
      <c r="G102" s="640"/>
      <c r="H102" s="640"/>
      <c r="I102" s="640"/>
      <c r="J102" s="640"/>
      <c r="K102" s="640"/>
      <c r="L102" s="640"/>
      <c r="M102" s="640"/>
      <c r="N102" s="640"/>
      <c r="O102" s="640"/>
      <c r="P102" s="640"/>
      <c r="Q102" s="640"/>
      <c r="Y102" s="309"/>
      <c r="Z102" s="305"/>
      <c r="AE102" s="309"/>
      <c r="AF102" s="305"/>
      <c r="AH102" s="309"/>
      <c r="AI102" s="516"/>
      <c r="AO102" s="524"/>
      <c r="AU102" s="524"/>
      <c r="AX102" s="524"/>
    </row>
    <row r="103" spans="1:50" x14ac:dyDescent="0.2">
      <c r="A103" s="639"/>
      <c r="B103" s="640"/>
      <c r="C103" s="640"/>
      <c r="D103" s="640"/>
      <c r="E103" s="640"/>
      <c r="F103" s="640"/>
      <c r="G103" s="640"/>
      <c r="H103" s="640"/>
      <c r="I103" s="640"/>
      <c r="J103" s="640"/>
      <c r="K103" s="640"/>
      <c r="L103" s="640"/>
      <c r="M103" s="640"/>
      <c r="N103" s="640"/>
      <c r="O103" s="640"/>
      <c r="P103" s="640"/>
      <c r="Q103" s="640"/>
      <c r="R103" s="294"/>
      <c r="S103" s="296"/>
      <c r="T103" s="296"/>
      <c r="U103" s="296"/>
      <c r="V103" s="296"/>
      <c r="W103" s="296"/>
      <c r="X103" s="296"/>
      <c r="Y103" s="311"/>
      <c r="Z103" s="306"/>
      <c r="AA103" s="296"/>
      <c r="AB103" s="296"/>
      <c r="AC103" s="296"/>
      <c r="AD103" s="296"/>
      <c r="AE103" s="311"/>
      <c r="AF103" s="306"/>
      <c r="AG103" s="296"/>
      <c r="AH103" s="311"/>
      <c r="AI103" s="517"/>
      <c r="AJ103" s="518"/>
      <c r="AK103" s="518"/>
      <c r="AL103" s="518"/>
      <c r="AM103" s="518"/>
      <c r="AN103" s="518"/>
      <c r="AO103" s="525"/>
      <c r="AP103" s="518"/>
      <c r="AQ103" s="518"/>
      <c r="AR103" s="518"/>
      <c r="AS103" s="518"/>
      <c r="AT103" s="518"/>
      <c r="AU103" s="525"/>
      <c r="AV103" s="518"/>
      <c r="AW103" s="518"/>
      <c r="AX103" s="525"/>
    </row>
    <row r="104" spans="1:50" x14ac:dyDescent="0.2">
      <c r="A104" s="639"/>
      <c r="B104" s="640"/>
      <c r="C104" s="640"/>
      <c r="D104" s="640"/>
      <c r="E104" s="640"/>
      <c r="F104" s="640"/>
      <c r="G104" s="640"/>
      <c r="H104" s="640"/>
      <c r="I104" s="640"/>
      <c r="J104" s="640"/>
      <c r="K104" s="640"/>
      <c r="L104" s="640"/>
      <c r="M104" s="640"/>
      <c r="N104" s="640"/>
      <c r="O104" s="640"/>
      <c r="P104" s="640"/>
      <c r="Q104" s="640"/>
      <c r="Y104" s="309"/>
      <c r="Z104" s="305"/>
      <c r="AE104" s="309"/>
      <c r="AF104" s="305"/>
      <c r="AH104" s="309"/>
      <c r="AI104" s="516"/>
      <c r="AO104" s="524"/>
      <c r="AU104" s="524"/>
      <c r="AX104" s="524"/>
    </row>
    <row r="105" spans="1:50" x14ac:dyDescent="0.2">
      <c r="A105" s="639"/>
      <c r="B105" s="640"/>
      <c r="C105" s="640"/>
      <c r="D105" s="640"/>
      <c r="E105" s="640"/>
      <c r="F105" s="640"/>
      <c r="G105" s="640"/>
      <c r="H105" s="640"/>
      <c r="I105" s="640"/>
      <c r="J105" s="640"/>
      <c r="K105" s="640"/>
      <c r="L105" s="640"/>
      <c r="M105" s="640"/>
      <c r="N105" s="640"/>
      <c r="O105" s="640"/>
      <c r="P105" s="640"/>
      <c r="Q105" s="640"/>
      <c r="R105" s="294"/>
      <c r="S105" s="296"/>
      <c r="T105" s="296"/>
      <c r="U105" s="296"/>
      <c r="V105" s="296"/>
      <c r="W105" s="296"/>
      <c r="X105" s="296"/>
      <c r="Y105" s="311"/>
      <c r="Z105" s="306"/>
      <c r="AA105" s="296"/>
      <c r="AB105" s="296"/>
      <c r="AC105" s="296"/>
      <c r="AD105" s="296"/>
      <c r="AE105" s="311"/>
      <c r="AF105" s="306"/>
      <c r="AG105" s="296"/>
      <c r="AH105" s="311"/>
      <c r="AI105" s="516"/>
      <c r="AO105" s="524"/>
      <c r="AU105" s="524"/>
      <c r="AX105" s="524"/>
    </row>
    <row r="106" spans="1:50" x14ac:dyDescent="0.2">
      <c r="A106" s="639"/>
      <c r="B106" s="640"/>
      <c r="C106" s="640"/>
      <c r="D106" s="640"/>
      <c r="E106" s="640"/>
      <c r="F106" s="640"/>
      <c r="G106" s="640"/>
      <c r="H106" s="640"/>
      <c r="I106" s="640"/>
      <c r="J106" s="640"/>
      <c r="K106" s="640"/>
      <c r="L106" s="640"/>
      <c r="M106" s="640"/>
      <c r="N106" s="640"/>
      <c r="O106" s="640"/>
      <c r="P106" s="640"/>
      <c r="Q106" s="640"/>
      <c r="Y106" s="309"/>
      <c r="Z106" s="305"/>
      <c r="AE106" s="309"/>
      <c r="AF106" s="305"/>
      <c r="AH106" s="309"/>
      <c r="AI106" s="516"/>
      <c r="AO106" s="524"/>
      <c r="AU106" s="524"/>
      <c r="AX106" s="524"/>
    </row>
    <row r="107" spans="1:50" x14ac:dyDescent="0.2">
      <c r="A107" s="639"/>
      <c r="B107" s="640"/>
      <c r="C107" s="640"/>
      <c r="D107" s="640"/>
      <c r="E107" s="640"/>
      <c r="F107" s="640"/>
      <c r="G107" s="640"/>
      <c r="H107" s="640"/>
      <c r="I107" s="640"/>
      <c r="J107" s="640"/>
      <c r="K107" s="640"/>
      <c r="L107" s="640"/>
      <c r="M107" s="640"/>
      <c r="N107" s="640"/>
      <c r="O107" s="640"/>
      <c r="P107" s="640"/>
      <c r="Q107" s="640"/>
      <c r="R107" s="294"/>
      <c r="S107" s="296"/>
      <c r="T107" s="296"/>
      <c r="U107" s="296"/>
      <c r="V107" s="296"/>
      <c r="W107" s="296"/>
      <c r="X107" s="296"/>
      <c r="Y107" s="311"/>
      <c r="Z107" s="306"/>
      <c r="AA107" s="296"/>
      <c r="AB107" s="296"/>
      <c r="AC107" s="296"/>
      <c r="AD107" s="296"/>
      <c r="AE107" s="311"/>
      <c r="AF107" s="306"/>
      <c r="AG107" s="296"/>
      <c r="AH107" s="311"/>
      <c r="AI107" s="517"/>
      <c r="AJ107" s="518"/>
      <c r="AK107" s="518"/>
      <c r="AL107" s="518"/>
      <c r="AM107" s="518"/>
      <c r="AN107" s="518"/>
      <c r="AO107" s="525"/>
      <c r="AP107" s="518"/>
      <c r="AQ107" s="518"/>
      <c r="AR107" s="518"/>
      <c r="AS107" s="518"/>
      <c r="AT107" s="518"/>
      <c r="AU107" s="525"/>
      <c r="AV107" s="518"/>
      <c r="AW107" s="518"/>
      <c r="AX107" s="525"/>
    </row>
    <row r="108" spans="1:50" x14ac:dyDescent="0.2">
      <c r="A108" s="639"/>
      <c r="B108" s="640"/>
      <c r="C108" s="640"/>
      <c r="D108" s="640"/>
      <c r="E108" s="640"/>
      <c r="F108" s="640"/>
      <c r="G108" s="640"/>
      <c r="H108" s="640"/>
      <c r="I108" s="640"/>
      <c r="J108" s="640"/>
      <c r="K108" s="640"/>
      <c r="L108" s="640"/>
      <c r="M108" s="640"/>
      <c r="N108" s="640"/>
      <c r="O108" s="640"/>
      <c r="P108" s="640"/>
      <c r="Q108" s="640"/>
      <c r="Y108" s="309"/>
      <c r="Z108" s="305"/>
      <c r="AE108" s="309"/>
      <c r="AF108" s="305"/>
      <c r="AH108" s="309"/>
      <c r="AI108" s="516"/>
      <c r="AO108" s="524"/>
      <c r="AU108" s="524"/>
      <c r="AX108" s="524"/>
    </row>
    <row r="109" spans="1:50" x14ac:dyDescent="0.2">
      <c r="A109" s="639"/>
      <c r="B109" s="640"/>
      <c r="C109" s="640"/>
      <c r="D109" s="640"/>
      <c r="E109" s="640"/>
      <c r="F109" s="640"/>
      <c r="G109" s="640"/>
      <c r="H109" s="640"/>
      <c r="I109" s="640"/>
      <c r="J109" s="640"/>
      <c r="K109" s="640"/>
      <c r="L109" s="640"/>
      <c r="M109" s="640"/>
      <c r="N109" s="640"/>
      <c r="O109" s="640"/>
      <c r="P109" s="640"/>
      <c r="Q109" s="640"/>
      <c r="R109" s="294"/>
      <c r="S109" s="296"/>
      <c r="T109" s="296"/>
      <c r="U109" s="296"/>
      <c r="V109" s="296"/>
      <c r="W109" s="296"/>
      <c r="X109" s="296"/>
      <c r="Y109" s="311"/>
      <c r="Z109" s="306"/>
      <c r="AA109" s="296"/>
      <c r="AB109" s="296"/>
      <c r="AC109" s="296"/>
      <c r="AD109" s="296"/>
      <c r="AE109" s="311"/>
      <c r="AF109" s="306"/>
      <c r="AG109" s="296"/>
      <c r="AH109" s="311"/>
      <c r="AI109" s="516"/>
      <c r="AO109" s="524"/>
      <c r="AU109" s="524"/>
      <c r="AX109" s="524"/>
    </row>
    <row r="110" spans="1:50" x14ac:dyDescent="0.2">
      <c r="A110" s="639"/>
      <c r="B110" s="640"/>
      <c r="C110" s="640"/>
      <c r="D110" s="640"/>
      <c r="E110" s="640"/>
      <c r="F110" s="640"/>
      <c r="G110" s="640"/>
      <c r="H110" s="640"/>
      <c r="I110" s="640"/>
      <c r="J110" s="640"/>
      <c r="K110" s="640"/>
      <c r="L110" s="640"/>
      <c r="M110" s="640"/>
      <c r="N110" s="640"/>
      <c r="O110" s="640"/>
      <c r="P110" s="640"/>
      <c r="Q110" s="640"/>
      <c r="Y110" s="309"/>
      <c r="Z110" s="305"/>
      <c r="AE110" s="309"/>
      <c r="AF110" s="305"/>
      <c r="AH110" s="309"/>
      <c r="AI110" s="516"/>
      <c r="AO110" s="524"/>
      <c r="AU110" s="524"/>
      <c r="AX110" s="524"/>
    </row>
    <row r="111" spans="1:50" x14ac:dyDescent="0.2">
      <c r="A111" s="639"/>
      <c r="B111" s="640"/>
      <c r="C111" s="640"/>
      <c r="D111" s="640"/>
      <c r="E111" s="640"/>
      <c r="F111" s="640"/>
      <c r="G111" s="640"/>
      <c r="H111" s="640"/>
      <c r="I111" s="640"/>
      <c r="J111" s="640"/>
      <c r="K111" s="640"/>
      <c r="L111" s="640"/>
      <c r="M111" s="640"/>
      <c r="N111" s="640"/>
      <c r="O111" s="640"/>
      <c r="P111" s="640"/>
      <c r="Q111" s="640"/>
      <c r="R111" s="294"/>
      <c r="S111" s="296"/>
      <c r="T111" s="296"/>
      <c r="U111" s="296"/>
      <c r="V111" s="296"/>
      <c r="W111" s="296"/>
      <c r="X111" s="296"/>
      <c r="Y111" s="311"/>
      <c r="Z111" s="306"/>
      <c r="AA111" s="296"/>
      <c r="AB111" s="296"/>
      <c r="AC111" s="296"/>
      <c r="AD111" s="296"/>
      <c r="AE111" s="311"/>
      <c r="AF111" s="306"/>
      <c r="AG111" s="296"/>
      <c r="AH111" s="311"/>
      <c r="AI111" s="517"/>
      <c r="AJ111" s="518"/>
      <c r="AK111" s="518"/>
      <c r="AL111" s="518"/>
      <c r="AM111" s="518"/>
      <c r="AN111" s="518"/>
      <c r="AO111" s="525"/>
      <c r="AP111" s="518"/>
      <c r="AQ111" s="518"/>
      <c r="AR111" s="518"/>
      <c r="AS111" s="518"/>
      <c r="AT111" s="518"/>
      <c r="AU111" s="525"/>
      <c r="AV111" s="518"/>
      <c r="AW111" s="518"/>
      <c r="AX111" s="525"/>
    </row>
    <row r="112" spans="1:50" x14ac:dyDescent="0.2">
      <c r="A112" s="639"/>
      <c r="B112" s="640"/>
      <c r="C112" s="640"/>
      <c r="D112" s="640"/>
      <c r="E112" s="640"/>
      <c r="F112" s="640"/>
      <c r="G112" s="640"/>
      <c r="H112" s="640"/>
      <c r="I112" s="640"/>
      <c r="J112" s="640"/>
      <c r="K112" s="640"/>
      <c r="L112" s="640"/>
      <c r="M112" s="640"/>
      <c r="N112" s="640"/>
      <c r="O112" s="640"/>
      <c r="P112" s="640"/>
      <c r="Q112" s="640"/>
      <c r="Y112" s="309"/>
      <c r="Z112" s="305"/>
      <c r="AE112" s="309"/>
      <c r="AF112" s="305"/>
      <c r="AH112" s="309"/>
      <c r="AI112" s="516"/>
      <c r="AO112" s="524"/>
      <c r="AU112" s="524"/>
      <c r="AX112" s="524"/>
    </row>
    <row r="113" spans="1:50" x14ac:dyDescent="0.2">
      <c r="A113" s="639"/>
      <c r="B113" s="640"/>
      <c r="C113" s="640"/>
      <c r="D113" s="640"/>
      <c r="E113" s="640"/>
      <c r="F113" s="640"/>
      <c r="G113" s="640"/>
      <c r="H113" s="640"/>
      <c r="I113" s="640"/>
      <c r="J113" s="640"/>
      <c r="K113" s="640"/>
      <c r="L113" s="640"/>
      <c r="M113" s="640"/>
      <c r="N113" s="640"/>
      <c r="O113" s="640"/>
      <c r="P113" s="640"/>
      <c r="Q113" s="640"/>
      <c r="R113" s="294"/>
      <c r="S113" s="296"/>
      <c r="T113" s="296"/>
      <c r="U113" s="296"/>
      <c r="V113" s="296"/>
      <c r="W113" s="296"/>
      <c r="X113" s="296"/>
      <c r="Y113" s="311"/>
      <c r="Z113" s="306"/>
      <c r="AA113" s="296"/>
      <c r="AB113" s="296"/>
      <c r="AC113" s="296"/>
      <c r="AD113" s="296"/>
      <c r="AE113" s="311"/>
      <c r="AF113" s="306"/>
      <c r="AG113" s="296"/>
      <c r="AH113" s="311"/>
      <c r="AI113" s="516"/>
      <c r="AO113" s="524"/>
      <c r="AU113" s="524"/>
      <c r="AX113" s="524"/>
    </row>
    <row r="114" spans="1:50" x14ac:dyDescent="0.2">
      <c r="A114" s="639"/>
      <c r="B114" s="640"/>
      <c r="C114" s="640"/>
      <c r="D114" s="640"/>
      <c r="E114" s="640"/>
      <c r="F114" s="640"/>
      <c r="G114" s="640"/>
      <c r="H114" s="640"/>
      <c r="I114" s="640"/>
      <c r="J114" s="640"/>
      <c r="K114" s="640"/>
      <c r="L114" s="640"/>
      <c r="M114" s="640"/>
      <c r="N114" s="640"/>
      <c r="O114" s="640"/>
      <c r="P114" s="640"/>
      <c r="Q114" s="640"/>
      <c r="Y114" s="309"/>
      <c r="Z114" s="305"/>
      <c r="AE114" s="309"/>
      <c r="AF114" s="305"/>
      <c r="AH114" s="309"/>
      <c r="AI114" s="516"/>
      <c r="AO114" s="524"/>
      <c r="AU114" s="524"/>
      <c r="AX114" s="524"/>
    </row>
    <row r="115" spans="1:50" x14ac:dyDescent="0.2">
      <c r="A115" s="639"/>
      <c r="B115" s="640"/>
      <c r="C115" s="640"/>
      <c r="D115" s="640"/>
      <c r="E115" s="640"/>
      <c r="F115" s="640"/>
      <c r="G115" s="640"/>
      <c r="H115" s="640"/>
      <c r="I115" s="640"/>
      <c r="J115" s="640"/>
      <c r="K115" s="640"/>
      <c r="L115" s="640"/>
      <c r="M115" s="640"/>
      <c r="N115" s="640"/>
      <c r="O115" s="640"/>
      <c r="P115" s="640"/>
      <c r="Q115" s="640"/>
      <c r="R115" s="294"/>
      <c r="S115" s="296"/>
      <c r="T115" s="296"/>
      <c r="U115" s="296"/>
      <c r="V115" s="296"/>
      <c r="W115" s="296"/>
      <c r="X115" s="296"/>
      <c r="Y115" s="311"/>
      <c r="Z115" s="306"/>
      <c r="AA115" s="296"/>
      <c r="AB115" s="296"/>
      <c r="AC115" s="296"/>
      <c r="AD115" s="296"/>
      <c r="AE115" s="311"/>
      <c r="AF115" s="306"/>
      <c r="AG115" s="296"/>
      <c r="AH115" s="311"/>
      <c r="AI115" s="517"/>
      <c r="AJ115" s="518"/>
      <c r="AK115" s="518"/>
      <c r="AL115" s="518"/>
      <c r="AM115" s="518"/>
      <c r="AN115" s="518"/>
      <c r="AO115" s="525"/>
      <c r="AP115" s="518"/>
      <c r="AQ115" s="518"/>
      <c r="AR115" s="527"/>
      <c r="AS115" s="518"/>
      <c r="AT115" s="518"/>
      <c r="AU115" s="525"/>
      <c r="AV115" s="518"/>
      <c r="AW115" s="518"/>
      <c r="AX115" s="525"/>
    </row>
    <row r="116" spans="1:50" x14ac:dyDescent="0.2">
      <c r="A116" s="639"/>
      <c r="B116" s="640"/>
      <c r="C116" s="640"/>
      <c r="D116" s="640"/>
      <c r="E116" s="640"/>
      <c r="F116" s="640"/>
      <c r="G116" s="640"/>
      <c r="H116" s="640"/>
      <c r="I116" s="640"/>
      <c r="J116" s="640"/>
      <c r="K116" s="640"/>
      <c r="L116" s="640"/>
      <c r="M116" s="640"/>
      <c r="N116" s="640"/>
      <c r="O116" s="640"/>
      <c r="P116" s="640"/>
      <c r="Q116" s="640"/>
      <c r="Y116" s="309"/>
      <c r="Z116" s="305"/>
      <c r="AE116" s="309"/>
      <c r="AF116" s="305"/>
      <c r="AH116" s="309"/>
      <c r="AI116" s="516"/>
      <c r="AO116" s="524"/>
      <c r="AU116" s="524"/>
      <c r="AX116" s="524"/>
    </row>
    <row r="117" spans="1:50" x14ac:dyDescent="0.2">
      <c r="A117" s="639"/>
      <c r="B117" s="640"/>
      <c r="C117" s="640"/>
      <c r="D117" s="640"/>
      <c r="E117" s="640"/>
      <c r="F117" s="640"/>
      <c r="G117" s="640"/>
      <c r="H117" s="640"/>
      <c r="I117" s="640"/>
      <c r="J117" s="640"/>
      <c r="K117" s="640"/>
      <c r="L117" s="640"/>
      <c r="M117" s="640"/>
      <c r="N117" s="640"/>
      <c r="O117" s="640"/>
      <c r="P117" s="640"/>
      <c r="Q117" s="640"/>
      <c r="R117" s="294"/>
      <c r="S117" s="296"/>
      <c r="T117" s="296"/>
      <c r="U117" s="296"/>
      <c r="V117" s="296"/>
      <c r="W117" s="296"/>
      <c r="X117" s="296"/>
      <c r="Y117" s="311"/>
      <c r="Z117" s="306"/>
      <c r="AA117" s="296"/>
      <c r="AB117" s="296"/>
      <c r="AC117" s="296"/>
      <c r="AD117" s="296"/>
      <c r="AE117" s="311"/>
      <c r="AF117" s="306"/>
      <c r="AG117" s="296"/>
      <c r="AH117" s="311"/>
      <c r="AI117" s="516"/>
      <c r="AO117" s="524"/>
      <c r="AU117" s="524"/>
      <c r="AX117" s="524"/>
    </row>
    <row r="118" spans="1:50" x14ac:dyDescent="0.2">
      <c r="A118" s="639"/>
      <c r="B118" s="640"/>
      <c r="C118" s="640"/>
      <c r="D118" s="640"/>
      <c r="E118" s="640"/>
      <c r="F118" s="640"/>
      <c r="G118" s="640"/>
      <c r="H118" s="640"/>
      <c r="I118" s="640"/>
      <c r="J118" s="640"/>
      <c r="K118" s="640"/>
      <c r="L118" s="640"/>
      <c r="M118" s="640"/>
      <c r="N118" s="640"/>
      <c r="O118" s="640"/>
      <c r="P118" s="640"/>
      <c r="Q118" s="640"/>
      <c r="Y118" s="309"/>
      <c r="Z118" s="305"/>
      <c r="AE118" s="309"/>
      <c r="AF118" s="305"/>
      <c r="AH118" s="309"/>
      <c r="AI118" s="516"/>
      <c r="AO118" s="524"/>
      <c r="AU118" s="524"/>
      <c r="AX118" s="524"/>
    </row>
    <row r="119" spans="1:50" ht="13.5" thickBot="1" x14ac:dyDescent="0.25">
      <c r="A119" s="651"/>
      <c r="B119" s="652"/>
      <c r="C119" s="652"/>
      <c r="D119" s="652"/>
      <c r="E119" s="652"/>
      <c r="F119" s="652"/>
      <c r="G119" s="652"/>
      <c r="H119" s="652"/>
      <c r="I119" s="652"/>
      <c r="J119" s="652"/>
      <c r="K119" s="652"/>
      <c r="L119" s="652"/>
      <c r="M119" s="652"/>
      <c r="N119" s="652"/>
      <c r="O119" s="652"/>
      <c r="P119" s="652"/>
      <c r="Q119" s="652"/>
      <c r="S119" s="302"/>
      <c r="T119" s="302"/>
      <c r="U119" s="302"/>
      <c r="V119" s="302"/>
      <c r="W119" s="302"/>
      <c r="X119" s="302"/>
      <c r="Y119" s="312"/>
      <c r="Z119" s="307"/>
      <c r="AA119" s="302"/>
      <c r="AB119" s="302"/>
      <c r="AC119" s="302"/>
      <c r="AD119" s="302"/>
      <c r="AE119" s="312"/>
      <c r="AF119" s="307"/>
      <c r="AG119" s="302"/>
      <c r="AH119" s="312"/>
      <c r="AI119" s="519"/>
      <c r="AJ119" s="520"/>
      <c r="AK119" s="520"/>
      <c r="AL119" s="520"/>
      <c r="AM119" s="520"/>
      <c r="AN119" s="520"/>
      <c r="AO119" s="526"/>
      <c r="AP119" s="520"/>
      <c r="AQ119" s="520"/>
      <c r="AR119" s="520"/>
      <c r="AS119" s="520"/>
      <c r="AT119" s="520"/>
      <c r="AU119" s="526"/>
      <c r="AV119" s="520"/>
      <c r="AW119" s="520"/>
      <c r="AX119" s="526"/>
    </row>
    <row r="120" spans="1:50" x14ac:dyDescent="0.2">
      <c r="A120" s="638"/>
      <c r="B120" s="640"/>
      <c r="C120" s="640"/>
      <c r="D120" s="640"/>
      <c r="E120" s="640"/>
      <c r="F120" s="640"/>
      <c r="G120" s="640"/>
      <c r="H120" s="640"/>
      <c r="I120" s="640"/>
      <c r="J120" s="640"/>
      <c r="K120" s="640"/>
      <c r="L120" s="640"/>
      <c r="M120" s="640"/>
      <c r="N120" s="640"/>
      <c r="O120" s="640"/>
      <c r="P120" s="640"/>
      <c r="Q120" s="640"/>
      <c r="Y120" s="309"/>
      <c r="Z120" s="305"/>
      <c r="AE120" s="309"/>
      <c r="AF120" s="305"/>
      <c r="AH120" s="309"/>
      <c r="AI120" s="516"/>
      <c r="AO120" s="524"/>
      <c r="AU120" s="524"/>
      <c r="AX120" s="524"/>
    </row>
    <row r="121" spans="1:50" x14ac:dyDescent="0.2">
      <c r="A121" s="639"/>
      <c r="B121" s="640"/>
      <c r="C121" s="640"/>
      <c r="D121" s="640"/>
      <c r="E121" s="640"/>
      <c r="F121" s="640"/>
      <c r="G121" s="640"/>
      <c r="H121" s="640"/>
      <c r="I121" s="640"/>
      <c r="J121" s="640"/>
      <c r="K121" s="640"/>
      <c r="L121" s="640"/>
      <c r="M121" s="640"/>
      <c r="N121" s="640"/>
      <c r="O121" s="640"/>
      <c r="P121" s="640"/>
      <c r="Q121" s="640"/>
      <c r="S121" s="295"/>
      <c r="T121" s="295"/>
      <c r="U121" s="295"/>
      <c r="V121" s="295"/>
      <c r="W121" s="295"/>
      <c r="X121" s="295"/>
      <c r="Y121" s="310"/>
      <c r="Z121" s="305"/>
      <c r="AA121" s="295"/>
      <c r="AB121" s="295"/>
      <c r="AC121" s="295"/>
      <c r="AD121" s="295"/>
      <c r="AE121" s="310"/>
      <c r="AF121" s="305"/>
      <c r="AG121" s="295"/>
      <c r="AH121" s="310"/>
      <c r="AI121" s="516"/>
      <c r="AO121" s="524"/>
      <c r="AU121" s="524"/>
      <c r="AX121" s="524"/>
    </row>
    <row r="122" spans="1:50" x14ac:dyDescent="0.2">
      <c r="A122" s="639"/>
      <c r="B122" s="640"/>
      <c r="C122" s="640"/>
      <c r="D122" s="640"/>
      <c r="E122" s="640"/>
      <c r="F122" s="640"/>
      <c r="G122" s="640"/>
      <c r="H122" s="640"/>
      <c r="I122" s="640"/>
      <c r="J122" s="640"/>
      <c r="K122" s="640"/>
      <c r="L122" s="640"/>
      <c r="M122" s="640"/>
      <c r="N122" s="640"/>
      <c r="O122" s="640"/>
      <c r="P122" s="640"/>
      <c r="Q122" s="640"/>
      <c r="S122" s="296"/>
      <c r="T122" s="296"/>
      <c r="U122" s="296"/>
      <c r="V122" s="296"/>
      <c r="W122" s="296"/>
      <c r="X122" s="296"/>
      <c r="Y122" s="311"/>
      <c r="Z122" s="306"/>
      <c r="AA122" s="296"/>
      <c r="AB122" s="296"/>
      <c r="AC122" s="296"/>
      <c r="AD122" s="296"/>
      <c r="AE122" s="311"/>
      <c r="AF122" s="306"/>
      <c r="AG122" s="296"/>
      <c r="AH122" s="311"/>
      <c r="AI122" s="516"/>
      <c r="AO122" s="524"/>
      <c r="AU122" s="524"/>
      <c r="AX122" s="524"/>
    </row>
    <row r="123" spans="1:50" x14ac:dyDescent="0.2">
      <c r="A123" s="639"/>
      <c r="B123" s="640"/>
      <c r="C123" s="640"/>
      <c r="D123" s="640"/>
      <c r="E123" s="640"/>
      <c r="F123" s="640"/>
      <c r="G123" s="640"/>
      <c r="H123" s="640"/>
      <c r="I123" s="640"/>
      <c r="J123" s="640"/>
      <c r="K123" s="640"/>
      <c r="L123" s="640"/>
      <c r="M123" s="640"/>
      <c r="N123" s="640"/>
      <c r="O123" s="640"/>
      <c r="P123" s="640"/>
      <c r="Q123" s="640"/>
      <c r="Y123" s="309"/>
      <c r="Z123" s="305"/>
      <c r="AE123" s="309"/>
      <c r="AF123" s="305"/>
      <c r="AH123" s="309"/>
      <c r="AI123" s="516"/>
      <c r="AO123" s="524"/>
      <c r="AU123" s="524"/>
      <c r="AX123" s="524"/>
    </row>
    <row r="124" spans="1:50" x14ac:dyDescent="0.2">
      <c r="A124" s="639"/>
      <c r="B124" s="640"/>
      <c r="C124" s="640"/>
      <c r="D124" s="640"/>
      <c r="E124" s="640"/>
      <c r="F124" s="640"/>
      <c r="G124" s="640"/>
      <c r="H124" s="640"/>
      <c r="I124" s="640"/>
      <c r="J124" s="640"/>
      <c r="K124" s="640"/>
      <c r="L124" s="640"/>
      <c r="M124" s="640"/>
      <c r="N124" s="640"/>
      <c r="O124" s="640"/>
      <c r="P124" s="640"/>
      <c r="Q124" s="640"/>
      <c r="R124" s="294"/>
      <c r="S124" s="296"/>
      <c r="T124" s="296"/>
      <c r="U124" s="296"/>
      <c r="V124" s="296"/>
      <c r="W124" s="296"/>
      <c r="X124" s="296"/>
      <c r="Y124" s="311"/>
      <c r="Z124" s="306"/>
      <c r="AA124" s="296"/>
      <c r="AB124" s="296"/>
      <c r="AC124" s="296"/>
      <c r="AD124" s="296"/>
      <c r="AE124" s="311"/>
      <c r="AF124" s="306"/>
      <c r="AG124" s="296"/>
      <c r="AH124" s="311"/>
      <c r="AI124" s="517"/>
      <c r="AJ124" s="518"/>
      <c r="AK124" s="518"/>
      <c r="AL124" s="518"/>
      <c r="AM124" s="527"/>
      <c r="AN124" s="518"/>
      <c r="AO124" s="525"/>
      <c r="AP124" s="518"/>
      <c r="AQ124" s="518"/>
      <c r="AR124" s="518"/>
      <c r="AS124" s="518"/>
      <c r="AT124" s="518"/>
      <c r="AU124" s="525"/>
      <c r="AV124" s="518"/>
      <c r="AW124" s="518"/>
      <c r="AX124" s="525"/>
    </row>
    <row r="125" spans="1:50" x14ac:dyDescent="0.2">
      <c r="A125" s="639"/>
      <c r="B125" s="640"/>
      <c r="C125" s="640"/>
      <c r="D125" s="640"/>
      <c r="E125" s="640"/>
      <c r="F125" s="640"/>
      <c r="G125" s="640"/>
      <c r="H125" s="640"/>
      <c r="I125" s="640"/>
      <c r="J125" s="640"/>
      <c r="K125" s="640"/>
      <c r="L125" s="640"/>
      <c r="M125" s="640"/>
      <c r="N125" s="640"/>
      <c r="O125" s="640"/>
      <c r="P125" s="640"/>
      <c r="Q125" s="640"/>
      <c r="Y125" s="309"/>
      <c r="Z125" s="305"/>
      <c r="AE125" s="309"/>
      <c r="AF125" s="305"/>
      <c r="AH125" s="309"/>
      <c r="AI125" s="516"/>
      <c r="AO125" s="524"/>
      <c r="AU125" s="524"/>
      <c r="AX125" s="524"/>
    </row>
    <row r="126" spans="1:50" x14ac:dyDescent="0.2">
      <c r="A126" s="649"/>
      <c r="B126" s="650"/>
      <c r="C126" s="650"/>
      <c r="D126" s="650"/>
      <c r="E126" s="650"/>
      <c r="F126" s="650"/>
      <c r="G126" s="650"/>
      <c r="H126" s="650"/>
      <c r="I126" s="650"/>
      <c r="J126" s="650"/>
      <c r="K126" s="650"/>
      <c r="L126" s="650"/>
      <c r="M126" s="650"/>
      <c r="N126" s="650"/>
      <c r="O126" s="650"/>
      <c r="P126" s="650"/>
      <c r="Q126" s="650"/>
      <c r="S126" s="296"/>
      <c r="T126" s="296"/>
      <c r="U126" s="296"/>
      <c r="V126" s="296"/>
      <c r="W126" s="296"/>
      <c r="X126" s="296"/>
      <c r="Y126" s="311"/>
      <c r="Z126" s="306"/>
      <c r="AA126" s="296"/>
      <c r="AB126" s="296"/>
      <c r="AC126" s="296"/>
      <c r="AD126" s="296"/>
      <c r="AE126" s="311"/>
      <c r="AF126" s="306"/>
      <c r="AG126" s="296"/>
      <c r="AH126" s="311"/>
      <c r="AI126" s="516"/>
      <c r="AO126" s="524"/>
      <c r="AU126" s="524"/>
      <c r="AX126" s="524"/>
    </row>
    <row r="127" spans="1:50" x14ac:dyDescent="0.2">
      <c r="A127" s="639"/>
      <c r="B127" s="640"/>
      <c r="C127" s="640"/>
      <c r="D127" s="640"/>
      <c r="E127" s="640"/>
      <c r="F127" s="640"/>
      <c r="G127" s="640"/>
      <c r="H127" s="640"/>
      <c r="I127" s="640"/>
      <c r="J127" s="640"/>
      <c r="K127" s="640"/>
      <c r="L127" s="640"/>
      <c r="M127" s="640"/>
      <c r="N127" s="640"/>
      <c r="O127" s="640"/>
      <c r="P127" s="640"/>
      <c r="Q127" s="640"/>
      <c r="Y127" s="309"/>
      <c r="Z127" s="305"/>
      <c r="AE127" s="309"/>
      <c r="AF127" s="305"/>
      <c r="AH127" s="309"/>
      <c r="AI127" s="516"/>
      <c r="AO127" s="524"/>
      <c r="AU127" s="524"/>
      <c r="AX127" s="524"/>
    </row>
    <row r="128" spans="1:50" x14ac:dyDescent="0.2">
      <c r="A128" s="639"/>
      <c r="B128" s="640"/>
      <c r="C128" s="640"/>
      <c r="D128" s="640"/>
      <c r="E128" s="640"/>
      <c r="F128" s="640"/>
      <c r="G128" s="640"/>
      <c r="H128" s="640"/>
      <c r="I128" s="640"/>
      <c r="J128" s="640"/>
      <c r="K128" s="640"/>
      <c r="L128" s="640"/>
      <c r="M128" s="640"/>
      <c r="N128" s="640"/>
      <c r="O128" s="640"/>
      <c r="P128" s="640"/>
      <c r="Q128" s="640"/>
      <c r="R128" s="294"/>
      <c r="S128" s="296"/>
      <c r="T128" s="296"/>
      <c r="U128" s="296"/>
      <c r="V128" s="296"/>
      <c r="W128" s="296"/>
      <c r="X128" s="296"/>
      <c r="Y128" s="311"/>
      <c r="Z128" s="306"/>
      <c r="AA128" s="296"/>
      <c r="AB128" s="296"/>
      <c r="AC128" s="296"/>
      <c r="AD128" s="296"/>
      <c r="AE128" s="311"/>
      <c r="AF128" s="306"/>
      <c r="AG128" s="296"/>
      <c r="AH128" s="311"/>
      <c r="AI128" s="517"/>
      <c r="AJ128" s="518"/>
      <c r="AK128" s="518"/>
      <c r="AL128" s="518"/>
      <c r="AM128" s="527"/>
      <c r="AN128" s="518"/>
      <c r="AO128" s="525"/>
      <c r="AP128" s="518"/>
      <c r="AQ128" s="518"/>
      <c r="AR128" s="518"/>
      <c r="AS128" s="518"/>
      <c r="AT128" s="518"/>
      <c r="AU128" s="525"/>
      <c r="AV128" s="518"/>
      <c r="AW128" s="518"/>
      <c r="AX128" s="525"/>
    </row>
    <row r="129" spans="1:50" x14ac:dyDescent="0.2">
      <c r="A129" s="639"/>
      <c r="B129" s="640"/>
      <c r="C129" s="640"/>
      <c r="D129" s="640"/>
      <c r="E129" s="640"/>
      <c r="F129" s="640"/>
      <c r="G129" s="640"/>
      <c r="H129" s="640"/>
      <c r="I129" s="640"/>
      <c r="J129" s="640"/>
      <c r="K129" s="640"/>
      <c r="L129" s="640"/>
      <c r="M129" s="640"/>
      <c r="N129" s="640"/>
      <c r="O129" s="640"/>
      <c r="P129" s="640"/>
      <c r="Q129" s="640"/>
      <c r="Y129" s="309"/>
      <c r="Z129" s="305"/>
      <c r="AE129" s="309"/>
      <c r="AF129" s="305"/>
      <c r="AH129" s="309"/>
      <c r="AI129" s="516"/>
      <c r="AO129" s="524"/>
      <c r="AU129" s="524"/>
      <c r="AX129" s="524"/>
    </row>
    <row r="130" spans="1:50" x14ac:dyDescent="0.2">
      <c r="A130" s="639"/>
      <c r="B130" s="640"/>
      <c r="C130" s="640"/>
      <c r="D130" s="640"/>
      <c r="E130" s="640"/>
      <c r="F130" s="640"/>
      <c r="G130" s="640"/>
      <c r="H130" s="640"/>
      <c r="I130" s="640"/>
      <c r="J130" s="640"/>
      <c r="K130" s="640"/>
      <c r="L130" s="640"/>
      <c r="M130" s="640"/>
      <c r="N130" s="640"/>
      <c r="O130" s="640"/>
      <c r="P130" s="640"/>
      <c r="Q130" s="640"/>
      <c r="R130" s="294"/>
      <c r="S130" s="296"/>
      <c r="T130" s="296"/>
      <c r="U130" s="296"/>
      <c r="V130" s="296"/>
      <c r="W130" s="296"/>
      <c r="X130" s="296"/>
      <c r="Y130" s="311"/>
      <c r="Z130" s="306"/>
      <c r="AA130" s="296"/>
      <c r="AB130" s="296"/>
      <c r="AC130" s="296"/>
      <c r="AD130" s="296"/>
      <c r="AE130" s="311"/>
      <c r="AF130" s="306"/>
      <c r="AG130" s="296"/>
      <c r="AH130" s="311"/>
      <c r="AI130" s="516"/>
      <c r="AO130" s="524"/>
      <c r="AU130" s="524"/>
      <c r="AX130" s="524"/>
    </row>
    <row r="131" spans="1:50" x14ac:dyDescent="0.2">
      <c r="A131" s="639"/>
      <c r="B131" s="640"/>
      <c r="C131" s="640"/>
      <c r="D131" s="640"/>
      <c r="E131" s="640"/>
      <c r="F131" s="640"/>
      <c r="G131" s="640"/>
      <c r="H131" s="640"/>
      <c r="I131" s="640"/>
      <c r="J131" s="640"/>
      <c r="K131" s="640"/>
      <c r="L131" s="640"/>
      <c r="M131" s="640"/>
      <c r="N131" s="640"/>
      <c r="O131" s="640"/>
      <c r="P131" s="640"/>
      <c r="Q131" s="640"/>
      <c r="Y131" s="309"/>
      <c r="Z131" s="305"/>
      <c r="AE131" s="309"/>
      <c r="AF131" s="305"/>
      <c r="AH131" s="309"/>
      <c r="AI131" s="516"/>
      <c r="AO131" s="524"/>
      <c r="AU131" s="524"/>
      <c r="AX131" s="524"/>
    </row>
    <row r="132" spans="1:50" x14ac:dyDescent="0.2">
      <c r="A132" s="639"/>
      <c r="B132" s="640"/>
      <c r="C132" s="640"/>
      <c r="D132" s="640"/>
      <c r="E132" s="640"/>
      <c r="F132" s="640"/>
      <c r="G132" s="640"/>
      <c r="H132" s="640"/>
      <c r="I132" s="640"/>
      <c r="J132" s="640"/>
      <c r="K132" s="640"/>
      <c r="L132" s="640"/>
      <c r="M132" s="640"/>
      <c r="N132" s="640"/>
      <c r="O132" s="640"/>
      <c r="P132" s="640"/>
      <c r="Q132" s="640"/>
      <c r="R132" s="294"/>
      <c r="S132" s="296"/>
      <c r="T132" s="296"/>
      <c r="U132" s="296"/>
      <c r="V132" s="296"/>
      <c r="W132" s="296"/>
      <c r="X132" s="296"/>
      <c r="Y132" s="311"/>
      <c r="Z132" s="306"/>
      <c r="AA132" s="296"/>
      <c r="AB132" s="296"/>
      <c r="AC132" s="296"/>
      <c r="AD132" s="296"/>
      <c r="AE132" s="311"/>
      <c r="AF132" s="306"/>
      <c r="AG132" s="296"/>
      <c r="AH132" s="311"/>
      <c r="AI132" s="517"/>
      <c r="AJ132" s="518"/>
      <c r="AK132" s="518"/>
      <c r="AL132" s="518"/>
      <c r="AM132" s="527"/>
      <c r="AN132" s="527"/>
      <c r="AO132" s="525"/>
      <c r="AP132" s="518"/>
      <c r="AQ132" s="527"/>
      <c r="AR132" s="518"/>
      <c r="AS132" s="518"/>
      <c r="AT132" s="518"/>
      <c r="AU132" s="525"/>
      <c r="AV132" s="518"/>
      <c r="AW132" s="518"/>
      <c r="AX132" s="525"/>
    </row>
    <row r="133" spans="1:50" x14ac:dyDescent="0.2">
      <c r="A133" s="639"/>
      <c r="B133" s="640"/>
      <c r="C133" s="640"/>
      <c r="D133" s="640"/>
      <c r="E133" s="640"/>
      <c r="F133" s="640"/>
      <c r="G133" s="640"/>
      <c r="H133" s="640"/>
      <c r="I133" s="640"/>
      <c r="J133" s="640"/>
      <c r="K133" s="640"/>
      <c r="L133" s="640"/>
      <c r="M133" s="640"/>
      <c r="N133" s="640"/>
      <c r="O133" s="640"/>
      <c r="P133" s="640"/>
      <c r="Q133" s="640"/>
      <c r="Y133" s="309"/>
      <c r="Z133" s="305"/>
      <c r="AE133" s="309"/>
      <c r="AF133" s="305"/>
      <c r="AH133" s="309"/>
      <c r="AI133" s="516"/>
      <c r="AO133" s="524"/>
      <c r="AU133" s="524"/>
      <c r="AX133" s="524"/>
    </row>
    <row r="134" spans="1:50" x14ac:dyDescent="0.2">
      <c r="A134" s="639"/>
      <c r="B134" s="640"/>
      <c r="C134" s="640"/>
      <c r="D134" s="640"/>
      <c r="E134" s="640"/>
      <c r="F134" s="640"/>
      <c r="G134" s="640"/>
      <c r="H134" s="640"/>
      <c r="I134" s="640"/>
      <c r="J134" s="640"/>
      <c r="K134" s="640"/>
      <c r="L134" s="640"/>
      <c r="M134" s="640"/>
      <c r="N134" s="640"/>
      <c r="O134" s="640"/>
      <c r="P134" s="640"/>
      <c r="Q134" s="640"/>
      <c r="R134" s="294"/>
      <c r="S134" s="296"/>
      <c r="T134" s="296"/>
      <c r="U134" s="296"/>
      <c r="V134" s="296"/>
      <c r="W134" s="296"/>
      <c r="X134" s="296"/>
      <c r="Y134" s="311"/>
      <c r="Z134" s="306"/>
      <c r="AA134" s="296"/>
      <c r="AB134" s="296"/>
      <c r="AC134" s="296"/>
      <c r="AD134" s="296"/>
      <c r="AE134" s="311"/>
      <c r="AF134" s="306"/>
      <c r="AG134" s="296"/>
      <c r="AH134" s="311"/>
      <c r="AI134" s="516"/>
      <c r="AO134" s="524"/>
      <c r="AU134" s="524"/>
      <c r="AX134" s="524"/>
    </row>
    <row r="135" spans="1:50" x14ac:dyDescent="0.2">
      <c r="A135" s="639"/>
      <c r="B135" s="640"/>
      <c r="C135" s="640"/>
      <c r="D135" s="640"/>
      <c r="E135" s="640"/>
      <c r="F135" s="640"/>
      <c r="G135" s="640"/>
      <c r="H135" s="640"/>
      <c r="I135" s="640"/>
      <c r="J135" s="640"/>
      <c r="K135" s="640"/>
      <c r="L135" s="640"/>
      <c r="M135" s="640"/>
      <c r="N135" s="640"/>
      <c r="O135" s="640"/>
      <c r="P135" s="640"/>
      <c r="Q135" s="640"/>
      <c r="Y135" s="309"/>
      <c r="Z135" s="305"/>
      <c r="AE135" s="309"/>
      <c r="AF135" s="305"/>
      <c r="AH135" s="309"/>
      <c r="AI135" s="516"/>
      <c r="AO135" s="524"/>
      <c r="AU135" s="524"/>
      <c r="AX135" s="524"/>
    </row>
    <row r="136" spans="1:50" x14ac:dyDescent="0.2">
      <c r="A136" s="639"/>
      <c r="B136" s="640"/>
      <c r="C136" s="640"/>
      <c r="D136" s="640"/>
      <c r="E136" s="640"/>
      <c r="F136" s="640"/>
      <c r="G136" s="640"/>
      <c r="H136" s="640"/>
      <c r="I136" s="640"/>
      <c r="J136" s="640"/>
      <c r="K136" s="640"/>
      <c r="L136" s="640"/>
      <c r="M136" s="640"/>
      <c r="N136" s="640"/>
      <c r="O136" s="640"/>
      <c r="P136" s="640"/>
      <c r="Q136" s="640"/>
      <c r="R136" s="294"/>
      <c r="S136" s="296"/>
      <c r="T136" s="296"/>
      <c r="U136" s="296"/>
      <c r="V136" s="296"/>
      <c r="W136" s="296"/>
      <c r="X136" s="296"/>
      <c r="Y136" s="311"/>
      <c r="Z136" s="306"/>
      <c r="AA136" s="296"/>
      <c r="AB136" s="296"/>
      <c r="AC136" s="296"/>
      <c r="AD136" s="296"/>
      <c r="AE136" s="311"/>
      <c r="AF136" s="306"/>
      <c r="AG136" s="296"/>
      <c r="AH136" s="311"/>
      <c r="AI136" s="636"/>
      <c r="AJ136" s="518"/>
      <c r="AK136" s="518"/>
      <c r="AL136" s="518"/>
      <c r="AM136" s="527"/>
      <c r="AN136" s="527"/>
      <c r="AO136" s="525"/>
      <c r="AP136" s="527"/>
      <c r="AQ136" s="518"/>
      <c r="AR136" s="527"/>
      <c r="AS136" s="518"/>
      <c r="AT136" s="518"/>
      <c r="AU136" s="525"/>
      <c r="AV136" s="518"/>
      <c r="AW136" s="518"/>
      <c r="AX136" s="525"/>
    </row>
    <row r="137" spans="1:50" x14ac:dyDescent="0.2">
      <c r="A137" s="639"/>
      <c r="B137" s="640"/>
      <c r="C137" s="640"/>
      <c r="D137" s="640"/>
      <c r="E137" s="640"/>
      <c r="F137" s="640"/>
      <c r="G137" s="640"/>
      <c r="H137" s="640"/>
      <c r="I137" s="640"/>
      <c r="J137" s="640"/>
      <c r="K137" s="640"/>
      <c r="L137" s="640"/>
      <c r="M137" s="640"/>
      <c r="N137" s="640"/>
      <c r="O137" s="640"/>
      <c r="P137" s="640"/>
      <c r="Q137" s="640"/>
      <c r="Y137" s="309"/>
      <c r="Z137" s="305"/>
      <c r="AE137" s="309"/>
      <c r="AF137" s="305"/>
      <c r="AH137" s="309"/>
      <c r="AI137" s="516"/>
      <c r="AO137" s="524"/>
      <c r="AU137" s="524"/>
      <c r="AX137" s="524"/>
    </row>
    <row r="138" spans="1:50" x14ac:dyDescent="0.2">
      <c r="A138" s="639"/>
      <c r="B138" s="640"/>
      <c r="C138" s="640"/>
      <c r="D138" s="640"/>
      <c r="E138" s="640"/>
      <c r="F138" s="640"/>
      <c r="G138" s="640"/>
      <c r="H138" s="640"/>
      <c r="I138" s="640"/>
      <c r="J138" s="640"/>
      <c r="K138" s="640"/>
      <c r="L138" s="640"/>
      <c r="M138" s="640"/>
      <c r="N138" s="640"/>
      <c r="O138" s="640"/>
      <c r="P138" s="640"/>
      <c r="Q138" s="640"/>
      <c r="R138" s="294"/>
      <c r="S138" s="296"/>
      <c r="T138" s="296"/>
      <c r="U138" s="296"/>
      <c r="V138" s="296"/>
      <c r="W138" s="296"/>
      <c r="X138" s="296"/>
      <c r="Y138" s="311"/>
      <c r="Z138" s="306"/>
      <c r="AA138" s="296"/>
      <c r="AB138" s="296"/>
      <c r="AC138" s="296"/>
      <c r="AD138" s="296"/>
      <c r="AE138" s="311"/>
      <c r="AF138" s="306"/>
      <c r="AG138" s="296"/>
      <c r="AH138" s="311"/>
      <c r="AI138" s="516"/>
      <c r="AO138" s="524"/>
      <c r="AU138" s="524"/>
      <c r="AX138" s="524"/>
    </row>
    <row r="139" spans="1:50" x14ac:dyDescent="0.2">
      <c r="A139" s="639"/>
      <c r="B139" s="640"/>
      <c r="C139" s="640"/>
      <c r="D139" s="640"/>
      <c r="E139" s="640"/>
      <c r="F139" s="640"/>
      <c r="G139" s="640"/>
      <c r="H139" s="640"/>
      <c r="I139" s="640"/>
      <c r="J139" s="640"/>
      <c r="K139" s="640"/>
      <c r="L139" s="640"/>
      <c r="M139" s="640"/>
      <c r="N139" s="640"/>
      <c r="O139" s="640"/>
      <c r="P139" s="640"/>
      <c r="Q139" s="640"/>
      <c r="Y139" s="309"/>
      <c r="Z139" s="305"/>
      <c r="AE139" s="309"/>
      <c r="AF139" s="305"/>
      <c r="AH139" s="309"/>
      <c r="AI139" s="516"/>
      <c r="AO139" s="524"/>
      <c r="AU139" s="524"/>
      <c r="AX139" s="524"/>
    </row>
    <row r="140" spans="1:50" x14ac:dyDescent="0.2">
      <c r="A140" s="639"/>
      <c r="B140" s="640"/>
      <c r="C140" s="640"/>
      <c r="D140" s="640"/>
      <c r="E140" s="640"/>
      <c r="F140" s="640"/>
      <c r="G140" s="640"/>
      <c r="H140" s="640"/>
      <c r="I140" s="640"/>
      <c r="J140" s="640"/>
      <c r="K140" s="640"/>
      <c r="L140" s="640"/>
      <c r="M140" s="640"/>
      <c r="N140" s="640"/>
      <c r="O140" s="640"/>
      <c r="P140" s="640"/>
      <c r="Q140" s="640"/>
      <c r="R140" s="294"/>
      <c r="S140" s="296"/>
      <c r="T140" s="296"/>
      <c r="U140" s="296"/>
      <c r="V140" s="296"/>
      <c r="W140" s="296"/>
      <c r="X140" s="296"/>
      <c r="Y140" s="311"/>
      <c r="Z140" s="306"/>
      <c r="AA140" s="296"/>
      <c r="AB140" s="296"/>
      <c r="AC140" s="296"/>
      <c r="AD140" s="296"/>
      <c r="AE140" s="311"/>
      <c r="AF140" s="306"/>
      <c r="AG140" s="296"/>
      <c r="AH140" s="311"/>
      <c r="AI140" s="517"/>
      <c r="AJ140" s="518"/>
      <c r="AK140" s="518"/>
      <c r="AL140" s="518"/>
      <c r="AM140" s="518"/>
      <c r="AN140" s="518"/>
      <c r="AO140" s="525"/>
      <c r="AP140" s="527"/>
      <c r="AQ140" s="527"/>
      <c r="AR140" s="527"/>
      <c r="AS140" s="527"/>
      <c r="AT140" s="518"/>
      <c r="AU140" s="525"/>
      <c r="AV140" s="518"/>
      <c r="AW140" s="518"/>
      <c r="AX140" s="525"/>
    </row>
    <row r="141" spans="1:50" x14ac:dyDescent="0.2">
      <c r="A141" s="639"/>
      <c r="B141" s="640"/>
      <c r="C141" s="640"/>
      <c r="D141" s="640"/>
      <c r="E141" s="640"/>
      <c r="F141" s="640"/>
      <c r="G141" s="640"/>
      <c r="H141" s="640"/>
      <c r="I141" s="640"/>
      <c r="J141" s="640"/>
      <c r="K141" s="640"/>
      <c r="L141" s="640"/>
      <c r="M141" s="640"/>
      <c r="N141" s="640"/>
      <c r="O141" s="640"/>
      <c r="P141" s="640"/>
      <c r="Q141" s="640"/>
      <c r="Y141" s="309"/>
      <c r="Z141" s="305"/>
      <c r="AE141" s="309"/>
      <c r="AF141" s="305"/>
      <c r="AH141" s="309"/>
      <c r="AI141" s="516"/>
      <c r="AO141" s="524"/>
      <c r="AU141" s="524"/>
      <c r="AX141" s="524"/>
    </row>
    <row r="142" spans="1:50" x14ac:dyDescent="0.2">
      <c r="A142" s="639"/>
      <c r="B142" s="640"/>
      <c r="C142" s="640"/>
      <c r="D142" s="640"/>
      <c r="E142" s="640"/>
      <c r="F142" s="640"/>
      <c r="G142" s="640"/>
      <c r="H142" s="640"/>
      <c r="I142" s="640"/>
      <c r="J142" s="640"/>
      <c r="K142" s="640"/>
      <c r="L142" s="640"/>
      <c r="M142" s="640"/>
      <c r="N142" s="640"/>
      <c r="O142" s="640"/>
      <c r="P142" s="640"/>
      <c r="Q142" s="640"/>
      <c r="R142" s="294"/>
      <c r="S142" s="296"/>
      <c r="T142" s="296"/>
      <c r="U142" s="296"/>
      <c r="V142" s="296"/>
      <c r="W142" s="296"/>
      <c r="X142" s="296"/>
      <c r="Y142" s="311"/>
      <c r="Z142" s="306"/>
      <c r="AA142" s="296"/>
      <c r="AB142" s="296"/>
      <c r="AC142" s="296"/>
      <c r="AD142" s="296"/>
      <c r="AE142" s="311"/>
      <c r="AF142" s="306"/>
      <c r="AG142" s="296"/>
      <c r="AH142" s="311"/>
      <c r="AI142" s="516"/>
      <c r="AO142" s="524"/>
      <c r="AU142" s="524"/>
      <c r="AX142" s="524"/>
    </row>
    <row r="143" spans="1:50" x14ac:dyDescent="0.2">
      <c r="A143" s="639"/>
      <c r="B143" s="640"/>
      <c r="C143" s="640"/>
      <c r="D143" s="640"/>
      <c r="E143" s="640"/>
      <c r="F143" s="640"/>
      <c r="G143" s="640"/>
      <c r="H143" s="640"/>
      <c r="I143" s="640"/>
      <c r="J143" s="640"/>
      <c r="K143" s="640"/>
      <c r="L143" s="640"/>
      <c r="M143" s="640"/>
      <c r="N143" s="640"/>
      <c r="O143" s="640"/>
      <c r="P143" s="640"/>
      <c r="Q143" s="640"/>
      <c r="Y143" s="309"/>
      <c r="Z143" s="305"/>
      <c r="AE143" s="309"/>
      <c r="AF143" s="305"/>
      <c r="AH143" s="309"/>
      <c r="AI143" s="516"/>
      <c r="AO143" s="524"/>
      <c r="AU143" s="524"/>
      <c r="AX143" s="524"/>
    </row>
    <row r="144" spans="1:50" x14ac:dyDescent="0.2">
      <c r="A144" s="639"/>
      <c r="B144" s="640"/>
      <c r="C144" s="640"/>
      <c r="D144" s="640"/>
      <c r="E144" s="640"/>
      <c r="F144" s="640"/>
      <c r="G144" s="640"/>
      <c r="H144" s="640"/>
      <c r="I144" s="640"/>
      <c r="J144" s="640"/>
      <c r="K144" s="640"/>
      <c r="L144" s="640"/>
      <c r="M144" s="640"/>
      <c r="N144" s="640"/>
      <c r="O144" s="640"/>
      <c r="P144" s="640"/>
      <c r="Q144" s="640"/>
      <c r="R144" s="294"/>
      <c r="S144" s="296"/>
      <c r="T144" s="296"/>
      <c r="U144" s="296"/>
      <c r="V144" s="296"/>
      <c r="W144" s="296"/>
      <c r="X144" s="296"/>
      <c r="Y144" s="311"/>
      <c r="Z144" s="306"/>
      <c r="AA144" s="296"/>
      <c r="AB144" s="296"/>
      <c r="AC144" s="296"/>
      <c r="AD144" s="296"/>
      <c r="AE144" s="311"/>
      <c r="AF144" s="306"/>
      <c r="AG144" s="296"/>
      <c r="AH144" s="311"/>
      <c r="AI144" s="517"/>
      <c r="AJ144" s="518"/>
      <c r="AK144" s="518"/>
      <c r="AL144" s="518"/>
      <c r="AM144" s="518"/>
      <c r="AN144" s="518"/>
      <c r="AO144" s="525"/>
      <c r="AP144" s="518"/>
      <c r="AQ144" s="518"/>
      <c r="AR144" s="518"/>
      <c r="AS144" s="518"/>
      <c r="AT144" s="518"/>
      <c r="AU144" s="525"/>
      <c r="AV144" s="527"/>
      <c r="AW144" s="518"/>
      <c r="AX144" s="525"/>
    </row>
    <row r="145" spans="1:50" x14ac:dyDescent="0.2">
      <c r="A145" s="639"/>
      <c r="B145" s="640"/>
      <c r="C145" s="640"/>
      <c r="D145" s="640"/>
      <c r="E145" s="640"/>
      <c r="F145" s="640"/>
      <c r="G145" s="640"/>
      <c r="H145" s="640"/>
      <c r="I145" s="640"/>
      <c r="J145" s="640"/>
      <c r="K145" s="640"/>
      <c r="L145" s="640"/>
      <c r="M145" s="640"/>
      <c r="N145" s="640"/>
      <c r="O145" s="640"/>
      <c r="P145" s="640"/>
      <c r="Q145" s="640"/>
      <c r="Y145" s="309"/>
      <c r="Z145" s="305"/>
      <c r="AE145" s="309"/>
      <c r="AF145" s="305"/>
      <c r="AH145" s="309"/>
      <c r="AI145" s="516"/>
      <c r="AO145" s="524"/>
      <c r="AU145" s="524"/>
      <c r="AX145" s="524"/>
    </row>
    <row r="146" spans="1:50" x14ac:dyDescent="0.2">
      <c r="A146" s="639"/>
      <c r="B146" s="640"/>
      <c r="C146" s="640"/>
      <c r="D146" s="640"/>
      <c r="E146" s="640"/>
      <c r="F146" s="640"/>
      <c r="G146" s="640"/>
      <c r="H146" s="640"/>
      <c r="I146" s="640"/>
      <c r="J146" s="640"/>
      <c r="K146" s="640"/>
      <c r="L146" s="640"/>
      <c r="M146" s="640"/>
      <c r="N146" s="640"/>
      <c r="O146" s="640"/>
      <c r="P146" s="640"/>
      <c r="Q146" s="640"/>
      <c r="R146" s="294"/>
      <c r="S146" s="296"/>
      <c r="T146" s="296"/>
      <c r="U146" s="296"/>
      <c r="V146" s="296"/>
      <c r="W146" s="296"/>
      <c r="X146" s="296"/>
      <c r="Y146" s="311"/>
      <c r="Z146" s="306"/>
      <c r="AA146" s="296"/>
      <c r="AB146" s="296"/>
      <c r="AC146" s="296"/>
      <c r="AD146" s="296"/>
      <c r="AE146" s="311"/>
      <c r="AF146" s="306"/>
      <c r="AG146" s="296"/>
      <c r="AH146" s="311"/>
      <c r="AI146" s="516"/>
      <c r="AO146" s="524"/>
      <c r="AU146" s="524"/>
      <c r="AX146" s="524"/>
    </row>
    <row r="147" spans="1:50" x14ac:dyDescent="0.2">
      <c r="A147" s="639"/>
      <c r="B147" s="640"/>
      <c r="C147" s="640"/>
      <c r="D147" s="640"/>
      <c r="E147" s="640"/>
      <c r="F147" s="640"/>
      <c r="G147" s="640"/>
      <c r="H147" s="640"/>
      <c r="I147" s="640"/>
      <c r="J147" s="640"/>
      <c r="K147" s="640"/>
      <c r="L147" s="640"/>
      <c r="M147" s="640"/>
      <c r="N147" s="640"/>
      <c r="O147" s="640"/>
      <c r="P147" s="640"/>
      <c r="Q147" s="640"/>
      <c r="Y147" s="309"/>
      <c r="Z147" s="305"/>
      <c r="AE147" s="309"/>
      <c r="AF147" s="305"/>
      <c r="AH147" s="309"/>
      <c r="AI147" s="516"/>
      <c r="AO147" s="524"/>
      <c r="AU147" s="524"/>
      <c r="AX147" s="524"/>
    </row>
    <row r="148" spans="1:50" ht="13.5" thickBot="1" x14ac:dyDescent="0.25">
      <c r="A148" s="651"/>
      <c r="B148" s="652"/>
      <c r="C148" s="652"/>
      <c r="D148" s="652"/>
      <c r="E148" s="652"/>
      <c r="F148" s="652"/>
      <c r="G148" s="652"/>
      <c r="H148" s="652"/>
      <c r="I148" s="652"/>
      <c r="J148" s="652"/>
      <c r="K148" s="652"/>
      <c r="L148" s="652"/>
      <c r="M148" s="652"/>
      <c r="N148" s="652"/>
      <c r="O148" s="652"/>
      <c r="P148" s="652"/>
      <c r="Q148" s="652"/>
      <c r="S148" s="302"/>
      <c r="T148" s="302"/>
      <c r="U148" s="302"/>
      <c r="V148" s="302"/>
      <c r="W148" s="302"/>
      <c r="X148" s="302"/>
      <c r="Y148" s="312"/>
      <c r="Z148" s="307"/>
      <c r="AA148" s="302"/>
      <c r="AB148" s="302"/>
      <c r="AC148" s="302"/>
      <c r="AD148" s="302"/>
      <c r="AE148" s="312"/>
      <c r="AF148" s="307"/>
      <c r="AG148" s="302"/>
      <c r="AH148" s="312"/>
      <c r="AI148" s="519"/>
      <c r="AJ148" s="520"/>
      <c r="AK148" s="520"/>
      <c r="AL148" s="520"/>
      <c r="AM148" s="520"/>
      <c r="AN148" s="520"/>
      <c r="AO148" s="526"/>
      <c r="AP148" s="520"/>
      <c r="AQ148" s="520"/>
      <c r="AR148" s="520"/>
      <c r="AS148" s="520"/>
      <c r="AT148" s="520"/>
      <c r="AU148" s="526"/>
      <c r="AV148" s="520"/>
      <c r="AW148" s="520"/>
      <c r="AX148" s="526"/>
    </row>
    <row r="149" spans="1:50" x14ac:dyDescent="0.2">
      <c r="A149" s="638"/>
      <c r="B149" s="640"/>
      <c r="C149" s="640"/>
      <c r="D149" s="640"/>
      <c r="E149" s="640"/>
      <c r="F149" s="640"/>
      <c r="G149" s="640"/>
      <c r="H149" s="640"/>
      <c r="I149" s="640"/>
      <c r="J149" s="640"/>
      <c r="K149" s="640"/>
      <c r="L149" s="640"/>
      <c r="M149" s="640"/>
      <c r="N149" s="640"/>
      <c r="O149" s="640"/>
      <c r="P149" s="640"/>
      <c r="Q149" s="640"/>
      <c r="Y149" s="309"/>
      <c r="Z149" s="305"/>
      <c r="AE149" s="309"/>
      <c r="AF149" s="305"/>
      <c r="AH149" s="309"/>
      <c r="AI149" s="516"/>
      <c r="AO149" s="524"/>
      <c r="AU149" s="524"/>
      <c r="AX149" s="524"/>
    </row>
    <row r="150" spans="1:50" x14ac:dyDescent="0.2">
      <c r="A150" s="639"/>
      <c r="B150" s="640"/>
      <c r="C150" s="640"/>
      <c r="D150" s="640"/>
      <c r="E150" s="640"/>
      <c r="F150" s="640"/>
      <c r="G150" s="640"/>
      <c r="H150" s="640"/>
      <c r="I150" s="640"/>
      <c r="J150" s="640"/>
      <c r="K150" s="640"/>
      <c r="L150" s="640"/>
      <c r="M150" s="640"/>
      <c r="N150" s="640"/>
      <c r="O150" s="640"/>
      <c r="P150" s="640"/>
      <c r="Q150" s="640"/>
      <c r="S150" s="295"/>
      <c r="T150" s="295"/>
      <c r="U150" s="295"/>
      <c r="V150" s="295"/>
      <c r="W150" s="295"/>
      <c r="X150" s="295"/>
      <c r="Y150" s="310"/>
      <c r="Z150" s="305"/>
      <c r="AA150" s="295"/>
      <c r="AB150" s="295"/>
      <c r="AC150" s="295"/>
      <c r="AD150" s="295"/>
      <c r="AE150" s="310"/>
      <c r="AF150" s="305"/>
      <c r="AG150" s="295"/>
      <c r="AH150" s="310"/>
      <c r="AI150" s="516"/>
      <c r="AO150" s="524"/>
      <c r="AU150" s="524"/>
      <c r="AX150" s="524"/>
    </row>
    <row r="151" spans="1:50" x14ac:dyDescent="0.2">
      <c r="A151" s="639"/>
      <c r="B151" s="640"/>
      <c r="C151" s="640"/>
      <c r="D151" s="640"/>
      <c r="E151" s="640"/>
      <c r="F151" s="640"/>
      <c r="G151" s="640"/>
      <c r="H151" s="640"/>
      <c r="I151" s="640"/>
      <c r="J151" s="640"/>
      <c r="K151" s="640"/>
      <c r="L151" s="640"/>
      <c r="M151" s="640"/>
      <c r="N151" s="640"/>
      <c r="O151" s="640"/>
      <c r="P151" s="640"/>
      <c r="Q151" s="640"/>
      <c r="S151" s="296"/>
      <c r="T151" s="296"/>
      <c r="U151" s="296"/>
      <c r="V151" s="296"/>
      <c r="W151" s="296"/>
      <c r="X151" s="296"/>
      <c r="Y151" s="311"/>
      <c r="Z151" s="306"/>
      <c r="AA151" s="296"/>
      <c r="AB151" s="296"/>
      <c r="AC151" s="296"/>
      <c r="AD151" s="296"/>
      <c r="AE151" s="311"/>
      <c r="AF151" s="306"/>
      <c r="AG151" s="296"/>
      <c r="AH151" s="311"/>
      <c r="AI151" s="516"/>
      <c r="AO151" s="524"/>
      <c r="AU151" s="524"/>
      <c r="AX151" s="524"/>
    </row>
    <row r="152" spans="1:50" x14ac:dyDescent="0.2">
      <c r="A152" s="639"/>
      <c r="B152" s="640"/>
      <c r="C152" s="640"/>
      <c r="D152" s="640"/>
      <c r="E152" s="640"/>
      <c r="F152" s="640"/>
      <c r="G152" s="640"/>
      <c r="H152" s="640"/>
      <c r="I152" s="640"/>
      <c r="J152" s="640"/>
      <c r="K152" s="640"/>
      <c r="L152" s="640"/>
      <c r="M152" s="640"/>
      <c r="N152" s="640"/>
      <c r="O152" s="640"/>
      <c r="P152" s="640"/>
      <c r="Q152" s="640"/>
      <c r="Y152" s="309"/>
      <c r="Z152" s="305"/>
      <c r="AE152" s="309"/>
      <c r="AF152" s="305"/>
      <c r="AH152" s="309"/>
      <c r="AI152" s="516"/>
      <c r="AO152" s="524"/>
      <c r="AU152" s="524"/>
      <c r="AX152" s="524"/>
    </row>
    <row r="153" spans="1:50" x14ac:dyDescent="0.2">
      <c r="A153" s="639"/>
      <c r="B153" s="640"/>
      <c r="C153" s="640"/>
      <c r="D153" s="640"/>
      <c r="E153" s="640"/>
      <c r="F153" s="640"/>
      <c r="G153" s="640"/>
      <c r="H153" s="640"/>
      <c r="I153" s="640"/>
      <c r="J153" s="640"/>
      <c r="K153" s="640"/>
      <c r="L153" s="640"/>
      <c r="M153" s="640"/>
      <c r="N153" s="640"/>
      <c r="O153" s="640"/>
      <c r="P153" s="640"/>
      <c r="Q153" s="640"/>
      <c r="R153" s="294"/>
      <c r="S153" s="296"/>
      <c r="T153" s="296"/>
      <c r="U153" s="296"/>
      <c r="V153" s="296"/>
      <c r="W153" s="296"/>
      <c r="X153" s="296"/>
      <c r="Y153" s="311"/>
      <c r="Z153" s="306"/>
      <c r="AA153" s="296"/>
      <c r="AB153" s="296"/>
      <c r="AC153" s="296"/>
      <c r="AD153" s="296"/>
      <c r="AE153" s="311"/>
      <c r="AF153" s="306"/>
      <c r="AG153" s="296"/>
      <c r="AH153" s="311"/>
      <c r="AI153" s="517"/>
      <c r="AJ153" s="518"/>
      <c r="AK153" s="518"/>
      <c r="AL153" s="527"/>
      <c r="AM153" s="518"/>
      <c r="AN153" s="518"/>
      <c r="AO153" s="525"/>
      <c r="AP153" s="518"/>
      <c r="AQ153" s="527"/>
      <c r="AR153" s="527"/>
      <c r="AS153" s="527"/>
      <c r="AT153" s="518"/>
      <c r="AU153" s="525"/>
      <c r="AV153" s="527"/>
      <c r="AW153" s="518"/>
      <c r="AX153" s="525"/>
    </row>
    <row r="154" spans="1:50" x14ac:dyDescent="0.2">
      <c r="A154" s="639"/>
      <c r="B154" s="640"/>
      <c r="C154" s="640"/>
      <c r="D154" s="640"/>
      <c r="E154" s="640"/>
      <c r="F154" s="640"/>
      <c r="G154" s="640"/>
      <c r="H154" s="640"/>
      <c r="I154" s="640"/>
      <c r="J154" s="640"/>
      <c r="K154" s="640"/>
      <c r="L154" s="640"/>
      <c r="M154" s="640"/>
      <c r="N154" s="640"/>
      <c r="O154" s="640"/>
      <c r="P154" s="640"/>
      <c r="Q154" s="640"/>
      <c r="Y154" s="309"/>
      <c r="Z154" s="305"/>
      <c r="AE154" s="309"/>
      <c r="AF154" s="305"/>
      <c r="AH154" s="309"/>
      <c r="AI154" s="516"/>
      <c r="AO154" s="524"/>
      <c r="AU154" s="524"/>
      <c r="AX154" s="524"/>
    </row>
    <row r="155" spans="1:50" x14ac:dyDescent="0.2">
      <c r="A155" s="649"/>
      <c r="B155" s="650"/>
      <c r="C155" s="650"/>
      <c r="D155" s="650"/>
      <c r="E155" s="650"/>
      <c r="F155" s="650"/>
      <c r="G155" s="650"/>
      <c r="H155" s="650"/>
      <c r="I155" s="650"/>
      <c r="J155" s="650"/>
      <c r="K155" s="650"/>
      <c r="L155" s="650"/>
      <c r="M155" s="650"/>
      <c r="N155" s="650"/>
      <c r="O155" s="650"/>
      <c r="P155" s="650"/>
      <c r="Q155" s="650"/>
      <c r="S155" s="296"/>
      <c r="T155" s="296"/>
      <c r="U155" s="296"/>
      <c r="V155" s="296"/>
      <c r="W155" s="296"/>
      <c r="X155" s="296"/>
      <c r="Y155" s="311"/>
      <c r="Z155" s="306"/>
      <c r="AA155" s="296"/>
      <c r="AB155" s="296"/>
      <c r="AC155" s="296"/>
      <c r="AD155" s="296"/>
      <c r="AE155" s="311"/>
      <c r="AF155" s="306"/>
      <c r="AG155" s="296"/>
      <c r="AH155" s="311"/>
      <c r="AI155" s="516"/>
      <c r="AO155" s="524"/>
      <c r="AU155" s="524"/>
      <c r="AX155" s="524"/>
    </row>
    <row r="156" spans="1:50" x14ac:dyDescent="0.2">
      <c r="A156" s="639"/>
      <c r="B156" s="640"/>
      <c r="C156" s="640"/>
      <c r="D156" s="640"/>
      <c r="E156" s="640"/>
      <c r="F156" s="640"/>
      <c r="G156" s="640"/>
      <c r="H156" s="640"/>
      <c r="I156" s="640"/>
      <c r="J156" s="640"/>
      <c r="K156" s="640"/>
      <c r="L156" s="640"/>
      <c r="M156" s="640"/>
      <c r="N156" s="640"/>
      <c r="O156" s="640"/>
      <c r="P156" s="640"/>
      <c r="Q156" s="640"/>
      <c r="Y156" s="309"/>
      <c r="Z156" s="305"/>
      <c r="AE156" s="309"/>
      <c r="AF156" s="305"/>
      <c r="AH156" s="309"/>
      <c r="AI156" s="516"/>
      <c r="AO156" s="524"/>
      <c r="AU156" s="524"/>
      <c r="AX156" s="524"/>
    </row>
    <row r="157" spans="1:50" x14ac:dyDescent="0.2">
      <c r="A157" s="639"/>
      <c r="B157" s="640"/>
      <c r="C157" s="640"/>
      <c r="D157" s="640"/>
      <c r="E157" s="640"/>
      <c r="F157" s="640"/>
      <c r="G157" s="640"/>
      <c r="H157" s="640"/>
      <c r="I157" s="640"/>
      <c r="J157" s="640"/>
      <c r="K157" s="640"/>
      <c r="L157" s="640"/>
      <c r="M157" s="640"/>
      <c r="N157" s="640"/>
      <c r="O157" s="640"/>
      <c r="P157" s="640"/>
      <c r="Q157" s="640"/>
      <c r="R157" s="294"/>
      <c r="S157" s="296"/>
      <c r="T157" s="296"/>
      <c r="U157" s="296"/>
      <c r="V157" s="296"/>
      <c r="W157" s="296"/>
      <c r="X157" s="296"/>
      <c r="Y157" s="311"/>
      <c r="Z157" s="306"/>
      <c r="AA157" s="296"/>
      <c r="AB157" s="296"/>
      <c r="AC157" s="296"/>
      <c r="AD157" s="296"/>
      <c r="AE157" s="311"/>
      <c r="AF157" s="306"/>
      <c r="AG157" s="296"/>
      <c r="AH157" s="311"/>
      <c r="AI157" s="517"/>
      <c r="AJ157" s="518"/>
      <c r="AK157" s="518"/>
      <c r="AL157" s="527"/>
      <c r="AM157" s="518"/>
      <c r="AN157" s="518"/>
      <c r="AO157" s="525"/>
      <c r="AP157" s="518"/>
      <c r="AQ157" s="527"/>
      <c r="AR157" s="527"/>
      <c r="AS157" s="527"/>
      <c r="AT157" s="518"/>
      <c r="AU157" s="525"/>
      <c r="AV157" s="527"/>
      <c r="AW157" s="518"/>
      <c r="AX157" s="525"/>
    </row>
    <row r="158" spans="1:50" x14ac:dyDescent="0.2">
      <c r="A158" s="639"/>
      <c r="B158" s="640"/>
      <c r="C158" s="640"/>
      <c r="D158" s="640"/>
      <c r="E158" s="640"/>
      <c r="F158" s="640"/>
      <c r="G158" s="640"/>
      <c r="H158" s="640"/>
      <c r="I158" s="640"/>
      <c r="J158" s="640"/>
      <c r="K158" s="640"/>
      <c r="L158" s="640"/>
      <c r="M158" s="640"/>
      <c r="N158" s="640"/>
      <c r="O158" s="640"/>
      <c r="P158" s="640"/>
      <c r="Q158" s="640"/>
      <c r="Y158" s="309"/>
      <c r="Z158" s="305"/>
      <c r="AE158" s="309"/>
      <c r="AF158" s="305"/>
      <c r="AH158" s="309"/>
      <c r="AI158" s="516"/>
      <c r="AO158" s="524"/>
      <c r="AU158" s="524"/>
      <c r="AX158" s="524"/>
    </row>
    <row r="159" spans="1:50" x14ac:dyDescent="0.2">
      <c r="A159" s="639"/>
      <c r="B159" s="640"/>
      <c r="C159" s="640"/>
      <c r="D159" s="640"/>
      <c r="E159" s="640"/>
      <c r="F159" s="640"/>
      <c r="G159" s="640"/>
      <c r="H159" s="640"/>
      <c r="I159" s="640"/>
      <c r="J159" s="640"/>
      <c r="K159" s="640"/>
      <c r="L159" s="640"/>
      <c r="M159" s="640"/>
      <c r="N159" s="640"/>
      <c r="O159" s="640"/>
      <c r="P159" s="640"/>
      <c r="Q159" s="640"/>
      <c r="R159" s="294"/>
      <c r="S159" s="296"/>
      <c r="T159" s="296"/>
      <c r="U159" s="296"/>
      <c r="V159" s="296"/>
      <c r="W159" s="296"/>
      <c r="X159" s="296"/>
      <c r="Y159" s="311"/>
      <c r="Z159" s="306"/>
      <c r="AA159" s="296"/>
      <c r="AB159" s="296"/>
      <c r="AC159" s="296"/>
      <c r="AD159" s="296"/>
      <c r="AE159" s="311"/>
      <c r="AF159" s="306"/>
      <c r="AG159" s="296"/>
      <c r="AH159" s="311"/>
      <c r="AI159" s="516"/>
      <c r="AO159" s="524"/>
      <c r="AU159" s="524"/>
      <c r="AX159" s="524"/>
    </row>
    <row r="160" spans="1:50" x14ac:dyDescent="0.2">
      <c r="A160" s="639"/>
      <c r="B160" s="640"/>
      <c r="C160" s="640"/>
      <c r="D160" s="640"/>
      <c r="E160" s="640"/>
      <c r="F160" s="640"/>
      <c r="G160" s="640"/>
      <c r="H160" s="640"/>
      <c r="I160" s="640"/>
      <c r="J160" s="640"/>
      <c r="K160" s="640"/>
      <c r="L160" s="640"/>
      <c r="M160" s="640"/>
      <c r="N160" s="640"/>
      <c r="O160" s="640"/>
      <c r="P160" s="640"/>
      <c r="Q160" s="640"/>
      <c r="Y160" s="309"/>
      <c r="Z160" s="305"/>
      <c r="AE160" s="309"/>
      <c r="AF160" s="305"/>
      <c r="AH160" s="309"/>
      <c r="AI160" s="516"/>
      <c r="AO160" s="524"/>
      <c r="AU160" s="524"/>
      <c r="AX160" s="524"/>
    </row>
    <row r="161" spans="1:50" x14ac:dyDescent="0.2">
      <c r="A161" s="639"/>
      <c r="B161" s="640"/>
      <c r="C161" s="640"/>
      <c r="D161" s="640"/>
      <c r="E161" s="640"/>
      <c r="F161" s="640"/>
      <c r="G161" s="640"/>
      <c r="H161" s="640"/>
      <c r="I161" s="640"/>
      <c r="J161" s="640"/>
      <c r="K161" s="640"/>
      <c r="L161" s="640"/>
      <c r="M161" s="640"/>
      <c r="N161" s="640"/>
      <c r="O161" s="640"/>
      <c r="P161" s="640"/>
      <c r="Q161" s="640"/>
      <c r="R161" s="294"/>
      <c r="S161" s="296"/>
      <c r="T161" s="296"/>
      <c r="U161" s="296"/>
      <c r="V161" s="296"/>
      <c r="W161" s="296"/>
      <c r="X161" s="296"/>
      <c r="Y161" s="311"/>
      <c r="Z161" s="306"/>
      <c r="AA161" s="296"/>
      <c r="AB161" s="296"/>
      <c r="AC161" s="296"/>
      <c r="AD161" s="296"/>
      <c r="AE161" s="311"/>
      <c r="AF161" s="306"/>
      <c r="AG161" s="296"/>
      <c r="AH161" s="311"/>
      <c r="AI161" s="517"/>
      <c r="AJ161" s="518"/>
      <c r="AK161" s="518"/>
      <c r="AL161" s="527"/>
      <c r="AM161" s="518"/>
      <c r="AN161" s="518"/>
      <c r="AO161" s="525"/>
      <c r="AP161" s="518"/>
      <c r="AQ161" s="527"/>
      <c r="AR161" s="527"/>
      <c r="AS161" s="527"/>
      <c r="AT161" s="518"/>
      <c r="AU161" s="525"/>
      <c r="AV161" s="527"/>
      <c r="AW161" s="518"/>
      <c r="AX161" s="525"/>
    </row>
    <row r="162" spans="1:50" x14ac:dyDescent="0.2">
      <c r="A162" s="639"/>
      <c r="B162" s="640"/>
      <c r="C162" s="640"/>
      <c r="D162" s="640"/>
      <c r="E162" s="640"/>
      <c r="F162" s="640"/>
      <c r="G162" s="640"/>
      <c r="H162" s="640"/>
      <c r="I162" s="640"/>
      <c r="J162" s="640"/>
      <c r="K162" s="640"/>
      <c r="L162" s="640"/>
      <c r="M162" s="640"/>
      <c r="N162" s="640"/>
      <c r="O162" s="640"/>
      <c r="P162" s="640"/>
      <c r="Q162" s="640"/>
      <c r="Y162" s="309"/>
      <c r="Z162" s="305"/>
      <c r="AE162" s="309"/>
      <c r="AF162" s="305"/>
      <c r="AH162" s="309"/>
      <c r="AI162" s="516"/>
      <c r="AO162" s="524"/>
      <c r="AU162" s="524"/>
      <c r="AX162" s="524"/>
    </row>
    <row r="163" spans="1:50" x14ac:dyDescent="0.2">
      <c r="A163" s="639"/>
      <c r="B163" s="640"/>
      <c r="C163" s="640"/>
      <c r="D163" s="640"/>
      <c r="E163" s="640"/>
      <c r="F163" s="640"/>
      <c r="G163" s="640"/>
      <c r="H163" s="640"/>
      <c r="I163" s="640"/>
      <c r="J163" s="640"/>
      <c r="K163" s="640"/>
      <c r="L163" s="640"/>
      <c r="M163" s="640"/>
      <c r="N163" s="640"/>
      <c r="O163" s="640"/>
      <c r="P163" s="640"/>
      <c r="Q163" s="640"/>
      <c r="R163" s="294"/>
      <c r="S163" s="296"/>
      <c r="T163" s="296"/>
      <c r="U163" s="296"/>
      <c r="V163" s="296"/>
      <c r="W163" s="296"/>
      <c r="X163" s="296"/>
      <c r="Y163" s="311"/>
      <c r="Z163" s="306"/>
      <c r="AA163" s="296"/>
      <c r="AB163" s="296"/>
      <c r="AC163" s="296"/>
      <c r="AD163" s="296"/>
      <c r="AE163" s="311"/>
      <c r="AF163" s="306"/>
      <c r="AG163" s="296"/>
      <c r="AH163" s="311"/>
      <c r="AI163" s="516"/>
      <c r="AO163" s="524"/>
      <c r="AU163" s="524"/>
      <c r="AX163" s="524"/>
    </row>
    <row r="164" spans="1:50" x14ac:dyDescent="0.2">
      <c r="A164" s="639"/>
      <c r="B164" s="640"/>
      <c r="C164" s="640"/>
      <c r="D164" s="640"/>
      <c r="E164" s="640"/>
      <c r="F164" s="640"/>
      <c r="G164" s="640"/>
      <c r="H164" s="640"/>
      <c r="I164" s="640"/>
      <c r="J164" s="640"/>
      <c r="K164" s="640"/>
      <c r="L164" s="640"/>
      <c r="M164" s="640"/>
      <c r="N164" s="640"/>
      <c r="O164" s="640"/>
      <c r="P164" s="640"/>
      <c r="Q164" s="640"/>
      <c r="Y164" s="309"/>
      <c r="Z164" s="305"/>
      <c r="AE164" s="309"/>
      <c r="AF164" s="305"/>
      <c r="AH164" s="309"/>
      <c r="AI164" s="516"/>
      <c r="AO164" s="524"/>
      <c r="AU164" s="524"/>
      <c r="AX164" s="524"/>
    </row>
    <row r="165" spans="1:50" x14ac:dyDescent="0.2">
      <c r="A165" s="639"/>
      <c r="B165" s="640"/>
      <c r="C165" s="640"/>
      <c r="D165" s="640"/>
      <c r="E165" s="640"/>
      <c r="F165" s="640"/>
      <c r="G165" s="640"/>
      <c r="H165" s="640"/>
      <c r="I165" s="640"/>
      <c r="J165" s="640"/>
      <c r="K165" s="640"/>
      <c r="L165" s="640"/>
      <c r="M165" s="640"/>
      <c r="N165" s="640"/>
      <c r="O165" s="640"/>
      <c r="P165" s="640"/>
      <c r="Q165" s="640"/>
      <c r="R165" s="294"/>
      <c r="S165" s="296"/>
      <c r="T165" s="296"/>
      <c r="U165" s="296"/>
      <c r="V165" s="296"/>
      <c r="W165" s="296"/>
      <c r="X165" s="296"/>
      <c r="Y165" s="311"/>
      <c r="Z165" s="306"/>
      <c r="AA165" s="296"/>
      <c r="AB165" s="296"/>
      <c r="AC165" s="296"/>
      <c r="AD165" s="296"/>
      <c r="AE165" s="311"/>
      <c r="AF165" s="306"/>
      <c r="AG165" s="296"/>
      <c r="AH165" s="311"/>
      <c r="AI165" s="517"/>
      <c r="AJ165" s="518"/>
      <c r="AK165" s="518"/>
      <c r="AL165" s="518"/>
      <c r="AM165" s="518"/>
      <c r="AN165" s="518"/>
      <c r="AO165" s="525"/>
      <c r="AP165" s="518"/>
      <c r="AQ165" s="527"/>
      <c r="AR165" s="527"/>
      <c r="AS165" s="527"/>
      <c r="AT165" s="518"/>
      <c r="AU165" s="525"/>
      <c r="AV165" s="527"/>
      <c r="AW165" s="518"/>
      <c r="AX165" s="525"/>
    </row>
    <row r="166" spans="1:50" x14ac:dyDescent="0.2">
      <c r="A166" s="639"/>
      <c r="B166" s="640"/>
      <c r="C166" s="640"/>
      <c r="D166" s="640"/>
      <c r="E166" s="640"/>
      <c r="F166" s="640"/>
      <c r="G166" s="640"/>
      <c r="H166" s="640"/>
      <c r="I166" s="640"/>
      <c r="J166" s="640"/>
      <c r="K166" s="640"/>
      <c r="L166" s="640"/>
      <c r="M166" s="640"/>
      <c r="N166" s="640"/>
      <c r="O166" s="640"/>
      <c r="P166" s="640"/>
      <c r="Q166" s="640"/>
      <c r="Y166" s="309"/>
      <c r="Z166" s="305"/>
      <c r="AE166" s="309"/>
      <c r="AF166" s="305"/>
      <c r="AH166" s="309"/>
      <c r="AI166" s="516"/>
      <c r="AO166" s="524"/>
      <c r="AU166" s="524"/>
      <c r="AX166" s="524"/>
    </row>
    <row r="167" spans="1:50" x14ac:dyDescent="0.2">
      <c r="A167" s="639"/>
      <c r="B167" s="640"/>
      <c r="C167" s="640"/>
      <c r="D167" s="640"/>
      <c r="E167" s="640"/>
      <c r="F167" s="640"/>
      <c r="G167" s="640"/>
      <c r="H167" s="640"/>
      <c r="I167" s="640"/>
      <c r="J167" s="640"/>
      <c r="K167" s="640"/>
      <c r="L167" s="640"/>
      <c r="M167" s="640"/>
      <c r="N167" s="640"/>
      <c r="O167" s="640"/>
      <c r="P167" s="640"/>
      <c r="Q167" s="640"/>
      <c r="R167" s="294"/>
      <c r="S167" s="296"/>
      <c r="T167" s="296"/>
      <c r="U167" s="296"/>
      <c r="V167" s="296"/>
      <c r="W167" s="296"/>
      <c r="X167" s="296"/>
      <c r="Y167" s="311"/>
      <c r="Z167" s="306"/>
      <c r="AA167" s="296"/>
      <c r="AB167" s="296"/>
      <c r="AC167" s="296"/>
      <c r="AD167" s="296"/>
      <c r="AE167" s="311"/>
      <c r="AF167" s="306"/>
      <c r="AG167" s="296"/>
      <c r="AH167" s="311"/>
      <c r="AI167" s="516"/>
      <c r="AO167" s="524"/>
      <c r="AU167" s="524"/>
      <c r="AX167" s="524"/>
    </row>
    <row r="168" spans="1:50" x14ac:dyDescent="0.2">
      <c r="A168" s="639"/>
      <c r="B168" s="640"/>
      <c r="C168" s="640"/>
      <c r="D168" s="640"/>
      <c r="E168" s="640"/>
      <c r="F168" s="640"/>
      <c r="G168" s="640"/>
      <c r="H168" s="640"/>
      <c r="I168" s="640"/>
      <c r="J168" s="640"/>
      <c r="K168" s="640"/>
      <c r="L168" s="640"/>
      <c r="M168" s="640"/>
      <c r="N168" s="640"/>
      <c r="O168" s="640"/>
      <c r="P168" s="640"/>
      <c r="Q168" s="640"/>
      <c r="Y168" s="309"/>
      <c r="Z168" s="305"/>
      <c r="AE168" s="309"/>
      <c r="AF168" s="305"/>
      <c r="AH168" s="309"/>
      <c r="AI168" s="516"/>
      <c r="AO168" s="524"/>
      <c r="AU168" s="524"/>
      <c r="AX168" s="524"/>
    </row>
    <row r="169" spans="1:50" x14ac:dyDescent="0.2">
      <c r="A169" s="639"/>
      <c r="B169" s="640"/>
      <c r="C169" s="640"/>
      <c r="D169" s="640"/>
      <c r="E169" s="640"/>
      <c r="F169" s="640"/>
      <c r="G169" s="640"/>
      <c r="H169" s="640"/>
      <c r="I169" s="640"/>
      <c r="J169" s="640"/>
      <c r="K169" s="640"/>
      <c r="L169" s="640"/>
      <c r="M169" s="640"/>
      <c r="N169" s="640"/>
      <c r="O169" s="640"/>
      <c r="P169" s="640"/>
      <c r="Q169" s="640"/>
      <c r="R169" s="294"/>
      <c r="S169" s="296"/>
      <c r="T169" s="296"/>
      <c r="U169" s="296"/>
      <c r="V169" s="296"/>
      <c r="W169" s="296"/>
      <c r="X169" s="296"/>
      <c r="Y169" s="311"/>
      <c r="Z169" s="306"/>
      <c r="AA169" s="296"/>
      <c r="AB169" s="296"/>
      <c r="AC169" s="296"/>
      <c r="AD169" s="296"/>
      <c r="AE169" s="311"/>
      <c r="AF169" s="306"/>
      <c r="AG169" s="296"/>
      <c r="AH169" s="311"/>
      <c r="AI169" s="517"/>
      <c r="AJ169" s="518"/>
      <c r="AK169" s="518"/>
      <c r="AL169" s="518"/>
      <c r="AM169" s="518"/>
      <c r="AN169" s="518"/>
      <c r="AO169" s="525"/>
      <c r="AP169" s="518"/>
      <c r="AQ169" s="518"/>
      <c r="AR169" s="518"/>
      <c r="AS169" s="518"/>
      <c r="AT169" s="518"/>
      <c r="AU169" s="525"/>
      <c r="AV169" s="518"/>
      <c r="AW169" s="518"/>
      <c r="AX169" s="525"/>
    </row>
    <row r="170" spans="1:50" x14ac:dyDescent="0.2">
      <c r="A170" s="639"/>
      <c r="B170" s="640"/>
      <c r="C170" s="640"/>
      <c r="D170" s="640"/>
      <c r="E170" s="640"/>
      <c r="F170" s="640"/>
      <c r="G170" s="640"/>
      <c r="H170" s="640"/>
      <c r="I170" s="640"/>
      <c r="J170" s="640"/>
      <c r="K170" s="640"/>
      <c r="L170" s="640"/>
      <c r="M170" s="640"/>
      <c r="N170" s="640"/>
      <c r="O170" s="640"/>
      <c r="P170" s="640"/>
      <c r="Q170" s="640"/>
      <c r="Y170" s="309"/>
      <c r="Z170" s="305"/>
      <c r="AE170" s="309"/>
      <c r="AF170" s="305"/>
      <c r="AH170" s="309"/>
      <c r="AI170" s="516"/>
      <c r="AO170" s="524"/>
      <c r="AU170" s="524"/>
      <c r="AX170" s="524"/>
    </row>
    <row r="171" spans="1:50" x14ac:dyDescent="0.2">
      <c r="A171" s="639"/>
      <c r="B171" s="640"/>
      <c r="C171" s="640"/>
      <c r="D171" s="640"/>
      <c r="E171" s="640"/>
      <c r="F171" s="640"/>
      <c r="G171" s="640"/>
      <c r="H171" s="640"/>
      <c r="I171" s="640"/>
      <c r="J171" s="640"/>
      <c r="K171" s="640"/>
      <c r="L171" s="640"/>
      <c r="M171" s="640"/>
      <c r="N171" s="640"/>
      <c r="O171" s="640"/>
      <c r="P171" s="640"/>
      <c r="Q171" s="640"/>
      <c r="R171" s="294"/>
      <c r="S171" s="296"/>
      <c r="T171" s="296"/>
      <c r="U171" s="296"/>
      <c r="V171" s="296"/>
      <c r="W171" s="296"/>
      <c r="X171" s="296"/>
      <c r="Y171" s="311"/>
      <c r="Z171" s="306"/>
      <c r="AA171" s="296"/>
      <c r="AB171" s="296"/>
      <c r="AC171" s="296"/>
      <c r="AD171" s="296"/>
      <c r="AE171" s="311"/>
      <c r="AF171" s="306"/>
      <c r="AG171" s="296"/>
      <c r="AH171" s="311"/>
      <c r="AI171" s="516"/>
      <c r="AO171" s="524"/>
      <c r="AU171" s="524"/>
      <c r="AX171" s="524"/>
    </row>
    <row r="172" spans="1:50" x14ac:dyDescent="0.2">
      <c r="A172" s="639"/>
      <c r="B172" s="640"/>
      <c r="C172" s="640"/>
      <c r="D172" s="640"/>
      <c r="E172" s="640"/>
      <c r="F172" s="640"/>
      <c r="G172" s="640"/>
      <c r="H172" s="640"/>
      <c r="I172" s="640"/>
      <c r="J172" s="640"/>
      <c r="K172" s="640"/>
      <c r="L172" s="640"/>
      <c r="M172" s="640"/>
      <c r="N172" s="640"/>
      <c r="O172" s="640"/>
      <c r="P172" s="640"/>
      <c r="Q172" s="640"/>
      <c r="Y172" s="309"/>
      <c r="Z172" s="305"/>
      <c r="AE172" s="309"/>
      <c r="AF172" s="305"/>
      <c r="AH172" s="309"/>
      <c r="AI172" s="516"/>
      <c r="AO172" s="524"/>
      <c r="AU172" s="524"/>
      <c r="AX172" s="524"/>
    </row>
    <row r="173" spans="1:50" x14ac:dyDescent="0.2">
      <c r="A173" s="639"/>
      <c r="B173" s="640"/>
      <c r="C173" s="640"/>
      <c r="D173" s="640"/>
      <c r="E173" s="640"/>
      <c r="F173" s="640"/>
      <c r="G173" s="640"/>
      <c r="H173" s="640"/>
      <c r="I173" s="640"/>
      <c r="J173" s="640"/>
      <c r="K173" s="640"/>
      <c r="L173" s="640"/>
      <c r="M173" s="640"/>
      <c r="N173" s="640"/>
      <c r="O173" s="640"/>
      <c r="P173" s="640"/>
      <c r="Q173" s="640"/>
      <c r="R173" s="294"/>
      <c r="S173" s="296"/>
      <c r="T173" s="296"/>
      <c r="U173" s="296"/>
      <c r="V173" s="296"/>
      <c r="W173" s="296"/>
      <c r="X173" s="296"/>
      <c r="Y173" s="311"/>
      <c r="Z173" s="306"/>
      <c r="AA173" s="296"/>
      <c r="AB173" s="296"/>
      <c r="AC173" s="296"/>
      <c r="AD173" s="296"/>
      <c r="AE173" s="311"/>
      <c r="AF173" s="306"/>
      <c r="AG173" s="296"/>
      <c r="AH173" s="311"/>
      <c r="AI173" s="517"/>
      <c r="AJ173" s="518"/>
      <c r="AK173" s="518"/>
      <c r="AL173" s="518"/>
      <c r="AM173" s="518"/>
      <c r="AN173" s="518"/>
      <c r="AO173" s="525"/>
      <c r="AP173" s="518"/>
      <c r="AQ173" s="518"/>
      <c r="AR173" s="518"/>
      <c r="AS173" s="518"/>
      <c r="AT173" s="518"/>
      <c r="AU173" s="525"/>
      <c r="AV173" s="518"/>
      <c r="AW173" s="518"/>
      <c r="AX173" s="525"/>
    </row>
    <row r="174" spans="1:50" x14ac:dyDescent="0.2">
      <c r="A174" s="639"/>
      <c r="B174" s="640"/>
      <c r="C174" s="640"/>
      <c r="D174" s="640"/>
      <c r="E174" s="640"/>
      <c r="F174" s="640"/>
      <c r="G174" s="640"/>
      <c r="H174" s="640"/>
      <c r="I174" s="640"/>
      <c r="J174" s="640"/>
      <c r="K174" s="640"/>
      <c r="L174" s="640"/>
      <c r="M174" s="640"/>
      <c r="N174" s="640"/>
      <c r="O174" s="640"/>
      <c r="P174" s="640"/>
      <c r="Q174" s="640"/>
      <c r="Y174" s="309"/>
      <c r="Z174" s="305"/>
      <c r="AE174" s="309"/>
      <c r="AF174" s="305"/>
      <c r="AH174" s="309"/>
      <c r="AI174" s="516"/>
      <c r="AO174" s="524"/>
      <c r="AU174" s="524"/>
      <c r="AX174" s="524"/>
    </row>
    <row r="175" spans="1:50" x14ac:dyDescent="0.2">
      <c r="A175" s="639"/>
      <c r="B175" s="640"/>
      <c r="C175" s="640"/>
      <c r="D175" s="640"/>
      <c r="E175" s="640"/>
      <c r="F175" s="640"/>
      <c r="G175" s="640"/>
      <c r="H175" s="640"/>
      <c r="I175" s="640"/>
      <c r="J175" s="640"/>
      <c r="K175" s="640"/>
      <c r="L175" s="640"/>
      <c r="M175" s="640"/>
      <c r="N175" s="640"/>
      <c r="O175" s="640"/>
      <c r="P175" s="640"/>
      <c r="Q175" s="640"/>
      <c r="R175" s="294"/>
      <c r="S175" s="296"/>
      <c r="T175" s="296"/>
      <c r="U175" s="296"/>
      <c r="V175" s="296"/>
      <c r="W175" s="296"/>
      <c r="X175" s="296"/>
      <c r="Y175" s="311"/>
      <c r="Z175" s="306"/>
      <c r="AA175" s="296"/>
      <c r="AB175" s="296"/>
      <c r="AC175" s="296"/>
      <c r="AD175" s="296"/>
      <c r="AE175" s="311"/>
      <c r="AF175" s="306"/>
      <c r="AG175" s="296"/>
      <c r="AH175" s="311"/>
      <c r="AI175" s="516"/>
      <c r="AO175" s="524"/>
      <c r="AU175" s="524"/>
      <c r="AX175" s="524"/>
    </row>
    <row r="176" spans="1:50" x14ac:dyDescent="0.2">
      <c r="A176" s="639"/>
      <c r="B176" s="640"/>
      <c r="C176" s="640"/>
      <c r="D176" s="640"/>
      <c r="E176" s="640"/>
      <c r="F176" s="640"/>
      <c r="G176" s="640"/>
      <c r="H176" s="640"/>
      <c r="I176" s="640"/>
      <c r="J176" s="640"/>
      <c r="K176" s="640"/>
      <c r="L176" s="640"/>
      <c r="M176" s="640"/>
      <c r="N176" s="640"/>
      <c r="O176" s="640"/>
      <c r="P176" s="640"/>
      <c r="Q176" s="640"/>
      <c r="Y176" s="309"/>
      <c r="Z176" s="305"/>
      <c r="AE176" s="309"/>
      <c r="AF176" s="305"/>
      <c r="AH176" s="309"/>
      <c r="AI176" s="516"/>
      <c r="AO176" s="524"/>
      <c r="AU176" s="524"/>
      <c r="AX176" s="524"/>
    </row>
    <row r="177" spans="1:50" ht="13.5" thickBot="1" x14ac:dyDescent="0.25">
      <c r="A177" s="651"/>
      <c r="B177" s="652"/>
      <c r="C177" s="652"/>
      <c r="D177" s="652"/>
      <c r="E177" s="652"/>
      <c r="F177" s="652"/>
      <c r="G177" s="652"/>
      <c r="H177" s="652"/>
      <c r="I177" s="652"/>
      <c r="J177" s="652"/>
      <c r="K177" s="652"/>
      <c r="L177" s="652"/>
      <c r="M177" s="652"/>
      <c r="N177" s="652"/>
      <c r="O177" s="652"/>
      <c r="P177" s="652"/>
      <c r="Q177" s="652"/>
      <c r="S177" s="302"/>
      <c r="T177" s="302"/>
      <c r="U177" s="302"/>
      <c r="V177" s="302"/>
      <c r="W177" s="302"/>
      <c r="X177" s="302"/>
      <c r="Y177" s="312"/>
      <c r="Z177" s="307"/>
      <c r="AA177" s="302"/>
      <c r="AB177" s="302"/>
      <c r="AC177" s="302"/>
      <c r="AD177" s="302"/>
      <c r="AE177" s="312"/>
      <c r="AF177" s="307"/>
      <c r="AG177" s="302"/>
      <c r="AH177" s="312"/>
      <c r="AI177" s="519"/>
      <c r="AJ177" s="520"/>
      <c r="AK177" s="520"/>
      <c r="AL177" s="520"/>
      <c r="AM177" s="520"/>
      <c r="AN177" s="520"/>
      <c r="AO177" s="526"/>
      <c r="AP177" s="520"/>
      <c r="AQ177" s="520"/>
      <c r="AR177" s="520"/>
      <c r="AS177" s="520"/>
      <c r="AT177" s="520"/>
      <c r="AU177" s="526"/>
      <c r="AV177" s="520"/>
      <c r="AW177" s="520"/>
      <c r="AX177" s="526"/>
    </row>
    <row r="178" spans="1:50" x14ac:dyDescent="0.2">
      <c r="A178" s="638"/>
      <c r="B178" s="640"/>
      <c r="C178" s="640"/>
      <c r="D178" s="640"/>
      <c r="E178" s="640"/>
      <c r="F178" s="640"/>
      <c r="G178" s="640"/>
      <c r="H178" s="640"/>
      <c r="I178" s="640"/>
      <c r="J178" s="640"/>
      <c r="K178" s="640"/>
      <c r="L178" s="640"/>
      <c r="M178" s="640"/>
      <c r="N178" s="640"/>
      <c r="O178" s="640"/>
      <c r="P178" s="640"/>
      <c r="Q178" s="640"/>
      <c r="Y178" s="309"/>
      <c r="Z178" s="305"/>
      <c r="AE178" s="309"/>
      <c r="AF178" s="305"/>
      <c r="AH178" s="309"/>
      <c r="AI178" s="516"/>
      <c r="AO178" s="524"/>
      <c r="AU178" s="524"/>
      <c r="AX178" s="524"/>
    </row>
    <row r="179" spans="1:50" x14ac:dyDescent="0.2">
      <c r="A179" s="639"/>
      <c r="B179" s="640"/>
      <c r="C179" s="640"/>
      <c r="D179" s="640"/>
      <c r="E179" s="640"/>
      <c r="F179" s="640"/>
      <c r="G179" s="640"/>
      <c r="H179" s="640"/>
      <c r="I179" s="640"/>
      <c r="J179" s="640"/>
      <c r="K179" s="640"/>
      <c r="L179" s="640"/>
      <c r="M179" s="640"/>
      <c r="N179" s="640"/>
      <c r="O179" s="640"/>
      <c r="P179" s="640"/>
      <c r="Q179" s="640"/>
      <c r="S179" s="295"/>
      <c r="T179" s="295"/>
      <c r="U179" s="295"/>
      <c r="V179" s="295"/>
      <c r="W179" s="295"/>
      <c r="X179" s="295"/>
      <c r="Y179" s="310"/>
      <c r="Z179" s="305"/>
      <c r="AA179" s="295"/>
      <c r="AB179" s="295"/>
      <c r="AC179" s="295"/>
      <c r="AD179" s="295"/>
      <c r="AE179" s="310"/>
      <c r="AF179" s="305"/>
      <c r="AG179" s="295"/>
      <c r="AH179" s="310"/>
      <c r="AI179" s="516"/>
      <c r="AO179" s="524"/>
      <c r="AU179" s="524"/>
      <c r="AX179" s="524"/>
    </row>
    <row r="180" spans="1:50" x14ac:dyDescent="0.2">
      <c r="A180" s="639"/>
      <c r="B180" s="640"/>
      <c r="C180" s="640"/>
      <c r="D180" s="640"/>
      <c r="E180" s="640"/>
      <c r="F180" s="640"/>
      <c r="G180" s="640"/>
      <c r="H180" s="640"/>
      <c r="I180" s="640"/>
      <c r="J180" s="640"/>
      <c r="K180" s="640"/>
      <c r="L180" s="640"/>
      <c r="M180" s="640"/>
      <c r="N180" s="640"/>
      <c r="O180" s="640"/>
      <c r="P180" s="640"/>
      <c r="Q180" s="640"/>
      <c r="S180" s="296"/>
      <c r="T180" s="296"/>
      <c r="U180" s="296"/>
      <c r="V180" s="296"/>
      <c r="W180" s="296"/>
      <c r="X180" s="296"/>
      <c r="Y180" s="311"/>
      <c r="Z180" s="306"/>
      <c r="AA180" s="296"/>
      <c r="AB180" s="296"/>
      <c r="AC180" s="296"/>
      <c r="AD180" s="296"/>
      <c r="AE180" s="311"/>
      <c r="AF180" s="306"/>
      <c r="AG180" s="296"/>
      <c r="AH180" s="311"/>
      <c r="AI180" s="516"/>
      <c r="AO180" s="524"/>
      <c r="AU180" s="524"/>
      <c r="AX180" s="524"/>
    </row>
    <row r="181" spans="1:50" x14ac:dyDescent="0.2">
      <c r="A181" s="639"/>
      <c r="B181" s="640"/>
      <c r="C181" s="640"/>
      <c r="D181" s="640"/>
      <c r="E181" s="640"/>
      <c r="F181" s="640"/>
      <c r="G181" s="640"/>
      <c r="H181" s="640"/>
      <c r="I181" s="640"/>
      <c r="J181" s="640"/>
      <c r="K181" s="640"/>
      <c r="L181" s="640"/>
      <c r="M181" s="640"/>
      <c r="N181" s="640"/>
      <c r="O181" s="640"/>
      <c r="P181" s="640"/>
      <c r="Q181" s="640"/>
      <c r="Y181" s="309"/>
      <c r="Z181" s="305"/>
      <c r="AE181" s="309"/>
      <c r="AF181" s="305"/>
      <c r="AH181" s="309"/>
      <c r="AI181" s="516"/>
      <c r="AO181" s="524"/>
      <c r="AU181" s="524"/>
      <c r="AX181" s="524"/>
    </row>
    <row r="182" spans="1:50" x14ac:dyDescent="0.2">
      <c r="A182" s="639"/>
      <c r="B182" s="640"/>
      <c r="C182" s="640"/>
      <c r="D182" s="640"/>
      <c r="E182" s="640"/>
      <c r="F182" s="640"/>
      <c r="G182" s="640"/>
      <c r="H182" s="640"/>
      <c r="I182" s="640"/>
      <c r="J182" s="640"/>
      <c r="K182" s="640"/>
      <c r="L182" s="640"/>
      <c r="M182" s="640"/>
      <c r="N182" s="640"/>
      <c r="O182" s="640"/>
      <c r="P182" s="640"/>
      <c r="Q182" s="640"/>
      <c r="R182" s="294"/>
      <c r="S182" s="296"/>
      <c r="T182" s="296"/>
      <c r="U182" s="296"/>
      <c r="V182" s="296"/>
      <c r="W182" s="296"/>
      <c r="X182" s="296"/>
      <c r="Y182" s="311"/>
      <c r="Z182" s="306"/>
      <c r="AA182" s="296"/>
      <c r="AB182" s="296"/>
      <c r="AC182" s="296"/>
      <c r="AD182" s="296"/>
      <c r="AE182" s="311"/>
      <c r="AF182" s="306"/>
      <c r="AG182" s="296"/>
      <c r="AH182" s="311"/>
      <c r="AI182" s="517"/>
      <c r="AJ182" s="518"/>
      <c r="AK182" s="527"/>
      <c r="AL182" s="518"/>
      <c r="AM182" s="518"/>
      <c r="AN182" s="518"/>
      <c r="AO182" s="525"/>
      <c r="AP182" s="518"/>
      <c r="AQ182" s="527"/>
      <c r="AR182" s="527"/>
      <c r="AS182" s="527"/>
      <c r="AT182" s="518"/>
      <c r="AU182" s="525"/>
      <c r="AV182" s="518"/>
      <c r="AW182" s="518"/>
      <c r="AX182" s="525"/>
    </row>
    <row r="183" spans="1:50" x14ac:dyDescent="0.2">
      <c r="A183" s="639"/>
      <c r="B183" s="640"/>
      <c r="C183" s="640"/>
      <c r="D183" s="640"/>
      <c r="E183" s="640"/>
      <c r="F183" s="640"/>
      <c r="G183" s="640"/>
      <c r="H183" s="640"/>
      <c r="I183" s="640"/>
      <c r="J183" s="640"/>
      <c r="K183" s="640"/>
      <c r="L183" s="640"/>
      <c r="M183" s="640"/>
      <c r="N183" s="640"/>
      <c r="O183" s="640"/>
      <c r="P183" s="640"/>
      <c r="Q183" s="640"/>
      <c r="Y183" s="309"/>
      <c r="Z183" s="305"/>
      <c r="AE183" s="309"/>
      <c r="AF183" s="305"/>
      <c r="AH183" s="309"/>
      <c r="AI183" s="516"/>
      <c r="AO183" s="524"/>
      <c r="AU183" s="524"/>
      <c r="AX183" s="524"/>
    </row>
    <row r="184" spans="1:50" x14ac:dyDescent="0.2">
      <c r="A184" s="649"/>
      <c r="B184" s="650"/>
      <c r="C184" s="650"/>
      <c r="D184" s="650"/>
      <c r="E184" s="650"/>
      <c r="F184" s="650"/>
      <c r="G184" s="650"/>
      <c r="H184" s="650"/>
      <c r="I184" s="650"/>
      <c r="J184" s="650"/>
      <c r="K184" s="650"/>
      <c r="L184" s="650"/>
      <c r="M184" s="650"/>
      <c r="N184" s="650"/>
      <c r="O184" s="650"/>
      <c r="P184" s="650"/>
      <c r="Q184" s="650"/>
      <c r="S184" s="296"/>
      <c r="T184" s="296"/>
      <c r="U184" s="296"/>
      <c r="V184" s="296"/>
      <c r="W184" s="296"/>
      <c r="X184" s="296"/>
      <c r="Y184" s="311"/>
      <c r="Z184" s="306"/>
      <c r="AA184" s="296"/>
      <c r="AB184" s="296"/>
      <c r="AC184" s="296"/>
      <c r="AD184" s="296"/>
      <c r="AE184" s="311"/>
      <c r="AF184" s="306"/>
      <c r="AG184" s="296"/>
      <c r="AH184" s="311"/>
      <c r="AI184" s="516"/>
      <c r="AO184" s="524"/>
      <c r="AU184" s="524"/>
      <c r="AX184" s="524"/>
    </row>
    <row r="185" spans="1:50" x14ac:dyDescent="0.2">
      <c r="A185" s="639"/>
      <c r="B185" s="640"/>
      <c r="C185" s="640"/>
      <c r="D185" s="640"/>
      <c r="E185" s="640"/>
      <c r="F185" s="640"/>
      <c r="G185" s="640"/>
      <c r="H185" s="640"/>
      <c r="I185" s="640"/>
      <c r="J185" s="640"/>
      <c r="K185" s="640"/>
      <c r="L185" s="640"/>
      <c r="M185" s="640"/>
      <c r="N185" s="640"/>
      <c r="O185" s="640"/>
      <c r="P185" s="640"/>
      <c r="Q185" s="640"/>
      <c r="Y185" s="309"/>
      <c r="Z185" s="305"/>
      <c r="AE185" s="309"/>
      <c r="AF185" s="305"/>
      <c r="AH185" s="309"/>
      <c r="AI185" s="516"/>
      <c r="AO185" s="524"/>
      <c r="AU185" s="524"/>
      <c r="AX185" s="524"/>
    </row>
    <row r="186" spans="1:50" x14ac:dyDescent="0.2">
      <c r="A186" s="639"/>
      <c r="B186" s="640"/>
      <c r="C186" s="640"/>
      <c r="D186" s="640"/>
      <c r="E186" s="640"/>
      <c r="F186" s="640"/>
      <c r="G186" s="640"/>
      <c r="H186" s="640"/>
      <c r="I186" s="640"/>
      <c r="J186" s="640"/>
      <c r="K186" s="640"/>
      <c r="L186" s="640"/>
      <c r="M186" s="640"/>
      <c r="N186" s="640"/>
      <c r="O186" s="640"/>
      <c r="P186" s="640"/>
      <c r="Q186" s="640"/>
      <c r="R186" s="294"/>
      <c r="S186" s="296"/>
      <c r="T186" s="296"/>
      <c r="U186" s="296"/>
      <c r="V186" s="296"/>
      <c r="W186" s="296"/>
      <c r="X186" s="296"/>
      <c r="Y186" s="311"/>
      <c r="Z186" s="306"/>
      <c r="AA186" s="296"/>
      <c r="AB186" s="296"/>
      <c r="AC186" s="296"/>
      <c r="AD186" s="296"/>
      <c r="AE186" s="311"/>
      <c r="AF186" s="306"/>
      <c r="AG186" s="296"/>
      <c r="AH186" s="311"/>
      <c r="AI186" s="517"/>
      <c r="AJ186" s="518"/>
      <c r="AK186" s="527"/>
      <c r="AL186" s="518"/>
      <c r="AM186" s="518"/>
      <c r="AN186" s="518"/>
      <c r="AO186" s="525"/>
      <c r="AP186" s="518"/>
      <c r="AQ186" s="527"/>
      <c r="AR186" s="636"/>
      <c r="AS186" s="636"/>
      <c r="AT186" s="518"/>
      <c r="AU186" s="525"/>
      <c r="AV186" s="527"/>
      <c r="AW186" s="518"/>
      <c r="AX186" s="525"/>
    </row>
    <row r="187" spans="1:50" x14ac:dyDescent="0.2">
      <c r="A187" s="639"/>
      <c r="B187" s="640"/>
      <c r="C187" s="640"/>
      <c r="D187" s="640"/>
      <c r="E187" s="640"/>
      <c r="F187" s="640"/>
      <c r="G187" s="640"/>
      <c r="H187" s="640"/>
      <c r="I187" s="640"/>
      <c r="J187" s="640"/>
      <c r="K187" s="640"/>
      <c r="L187" s="640"/>
      <c r="M187" s="640"/>
      <c r="N187" s="640"/>
      <c r="O187" s="640"/>
      <c r="P187" s="640"/>
      <c r="Q187" s="640"/>
      <c r="Y187" s="309"/>
      <c r="Z187" s="305"/>
      <c r="AE187" s="309"/>
      <c r="AF187" s="305"/>
      <c r="AH187" s="309"/>
      <c r="AI187" s="516"/>
      <c r="AO187" s="524"/>
      <c r="AU187" s="524"/>
      <c r="AX187" s="524"/>
    </row>
    <row r="188" spans="1:50" x14ac:dyDescent="0.2">
      <c r="A188" s="639"/>
      <c r="B188" s="640"/>
      <c r="C188" s="640"/>
      <c r="D188" s="640"/>
      <c r="E188" s="640"/>
      <c r="F188" s="640"/>
      <c r="G188" s="640"/>
      <c r="H188" s="640"/>
      <c r="I188" s="640"/>
      <c r="J188" s="640"/>
      <c r="K188" s="640"/>
      <c r="L188" s="640"/>
      <c r="M188" s="640"/>
      <c r="N188" s="640"/>
      <c r="O188" s="640"/>
      <c r="P188" s="640"/>
      <c r="Q188" s="640"/>
      <c r="R188" s="294"/>
      <c r="S188" s="296"/>
      <c r="T188" s="296"/>
      <c r="U188" s="296"/>
      <c r="V188" s="296"/>
      <c r="W188" s="296"/>
      <c r="X188" s="296"/>
      <c r="Y188" s="311"/>
      <c r="Z188" s="306"/>
      <c r="AA188" s="296"/>
      <c r="AB188" s="296"/>
      <c r="AC188" s="296"/>
      <c r="AD188" s="296"/>
      <c r="AE188" s="311"/>
      <c r="AF188" s="306"/>
      <c r="AG188" s="296"/>
      <c r="AH188" s="311"/>
      <c r="AI188" s="516"/>
      <c r="AO188" s="524"/>
      <c r="AU188" s="524"/>
      <c r="AX188" s="524"/>
    </row>
    <row r="189" spans="1:50" x14ac:dyDescent="0.2">
      <c r="A189" s="639"/>
      <c r="B189" s="640"/>
      <c r="C189" s="640"/>
      <c r="D189" s="640"/>
      <c r="E189" s="640"/>
      <c r="F189" s="640"/>
      <c r="G189" s="640"/>
      <c r="H189" s="640"/>
      <c r="I189" s="640"/>
      <c r="J189" s="640"/>
      <c r="K189" s="640"/>
      <c r="L189" s="640"/>
      <c r="M189" s="640"/>
      <c r="N189" s="640"/>
      <c r="O189" s="640"/>
      <c r="P189" s="640"/>
      <c r="Q189" s="640"/>
      <c r="Y189" s="309"/>
      <c r="Z189" s="305"/>
      <c r="AE189" s="309"/>
      <c r="AF189" s="305"/>
      <c r="AH189" s="309"/>
      <c r="AI189" s="516"/>
      <c r="AO189" s="524"/>
      <c r="AU189" s="524"/>
      <c r="AX189" s="524"/>
    </row>
    <row r="190" spans="1:50" x14ac:dyDescent="0.2">
      <c r="A190" s="639"/>
      <c r="B190" s="640"/>
      <c r="C190" s="640"/>
      <c r="D190" s="640"/>
      <c r="E190" s="640"/>
      <c r="F190" s="640"/>
      <c r="G190" s="640"/>
      <c r="H190" s="640"/>
      <c r="I190" s="640"/>
      <c r="J190" s="640"/>
      <c r="K190" s="640"/>
      <c r="L190" s="640"/>
      <c r="M190" s="640"/>
      <c r="N190" s="640"/>
      <c r="O190" s="640"/>
      <c r="P190" s="640"/>
      <c r="Q190" s="640"/>
      <c r="R190" s="294"/>
      <c r="S190" s="296"/>
      <c r="T190" s="296"/>
      <c r="U190" s="296"/>
      <c r="V190" s="296"/>
      <c r="W190" s="296"/>
      <c r="X190" s="296"/>
      <c r="Y190" s="311"/>
      <c r="Z190" s="306"/>
      <c r="AA190" s="296"/>
      <c r="AB190" s="296"/>
      <c r="AC190" s="296"/>
      <c r="AD190" s="296"/>
      <c r="AE190" s="311"/>
      <c r="AF190" s="306"/>
      <c r="AG190" s="296"/>
      <c r="AH190" s="311"/>
      <c r="AI190" s="517"/>
      <c r="AJ190" s="518"/>
      <c r="AK190" s="518"/>
      <c r="AL190" s="527"/>
      <c r="AM190" s="518"/>
      <c r="AN190" s="518"/>
      <c r="AO190" s="525"/>
      <c r="AP190" s="518"/>
      <c r="AQ190" s="527"/>
      <c r="AR190" s="527"/>
      <c r="AS190" s="527"/>
      <c r="AT190" s="518"/>
      <c r="AU190" s="525"/>
      <c r="AV190" s="518"/>
      <c r="AW190" s="518"/>
      <c r="AX190" s="525"/>
    </row>
    <row r="191" spans="1:50" x14ac:dyDescent="0.2">
      <c r="A191" s="639"/>
      <c r="B191" s="640"/>
      <c r="C191" s="640"/>
      <c r="D191" s="640"/>
      <c r="E191" s="640"/>
      <c r="F191" s="640"/>
      <c r="G191" s="640"/>
      <c r="H191" s="640"/>
      <c r="I191" s="640"/>
      <c r="J191" s="640"/>
      <c r="K191" s="640"/>
      <c r="L191" s="640"/>
      <c r="M191" s="640"/>
      <c r="N191" s="640"/>
      <c r="O191" s="640"/>
      <c r="P191" s="640"/>
      <c r="Q191" s="640"/>
      <c r="Y191" s="309"/>
      <c r="Z191" s="305"/>
      <c r="AE191" s="309"/>
      <c r="AF191" s="305"/>
      <c r="AH191" s="309"/>
      <c r="AI191" s="516"/>
      <c r="AO191" s="524"/>
      <c r="AU191" s="524"/>
      <c r="AX191" s="524"/>
    </row>
    <row r="192" spans="1:50" x14ac:dyDescent="0.2">
      <c r="A192" s="639"/>
      <c r="B192" s="640"/>
      <c r="C192" s="640"/>
      <c r="D192" s="640"/>
      <c r="E192" s="640"/>
      <c r="F192" s="640"/>
      <c r="G192" s="640"/>
      <c r="H192" s="640"/>
      <c r="I192" s="640"/>
      <c r="J192" s="640"/>
      <c r="K192" s="640"/>
      <c r="L192" s="640"/>
      <c r="M192" s="640"/>
      <c r="N192" s="640"/>
      <c r="O192" s="640"/>
      <c r="P192" s="640"/>
      <c r="Q192" s="640"/>
      <c r="R192" s="294"/>
      <c r="S192" s="296"/>
      <c r="T192" s="296"/>
      <c r="U192" s="296"/>
      <c r="V192" s="296"/>
      <c r="W192" s="296"/>
      <c r="X192" s="296"/>
      <c r="Y192" s="311"/>
      <c r="Z192" s="306"/>
      <c r="AA192" s="296"/>
      <c r="AB192" s="296"/>
      <c r="AC192" s="296"/>
      <c r="AD192" s="296"/>
      <c r="AE192" s="311"/>
      <c r="AF192" s="306"/>
      <c r="AG192" s="296"/>
      <c r="AH192" s="311"/>
      <c r="AI192" s="516"/>
      <c r="AO192" s="524"/>
      <c r="AU192" s="524"/>
      <c r="AX192" s="524"/>
    </row>
    <row r="193" spans="1:50" x14ac:dyDescent="0.2">
      <c r="A193" s="639"/>
      <c r="B193" s="640"/>
      <c r="C193" s="640"/>
      <c r="D193" s="640"/>
      <c r="E193" s="640"/>
      <c r="F193" s="640"/>
      <c r="G193" s="640"/>
      <c r="H193" s="640"/>
      <c r="I193" s="640"/>
      <c r="J193" s="640"/>
      <c r="K193" s="640"/>
      <c r="L193" s="640"/>
      <c r="M193" s="640"/>
      <c r="N193" s="640"/>
      <c r="O193" s="640"/>
      <c r="P193" s="640"/>
      <c r="Q193" s="640"/>
      <c r="Y193" s="309"/>
      <c r="Z193" s="305"/>
      <c r="AE193" s="309"/>
      <c r="AF193" s="305"/>
      <c r="AH193" s="309"/>
      <c r="AI193" s="516"/>
      <c r="AO193" s="524"/>
      <c r="AU193" s="524"/>
      <c r="AX193" s="524"/>
    </row>
    <row r="194" spans="1:50" x14ac:dyDescent="0.2">
      <c r="A194" s="639"/>
      <c r="B194" s="640"/>
      <c r="C194" s="640"/>
      <c r="D194" s="640"/>
      <c r="E194" s="640"/>
      <c r="F194" s="640"/>
      <c r="G194" s="640"/>
      <c r="H194" s="640"/>
      <c r="I194" s="640"/>
      <c r="J194" s="640"/>
      <c r="K194" s="640"/>
      <c r="L194" s="640"/>
      <c r="M194" s="640"/>
      <c r="N194" s="640"/>
      <c r="O194" s="640"/>
      <c r="P194" s="640"/>
      <c r="Q194" s="640"/>
      <c r="R194" s="294"/>
      <c r="S194" s="296"/>
      <c r="T194" s="296"/>
      <c r="U194" s="296"/>
      <c r="V194" s="296"/>
      <c r="W194" s="296"/>
      <c r="X194" s="296"/>
      <c r="Y194" s="311"/>
      <c r="Z194" s="306"/>
      <c r="AA194" s="296"/>
      <c r="AB194" s="296"/>
      <c r="AC194" s="296"/>
      <c r="AD194" s="296"/>
      <c r="AE194" s="311"/>
      <c r="AF194" s="306"/>
      <c r="AG194" s="296"/>
      <c r="AH194" s="311"/>
      <c r="AI194" s="517"/>
      <c r="AJ194" s="518"/>
      <c r="AK194" s="518"/>
      <c r="AL194" s="518"/>
      <c r="AM194" s="518"/>
      <c r="AN194" s="527"/>
      <c r="AO194" s="525"/>
      <c r="AP194" s="518"/>
      <c r="AQ194" s="527"/>
      <c r="AR194" s="636"/>
      <c r="AS194" s="636"/>
      <c r="AT194" s="518"/>
      <c r="AU194" s="525"/>
      <c r="AV194" s="518"/>
      <c r="AW194" s="518"/>
      <c r="AX194" s="525"/>
    </row>
    <row r="195" spans="1:50" x14ac:dyDescent="0.2">
      <c r="A195" s="639"/>
      <c r="B195" s="640"/>
      <c r="C195" s="640"/>
      <c r="D195" s="640"/>
      <c r="E195" s="640"/>
      <c r="F195" s="640"/>
      <c r="G195" s="640"/>
      <c r="H195" s="640"/>
      <c r="I195" s="640"/>
      <c r="J195" s="640"/>
      <c r="K195" s="640"/>
      <c r="L195" s="640"/>
      <c r="M195" s="640"/>
      <c r="N195" s="640"/>
      <c r="O195" s="640"/>
      <c r="P195" s="640"/>
      <c r="Q195" s="640"/>
      <c r="Y195" s="309"/>
      <c r="Z195" s="305"/>
      <c r="AE195" s="309"/>
      <c r="AF195" s="305"/>
      <c r="AH195" s="309"/>
      <c r="AI195" s="516"/>
      <c r="AO195" s="524"/>
      <c r="AU195" s="524"/>
      <c r="AX195" s="524"/>
    </row>
    <row r="196" spans="1:50" x14ac:dyDescent="0.2">
      <c r="A196" s="639"/>
      <c r="B196" s="640"/>
      <c r="C196" s="640"/>
      <c r="D196" s="640"/>
      <c r="E196" s="640"/>
      <c r="F196" s="640"/>
      <c r="G196" s="640"/>
      <c r="H196" s="640"/>
      <c r="I196" s="640"/>
      <c r="J196" s="640"/>
      <c r="K196" s="640"/>
      <c r="L196" s="640"/>
      <c r="M196" s="640"/>
      <c r="N196" s="640"/>
      <c r="O196" s="640"/>
      <c r="P196" s="640"/>
      <c r="Q196" s="640"/>
      <c r="R196" s="294"/>
      <c r="S196" s="296"/>
      <c r="T196" s="296"/>
      <c r="U196" s="296"/>
      <c r="V196" s="296"/>
      <c r="W196" s="296"/>
      <c r="X196" s="296"/>
      <c r="Y196" s="311"/>
      <c r="Z196" s="306"/>
      <c r="AA196" s="296"/>
      <c r="AB196" s="296"/>
      <c r="AC196" s="296"/>
      <c r="AD196" s="296"/>
      <c r="AE196" s="311"/>
      <c r="AF196" s="306"/>
      <c r="AG196" s="296"/>
      <c r="AH196" s="311"/>
      <c r="AI196" s="516"/>
      <c r="AO196" s="524"/>
      <c r="AU196" s="524"/>
      <c r="AX196" s="524"/>
    </row>
    <row r="197" spans="1:50" x14ac:dyDescent="0.2">
      <c r="A197" s="639"/>
      <c r="B197" s="640"/>
      <c r="C197" s="640"/>
      <c r="D197" s="640"/>
      <c r="E197" s="640"/>
      <c r="F197" s="640"/>
      <c r="G197" s="640"/>
      <c r="H197" s="640"/>
      <c r="I197" s="640"/>
      <c r="J197" s="640"/>
      <c r="K197" s="640"/>
      <c r="L197" s="640"/>
      <c r="M197" s="640"/>
      <c r="N197" s="640"/>
      <c r="O197" s="640"/>
      <c r="P197" s="640"/>
      <c r="Q197" s="640"/>
      <c r="Y197" s="309"/>
      <c r="Z197" s="305"/>
      <c r="AE197" s="309"/>
      <c r="AF197" s="305"/>
      <c r="AH197" s="309"/>
      <c r="AI197" s="516"/>
      <c r="AO197" s="524"/>
      <c r="AU197" s="524"/>
      <c r="AX197" s="524"/>
    </row>
    <row r="198" spans="1:50" x14ac:dyDescent="0.2">
      <c r="A198" s="639"/>
      <c r="B198" s="640"/>
      <c r="C198" s="640"/>
      <c r="D198" s="640"/>
      <c r="E198" s="640"/>
      <c r="F198" s="640"/>
      <c r="G198" s="640"/>
      <c r="H198" s="640"/>
      <c r="I198" s="640"/>
      <c r="J198" s="640"/>
      <c r="K198" s="640"/>
      <c r="L198" s="640"/>
      <c r="M198" s="640"/>
      <c r="N198" s="640"/>
      <c r="O198" s="640"/>
      <c r="P198" s="640"/>
      <c r="Q198" s="640"/>
      <c r="R198" s="294"/>
      <c r="S198" s="296"/>
      <c r="T198" s="296"/>
      <c r="U198" s="296"/>
      <c r="V198" s="296"/>
      <c r="W198" s="296"/>
      <c r="X198" s="296"/>
      <c r="Y198" s="311"/>
      <c r="Z198" s="306"/>
      <c r="AA198" s="296"/>
      <c r="AB198" s="296"/>
      <c r="AC198" s="296"/>
      <c r="AD198" s="296"/>
      <c r="AE198" s="311"/>
      <c r="AF198" s="306"/>
      <c r="AG198" s="296"/>
      <c r="AH198" s="311"/>
      <c r="AI198" s="517"/>
      <c r="AJ198" s="518"/>
      <c r="AK198" s="527"/>
      <c r="AL198" s="527"/>
      <c r="AM198" s="518"/>
      <c r="AN198" s="518"/>
      <c r="AO198" s="525"/>
      <c r="AP198" s="518"/>
      <c r="AQ198" s="518"/>
      <c r="AR198" s="518"/>
      <c r="AS198" s="518"/>
      <c r="AT198" s="518"/>
      <c r="AU198" s="525"/>
      <c r="AV198" s="527"/>
      <c r="AW198" s="518"/>
      <c r="AX198" s="525"/>
    </row>
    <row r="199" spans="1:50" x14ac:dyDescent="0.2">
      <c r="A199" s="639"/>
      <c r="B199" s="640"/>
      <c r="C199" s="640"/>
      <c r="D199" s="640"/>
      <c r="E199" s="640"/>
      <c r="F199" s="640"/>
      <c r="G199" s="640"/>
      <c r="H199" s="640"/>
      <c r="I199" s="640"/>
      <c r="J199" s="640"/>
      <c r="K199" s="640"/>
      <c r="L199" s="640"/>
      <c r="M199" s="640"/>
      <c r="N199" s="640"/>
      <c r="O199" s="640"/>
      <c r="P199" s="640"/>
      <c r="Q199" s="640"/>
      <c r="Y199" s="309"/>
      <c r="Z199" s="305"/>
      <c r="AE199" s="309"/>
      <c r="AF199" s="305"/>
      <c r="AH199" s="309"/>
      <c r="AI199" s="516"/>
      <c r="AO199" s="524"/>
      <c r="AU199" s="524"/>
      <c r="AX199" s="524"/>
    </row>
    <row r="200" spans="1:50" x14ac:dyDescent="0.2">
      <c r="A200" s="639"/>
      <c r="B200" s="640"/>
      <c r="C200" s="640"/>
      <c r="D200" s="640"/>
      <c r="E200" s="640"/>
      <c r="F200" s="640"/>
      <c r="G200" s="640"/>
      <c r="H200" s="640"/>
      <c r="I200" s="640"/>
      <c r="J200" s="640"/>
      <c r="K200" s="640"/>
      <c r="L200" s="640"/>
      <c r="M200" s="640"/>
      <c r="N200" s="640"/>
      <c r="O200" s="640"/>
      <c r="P200" s="640"/>
      <c r="Q200" s="640"/>
      <c r="R200" s="294"/>
      <c r="S200" s="296"/>
      <c r="T200" s="296"/>
      <c r="U200" s="296"/>
      <c r="V200" s="296"/>
      <c r="W200" s="296"/>
      <c r="X200" s="296"/>
      <c r="Y200" s="311"/>
      <c r="Z200" s="306"/>
      <c r="AA200" s="296"/>
      <c r="AB200" s="296"/>
      <c r="AC200" s="296"/>
      <c r="AD200" s="296"/>
      <c r="AE200" s="311"/>
      <c r="AF200" s="306"/>
      <c r="AG200" s="296"/>
      <c r="AH200" s="311"/>
      <c r="AI200" s="516"/>
      <c r="AO200" s="524"/>
      <c r="AU200" s="524"/>
      <c r="AX200" s="524"/>
    </row>
    <row r="201" spans="1:50" x14ac:dyDescent="0.2">
      <c r="A201" s="639"/>
      <c r="B201" s="640"/>
      <c r="C201" s="640"/>
      <c r="D201" s="640"/>
      <c r="E201" s="640"/>
      <c r="F201" s="640"/>
      <c r="G201" s="640"/>
      <c r="H201" s="640"/>
      <c r="I201" s="640"/>
      <c r="J201" s="640"/>
      <c r="K201" s="640"/>
      <c r="L201" s="640"/>
      <c r="M201" s="640"/>
      <c r="N201" s="640"/>
      <c r="O201" s="640"/>
      <c r="P201" s="640"/>
      <c r="Q201" s="640"/>
      <c r="Y201" s="309"/>
      <c r="Z201" s="305"/>
      <c r="AE201" s="309"/>
      <c r="AF201" s="305"/>
      <c r="AH201" s="309"/>
      <c r="AI201" s="516"/>
      <c r="AO201" s="524"/>
      <c r="AU201" s="524"/>
      <c r="AX201" s="524"/>
    </row>
    <row r="202" spans="1:50" x14ac:dyDescent="0.2">
      <c r="A202" s="639"/>
      <c r="B202" s="640"/>
      <c r="C202" s="640"/>
      <c r="D202" s="640"/>
      <c r="E202" s="640"/>
      <c r="F202" s="640"/>
      <c r="G202" s="640"/>
      <c r="H202" s="640"/>
      <c r="I202" s="640"/>
      <c r="J202" s="640"/>
      <c r="K202" s="640"/>
      <c r="L202" s="640"/>
      <c r="M202" s="640"/>
      <c r="N202" s="640"/>
      <c r="O202" s="640"/>
      <c r="P202" s="640"/>
      <c r="Q202" s="640"/>
      <c r="R202" s="294"/>
      <c r="S202" s="296"/>
      <c r="T202" s="296"/>
      <c r="U202" s="296"/>
      <c r="V202" s="296"/>
      <c r="W202" s="296"/>
      <c r="X202" s="296"/>
      <c r="Y202" s="311"/>
      <c r="Z202" s="306"/>
      <c r="AA202" s="296"/>
      <c r="AB202" s="296"/>
      <c r="AC202" s="296"/>
      <c r="AD202" s="296"/>
      <c r="AE202" s="311"/>
      <c r="AF202" s="306"/>
      <c r="AG202" s="296"/>
      <c r="AH202" s="311"/>
      <c r="AI202" s="517"/>
      <c r="AJ202" s="518"/>
      <c r="AK202" s="518"/>
      <c r="AL202" s="518"/>
      <c r="AM202" s="518"/>
      <c r="AN202" s="518"/>
      <c r="AO202" s="525"/>
      <c r="AP202" s="518"/>
      <c r="AQ202" s="518"/>
      <c r="AR202" s="518"/>
      <c r="AS202" s="518"/>
      <c r="AT202" s="518"/>
      <c r="AU202" s="525"/>
      <c r="AV202" s="518"/>
      <c r="AW202" s="518"/>
      <c r="AX202" s="525"/>
    </row>
    <row r="203" spans="1:50" x14ac:dyDescent="0.2">
      <c r="A203" s="639"/>
      <c r="B203" s="640"/>
      <c r="C203" s="640"/>
      <c r="D203" s="640"/>
      <c r="E203" s="640"/>
      <c r="F203" s="640"/>
      <c r="G203" s="640"/>
      <c r="H203" s="640"/>
      <c r="I203" s="640"/>
      <c r="J203" s="640"/>
      <c r="K203" s="640"/>
      <c r="L203" s="640"/>
      <c r="M203" s="640"/>
      <c r="N203" s="640"/>
      <c r="O203" s="640"/>
      <c r="P203" s="640"/>
      <c r="Q203" s="640"/>
      <c r="Y203" s="309"/>
      <c r="Z203" s="305"/>
      <c r="AE203" s="309"/>
      <c r="AF203" s="305"/>
      <c r="AH203" s="309"/>
      <c r="AI203" s="516"/>
      <c r="AO203" s="524"/>
      <c r="AU203" s="524"/>
      <c r="AX203" s="524"/>
    </row>
    <row r="204" spans="1:50" x14ac:dyDescent="0.2">
      <c r="A204" s="639"/>
      <c r="B204" s="640"/>
      <c r="C204" s="640"/>
      <c r="D204" s="640"/>
      <c r="E204" s="640"/>
      <c r="F204" s="640"/>
      <c r="G204" s="640"/>
      <c r="H204" s="640"/>
      <c r="I204" s="640"/>
      <c r="J204" s="640"/>
      <c r="K204" s="640"/>
      <c r="L204" s="640"/>
      <c r="M204" s="640"/>
      <c r="N204" s="640"/>
      <c r="O204" s="640"/>
      <c r="P204" s="640"/>
      <c r="Q204" s="640"/>
      <c r="R204" s="294"/>
      <c r="S204" s="296"/>
      <c r="T204" s="296"/>
      <c r="U204" s="296"/>
      <c r="V204" s="296"/>
      <c r="W204" s="296"/>
      <c r="X204" s="296"/>
      <c r="Y204" s="311"/>
      <c r="Z204" s="306"/>
      <c r="AA204" s="296"/>
      <c r="AB204" s="296"/>
      <c r="AC204" s="296"/>
      <c r="AD204" s="296"/>
      <c r="AE204" s="311"/>
      <c r="AF204" s="306"/>
      <c r="AG204" s="296"/>
      <c r="AH204" s="311"/>
      <c r="AI204" s="516"/>
      <c r="AO204" s="524"/>
      <c r="AU204" s="524"/>
      <c r="AX204" s="524"/>
    </row>
    <row r="205" spans="1:50" x14ac:dyDescent="0.2">
      <c r="A205" s="639"/>
      <c r="B205" s="640"/>
      <c r="C205" s="640"/>
      <c r="D205" s="640"/>
      <c r="E205" s="640"/>
      <c r="F205" s="640"/>
      <c r="G205" s="640"/>
      <c r="H205" s="640"/>
      <c r="I205" s="640"/>
      <c r="J205" s="640"/>
      <c r="K205" s="640"/>
      <c r="L205" s="640"/>
      <c r="M205" s="640"/>
      <c r="N205" s="640"/>
      <c r="O205" s="640"/>
      <c r="P205" s="640"/>
      <c r="Q205" s="640"/>
      <c r="Y205" s="309"/>
      <c r="Z205" s="305"/>
      <c r="AE205" s="309"/>
      <c r="AF205" s="305"/>
      <c r="AH205" s="309"/>
      <c r="AI205" s="516"/>
      <c r="AO205" s="524"/>
      <c r="AU205" s="524"/>
      <c r="AX205" s="524"/>
    </row>
    <row r="206" spans="1:50" ht="13.5" thickBot="1" x14ac:dyDescent="0.25">
      <c r="A206" s="651"/>
      <c r="B206" s="652"/>
      <c r="C206" s="652"/>
      <c r="D206" s="652"/>
      <c r="E206" s="652"/>
      <c r="F206" s="652"/>
      <c r="G206" s="652"/>
      <c r="H206" s="652"/>
      <c r="I206" s="652"/>
      <c r="J206" s="652"/>
      <c r="K206" s="652"/>
      <c r="L206" s="652"/>
      <c r="M206" s="652"/>
      <c r="N206" s="652"/>
      <c r="O206" s="652"/>
      <c r="P206" s="652"/>
      <c r="Q206" s="652"/>
      <c r="S206" s="302"/>
      <c r="T206" s="302"/>
      <c r="U206" s="302"/>
      <c r="V206" s="302"/>
      <c r="W206" s="302"/>
      <c r="X206" s="302"/>
      <c r="Y206" s="312"/>
      <c r="Z206" s="307"/>
      <c r="AA206" s="302"/>
      <c r="AB206" s="302"/>
      <c r="AC206" s="302"/>
      <c r="AD206" s="302"/>
      <c r="AE206" s="312"/>
      <c r="AF206" s="307"/>
      <c r="AG206" s="302"/>
      <c r="AH206" s="312"/>
      <c r="AI206" s="519"/>
      <c r="AJ206" s="520"/>
      <c r="AK206" s="520"/>
      <c r="AL206" s="520"/>
      <c r="AM206" s="520"/>
      <c r="AN206" s="520"/>
      <c r="AO206" s="526"/>
      <c r="AP206" s="520"/>
      <c r="AQ206" s="520"/>
      <c r="AR206" s="520"/>
      <c r="AS206" s="520"/>
      <c r="AT206" s="520"/>
      <c r="AU206" s="526"/>
      <c r="AV206" s="520"/>
      <c r="AW206" s="520"/>
      <c r="AX206" s="526"/>
    </row>
    <row r="207" spans="1:50" x14ac:dyDescent="0.2">
      <c r="A207" s="638"/>
      <c r="B207" s="640"/>
      <c r="C207" s="640"/>
      <c r="D207" s="640"/>
      <c r="E207" s="640"/>
      <c r="F207" s="640"/>
      <c r="G207" s="640"/>
      <c r="H207" s="640"/>
      <c r="I207" s="640"/>
      <c r="J207" s="640"/>
      <c r="K207" s="640"/>
      <c r="L207" s="640"/>
      <c r="M207" s="640"/>
      <c r="N207" s="640"/>
      <c r="O207" s="640"/>
      <c r="P207" s="640"/>
      <c r="Q207" s="640"/>
      <c r="Y207" s="309"/>
      <c r="Z207" s="305"/>
      <c r="AE207" s="309"/>
      <c r="AF207" s="305"/>
      <c r="AH207" s="309"/>
      <c r="AI207" s="516"/>
      <c r="AO207" s="524"/>
      <c r="AU207" s="524"/>
      <c r="AX207" s="524"/>
    </row>
    <row r="208" spans="1:50" x14ac:dyDescent="0.2">
      <c r="A208" s="639"/>
      <c r="B208" s="640"/>
      <c r="C208" s="640"/>
      <c r="D208" s="640"/>
      <c r="E208" s="640"/>
      <c r="F208" s="640"/>
      <c r="G208" s="640"/>
      <c r="H208" s="640"/>
      <c r="I208" s="640"/>
      <c r="J208" s="640"/>
      <c r="K208" s="640"/>
      <c r="L208" s="640"/>
      <c r="M208" s="640"/>
      <c r="N208" s="640"/>
      <c r="O208" s="640"/>
      <c r="P208" s="640"/>
      <c r="Q208" s="640"/>
      <c r="S208" s="295"/>
      <c r="T208" s="295"/>
      <c r="U208" s="295"/>
      <c r="V208" s="295"/>
      <c r="W208" s="295"/>
      <c r="X208" s="295"/>
      <c r="Y208" s="310"/>
      <c r="Z208" s="305"/>
      <c r="AA208" s="295"/>
      <c r="AB208" s="295"/>
      <c r="AC208" s="295"/>
      <c r="AD208" s="295"/>
      <c r="AE208" s="310"/>
      <c r="AF208" s="305"/>
      <c r="AG208" s="295"/>
      <c r="AH208" s="310"/>
      <c r="AI208" s="516"/>
      <c r="AO208" s="524"/>
      <c r="AU208" s="524"/>
      <c r="AX208" s="524"/>
    </row>
    <row r="209" spans="1:50" x14ac:dyDescent="0.2">
      <c r="A209" s="639"/>
      <c r="B209" s="640"/>
      <c r="C209" s="640"/>
      <c r="D209" s="640"/>
      <c r="E209" s="640"/>
      <c r="F209" s="640"/>
      <c r="G209" s="640"/>
      <c r="H209" s="640"/>
      <c r="I209" s="640"/>
      <c r="J209" s="640"/>
      <c r="K209" s="640"/>
      <c r="L209" s="640"/>
      <c r="M209" s="640"/>
      <c r="N209" s="640"/>
      <c r="O209" s="640"/>
      <c r="P209" s="640"/>
      <c r="Q209" s="640"/>
      <c r="S209" s="296"/>
      <c r="T209" s="296"/>
      <c r="U209" s="296"/>
      <c r="V209" s="296"/>
      <c r="W209" s="296"/>
      <c r="X209" s="296"/>
      <c r="Y209" s="311"/>
      <c r="Z209" s="306"/>
      <c r="AA209" s="296"/>
      <c r="AB209" s="296"/>
      <c r="AC209" s="296"/>
      <c r="AD209" s="296"/>
      <c r="AE209" s="311"/>
      <c r="AF209" s="306"/>
      <c r="AG209" s="296"/>
      <c r="AH209" s="311"/>
      <c r="AI209" s="516"/>
      <c r="AO209" s="524"/>
      <c r="AU209" s="524"/>
      <c r="AX209" s="524"/>
    </row>
    <row r="210" spans="1:50" x14ac:dyDescent="0.2">
      <c r="A210" s="639"/>
      <c r="B210" s="640"/>
      <c r="C210" s="640"/>
      <c r="D210" s="640"/>
      <c r="E210" s="640"/>
      <c r="F210" s="640"/>
      <c r="G210" s="640"/>
      <c r="H210" s="640"/>
      <c r="I210" s="640"/>
      <c r="J210" s="640"/>
      <c r="K210" s="640"/>
      <c r="L210" s="640"/>
      <c r="M210" s="640"/>
      <c r="N210" s="640"/>
      <c r="O210" s="640"/>
      <c r="P210" s="640"/>
      <c r="Q210" s="640"/>
      <c r="Y210" s="309"/>
      <c r="Z210" s="305"/>
      <c r="AE210" s="309"/>
      <c r="AF210" s="305"/>
      <c r="AH210" s="309"/>
      <c r="AI210" s="516"/>
      <c r="AO210" s="524"/>
      <c r="AU210" s="524"/>
      <c r="AX210" s="524"/>
    </row>
    <row r="211" spans="1:50" x14ac:dyDescent="0.2">
      <c r="A211" s="639"/>
      <c r="B211" s="640"/>
      <c r="C211" s="640"/>
      <c r="D211" s="640"/>
      <c r="E211" s="640"/>
      <c r="F211" s="640"/>
      <c r="G211" s="640"/>
      <c r="H211" s="640"/>
      <c r="I211" s="640"/>
      <c r="J211" s="640"/>
      <c r="K211" s="640"/>
      <c r="L211" s="640"/>
      <c r="M211" s="640"/>
      <c r="N211" s="640"/>
      <c r="O211" s="640"/>
      <c r="P211" s="640"/>
      <c r="Q211" s="640"/>
      <c r="R211" s="294"/>
      <c r="S211" s="296"/>
      <c r="T211" s="296"/>
      <c r="U211" s="296"/>
      <c r="V211" s="296"/>
      <c r="W211" s="296"/>
      <c r="X211" s="296"/>
      <c r="Y211" s="311"/>
      <c r="Z211" s="306"/>
      <c r="AA211" s="296"/>
      <c r="AB211" s="296"/>
      <c r="AC211" s="296"/>
      <c r="AD211" s="296"/>
      <c r="AE211" s="311"/>
      <c r="AF211" s="306"/>
      <c r="AG211" s="296"/>
      <c r="AH211" s="311"/>
      <c r="AI211" s="517"/>
      <c r="AJ211" s="518"/>
      <c r="AK211" s="518"/>
      <c r="AL211" s="518"/>
      <c r="AM211" s="518"/>
      <c r="AN211" s="527"/>
      <c r="AO211" s="525"/>
      <c r="AP211" s="518"/>
      <c r="AQ211" s="518"/>
      <c r="AR211" s="518"/>
      <c r="AS211" s="518"/>
      <c r="AT211" s="518"/>
      <c r="AU211" s="525"/>
      <c r="AV211" s="518"/>
      <c r="AW211" s="518"/>
      <c r="AX211" s="525"/>
    </row>
    <row r="212" spans="1:50" x14ac:dyDescent="0.2">
      <c r="A212" s="639"/>
      <c r="B212" s="640"/>
      <c r="C212" s="640"/>
      <c r="D212" s="640"/>
      <c r="E212" s="640"/>
      <c r="F212" s="640"/>
      <c r="G212" s="640"/>
      <c r="H212" s="640"/>
      <c r="I212" s="640"/>
      <c r="J212" s="640"/>
      <c r="K212" s="640"/>
      <c r="L212" s="640"/>
      <c r="M212" s="640"/>
      <c r="N212" s="640"/>
      <c r="O212" s="640"/>
      <c r="P212" s="640"/>
      <c r="Q212" s="640"/>
      <c r="Y212" s="309"/>
      <c r="Z212" s="305"/>
      <c r="AE212" s="309"/>
      <c r="AF212" s="305"/>
      <c r="AH212" s="309"/>
      <c r="AI212" s="516"/>
      <c r="AO212" s="524"/>
      <c r="AU212" s="524"/>
      <c r="AX212" s="524"/>
    </row>
    <row r="213" spans="1:50" x14ac:dyDescent="0.2">
      <c r="A213" s="649"/>
      <c r="B213" s="650"/>
      <c r="C213" s="650"/>
      <c r="D213" s="650"/>
      <c r="E213" s="650"/>
      <c r="F213" s="650"/>
      <c r="G213" s="650"/>
      <c r="H213" s="650"/>
      <c r="I213" s="650"/>
      <c r="J213" s="650"/>
      <c r="K213" s="650"/>
      <c r="L213" s="650"/>
      <c r="M213" s="650"/>
      <c r="N213" s="650"/>
      <c r="O213" s="650"/>
      <c r="P213" s="650"/>
      <c r="Q213" s="650"/>
      <c r="S213" s="296"/>
      <c r="T213" s="296"/>
      <c r="U213" s="296"/>
      <c r="V213" s="296"/>
      <c r="W213" s="296"/>
      <c r="X213" s="296"/>
      <c r="Y213" s="311"/>
      <c r="Z213" s="306"/>
      <c r="AA213" s="296"/>
      <c r="AB213" s="296"/>
      <c r="AC213" s="296"/>
      <c r="AD213" s="296"/>
      <c r="AE213" s="311"/>
      <c r="AF213" s="306"/>
      <c r="AG213" s="296"/>
      <c r="AH213" s="311"/>
      <c r="AI213" s="516"/>
      <c r="AO213" s="524"/>
      <c r="AU213" s="524"/>
      <c r="AX213" s="524"/>
    </row>
    <row r="214" spans="1:50" x14ac:dyDescent="0.2">
      <c r="A214" s="639"/>
      <c r="B214" s="640"/>
      <c r="C214" s="640"/>
      <c r="D214" s="640"/>
      <c r="E214" s="640"/>
      <c r="F214" s="640"/>
      <c r="G214" s="640"/>
      <c r="H214" s="640"/>
      <c r="I214" s="640"/>
      <c r="J214" s="640"/>
      <c r="K214" s="640"/>
      <c r="L214" s="640"/>
      <c r="M214" s="640"/>
      <c r="N214" s="640"/>
      <c r="O214" s="640"/>
      <c r="P214" s="640"/>
      <c r="Q214" s="640"/>
      <c r="Y214" s="309"/>
      <c r="Z214" s="305"/>
      <c r="AE214" s="309"/>
      <c r="AF214" s="305"/>
      <c r="AH214" s="309"/>
      <c r="AI214" s="516"/>
      <c r="AO214" s="524"/>
      <c r="AU214" s="524"/>
      <c r="AX214" s="524"/>
    </row>
    <row r="215" spans="1:50" x14ac:dyDescent="0.2">
      <c r="A215" s="639"/>
      <c r="B215" s="640"/>
      <c r="C215" s="640"/>
      <c r="D215" s="640"/>
      <c r="E215" s="640"/>
      <c r="F215" s="640"/>
      <c r="G215" s="640"/>
      <c r="H215" s="640"/>
      <c r="I215" s="640"/>
      <c r="J215" s="640"/>
      <c r="K215" s="640"/>
      <c r="L215" s="640"/>
      <c r="M215" s="640"/>
      <c r="N215" s="640"/>
      <c r="O215" s="640"/>
      <c r="P215" s="640"/>
      <c r="Q215" s="640"/>
      <c r="R215" s="294"/>
      <c r="S215" s="296"/>
      <c r="T215" s="296"/>
      <c r="U215" s="296"/>
      <c r="V215" s="296"/>
      <c r="W215" s="296"/>
      <c r="X215" s="296"/>
      <c r="Y215" s="311"/>
      <c r="Z215" s="306"/>
      <c r="AA215" s="296"/>
      <c r="AB215" s="296"/>
      <c r="AC215" s="296"/>
      <c r="AD215" s="296"/>
      <c r="AE215" s="311"/>
      <c r="AF215" s="306"/>
      <c r="AG215" s="296"/>
      <c r="AH215" s="311"/>
      <c r="AI215" s="517"/>
      <c r="AJ215" s="518"/>
      <c r="AK215" s="518"/>
      <c r="AL215" s="518"/>
      <c r="AM215" s="518"/>
      <c r="AN215" s="518"/>
      <c r="AO215" s="525"/>
      <c r="AP215" s="518"/>
      <c r="AQ215" s="518"/>
      <c r="AR215" s="518"/>
      <c r="AS215" s="518"/>
      <c r="AT215" s="518"/>
      <c r="AU215" s="525"/>
      <c r="AV215" s="518"/>
      <c r="AW215" s="518"/>
      <c r="AX215" s="525"/>
    </row>
    <row r="216" spans="1:50" x14ac:dyDescent="0.2">
      <c r="A216" s="639"/>
      <c r="B216" s="640"/>
      <c r="C216" s="640"/>
      <c r="D216" s="640"/>
      <c r="E216" s="640"/>
      <c r="F216" s="640"/>
      <c r="G216" s="640"/>
      <c r="H216" s="640"/>
      <c r="I216" s="640"/>
      <c r="J216" s="640"/>
      <c r="K216" s="640"/>
      <c r="L216" s="640"/>
      <c r="M216" s="640"/>
      <c r="N216" s="640"/>
      <c r="O216" s="640"/>
      <c r="P216" s="640"/>
      <c r="Q216" s="640"/>
      <c r="Y216" s="309"/>
      <c r="Z216" s="305"/>
      <c r="AE216" s="309"/>
      <c r="AF216" s="305"/>
      <c r="AH216" s="309"/>
      <c r="AI216" s="516"/>
      <c r="AO216" s="524"/>
      <c r="AU216" s="524"/>
      <c r="AX216" s="524"/>
    </row>
    <row r="217" spans="1:50" x14ac:dyDescent="0.2">
      <c r="A217" s="639"/>
      <c r="B217" s="640"/>
      <c r="C217" s="640"/>
      <c r="D217" s="640"/>
      <c r="E217" s="640"/>
      <c r="F217" s="640"/>
      <c r="G217" s="640"/>
      <c r="H217" s="640"/>
      <c r="I217" s="640"/>
      <c r="J217" s="640"/>
      <c r="K217" s="640"/>
      <c r="L217" s="640"/>
      <c r="M217" s="640"/>
      <c r="N217" s="640"/>
      <c r="O217" s="640"/>
      <c r="P217" s="640"/>
      <c r="Q217" s="640"/>
      <c r="R217" s="294"/>
      <c r="S217" s="296"/>
      <c r="T217" s="296"/>
      <c r="U217" s="296"/>
      <c r="V217" s="296"/>
      <c r="W217" s="296"/>
      <c r="X217" s="296"/>
      <c r="Y217" s="311"/>
      <c r="Z217" s="306"/>
      <c r="AA217" s="296"/>
      <c r="AB217" s="296"/>
      <c r="AC217" s="296"/>
      <c r="AD217" s="296"/>
      <c r="AE217" s="311"/>
      <c r="AF217" s="306"/>
      <c r="AG217" s="296"/>
      <c r="AH217" s="311"/>
      <c r="AI217" s="516"/>
      <c r="AO217" s="524"/>
      <c r="AU217" s="524"/>
      <c r="AX217" s="524"/>
    </row>
    <row r="218" spans="1:50" x14ac:dyDescent="0.2">
      <c r="A218" s="639"/>
      <c r="B218" s="640"/>
      <c r="C218" s="640"/>
      <c r="D218" s="640"/>
      <c r="E218" s="640"/>
      <c r="F218" s="640"/>
      <c r="G218" s="640"/>
      <c r="H218" s="640"/>
      <c r="I218" s="640"/>
      <c r="J218" s="640"/>
      <c r="K218" s="640"/>
      <c r="L218" s="640"/>
      <c r="M218" s="640"/>
      <c r="N218" s="640"/>
      <c r="O218" s="640"/>
      <c r="P218" s="640"/>
      <c r="Q218" s="640"/>
      <c r="Y218" s="309"/>
      <c r="Z218" s="305"/>
      <c r="AE218" s="309"/>
      <c r="AF218" s="305"/>
      <c r="AH218" s="309"/>
      <c r="AI218" s="516"/>
      <c r="AO218" s="524"/>
      <c r="AU218" s="524"/>
      <c r="AX218" s="524"/>
    </row>
    <row r="219" spans="1:50" x14ac:dyDescent="0.2">
      <c r="A219" s="639"/>
      <c r="B219" s="640"/>
      <c r="C219" s="640"/>
      <c r="D219" s="640"/>
      <c r="E219" s="640"/>
      <c r="F219" s="640"/>
      <c r="G219" s="640"/>
      <c r="H219" s="640"/>
      <c r="I219" s="640"/>
      <c r="J219" s="640"/>
      <c r="K219" s="640"/>
      <c r="L219" s="640"/>
      <c r="M219" s="640"/>
      <c r="N219" s="640"/>
      <c r="O219" s="640"/>
      <c r="P219" s="640"/>
      <c r="Q219" s="640"/>
      <c r="R219" s="294"/>
      <c r="S219" s="296"/>
      <c r="T219" s="296"/>
      <c r="U219" s="296"/>
      <c r="V219" s="296"/>
      <c r="W219" s="296"/>
      <c r="X219" s="296"/>
      <c r="Y219" s="311"/>
      <c r="Z219" s="306"/>
      <c r="AA219" s="296"/>
      <c r="AB219" s="296"/>
      <c r="AC219" s="296"/>
      <c r="AD219" s="296"/>
      <c r="AE219" s="311"/>
      <c r="AF219" s="306"/>
      <c r="AG219" s="296"/>
      <c r="AH219" s="311"/>
      <c r="AI219" s="517"/>
      <c r="AJ219" s="518"/>
      <c r="AK219" s="518"/>
      <c r="AL219" s="518"/>
      <c r="AM219" s="518"/>
      <c r="AN219" s="518"/>
      <c r="AO219" s="525"/>
      <c r="AP219" s="518"/>
      <c r="AQ219" s="518"/>
      <c r="AR219" s="518"/>
      <c r="AS219" s="518"/>
      <c r="AT219" s="518"/>
      <c r="AU219" s="525"/>
      <c r="AV219" s="518"/>
      <c r="AW219" s="518"/>
      <c r="AX219" s="525"/>
    </row>
    <row r="220" spans="1:50" x14ac:dyDescent="0.2">
      <c r="A220" s="639"/>
      <c r="B220" s="640"/>
      <c r="C220" s="640"/>
      <c r="D220" s="640"/>
      <c r="E220" s="640"/>
      <c r="F220" s="640"/>
      <c r="G220" s="640"/>
      <c r="H220" s="640"/>
      <c r="I220" s="640"/>
      <c r="J220" s="640"/>
      <c r="K220" s="640"/>
      <c r="L220" s="640"/>
      <c r="M220" s="640"/>
      <c r="N220" s="640"/>
      <c r="O220" s="640"/>
      <c r="P220" s="640"/>
      <c r="Q220" s="640"/>
      <c r="Y220" s="309"/>
      <c r="Z220" s="305"/>
      <c r="AE220" s="309"/>
      <c r="AF220" s="305"/>
      <c r="AH220" s="309"/>
      <c r="AI220" s="516"/>
      <c r="AO220" s="524"/>
      <c r="AU220" s="524"/>
      <c r="AX220" s="524"/>
    </row>
    <row r="221" spans="1:50" x14ac:dyDescent="0.2">
      <c r="A221" s="639"/>
      <c r="B221" s="640"/>
      <c r="C221" s="640"/>
      <c r="D221" s="640"/>
      <c r="E221" s="640"/>
      <c r="F221" s="640"/>
      <c r="G221" s="640"/>
      <c r="H221" s="640"/>
      <c r="I221" s="640"/>
      <c r="J221" s="640"/>
      <c r="K221" s="640"/>
      <c r="L221" s="640"/>
      <c r="M221" s="640"/>
      <c r="N221" s="640"/>
      <c r="O221" s="640"/>
      <c r="P221" s="640"/>
      <c r="Q221" s="640"/>
      <c r="R221" s="294"/>
      <c r="S221" s="296"/>
      <c r="T221" s="296"/>
      <c r="U221" s="296"/>
      <c r="V221" s="296"/>
      <c r="W221" s="296"/>
      <c r="X221" s="296"/>
      <c r="Y221" s="311"/>
      <c r="Z221" s="306"/>
      <c r="AA221" s="296"/>
      <c r="AB221" s="296"/>
      <c r="AC221" s="296"/>
      <c r="AD221" s="296"/>
      <c r="AE221" s="311"/>
      <c r="AF221" s="306"/>
      <c r="AG221" s="296"/>
      <c r="AH221" s="311"/>
      <c r="AI221" s="516"/>
      <c r="AO221" s="524"/>
      <c r="AU221" s="524"/>
      <c r="AX221" s="524"/>
    </row>
    <row r="222" spans="1:50" x14ac:dyDescent="0.2">
      <c r="A222" s="639"/>
      <c r="B222" s="640"/>
      <c r="C222" s="640"/>
      <c r="D222" s="640"/>
      <c r="E222" s="640"/>
      <c r="F222" s="640"/>
      <c r="G222" s="640"/>
      <c r="H222" s="640"/>
      <c r="I222" s="640"/>
      <c r="J222" s="640"/>
      <c r="K222" s="640"/>
      <c r="L222" s="640"/>
      <c r="M222" s="640"/>
      <c r="N222" s="640"/>
      <c r="O222" s="640"/>
      <c r="P222" s="640"/>
      <c r="Q222" s="640"/>
      <c r="Y222" s="309"/>
      <c r="Z222" s="305"/>
      <c r="AE222" s="309"/>
      <c r="AF222" s="305"/>
      <c r="AH222" s="309"/>
      <c r="AI222" s="516"/>
      <c r="AO222" s="524"/>
      <c r="AU222" s="524"/>
      <c r="AX222" s="524"/>
    </row>
    <row r="223" spans="1:50" x14ac:dyDescent="0.2">
      <c r="A223" s="639"/>
      <c r="B223" s="640"/>
      <c r="C223" s="640"/>
      <c r="D223" s="640"/>
      <c r="E223" s="640"/>
      <c r="F223" s="640"/>
      <c r="G223" s="640"/>
      <c r="H223" s="640"/>
      <c r="I223" s="640"/>
      <c r="J223" s="640"/>
      <c r="K223" s="640"/>
      <c r="L223" s="640"/>
      <c r="M223" s="640"/>
      <c r="N223" s="640"/>
      <c r="O223" s="640"/>
      <c r="P223" s="640"/>
      <c r="Q223" s="640"/>
      <c r="R223" s="294"/>
      <c r="S223" s="296"/>
      <c r="T223" s="296"/>
      <c r="U223" s="296"/>
      <c r="V223" s="296"/>
      <c r="W223" s="296"/>
      <c r="X223" s="296"/>
      <c r="Y223" s="311"/>
      <c r="Z223" s="306"/>
      <c r="AA223" s="296"/>
      <c r="AB223" s="296"/>
      <c r="AC223" s="296"/>
      <c r="AD223" s="296"/>
      <c r="AE223" s="311"/>
      <c r="AF223" s="306"/>
      <c r="AG223" s="296"/>
      <c r="AH223" s="311"/>
      <c r="AI223" s="517"/>
      <c r="AJ223" s="518"/>
      <c r="AK223" s="518"/>
      <c r="AL223" s="518"/>
      <c r="AM223" s="518"/>
      <c r="AN223" s="527"/>
      <c r="AO223" s="525"/>
      <c r="AP223" s="518"/>
      <c r="AQ223" s="518"/>
      <c r="AR223" s="518"/>
      <c r="AS223" s="518"/>
      <c r="AT223" s="518"/>
      <c r="AU223" s="525"/>
      <c r="AV223" s="518"/>
      <c r="AW223" s="518"/>
      <c r="AX223" s="525"/>
    </row>
    <row r="224" spans="1:50" x14ac:dyDescent="0.2">
      <c r="A224" s="639"/>
      <c r="B224" s="640"/>
      <c r="C224" s="640"/>
      <c r="D224" s="640"/>
      <c r="E224" s="640"/>
      <c r="F224" s="640"/>
      <c r="G224" s="640"/>
      <c r="H224" s="640"/>
      <c r="I224" s="640"/>
      <c r="J224" s="640"/>
      <c r="K224" s="640"/>
      <c r="L224" s="640"/>
      <c r="M224" s="640"/>
      <c r="N224" s="640"/>
      <c r="O224" s="640"/>
      <c r="P224" s="640"/>
      <c r="Q224" s="640"/>
      <c r="Y224" s="309"/>
      <c r="Z224" s="305"/>
      <c r="AE224" s="309"/>
      <c r="AF224" s="305"/>
      <c r="AH224" s="309"/>
      <c r="AI224" s="516"/>
      <c r="AO224" s="524"/>
      <c r="AU224" s="524"/>
      <c r="AX224" s="524"/>
    </row>
    <row r="225" spans="1:50" x14ac:dyDescent="0.2">
      <c r="A225" s="639"/>
      <c r="B225" s="640"/>
      <c r="C225" s="640"/>
      <c r="D225" s="640"/>
      <c r="E225" s="640"/>
      <c r="F225" s="640"/>
      <c r="G225" s="640"/>
      <c r="H225" s="640"/>
      <c r="I225" s="640"/>
      <c r="J225" s="640"/>
      <c r="K225" s="640"/>
      <c r="L225" s="640"/>
      <c r="M225" s="640"/>
      <c r="N225" s="640"/>
      <c r="O225" s="640"/>
      <c r="P225" s="640"/>
      <c r="Q225" s="640"/>
      <c r="R225" s="294"/>
      <c r="S225" s="296"/>
      <c r="T225" s="296"/>
      <c r="U225" s="296"/>
      <c r="V225" s="296"/>
      <c r="W225" s="296"/>
      <c r="X225" s="296"/>
      <c r="Y225" s="311"/>
      <c r="Z225" s="306"/>
      <c r="AA225" s="296"/>
      <c r="AB225" s="296"/>
      <c r="AC225" s="296"/>
      <c r="AD225" s="296"/>
      <c r="AE225" s="311"/>
      <c r="AF225" s="306"/>
      <c r="AG225" s="296"/>
      <c r="AH225" s="311"/>
      <c r="AI225" s="516"/>
      <c r="AO225" s="524"/>
      <c r="AU225" s="524"/>
      <c r="AX225" s="524"/>
    </row>
    <row r="226" spans="1:50" x14ac:dyDescent="0.2">
      <c r="A226" s="639"/>
      <c r="B226" s="640"/>
      <c r="C226" s="640"/>
      <c r="D226" s="640"/>
      <c r="E226" s="640"/>
      <c r="F226" s="640"/>
      <c r="G226" s="640"/>
      <c r="H226" s="640"/>
      <c r="I226" s="640"/>
      <c r="J226" s="640"/>
      <c r="K226" s="640"/>
      <c r="L226" s="640"/>
      <c r="M226" s="640"/>
      <c r="N226" s="640"/>
      <c r="O226" s="640"/>
      <c r="P226" s="640"/>
      <c r="Q226" s="640"/>
      <c r="Y226" s="309"/>
      <c r="Z226" s="305"/>
      <c r="AE226" s="309"/>
      <c r="AF226" s="305"/>
      <c r="AH226" s="309"/>
      <c r="AI226" s="516"/>
      <c r="AO226" s="524"/>
      <c r="AU226" s="524"/>
      <c r="AX226" s="524"/>
    </row>
    <row r="227" spans="1:50" x14ac:dyDescent="0.2">
      <c r="A227" s="639"/>
      <c r="B227" s="640"/>
      <c r="C227" s="640"/>
      <c r="D227" s="640"/>
      <c r="E227" s="640"/>
      <c r="F227" s="640"/>
      <c r="G227" s="640"/>
      <c r="H227" s="640"/>
      <c r="I227" s="640"/>
      <c r="J227" s="640"/>
      <c r="K227" s="640"/>
      <c r="L227" s="640"/>
      <c r="M227" s="640"/>
      <c r="N227" s="640"/>
      <c r="O227" s="640"/>
      <c r="P227" s="640"/>
      <c r="Q227" s="640"/>
      <c r="R227" s="294"/>
      <c r="S227" s="296"/>
      <c r="T227" s="296"/>
      <c r="U227" s="296"/>
      <c r="V227" s="296"/>
      <c r="W227" s="296"/>
      <c r="X227" s="296"/>
      <c r="Y227" s="311"/>
      <c r="Z227" s="306"/>
      <c r="AA227" s="296"/>
      <c r="AB227" s="296"/>
      <c r="AC227" s="296"/>
      <c r="AD227" s="296"/>
      <c r="AE227" s="311"/>
      <c r="AF227" s="306"/>
      <c r="AG227" s="296"/>
      <c r="AH227" s="311"/>
      <c r="AI227" s="517"/>
      <c r="AJ227" s="518"/>
      <c r="AK227" s="518"/>
      <c r="AL227" s="518"/>
      <c r="AM227" s="518"/>
      <c r="AN227" s="518"/>
      <c r="AO227" s="525"/>
      <c r="AP227" s="518"/>
      <c r="AQ227" s="527"/>
      <c r="AR227" s="518"/>
      <c r="AS227" s="527"/>
      <c r="AT227" s="518"/>
      <c r="AU227" s="525"/>
      <c r="AV227" s="518"/>
      <c r="AW227" s="518"/>
      <c r="AX227" s="525"/>
    </row>
    <row r="228" spans="1:50" x14ac:dyDescent="0.2">
      <c r="A228" s="639"/>
      <c r="B228" s="640"/>
      <c r="C228" s="640"/>
      <c r="D228" s="640"/>
      <c r="E228" s="640"/>
      <c r="F228" s="640"/>
      <c r="G228" s="640"/>
      <c r="H228" s="640"/>
      <c r="I228" s="640"/>
      <c r="J228" s="640"/>
      <c r="K228" s="640"/>
      <c r="L228" s="640"/>
      <c r="M228" s="640"/>
      <c r="N228" s="640"/>
      <c r="O228" s="640"/>
      <c r="P228" s="640"/>
      <c r="Q228" s="640"/>
      <c r="Y228" s="309"/>
      <c r="Z228" s="305"/>
      <c r="AE228" s="309"/>
      <c r="AF228" s="305"/>
      <c r="AH228" s="309"/>
      <c r="AI228" s="516"/>
      <c r="AO228" s="524"/>
      <c r="AU228" s="524"/>
      <c r="AX228" s="524"/>
    </row>
    <row r="229" spans="1:50" x14ac:dyDescent="0.2">
      <c r="A229" s="639"/>
      <c r="B229" s="640"/>
      <c r="C229" s="640"/>
      <c r="D229" s="640"/>
      <c r="E229" s="640"/>
      <c r="F229" s="640"/>
      <c r="G229" s="640"/>
      <c r="H229" s="640"/>
      <c r="I229" s="640"/>
      <c r="J229" s="640"/>
      <c r="K229" s="640"/>
      <c r="L229" s="640"/>
      <c r="M229" s="640"/>
      <c r="N229" s="640"/>
      <c r="O229" s="640"/>
      <c r="P229" s="640"/>
      <c r="Q229" s="640"/>
      <c r="R229" s="294"/>
      <c r="S229" s="296"/>
      <c r="T229" s="296"/>
      <c r="U229" s="296"/>
      <c r="V229" s="296"/>
      <c r="W229" s="296"/>
      <c r="X229" s="296"/>
      <c r="Y229" s="311"/>
      <c r="Z229" s="306"/>
      <c r="AA229" s="296"/>
      <c r="AB229" s="296"/>
      <c r="AC229" s="296"/>
      <c r="AD229" s="296"/>
      <c r="AE229" s="311"/>
      <c r="AF229" s="306"/>
      <c r="AG229" s="296"/>
      <c r="AH229" s="311"/>
      <c r="AI229" s="516"/>
      <c r="AO229" s="524"/>
      <c r="AU229" s="524"/>
      <c r="AX229" s="524"/>
    </row>
    <row r="230" spans="1:50" x14ac:dyDescent="0.2">
      <c r="A230" s="639"/>
      <c r="B230" s="640"/>
      <c r="C230" s="640"/>
      <c r="D230" s="640"/>
      <c r="E230" s="640"/>
      <c r="F230" s="640"/>
      <c r="G230" s="640"/>
      <c r="H230" s="640"/>
      <c r="I230" s="640"/>
      <c r="J230" s="640"/>
      <c r="K230" s="640"/>
      <c r="L230" s="640"/>
      <c r="M230" s="640"/>
      <c r="N230" s="640"/>
      <c r="O230" s="640"/>
      <c r="P230" s="640"/>
      <c r="Q230" s="640"/>
      <c r="Y230" s="309"/>
      <c r="Z230" s="305"/>
      <c r="AE230" s="309"/>
      <c r="AF230" s="305"/>
      <c r="AH230" s="309"/>
      <c r="AI230" s="516"/>
      <c r="AO230" s="524"/>
      <c r="AU230" s="524"/>
      <c r="AX230" s="524"/>
    </row>
    <row r="231" spans="1:50" x14ac:dyDescent="0.2">
      <c r="A231" s="639"/>
      <c r="B231" s="640"/>
      <c r="C231" s="640"/>
      <c r="D231" s="640"/>
      <c r="E231" s="640"/>
      <c r="F231" s="640"/>
      <c r="G231" s="640"/>
      <c r="H231" s="640"/>
      <c r="I231" s="640"/>
      <c r="J231" s="640"/>
      <c r="K231" s="640"/>
      <c r="L231" s="640"/>
      <c r="M231" s="640"/>
      <c r="N231" s="640"/>
      <c r="O231" s="640"/>
      <c r="P231" s="640"/>
      <c r="Q231" s="640"/>
      <c r="R231" s="294"/>
      <c r="S231" s="296"/>
      <c r="T231" s="296"/>
      <c r="U231" s="296"/>
      <c r="V231" s="296"/>
      <c r="W231" s="296"/>
      <c r="X231" s="296"/>
      <c r="Y231" s="311"/>
      <c r="Z231" s="306"/>
      <c r="AA231" s="296"/>
      <c r="AB231" s="296"/>
      <c r="AC231" s="296"/>
      <c r="AD231" s="296"/>
      <c r="AE231" s="311"/>
      <c r="AF231" s="306"/>
      <c r="AG231" s="296"/>
      <c r="AH231" s="311"/>
      <c r="AI231" s="517"/>
      <c r="AJ231" s="518"/>
      <c r="AK231" s="518"/>
      <c r="AL231" s="518"/>
      <c r="AM231" s="518"/>
      <c r="AN231" s="518"/>
      <c r="AO231" s="525"/>
      <c r="AP231" s="518"/>
      <c r="AQ231" s="518"/>
      <c r="AR231" s="518"/>
      <c r="AS231" s="518"/>
      <c r="AT231" s="518"/>
      <c r="AU231" s="525"/>
      <c r="AV231" s="518"/>
      <c r="AW231" s="518"/>
      <c r="AX231" s="525"/>
    </row>
    <row r="232" spans="1:50" x14ac:dyDescent="0.2">
      <c r="A232" s="639"/>
      <c r="B232" s="640"/>
      <c r="C232" s="640"/>
      <c r="D232" s="640"/>
      <c r="E232" s="640"/>
      <c r="F232" s="640"/>
      <c r="G232" s="640"/>
      <c r="H232" s="640"/>
      <c r="I232" s="640"/>
      <c r="J232" s="640"/>
      <c r="K232" s="640"/>
      <c r="L232" s="640"/>
      <c r="M232" s="640"/>
      <c r="N232" s="640"/>
      <c r="O232" s="640"/>
      <c r="P232" s="640"/>
      <c r="Q232" s="640"/>
      <c r="Y232" s="309"/>
      <c r="Z232" s="305"/>
      <c r="AE232" s="309"/>
      <c r="AF232" s="305"/>
      <c r="AH232" s="309"/>
      <c r="AI232" s="516"/>
      <c r="AO232" s="524"/>
      <c r="AU232" s="524"/>
      <c r="AX232" s="524"/>
    </row>
    <row r="233" spans="1:50" x14ac:dyDescent="0.2">
      <c r="A233" s="639"/>
      <c r="B233" s="640"/>
      <c r="C233" s="640"/>
      <c r="D233" s="640"/>
      <c r="E233" s="640"/>
      <c r="F233" s="640"/>
      <c r="G233" s="640"/>
      <c r="H233" s="640"/>
      <c r="I233" s="640"/>
      <c r="J233" s="640"/>
      <c r="K233" s="640"/>
      <c r="L233" s="640"/>
      <c r="M233" s="640"/>
      <c r="N233" s="640"/>
      <c r="O233" s="640"/>
      <c r="P233" s="640"/>
      <c r="Q233" s="640"/>
      <c r="R233" s="294"/>
      <c r="S233" s="296"/>
      <c r="T233" s="296"/>
      <c r="U233" s="296"/>
      <c r="V233" s="296"/>
      <c r="W233" s="296"/>
      <c r="X233" s="296"/>
      <c r="Y233" s="311"/>
      <c r="Z233" s="306"/>
      <c r="AA233" s="296"/>
      <c r="AB233" s="296"/>
      <c r="AC233" s="296"/>
      <c r="AD233" s="296"/>
      <c r="AE233" s="311"/>
      <c r="AF233" s="306"/>
      <c r="AG233" s="296"/>
      <c r="AH233" s="311"/>
      <c r="AI233" s="516"/>
      <c r="AO233" s="524"/>
      <c r="AU233" s="524"/>
      <c r="AX233" s="524"/>
    </row>
    <row r="234" spans="1:50" x14ac:dyDescent="0.2">
      <c r="A234" s="639"/>
      <c r="B234" s="640"/>
      <c r="C234" s="640"/>
      <c r="D234" s="640"/>
      <c r="E234" s="640"/>
      <c r="F234" s="640"/>
      <c r="G234" s="640"/>
      <c r="H234" s="640"/>
      <c r="I234" s="640"/>
      <c r="J234" s="640"/>
      <c r="K234" s="640"/>
      <c r="L234" s="640"/>
      <c r="M234" s="640"/>
      <c r="N234" s="640"/>
      <c r="O234" s="640"/>
      <c r="P234" s="640"/>
      <c r="Q234" s="640"/>
      <c r="Y234" s="309"/>
      <c r="Z234" s="305"/>
      <c r="AE234" s="309"/>
      <c r="AF234" s="305"/>
      <c r="AH234" s="309"/>
      <c r="AI234" s="516"/>
      <c r="AO234" s="524"/>
      <c r="AU234" s="524"/>
      <c r="AX234" s="524"/>
    </row>
    <row r="235" spans="1:50" ht="13.5" thickBot="1" x14ac:dyDescent="0.25">
      <c r="A235" s="651"/>
      <c r="B235" s="652"/>
      <c r="C235" s="652"/>
      <c r="D235" s="652"/>
      <c r="E235" s="652"/>
      <c r="F235" s="652"/>
      <c r="G235" s="652"/>
      <c r="H235" s="652"/>
      <c r="I235" s="652"/>
      <c r="J235" s="652"/>
      <c r="K235" s="652"/>
      <c r="L235" s="652"/>
      <c r="M235" s="652"/>
      <c r="N235" s="652"/>
      <c r="O235" s="652"/>
      <c r="P235" s="652"/>
      <c r="Q235" s="652"/>
      <c r="S235" s="302"/>
      <c r="T235" s="302"/>
      <c r="U235" s="302"/>
      <c r="V235" s="302"/>
      <c r="W235" s="302"/>
      <c r="X235" s="302"/>
      <c r="Y235" s="312"/>
      <c r="Z235" s="307"/>
      <c r="AA235" s="302"/>
      <c r="AB235" s="302"/>
      <c r="AC235" s="302"/>
      <c r="AD235" s="302"/>
      <c r="AE235" s="312"/>
      <c r="AF235" s="307"/>
      <c r="AG235" s="302"/>
      <c r="AH235" s="312"/>
      <c r="AI235" s="519"/>
      <c r="AJ235" s="520"/>
      <c r="AK235" s="520"/>
      <c r="AL235" s="520"/>
      <c r="AM235" s="520"/>
      <c r="AN235" s="520"/>
      <c r="AO235" s="526"/>
      <c r="AP235" s="520"/>
      <c r="AQ235" s="520"/>
      <c r="AR235" s="520"/>
      <c r="AS235" s="520"/>
      <c r="AT235" s="520"/>
      <c r="AU235" s="526"/>
      <c r="AV235" s="520"/>
      <c r="AW235" s="520"/>
      <c r="AX235" s="526"/>
    </row>
    <row r="236" spans="1:50" x14ac:dyDescent="0.2">
      <c r="A236" s="638"/>
      <c r="B236" s="640"/>
      <c r="C236" s="640"/>
      <c r="D236" s="640"/>
      <c r="E236" s="640"/>
      <c r="F236" s="640"/>
      <c r="G236" s="640"/>
      <c r="H236" s="640"/>
      <c r="I236" s="640"/>
      <c r="J236" s="640"/>
      <c r="K236" s="640"/>
      <c r="L236" s="640"/>
      <c r="M236" s="640"/>
      <c r="N236" s="640"/>
      <c r="O236" s="640"/>
      <c r="P236" s="640"/>
      <c r="Q236" s="640"/>
      <c r="Y236" s="309"/>
      <c r="Z236" s="305"/>
      <c r="AE236" s="309"/>
      <c r="AF236" s="305"/>
      <c r="AH236" s="309"/>
      <c r="AI236" s="516"/>
      <c r="AO236" s="524"/>
      <c r="AU236" s="524"/>
      <c r="AX236" s="524"/>
    </row>
    <row r="237" spans="1:50" x14ac:dyDescent="0.2">
      <c r="A237" s="639"/>
      <c r="B237" s="640"/>
      <c r="C237" s="640"/>
      <c r="D237" s="640"/>
      <c r="E237" s="640"/>
      <c r="F237" s="640"/>
      <c r="G237" s="640"/>
      <c r="H237" s="640"/>
      <c r="I237" s="640"/>
      <c r="J237" s="640"/>
      <c r="K237" s="640"/>
      <c r="L237" s="640"/>
      <c r="M237" s="640"/>
      <c r="N237" s="640"/>
      <c r="O237" s="640"/>
      <c r="P237" s="640"/>
      <c r="Q237" s="640"/>
      <c r="S237" s="295"/>
      <c r="T237" s="295"/>
      <c r="U237" s="295"/>
      <c r="V237" s="295"/>
      <c r="W237" s="295"/>
      <c r="X237" s="295"/>
      <c r="Y237" s="310"/>
      <c r="Z237" s="305"/>
      <c r="AA237" s="295"/>
      <c r="AB237" s="295"/>
      <c r="AC237" s="295"/>
      <c r="AD237" s="295"/>
      <c r="AE237" s="310"/>
      <c r="AF237" s="305"/>
      <c r="AG237" s="295"/>
      <c r="AH237" s="310"/>
      <c r="AI237" s="516"/>
      <c r="AO237" s="524"/>
      <c r="AU237" s="524"/>
      <c r="AX237" s="524"/>
    </row>
    <row r="238" spans="1:50" x14ac:dyDescent="0.2">
      <c r="A238" s="639"/>
      <c r="B238" s="640"/>
      <c r="C238" s="640"/>
      <c r="D238" s="640"/>
      <c r="E238" s="640"/>
      <c r="F238" s="640"/>
      <c r="G238" s="640"/>
      <c r="H238" s="640"/>
      <c r="I238" s="640"/>
      <c r="J238" s="640"/>
      <c r="K238" s="640"/>
      <c r="L238" s="640"/>
      <c r="M238" s="640"/>
      <c r="N238" s="640"/>
      <c r="O238" s="640"/>
      <c r="P238" s="640"/>
      <c r="Q238" s="640"/>
      <c r="S238" s="296"/>
      <c r="T238" s="296"/>
      <c r="U238" s="296"/>
      <c r="V238" s="296"/>
      <c r="W238" s="296"/>
      <c r="X238" s="296"/>
      <c r="Y238" s="311"/>
      <c r="Z238" s="306"/>
      <c r="AA238" s="296"/>
      <c r="AB238" s="296"/>
      <c r="AC238" s="296"/>
      <c r="AD238" s="296"/>
      <c r="AE238" s="311"/>
      <c r="AF238" s="306"/>
      <c r="AG238" s="296"/>
      <c r="AH238" s="311"/>
      <c r="AI238" s="516"/>
      <c r="AO238" s="524"/>
      <c r="AU238" s="524"/>
      <c r="AX238" s="524"/>
    </row>
    <row r="239" spans="1:50" x14ac:dyDescent="0.2">
      <c r="A239" s="639"/>
      <c r="B239" s="640"/>
      <c r="C239" s="640"/>
      <c r="D239" s="640"/>
      <c r="E239" s="640"/>
      <c r="F239" s="640"/>
      <c r="G239" s="640"/>
      <c r="H239" s="640"/>
      <c r="I239" s="640"/>
      <c r="J239" s="640"/>
      <c r="K239" s="640"/>
      <c r="L239" s="640"/>
      <c r="M239" s="640"/>
      <c r="N239" s="640"/>
      <c r="O239" s="640"/>
      <c r="P239" s="640"/>
      <c r="Q239" s="640"/>
      <c r="Y239" s="309"/>
      <c r="Z239" s="305"/>
      <c r="AE239" s="309"/>
      <c r="AF239" s="305"/>
      <c r="AH239" s="309"/>
      <c r="AI239" s="516"/>
      <c r="AO239" s="524"/>
      <c r="AU239" s="524"/>
      <c r="AX239" s="524"/>
    </row>
    <row r="240" spans="1:50" x14ac:dyDescent="0.2">
      <c r="A240" s="639"/>
      <c r="B240" s="640"/>
      <c r="C240" s="640"/>
      <c r="D240" s="640"/>
      <c r="E240" s="640"/>
      <c r="F240" s="640"/>
      <c r="G240" s="640"/>
      <c r="H240" s="640"/>
      <c r="I240" s="640"/>
      <c r="J240" s="640"/>
      <c r="K240" s="640"/>
      <c r="L240" s="640"/>
      <c r="M240" s="640"/>
      <c r="N240" s="640"/>
      <c r="O240" s="640"/>
      <c r="P240" s="640"/>
      <c r="Q240" s="640"/>
      <c r="R240" s="294"/>
      <c r="S240" s="296"/>
      <c r="T240" s="296"/>
      <c r="U240" s="296"/>
      <c r="V240" s="296"/>
      <c r="W240" s="296"/>
      <c r="X240" s="296"/>
      <c r="Y240" s="311"/>
      <c r="Z240" s="306"/>
      <c r="AA240" s="296"/>
      <c r="AB240" s="296"/>
      <c r="AC240" s="296"/>
      <c r="AD240" s="296"/>
      <c r="AE240" s="311"/>
      <c r="AF240" s="306"/>
      <c r="AG240" s="296"/>
      <c r="AH240" s="311"/>
      <c r="AI240" s="517"/>
      <c r="AJ240" s="518"/>
      <c r="AK240" s="518"/>
      <c r="AL240" s="518"/>
      <c r="AM240" s="527"/>
      <c r="AN240" s="518"/>
      <c r="AO240" s="525"/>
      <c r="AP240" s="518"/>
      <c r="AQ240" s="518"/>
      <c r="AR240" s="518"/>
      <c r="AS240" s="518"/>
      <c r="AT240" s="518"/>
      <c r="AU240" s="525"/>
      <c r="AV240" s="518"/>
      <c r="AW240" s="518"/>
      <c r="AX240" s="525"/>
    </row>
    <row r="241" spans="1:50" x14ac:dyDescent="0.2">
      <c r="A241" s="639"/>
      <c r="B241" s="640"/>
      <c r="C241" s="640"/>
      <c r="D241" s="640"/>
      <c r="E241" s="640"/>
      <c r="F241" s="640"/>
      <c r="G241" s="640"/>
      <c r="H241" s="640"/>
      <c r="I241" s="640"/>
      <c r="J241" s="640"/>
      <c r="K241" s="640"/>
      <c r="L241" s="640"/>
      <c r="M241" s="640"/>
      <c r="N241" s="640"/>
      <c r="O241" s="640"/>
      <c r="P241" s="640"/>
      <c r="Q241" s="640"/>
      <c r="Y241" s="309"/>
      <c r="Z241" s="305"/>
      <c r="AE241" s="309"/>
      <c r="AF241" s="305"/>
      <c r="AH241" s="309"/>
      <c r="AI241" s="516"/>
      <c r="AO241" s="524"/>
      <c r="AU241" s="524"/>
      <c r="AX241" s="524"/>
    </row>
    <row r="242" spans="1:50" x14ac:dyDescent="0.2">
      <c r="A242" s="649"/>
      <c r="B242" s="650"/>
      <c r="C242" s="650"/>
      <c r="D242" s="650"/>
      <c r="E242" s="650"/>
      <c r="F242" s="650"/>
      <c r="G242" s="650"/>
      <c r="H242" s="650"/>
      <c r="I242" s="650"/>
      <c r="J242" s="650"/>
      <c r="K242" s="650"/>
      <c r="L242" s="650"/>
      <c r="M242" s="650"/>
      <c r="N242" s="650"/>
      <c r="O242" s="650"/>
      <c r="P242" s="650"/>
      <c r="Q242" s="650"/>
      <c r="S242" s="296"/>
      <c r="T242" s="296"/>
      <c r="U242" s="296"/>
      <c r="V242" s="296"/>
      <c r="W242" s="296"/>
      <c r="X242" s="296"/>
      <c r="Y242" s="311"/>
      <c r="Z242" s="306"/>
      <c r="AA242" s="296"/>
      <c r="AB242" s="296"/>
      <c r="AC242" s="296"/>
      <c r="AD242" s="296"/>
      <c r="AE242" s="311"/>
      <c r="AF242" s="306"/>
      <c r="AG242" s="296"/>
      <c r="AH242" s="311"/>
      <c r="AI242" s="516"/>
      <c r="AO242" s="524"/>
      <c r="AU242" s="524"/>
      <c r="AX242" s="524"/>
    </row>
    <row r="243" spans="1:50" x14ac:dyDescent="0.2">
      <c r="A243" s="639"/>
      <c r="B243" s="640"/>
      <c r="C243" s="640"/>
      <c r="D243" s="640"/>
      <c r="E243" s="640"/>
      <c r="F243" s="640"/>
      <c r="G243" s="640"/>
      <c r="H243" s="640"/>
      <c r="I243" s="640"/>
      <c r="J243" s="640"/>
      <c r="K243" s="640"/>
      <c r="L243" s="640"/>
      <c r="M243" s="640"/>
      <c r="N243" s="640"/>
      <c r="O243" s="640"/>
      <c r="P243" s="640"/>
      <c r="Q243" s="640"/>
      <c r="Y243" s="309"/>
      <c r="Z243" s="305"/>
      <c r="AE243" s="309"/>
      <c r="AF243" s="305"/>
      <c r="AH243" s="309"/>
      <c r="AI243" s="516"/>
      <c r="AO243" s="524"/>
      <c r="AU243" s="524"/>
      <c r="AX243" s="524"/>
    </row>
    <row r="244" spans="1:50" x14ac:dyDescent="0.2">
      <c r="A244" s="639"/>
      <c r="B244" s="640"/>
      <c r="C244" s="640"/>
      <c r="D244" s="640"/>
      <c r="E244" s="640"/>
      <c r="F244" s="640"/>
      <c r="G244" s="640"/>
      <c r="H244" s="640"/>
      <c r="I244" s="640"/>
      <c r="J244" s="640"/>
      <c r="K244" s="640"/>
      <c r="L244" s="640"/>
      <c r="M244" s="640"/>
      <c r="N244" s="640"/>
      <c r="O244" s="640"/>
      <c r="P244" s="640"/>
      <c r="Q244" s="640"/>
      <c r="R244" s="294"/>
      <c r="S244" s="296"/>
      <c r="T244" s="296"/>
      <c r="U244" s="296"/>
      <c r="V244" s="296"/>
      <c r="W244" s="296"/>
      <c r="X244" s="296"/>
      <c r="Y244" s="311"/>
      <c r="Z244" s="306"/>
      <c r="AA244" s="296"/>
      <c r="AB244" s="296"/>
      <c r="AC244" s="296"/>
      <c r="AD244" s="296"/>
      <c r="AE244" s="311"/>
      <c r="AF244" s="306"/>
      <c r="AG244" s="296"/>
      <c r="AH244" s="311"/>
      <c r="AI244" s="517"/>
      <c r="AJ244" s="518"/>
      <c r="AK244" s="518"/>
      <c r="AL244" s="518"/>
      <c r="AM244" s="527"/>
      <c r="AN244" s="518"/>
      <c r="AO244" s="525"/>
      <c r="AP244" s="518"/>
      <c r="AQ244" s="518"/>
      <c r="AR244" s="518"/>
      <c r="AS244" s="518"/>
      <c r="AT244" s="518"/>
      <c r="AU244" s="525"/>
      <c r="AV244" s="518"/>
      <c r="AW244" s="518"/>
      <c r="AX244" s="525"/>
    </row>
    <row r="245" spans="1:50" x14ac:dyDescent="0.2">
      <c r="A245" s="639"/>
      <c r="B245" s="640"/>
      <c r="C245" s="640"/>
      <c r="D245" s="640"/>
      <c r="E245" s="640"/>
      <c r="F245" s="640"/>
      <c r="G245" s="640"/>
      <c r="H245" s="640"/>
      <c r="I245" s="640"/>
      <c r="J245" s="640"/>
      <c r="K245" s="640"/>
      <c r="L245" s="640"/>
      <c r="M245" s="640"/>
      <c r="N245" s="640"/>
      <c r="O245" s="640"/>
      <c r="P245" s="640"/>
      <c r="Q245" s="640"/>
      <c r="Y245" s="309"/>
      <c r="Z245" s="305"/>
      <c r="AE245" s="309"/>
      <c r="AF245" s="305"/>
      <c r="AH245" s="309"/>
      <c r="AI245" s="516"/>
      <c r="AO245" s="524"/>
      <c r="AU245" s="524"/>
      <c r="AX245" s="524"/>
    </row>
    <row r="246" spans="1:50" x14ac:dyDescent="0.2">
      <c r="A246" s="639"/>
      <c r="B246" s="640"/>
      <c r="C246" s="640"/>
      <c r="D246" s="640"/>
      <c r="E246" s="640"/>
      <c r="F246" s="640"/>
      <c r="G246" s="640"/>
      <c r="H246" s="640"/>
      <c r="I246" s="640"/>
      <c r="J246" s="640"/>
      <c r="K246" s="640"/>
      <c r="L246" s="640"/>
      <c r="M246" s="640"/>
      <c r="N246" s="640"/>
      <c r="O246" s="640"/>
      <c r="P246" s="640"/>
      <c r="Q246" s="640"/>
      <c r="R246" s="294"/>
      <c r="S246" s="296"/>
      <c r="T246" s="296"/>
      <c r="U246" s="296"/>
      <c r="V246" s="296"/>
      <c r="W246" s="296"/>
      <c r="X246" s="296"/>
      <c r="Y246" s="311"/>
      <c r="Z246" s="306"/>
      <c r="AA246" s="296"/>
      <c r="AB246" s="296"/>
      <c r="AC246" s="296"/>
      <c r="AD246" s="296"/>
      <c r="AE246" s="311"/>
      <c r="AF246" s="306"/>
      <c r="AG246" s="296"/>
      <c r="AH246" s="311"/>
      <c r="AI246" s="516"/>
      <c r="AO246" s="524"/>
      <c r="AU246" s="524"/>
      <c r="AX246" s="524"/>
    </row>
    <row r="247" spans="1:50" x14ac:dyDescent="0.2">
      <c r="A247" s="639"/>
      <c r="B247" s="640"/>
      <c r="C247" s="640"/>
      <c r="D247" s="640"/>
      <c r="E247" s="640"/>
      <c r="F247" s="640"/>
      <c r="G247" s="640"/>
      <c r="H247" s="640"/>
      <c r="I247" s="640"/>
      <c r="J247" s="640"/>
      <c r="K247" s="640"/>
      <c r="L247" s="640"/>
      <c r="M247" s="640"/>
      <c r="N247" s="640"/>
      <c r="O247" s="640"/>
      <c r="P247" s="640"/>
      <c r="Q247" s="640"/>
      <c r="Y247" s="309"/>
      <c r="Z247" s="305"/>
      <c r="AE247" s="309"/>
      <c r="AF247" s="305"/>
      <c r="AH247" s="309"/>
      <c r="AI247" s="516"/>
      <c r="AO247" s="524"/>
      <c r="AU247" s="524"/>
      <c r="AX247" s="524"/>
    </row>
    <row r="248" spans="1:50" x14ac:dyDescent="0.2">
      <c r="A248" s="639"/>
      <c r="B248" s="640"/>
      <c r="C248" s="640"/>
      <c r="D248" s="640"/>
      <c r="E248" s="640"/>
      <c r="F248" s="640"/>
      <c r="G248" s="640"/>
      <c r="H248" s="640"/>
      <c r="I248" s="640"/>
      <c r="J248" s="640"/>
      <c r="K248" s="640"/>
      <c r="L248" s="640"/>
      <c r="M248" s="640"/>
      <c r="N248" s="640"/>
      <c r="O248" s="640"/>
      <c r="P248" s="640"/>
      <c r="Q248" s="640"/>
      <c r="R248" s="294"/>
      <c r="S248" s="296"/>
      <c r="T248" s="296"/>
      <c r="U248" s="296"/>
      <c r="V248" s="296"/>
      <c r="W248" s="296"/>
      <c r="X248" s="296"/>
      <c r="Y248" s="311"/>
      <c r="Z248" s="306"/>
      <c r="AA248" s="296"/>
      <c r="AB248" s="296"/>
      <c r="AC248" s="296"/>
      <c r="AD248" s="296"/>
      <c r="AE248" s="311"/>
      <c r="AF248" s="306"/>
      <c r="AG248" s="296"/>
      <c r="AH248" s="311"/>
      <c r="AI248" s="517"/>
      <c r="AJ248" s="518"/>
      <c r="AK248" s="518"/>
      <c r="AL248" s="518"/>
      <c r="AM248" s="518"/>
      <c r="AN248" s="518"/>
      <c r="AO248" s="525"/>
      <c r="AP248" s="518"/>
      <c r="AQ248" s="518"/>
      <c r="AR248" s="518"/>
      <c r="AS248" s="518"/>
      <c r="AT248" s="518"/>
      <c r="AU248" s="525"/>
      <c r="AV248" s="518"/>
      <c r="AW248" s="518"/>
      <c r="AX248" s="525"/>
    </row>
    <row r="249" spans="1:50" x14ac:dyDescent="0.2">
      <c r="A249" s="639"/>
      <c r="B249" s="640"/>
      <c r="C249" s="640"/>
      <c r="D249" s="640"/>
      <c r="E249" s="640"/>
      <c r="F249" s="640"/>
      <c r="G249" s="640"/>
      <c r="H249" s="640"/>
      <c r="I249" s="640"/>
      <c r="J249" s="640"/>
      <c r="K249" s="640"/>
      <c r="L249" s="640"/>
      <c r="M249" s="640"/>
      <c r="N249" s="640"/>
      <c r="O249" s="640"/>
      <c r="P249" s="640"/>
      <c r="Q249" s="640"/>
      <c r="Y249" s="309"/>
      <c r="Z249" s="305"/>
      <c r="AE249" s="309"/>
      <c r="AF249" s="305"/>
      <c r="AH249" s="309"/>
      <c r="AI249" s="516"/>
      <c r="AO249" s="524"/>
      <c r="AU249" s="524"/>
      <c r="AX249" s="524"/>
    </row>
    <row r="250" spans="1:50" x14ac:dyDescent="0.2">
      <c r="A250" s="639"/>
      <c r="B250" s="640"/>
      <c r="C250" s="640"/>
      <c r="D250" s="640"/>
      <c r="E250" s="640"/>
      <c r="F250" s="640"/>
      <c r="G250" s="640"/>
      <c r="H250" s="640"/>
      <c r="I250" s="640"/>
      <c r="J250" s="640"/>
      <c r="K250" s="640"/>
      <c r="L250" s="640"/>
      <c r="M250" s="640"/>
      <c r="N250" s="640"/>
      <c r="O250" s="640"/>
      <c r="P250" s="640"/>
      <c r="Q250" s="640"/>
      <c r="R250" s="294"/>
      <c r="S250" s="296"/>
      <c r="T250" s="296"/>
      <c r="U250" s="296"/>
      <c r="V250" s="296"/>
      <c r="W250" s="296"/>
      <c r="X250" s="296"/>
      <c r="Y250" s="311"/>
      <c r="Z250" s="306"/>
      <c r="AA250" s="296"/>
      <c r="AB250" s="296"/>
      <c r="AC250" s="296"/>
      <c r="AD250" s="296"/>
      <c r="AE250" s="311"/>
      <c r="AF250" s="306"/>
      <c r="AG250" s="296"/>
      <c r="AH250" s="311"/>
      <c r="AI250" s="516"/>
      <c r="AO250" s="524"/>
      <c r="AU250" s="524"/>
      <c r="AX250" s="524"/>
    </row>
    <row r="251" spans="1:50" x14ac:dyDescent="0.2">
      <c r="A251" s="639"/>
      <c r="B251" s="640"/>
      <c r="C251" s="640"/>
      <c r="D251" s="640"/>
      <c r="E251" s="640"/>
      <c r="F251" s="640"/>
      <c r="G251" s="640"/>
      <c r="H251" s="640"/>
      <c r="I251" s="640"/>
      <c r="J251" s="640"/>
      <c r="K251" s="640"/>
      <c r="L251" s="640"/>
      <c r="M251" s="640"/>
      <c r="N251" s="640"/>
      <c r="O251" s="640"/>
      <c r="P251" s="640"/>
      <c r="Q251" s="640"/>
      <c r="Y251" s="309"/>
      <c r="Z251" s="305"/>
      <c r="AE251" s="309"/>
      <c r="AF251" s="305"/>
      <c r="AH251" s="309"/>
      <c r="AI251" s="516"/>
      <c r="AO251" s="524"/>
      <c r="AU251" s="524"/>
      <c r="AX251" s="524"/>
    </row>
    <row r="252" spans="1:50" x14ac:dyDescent="0.2">
      <c r="A252" s="639"/>
      <c r="B252" s="640"/>
      <c r="C252" s="640"/>
      <c r="D252" s="640"/>
      <c r="E252" s="640"/>
      <c r="F252" s="640"/>
      <c r="G252" s="640"/>
      <c r="H252" s="640"/>
      <c r="I252" s="640"/>
      <c r="J252" s="640"/>
      <c r="K252" s="640"/>
      <c r="L252" s="640"/>
      <c r="M252" s="640"/>
      <c r="N252" s="640"/>
      <c r="O252" s="640"/>
      <c r="P252" s="640"/>
      <c r="Q252" s="640"/>
      <c r="R252" s="294"/>
      <c r="S252" s="296"/>
      <c r="T252" s="296"/>
      <c r="U252" s="296"/>
      <c r="V252" s="296"/>
      <c r="W252" s="296"/>
      <c r="X252" s="296"/>
      <c r="Y252" s="311"/>
      <c r="Z252" s="306"/>
      <c r="AA252" s="296"/>
      <c r="AB252" s="296"/>
      <c r="AC252" s="296"/>
      <c r="AD252" s="296"/>
      <c r="AE252" s="311"/>
      <c r="AF252" s="306"/>
      <c r="AG252" s="296"/>
      <c r="AH252" s="311"/>
      <c r="AI252" s="517"/>
      <c r="AJ252" s="518"/>
      <c r="AK252" s="518"/>
      <c r="AL252" s="518"/>
      <c r="AM252" s="518"/>
      <c r="AN252" s="518"/>
      <c r="AO252" s="525"/>
      <c r="AP252" s="518"/>
      <c r="AQ252" s="518"/>
      <c r="AR252" s="518"/>
      <c r="AS252" s="518"/>
      <c r="AT252" s="518"/>
      <c r="AU252" s="525"/>
      <c r="AV252" s="518"/>
      <c r="AW252" s="518"/>
      <c r="AX252" s="525"/>
    </row>
    <row r="253" spans="1:50" x14ac:dyDescent="0.2">
      <c r="A253" s="639"/>
      <c r="B253" s="640"/>
      <c r="C253" s="640"/>
      <c r="D253" s="640"/>
      <c r="E253" s="640"/>
      <c r="F253" s="640"/>
      <c r="G253" s="640"/>
      <c r="H253" s="640"/>
      <c r="I253" s="640"/>
      <c r="J253" s="640"/>
      <c r="K253" s="640"/>
      <c r="L253" s="640"/>
      <c r="M253" s="640"/>
      <c r="N253" s="640"/>
      <c r="O253" s="640"/>
      <c r="P253" s="640"/>
      <c r="Q253" s="640"/>
      <c r="Y253" s="309"/>
      <c r="Z253" s="305"/>
      <c r="AE253" s="309"/>
      <c r="AF253" s="305"/>
      <c r="AH253" s="309"/>
      <c r="AI253" s="516"/>
      <c r="AO253" s="524"/>
      <c r="AU253" s="524"/>
      <c r="AX253" s="524"/>
    </row>
    <row r="254" spans="1:50" x14ac:dyDescent="0.2">
      <c r="A254" s="639"/>
      <c r="B254" s="640"/>
      <c r="C254" s="640"/>
      <c r="D254" s="640"/>
      <c r="E254" s="640"/>
      <c r="F254" s="640"/>
      <c r="G254" s="640"/>
      <c r="H254" s="640"/>
      <c r="I254" s="640"/>
      <c r="J254" s="640"/>
      <c r="K254" s="640"/>
      <c r="L254" s="640"/>
      <c r="M254" s="640"/>
      <c r="N254" s="640"/>
      <c r="O254" s="640"/>
      <c r="P254" s="640"/>
      <c r="Q254" s="640"/>
      <c r="R254" s="294"/>
      <c r="S254" s="296"/>
      <c r="T254" s="296"/>
      <c r="U254" s="296"/>
      <c r="V254" s="296"/>
      <c r="W254" s="296"/>
      <c r="X254" s="296"/>
      <c r="Y254" s="311"/>
      <c r="Z254" s="306"/>
      <c r="AA254" s="296"/>
      <c r="AB254" s="296"/>
      <c r="AC254" s="296"/>
      <c r="AD254" s="296"/>
      <c r="AE254" s="311"/>
      <c r="AF254" s="306"/>
      <c r="AG254" s="296"/>
      <c r="AH254" s="311"/>
      <c r="AI254" s="516"/>
      <c r="AO254" s="524"/>
      <c r="AU254" s="524"/>
      <c r="AX254" s="524"/>
    </row>
    <row r="255" spans="1:50" x14ac:dyDescent="0.2">
      <c r="A255" s="639"/>
      <c r="B255" s="640"/>
      <c r="C255" s="640"/>
      <c r="D255" s="640"/>
      <c r="E255" s="640"/>
      <c r="F255" s="640"/>
      <c r="G255" s="640"/>
      <c r="H255" s="640"/>
      <c r="I255" s="640"/>
      <c r="J255" s="640"/>
      <c r="K255" s="640"/>
      <c r="L255" s="640"/>
      <c r="M255" s="640"/>
      <c r="N255" s="640"/>
      <c r="O255" s="640"/>
      <c r="P255" s="640"/>
      <c r="Q255" s="640"/>
      <c r="Y255" s="309"/>
      <c r="Z255" s="305"/>
      <c r="AE255" s="309"/>
      <c r="AF255" s="305"/>
      <c r="AH255" s="309"/>
      <c r="AI255" s="516"/>
      <c r="AO255" s="524"/>
      <c r="AU255" s="524"/>
      <c r="AX255" s="524"/>
    </row>
    <row r="256" spans="1:50" x14ac:dyDescent="0.2">
      <c r="A256" s="639"/>
      <c r="B256" s="640"/>
      <c r="C256" s="640"/>
      <c r="D256" s="640"/>
      <c r="E256" s="640"/>
      <c r="F256" s="640"/>
      <c r="G256" s="640"/>
      <c r="H256" s="640"/>
      <c r="I256" s="640"/>
      <c r="J256" s="640"/>
      <c r="K256" s="640"/>
      <c r="L256" s="640"/>
      <c r="M256" s="640"/>
      <c r="N256" s="640"/>
      <c r="O256" s="640"/>
      <c r="P256" s="640"/>
      <c r="Q256" s="640"/>
      <c r="R256" s="294"/>
      <c r="S256" s="296"/>
      <c r="T256" s="296"/>
      <c r="U256" s="296"/>
      <c r="V256" s="296"/>
      <c r="W256" s="296"/>
      <c r="X256" s="296"/>
      <c r="Y256" s="311"/>
      <c r="Z256" s="306"/>
      <c r="AA256" s="296"/>
      <c r="AB256" s="296"/>
      <c r="AC256" s="296"/>
      <c r="AD256" s="296"/>
      <c r="AE256" s="311"/>
      <c r="AF256" s="306"/>
      <c r="AG256" s="296"/>
      <c r="AH256" s="311"/>
      <c r="AI256" s="517"/>
      <c r="AJ256" s="518"/>
      <c r="AK256" s="518"/>
      <c r="AL256" s="518"/>
      <c r="AM256" s="518"/>
      <c r="AN256" s="518"/>
      <c r="AO256" s="525"/>
      <c r="AP256" s="518"/>
      <c r="AQ256" s="518"/>
      <c r="AR256" s="518"/>
      <c r="AS256" s="518"/>
      <c r="AT256" s="518"/>
      <c r="AU256" s="525"/>
      <c r="AV256" s="518"/>
      <c r="AW256" s="518"/>
      <c r="AX256" s="525"/>
    </row>
    <row r="257" spans="1:50" x14ac:dyDescent="0.2">
      <c r="A257" s="639"/>
      <c r="B257" s="640"/>
      <c r="C257" s="640"/>
      <c r="D257" s="640"/>
      <c r="E257" s="640"/>
      <c r="F257" s="640"/>
      <c r="G257" s="640"/>
      <c r="H257" s="640"/>
      <c r="I257" s="640"/>
      <c r="J257" s="640"/>
      <c r="K257" s="640"/>
      <c r="L257" s="640"/>
      <c r="M257" s="640"/>
      <c r="N257" s="640"/>
      <c r="O257" s="640"/>
      <c r="P257" s="640"/>
      <c r="Q257" s="640"/>
      <c r="Y257" s="309"/>
      <c r="Z257" s="305"/>
      <c r="AE257" s="309"/>
      <c r="AF257" s="305"/>
      <c r="AH257" s="309"/>
      <c r="AI257" s="516"/>
      <c r="AO257" s="524"/>
      <c r="AU257" s="524"/>
      <c r="AX257" s="524"/>
    </row>
    <row r="258" spans="1:50" x14ac:dyDescent="0.2">
      <c r="A258" s="639"/>
      <c r="B258" s="640"/>
      <c r="C258" s="640"/>
      <c r="D258" s="640"/>
      <c r="E258" s="640"/>
      <c r="F258" s="640"/>
      <c r="G258" s="640"/>
      <c r="H258" s="640"/>
      <c r="I258" s="640"/>
      <c r="J258" s="640"/>
      <c r="K258" s="640"/>
      <c r="L258" s="640"/>
      <c r="M258" s="640"/>
      <c r="N258" s="640"/>
      <c r="O258" s="640"/>
      <c r="P258" s="640"/>
      <c r="Q258" s="640"/>
      <c r="R258" s="294"/>
      <c r="S258" s="296"/>
      <c r="T258" s="296"/>
      <c r="U258" s="296"/>
      <c r="V258" s="296"/>
      <c r="W258" s="296"/>
      <c r="X258" s="296"/>
      <c r="Y258" s="311"/>
      <c r="Z258" s="306"/>
      <c r="AA258" s="296"/>
      <c r="AB258" s="296"/>
      <c r="AC258" s="296"/>
      <c r="AD258" s="296"/>
      <c r="AE258" s="311"/>
      <c r="AF258" s="306"/>
      <c r="AG258" s="296"/>
      <c r="AH258" s="311"/>
      <c r="AI258" s="516"/>
      <c r="AO258" s="524"/>
      <c r="AU258" s="524"/>
      <c r="AX258" s="524"/>
    </row>
    <row r="259" spans="1:50" x14ac:dyDescent="0.2">
      <c r="A259" s="639"/>
      <c r="B259" s="640"/>
      <c r="C259" s="640"/>
      <c r="D259" s="640"/>
      <c r="E259" s="640"/>
      <c r="F259" s="640"/>
      <c r="G259" s="640"/>
      <c r="H259" s="640"/>
      <c r="I259" s="640"/>
      <c r="J259" s="640"/>
      <c r="K259" s="640"/>
      <c r="L259" s="640"/>
      <c r="M259" s="640"/>
      <c r="N259" s="640"/>
      <c r="O259" s="640"/>
      <c r="P259" s="640"/>
      <c r="Q259" s="640"/>
      <c r="Y259" s="309"/>
      <c r="Z259" s="305"/>
      <c r="AE259" s="309"/>
      <c r="AF259" s="305"/>
      <c r="AH259" s="309"/>
      <c r="AI259" s="516"/>
      <c r="AO259" s="524"/>
      <c r="AU259" s="524"/>
      <c r="AX259" s="524"/>
    </row>
    <row r="260" spans="1:50" x14ac:dyDescent="0.2">
      <c r="A260" s="639"/>
      <c r="B260" s="640"/>
      <c r="C260" s="640"/>
      <c r="D260" s="640"/>
      <c r="E260" s="640"/>
      <c r="F260" s="640"/>
      <c r="G260" s="640"/>
      <c r="H260" s="640"/>
      <c r="I260" s="640"/>
      <c r="J260" s="640"/>
      <c r="K260" s="640"/>
      <c r="L260" s="640"/>
      <c r="M260" s="640"/>
      <c r="N260" s="640"/>
      <c r="O260" s="640"/>
      <c r="P260" s="640"/>
      <c r="Q260" s="640"/>
      <c r="R260" s="294"/>
      <c r="S260" s="296"/>
      <c r="T260" s="296"/>
      <c r="U260" s="296"/>
      <c r="V260" s="296"/>
      <c r="W260" s="296"/>
      <c r="X260" s="296"/>
      <c r="Y260" s="311"/>
      <c r="Z260" s="306"/>
      <c r="AA260" s="296"/>
      <c r="AB260" s="296"/>
      <c r="AC260" s="296"/>
      <c r="AD260" s="296"/>
      <c r="AE260" s="311"/>
      <c r="AF260" s="306"/>
      <c r="AG260" s="296"/>
      <c r="AH260" s="311"/>
      <c r="AI260" s="517"/>
      <c r="AJ260" s="518"/>
      <c r="AK260" s="518"/>
      <c r="AL260" s="518"/>
      <c r="AM260" s="518"/>
      <c r="AN260" s="518"/>
      <c r="AO260" s="525"/>
      <c r="AP260" s="518"/>
      <c r="AQ260" s="518"/>
      <c r="AR260" s="518"/>
      <c r="AS260" s="527"/>
      <c r="AT260" s="518"/>
      <c r="AU260" s="525"/>
      <c r="AV260" s="518"/>
      <c r="AW260" s="518"/>
      <c r="AX260" s="525"/>
    </row>
    <row r="261" spans="1:50" x14ac:dyDescent="0.2">
      <c r="A261" s="639"/>
      <c r="B261" s="640"/>
      <c r="C261" s="640"/>
      <c r="D261" s="640"/>
      <c r="E261" s="640"/>
      <c r="F261" s="640"/>
      <c r="G261" s="640"/>
      <c r="H261" s="640"/>
      <c r="I261" s="640"/>
      <c r="J261" s="640"/>
      <c r="K261" s="640"/>
      <c r="L261" s="640"/>
      <c r="M261" s="640"/>
      <c r="N261" s="640"/>
      <c r="O261" s="640"/>
      <c r="P261" s="640"/>
      <c r="Q261" s="640"/>
      <c r="Y261" s="309"/>
      <c r="Z261" s="305"/>
      <c r="AE261" s="309"/>
      <c r="AF261" s="305"/>
      <c r="AH261" s="309"/>
      <c r="AI261" s="516"/>
      <c r="AO261" s="524"/>
      <c r="AU261" s="524"/>
      <c r="AX261" s="524"/>
    </row>
    <row r="262" spans="1:50" x14ac:dyDescent="0.2">
      <c r="A262" s="639"/>
      <c r="B262" s="640"/>
      <c r="C262" s="640"/>
      <c r="D262" s="640"/>
      <c r="E262" s="640"/>
      <c r="F262" s="640"/>
      <c r="G262" s="640"/>
      <c r="H262" s="640"/>
      <c r="I262" s="640"/>
      <c r="J262" s="640"/>
      <c r="K262" s="640"/>
      <c r="L262" s="640"/>
      <c r="M262" s="640"/>
      <c r="N262" s="640"/>
      <c r="O262" s="640"/>
      <c r="P262" s="640"/>
      <c r="Q262" s="640"/>
      <c r="R262" s="294"/>
      <c r="S262" s="296"/>
      <c r="T262" s="296"/>
      <c r="U262" s="296"/>
      <c r="V262" s="296"/>
      <c r="W262" s="296"/>
      <c r="X262" s="296"/>
      <c r="Y262" s="311"/>
      <c r="Z262" s="306"/>
      <c r="AA262" s="296"/>
      <c r="AB262" s="296"/>
      <c r="AC262" s="296"/>
      <c r="AD262" s="296"/>
      <c r="AE262" s="311"/>
      <c r="AF262" s="306"/>
      <c r="AG262" s="296"/>
      <c r="AH262" s="311"/>
      <c r="AI262" s="516"/>
      <c r="AO262" s="524"/>
      <c r="AU262" s="524"/>
      <c r="AX262" s="524"/>
    </row>
    <row r="263" spans="1:50" x14ac:dyDescent="0.2">
      <c r="A263" s="639"/>
      <c r="B263" s="640"/>
      <c r="C263" s="640"/>
      <c r="D263" s="640"/>
      <c r="E263" s="640"/>
      <c r="F263" s="640"/>
      <c r="G263" s="640"/>
      <c r="H263" s="640"/>
      <c r="I263" s="640"/>
      <c r="J263" s="640"/>
      <c r="K263" s="640"/>
      <c r="L263" s="640"/>
      <c r="M263" s="640"/>
      <c r="N263" s="640"/>
      <c r="O263" s="640"/>
      <c r="P263" s="640"/>
      <c r="Q263" s="640"/>
      <c r="Y263" s="309"/>
      <c r="Z263" s="305"/>
      <c r="AE263" s="309"/>
      <c r="AF263" s="305"/>
      <c r="AH263" s="309"/>
      <c r="AI263" s="516"/>
      <c r="AO263" s="524"/>
      <c r="AU263" s="524"/>
      <c r="AX263" s="524"/>
    </row>
    <row r="264" spans="1:50" ht="13.5" thickBot="1" x14ac:dyDescent="0.25">
      <c r="A264" s="651"/>
      <c r="B264" s="652"/>
      <c r="C264" s="652"/>
      <c r="D264" s="652"/>
      <c r="E264" s="652"/>
      <c r="F264" s="652"/>
      <c r="G264" s="652"/>
      <c r="H264" s="652"/>
      <c r="I264" s="652"/>
      <c r="J264" s="652"/>
      <c r="K264" s="652"/>
      <c r="L264" s="652"/>
      <c r="M264" s="652"/>
      <c r="N264" s="652"/>
      <c r="O264" s="652"/>
      <c r="P264" s="652"/>
      <c r="Q264" s="652"/>
      <c r="S264" s="302"/>
      <c r="T264" s="302"/>
      <c r="U264" s="302"/>
      <c r="V264" s="302"/>
      <c r="W264" s="302"/>
      <c r="X264" s="302"/>
      <c r="Y264" s="312"/>
      <c r="Z264" s="307"/>
      <c r="AA264" s="302"/>
      <c r="AB264" s="302"/>
      <c r="AC264" s="302"/>
      <c r="AD264" s="302"/>
      <c r="AE264" s="312"/>
      <c r="AF264" s="307"/>
      <c r="AG264" s="302"/>
      <c r="AH264" s="312"/>
      <c r="AI264" s="519"/>
      <c r="AJ264" s="520"/>
      <c r="AK264" s="520"/>
      <c r="AL264" s="520"/>
      <c r="AM264" s="520"/>
      <c r="AN264" s="520"/>
      <c r="AO264" s="526"/>
      <c r="AP264" s="520"/>
      <c r="AQ264" s="520"/>
      <c r="AR264" s="520"/>
      <c r="AS264" s="520"/>
      <c r="AT264" s="520"/>
      <c r="AU264" s="526"/>
      <c r="AV264" s="520"/>
      <c r="AW264" s="520"/>
      <c r="AX264" s="526"/>
    </row>
    <row r="265" spans="1:50" x14ac:dyDescent="0.2">
      <c r="A265" s="638"/>
      <c r="B265" s="640"/>
      <c r="C265" s="640"/>
      <c r="D265" s="640"/>
      <c r="E265" s="640"/>
      <c r="F265" s="640"/>
      <c r="G265" s="640"/>
      <c r="H265" s="640"/>
      <c r="I265" s="640"/>
      <c r="J265" s="640"/>
      <c r="K265" s="640"/>
      <c r="L265" s="640"/>
      <c r="M265" s="640"/>
      <c r="N265" s="640"/>
      <c r="O265" s="640"/>
      <c r="P265" s="640"/>
      <c r="Q265" s="640"/>
      <c r="Y265" s="309"/>
      <c r="Z265" s="305"/>
      <c r="AE265" s="309"/>
      <c r="AF265" s="305"/>
      <c r="AH265" s="309"/>
      <c r="AI265" s="516"/>
      <c r="AO265" s="524"/>
      <c r="AU265" s="524"/>
      <c r="AX265" s="524"/>
    </row>
    <row r="266" spans="1:50" x14ac:dyDescent="0.2">
      <c r="A266" s="639"/>
      <c r="B266" s="640"/>
      <c r="C266" s="640"/>
      <c r="D266" s="640"/>
      <c r="E266" s="640"/>
      <c r="F266" s="640"/>
      <c r="G266" s="640"/>
      <c r="H266" s="640"/>
      <c r="I266" s="640"/>
      <c r="J266" s="640"/>
      <c r="K266" s="640"/>
      <c r="L266" s="640"/>
      <c r="M266" s="640"/>
      <c r="N266" s="640"/>
      <c r="O266" s="640"/>
      <c r="P266" s="640"/>
      <c r="Q266" s="640"/>
      <c r="S266" s="295"/>
      <c r="T266" s="295"/>
      <c r="U266" s="295"/>
      <c r="V266" s="295"/>
      <c r="W266" s="295"/>
      <c r="X266" s="295"/>
      <c r="Y266" s="310"/>
      <c r="Z266" s="305"/>
      <c r="AA266" s="295"/>
      <c r="AB266" s="295"/>
      <c r="AC266" s="295"/>
      <c r="AD266" s="295"/>
      <c r="AE266" s="310"/>
      <c r="AF266" s="305"/>
      <c r="AG266" s="295"/>
      <c r="AH266" s="310"/>
      <c r="AI266" s="516"/>
      <c r="AO266" s="524"/>
      <c r="AU266" s="524"/>
      <c r="AX266" s="524"/>
    </row>
    <row r="267" spans="1:50" x14ac:dyDescent="0.2">
      <c r="A267" s="639"/>
      <c r="B267" s="640"/>
      <c r="C267" s="640"/>
      <c r="D267" s="640"/>
      <c r="E267" s="640"/>
      <c r="F267" s="640"/>
      <c r="G267" s="640"/>
      <c r="H267" s="640"/>
      <c r="I267" s="640"/>
      <c r="J267" s="640"/>
      <c r="K267" s="640"/>
      <c r="L267" s="640"/>
      <c r="M267" s="640"/>
      <c r="N267" s="640"/>
      <c r="O267" s="640"/>
      <c r="P267" s="640"/>
      <c r="Q267" s="640"/>
      <c r="S267" s="296"/>
      <c r="T267" s="296"/>
      <c r="U267" s="296"/>
      <c r="V267" s="296"/>
      <c r="W267" s="296"/>
      <c r="X267" s="296"/>
      <c r="Y267" s="311"/>
      <c r="Z267" s="306"/>
      <c r="AA267" s="296"/>
      <c r="AB267" s="296"/>
      <c r="AC267" s="296"/>
      <c r="AD267" s="296"/>
      <c r="AE267" s="311"/>
      <c r="AF267" s="306"/>
      <c r="AG267" s="296"/>
      <c r="AH267" s="311"/>
      <c r="AI267" s="516"/>
      <c r="AO267" s="524"/>
      <c r="AU267" s="524"/>
      <c r="AX267" s="524"/>
    </row>
    <row r="268" spans="1:50" x14ac:dyDescent="0.2">
      <c r="A268" s="639"/>
      <c r="B268" s="640"/>
      <c r="C268" s="640"/>
      <c r="D268" s="640"/>
      <c r="E268" s="640"/>
      <c r="F268" s="640"/>
      <c r="G268" s="640"/>
      <c r="H268" s="640"/>
      <c r="I268" s="640"/>
      <c r="J268" s="640"/>
      <c r="K268" s="640"/>
      <c r="L268" s="640"/>
      <c r="M268" s="640"/>
      <c r="N268" s="640"/>
      <c r="O268" s="640"/>
      <c r="P268" s="640"/>
      <c r="Q268" s="640"/>
      <c r="Y268" s="309"/>
      <c r="Z268" s="305"/>
      <c r="AE268" s="309"/>
      <c r="AF268" s="305"/>
      <c r="AH268" s="309"/>
      <c r="AI268" s="516"/>
      <c r="AO268" s="524"/>
      <c r="AU268" s="524"/>
      <c r="AX268" s="524"/>
    </row>
    <row r="269" spans="1:50" x14ac:dyDescent="0.2">
      <c r="A269" s="639"/>
      <c r="B269" s="640"/>
      <c r="C269" s="640"/>
      <c r="D269" s="640"/>
      <c r="E269" s="640"/>
      <c r="F269" s="640"/>
      <c r="G269" s="640"/>
      <c r="H269" s="640"/>
      <c r="I269" s="640"/>
      <c r="J269" s="640"/>
      <c r="K269" s="640"/>
      <c r="L269" s="640"/>
      <c r="M269" s="640"/>
      <c r="N269" s="640"/>
      <c r="O269" s="640"/>
      <c r="P269" s="640"/>
      <c r="Q269" s="640"/>
      <c r="R269" s="294"/>
      <c r="S269" s="296"/>
      <c r="T269" s="296"/>
      <c r="U269" s="296"/>
      <c r="V269" s="296"/>
      <c r="W269" s="296"/>
      <c r="X269" s="296"/>
      <c r="Y269" s="311"/>
      <c r="Z269" s="306"/>
      <c r="AA269" s="296"/>
      <c r="AB269" s="296"/>
      <c r="AC269" s="296"/>
      <c r="AD269" s="296"/>
      <c r="AE269" s="311"/>
      <c r="AF269" s="306"/>
      <c r="AG269" s="296"/>
      <c r="AH269" s="311"/>
      <c r="AI269" s="517"/>
      <c r="AJ269" s="518"/>
      <c r="AK269" s="518"/>
      <c r="AL269" s="518"/>
      <c r="AM269" s="518"/>
      <c r="AN269" s="518"/>
      <c r="AO269" s="525"/>
      <c r="AP269" s="518"/>
      <c r="AQ269" s="518"/>
      <c r="AR269" s="518"/>
      <c r="AS269" s="518"/>
      <c r="AT269" s="518"/>
      <c r="AU269" s="525"/>
      <c r="AV269" s="518"/>
      <c r="AW269" s="518"/>
      <c r="AX269" s="525"/>
    </row>
    <row r="270" spans="1:50" x14ac:dyDescent="0.2">
      <c r="A270" s="639"/>
      <c r="B270" s="640"/>
      <c r="C270" s="640"/>
      <c r="D270" s="640"/>
      <c r="E270" s="640"/>
      <c r="F270" s="640"/>
      <c r="G270" s="640"/>
      <c r="H270" s="640"/>
      <c r="I270" s="640"/>
      <c r="J270" s="640"/>
      <c r="K270" s="640"/>
      <c r="L270" s="640"/>
      <c r="M270" s="640"/>
      <c r="N270" s="640"/>
      <c r="O270" s="640"/>
      <c r="P270" s="640"/>
      <c r="Q270" s="640"/>
      <c r="Y270" s="309"/>
      <c r="Z270" s="305"/>
      <c r="AE270" s="309"/>
      <c r="AF270" s="305"/>
      <c r="AH270" s="309"/>
      <c r="AI270" s="516"/>
      <c r="AO270" s="524"/>
      <c r="AU270" s="524"/>
      <c r="AX270" s="524"/>
    </row>
    <row r="271" spans="1:50" x14ac:dyDescent="0.2">
      <c r="A271" s="649"/>
      <c r="B271" s="650"/>
      <c r="C271" s="650"/>
      <c r="D271" s="650"/>
      <c r="E271" s="650"/>
      <c r="F271" s="650"/>
      <c r="G271" s="650"/>
      <c r="H271" s="650"/>
      <c r="I271" s="650"/>
      <c r="J271" s="650"/>
      <c r="K271" s="650"/>
      <c r="L271" s="650"/>
      <c r="M271" s="650"/>
      <c r="N271" s="650"/>
      <c r="O271" s="650"/>
      <c r="P271" s="650"/>
      <c r="Q271" s="650"/>
      <c r="S271" s="296"/>
      <c r="T271" s="296"/>
      <c r="U271" s="296"/>
      <c r="V271" s="296"/>
      <c r="W271" s="296"/>
      <c r="X271" s="296"/>
      <c r="Y271" s="311"/>
      <c r="Z271" s="306"/>
      <c r="AA271" s="296"/>
      <c r="AB271" s="296"/>
      <c r="AC271" s="296"/>
      <c r="AD271" s="296"/>
      <c r="AE271" s="311"/>
      <c r="AF271" s="306"/>
      <c r="AG271" s="296"/>
      <c r="AH271" s="311"/>
      <c r="AI271" s="516"/>
      <c r="AO271" s="524"/>
      <c r="AU271" s="524"/>
      <c r="AX271" s="524"/>
    </row>
    <row r="272" spans="1:50" x14ac:dyDescent="0.2">
      <c r="A272" s="639"/>
      <c r="B272" s="640"/>
      <c r="C272" s="640"/>
      <c r="D272" s="640"/>
      <c r="E272" s="640"/>
      <c r="F272" s="640"/>
      <c r="G272" s="640"/>
      <c r="H272" s="640"/>
      <c r="I272" s="640"/>
      <c r="J272" s="640"/>
      <c r="K272" s="640"/>
      <c r="L272" s="640"/>
      <c r="M272" s="640"/>
      <c r="N272" s="640"/>
      <c r="O272" s="640"/>
      <c r="P272" s="640"/>
      <c r="Q272" s="640"/>
      <c r="Y272" s="309"/>
      <c r="Z272" s="305"/>
      <c r="AE272" s="309"/>
      <c r="AF272" s="305"/>
      <c r="AH272" s="309"/>
      <c r="AI272" s="516"/>
      <c r="AO272" s="524"/>
      <c r="AU272" s="524"/>
      <c r="AX272" s="524"/>
    </row>
    <row r="273" spans="1:50" x14ac:dyDescent="0.2">
      <c r="A273" s="639"/>
      <c r="B273" s="640"/>
      <c r="C273" s="640"/>
      <c r="D273" s="640"/>
      <c r="E273" s="640"/>
      <c r="F273" s="640"/>
      <c r="G273" s="640"/>
      <c r="H273" s="640"/>
      <c r="I273" s="640"/>
      <c r="J273" s="640"/>
      <c r="K273" s="640"/>
      <c r="L273" s="640"/>
      <c r="M273" s="640"/>
      <c r="N273" s="640"/>
      <c r="O273" s="640"/>
      <c r="P273" s="640"/>
      <c r="Q273" s="640"/>
      <c r="R273" s="294"/>
      <c r="S273" s="296"/>
      <c r="T273" s="296"/>
      <c r="U273" s="296"/>
      <c r="V273" s="296"/>
      <c r="W273" s="296"/>
      <c r="X273" s="296"/>
      <c r="Y273" s="311"/>
      <c r="Z273" s="306"/>
      <c r="AA273" s="296"/>
      <c r="AB273" s="296"/>
      <c r="AC273" s="296"/>
      <c r="AD273" s="296"/>
      <c r="AE273" s="311"/>
      <c r="AF273" s="306"/>
      <c r="AG273" s="296"/>
      <c r="AH273" s="311"/>
      <c r="AI273" s="517"/>
      <c r="AJ273" s="518"/>
      <c r="AK273" s="518"/>
      <c r="AL273" s="518"/>
      <c r="AM273" s="518"/>
      <c r="AN273" s="636"/>
      <c r="AO273" s="525"/>
      <c r="AP273" s="518"/>
      <c r="AQ273" s="518"/>
      <c r="AR273" s="518"/>
      <c r="AS273" s="518"/>
      <c r="AT273" s="518"/>
      <c r="AU273" s="525"/>
      <c r="AV273" s="518"/>
      <c r="AW273" s="518"/>
      <c r="AX273" s="525"/>
    </row>
    <row r="274" spans="1:50" x14ac:dyDescent="0.2">
      <c r="A274" s="639"/>
      <c r="B274" s="640"/>
      <c r="C274" s="640"/>
      <c r="D274" s="640"/>
      <c r="E274" s="640"/>
      <c r="F274" s="640"/>
      <c r="G274" s="640"/>
      <c r="H274" s="640"/>
      <c r="I274" s="640"/>
      <c r="J274" s="640"/>
      <c r="K274" s="640"/>
      <c r="L274" s="640"/>
      <c r="M274" s="640"/>
      <c r="N274" s="640"/>
      <c r="O274" s="640"/>
      <c r="P274" s="640"/>
      <c r="Q274" s="640"/>
      <c r="Y274" s="309"/>
      <c r="Z274" s="305"/>
      <c r="AE274" s="309"/>
      <c r="AF274" s="305"/>
      <c r="AH274" s="309"/>
      <c r="AI274" s="516"/>
      <c r="AO274" s="524"/>
      <c r="AU274" s="524"/>
      <c r="AX274" s="524"/>
    </row>
    <row r="275" spans="1:50" x14ac:dyDescent="0.2">
      <c r="A275" s="639"/>
      <c r="B275" s="640"/>
      <c r="C275" s="640"/>
      <c r="D275" s="640"/>
      <c r="E275" s="640"/>
      <c r="F275" s="640"/>
      <c r="G275" s="640"/>
      <c r="H275" s="640"/>
      <c r="I275" s="640"/>
      <c r="J275" s="640"/>
      <c r="K275" s="640"/>
      <c r="L275" s="640"/>
      <c r="M275" s="640"/>
      <c r="N275" s="640"/>
      <c r="O275" s="640"/>
      <c r="P275" s="640"/>
      <c r="Q275" s="640"/>
      <c r="R275" s="294"/>
      <c r="S275" s="296"/>
      <c r="T275" s="296"/>
      <c r="U275" s="296"/>
      <c r="V275" s="296"/>
      <c r="W275" s="296"/>
      <c r="X275" s="296"/>
      <c r="Y275" s="311"/>
      <c r="Z275" s="306"/>
      <c r="AA275" s="296"/>
      <c r="AB275" s="296"/>
      <c r="AC275" s="296"/>
      <c r="AD275" s="296"/>
      <c r="AE275" s="311"/>
      <c r="AF275" s="306"/>
      <c r="AG275" s="296"/>
      <c r="AH275" s="311"/>
      <c r="AI275" s="516"/>
      <c r="AO275" s="524"/>
      <c r="AU275" s="524"/>
      <c r="AX275" s="524"/>
    </row>
    <row r="276" spans="1:50" x14ac:dyDescent="0.2">
      <c r="A276" s="639"/>
      <c r="B276" s="640"/>
      <c r="C276" s="640"/>
      <c r="D276" s="640"/>
      <c r="E276" s="640"/>
      <c r="F276" s="640"/>
      <c r="G276" s="640"/>
      <c r="H276" s="640"/>
      <c r="I276" s="640"/>
      <c r="J276" s="640"/>
      <c r="K276" s="640"/>
      <c r="L276" s="640"/>
      <c r="M276" s="640"/>
      <c r="N276" s="640"/>
      <c r="O276" s="640"/>
      <c r="P276" s="640"/>
      <c r="Q276" s="640"/>
      <c r="Y276" s="309"/>
      <c r="Z276" s="305"/>
      <c r="AE276" s="309"/>
      <c r="AF276" s="305"/>
      <c r="AH276" s="309"/>
      <c r="AI276" s="516"/>
      <c r="AO276" s="524"/>
      <c r="AU276" s="524"/>
      <c r="AX276" s="524"/>
    </row>
    <row r="277" spans="1:50" x14ac:dyDescent="0.2">
      <c r="A277" s="639"/>
      <c r="B277" s="640"/>
      <c r="C277" s="640"/>
      <c r="D277" s="640"/>
      <c r="E277" s="640"/>
      <c r="F277" s="640"/>
      <c r="G277" s="640"/>
      <c r="H277" s="640"/>
      <c r="I277" s="640"/>
      <c r="J277" s="640"/>
      <c r="K277" s="640"/>
      <c r="L277" s="640"/>
      <c r="M277" s="640"/>
      <c r="N277" s="640"/>
      <c r="O277" s="640"/>
      <c r="P277" s="640"/>
      <c r="Q277" s="640"/>
      <c r="R277" s="294"/>
      <c r="S277" s="296"/>
      <c r="T277" s="296"/>
      <c r="U277" s="296"/>
      <c r="V277" s="296"/>
      <c r="W277" s="296"/>
      <c r="X277" s="296"/>
      <c r="Y277" s="311"/>
      <c r="Z277" s="306"/>
      <c r="AA277" s="296"/>
      <c r="AB277" s="296"/>
      <c r="AC277" s="296"/>
      <c r="AD277" s="296"/>
      <c r="AE277" s="311"/>
      <c r="AF277" s="306"/>
      <c r="AG277" s="296"/>
      <c r="AH277" s="311"/>
      <c r="AI277" s="517"/>
      <c r="AJ277" s="518"/>
      <c r="AK277" s="518"/>
      <c r="AL277" s="518"/>
      <c r="AM277" s="518"/>
      <c r="AN277" s="518"/>
      <c r="AO277" s="525"/>
      <c r="AP277" s="518"/>
      <c r="AQ277" s="518"/>
      <c r="AR277" s="518"/>
      <c r="AS277" s="518"/>
      <c r="AT277" s="518"/>
      <c r="AU277" s="525"/>
      <c r="AV277" s="518"/>
      <c r="AW277" s="518"/>
      <c r="AX277" s="525"/>
    </row>
    <row r="278" spans="1:50" x14ac:dyDescent="0.2">
      <c r="A278" s="639"/>
      <c r="B278" s="640"/>
      <c r="C278" s="640"/>
      <c r="D278" s="640"/>
      <c r="E278" s="640"/>
      <c r="F278" s="640"/>
      <c r="G278" s="640"/>
      <c r="H278" s="640"/>
      <c r="I278" s="640"/>
      <c r="J278" s="640"/>
      <c r="K278" s="640"/>
      <c r="L278" s="640"/>
      <c r="M278" s="640"/>
      <c r="N278" s="640"/>
      <c r="O278" s="640"/>
      <c r="P278" s="640"/>
      <c r="Q278" s="640"/>
      <c r="Y278" s="309"/>
      <c r="Z278" s="305"/>
      <c r="AE278" s="309"/>
      <c r="AF278" s="305"/>
      <c r="AH278" s="309"/>
      <c r="AI278" s="516"/>
      <c r="AO278" s="524"/>
      <c r="AU278" s="524"/>
      <c r="AX278" s="524"/>
    </row>
    <row r="279" spans="1:50" x14ac:dyDescent="0.2">
      <c r="A279" s="639"/>
      <c r="B279" s="640"/>
      <c r="C279" s="640"/>
      <c r="D279" s="640"/>
      <c r="E279" s="640"/>
      <c r="F279" s="640"/>
      <c r="G279" s="640"/>
      <c r="H279" s="640"/>
      <c r="I279" s="640"/>
      <c r="J279" s="640"/>
      <c r="K279" s="640"/>
      <c r="L279" s="640"/>
      <c r="M279" s="640"/>
      <c r="N279" s="640"/>
      <c r="O279" s="640"/>
      <c r="P279" s="640"/>
      <c r="Q279" s="640"/>
      <c r="R279" s="294"/>
      <c r="S279" s="296"/>
      <c r="T279" s="296"/>
      <c r="U279" s="296"/>
      <c r="V279" s="296"/>
      <c r="W279" s="296"/>
      <c r="X279" s="296"/>
      <c r="Y279" s="311"/>
      <c r="Z279" s="306"/>
      <c r="AA279" s="296"/>
      <c r="AB279" s="296"/>
      <c r="AC279" s="296"/>
      <c r="AD279" s="296"/>
      <c r="AE279" s="311"/>
      <c r="AF279" s="306"/>
      <c r="AG279" s="296"/>
      <c r="AH279" s="311"/>
      <c r="AI279" s="516"/>
      <c r="AO279" s="524"/>
      <c r="AU279" s="524"/>
      <c r="AX279" s="524"/>
    </row>
    <row r="280" spans="1:50" x14ac:dyDescent="0.2">
      <c r="A280" s="639"/>
      <c r="B280" s="640"/>
      <c r="C280" s="640"/>
      <c r="D280" s="640"/>
      <c r="E280" s="640"/>
      <c r="F280" s="640"/>
      <c r="G280" s="640"/>
      <c r="H280" s="640"/>
      <c r="I280" s="640"/>
      <c r="J280" s="640"/>
      <c r="K280" s="640"/>
      <c r="L280" s="640"/>
      <c r="M280" s="640"/>
      <c r="N280" s="640"/>
      <c r="O280" s="640"/>
      <c r="P280" s="640"/>
      <c r="Q280" s="640"/>
      <c r="Y280" s="309"/>
      <c r="Z280" s="305"/>
      <c r="AE280" s="309"/>
      <c r="AF280" s="305"/>
      <c r="AH280" s="309"/>
      <c r="AI280" s="516"/>
      <c r="AO280" s="524"/>
      <c r="AU280" s="524"/>
      <c r="AX280" s="524"/>
    </row>
    <row r="281" spans="1:50" x14ac:dyDescent="0.2">
      <c r="A281" s="639"/>
      <c r="B281" s="640"/>
      <c r="C281" s="640"/>
      <c r="D281" s="640"/>
      <c r="E281" s="640"/>
      <c r="F281" s="640"/>
      <c r="G281" s="640"/>
      <c r="H281" s="640"/>
      <c r="I281" s="640"/>
      <c r="J281" s="640"/>
      <c r="K281" s="640"/>
      <c r="L281" s="640"/>
      <c r="M281" s="640"/>
      <c r="N281" s="640"/>
      <c r="O281" s="640"/>
      <c r="P281" s="640"/>
      <c r="Q281" s="640"/>
      <c r="R281" s="294"/>
      <c r="S281" s="296"/>
      <c r="T281" s="296"/>
      <c r="U281" s="296"/>
      <c r="V281" s="296"/>
      <c r="W281" s="296"/>
      <c r="X281" s="296"/>
      <c r="Y281" s="311"/>
      <c r="Z281" s="306"/>
      <c r="AA281" s="296"/>
      <c r="AB281" s="296"/>
      <c r="AC281" s="296"/>
      <c r="AD281" s="296"/>
      <c r="AE281" s="311"/>
      <c r="AF281" s="306"/>
      <c r="AG281" s="296"/>
      <c r="AH281" s="311"/>
      <c r="AI281" s="517"/>
      <c r="AJ281" s="518"/>
      <c r="AK281" s="518"/>
      <c r="AL281" s="518"/>
      <c r="AM281" s="518"/>
      <c r="AN281" s="518"/>
      <c r="AO281" s="525"/>
      <c r="AP281" s="518"/>
      <c r="AQ281" s="518"/>
      <c r="AR281" s="518"/>
      <c r="AS281" s="518"/>
      <c r="AT281" s="518"/>
      <c r="AU281" s="525"/>
      <c r="AV281" s="518"/>
      <c r="AW281" s="518"/>
      <c r="AX281" s="525"/>
    </row>
    <row r="282" spans="1:50" x14ac:dyDescent="0.2">
      <c r="A282" s="639"/>
      <c r="B282" s="640"/>
      <c r="C282" s="640"/>
      <c r="D282" s="640"/>
      <c r="E282" s="640"/>
      <c r="F282" s="640"/>
      <c r="G282" s="640"/>
      <c r="H282" s="640"/>
      <c r="I282" s="640"/>
      <c r="J282" s="640"/>
      <c r="K282" s="640"/>
      <c r="L282" s="640"/>
      <c r="M282" s="640"/>
      <c r="N282" s="640"/>
      <c r="O282" s="640"/>
      <c r="P282" s="640"/>
      <c r="Q282" s="640"/>
      <c r="Y282" s="309"/>
      <c r="Z282" s="305"/>
      <c r="AE282" s="309"/>
      <c r="AF282" s="305"/>
      <c r="AH282" s="309"/>
      <c r="AI282" s="516"/>
      <c r="AO282" s="524"/>
      <c r="AU282" s="524"/>
      <c r="AX282" s="524"/>
    </row>
    <row r="283" spans="1:50" x14ac:dyDescent="0.2">
      <c r="A283" s="639"/>
      <c r="B283" s="640"/>
      <c r="C283" s="640"/>
      <c r="D283" s="640"/>
      <c r="E283" s="640"/>
      <c r="F283" s="640"/>
      <c r="G283" s="640"/>
      <c r="H283" s="640"/>
      <c r="I283" s="640"/>
      <c r="J283" s="640"/>
      <c r="K283" s="640"/>
      <c r="L283" s="640"/>
      <c r="M283" s="640"/>
      <c r="N283" s="640"/>
      <c r="O283" s="640"/>
      <c r="P283" s="640"/>
      <c r="Q283" s="640"/>
      <c r="R283" s="294"/>
      <c r="S283" s="296"/>
      <c r="T283" s="296"/>
      <c r="U283" s="296"/>
      <c r="V283" s="296"/>
      <c r="W283" s="296"/>
      <c r="X283" s="296"/>
      <c r="Y283" s="311"/>
      <c r="Z283" s="306"/>
      <c r="AA283" s="296"/>
      <c r="AB283" s="296"/>
      <c r="AC283" s="296"/>
      <c r="AD283" s="296"/>
      <c r="AE283" s="311"/>
      <c r="AF283" s="306"/>
      <c r="AG283" s="296"/>
      <c r="AH283" s="311"/>
      <c r="AI283" s="516"/>
      <c r="AO283" s="524"/>
      <c r="AU283" s="524"/>
      <c r="AX283" s="524"/>
    </row>
    <row r="284" spans="1:50" x14ac:dyDescent="0.2">
      <c r="A284" s="639"/>
      <c r="B284" s="640"/>
      <c r="C284" s="640"/>
      <c r="D284" s="640"/>
      <c r="E284" s="640"/>
      <c r="F284" s="640"/>
      <c r="G284" s="640"/>
      <c r="H284" s="640"/>
      <c r="I284" s="640"/>
      <c r="J284" s="640"/>
      <c r="K284" s="640"/>
      <c r="L284" s="640"/>
      <c r="M284" s="640"/>
      <c r="N284" s="640"/>
      <c r="O284" s="640"/>
      <c r="P284" s="640"/>
      <c r="Q284" s="640"/>
      <c r="Y284" s="309"/>
      <c r="Z284" s="305"/>
      <c r="AE284" s="309"/>
      <c r="AF284" s="305"/>
      <c r="AH284" s="309"/>
      <c r="AI284" s="516"/>
      <c r="AO284" s="524"/>
      <c r="AU284" s="524"/>
      <c r="AX284" s="524"/>
    </row>
    <row r="285" spans="1:50" x14ac:dyDescent="0.2">
      <c r="A285" s="639"/>
      <c r="B285" s="640"/>
      <c r="C285" s="640"/>
      <c r="D285" s="640"/>
      <c r="E285" s="640"/>
      <c r="F285" s="640"/>
      <c r="G285" s="640"/>
      <c r="H285" s="640"/>
      <c r="I285" s="640"/>
      <c r="J285" s="640"/>
      <c r="K285" s="640"/>
      <c r="L285" s="640"/>
      <c r="M285" s="640"/>
      <c r="N285" s="640"/>
      <c r="O285" s="640"/>
      <c r="P285" s="640"/>
      <c r="Q285" s="640"/>
      <c r="R285" s="294"/>
      <c r="S285" s="296"/>
      <c r="T285" s="296"/>
      <c r="U285" s="296"/>
      <c r="V285" s="296"/>
      <c r="W285" s="296"/>
      <c r="X285" s="296"/>
      <c r="Y285" s="311"/>
      <c r="Z285" s="306"/>
      <c r="AA285" s="296"/>
      <c r="AB285" s="296"/>
      <c r="AC285" s="296"/>
      <c r="AD285" s="296"/>
      <c r="AE285" s="311"/>
      <c r="AF285" s="306"/>
      <c r="AG285" s="296"/>
      <c r="AH285" s="311"/>
      <c r="AI285" s="517"/>
      <c r="AJ285" s="518"/>
      <c r="AK285" s="518"/>
      <c r="AL285" s="518"/>
      <c r="AM285" s="518"/>
      <c r="AN285" s="518"/>
      <c r="AO285" s="525"/>
      <c r="AP285" s="518"/>
      <c r="AQ285" s="518"/>
      <c r="AR285" s="518"/>
      <c r="AS285" s="518"/>
      <c r="AT285" s="518"/>
      <c r="AU285" s="525"/>
      <c r="AV285" s="518"/>
      <c r="AW285" s="518"/>
      <c r="AX285" s="525"/>
    </row>
    <row r="286" spans="1:50" x14ac:dyDescent="0.2">
      <c r="A286" s="639"/>
      <c r="B286" s="640"/>
      <c r="C286" s="640"/>
      <c r="D286" s="640"/>
      <c r="E286" s="640"/>
      <c r="F286" s="640"/>
      <c r="G286" s="640"/>
      <c r="H286" s="640"/>
      <c r="I286" s="640"/>
      <c r="J286" s="640"/>
      <c r="K286" s="640"/>
      <c r="L286" s="640"/>
      <c r="M286" s="640"/>
      <c r="N286" s="640"/>
      <c r="O286" s="640"/>
      <c r="P286" s="640"/>
      <c r="Q286" s="640"/>
      <c r="Y286" s="309"/>
      <c r="Z286" s="305"/>
      <c r="AE286" s="309"/>
      <c r="AF286" s="305"/>
      <c r="AH286" s="309"/>
      <c r="AI286" s="516"/>
      <c r="AO286" s="524"/>
      <c r="AU286" s="524"/>
      <c r="AX286" s="524"/>
    </row>
    <row r="287" spans="1:50" x14ac:dyDescent="0.2">
      <c r="A287" s="639"/>
      <c r="B287" s="640"/>
      <c r="C287" s="640"/>
      <c r="D287" s="640"/>
      <c r="E287" s="640"/>
      <c r="F287" s="640"/>
      <c r="G287" s="640"/>
      <c r="H287" s="640"/>
      <c r="I287" s="640"/>
      <c r="J287" s="640"/>
      <c r="K287" s="640"/>
      <c r="L287" s="640"/>
      <c r="M287" s="640"/>
      <c r="N287" s="640"/>
      <c r="O287" s="640"/>
      <c r="P287" s="640"/>
      <c r="Q287" s="640"/>
      <c r="R287" s="294"/>
      <c r="S287" s="296"/>
      <c r="T287" s="296"/>
      <c r="U287" s="296"/>
      <c r="V287" s="296"/>
      <c r="W287" s="296"/>
      <c r="X287" s="296"/>
      <c r="Y287" s="311"/>
      <c r="Z287" s="306"/>
      <c r="AA287" s="296"/>
      <c r="AB287" s="296"/>
      <c r="AC287" s="296"/>
      <c r="AD287" s="296"/>
      <c r="AE287" s="311"/>
      <c r="AF287" s="306"/>
      <c r="AG287" s="296"/>
      <c r="AH287" s="311"/>
      <c r="AI287" s="516"/>
      <c r="AO287" s="524"/>
      <c r="AU287" s="524"/>
      <c r="AX287" s="524"/>
    </row>
    <row r="288" spans="1:50" x14ac:dyDescent="0.2">
      <c r="A288" s="639"/>
      <c r="B288" s="640"/>
      <c r="C288" s="640"/>
      <c r="D288" s="640"/>
      <c r="E288" s="640"/>
      <c r="F288" s="640"/>
      <c r="G288" s="640"/>
      <c r="H288" s="640"/>
      <c r="I288" s="640"/>
      <c r="J288" s="640"/>
      <c r="K288" s="640"/>
      <c r="L288" s="640"/>
      <c r="M288" s="640"/>
      <c r="N288" s="640"/>
      <c r="O288" s="640"/>
      <c r="P288" s="640"/>
      <c r="Q288" s="640"/>
      <c r="Y288" s="309"/>
      <c r="Z288" s="305"/>
      <c r="AE288" s="309"/>
      <c r="AF288" s="305"/>
      <c r="AH288" s="309"/>
      <c r="AI288" s="516"/>
      <c r="AO288" s="524"/>
      <c r="AU288" s="524"/>
      <c r="AX288" s="524"/>
    </row>
    <row r="289" spans="1:50" x14ac:dyDescent="0.2">
      <c r="A289" s="639"/>
      <c r="B289" s="640"/>
      <c r="C289" s="640"/>
      <c r="D289" s="640"/>
      <c r="E289" s="640"/>
      <c r="F289" s="640"/>
      <c r="G289" s="640"/>
      <c r="H289" s="640"/>
      <c r="I289" s="640"/>
      <c r="J289" s="640"/>
      <c r="K289" s="640"/>
      <c r="L289" s="640"/>
      <c r="M289" s="640"/>
      <c r="N289" s="640"/>
      <c r="O289" s="640"/>
      <c r="P289" s="640"/>
      <c r="Q289" s="640"/>
      <c r="R289" s="294"/>
      <c r="S289" s="296"/>
      <c r="T289" s="296"/>
      <c r="U289" s="296"/>
      <c r="V289" s="296"/>
      <c r="W289" s="296"/>
      <c r="X289" s="296"/>
      <c r="Y289" s="311"/>
      <c r="Z289" s="306"/>
      <c r="AA289" s="296"/>
      <c r="AB289" s="296"/>
      <c r="AC289" s="296"/>
      <c r="AD289" s="296"/>
      <c r="AE289" s="311"/>
      <c r="AF289" s="306"/>
      <c r="AG289" s="296"/>
      <c r="AH289" s="311"/>
      <c r="AI289" s="517"/>
      <c r="AJ289" s="518"/>
      <c r="AK289" s="518"/>
      <c r="AL289" s="518"/>
      <c r="AM289" s="518"/>
      <c r="AN289" s="518"/>
      <c r="AO289" s="525"/>
      <c r="AP289" s="518"/>
      <c r="AQ289" s="518"/>
      <c r="AR289" s="518"/>
      <c r="AS289" s="518"/>
      <c r="AT289" s="518"/>
      <c r="AU289" s="525"/>
      <c r="AV289" s="518"/>
      <c r="AW289" s="518"/>
      <c r="AX289" s="525"/>
    </row>
    <row r="290" spans="1:50" x14ac:dyDescent="0.2">
      <c r="A290" s="639"/>
      <c r="B290" s="640"/>
      <c r="C290" s="640"/>
      <c r="D290" s="640"/>
      <c r="E290" s="640"/>
      <c r="F290" s="640"/>
      <c r="G290" s="640"/>
      <c r="H290" s="640"/>
      <c r="I290" s="640"/>
      <c r="J290" s="640"/>
      <c r="K290" s="640"/>
      <c r="L290" s="640"/>
      <c r="M290" s="640"/>
      <c r="N290" s="640"/>
      <c r="O290" s="640"/>
      <c r="P290" s="640"/>
      <c r="Q290" s="640"/>
      <c r="Y290" s="309"/>
      <c r="Z290" s="305"/>
      <c r="AE290" s="309"/>
      <c r="AF290" s="305"/>
      <c r="AH290" s="309"/>
      <c r="AI290" s="516"/>
      <c r="AO290" s="524"/>
      <c r="AU290" s="524"/>
      <c r="AX290" s="524"/>
    </row>
    <row r="291" spans="1:50" x14ac:dyDescent="0.2">
      <c r="A291" s="639"/>
      <c r="B291" s="640"/>
      <c r="C291" s="640"/>
      <c r="D291" s="640"/>
      <c r="E291" s="640"/>
      <c r="F291" s="640"/>
      <c r="G291" s="640"/>
      <c r="H291" s="640"/>
      <c r="I291" s="640"/>
      <c r="J291" s="640"/>
      <c r="K291" s="640"/>
      <c r="L291" s="640"/>
      <c r="M291" s="640"/>
      <c r="N291" s="640"/>
      <c r="O291" s="640"/>
      <c r="P291" s="640"/>
      <c r="Q291" s="640"/>
      <c r="R291" s="294"/>
      <c r="S291" s="296"/>
      <c r="T291" s="296"/>
      <c r="U291" s="296"/>
      <c r="V291" s="296"/>
      <c r="W291" s="296"/>
      <c r="X291" s="296"/>
      <c r="Y291" s="311"/>
      <c r="Z291" s="306"/>
      <c r="AA291" s="296"/>
      <c r="AB291" s="296"/>
      <c r="AC291" s="296"/>
      <c r="AD291" s="296"/>
      <c r="AE291" s="311"/>
      <c r="AF291" s="306"/>
      <c r="AG291" s="296"/>
      <c r="AH291" s="311"/>
      <c r="AI291" s="516"/>
      <c r="AO291" s="524"/>
      <c r="AU291" s="524"/>
      <c r="AX291" s="524"/>
    </row>
    <row r="292" spans="1:50" x14ac:dyDescent="0.2">
      <c r="A292" s="639"/>
      <c r="B292" s="640"/>
      <c r="C292" s="640"/>
      <c r="D292" s="640"/>
      <c r="E292" s="640"/>
      <c r="F292" s="640"/>
      <c r="G292" s="640"/>
      <c r="H292" s="640"/>
      <c r="I292" s="640"/>
      <c r="J292" s="640"/>
      <c r="K292" s="640"/>
      <c r="L292" s="640"/>
      <c r="M292" s="640"/>
      <c r="N292" s="640"/>
      <c r="O292" s="640"/>
      <c r="P292" s="640"/>
      <c r="Q292" s="640"/>
      <c r="Y292" s="309"/>
      <c r="Z292" s="305"/>
      <c r="AE292" s="309"/>
      <c r="AF292" s="305"/>
      <c r="AH292" s="309"/>
      <c r="AI292" s="516"/>
      <c r="AO292" s="524"/>
      <c r="AU292" s="524"/>
      <c r="AX292" s="524"/>
    </row>
    <row r="293" spans="1:50" ht="13.5" thickBot="1" x14ac:dyDescent="0.25">
      <c r="A293" s="651"/>
      <c r="B293" s="652"/>
      <c r="C293" s="652"/>
      <c r="D293" s="652"/>
      <c r="E293" s="652"/>
      <c r="F293" s="652"/>
      <c r="G293" s="652"/>
      <c r="H293" s="652"/>
      <c r="I293" s="652"/>
      <c r="J293" s="652"/>
      <c r="K293" s="652"/>
      <c r="L293" s="652"/>
      <c r="M293" s="652"/>
      <c r="N293" s="652"/>
      <c r="O293" s="652"/>
      <c r="P293" s="652"/>
      <c r="Q293" s="652"/>
      <c r="S293" s="302"/>
      <c r="T293" s="302"/>
      <c r="U293" s="302"/>
      <c r="V293" s="302"/>
      <c r="W293" s="302"/>
      <c r="X293" s="302"/>
      <c r="Y293" s="312"/>
      <c r="Z293" s="307"/>
      <c r="AA293" s="302"/>
      <c r="AB293" s="302"/>
      <c r="AC293" s="302"/>
      <c r="AD293" s="302"/>
      <c r="AE293" s="312"/>
      <c r="AF293" s="307"/>
      <c r="AG293" s="302"/>
      <c r="AH293" s="312"/>
      <c r="AI293" s="519"/>
      <c r="AJ293" s="520"/>
      <c r="AK293" s="520"/>
      <c r="AL293" s="520"/>
      <c r="AM293" s="520"/>
      <c r="AN293" s="520"/>
      <c r="AO293" s="526"/>
      <c r="AP293" s="520"/>
      <c r="AQ293" s="520"/>
      <c r="AR293" s="520"/>
      <c r="AS293" s="520"/>
      <c r="AT293" s="520"/>
      <c r="AU293" s="526"/>
      <c r="AV293" s="520"/>
      <c r="AW293" s="520"/>
      <c r="AX293" s="526"/>
    </row>
    <row r="294" spans="1:50" x14ac:dyDescent="0.2">
      <c r="A294" s="638"/>
      <c r="B294" s="640"/>
      <c r="C294" s="640"/>
      <c r="D294" s="640"/>
      <c r="E294" s="640"/>
      <c r="F294" s="640"/>
      <c r="G294" s="640"/>
      <c r="H294" s="640"/>
      <c r="I294" s="640"/>
      <c r="J294" s="640"/>
      <c r="K294" s="640"/>
      <c r="L294" s="640"/>
      <c r="M294" s="640"/>
      <c r="N294" s="640"/>
      <c r="O294" s="640"/>
      <c r="P294" s="640"/>
      <c r="Q294" s="640"/>
      <c r="Y294" s="309"/>
      <c r="Z294" s="305"/>
      <c r="AE294" s="309"/>
      <c r="AF294" s="305"/>
      <c r="AH294" s="309"/>
      <c r="AI294" s="516"/>
      <c r="AO294" s="524"/>
      <c r="AU294" s="524"/>
      <c r="AX294" s="524"/>
    </row>
    <row r="295" spans="1:50" x14ac:dyDescent="0.2">
      <c r="A295" s="639"/>
      <c r="B295" s="640"/>
      <c r="C295" s="640"/>
      <c r="D295" s="640"/>
      <c r="E295" s="640"/>
      <c r="F295" s="640"/>
      <c r="G295" s="640"/>
      <c r="H295" s="640"/>
      <c r="I295" s="640"/>
      <c r="J295" s="640"/>
      <c r="K295" s="640"/>
      <c r="L295" s="640"/>
      <c r="M295" s="640"/>
      <c r="N295" s="640"/>
      <c r="O295" s="640"/>
      <c r="P295" s="640"/>
      <c r="Q295" s="640"/>
      <c r="S295" s="295"/>
      <c r="T295" s="295"/>
      <c r="U295" s="295"/>
      <c r="V295" s="295"/>
      <c r="W295" s="295"/>
      <c r="X295" s="295"/>
      <c r="Y295" s="310"/>
      <c r="Z295" s="305"/>
      <c r="AA295" s="295"/>
      <c r="AB295" s="295"/>
      <c r="AC295" s="295"/>
      <c r="AD295" s="295"/>
      <c r="AE295" s="310"/>
      <c r="AF295" s="305"/>
      <c r="AG295" s="295"/>
      <c r="AH295" s="310"/>
      <c r="AI295" s="516"/>
      <c r="AO295" s="524"/>
      <c r="AU295" s="524"/>
      <c r="AX295" s="524"/>
    </row>
    <row r="296" spans="1:50" x14ac:dyDescent="0.2">
      <c r="A296" s="639"/>
      <c r="B296" s="640"/>
      <c r="C296" s="640"/>
      <c r="D296" s="640"/>
      <c r="E296" s="640"/>
      <c r="F296" s="640"/>
      <c r="G296" s="640"/>
      <c r="H296" s="640"/>
      <c r="I296" s="640"/>
      <c r="J296" s="640"/>
      <c r="K296" s="640"/>
      <c r="L296" s="640"/>
      <c r="M296" s="640"/>
      <c r="N296" s="640"/>
      <c r="O296" s="640"/>
      <c r="P296" s="640"/>
      <c r="Q296" s="640"/>
      <c r="S296" s="296"/>
      <c r="T296" s="296"/>
      <c r="U296" s="296"/>
      <c r="V296" s="296"/>
      <c r="W296" s="296"/>
      <c r="X296" s="296"/>
      <c r="Y296" s="311"/>
      <c r="Z296" s="306"/>
      <c r="AA296" s="296"/>
      <c r="AB296" s="296"/>
      <c r="AC296" s="296"/>
      <c r="AD296" s="296"/>
      <c r="AE296" s="311"/>
      <c r="AF296" s="306"/>
      <c r="AG296" s="296"/>
      <c r="AH296" s="311"/>
      <c r="AI296" s="516"/>
      <c r="AO296" s="524"/>
      <c r="AU296" s="524"/>
      <c r="AX296" s="524"/>
    </row>
    <row r="297" spans="1:50" x14ac:dyDescent="0.2">
      <c r="A297" s="639"/>
      <c r="B297" s="640"/>
      <c r="C297" s="640"/>
      <c r="D297" s="640"/>
      <c r="E297" s="640"/>
      <c r="F297" s="640"/>
      <c r="G297" s="640"/>
      <c r="H297" s="640"/>
      <c r="I297" s="640"/>
      <c r="J297" s="640"/>
      <c r="K297" s="640"/>
      <c r="L297" s="640"/>
      <c r="M297" s="640"/>
      <c r="N297" s="640"/>
      <c r="O297" s="640"/>
      <c r="P297" s="640"/>
      <c r="Q297" s="640"/>
      <c r="Y297" s="309"/>
      <c r="Z297" s="305"/>
      <c r="AE297" s="309"/>
      <c r="AF297" s="305"/>
      <c r="AH297" s="309"/>
      <c r="AI297" s="516"/>
      <c r="AO297" s="524"/>
      <c r="AU297" s="524"/>
      <c r="AX297" s="524"/>
    </row>
    <row r="298" spans="1:50" x14ac:dyDescent="0.2">
      <c r="A298" s="639"/>
      <c r="B298" s="640"/>
      <c r="C298" s="640"/>
      <c r="D298" s="640"/>
      <c r="E298" s="640"/>
      <c r="F298" s="640"/>
      <c r="G298" s="640"/>
      <c r="H298" s="640"/>
      <c r="I298" s="640"/>
      <c r="J298" s="640"/>
      <c r="K298" s="640"/>
      <c r="L298" s="640"/>
      <c r="M298" s="640"/>
      <c r="N298" s="640"/>
      <c r="O298" s="640"/>
      <c r="P298" s="640"/>
      <c r="Q298" s="640"/>
      <c r="R298" s="294"/>
      <c r="S298" s="296"/>
      <c r="T298" s="296"/>
      <c r="U298" s="296"/>
      <c r="V298" s="296"/>
      <c r="W298" s="296"/>
      <c r="X298" s="296"/>
      <c r="Y298" s="311"/>
      <c r="Z298" s="306"/>
      <c r="AA298" s="296"/>
      <c r="AB298" s="296"/>
      <c r="AC298" s="296"/>
      <c r="AD298" s="296"/>
      <c r="AE298" s="311"/>
      <c r="AF298" s="306"/>
      <c r="AG298" s="296"/>
      <c r="AH298" s="311"/>
      <c r="AI298" s="517"/>
      <c r="AJ298" s="518"/>
      <c r="AK298" s="518"/>
      <c r="AL298" s="518"/>
      <c r="AM298" s="518"/>
      <c r="AN298" s="518"/>
      <c r="AO298" s="525"/>
      <c r="AP298" s="518"/>
      <c r="AQ298" s="518"/>
      <c r="AR298" s="518"/>
      <c r="AS298" s="518"/>
      <c r="AT298" s="518"/>
      <c r="AU298" s="525"/>
      <c r="AV298" s="518"/>
      <c r="AW298" s="518"/>
      <c r="AX298" s="525"/>
    </row>
    <row r="299" spans="1:50" x14ac:dyDescent="0.2">
      <c r="A299" s="639"/>
      <c r="B299" s="640"/>
      <c r="C299" s="640"/>
      <c r="D299" s="640"/>
      <c r="E299" s="640"/>
      <c r="F299" s="640"/>
      <c r="G299" s="640"/>
      <c r="H299" s="640"/>
      <c r="I299" s="640"/>
      <c r="J299" s="640"/>
      <c r="K299" s="640"/>
      <c r="L299" s="640"/>
      <c r="M299" s="640"/>
      <c r="N299" s="640"/>
      <c r="O299" s="640"/>
      <c r="P299" s="640"/>
      <c r="Q299" s="640"/>
      <c r="Y299" s="309"/>
      <c r="Z299" s="305"/>
      <c r="AE299" s="309"/>
      <c r="AF299" s="305"/>
      <c r="AH299" s="309"/>
      <c r="AI299" s="516"/>
      <c r="AO299" s="524"/>
      <c r="AU299" s="524"/>
      <c r="AX299" s="524"/>
    </row>
    <row r="300" spans="1:50" x14ac:dyDescent="0.2">
      <c r="A300" s="649"/>
      <c r="B300" s="650"/>
      <c r="C300" s="650"/>
      <c r="D300" s="650"/>
      <c r="E300" s="650"/>
      <c r="F300" s="650"/>
      <c r="G300" s="650"/>
      <c r="H300" s="650"/>
      <c r="I300" s="650"/>
      <c r="J300" s="650"/>
      <c r="K300" s="650"/>
      <c r="L300" s="650"/>
      <c r="M300" s="650"/>
      <c r="N300" s="650"/>
      <c r="O300" s="650"/>
      <c r="P300" s="650"/>
      <c r="Q300" s="650"/>
      <c r="S300" s="296"/>
      <c r="T300" s="296"/>
      <c r="U300" s="296"/>
      <c r="V300" s="296"/>
      <c r="W300" s="296"/>
      <c r="X300" s="296"/>
      <c r="Y300" s="311"/>
      <c r="Z300" s="306"/>
      <c r="AA300" s="296"/>
      <c r="AB300" s="296"/>
      <c r="AC300" s="296"/>
      <c r="AD300" s="296"/>
      <c r="AE300" s="311"/>
      <c r="AF300" s="306"/>
      <c r="AG300" s="296"/>
      <c r="AH300" s="311"/>
      <c r="AI300" s="516"/>
      <c r="AO300" s="524"/>
      <c r="AU300" s="524"/>
      <c r="AX300" s="524"/>
    </row>
    <row r="301" spans="1:50" x14ac:dyDescent="0.2">
      <c r="A301" s="639"/>
      <c r="B301" s="640"/>
      <c r="C301" s="640"/>
      <c r="D301" s="640"/>
      <c r="E301" s="640"/>
      <c r="F301" s="640"/>
      <c r="G301" s="640"/>
      <c r="H301" s="640"/>
      <c r="I301" s="640"/>
      <c r="J301" s="640"/>
      <c r="K301" s="640"/>
      <c r="L301" s="640"/>
      <c r="M301" s="640"/>
      <c r="N301" s="640"/>
      <c r="O301" s="640"/>
      <c r="P301" s="640"/>
      <c r="Q301" s="640"/>
      <c r="Y301" s="309"/>
      <c r="Z301" s="305"/>
      <c r="AE301" s="309"/>
      <c r="AF301" s="305"/>
      <c r="AH301" s="309"/>
      <c r="AI301" s="516"/>
      <c r="AO301" s="524"/>
      <c r="AU301" s="524"/>
      <c r="AX301" s="524"/>
    </row>
    <row r="302" spans="1:50" x14ac:dyDescent="0.2">
      <c r="A302" s="639"/>
      <c r="B302" s="640"/>
      <c r="C302" s="640"/>
      <c r="D302" s="640"/>
      <c r="E302" s="640"/>
      <c r="F302" s="640"/>
      <c r="G302" s="640"/>
      <c r="H302" s="640"/>
      <c r="I302" s="640"/>
      <c r="J302" s="640"/>
      <c r="K302" s="640"/>
      <c r="L302" s="640"/>
      <c r="M302" s="640"/>
      <c r="N302" s="640"/>
      <c r="O302" s="640"/>
      <c r="P302" s="640"/>
      <c r="Q302" s="640"/>
      <c r="R302" s="294"/>
      <c r="S302" s="296"/>
      <c r="T302" s="296"/>
      <c r="U302" s="296"/>
      <c r="V302" s="296"/>
      <c r="W302" s="296"/>
      <c r="X302" s="296"/>
      <c r="Y302" s="311"/>
      <c r="Z302" s="306"/>
      <c r="AA302" s="296"/>
      <c r="AB302" s="296"/>
      <c r="AC302" s="296"/>
      <c r="AD302" s="296"/>
      <c r="AE302" s="311"/>
      <c r="AF302" s="306"/>
      <c r="AG302" s="296"/>
      <c r="AH302" s="311"/>
      <c r="AI302" s="517"/>
      <c r="AJ302" s="518"/>
      <c r="AK302" s="518"/>
      <c r="AL302" s="527"/>
      <c r="AM302" s="518"/>
      <c r="AN302" s="527"/>
      <c r="AO302" s="525"/>
      <c r="AP302" s="518"/>
      <c r="AQ302" s="518"/>
      <c r="AR302" s="518"/>
      <c r="AS302" s="518"/>
      <c r="AT302" s="518"/>
      <c r="AU302" s="525"/>
      <c r="AV302" s="518"/>
      <c r="AW302" s="518"/>
      <c r="AX302" s="525"/>
    </row>
    <row r="303" spans="1:50" x14ac:dyDescent="0.2">
      <c r="A303" s="639"/>
      <c r="B303" s="640"/>
      <c r="C303" s="640"/>
      <c r="D303" s="640"/>
      <c r="E303" s="640"/>
      <c r="F303" s="640"/>
      <c r="G303" s="640"/>
      <c r="H303" s="640"/>
      <c r="I303" s="640"/>
      <c r="J303" s="640"/>
      <c r="K303" s="640"/>
      <c r="L303" s="640"/>
      <c r="M303" s="640"/>
      <c r="N303" s="640"/>
      <c r="O303" s="640"/>
      <c r="P303" s="640"/>
      <c r="Q303" s="640"/>
      <c r="Y303" s="309"/>
      <c r="Z303" s="305"/>
      <c r="AE303" s="309"/>
      <c r="AF303" s="305"/>
      <c r="AH303" s="309"/>
      <c r="AI303" s="516"/>
      <c r="AO303" s="524"/>
      <c r="AU303" s="524"/>
      <c r="AX303" s="524"/>
    </row>
    <row r="304" spans="1:50" x14ac:dyDescent="0.2">
      <c r="A304" s="639"/>
      <c r="B304" s="640"/>
      <c r="C304" s="640"/>
      <c r="D304" s="640"/>
      <c r="E304" s="640"/>
      <c r="F304" s="640"/>
      <c r="G304" s="640"/>
      <c r="H304" s="640"/>
      <c r="I304" s="640"/>
      <c r="J304" s="640"/>
      <c r="K304" s="640"/>
      <c r="L304" s="640"/>
      <c r="M304" s="640"/>
      <c r="N304" s="640"/>
      <c r="O304" s="640"/>
      <c r="P304" s="640"/>
      <c r="Q304" s="640"/>
      <c r="R304" s="294"/>
      <c r="S304" s="296"/>
      <c r="T304" s="296"/>
      <c r="U304" s="296"/>
      <c r="V304" s="296"/>
      <c r="W304" s="296"/>
      <c r="X304" s="296"/>
      <c r="Y304" s="311"/>
      <c r="Z304" s="306"/>
      <c r="AA304" s="296"/>
      <c r="AB304" s="296"/>
      <c r="AC304" s="296"/>
      <c r="AD304" s="296"/>
      <c r="AE304" s="311"/>
      <c r="AF304" s="306"/>
      <c r="AG304" s="296"/>
      <c r="AH304" s="311"/>
      <c r="AI304" s="516"/>
      <c r="AO304" s="524"/>
      <c r="AU304" s="524"/>
      <c r="AX304" s="524"/>
    </row>
    <row r="305" spans="1:50" x14ac:dyDescent="0.2">
      <c r="A305" s="639"/>
      <c r="B305" s="640"/>
      <c r="C305" s="640"/>
      <c r="D305" s="640"/>
      <c r="E305" s="640"/>
      <c r="F305" s="640"/>
      <c r="G305" s="640"/>
      <c r="H305" s="640"/>
      <c r="I305" s="640"/>
      <c r="J305" s="640"/>
      <c r="K305" s="640"/>
      <c r="L305" s="640"/>
      <c r="M305" s="640"/>
      <c r="N305" s="640"/>
      <c r="O305" s="640"/>
      <c r="P305" s="640"/>
      <c r="Q305" s="640"/>
      <c r="Y305" s="309"/>
      <c r="Z305" s="305"/>
      <c r="AE305" s="309"/>
      <c r="AF305" s="305"/>
      <c r="AH305" s="309"/>
      <c r="AI305" s="516"/>
      <c r="AO305" s="524"/>
      <c r="AU305" s="524"/>
      <c r="AX305" s="524"/>
    </row>
    <row r="306" spans="1:50" x14ac:dyDescent="0.2">
      <c r="A306" s="639"/>
      <c r="B306" s="640"/>
      <c r="C306" s="640"/>
      <c r="D306" s="640"/>
      <c r="E306" s="640"/>
      <c r="F306" s="640"/>
      <c r="G306" s="640"/>
      <c r="H306" s="640"/>
      <c r="I306" s="640"/>
      <c r="J306" s="640"/>
      <c r="K306" s="640"/>
      <c r="L306" s="640"/>
      <c r="M306" s="640"/>
      <c r="N306" s="640"/>
      <c r="O306" s="640"/>
      <c r="P306" s="640"/>
      <c r="Q306" s="640"/>
      <c r="R306" s="294"/>
      <c r="S306" s="296"/>
      <c r="T306" s="296"/>
      <c r="U306" s="296"/>
      <c r="V306" s="296"/>
      <c r="W306" s="296"/>
      <c r="X306" s="296"/>
      <c r="Y306" s="311"/>
      <c r="Z306" s="306"/>
      <c r="AA306" s="296"/>
      <c r="AB306" s="296"/>
      <c r="AC306" s="296"/>
      <c r="AD306" s="296"/>
      <c r="AE306" s="311"/>
      <c r="AF306" s="306"/>
      <c r="AG306" s="296"/>
      <c r="AH306" s="311"/>
      <c r="AI306" s="517"/>
      <c r="AJ306" s="518"/>
      <c r="AK306" s="518"/>
      <c r="AL306" s="518"/>
      <c r="AM306" s="518"/>
      <c r="AN306" s="527"/>
      <c r="AO306" s="525"/>
      <c r="AP306" s="518"/>
      <c r="AQ306" s="518"/>
      <c r="AR306" s="518"/>
      <c r="AS306" s="518"/>
      <c r="AT306" s="518"/>
      <c r="AU306" s="525"/>
      <c r="AV306" s="518"/>
      <c r="AW306" s="518"/>
      <c r="AX306" s="525"/>
    </row>
    <row r="307" spans="1:50" x14ac:dyDescent="0.2">
      <c r="A307" s="639"/>
      <c r="B307" s="640"/>
      <c r="C307" s="640"/>
      <c r="D307" s="640"/>
      <c r="E307" s="640"/>
      <c r="F307" s="640"/>
      <c r="G307" s="640"/>
      <c r="H307" s="640"/>
      <c r="I307" s="640"/>
      <c r="J307" s="640"/>
      <c r="K307" s="640"/>
      <c r="L307" s="640"/>
      <c r="M307" s="640"/>
      <c r="N307" s="640"/>
      <c r="O307" s="640"/>
      <c r="P307" s="640"/>
      <c r="Q307" s="640"/>
      <c r="Y307" s="309"/>
      <c r="Z307" s="305"/>
      <c r="AE307" s="309"/>
      <c r="AF307" s="305"/>
      <c r="AH307" s="309"/>
      <c r="AI307" s="516"/>
      <c r="AO307" s="524"/>
      <c r="AU307" s="524"/>
      <c r="AX307" s="524"/>
    </row>
    <row r="308" spans="1:50" x14ac:dyDescent="0.2">
      <c r="A308" s="639"/>
      <c r="B308" s="640"/>
      <c r="C308" s="640"/>
      <c r="D308" s="640"/>
      <c r="E308" s="640"/>
      <c r="F308" s="640"/>
      <c r="G308" s="640"/>
      <c r="H308" s="640"/>
      <c r="I308" s="640"/>
      <c r="J308" s="640"/>
      <c r="K308" s="640"/>
      <c r="L308" s="640"/>
      <c r="M308" s="640"/>
      <c r="N308" s="640"/>
      <c r="O308" s="640"/>
      <c r="P308" s="640"/>
      <c r="Q308" s="640"/>
      <c r="R308" s="294"/>
      <c r="S308" s="296"/>
      <c r="T308" s="296"/>
      <c r="U308" s="296"/>
      <c r="V308" s="296"/>
      <c r="W308" s="296"/>
      <c r="X308" s="296"/>
      <c r="Y308" s="311"/>
      <c r="Z308" s="306"/>
      <c r="AA308" s="296"/>
      <c r="AB308" s="296"/>
      <c r="AC308" s="296"/>
      <c r="AD308" s="296"/>
      <c r="AE308" s="311"/>
      <c r="AF308" s="306"/>
      <c r="AG308" s="296"/>
      <c r="AH308" s="311"/>
      <c r="AI308" s="516"/>
      <c r="AO308" s="524"/>
      <c r="AU308" s="524"/>
      <c r="AX308" s="524"/>
    </row>
    <row r="309" spans="1:50" x14ac:dyDescent="0.2">
      <c r="A309" s="639"/>
      <c r="B309" s="640"/>
      <c r="C309" s="640"/>
      <c r="D309" s="640"/>
      <c r="E309" s="640"/>
      <c r="F309" s="640"/>
      <c r="G309" s="640"/>
      <c r="H309" s="640"/>
      <c r="I309" s="640"/>
      <c r="J309" s="640"/>
      <c r="K309" s="640"/>
      <c r="L309" s="640"/>
      <c r="M309" s="640"/>
      <c r="N309" s="640"/>
      <c r="O309" s="640"/>
      <c r="P309" s="640"/>
      <c r="Q309" s="640"/>
      <c r="Y309" s="309"/>
      <c r="Z309" s="305"/>
      <c r="AE309" s="309"/>
      <c r="AF309" s="305"/>
      <c r="AH309" s="309"/>
      <c r="AI309" s="516"/>
      <c r="AO309" s="524"/>
      <c r="AU309" s="524"/>
      <c r="AX309" s="524"/>
    </row>
    <row r="310" spans="1:50" x14ac:dyDescent="0.2">
      <c r="A310" s="639"/>
      <c r="B310" s="640"/>
      <c r="C310" s="640"/>
      <c r="D310" s="640"/>
      <c r="E310" s="640"/>
      <c r="F310" s="640"/>
      <c r="G310" s="640"/>
      <c r="H310" s="640"/>
      <c r="I310" s="640"/>
      <c r="J310" s="640"/>
      <c r="K310" s="640"/>
      <c r="L310" s="640"/>
      <c r="M310" s="640"/>
      <c r="N310" s="640"/>
      <c r="O310" s="640"/>
      <c r="P310" s="640"/>
      <c r="Q310" s="640"/>
      <c r="R310" s="294"/>
      <c r="S310" s="296"/>
      <c r="T310" s="296"/>
      <c r="U310" s="296"/>
      <c r="V310" s="296"/>
      <c r="W310" s="296"/>
      <c r="X310" s="296"/>
      <c r="Y310" s="311"/>
      <c r="Z310" s="306"/>
      <c r="AA310" s="296"/>
      <c r="AB310" s="296"/>
      <c r="AC310" s="296"/>
      <c r="AD310" s="296"/>
      <c r="AE310" s="311"/>
      <c r="AF310" s="306"/>
      <c r="AG310" s="296"/>
      <c r="AH310" s="311"/>
      <c r="AI310" s="517"/>
      <c r="AJ310" s="518"/>
      <c r="AK310" s="518"/>
      <c r="AL310" s="527"/>
      <c r="AM310" s="518"/>
      <c r="AN310" s="518"/>
      <c r="AO310" s="525"/>
      <c r="AP310" s="518"/>
      <c r="AQ310" s="518"/>
      <c r="AR310" s="518"/>
      <c r="AS310" s="518"/>
      <c r="AT310" s="518"/>
      <c r="AU310" s="525"/>
      <c r="AV310" s="518"/>
      <c r="AW310" s="518"/>
      <c r="AX310" s="525"/>
    </row>
    <row r="311" spans="1:50" x14ac:dyDescent="0.2">
      <c r="A311" s="639"/>
      <c r="B311" s="640"/>
      <c r="C311" s="640"/>
      <c r="D311" s="640"/>
      <c r="E311" s="640"/>
      <c r="F311" s="640"/>
      <c r="G311" s="640"/>
      <c r="H311" s="640"/>
      <c r="I311" s="640"/>
      <c r="J311" s="640"/>
      <c r="K311" s="640"/>
      <c r="L311" s="640"/>
      <c r="M311" s="640"/>
      <c r="N311" s="640"/>
      <c r="O311" s="640"/>
      <c r="P311" s="640"/>
      <c r="Q311" s="640"/>
      <c r="Y311" s="309"/>
      <c r="Z311" s="305"/>
      <c r="AE311" s="309"/>
      <c r="AF311" s="305"/>
      <c r="AH311" s="309"/>
      <c r="AI311" s="516"/>
      <c r="AO311" s="524"/>
      <c r="AU311" s="524"/>
      <c r="AX311" s="524"/>
    </row>
    <row r="312" spans="1:50" x14ac:dyDescent="0.2">
      <c r="A312" s="639"/>
      <c r="B312" s="640"/>
      <c r="C312" s="640"/>
      <c r="D312" s="640"/>
      <c r="E312" s="640"/>
      <c r="F312" s="640"/>
      <c r="G312" s="640"/>
      <c r="H312" s="640"/>
      <c r="I312" s="640"/>
      <c r="J312" s="640"/>
      <c r="K312" s="640"/>
      <c r="L312" s="640"/>
      <c r="M312" s="640"/>
      <c r="N312" s="640"/>
      <c r="O312" s="640"/>
      <c r="P312" s="640"/>
      <c r="Q312" s="640"/>
      <c r="R312" s="294"/>
      <c r="S312" s="296"/>
      <c r="T312" s="296"/>
      <c r="U312" s="296"/>
      <c r="V312" s="296"/>
      <c r="W312" s="296"/>
      <c r="X312" s="296"/>
      <c r="Y312" s="311"/>
      <c r="Z312" s="306"/>
      <c r="AA312" s="296"/>
      <c r="AB312" s="296"/>
      <c r="AC312" s="296"/>
      <c r="AD312" s="296"/>
      <c r="AE312" s="311"/>
      <c r="AF312" s="306"/>
      <c r="AG312" s="296"/>
      <c r="AH312" s="311"/>
      <c r="AI312" s="516"/>
      <c r="AO312" s="524"/>
      <c r="AU312" s="524"/>
      <c r="AX312" s="524"/>
    </row>
    <row r="313" spans="1:50" x14ac:dyDescent="0.2">
      <c r="A313" s="639"/>
      <c r="B313" s="640"/>
      <c r="C313" s="640"/>
      <c r="D313" s="640"/>
      <c r="E313" s="640"/>
      <c r="F313" s="640"/>
      <c r="G313" s="640"/>
      <c r="H313" s="640"/>
      <c r="I313" s="640"/>
      <c r="J313" s="640"/>
      <c r="K313" s="640"/>
      <c r="L313" s="640"/>
      <c r="M313" s="640"/>
      <c r="N313" s="640"/>
      <c r="O313" s="640"/>
      <c r="P313" s="640"/>
      <c r="Q313" s="640"/>
      <c r="Y313" s="309"/>
      <c r="Z313" s="305"/>
      <c r="AE313" s="309"/>
      <c r="AF313" s="305"/>
      <c r="AH313" s="309"/>
      <c r="AI313" s="516"/>
      <c r="AO313" s="524"/>
      <c r="AU313" s="524"/>
      <c r="AX313" s="524"/>
    </row>
    <row r="314" spans="1:50" x14ac:dyDescent="0.2">
      <c r="A314" s="639"/>
      <c r="B314" s="640"/>
      <c r="C314" s="640"/>
      <c r="D314" s="640"/>
      <c r="E314" s="640"/>
      <c r="F314" s="640"/>
      <c r="G314" s="640"/>
      <c r="H314" s="640"/>
      <c r="I314" s="640"/>
      <c r="J314" s="640"/>
      <c r="K314" s="640"/>
      <c r="L314" s="640"/>
      <c r="M314" s="640"/>
      <c r="N314" s="640"/>
      <c r="O314" s="640"/>
      <c r="P314" s="640"/>
      <c r="Q314" s="640"/>
      <c r="R314" s="294"/>
      <c r="S314" s="296"/>
      <c r="T314" s="296"/>
      <c r="U314" s="296"/>
      <c r="V314" s="296"/>
      <c r="W314" s="296"/>
      <c r="X314" s="296"/>
      <c r="Y314" s="311"/>
      <c r="Z314" s="306"/>
      <c r="AA314" s="296"/>
      <c r="AB314" s="296"/>
      <c r="AC314" s="296"/>
      <c r="AD314" s="296"/>
      <c r="AE314" s="311"/>
      <c r="AF314" s="306"/>
      <c r="AG314" s="296"/>
      <c r="AH314" s="311"/>
      <c r="AI314" s="517"/>
      <c r="AJ314" s="518"/>
      <c r="AK314" s="518"/>
      <c r="AL314" s="518"/>
      <c r="AM314" s="518"/>
      <c r="AN314" s="518"/>
      <c r="AO314" s="525"/>
      <c r="AP314" s="518"/>
      <c r="AQ314" s="518"/>
      <c r="AR314" s="518"/>
      <c r="AS314" s="518"/>
      <c r="AT314" s="518"/>
      <c r="AU314" s="525"/>
      <c r="AV314" s="518"/>
      <c r="AW314" s="518"/>
      <c r="AX314" s="525"/>
    </row>
    <row r="315" spans="1:50" x14ac:dyDescent="0.2">
      <c r="A315" s="639"/>
      <c r="B315" s="640"/>
      <c r="C315" s="640"/>
      <c r="D315" s="640"/>
      <c r="E315" s="640"/>
      <c r="F315" s="640"/>
      <c r="G315" s="640"/>
      <c r="H315" s="640"/>
      <c r="I315" s="640"/>
      <c r="J315" s="640"/>
      <c r="K315" s="640"/>
      <c r="L315" s="640"/>
      <c r="M315" s="640"/>
      <c r="N315" s="640"/>
      <c r="O315" s="640"/>
      <c r="P315" s="640"/>
      <c r="Q315" s="640"/>
      <c r="Y315" s="309"/>
      <c r="Z315" s="305"/>
      <c r="AE315" s="309"/>
      <c r="AF315" s="305"/>
      <c r="AH315" s="309"/>
      <c r="AI315" s="516"/>
      <c r="AO315" s="524"/>
      <c r="AU315" s="524"/>
      <c r="AX315" s="524"/>
    </row>
    <row r="316" spans="1:50" x14ac:dyDescent="0.2">
      <c r="A316" s="639"/>
      <c r="B316" s="640"/>
      <c r="C316" s="640"/>
      <c r="D316" s="640"/>
      <c r="E316" s="640"/>
      <c r="F316" s="640"/>
      <c r="G316" s="640"/>
      <c r="H316" s="640"/>
      <c r="I316" s="640"/>
      <c r="J316" s="640"/>
      <c r="K316" s="640"/>
      <c r="L316" s="640"/>
      <c r="M316" s="640"/>
      <c r="N316" s="640"/>
      <c r="O316" s="640"/>
      <c r="P316" s="640"/>
      <c r="Q316" s="640"/>
      <c r="R316" s="294"/>
      <c r="S316" s="296"/>
      <c r="T316" s="296"/>
      <c r="U316" s="296"/>
      <c r="V316" s="296"/>
      <c r="W316" s="296"/>
      <c r="X316" s="296"/>
      <c r="Y316" s="311"/>
      <c r="Z316" s="306"/>
      <c r="AA316" s="296"/>
      <c r="AB316" s="296"/>
      <c r="AC316" s="296"/>
      <c r="AD316" s="296"/>
      <c r="AE316" s="311"/>
      <c r="AF316" s="306"/>
      <c r="AG316" s="296"/>
      <c r="AH316" s="311"/>
      <c r="AI316" s="516"/>
      <c r="AO316" s="524"/>
      <c r="AU316" s="524"/>
      <c r="AX316" s="524"/>
    </row>
    <row r="317" spans="1:50" x14ac:dyDescent="0.2">
      <c r="A317" s="639"/>
      <c r="B317" s="640"/>
      <c r="C317" s="640"/>
      <c r="D317" s="640"/>
      <c r="E317" s="640"/>
      <c r="F317" s="640"/>
      <c r="G317" s="640"/>
      <c r="H317" s="640"/>
      <c r="I317" s="640"/>
      <c r="J317" s="640"/>
      <c r="K317" s="640"/>
      <c r="L317" s="640"/>
      <c r="M317" s="640"/>
      <c r="N317" s="640"/>
      <c r="O317" s="640"/>
      <c r="P317" s="640"/>
      <c r="Q317" s="640"/>
      <c r="Y317" s="309"/>
      <c r="Z317" s="305"/>
      <c r="AE317" s="309"/>
      <c r="AF317" s="305"/>
      <c r="AH317" s="309"/>
      <c r="AI317" s="516"/>
      <c r="AO317" s="524"/>
      <c r="AU317" s="524"/>
      <c r="AX317" s="524"/>
    </row>
    <row r="318" spans="1:50" x14ac:dyDescent="0.2">
      <c r="A318" s="639"/>
      <c r="B318" s="640"/>
      <c r="C318" s="640"/>
      <c r="D318" s="640"/>
      <c r="E318" s="640"/>
      <c r="F318" s="640"/>
      <c r="G318" s="640"/>
      <c r="H318" s="640"/>
      <c r="I318" s="640"/>
      <c r="J318" s="640"/>
      <c r="K318" s="640"/>
      <c r="L318" s="640"/>
      <c r="M318" s="640"/>
      <c r="N318" s="640"/>
      <c r="O318" s="640"/>
      <c r="P318" s="640"/>
      <c r="Q318" s="640"/>
      <c r="R318" s="294"/>
      <c r="S318" s="296"/>
      <c r="T318" s="296"/>
      <c r="U318" s="296"/>
      <c r="V318" s="296"/>
      <c r="W318" s="296"/>
      <c r="X318" s="296"/>
      <c r="Y318" s="311"/>
      <c r="Z318" s="306"/>
      <c r="AA318" s="296"/>
      <c r="AB318" s="296"/>
      <c r="AC318" s="296"/>
      <c r="AD318" s="296"/>
      <c r="AE318" s="311"/>
      <c r="AF318" s="306"/>
      <c r="AG318" s="296"/>
      <c r="AH318" s="311"/>
      <c r="AI318" s="517"/>
      <c r="AJ318" s="518"/>
      <c r="AK318" s="518"/>
      <c r="AL318" s="518"/>
      <c r="AM318" s="518"/>
      <c r="AN318" s="518"/>
      <c r="AO318" s="525"/>
      <c r="AP318" s="518"/>
      <c r="AQ318" s="518"/>
      <c r="AR318" s="518"/>
      <c r="AS318" s="518"/>
      <c r="AT318" s="518"/>
      <c r="AU318" s="525"/>
      <c r="AV318" s="518"/>
      <c r="AW318" s="518"/>
      <c r="AX318" s="525"/>
    </row>
    <row r="319" spans="1:50" x14ac:dyDescent="0.2">
      <c r="A319" s="639"/>
      <c r="B319" s="640"/>
      <c r="C319" s="640"/>
      <c r="D319" s="640"/>
      <c r="E319" s="640"/>
      <c r="F319" s="640"/>
      <c r="G319" s="640"/>
      <c r="H319" s="640"/>
      <c r="I319" s="640"/>
      <c r="J319" s="640"/>
      <c r="K319" s="640"/>
      <c r="L319" s="640"/>
      <c r="M319" s="640"/>
      <c r="N319" s="640"/>
      <c r="O319" s="640"/>
      <c r="P319" s="640"/>
      <c r="Q319" s="640"/>
      <c r="Y319" s="309"/>
      <c r="Z319" s="305"/>
      <c r="AE319" s="309"/>
      <c r="AF319" s="305"/>
      <c r="AH319" s="309"/>
      <c r="AI319" s="516"/>
      <c r="AO319" s="524"/>
      <c r="AU319" s="524"/>
      <c r="AX319" s="524"/>
    </row>
    <row r="320" spans="1:50" x14ac:dyDescent="0.2">
      <c r="A320" s="639"/>
      <c r="B320" s="640"/>
      <c r="C320" s="640"/>
      <c r="D320" s="640"/>
      <c r="E320" s="640"/>
      <c r="F320" s="640"/>
      <c r="G320" s="640"/>
      <c r="H320" s="640"/>
      <c r="I320" s="640"/>
      <c r="J320" s="640"/>
      <c r="K320" s="640"/>
      <c r="L320" s="640"/>
      <c r="M320" s="640"/>
      <c r="N320" s="640"/>
      <c r="O320" s="640"/>
      <c r="P320" s="640"/>
      <c r="Q320" s="640"/>
      <c r="R320" s="294"/>
      <c r="S320" s="296"/>
      <c r="T320" s="296"/>
      <c r="U320" s="296"/>
      <c r="V320" s="296"/>
      <c r="W320" s="296"/>
      <c r="X320" s="296"/>
      <c r="Y320" s="311"/>
      <c r="Z320" s="306"/>
      <c r="AA320" s="296"/>
      <c r="AB320" s="296"/>
      <c r="AC320" s="296"/>
      <c r="AD320" s="296"/>
      <c r="AE320" s="311"/>
      <c r="AF320" s="306"/>
      <c r="AG320" s="296"/>
      <c r="AH320" s="311"/>
      <c r="AI320" s="516"/>
      <c r="AO320" s="524"/>
      <c r="AU320" s="524"/>
      <c r="AX320" s="524"/>
    </row>
    <row r="321" spans="1:50" x14ac:dyDescent="0.2">
      <c r="A321" s="639"/>
      <c r="B321" s="640"/>
      <c r="C321" s="640"/>
      <c r="D321" s="640"/>
      <c r="E321" s="640"/>
      <c r="F321" s="640"/>
      <c r="G321" s="640"/>
      <c r="H321" s="640"/>
      <c r="I321" s="640"/>
      <c r="J321" s="640"/>
      <c r="K321" s="640"/>
      <c r="L321" s="640"/>
      <c r="M321" s="640"/>
      <c r="N321" s="640"/>
      <c r="O321" s="640"/>
      <c r="P321" s="640"/>
      <c r="Q321" s="640"/>
      <c r="Y321" s="309"/>
      <c r="Z321" s="305"/>
      <c r="AE321" s="309"/>
      <c r="AF321" s="305"/>
      <c r="AH321" s="309"/>
      <c r="AI321" s="516"/>
      <c r="AO321" s="524"/>
      <c r="AU321" s="524"/>
      <c r="AX321" s="524"/>
    </row>
    <row r="322" spans="1:50" ht="13.5" thickBot="1" x14ac:dyDescent="0.25">
      <c r="A322" s="651"/>
      <c r="B322" s="652"/>
      <c r="C322" s="652"/>
      <c r="D322" s="652"/>
      <c r="E322" s="652"/>
      <c r="F322" s="652"/>
      <c r="G322" s="652"/>
      <c r="H322" s="652"/>
      <c r="I322" s="652"/>
      <c r="J322" s="652"/>
      <c r="K322" s="652"/>
      <c r="L322" s="652"/>
      <c r="M322" s="652"/>
      <c r="N322" s="652"/>
      <c r="O322" s="652"/>
      <c r="P322" s="652"/>
      <c r="Q322" s="652"/>
      <c r="S322" s="302"/>
      <c r="T322" s="302"/>
      <c r="U322" s="302"/>
      <c r="V322" s="302"/>
      <c r="W322" s="302"/>
      <c r="X322" s="302"/>
      <c r="Y322" s="312"/>
      <c r="Z322" s="307"/>
      <c r="AA322" s="302"/>
      <c r="AB322" s="302"/>
      <c r="AC322" s="302"/>
      <c r="AD322" s="302"/>
      <c r="AE322" s="312"/>
      <c r="AF322" s="307"/>
      <c r="AG322" s="302"/>
      <c r="AH322" s="312"/>
      <c r="AI322" s="519"/>
      <c r="AJ322" s="520"/>
      <c r="AK322" s="520"/>
      <c r="AL322" s="520"/>
      <c r="AM322" s="520"/>
      <c r="AN322" s="520"/>
      <c r="AO322" s="526"/>
      <c r="AP322" s="520"/>
      <c r="AQ322" s="520"/>
      <c r="AR322" s="520"/>
      <c r="AS322" s="520"/>
      <c r="AT322" s="520"/>
      <c r="AU322" s="526"/>
      <c r="AV322" s="520"/>
      <c r="AW322" s="520"/>
      <c r="AX322" s="526"/>
    </row>
    <row r="323" spans="1:50" x14ac:dyDescent="0.2">
      <c r="A323" s="638"/>
      <c r="B323" s="640"/>
      <c r="C323" s="640"/>
      <c r="D323" s="640"/>
      <c r="E323" s="640"/>
      <c r="F323" s="640"/>
      <c r="G323" s="640"/>
      <c r="H323" s="640"/>
      <c r="I323" s="640"/>
      <c r="J323" s="640"/>
      <c r="K323" s="640"/>
      <c r="L323" s="640"/>
      <c r="M323" s="640"/>
      <c r="N323" s="640"/>
      <c r="O323" s="640"/>
      <c r="P323" s="640"/>
      <c r="Q323" s="640"/>
      <c r="Y323" s="309"/>
      <c r="Z323" s="305"/>
      <c r="AE323" s="309"/>
      <c r="AF323" s="305"/>
      <c r="AH323" s="309"/>
      <c r="AI323" s="516"/>
      <c r="AO323" s="524"/>
      <c r="AU323" s="524"/>
      <c r="AX323" s="524"/>
    </row>
    <row r="324" spans="1:50" x14ac:dyDescent="0.2">
      <c r="A324" s="639"/>
      <c r="B324" s="640"/>
      <c r="C324" s="640"/>
      <c r="D324" s="640"/>
      <c r="E324" s="640"/>
      <c r="F324" s="640"/>
      <c r="G324" s="640"/>
      <c r="H324" s="640"/>
      <c r="I324" s="640"/>
      <c r="J324" s="640"/>
      <c r="K324" s="640"/>
      <c r="L324" s="640"/>
      <c r="M324" s="640"/>
      <c r="N324" s="640"/>
      <c r="O324" s="640"/>
      <c r="P324" s="640"/>
      <c r="Q324" s="640"/>
      <c r="S324" s="295"/>
      <c r="T324" s="295"/>
      <c r="U324" s="295"/>
      <c r="V324" s="295"/>
      <c r="W324" s="295"/>
      <c r="X324" s="295"/>
      <c r="Y324" s="310"/>
      <c r="Z324" s="305"/>
      <c r="AA324" s="295"/>
      <c r="AB324" s="295"/>
      <c r="AC324" s="295"/>
      <c r="AD324" s="295"/>
      <c r="AE324" s="310"/>
      <c r="AF324" s="305"/>
      <c r="AG324" s="295"/>
      <c r="AH324" s="310"/>
      <c r="AI324" s="516"/>
      <c r="AO324" s="524"/>
      <c r="AU324" s="524"/>
      <c r="AX324" s="524"/>
    </row>
    <row r="325" spans="1:50" x14ac:dyDescent="0.2">
      <c r="A325" s="639"/>
      <c r="B325" s="640"/>
      <c r="C325" s="640"/>
      <c r="D325" s="640"/>
      <c r="E325" s="640"/>
      <c r="F325" s="640"/>
      <c r="G325" s="640"/>
      <c r="H325" s="640"/>
      <c r="I325" s="640"/>
      <c r="J325" s="640"/>
      <c r="K325" s="640"/>
      <c r="L325" s="640"/>
      <c r="M325" s="640"/>
      <c r="N325" s="640"/>
      <c r="O325" s="640"/>
      <c r="P325" s="640"/>
      <c r="Q325" s="640"/>
      <c r="S325" s="296"/>
      <c r="T325" s="296"/>
      <c r="U325" s="296"/>
      <c r="V325" s="296"/>
      <c r="W325" s="296"/>
      <c r="X325" s="296"/>
      <c r="Y325" s="311"/>
      <c r="Z325" s="306"/>
      <c r="AA325" s="296"/>
      <c r="AB325" s="296"/>
      <c r="AC325" s="296"/>
      <c r="AD325" s="296"/>
      <c r="AE325" s="311"/>
      <c r="AF325" s="306"/>
      <c r="AG325" s="296"/>
      <c r="AH325" s="311"/>
      <c r="AI325" s="516"/>
      <c r="AO325" s="524"/>
      <c r="AU325" s="524"/>
      <c r="AX325" s="524"/>
    </row>
    <row r="326" spans="1:50" x14ac:dyDescent="0.2">
      <c r="A326" s="639"/>
      <c r="B326" s="640"/>
      <c r="C326" s="640"/>
      <c r="D326" s="640"/>
      <c r="E326" s="640"/>
      <c r="F326" s="640"/>
      <c r="G326" s="640"/>
      <c r="H326" s="640"/>
      <c r="I326" s="640"/>
      <c r="J326" s="640"/>
      <c r="K326" s="640"/>
      <c r="L326" s="640"/>
      <c r="M326" s="640"/>
      <c r="N326" s="640"/>
      <c r="O326" s="640"/>
      <c r="P326" s="640"/>
      <c r="Q326" s="640"/>
      <c r="Y326" s="309"/>
      <c r="Z326" s="305"/>
      <c r="AE326" s="309"/>
      <c r="AF326" s="305"/>
      <c r="AH326" s="309"/>
      <c r="AI326" s="516"/>
      <c r="AO326" s="524"/>
      <c r="AU326" s="524"/>
      <c r="AX326" s="524"/>
    </row>
    <row r="327" spans="1:50" x14ac:dyDescent="0.2">
      <c r="A327" s="639"/>
      <c r="B327" s="640"/>
      <c r="C327" s="640"/>
      <c r="D327" s="640"/>
      <c r="E327" s="640"/>
      <c r="F327" s="640"/>
      <c r="G327" s="640"/>
      <c r="H327" s="640"/>
      <c r="I327" s="640"/>
      <c r="J327" s="640"/>
      <c r="K327" s="640"/>
      <c r="L327" s="640"/>
      <c r="M327" s="640"/>
      <c r="N327" s="640"/>
      <c r="O327" s="640"/>
      <c r="P327" s="640"/>
      <c r="Q327" s="640"/>
      <c r="R327" s="294"/>
      <c r="S327" s="296"/>
      <c r="T327" s="296"/>
      <c r="U327" s="296"/>
      <c r="V327" s="296"/>
      <c r="W327" s="296"/>
      <c r="X327" s="296"/>
      <c r="Y327" s="311"/>
      <c r="Z327" s="306"/>
      <c r="AA327" s="296"/>
      <c r="AB327" s="296"/>
      <c r="AC327" s="296"/>
      <c r="AD327" s="296"/>
      <c r="AE327" s="311"/>
      <c r="AF327" s="306"/>
      <c r="AG327" s="296"/>
      <c r="AH327" s="311"/>
      <c r="AI327" s="517"/>
      <c r="AJ327" s="518"/>
      <c r="AK327" s="518"/>
      <c r="AL327" s="518"/>
      <c r="AM327" s="518"/>
      <c r="AN327" s="518"/>
      <c r="AO327" s="525"/>
      <c r="AP327" s="518"/>
      <c r="AQ327" s="518"/>
      <c r="AR327" s="518"/>
      <c r="AS327" s="518"/>
      <c r="AT327" s="518"/>
      <c r="AU327" s="525"/>
      <c r="AV327" s="518"/>
      <c r="AW327" s="518"/>
      <c r="AX327" s="525"/>
    </row>
    <row r="328" spans="1:50" x14ac:dyDescent="0.2">
      <c r="A328" s="639"/>
      <c r="B328" s="640"/>
      <c r="C328" s="640"/>
      <c r="D328" s="640"/>
      <c r="E328" s="640"/>
      <c r="F328" s="640"/>
      <c r="G328" s="640"/>
      <c r="H328" s="640"/>
      <c r="I328" s="640"/>
      <c r="J328" s="640"/>
      <c r="K328" s="640"/>
      <c r="L328" s="640"/>
      <c r="M328" s="640"/>
      <c r="N328" s="640"/>
      <c r="O328" s="640"/>
      <c r="P328" s="640"/>
      <c r="Q328" s="640"/>
      <c r="Y328" s="309"/>
      <c r="Z328" s="305"/>
      <c r="AE328" s="309"/>
      <c r="AF328" s="305"/>
      <c r="AH328" s="309"/>
      <c r="AI328" s="516"/>
      <c r="AO328" s="524"/>
      <c r="AU328" s="524"/>
      <c r="AX328" s="524"/>
    </row>
    <row r="329" spans="1:50" x14ac:dyDescent="0.2">
      <c r="A329" s="649"/>
      <c r="B329" s="650"/>
      <c r="C329" s="650"/>
      <c r="D329" s="650"/>
      <c r="E329" s="650"/>
      <c r="F329" s="650"/>
      <c r="G329" s="650"/>
      <c r="H329" s="650"/>
      <c r="I329" s="650"/>
      <c r="J329" s="650"/>
      <c r="K329" s="650"/>
      <c r="L329" s="650"/>
      <c r="M329" s="650"/>
      <c r="N329" s="650"/>
      <c r="O329" s="650"/>
      <c r="P329" s="650"/>
      <c r="Q329" s="650"/>
      <c r="S329" s="296"/>
      <c r="T329" s="296"/>
      <c r="U329" s="296"/>
      <c r="V329" s="296"/>
      <c r="W329" s="296"/>
      <c r="X329" s="296"/>
      <c r="Y329" s="311"/>
      <c r="Z329" s="306"/>
      <c r="AA329" s="296"/>
      <c r="AB329" s="296"/>
      <c r="AC329" s="296"/>
      <c r="AD329" s="296"/>
      <c r="AE329" s="311"/>
      <c r="AF329" s="306"/>
      <c r="AG329" s="296"/>
      <c r="AH329" s="311"/>
      <c r="AI329" s="516"/>
      <c r="AO329" s="524"/>
      <c r="AU329" s="524"/>
      <c r="AX329" s="524"/>
    </row>
    <row r="330" spans="1:50" x14ac:dyDescent="0.2">
      <c r="A330" s="639"/>
      <c r="B330" s="640"/>
      <c r="C330" s="640"/>
      <c r="D330" s="640"/>
      <c r="E330" s="640"/>
      <c r="F330" s="640"/>
      <c r="G330" s="640"/>
      <c r="H330" s="640"/>
      <c r="I330" s="640"/>
      <c r="J330" s="640"/>
      <c r="K330" s="640"/>
      <c r="L330" s="640"/>
      <c r="M330" s="640"/>
      <c r="N330" s="640"/>
      <c r="O330" s="640"/>
      <c r="P330" s="640"/>
      <c r="Q330" s="640"/>
      <c r="Y330" s="309"/>
      <c r="Z330" s="305"/>
      <c r="AE330" s="309"/>
      <c r="AF330" s="305"/>
      <c r="AH330" s="309"/>
      <c r="AI330" s="516"/>
      <c r="AO330" s="524"/>
      <c r="AU330" s="524"/>
      <c r="AX330" s="524"/>
    </row>
    <row r="331" spans="1:50" x14ac:dyDescent="0.2">
      <c r="A331" s="639"/>
      <c r="B331" s="640"/>
      <c r="C331" s="640"/>
      <c r="D331" s="640"/>
      <c r="E331" s="640"/>
      <c r="F331" s="640"/>
      <c r="G331" s="640"/>
      <c r="H331" s="640"/>
      <c r="I331" s="640"/>
      <c r="J331" s="640"/>
      <c r="K331" s="640"/>
      <c r="L331" s="640"/>
      <c r="M331" s="640"/>
      <c r="N331" s="640"/>
      <c r="O331" s="640"/>
      <c r="P331" s="640"/>
      <c r="Q331" s="640"/>
      <c r="R331" s="294"/>
      <c r="S331" s="296"/>
      <c r="T331" s="296"/>
      <c r="U331" s="296"/>
      <c r="V331" s="296"/>
      <c r="W331" s="296"/>
      <c r="X331" s="296"/>
      <c r="Y331" s="311"/>
      <c r="Z331" s="306"/>
      <c r="AA331" s="296"/>
      <c r="AB331" s="296"/>
      <c r="AC331" s="296"/>
      <c r="AD331" s="296"/>
      <c r="AE331" s="311"/>
      <c r="AF331" s="306"/>
      <c r="AG331" s="296"/>
      <c r="AH331" s="311"/>
      <c r="AI331" s="517"/>
      <c r="AJ331" s="518"/>
      <c r="AK331" s="518"/>
      <c r="AL331" s="518"/>
      <c r="AM331" s="518"/>
      <c r="AN331" s="518"/>
      <c r="AO331" s="525"/>
      <c r="AP331" s="518"/>
      <c r="AQ331" s="518"/>
      <c r="AR331" s="518"/>
      <c r="AS331" s="518"/>
      <c r="AT331" s="518"/>
      <c r="AU331" s="525"/>
      <c r="AV331" s="518"/>
      <c r="AW331" s="518"/>
      <c r="AX331" s="525"/>
    </row>
    <row r="332" spans="1:50" x14ac:dyDescent="0.2">
      <c r="A332" s="639"/>
      <c r="B332" s="640"/>
      <c r="C332" s="640"/>
      <c r="D332" s="640"/>
      <c r="E332" s="640"/>
      <c r="F332" s="640"/>
      <c r="G332" s="640"/>
      <c r="H332" s="640"/>
      <c r="I332" s="640"/>
      <c r="J332" s="640"/>
      <c r="K332" s="640"/>
      <c r="L332" s="640"/>
      <c r="M332" s="640"/>
      <c r="N332" s="640"/>
      <c r="O332" s="640"/>
      <c r="P332" s="640"/>
      <c r="Q332" s="640"/>
      <c r="Y332" s="309"/>
      <c r="Z332" s="305"/>
      <c r="AE332" s="309"/>
      <c r="AF332" s="305"/>
      <c r="AH332" s="309"/>
      <c r="AI332" s="516"/>
      <c r="AO332" s="524"/>
      <c r="AU332" s="524"/>
      <c r="AX332" s="524"/>
    </row>
    <row r="333" spans="1:50" x14ac:dyDescent="0.2">
      <c r="A333" s="639"/>
      <c r="B333" s="640"/>
      <c r="C333" s="640"/>
      <c r="D333" s="640"/>
      <c r="E333" s="640"/>
      <c r="F333" s="640"/>
      <c r="G333" s="640"/>
      <c r="H333" s="640"/>
      <c r="I333" s="640"/>
      <c r="J333" s="640"/>
      <c r="K333" s="640"/>
      <c r="L333" s="640"/>
      <c r="M333" s="640"/>
      <c r="N333" s="640"/>
      <c r="O333" s="640"/>
      <c r="P333" s="640"/>
      <c r="Q333" s="640"/>
      <c r="R333" s="294"/>
      <c r="S333" s="296"/>
      <c r="T333" s="296"/>
      <c r="U333" s="296"/>
      <c r="V333" s="296"/>
      <c r="W333" s="296"/>
      <c r="X333" s="296"/>
      <c r="Y333" s="311"/>
      <c r="Z333" s="306"/>
      <c r="AA333" s="296"/>
      <c r="AB333" s="296"/>
      <c r="AC333" s="296"/>
      <c r="AD333" s="296"/>
      <c r="AE333" s="311"/>
      <c r="AF333" s="306"/>
      <c r="AG333" s="296"/>
      <c r="AH333" s="311"/>
      <c r="AI333" s="516"/>
      <c r="AO333" s="524"/>
      <c r="AU333" s="524"/>
      <c r="AX333" s="524"/>
    </row>
    <row r="334" spans="1:50" x14ac:dyDescent="0.2">
      <c r="A334" s="639"/>
      <c r="B334" s="640"/>
      <c r="C334" s="640"/>
      <c r="D334" s="640"/>
      <c r="E334" s="640"/>
      <c r="F334" s="640"/>
      <c r="G334" s="640"/>
      <c r="H334" s="640"/>
      <c r="I334" s="640"/>
      <c r="J334" s="640"/>
      <c r="K334" s="640"/>
      <c r="L334" s="640"/>
      <c r="M334" s="640"/>
      <c r="N334" s="640"/>
      <c r="O334" s="640"/>
      <c r="P334" s="640"/>
      <c r="Q334" s="640"/>
      <c r="Y334" s="309"/>
      <c r="Z334" s="305"/>
      <c r="AE334" s="309"/>
      <c r="AF334" s="305"/>
      <c r="AH334" s="309"/>
      <c r="AI334" s="516"/>
      <c r="AO334" s="524"/>
      <c r="AU334" s="524"/>
      <c r="AX334" s="524"/>
    </row>
    <row r="335" spans="1:50" x14ac:dyDescent="0.2">
      <c r="A335" s="639"/>
      <c r="B335" s="640"/>
      <c r="C335" s="640"/>
      <c r="D335" s="640"/>
      <c r="E335" s="640"/>
      <c r="F335" s="640"/>
      <c r="G335" s="640"/>
      <c r="H335" s="640"/>
      <c r="I335" s="640"/>
      <c r="J335" s="640"/>
      <c r="K335" s="640"/>
      <c r="L335" s="640"/>
      <c r="M335" s="640"/>
      <c r="N335" s="640"/>
      <c r="O335" s="640"/>
      <c r="P335" s="640"/>
      <c r="Q335" s="640"/>
      <c r="R335" s="294"/>
      <c r="S335" s="296"/>
      <c r="T335" s="296"/>
      <c r="U335" s="296"/>
      <c r="V335" s="296"/>
      <c r="W335" s="296"/>
      <c r="X335" s="296"/>
      <c r="Y335" s="311"/>
      <c r="Z335" s="306"/>
      <c r="AA335" s="296"/>
      <c r="AB335" s="296"/>
      <c r="AC335" s="296"/>
      <c r="AD335" s="296"/>
      <c r="AE335" s="311"/>
      <c r="AF335" s="306"/>
      <c r="AG335" s="296"/>
      <c r="AH335" s="311"/>
      <c r="AI335" s="517"/>
      <c r="AJ335" s="518"/>
      <c r="AK335" s="518"/>
      <c r="AL335" s="518"/>
      <c r="AM335" s="518"/>
      <c r="AN335" s="518"/>
      <c r="AO335" s="525"/>
      <c r="AP335" s="518"/>
      <c r="AQ335" s="518"/>
      <c r="AR335" s="518"/>
      <c r="AS335" s="518"/>
      <c r="AT335" s="518"/>
      <c r="AU335" s="525"/>
      <c r="AV335" s="518"/>
      <c r="AW335" s="518"/>
      <c r="AX335" s="525"/>
    </row>
    <row r="336" spans="1:50" x14ac:dyDescent="0.2">
      <c r="A336" s="639"/>
      <c r="B336" s="640"/>
      <c r="C336" s="640"/>
      <c r="D336" s="640"/>
      <c r="E336" s="640"/>
      <c r="F336" s="640"/>
      <c r="G336" s="640"/>
      <c r="H336" s="640"/>
      <c r="I336" s="640"/>
      <c r="J336" s="640"/>
      <c r="K336" s="640"/>
      <c r="L336" s="640"/>
      <c r="M336" s="640"/>
      <c r="N336" s="640"/>
      <c r="O336" s="640"/>
      <c r="P336" s="640"/>
      <c r="Q336" s="640"/>
      <c r="Y336" s="309"/>
      <c r="Z336" s="305"/>
      <c r="AE336" s="309"/>
      <c r="AF336" s="305"/>
      <c r="AH336" s="309"/>
      <c r="AI336" s="516"/>
      <c r="AO336" s="524"/>
      <c r="AU336" s="524"/>
      <c r="AX336" s="524"/>
    </row>
    <row r="337" spans="1:50" x14ac:dyDescent="0.2">
      <c r="A337" s="639"/>
      <c r="B337" s="640"/>
      <c r="C337" s="640"/>
      <c r="D337" s="640"/>
      <c r="E337" s="640"/>
      <c r="F337" s="640"/>
      <c r="G337" s="640"/>
      <c r="H337" s="640"/>
      <c r="I337" s="640"/>
      <c r="J337" s="640"/>
      <c r="K337" s="640"/>
      <c r="L337" s="640"/>
      <c r="M337" s="640"/>
      <c r="N337" s="640"/>
      <c r="O337" s="640"/>
      <c r="P337" s="640"/>
      <c r="Q337" s="640"/>
      <c r="R337" s="294"/>
      <c r="S337" s="296"/>
      <c r="T337" s="296"/>
      <c r="U337" s="296"/>
      <c r="V337" s="296"/>
      <c r="W337" s="296"/>
      <c r="X337" s="296"/>
      <c r="Y337" s="311"/>
      <c r="Z337" s="306"/>
      <c r="AA337" s="296"/>
      <c r="AB337" s="296"/>
      <c r="AC337" s="296"/>
      <c r="AD337" s="296"/>
      <c r="AE337" s="311"/>
      <c r="AF337" s="306"/>
      <c r="AG337" s="296"/>
      <c r="AH337" s="311"/>
      <c r="AI337" s="516"/>
      <c r="AO337" s="524"/>
      <c r="AU337" s="524"/>
      <c r="AX337" s="524"/>
    </row>
    <row r="338" spans="1:50" x14ac:dyDescent="0.2">
      <c r="A338" s="639"/>
      <c r="B338" s="640"/>
      <c r="C338" s="640"/>
      <c r="D338" s="640"/>
      <c r="E338" s="640"/>
      <c r="F338" s="640"/>
      <c r="G338" s="640"/>
      <c r="H338" s="640"/>
      <c r="I338" s="640"/>
      <c r="J338" s="640"/>
      <c r="K338" s="640"/>
      <c r="L338" s="640"/>
      <c r="M338" s="640"/>
      <c r="N338" s="640"/>
      <c r="O338" s="640"/>
      <c r="P338" s="640"/>
      <c r="Q338" s="640"/>
      <c r="Y338" s="309"/>
      <c r="Z338" s="305"/>
      <c r="AE338" s="309"/>
      <c r="AF338" s="305"/>
      <c r="AH338" s="309"/>
      <c r="AI338" s="516"/>
      <c r="AO338" s="524"/>
      <c r="AU338" s="524"/>
      <c r="AX338" s="524"/>
    </row>
    <row r="339" spans="1:50" x14ac:dyDescent="0.2">
      <c r="A339" s="639"/>
      <c r="B339" s="640"/>
      <c r="C339" s="640"/>
      <c r="D339" s="640"/>
      <c r="E339" s="640"/>
      <c r="F339" s="640"/>
      <c r="G339" s="640"/>
      <c r="H339" s="640"/>
      <c r="I339" s="640"/>
      <c r="J339" s="640"/>
      <c r="K339" s="640"/>
      <c r="L339" s="640"/>
      <c r="M339" s="640"/>
      <c r="N339" s="640"/>
      <c r="O339" s="640"/>
      <c r="P339" s="640"/>
      <c r="Q339" s="640"/>
      <c r="R339" s="294"/>
      <c r="S339" s="296"/>
      <c r="T339" s="296"/>
      <c r="U339" s="296"/>
      <c r="V339" s="296"/>
      <c r="W339" s="296"/>
      <c r="X339" s="296"/>
      <c r="Y339" s="311"/>
      <c r="Z339" s="306"/>
      <c r="AA339" s="296"/>
      <c r="AB339" s="296"/>
      <c r="AC339" s="296"/>
      <c r="AD339" s="296"/>
      <c r="AE339" s="311"/>
      <c r="AF339" s="306"/>
      <c r="AG339" s="296"/>
      <c r="AH339" s="311"/>
      <c r="AI339" s="517"/>
      <c r="AJ339" s="518"/>
      <c r="AK339" s="518"/>
      <c r="AL339" s="527"/>
      <c r="AM339" s="518"/>
      <c r="AN339" s="518"/>
      <c r="AO339" s="525"/>
      <c r="AP339" s="518"/>
      <c r="AQ339" s="518"/>
      <c r="AR339" s="518"/>
      <c r="AS339" s="518"/>
      <c r="AT339" s="518"/>
      <c r="AU339" s="525"/>
      <c r="AV339" s="518"/>
      <c r="AW339" s="518"/>
      <c r="AX339" s="525"/>
    </row>
    <row r="340" spans="1:50" x14ac:dyDescent="0.2">
      <c r="A340" s="639"/>
      <c r="B340" s="640"/>
      <c r="C340" s="640"/>
      <c r="D340" s="640"/>
      <c r="E340" s="640"/>
      <c r="F340" s="640"/>
      <c r="G340" s="640"/>
      <c r="H340" s="640"/>
      <c r="I340" s="640"/>
      <c r="J340" s="640"/>
      <c r="K340" s="640"/>
      <c r="L340" s="640"/>
      <c r="M340" s="640"/>
      <c r="N340" s="640"/>
      <c r="O340" s="640"/>
      <c r="P340" s="640"/>
      <c r="Q340" s="640"/>
      <c r="Y340" s="309"/>
      <c r="Z340" s="305"/>
      <c r="AE340" s="309"/>
      <c r="AF340" s="305"/>
      <c r="AH340" s="309"/>
      <c r="AI340" s="516"/>
      <c r="AO340" s="524"/>
      <c r="AU340" s="524"/>
      <c r="AX340" s="524"/>
    </row>
    <row r="341" spans="1:50" x14ac:dyDescent="0.2">
      <c r="A341" s="639"/>
      <c r="B341" s="640"/>
      <c r="C341" s="640"/>
      <c r="D341" s="640"/>
      <c r="E341" s="640"/>
      <c r="F341" s="640"/>
      <c r="G341" s="640"/>
      <c r="H341" s="640"/>
      <c r="I341" s="640"/>
      <c r="J341" s="640"/>
      <c r="K341" s="640"/>
      <c r="L341" s="640"/>
      <c r="M341" s="640"/>
      <c r="N341" s="640"/>
      <c r="O341" s="640"/>
      <c r="P341" s="640"/>
      <c r="Q341" s="640"/>
      <c r="R341" s="294"/>
      <c r="S341" s="296"/>
      <c r="T341" s="296"/>
      <c r="U341" s="296"/>
      <c r="V341" s="296"/>
      <c r="W341" s="296"/>
      <c r="X341" s="296"/>
      <c r="Y341" s="311"/>
      <c r="Z341" s="306"/>
      <c r="AA341" s="296"/>
      <c r="AB341" s="296"/>
      <c r="AC341" s="296"/>
      <c r="AD341" s="296"/>
      <c r="AE341" s="311"/>
      <c r="AF341" s="306"/>
      <c r="AG341" s="296"/>
      <c r="AH341" s="311"/>
      <c r="AI341" s="516"/>
      <c r="AO341" s="524"/>
      <c r="AU341" s="524"/>
      <c r="AX341" s="524"/>
    </row>
    <row r="342" spans="1:50" x14ac:dyDescent="0.2">
      <c r="A342" s="639"/>
      <c r="B342" s="640"/>
      <c r="C342" s="640"/>
      <c r="D342" s="640"/>
      <c r="E342" s="640"/>
      <c r="F342" s="640"/>
      <c r="G342" s="640"/>
      <c r="H342" s="640"/>
      <c r="I342" s="640"/>
      <c r="J342" s="640"/>
      <c r="K342" s="640"/>
      <c r="L342" s="640"/>
      <c r="M342" s="640"/>
      <c r="N342" s="640"/>
      <c r="O342" s="640"/>
      <c r="P342" s="640"/>
      <c r="Q342" s="640"/>
      <c r="Y342" s="309"/>
      <c r="Z342" s="305"/>
      <c r="AE342" s="309"/>
      <c r="AF342" s="305"/>
      <c r="AH342" s="309"/>
      <c r="AI342" s="516"/>
      <c r="AO342" s="524"/>
      <c r="AU342" s="524"/>
      <c r="AX342" s="524"/>
    </row>
    <row r="343" spans="1:50" x14ac:dyDescent="0.2">
      <c r="A343" s="639"/>
      <c r="B343" s="640"/>
      <c r="C343" s="640"/>
      <c r="D343" s="640"/>
      <c r="E343" s="640"/>
      <c r="F343" s="640"/>
      <c r="G343" s="640"/>
      <c r="H343" s="640"/>
      <c r="I343" s="640"/>
      <c r="J343" s="640"/>
      <c r="K343" s="640"/>
      <c r="L343" s="640"/>
      <c r="M343" s="640"/>
      <c r="N343" s="640"/>
      <c r="O343" s="640"/>
      <c r="P343" s="640"/>
      <c r="Q343" s="640"/>
      <c r="R343" s="294"/>
      <c r="S343" s="296"/>
      <c r="T343" s="296"/>
      <c r="U343" s="296"/>
      <c r="V343" s="296"/>
      <c r="W343" s="296"/>
      <c r="X343" s="296"/>
      <c r="Y343" s="311"/>
      <c r="Z343" s="306"/>
      <c r="AA343" s="296"/>
      <c r="AB343" s="296"/>
      <c r="AC343" s="296"/>
      <c r="AD343" s="296"/>
      <c r="AE343" s="311"/>
      <c r="AF343" s="306"/>
      <c r="AG343" s="296"/>
      <c r="AH343" s="311"/>
      <c r="AI343" s="517"/>
      <c r="AJ343" s="518"/>
      <c r="AK343" s="527"/>
      <c r="AL343" s="518"/>
      <c r="AM343" s="518"/>
      <c r="AN343" s="518"/>
      <c r="AO343" s="525"/>
      <c r="AP343" s="518"/>
      <c r="AQ343" s="518"/>
      <c r="AR343" s="518"/>
      <c r="AS343" s="518"/>
      <c r="AT343" s="518"/>
      <c r="AU343" s="525"/>
      <c r="AV343" s="518"/>
      <c r="AW343" s="518"/>
      <c r="AX343" s="525"/>
    </row>
    <row r="344" spans="1:50" x14ac:dyDescent="0.2">
      <c r="A344" s="639"/>
      <c r="B344" s="640"/>
      <c r="C344" s="640"/>
      <c r="D344" s="640"/>
      <c r="E344" s="640"/>
      <c r="F344" s="640"/>
      <c r="G344" s="640"/>
      <c r="H344" s="640"/>
      <c r="I344" s="640"/>
      <c r="J344" s="640"/>
      <c r="K344" s="640"/>
      <c r="L344" s="640"/>
      <c r="M344" s="640"/>
      <c r="N344" s="640"/>
      <c r="O344" s="640"/>
      <c r="P344" s="640"/>
      <c r="Q344" s="640"/>
      <c r="Y344" s="309"/>
      <c r="Z344" s="305"/>
      <c r="AE344" s="309"/>
      <c r="AF344" s="305"/>
      <c r="AH344" s="309"/>
      <c r="AI344" s="516"/>
      <c r="AO344" s="524"/>
      <c r="AU344" s="524"/>
      <c r="AX344" s="524"/>
    </row>
    <row r="345" spans="1:50" x14ac:dyDescent="0.2">
      <c r="A345" s="639"/>
      <c r="B345" s="640"/>
      <c r="C345" s="640"/>
      <c r="D345" s="640"/>
      <c r="E345" s="640"/>
      <c r="F345" s="640"/>
      <c r="G345" s="640"/>
      <c r="H345" s="640"/>
      <c r="I345" s="640"/>
      <c r="J345" s="640"/>
      <c r="K345" s="640"/>
      <c r="L345" s="640"/>
      <c r="M345" s="640"/>
      <c r="N345" s="640"/>
      <c r="O345" s="640"/>
      <c r="P345" s="640"/>
      <c r="Q345" s="640"/>
      <c r="R345" s="294"/>
      <c r="S345" s="296"/>
      <c r="T345" s="296"/>
      <c r="U345" s="296"/>
      <c r="V345" s="296"/>
      <c r="W345" s="296"/>
      <c r="X345" s="296"/>
      <c r="Y345" s="311"/>
      <c r="Z345" s="306"/>
      <c r="AA345" s="296"/>
      <c r="AB345" s="296"/>
      <c r="AC345" s="296"/>
      <c r="AD345" s="296"/>
      <c r="AE345" s="311"/>
      <c r="AF345" s="306"/>
      <c r="AG345" s="296"/>
      <c r="AH345" s="311"/>
      <c r="AI345" s="516"/>
      <c r="AO345" s="524"/>
      <c r="AU345" s="524"/>
      <c r="AX345" s="524"/>
    </row>
    <row r="346" spans="1:50" x14ac:dyDescent="0.2">
      <c r="A346" s="639"/>
      <c r="B346" s="640"/>
      <c r="C346" s="640"/>
      <c r="D346" s="640"/>
      <c r="E346" s="640"/>
      <c r="F346" s="640"/>
      <c r="G346" s="640"/>
      <c r="H346" s="640"/>
      <c r="I346" s="640"/>
      <c r="J346" s="640"/>
      <c r="K346" s="640"/>
      <c r="L346" s="640"/>
      <c r="M346" s="640"/>
      <c r="N346" s="640"/>
      <c r="O346" s="640"/>
      <c r="P346" s="640"/>
      <c r="Q346" s="640"/>
      <c r="Y346" s="309"/>
      <c r="Z346" s="305"/>
      <c r="AE346" s="309"/>
      <c r="AF346" s="305"/>
      <c r="AH346" s="309"/>
      <c r="AI346" s="516"/>
      <c r="AO346" s="524"/>
      <c r="AU346" s="524"/>
      <c r="AX346" s="524"/>
    </row>
    <row r="347" spans="1:50" x14ac:dyDescent="0.2">
      <c r="A347" s="639"/>
      <c r="B347" s="640"/>
      <c r="C347" s="640"/>
      <c r="D347" s="640"/>
      <c r="E347" s="640"/>
      <c r="F347" s="640"/>
      <c r="G347" s="640"/>
      <c r="H347" s="640"/>
      <c r="I347" s="640"/>
      <c r="J347" s="640"/>
      <c r="K347" s="640"/>
      <c r="L347" s="640"/>
      <c r="M347" s="640"/>
      <c r="N347" s="640"/>
      <c r="O347" s="640"/>
      <c r="P347" s="640"/>
      <c r="Q347" s="640"/>
      <c r="R347" s="294"/>
      <c r="S347" s="296"/>
      <c r="T347" s="296"/>
      <c r="U347" s="296"/>
      <c r="V347" s="296"/>
      <c r="W347" s="296"/>
      <c r="X347" s="296"/>
      <c r="Y347" s="311"/>
      <c r="Z347" s="306"/>
      <c r="AA347" s="296"/>
      <c r="AB347" s="296"/>
      <c r="AC347" s="296"/>
      <c r="AD347" s="296"/>
      <c r="AE347" s="311"/>
      <c r="AF347" s="306"/>
      <c r="AG347" s="296"/>
      <c r="AH347" s="311"/>
      <c r="AI347" s="517"/>
      <c r="AJ347" s="518"/>
      <c r="AK347" s="518"/>
      <c r="AL347" s="518"/>
      <c r="AM347" s="518"/>
      <c r="AN347" s="518"/>
      <c r="AO347" s="525"/>
      <c r="AP347" s="518"/>
      <c r="AQ347" s="518"/>
      <c r="AR347" s="518"/>
      <c r="AS347" s="518"/>
      <c r="AT347" s="518"/>
      <c r="AU347" s="525"/>
      <c r="AV347" s="518"/>
      <c r="AW347" s="518"/>
      <c r="AX347" s="525"/>
    </row>
    <row r="348" spans="1:50" x14ac:dyDescent="0.2">
      <c r="A348" s="639"/>
      <c r="B348" s="640"/>
      <c r="C348" s="640"/>
      <c r="D348" s="640"/>
      <c r="E348" s="640"/>
      <c r="F348" s="640"/>
      <c r="G348" s="640"/>
      <c r="H348" s="640"/>
      <c r="I348" s="640"/>
      <c r="J348" s="640"/>
      <c r="K348" s="640"/>
      <c r="L348" s="640"/>
      <c r="M348" s="640"/>
      <c r="N348" s="640"/>
      <c r="O348" s="640"/>
      <c r="P348" s="640"/>
      <c r="Q348" s="640"/>
      <c r="Y348" s="309"/>
      <c r="Z348" s="305"/>
      <c r="AE348" s="309"/>
      <c r="AF348" s="305"/>
      <c r="AH348" s="309"/>
      <c r="AI348" s="516"/>
      <c r="AO348" s="524"/>
      <c r="AU348" s="524"/>
      <c r="AX348" s="524"/>
    </row>
    <row r="349" spans="1:50" x14ac:dyDescent="0.2">
      <c r="A349" s="639"/>
      <c r="B349" s="640"/>
      <c r="C349" s="640"/>
      <c r="D349" s="640"/>
      <c r="E349" s="640"/>
      <c r="F349" s="640"/>
      <c r="G349" s="640"/>
      <c r="H349" s="640"/>
      <c r="I349" s="640"/>
      <c r="J349" s="640"/>
      <c r="K349" s="640"/>
      <c r="L349" s="640"/>
      <c r="M349" s="640"/>
      <c r="N349" s="640"/>
      <c r="O349" s="640"/>
      <c r="P349" s="640"/>
      <c r="Q349" s="640"/>
      <c r="R349" s="294"/>
      <c r="S349" s="296"/>
      <c r="T349" s="296"/>
      <c r="U349" s="296"/>
      <c r="V349" s="296"/>
      <c r="W349" s="296"/>
      <c r="X349" s="296"/>
      <c r="Y349" s="311"/>
      <c r="Z349" s="306"/>
      <c r="AA349" s="296"/>
      <c r="AB349" s="296"/>
      <c r="AC349" s="296"/>
      <c r="AD349" s="296"/>
      <c r="AE349" s="311"/>
      <c r="AF349" s="306"/>
      <c r="AG349" s="296"/>
      <c r="AH349" s="311"/>
      <c r="AI349" s="516"/>
      <c r="AO349" s="524"/>
      <c r="AU349" s="524"/>
      <c r="AX349" s="524"/>
    </row>
    <row r="350" spans="1:50" x14ac:dyDescent="0.2">
      <c r="A350" s="639"/>
      <c r="B350" s="640"/>
      <c r="C350" s="640"/>
      <c r="D350" s="640"/>
      <c r="E350" s="640"/>
      <c r="F350" s="640"/>
      <c r="G350" s="640"/>
      <c r="H350" s="640"/>
      <c r="I350" s="640"/>
      <c r="J350" s="640"/>
      <c r="K350" s="640"/>
      <c r="L350" s="640"/>
      <c r="M350" s="640"/>
      <c r="N350" s="640"/>
      <c r="O350" s="640"/>
      <c r="P350" s="640"/>
      <c r="Q350" s="640"/>
      <c r="Y350" s="309"/>
      <c r="Z350" s="305"/>
      <c r="AE350" s="309"/>
      <c r="AF350" s="305"/>
      <c r="AH350" s="309"/>
      <c r="AI350" s="516"/>
      <c r="AO350" s="524"/>
      <c r="AU350" s="524"/>
      <c r="AX350" s="524"/>
    </row>
    <row r="351" spans="1:50" ht="13.5" thickBot="1" x14ac:dyDescent="0.25">
      <c r="A351" s="651"/>
      <c r="B351" s="652"/>
      <c r="C351" s="652"/>
      <c r="D351" s="652"/>
      <c r="E351" s="652"/>
      <c r="F351" s="652"/>
      <c r="G351" s="652"/>
      <c r="H351" s="652"/>
      <c r="I351" s="652"/>
      <c r="J351" s="652"/>
      <c r="K351" s="652"/>
      <c r="L351" s="652"/>
      <c r="M351" s="652"/>
      <c r="N351" s="652"/>
      <c r="O351" s="652"/>
      <c r="P351" s="652"/>
      <c r="Q351" s="652"/>
      <c r="S351" s="302"/>
      <c r="T351" s="302"/>
      <c r="U351" s="302"/>
      <c r="V351" s="302"/>
      <c r="W351" s="302"/>
      <c r="X351" s="302"/>
      <c r="Y351" s="312"/>
      <c r="Z351" s="307"/>
      <c r="AA351" s="302"/>
      <c r="AB351" s="302"/>
      <c r="AC351" s="302"/>
      <c r="AD351" s="302"/>
      <c r="AE351" s="312"/>
      <c r="AF351" s="307"/>
      <c r="AG351" s="302"/>
      <c r="AH351" s="312"/>
      <c r="AI351" s="519"/>
      <c r="AJ351" s="520"/>
      <c r="AK351" s="520"/>
      <c r="AL351" s="520"/>
      <c r="AM351" s="520"/>
      <c r="AN351" s="520"/>
      <c r="AO351" s="526"/>
      <c r="AP351" s="520"/>
      <c r="AQ351" s="520"/>
      <c r="AR351" s="520"/>
      <c r="AS351" s="520"/>
      <c r="AT351" s="520"/>
      <c r="AU351" s="526"/>
      <c r="AV351" s="520"/>
      <c r="AW351" s="520"/>
      <c r="AX351" s="526"/>
    </row>
    <row r="352" spans="1:50" x14ac:dyDescent="0.2">
      <c r="A352" s="638"/>
      <c r="B352" s="640"/>
      <c r="C352" s="640"/>
      <c r="D352" s="640"/>
      <c r="E352" s="640"/>
      <c r="F352" s="640"/>
      <c r="G352" s="640"/>
      <c r="H352" s="640"/>
      <c r="I352" s="640"/>
      <c r="J352" s="640"/>
      <c r="K352" s="640"/>
      <c r="L352" s="640"/>
      <c r="M352" s="640"/>
      <c r="N352" s="640"/>
      <c r="O352" s="640"/>
      <c r="P352" s="640"/>
      <c r="Q352" s="640"/>
      <c r="Y352" s="309"/>
      <c r="Z352" s="305"/>
      <c r="AE352" s="309"/>
      <c r="AF352" s="305"/>
      <c r="AH352" s="309"/>
      <c r="AI352" s="516"/>
      <c r="AO352" s="524"/>
      <c r="AU352" s="524"/>
      <c r="AX352" s="524"/>
    </row>
    <row r="353" spans="1:50" x14ac:dyDescent="0.2">
      <c r="A353" s="639"/>
      <c r="B353" s="640"/>
      <c r="C353" s="640"/>
      <c r="D353" s="640"/>
      <c r="E353" s="640"/>
      <c r="F353" s="640"/>
      <c r="G353" s="640"/>
      <c r="H353" s="640"/>
      <c r="I353" s="640"/>
      <c r="J353" s="640"/>
      <c r="K353" s="640"/>
      <c r="L353" s="640"/>
      <c r="M353" s="640"/>
      <c r="N353" s="640"/>
      <c r="O353" s="640"/>
      <c r="P353" s="640"/>
      <c r="Q353" s="640"/>
      <c r="S353" s="295"/>
      <c r="T353" s="295"/>
      <c r="U353" s="295"/>
      <c r="V353" s="295"/>
      <c r="W353" s="295"/>
      <c r="X353" s="295"/>
      <c r="Y353" s="310"/>
      <c r="Z353" s="305"/>
      <c r="AA353" s="295"/>
      <c r="AB353" s="295"/>
      <c r="AC353" s="295"/>
      <c r="AD353" s="295"/>
      <c r="AE353" s="310"/>
      <c r="AF353" s="305"/>
      <c r="AG353" s="295"/>
      <c r="AH353" s="310"/>
      <c r="AI353" s="516"/>
      <c r="AO353" s="524"/>
      <c r="AU353" s="524"/>
      <c r="AX353" s="524"/>
    </row>
    <row r="354" spans="1:50" x14ac:dyDescent="0.2">
      <c r="A354" s="639"/>
      <c r="B354" s="640"/>
      <c r="C354" s="640"/>
      <c r="D354" s="640"/>
      <c r="E354" s="640"/>
      <c r="F354" s="640"/>
      <c r="G354" s="640"/>
      <c r="H354" s="640"/>
      <c r="I354" s="640"/>
      <c r="J354" s="640"/>
      <c r="K354" s="640"/>
      <c r="L354" s="640"/>
      <c r="M354" s="640"/>
      <c r="N354" s="640"/>
      <c r="O354" s="640"/>
      <c r="P354" s="640"/>
      <c r="Q354" s="640"/>
      <c r="S354" s="296"/>
      <c r="T354" s="296"/>
      <c r="U354" s="296"/>
      <c r="V354" s="296"/>
      <c r="W354" s="296"/>
      <c r="X354" s="296"/>
      <c r="Y354" s="311"/>
      <c r="Z354" s="306"/>
      <c r="AA354" s="296"/>
      <c r="AB354" s="296"/>
      <c r="AC354" s="296"/>
      <c r="AD354" s="296"/>
      <c r="AE354" s="311"/>
      <c r="AF354" s="306"/>
      <c r="AG354" s="296"/>
      <c r="AH354" s="311"/>
      <c r="AI354" s="516"/>
      <c r="AO354" s="524"/>
      <c r="AU354" s="524"/>
      <c r="AX354" s="524"/>
    </row>
    <row r="355" spans="1:50" x14ac:dyDescent="0.2">
      <c r="A355" s="639"/>
      <c r="B355" s="640"/>
      <c r="C355" s="640"/>
      <c r="D355" s="640"/>
      <c r="E355" s="640"/>
      <c r="F355" s="640"/>
      <c r="G355" s="640"/>
      <c r="H355" s="640"/>
      <c r="I355" s="640"/>
      <c r="J355" s="640"/>
      <c r="K355" s="640"/>
      <c r="L355" s="640"/>
      <c r="M355" s="640"/>
      <c r="N355" s="640"/>
      <c r="O355" s="640"/>
      <c r="P355" s="640"/>
      <c r="Q355" s="640"/>
      <c r="Y355" s="309"/>
      <c r="Z355" s="305"/>
      <c r="AE355" s="309"/>
      <c r="AF355" s="305"/>
      <c r="AH355" s="309"/>
      <c r="AI355" s="516"/>
      <c r="AO355" s="524"/>
      <c r="AU355" s="524"/>
      <c r="AX355" s="524"/>
    </row>
    <row r="356" spans="1:50" x14ac:dyDescent="0.2">
      <c r="A356" s="639"/>
      <c r="B356" s="640"/>
      <c r="C356" s="640"/>
      <c r="D356" s="640"/>
      <c r="E356" s="640"/>
      <c r="F356" s="640"/>
      <c r="G356" s="640"/>
      <c r="H356" s="640"/>
      <c r="I356" s="640"/>
      <c r="J356" s="640"/>
      <c r="K356" s="640"/>
      <c r="L356" s="640"/>
      <c r="M356" s="640"/>
      <c r="N356" s="640"/>
      <c r="O356" s="640"/>
      <c r="P356" s="640"/>
      <c r="Q356" s="640"/>
      <c r="R356" s="294"/>
      <c r="S356" s="296"/>
      <c r="T356" s="296"/>
      <c r="U356" s="296"/>
      <c r="V356" s="296"/>
      <c r="W356" s="296"/>
      <c r="X356" s="296"/>
      <c r="Y356" s="311"/>
      <c r="Z356" s="306"/>
      <c r="AA356" s="296"/>
      <c r="AB356" s="296"/>
      <c r="AC356" s="296"/>
      <c r="AD356" s="296"/>
      <c r="AE356" s="311"/>
      <c r="AF356" s="306"/>
      <c r="AG356" s="296"/>
      <c r="AH356" s="311"/>
      <c r="AI356" s="517"/>
      <c r="AJ356" s="527"/>
      <c r="AK356" s="518"/>
      <c r="AL356" s="518"/>
      <c r="AM356" s="527"/>
      <c r="AN356" s="518"/>
      <c r="AO356" s="525"/>
      <c r="AP356" s="518"/>
      <c r="AQ356" s="527"/>
      <c r="AR356" s="518"/>
      <c r="AS356" s="518"/>
      <c r="AT356" s="518"/>
      <c r="AU356" s="525"/>
      <c r="AV356" s="518"/>
      <c r="AW356" s="518"/>
      <c r="AX356" s="525"/>
    </row>
    <row r="357" spans="1:50" x14ac:dyDescent="0.2">
      <c r="A357" s="639"/>
      <c r="B357" s="640"/>
      <c r="C357" s="640"/>
      <c r="D357" s="640"/>
      <c r="E357" s="640"/>
      <c r="F357" s="640"/>
      <c r="G357" s="640"/>
      <c r="H357" s="640"/>
      <c r="I357" s="640"/>
      <c r="J357" s="640"/>
      <c r="K357" s="640"/>
      <c r="L357" s="640"/>
      <c r="M357" s="640"/>
      <c r="N357" s="640"/>
      <c r="O357" s="640"/>
      <c r="P357" s="640"/>
      <c r="Q357" s="640"/>
      <c r="Y357" s="309"/>
      <c r="Z357" s="305"/>
      <c r="AE357" s="309"/>
      <c r="AF357" s="305"/>
      <c r="AH357" s="309"/>
      <c r="AI357" s="516"/>
      <c r="AO357" s="524"/>
      <c r="AU357" s="524"/>
      <c r="AX357" s="524"/>
    </row>
    <row r="358" spans="1:50" x14ac:dyDescent="0.2">
      <c r="A358" s="649"/>
      <c r="B358" s="650"/>
      <c r="C358" s="650"/>
      <c r="D358" s="650"/>
      <c r="E358" s="650"/>
      <c r="F358" s="650"/>
      <c r="G358" s="650"/>
      <c r="H358" s="650"/>
      <c r="I358" s="650"/>
      <c r="J358" s="650"/>
      <c r="K358" s="650"/>
      <c r="L358" s="650"/>
      <c r="M358" s="650"/>
      <c r="N358" s="650"/>
      <c r="O358" s="650"/>
      <c r="P358" s="650"/>
      <c r="Q358" s="650"/>
      <c r="S358" s="296"/>
      <c r="T358" s="296"/>
      <c r="U358" s="296"/>
      <c r="V358" s="296"/>
      <c r="W358" s="296"/>
      <c r="X358" s="296"/>
      <c r="Y358" s="311"/>
      <c r="Z358" s="306"/>
      <c r="AA358" s="296"/>
      <c r="AB358" s="296"/>
      <c r="AC358" s="296"/>
      <c r="AD358" s="296"/>
      <c r="AE358" s="311"/>
      <c r="AF358" s="306"/>
      <c r="AG358" s="296"/>
      <c r="AH358" s="311"/>
      <c r="AI358" s="516"/>
      <c r="AO358" s="524"/>
      <c r="AU358" s="524"/>
      <c r="AX358" s="524"/>
    </row>
    <row r="359" spans="1:50" x14ac:dyDescent="0.2">
      <c r="A359" s="639"/>
      <c r="B359" s="640"/>
      <c r="C359" s="640"/>
      <c r="D359" s="640"/>
      <c r="E359" s="640"/>
      <c r="F359" s="640"/>
      <c r="G359" s="640"/>
      <c r="H359" s="640"/>
      <c r="I359" s="640"/>
      <c r="J359" s="640"/>
      <c r="K359" s="640"/>
      <c r="L359" s="640"/>
      <c r="M359" s="640"/>
      <c r="N359" s="640"/>
      <c r="O359" s="640"/>
      <c r="P359" s="640"/>
      <c r="Q359" s="640"/>
      <c r="Y359" s="309"/>
      <c r="Z359" s="305"/>
      <c r="AE359" s="309"/>
      <c r="AF359" s="305"/>
      <c r="AH359" s="309"/>
      <c r="AI359" s="516"/>
      <c r="AO359" s="524"/>
      <c r="AU359" s="524"/>
      <c r="AX359" s="524"/>
    </row>
    <row r="360" spans="1:50" x14ac:dyDescent="0.2">
      <c r="A360" s="639"/>
      <c r="B360" s="640"/>
      <c r="C360" s="640"/>
      <c r="D360" s="640"/>
      <c r="E360" s="640"/>
      <c r="F360" s="640"/>
      <c r="G360" s="640"/>
      <c r="H360" s="640"/>
      <c r="I360" s="640"/>
      <c r="J360" s="640"/>
      <c r="K360" s="640"/>
      <c r="L360" s="640"/>
      <c r="M360" s="640"/>
      <c r="N360" s="640"/>
      <c r="O360" s="640"/>
      <c r="P360" s="640"/>
      <c r="Q360" s="640"/>
      <c r="R360" s="294"/>
      <c r="S360" s="296"/>
      <c r="T360" s="296"/>
      <c r="U360" s="296"/>
      <c r="V360" s="296"/>
      <c r="W360" s="296"/>
      <c r="X360" s="296"/>
      <c r="Y360" s="311"/>
      <c r="Z360" s="306"/>
      <c r="AA360" s="296"/>
      <c r="AB360" s="296"/>
      <c r="AC360" s="296"/>
      <c r="AD360" s="296"/>
      <c r="AE360" s="311"/>
      <c r="AF360" s="306"/>
      <c r="AG360" s="296"/>
      <c r="AH360" s="311"/>
      <c r="AI360" s="517"/>
      <c r="AJ360" s="518"/>
      <c r="AK360" s="527"/>
      <c r="AL360" s="518"/>
      <c r="AM360" s="527"/>
      <c r="AN360" s="518"/>
      <c r="AO360" s="525"/>
      <c r="AP360" s="518"/>
      <c r="AQ360" s="518"/>
      <c r="AR360" s="518"/>
      <c r="AS360" s="518"/>
      <c r="AT360" s="518"/>
      <c r="AU360" s="525"/>
      <c r="AV360" s="518"/>
      <c r="AW360" s="518"/>
      <c r="AX360" s="525"/>
    </row>
    <row r="361" spans="1:50" x14ac:dyDescent="0.2">
      <c r="A361" s="639"/>
      <c r="B361" s="640"/>
      <c r="C361" s="640"/>
      <c r="D361" s="640"/>
      <c r="E361" s="640"/>
      <c r="F361" s="640"/>
      <c r="G361" s="640"/>
      <c r="H361" s="640"/>
      <c r="I361" s="640"/>
      <c r="J361" s="640"/>
      <c r="K361" s="640"/>
      <c r="L361" s="640"/>
      <c r="M361" s="640"/>
      <c r="N361" s="640"/>
      <c r="O361" s="640"/>
      <c r="P361" s="640"/>
      <c r="Q361" s="640"/>
      <c r="Y361" s="309"/>
      <c r="Z361" s="305"/>
      <c r="AE361" s="309"/>
      <c r="AF361" s="305"/>
      <c r="AH361" s="309"/>
      <c r="AI361" s="516"/>
      <c r="AO361" s="524"/>
      <c r="AU361" s="524"/>
      <c r="AX361" s="524"/>
    </row>
    <row r="362" spans="1:50" x14ac:dyDescent="0.2">
      <c r="A362" s="639"/>
      <c r="B362" s="640"/>
      <c r="C362" s="640"/>
      <c r="D362" s="640"/>
      <c r="E362" s="640"/>
      <c r="F362" s="640"/>
      <c r="G362" s="640"/>
      <c r="H362" s="640"/>
      <c r="I362" s="640"/>
      <c r="J362" s="640"/>
      <c r="K362" s="640"/>
      <c r="L362" s="640"/>
      <c r="M362" s="640"/>
      <c r="N362" s="640"/>
      <c r="O362" s="640"/>
      <c r="P362" s="640"/>
      <c r="Q362" s="640"/>
      <c r="R362" s="294"/>
      <c r="S362" s="296"/>
      <c r="T362" s="296"/>
      <c r="U362" s="296"/>
      <c r="V362" s="296"/>
      <c r="W362" s="296"/>
      <c r="X362" s="296"/>
      <c r="Y362" s="311"/>
      <c r="Z362" s="306"/>
      <c r="AA362" s="296"/>
      <c r="AB362" s="296"/>
      <c r="AC362" s="296"/>
      <c r="AD362" s="296"/>
      <c r="AE362" s="311"/>
      <c r="AF362" s="306"/>
      <c r="AG362" s="296"/>
      <c r="AH362" s="311"/>
      <c r="AI362" s="516"/>
      <c r="AO362" s="524"/>
      <c r="AU362" s="524"/>
      <c r="AX362" s="524"/>
    </row>
    <row r="363" spans="1:50" x14ac:dyDescent="0.2">
      <c r="A363" s="639"/>
      <c r="B363" s="640"/>
      <c r="C363" s="640"/>
      <c r="D363" s="640"/>
      <c r="E363" s="640"/>
      <c r="F363" s="640"/>
      <c r="G363" s="640"/>
      <c r="H363" s="640"/>
      <c r="I363" s="640"/>
      <c r="J363" s="640"/>
      <c r="K363" s="640"/>
      <c r="L363" s="640"/>
      <c r="M363" s="640"/>
      <c r="N363" s="640"/>
      <c r="O363" s="640"/>
      <c r="P363" s="640"/>
      <c r="Q363" s="640"/>
      <c r="Y363" s="309"/>
      <c r="Z363" s="305"/>
      <c r="AE363" s="309"/>
      <c r="AF363" s="305"/>
      <c r="AH363" s="309"/>
      <c r="AI363" s="516"/>
      <c r="AO363" s="524"/>
      <c r="AU363" s="524"/>
      <c r="AX363" s="524"/>
    </row>
    <row r="364" spans="1:50" x14ac:dyDescent="0.2">
      <c r="A364" s="639"/>
      <c r="B364" s="640"/>
      <c r="C364" s="640"/>
      <c r="D364" s="640"/>
      <c r="E364" s="640"/>
      <c r="F364" s="640"/>
      <c r="G364" s="640"/>
      <c r="H364" s="640"/>
      <c r="I364" s="640"/>
      <c r="J364" s="640"/>
      <c r="K364" s="640"/>
      <c r="L364" s="640"/>
      <c r="M364" s="640"/>
      <c r="N364" s="640"/>
      <c r="O364" s="640"/>
      <c r="P364" s="640"/>
      <c r="Q364" s="640"/>
      <c r="R364" s="294"/>
      <c r="S364" s="296"/>
      <c r="T364" s="296"/>
      <c r="U364" s="296"/>
      <c r="V364" s="296"/>
      <c r="W364" s="296"/>
      <c r="X364" s="296"/>
      <c r="Y364" s="311"/>
      <c r="Z364" s="306"/>
      <c r="AA364" s="296"/>
      <c r="AB364" s="296"/>
      <c r="AC364" s="296"/>
      <c r="AD364" s="296"/>
      <c r="AE364" s="311"/>
      <c r="AF364" s="306"/>
      <c r="AG364" s="296"/>
      <c r="AH364" s="311"/>
      <c r="AI364" s="517"/>
      <c r="AJ364" s="527"/>
      <c r="AK364" s="518"/>
      <c r="AL364" s="518"/>
      <c r="AM364" s="518"/>
      <c r="AN364" s="518"/>
      <c r="AO364" s="525"/>
      <c r="AP364" s="518"/>
      <c r="AQ364" s="518"/>
      <c r="AR364" s="518"/>
      <c r="AS364" s="518"/>
      <c r="AT364" s="518"/>
      <c r="AU364" s="525"/>
      <c r="AV364" s="518"/>
      <c r="AW364" s="518"/>
      <c r="AX364" s="525"/>
    </row>
    <row r="365" spans="1:50" x14ac:dyDescent="0.2">
      <c r="A365" s="639"/>
      <c r="B365" s="640"/>
      <c r="C365" s="640"/>
      <c r="D365" s="640"/>
      <c r="E365" s="640"/>
      <c r="F365" s="640"/>
      <c r="G365" s="640"/>
      <c r="H365" s="640"/>
      <c r="I365" s="640"/>
      <c r="J365" s="640"/>
      <c r="K365" s="640"/>
      <c r="L365" s="640"/>
      <c r="M365" s="640"/>
      <c r="N365" s="640"/>
      <c r="O365" s="640"/>
      <c r="P365" s="640"/>
      <c r="Q365" s="640"/>
      <c r="Y365" s="309"/>
      <c r="Z365" s="305"/>
      <c r="AE365" s="309"/>
      <c r="AF365" s="305"/>
      <c r="AH365" s="309"/>
      <c r="AI365" s="516"/>
      <c r="AO365" s="524"/>
      <c r="AU365" s="524"/>
      <c r="AX365" s="524"/>
    </row>
    <row r="366" spans="1:50" x14ac:dyDescent="0.2">
      <c r="A366" s="639"/>
      <c r="B366" s="640"/>
      <c r="C366" s="640"/>
      <c r="D366" s="640"/>
      <c r="E366" s="640"/>
      <c r="F366" s="640"/>
      <c r="G366" s="640"/>
      <c r="H366" s="640"/>
      <c r="I366" s="640"/>
      <c r="J366" s="640"/>
      <c r="K366" s="640"/>
      <c r="L366" s="640"/>
      <c r="M366" s="640"/>
      <c r="N366" s="640"/>
      <c r="O366" s="640"/>
      <c r="P366" s="640"/>
      <c r="Q366" s="640"/>
      <c r="R366" s="294"/>
      <c r="S366" s="296"/>
      <c r="T366" s="296"/>
      <c r="U366" s="296"/>
      <c r="V366" s="296"/>
      <c r="W366" s="296"/>
      <c r="X366" s="296"/>
      <c r="Y366" s="311"/>
      <c r="Z366" s="306"/>
      <c r="AA366" s="296"/>
      <c r="AB366" s="296"/>
      <c r="AC366" s="296"/>
      <c r="AD366" s="296"/>
      <c r="AE366" s="311"/>
      <c r="AF366" s="306"/>
      <c r="AG366" s="296"/>
      <c r="AH366" s="311"/>
      <c r="AI366" s="516"/>
      <c r="AO366" s="524"/>
      <c r="AU366" s="524"/>
      <c r="AX366" s="524"/>
    </row>
    <row r="367" spans="1:50" x14ac:dyDescent="0.2">
      <c r="A367" s="639"/>
      <c r="B367" s="640"/>
      <c r="C367" s="640"/>
      <c r="D367" s="640"/>
      <c r="E367" s="640"/>
      <c r="F367" s="640"/>
      <c r="G367" s="640"/>
      <c r="H367" s="640"/>
      <c r="I367" s="640"/>
      <c r="J367" s="640"/>
      <c r="K367" s="640"/>
      <c r="L367" s="640"/>
      <c r="M367" s="640"/>
      <c r="N367" s="640"/>
      <c r="O367" s="640"/>
      <c r="P367" s="640"/>
      <c r="Q367" s="640"/>
      <c r="Y367" s="309"/>
      <c r="Z367" s="305"/>
      <c r="AE367" s="309"/>
      <c r="AF367" s="305"/>
      <c r="AH367" s="309"/>
      <c r="AI367" s="516"/>
      <c r="AO367" s="524"/>
      <c r="AU367" s="524"/>
      <c r="AX367" s="524"/>
    </row>
    <row r="368" spans="1:50" x14ac:dyDescent="0.2">
      <c r="A368" s="639"/>
      <c r="B368" s="640"/>
      <c r="C368" s="640"/>
      <c r="D368" s="640"/>
      <c r="E368" s="640"/>
      <c r="F368" s="640"/>
      <c r="G368" s="640"/>
      <c r="H368" s="640"/>
      <c r="I368" s="640"/>
      <c r="J368" s="640"/>
      <c r="K368" s="640"/>
      <c r="L368" s="640"/>
      <c r="M368" s="640"/>
      <c r="N368" s="640"/>
      <c r="O368" s="640"/>
      <c r="P368" s="640"/>
      <c r="Q368" s="640"/>
      <c r="R368" s="294"/>
      <c r="S368" s="296"/>
      <c r="T368" s="296"/>
      <c r="U368" s="296"/>
      <c r="V368" s="296"/>
      <c r="W368" s="296"/>
      <c r="X368" s="296"/>
      <c r="Y368" s="311"/>
      <c r="Z368" s="306"/>
      <c r="AA368" s="296"/>
      <c r="AB368" s="296"/>
      <c r="AC368" s="296"/>
      <c r="AD368" s="296"/>
      <c r="AE368" s="311"/>
      <c r="AF368" s="306"/>
      <c r="AG368" s="296"/>
      <c r="AH368" s="311"/>
      <c r="AI368" s="517"/>
      <c r="AJ368" s="527"/>
      <c r="AK368" s="518"/>
      <c r="AL368" s="518"/>
      <c r="AM368" s="527"/>
      <c r="AN368" s="518"/>
      <c r="AO368" s="525"/>
      <c r="AP368" s="518"/>
      <c r="AQ368" s="527"/>
      <c r="AR368" s="518"/>
      <c r="AS368" s="518"/>
      <c r="AT368" s="518"/>
      <c r="AU368" s="525"/>
      <c r="AV368" s="518"/>
      <c r="AW368" s="518"/>
      <c r="AX368" s="525"/>
    </row>
    <row r="369" spans="1:50" x14ac:dyDescent="0.2">
      <c r="A369" s="639"/>
      <c r="B369" s="640"/>
      <c r="C369" s="640"/>
      <c r="D369" s="640"/>
      <c r="E369" s="640"/>
      <c r="F369" s="640"/>
      <c r="G369" s="640"/>
      <c r="H369" s="640"/>
      <c r="I369" s="640"/>
      <c r="J369" s="640"/>
      <c r="K369" s="640"/>
      <c r="L369" s="640"/>
      <c r="M369" s="640"/>
      <c r="N369" s="640"/>
      <c r="O369" s="640"/>
      <c r="P369" s="640"/>
      <c r="Q369" s="640"/>
      <c r="Y369" s="309"/>
      <c r="Z369" s="305"/>
      <c r="AE369" s="309"/>
      <c r="AF369" s="305"/>
      <c r="AH369" s="309"/>
      <c r="AI369" s="516"/>
      <c r="AO369" s="524"/>
      <c r="AU369" s="524"/>
      <c r="AX369" s="524"/>
    </row>
    <row r="370" spans="1:50" x14ac:dyDescent="0.2">
      <c r="A370" s="639"/>
      <c r="B370" s="640"/>
      <c r="C370" s="640"/>
      <c r="D370" s="640"/>
      <c r="E370" s="640"/>
      <c r="F370" s="640"/>
      <c r="G370" s="640"/>
      <c r="H370" s="640"/>
      <c r="I370" s="640"/>
      <c r="J370" s="640"/>
      <c r="K370" s="640"/>
      <c r="L370" s="640"/>
      <c r="M370" s="640"/>
      <c r="N370" s="640"/>
      <c r="O370" s="640"/>
      <c r="P370" s="640"/>
      <c r="Q370" s="640"/>
      <c r="R370" s="294"/>
      <c r="S370" s="296"/>
      <c r="T370" s="296"/>
      <c r="U370" s="296"/>
      <c r="V370" s="296"/>
      <c r="W370" s="296"/>
      <c r="X370" s="296"/>
      <c r="Y370" s="311"/>
      <c r="Z370" s="306"/>
      <c r="AA370" s="296"/>
      <c r="AB370" s="296"/>
      <c r="AC370" s="296"/>
      <c r="AD370" s="296"/>
      <c r="AE370" s="311"/>
      <c r="AF370" s="306"/>
      <c r="AG370" s="296"/>
      <c r="AH370" s="311"/>
      <c r="AI370" s="516"/>
      <c r="AO370" s="524"/>
      <c r="AU370" s="524"/>
      <c r="AX370" s="524"/>
    </row>
    <row r="371" spans="1:50" x14ac:dyDescent="0.2">
      <c r="A371" s="639"/>
      <c r="B371" s="640"/>
      <c r="C371" s="640"/>
      <c r="D371" s="640"/>
      <c r="E371" s="640"/>
      <c r="F371" s="640"/>
      <c r="G371" s="640"/>
      <c r="H371" s="640"/>
      <c r="I371" s="640"/>
      <c r="J371" s="640"/>
      <c r="K371" s="640"/>
      <c r="L371" s="640"/>
      <c r="M371" s="640"/>
      <c r="N371" s="640"/>
      <c r="O371" s="640"/>
      <c r="P371" s="640"/>
      <c r="Q371" s="640"/>
      <c r="Y371" s="309"/>
      <c r="Z371" s="305"/>
      <c r="AE371" s="309"/>
      <c r="AF371" s="305"/>
      <c r="AH371" s="309"/>
      <c r="AI371" s="516"/>
      <c r="AO371" s="524"/>
      <c r="AU371" s="524"/>
      <c r="AX371" s="524"/>
    </row>
    <row r="372" spans="1:50" x14ac:dyDescent="0.2">
      <c r="A372" s="639"/>
      <c r="B372" s="640"/>
      <c r="C372" s="640"/>
      <c r="D372" s="640"/>
      <c r="E372" s="640"/>
      <c r="F372" s="640"/>
      <c r="G372" s="640"/>
      <c r="H372" s="640"/>
      <c r="I372" s="640"/>
      <c r="J372" s="640"/>
      <c r="K372" s="640"/>
      <c r="L372" s="640"/>
      <c r="M372" s="640"/>
      <c r="N372" s="640"/>
      <c r="O372" s="640"/>
      <c r="P372" s="640"/>
      <c r="Q372" s="640"/>
      <c r="R372" s="294"/>
      <c r="S372" s="296"/>
      <c r="T372" s="296"/>
      <c r="U372" s="296"/>
      <c r="V372" s="296"/>
      <c r="W372" s="296"/>
      <c r="X372" s="296"/>
      <c r="Y372" s="311"/>
      <c r="Z372" s="306"/>
      <c r="AA372" s="296"/>
      <c r="AB372" s="296"/>
      <c r="AC372" s="296"/>
      <c r="AD372" s="296"/>
      <c r="AE372" s="311"/>
      <c r="AF372" s="306"/>
      <c r="AG372" s="296"/>
      <c r="AH372" s="311"/>
      <c r="AI372" s="517"/>
      <c r="AJ372" s="527"/>
      <c r="AK372" s="518"/>
      <c r="AL372" s="518"/>
      <c r="AM372" s="518"/>
      <c r="AN372" s="518"/>
      <c r="AO372" s="525"/>
      <c r="AP372" s="518"/>
      <c r="AQ372" s="518"/>
      <c r="AR372" s="518"/>
      <c r="AS372" s="518"/>
      <c r="AT372" s="518"/>
      <c r="AU372" s="525"/>
      <c r="AV372" s="518"/>
      <c r="AW372" s="518"/>
      <c r="AX372" s="525"/>
    </row>
    <row r="373" spans="1:50" x14ac:dyDescent="0.2">
      <c r="A373" s="639"/>
      <c r="B373" s="640"/>
      <c r="C373" s="640"/>
      <c r="D373" s="640"/>
      <c r="E373" s="640"/>
      <c r="F373" s="640"/>
      <c r="G373" s="640"/>
      <c r="H373" s="640"/>
      <c r="I373" s="640"/>
      <c r="J373" s="640"/>
      <c r="K373" s="640"/>
      <c r="L373" s="640"/>
      <c r="M373" s="640"/>
      <c r="N373" s="640"/>
      <c r="O373" s="640"/>
      <c r="P373" s="640"/>
      <c r="Q373" s="640"/>
      <c r="Y373" s="309"/>
      <c r="Z373" s="305"/>
      <c r="AE373" s="309"/>
      <c r="AF373" s="305"/>
      <c r="AH373" s="309"/>
      <c r="AI373" s="516"/>
      <c r="AO373" s="524"/>
      <c r="AU373" s="524"/>
      <c r="AX373" s="524"/>
    </row>
    <row r="374" spans="1:50" x14ac:dyDescent="0.2">
      <c r="A374" s="639"/>
      <c r="B374" s="640"/>
      <c r="C374" s="640"/>
      <c r="D374" s="640"/>
      <c r="E374" s="640"/>
      <c r="F374" s="640"/>
      <c r="G374" s="640"/>
      <c r="H374" s="640"/>
      <c r="I374" s="640"/>
      <c r="J374" s="640"/>
      <c r="K374" s="640"/>
      <c r="L374" s="640"/>
      <c r="M374" s="640"/>
      <c r="N374" s="640"/>
      <c r="O374" s="640"/>
      <c r="P374" s="640"/>
      <c r="Q374" s="640"/>
      <c r="R374" s="294"/>
      <c r="S374" s="296"/>
      <c r="T374" s="296"/>
      <c r="U374" s="296"/>
      <c r="V374" s="296"/>
      <c r="W374" s="296"/>
      <c r="X374" s="296"/>
      <c r="Y374" s="311"/>
      <c r="Z374" s="306"/>
      <c r="AA374" s="296"/>
      <c r="AB374" s="296"/>
      <c r="AC374" s="296"/>
      <c r="AD374" s="296"/>
      <c r="AE374" s="311"/>
      <c r="AF374" s="306"/>
      <c r="AG374" s="296"/>
      <c r="AH374" s="311"/>
      <c r="AI374" s="516"/>
      <c r="AO374" s="524"/>
      <c r="AU374" s="524"/>
      <c r="AX374" s="524"/>
    </row>
    <row r="375" spans="1:50" x14ac:dyDescent="0.2">
      <c r="A375" s="639"/>
      <c r="B375" s="640"/>
      <c r="C375" s="640"/>
      <c r="D375" s="640"/>
      <c r="E375" s="640"/>
      <c r="F375" s="640"/>
      <c r="G375" s="640"/>
      <c r="H375" s="640"/>
      <c r="I375" s="640"/>
      <c r="J375" s="640"/>
      <c r="K375" s="640"/>
      <c r="L375" s="640"/>
      <c r="M375" s="640"/>
      <c r="N375" s="640"/>
      <c r="O375" s="640"/>
      <c r="P375" s="640"/>
      <c r="Q375" s="640"/>
      <c r="Y375" s="309"/>
      <c r="Z375" s="305"/>
      <c r="AE375" s="309"/>
      <c r="AF375" s="305"/>
      <c r="AH375" s="309"/>
      <c r="AI375" s="516"/>
      <c r="AO375" s="524"/>
      <c r="AU375" s="524"/>
      <c r="AX375" s="524"/>
    </row>
    <row r="376" spans="1:50" x14ac:dyDescent="0.2">
      <c r="A376" s="639"/>
      <c r="B376" s="640"/>
      <c r="C376" s="640"/>
      <c r="D376" s="640"/>
      <c r="E376" s="640"/>
      <c r="F376" s="640"/>
      <c r="G376" s="640"/>
      <c r="H376" s="640"/>
      <c r="I376" s="640"/>
      <c r="J376" s="640"/>
      <c r="K376" s="640"/>
      <c r="L376" s="640"/>
      <c r="M376" s="640"/>
      <c r="N376" s="640"/>
      <c r="O376" s="640"/>
      <c r="P376" s="640"/>
      <c r="Q376" s="640"/>
      <c r="R376" s="294"/>
      <c r="S376" s="296"/>
      <c r="T376" s="296"/>
      <c r="U376" s="296"/>
      <c r="V376" s="296"/>
      <c r="W376" s="296"/>
      <c r="X376" s="296"/>
      <c r="Y376" s="311"/>
      <c r="Z376" s="306"/>
      <c r="AA376" s="296"/>
      <c r="AB376" s="296"/>
      <c r="AC376" s="296"/>
      <c r="AD376" s="296"/>
      <c r="AE376" s="311"/>
      <c r="AF376" s="306"/>
      <c r="AG376" s="296"/>
      <c r="AH376" s="311"/>
      <c r="AI376" s="517"/>
      <c r="AJ376" s="518"/>
      <c r="AK376" s="518"/>
      <c r="AL376" s="518"/>
      <c r="AM376" s="518"/>
      <c r="AN376" s="518"/>
      <c r="AO376" s="525"/>
      <c r="AP376" s="518"/>
      <c r="AQ376" s="518"/>
      <c r="AR376" s="518"/>
      <c r="AS376" s="518"/>
      <c r="AT376" s="518"/>
      <c r="AU376" s="525"/>
      <c r="AV376" s="518"/>
      <c r="AW376" s="518"/>
      <c r="AX376" s="525"/>
    </row>
    <row r="377" spans="1:50" x14ac:dyDescent="0.2">
      <c r="A377" s="639"/>
      <c r="B377" s="640"/>
      <c r="C377" s="640"/>
      <c r="D377" s="640"/>
      <c r="E377" s="640"/>
      <c r="F377" s="640"/>
      <c r="G377" s="640"/>
      <c r="H377" s="640"/>
      <c r="I377" s="640"/>
      <c r="J377" s="640"/>
      <c r="K377" s="640"/>
      <c r="L377" s="640"/>
      <c r="M377" s="640"/>
      <c r="N377" s="640"/>
      <c r="O377" s="640"/>
      <c r="P377" s="640"/>
      <c r="Q377" s="640"/>
      <c r="Y377" s="309"/>
      <c r="Z377" s="305"/>
      <c r="AE377" s="309"/>
      <c r="AF377" s="305"/>
      <c r="AH377" s="309"/>
      <c r="AI377" s="516"/>
      <c r="AO377" s="524"/>
      <c r="AU377" s="524"/>
      <c r="AX377" s="524"/>
    </row>
    <row r="378" spans="1:50" x14ac:dyDescent="0.2">
      <c r="A378" s="639"/>
      <c r="B378" s="640"/>
      <c r="C378" s="640"/>
      <c r="D378" s="640"/>
      <c r="E378" s="640"/>
      <c r="F378" s="640"/>
      <c r="G378" s="640"/>
      <c r="H378" s="640"/>
      <c r="I378" s="640"/>
      <c r="J378" s="640"/>
      <c r="K378" s="640"/>
      <c r="L378" s="640"/>
      <c r="M378" s="640"/>
      <c r="N378" s="640"/>
      <c r="O378" s="640"/>
      <c r="P378" s="640"/>
      <c r="Q378" s="640"/>
      <c r="R378" s="294"/>
      <c r="S378" s="296"/>
      <c r="T378" s="296"/>
      <c r="U378" s="296"/>
      <c r="V378" s="296"/>
      <c r="W378" s="296"/>
      <c r="X378" s="296"/>
      <c r="Y378" s="311"/>
      <c r="Z378" s="306"/>
      <c r="AA378" s="296"/>
      <c r="AB378" s="296"/>
      <c r="AC378" s="296"/>
      <c r="AD378" s="296"/>
      <c r="AE378" s="311"/>
      <c r="AF378" s="306"/>
      <c r="AG378" s="296"/>
      <c r="AH378" s="311"/>
      <c r="AI378" s="516"/>
      <c r="AO378" s="524"/>
      <c r="AU378" s="524"/>
      <c r="AX378" s="524"/>
    </row>
    <row r="379" spans="1:50" x14ac:dyDescent="0.2">
      <c r="A379" s="639"/>
      <c r="B379" s="640"/>
      <c r="C379" s="640"/>
      <c r="D379" s="640"/>
      <c r="E379" s="640"/>
      <c r="F379" s="640"/>
      <c r="G379" s="640"/>
      <c r="H379" s="640"/>
      <c r="I379" s="640"/>
      <c r="J379" s="640"/>
      <c r="K379" s="640"/>
      <c r="L379" s="640"/>
      <c r="M379" s="640"/>
      <c r="N379" s="640"/>
      <c r="O379" s="640"/>
      <c r="P379" s="640"/>
      <c r="Q379" s="640"/>
      <c r="Y379" s="309"/>
      <c r="Z379" s="305"/>
      <c r="AE379" s="309"/>
      <c r="AF379" s="305"/>
      <c r="AH379" s="309"/>
      <c r="AI379" s="516"/>
      <c r="AO379" s="524"/>
      <c r="AU379" s="524"/>
      <c r="AX379" s="524"/>
    </row>
    <row r="380" spans="1:50" ht="13.5" thickBot="1" x14ac:dyDescent="0.25">
      <c r="A380" s="651"/>
      <c r="B380" s="652"/>
      <c r="C380" s="652"/>
      <c r="D380" s="652"/>
      <c r="E380" s="652"/>
      <c r="F380" s="652"/>
      <c r="G380" s="652"/>
      <c r="H380" s="652"/>
      <c r="I380" s="652"/>
      <c r="J380" s="652"/>
      <c r="K380" s="652"/>
      <c r="L380" s="652"/>
      <c r="M380" s="652"/>
      <c r="N380" s="652"/>
      <c r="O380" s="652"/>
      <c r="P380" s="652"/>
      <c r="Q380" s="652"/>
      <c r="S380" s="302"/>
      <c r="T380" s="302"/>
      <c r="U380" s="302"/>
      <c r="V380" s="302"/>
      <c r="W380" s="302"/>
      <c r="X380" s="302"/>
      <c r="Y380" s="312"/>
      <c r="Z380" s="307"/>
      <c r="AA380" s="302"/>
      <c r="AB380" s="302"/>
      <c r="AC380" s="302"/>
      <c r="AD380" s="302"/>
      <c r="AE380" s="312"/>
      <c r="AF380" s="307"/>
      <c r="AG380" s="302"/>
      <c r="AH380" s="312"/>
      <c r="AI380" s="519"/>
      <c r="AJ380" s="520"/>
      <c r="AK380" s="520"/>
      <c r="AL380" s="520"/>
      <c r="AM380" s="520"/>
      <c r="AN380" s="520"/>
      <c r="AO380" s="526"/>
      <c r="AP380" s="520"/>
      <c r="AQ380" s="520"/>
      <c r="AR380" s="520"/>
      <c r="AS380" s="520"/>
      <c r="AT380" s="520"/>
      <c r="AU380" s="526"/>
      <c r="AV380" s="520"/>
      <c r="AW380" s="520"/>
      <c r="AX380" s="526"/>
    </row>
    <row r="381" spans="1:50" x14ac:dyDescent="0.2">
      <c r="A381" s="638"/>
      <c r="B381" s="640"/>
      <c r="C381" s="640"/>
      <c r="D381" s="640"/>
      <c r="E381" s="640"/>
      <c r="F381" s="640"/>
      <c r="G381" s="640"/>
      <c r="H381" s="640"/>
      <c r="I381" s="640"/>
      <c r="J381" s="640"/>
      <c r="K381" s="640"/>
      <c r="L381" s="640"/>
      <c r="M381" s="640"/>
      <c r="N381" s="640"/>
      <c r="O381" s="640"/>
      <c r="P381" s="640"/>
      <c r="Q381" s="640"/>
      <c r="Y381" s="309"/>
      <c r="Z381" s="305"/>
      <c r="AE381" s="309"/>
      <c r="AF381" s="305"/>
      <c r="AH381" s="309"/>
      <c r="AI381" s="516"/>
      <c r="AO381" s="524"/>
      <c r="AU381" s="524"/>
      <c r="AX381" s="524"/>
    </row>
    <row r="382" spans="1:50" x14ac:dyDescent="0.2">
      <c r="A382" s="639"/>
      <c r="B382" s="640"/>
      <c r="C382" s="640"/>
      <c r="D382" s="640"/>
      <c r="E382" s="640"/>
      <c r="F382" s="640"/>
      <c r="G382" s="640"/>
      <c r="H382" s="640"/>
      <c r="I382" s="640"/>
      <c r="J382" s="640"/>
      <c r="K382" s="640"/>
      <c r="L382" s="640"/>
      <c r="M382" s="640"/>
      <c r="N382" s="640"/>
      <c r="O382" s="640"/>
      <c r="P382" s="640"/>
      <c r="Q382" s="640"/>
      <c r="S382" s="295"/>
      <c r="T382" s="295"/>
      <c r="U382" s="295"/>
      <c r="V382" s="295"/>
      <c r="W382" s="295"/>
      <c r="X382" s="295"/>
      <c r="Y382" s="310"/>
      <c r="Z382" s="305"/>
      <c r="AA382" s="295"/>
      <c r="AB382" s="295"/>
      <c r="AC382" s="295"/>
      <c r="AD382" s="295"/>
      <c r="AE382" s="310"/>
      <c r="AF382" s="305"/>
      <c r="AG382" s="295"/>
      <c r="AH382" s="310"/>
      <c r="AI382" s="516"/>
      <c r="AO382" s="524"/>
      <c r="AU382" s="524"/>
      <c r="AX382" s="524"/>
    </row>
    <row r="383" spans="1:50" x14ac:dyDescent="0.2">
      <c r="A383" s="639"/>
      <c r="B383" s="640"/>
      <c r="C383" s="640"/>
      <c r="D383" s="640"/>
      <c r="E383" s="640"/>
      <c r="F383" s="640"/>
      <c r="G383" s="640"/>
      <c r="H383" s="640"/>
      <c r="I383" s="640"/>
      <c r="J383" s="640"/>
      <c r="K383" s="640"/>
      <c r="L383" s="640"/>
      <c r="M383" s="640"/>
      <c r="N383" s="640"/>
      <c r="O383" s="640"/>
      <c r="P383" s="640"/>
      <c r="Q383" s="640"/>
      <c r="S383" s="296"/>
      <c r="T383" s="296"/>
      <c r="U383" s="296"/>
      <c r="V383" s="296"/>
      <c r="W383" s="296"/>
      <c r="X383" s="296"/>
      <c r="Y383" s="311"/>
      <c r="Z383" s="306"/>
      <c r="AA383" s="296"/>
      <c r="AB383" s="296"/>
      <c r="AC383" s="296"/>
      <c r="AD383" s="296"/>
      <c r="AE383" s="311"/>
      <c r="AF383" s="306"/>
      <c r="AG383" s="296"/>
      <c r="AH383" s="311"/>
      <c r="AI383" s="516"/>
      <c r="AO383" s="524"/>
      <c r="AU383" s="524"/>
      <c r="AX383" s="524"/>
    </row>
    <row r="384" spans="1:50" x14ac:dyDescent="0.2">
      <c r="A384" s="639"/>
      <c r="B384" s="640"/>
      <c r="C384" s="640"/>
      <c r="D384" s="640"/>
      <c r="E384" s="640"/>
      <c r="F384" s="640"/>
      <c r="G384" s="640"/>
      <c r="H384" s="640"/>
      <c r="I384" s="640"/>
      <c r="J384" s="640"/>
      <c r="K384" s="640"/>
      <c r="L384" s="640"/>
      <c r="M384" s="640"/>
      <c r="N384" s="640"/>
      <c r="O384" s="640"/>
      <c r="P384" s="640"/>
      <c r="Q384" s="640"/>
      <c r="Y384" s="309"/>
      <c r="Z384" s="305"/>
      <c r="AE384" s="309"/>
      <c r="AF384" s="305"/>
      <c r="AH384" s="309"/>
      <c r="AI384" s="516"/>
      <c r="AO384" s="524"/>
      <c r="AU384" s="524"/>
      <c r="AX384" s="524"/>
    </row>
    <row r="385" spans="1:50" x14ac:dyDescent="0.2">
      <c r="A385" s="639"/>
      <c r="B385" s="640"/>
      <c r="C385" s="640"/>
      <c r="D385" s="640"/>
      <c r="E385" s="640"/>
      <c r="F385" s="640"/>
      <c r="G385" s="640"/>
      <c r="H385" s="640"/>
      <c r="I385" s="640"/>
      <c r="J385" s="640"/>
      <c r="K385" s="640"/>
      <c r="L385" s="640"/>
      <c r="M385" s="640"/>
      <c r="N385" s="640"/>
      <c r="O385" s="640"/>
      <c r="P385" s="640"/>
      <c r="Q385" s="640"/>
      <c r="R385" s="294"/>
      <c r="S385" s="296"/>
      <c r="T385" s="296"/>
      <c r="U385" s="296"/>
      <c r="V385" s="296"/>
      <c r="W385" s="296"/>
      <c r="X385" s="296"/>
      <c r="Y385" s="311"/>
      <c r="Z385" s="306"/>
      <c r="AA385" s="296"/>
      <c r="AB385" s="296"/>
      <c r="AC385" s="296"/>
      <c r="AD385" s="296"/>
      <c r="AE385" s="311"/>
      <c r="AF385" s="306"/>
      <c r="AG385" s="296"/>
      <c r="AH385" s="311"/>
      <c r="AI385" s="517"/>
      <c r="AJ385" s="518"/>
      <c r="AK385" s="518"/>
      <c r="AL385" s="518"/>
      <c r="AM385" s="518"/>
      <c r="AN385" s="518"/>
      <c r="AO385" s="525"/>
      <c r="AP385" s="518"/>
      <c r="AQ385" s="527"/>
      <c r="AR385" s="518"/>
      <c r="AS385" s="518"/>
      <c r="AT385" s="518"/>
      <c r="AU385" s="525"/>
      <c r="AV385" s="518"/>
      <c r="AW385" s="518"/>
      <c r="AX385" s="525"/>
    </row>
    <row r="386" spans="1:50" x14ac:dyDescent="0.2">
      <c r="A386" s="639"/>
      <c r="B386" s="640"/>
      <c r="C386" s="640"/>
      <c r="D386" s="640"/>
      <c r="E386" s="640"/>
      <c r="F386" s="640"/>
      <c r="G386" s="640"/>
      <c r="H386" s="640"/>
      <c r="I386" s="640"/>
      <c r="J386" s="640"/>
      <c r="K386" s="640"/>
      <c r="L386" s="640"/>
      <c r="M386" s="640"/>
      <c r="N386" s="640"/>
      <c r="O386" s="640"/>
      <c r="P386" s="640"/>
      <c r="Q386" s="640"/>
      <c r="Y386" s="309"/>
      <c r="Z386" s="305"/>
      <c r="AE386" s="309"/>
      <c r="AF386" s="305"/>
      <c r="AH386" s="309"/>
      <c r="AI386" s="516"/>
      <c r="AO386" s="524"/>
      <c r="AU386" s="524"/>
      <c r="AX386" s="524"/>
    </row>
    <row r="387" spans="1:50" x14ac:dyDescent="0.2">
      <c r="A387" s="649"/>
      <c r="B387" s="650"/>
      <c r="C387" s="650"/>
      <c r="D387" s="650"/>
      <c r="E387" s="650"/>
      <c r="F387" s="650"/>
      <c r="G387" s="650"/>
      <c r="H387" s="650"/>
      <c r="I387" s="650"/>
      <c r="J387" s="650"/>
      <c r="K387" s="650"/>
      <c r="L387" s="650"/>
      <c r="M387" s="650"/>
      <c r="N387" s="650"/>
      <c r="O387" s="650"/>
      <c r="P387" s="650"/>
      <c r="Q387" s="650"/>
      <c r="S387" s="296"/>
      <c r="T387" s="296"/>
      <c r="U387" s="296"/>
      <c r="V387" s="296"/>
      <c r="W387" s="296"/>
      <c r="X387" s="296"/>
      <c r="Y387" s="311"/>
      <c r="Z387" s="306"/>
      <c r="AA387" s="296"/>
      <c r="AB387" s="296"/>
      <c r="AC387" s="296"/>
      <c r="AD387" s="296"/>
      <c r="AE387" s="311"/>
      <c r="AF387" s="306"/>
      <c r="AG387" s="296"/>
      <c r="AH387" s="311"/>
      <c r="AI387" s="516"/>
      <c r="AO387" s="524"/>
      <c r="AU387" s="524"/>
      <c r="AX387" s="524"/>
    </row>
    <row r="388" spans="1:50" x14ac:dyDescent="0.2">
      <c r="A388" s="639"/>
      <c r="B388" s="640"/>
      <c r="C388" s="640"/>
      <c r="D388" s="640"/>
      <c r="E388" s="640"/>
      <c r="F388" s="640"/>
      <c r="G388" s="640"/>
      <c r="H388" s="640"/>
      <c r="I388" s="640"/>
      <c r="J388" s="640"/>
      <c r="K388" s="640"/>
      <c r="L388" s="640"/>
      <c r="M388" s="640"/>
      <c r="N388" s="640"/>
      <c r="O388" s="640"/>
      <c r="P388" s="640"/>
      <c r="Q388" s="640"/>
      <c r="Y388" s="309"/>
      <c r="Z388" s="305"/>
      <c r="AE388" s="309"/>
      <c r="AF388" s="305"/>
      <c r="AH388" s="309"/>
      <c r="AI388" s="516"/>
      <c r="AO388" s="524"/>
      <c r="AU388" s="524"/>
      <c r="AX388" s="524"/>
    </row>
    <row r="389" spans="1:50" x14ac:dyDescent="0.2">
      <c r="A389" s="639"/>
      <c r="B389" s="640"/>
      <c r="C389" s="640"/>
      <c r="D389" s="640"/>
      <c r="E389" s="640"/>
      <c r="F389" s="640"/>
      <c r="G389" s="640"/>
      <c r="H389" s="640"/>
      <c r="I389" s="640"/>
      <c r="J389" s="640"/>
      <c r="K389" s="640"/>
      <c r="L389" s="640"/>
      <c r="M389" s="640"/>
      <c r="N389" s="640"/>
      <c r="O389" s="640"/>
      <c r="P389" s="640"/>
      <c r="Q389" s="640"/>
      <c r="R389" s="294"/>
      <c r="S389" s="296"/>
      <c r="T389" s="296"/>
      <c r="U389" s="296"/>
      <c r="V389" s="296"/>
      <c r="W389" s="296"/>
      <c r="X389" s="296"/>
      <c r="Y389" s="311"/>
      <c r="Z389" s="306"/>
      <c r="AA389" s="296"/>
      <c r="AB389" s="296"/>
      <c r="AC389" s="296"/>
      <c r="AD389" s="296"/>
      <c r="AE389" s="311"/>
      <c r="AF389" s="306"/>
      <c r="AG389" s="296"/>
      <c r="AH389" s="311"/>
      <c r="AI389" s="517"/>
      <c r="AJ389" s="518"/>
      <c r="AK389" s="518"/>
      <c r="AL389" s="518"/>
      <c r="AM389" s="518"/>
      <c r="AN389" s="518"/>
      <c r="AO389" s="525"/>
      <c r="AP389" s="518"/>
      <c r="AQ389" s="518"/>
      <c r="AR389" s="518"/>
      <c r="AS389" s="518"/>
      <c r="AT389" s="518"/>
      <c r="AU389" s="525"/>
      <c r="AV389" s="518"/>
      <c r="AW389" s="518"/>
      <c r="AX389" s="525"/>
    </row>
    <row r="390" spans="1:50" x14ac:dyDescent="0.2">
      <c r="A390" s="639"/>
      <c r="B390" s="640"/>
      <c r="C390" s="640"/>
      <c r="D390" s="640"/>
      <c r="E390" s="640"/>
      <c r="F390" s="640"/>
      <c r="G390" s="640"/>
      <c r="H390" s="640"/>
      <c r="I390" s="640"/>
      <c r="J390" s="640"/>
      <c r="K390" s="640"/>
      <c r="L390" s="640"/>
      <c r="M390" s="640"/>
      <c r="N390" s="640"/>
      <c r="O390" s="640"/>
      <c r="P390" s="640"/>
      <c r="Q390" s="640"/>
      <c r="Y390" s="309"/>
      <c r="Z390" s="305"/>
      <c r="AE390" s="309"/>
      <c r="AF390" s="305"/>
      <c r="AH390" s="309"/>
      <c r="AI390" s="516"/>
      <c r="AO390" s="524"/>
      <c r="AU390" s="524"/>
      <c r="AX390" s="524"/>
    </row>
    <row r="391" spans="1:50" x14ac:dyDescent="0.2">
      <c r="A391" s="639"/>
      <c r="B391" s="640"/>
      <c r="C391" s="640"/>
      <c r="D391" s="640"/>
      <c r="E391" s="640"/>
      <c r="F391" s="640"/>
      <c r="G391" s="640"/>
      <c r="H391" s="640"/>
      <c r="I391" s="640"/>
      <c r="J391" s="640"/>
      <c r="K391" s="640"/>
      <c r="L391" s="640"/>
      <c r="M391" s="640"/>
      <c r="N391" s="640"/>
      <c r="O391" s="640"/>
      <c r="P391" s="640"/>
      <c r="Q391" s="640"/>
      <c r="R391" s="294"/>
      <c r="S391" s="296"/>
      <c r="T391" s="296"/>
      <c r="U391" s="296"/>
      <c r="V391" s="296"/>
      <c r="W391" s="296"/>
      <c r="X391" s="296"/>
      <c r="Y391" s="311"/>
      <c r="Z391" s="306"/>
      <c r="AA391" s="296"/>
      <c r="AB391" s="296"/>
      <c r="AC391" s="296"/>
      <c r="AD391" s="296"/>
      <c r="AE391" s="311"/>
      <c r="AF391" s="306"/>
      <c r="AG391" s="296"/>
      <c r="AH391" s="311"/>
      <c r="AI391" s="516"/>
      <c r="AO391" s="524"/>
      <c r="AU391" s="524"/>
      <c r="AX391" s="524"/>
    </row>
    <row r="392" spans="1:50" x14ac:dyDescent="0.2">
      <c r="A392" s="639"/>
      <c r="B392" s="640"/>
      <c r="C392" s="640"/>
      <c r="D392" s="640"/>
      <c r="E392" s="640"/>
      <c r="F392" s="640"/>
      <c r="G392" s="640"/>
      <c r="H392" s="640"/>
      <c r="I392" s="640"/>
      <c r="J392" s="640"/>
      <c r="K392" s="640"/>
      <c r="L392" s="640"/>
      <c r="M392" s="640"/>
      <c r="N392" s="640"/>
      <c r="O392" s="640"/>
      <c r="P392" s="640"/>
      <c r="Q392" s="640"/>
      <c r="Y392" s="309"/>
      <c r="Z392" s="305"/>
      <c r="AE392" s="309"/>
      <c r="AF392" s="305"/>
      <c r="AH392" s="309"/>
      <c r="AI392" s="516"/>
      <c r="AO392" s="524"/>
      <c r="AU392" s="524"/>
      <c r="AX392" s="524"/>
    </row>
    <row r="393" spans="1:50" x14ac:dyDescent="0.2">
      <c r="A393" s="639"/>
      <c r="B393" s="640"/>
      <c r="C393" s="640"/>
      <c r="D393" s="640"/>
      <c r="E393" s="640"/>
      <c r="F393" s="640"/>
      <c r="G393" s="640"/>
      <c r="H393" s="640"/>
      <c r="I393" s="640"/>
      <c r="J393" s="640"/>
      <c r="K393" s="640"/>
      <c r="L393" s="640"/>
      <c r="M393" s="640"/>
      <c r="N393" s="640"/>
      <c r="O393" s="640"/>
      <c r="P393" s="640"/>
      <c r="Q393" s="640"/>
      <c r="R393" s="294"/>
      <c r="S393" s="296"/>
      <c r="T393" s="296"/>
      <c r="U393" s="296"/>
      <c r="V393" s="296"/>
      <c r="W393" s="296"/>
      <c r="X393" s="296"/>
      <c r="Y393" s="311"/>
      <c r="Z393" s="306"/>
      <c r="AA393" s="296"/>
      <c r="AB393" s="296"/>
      <c r="AC393" s="296"/>
      <c r="AD393" s="296"/>
      <c r="AE393" s="311"/>
      <c r="AF393" s="306"/>
      <c r="AG393" s="296"/>
      <c r="AH393" s="311"/>
      <c r="AI393" s="517"/>
      <c r="AJ393" s="518"/>
      <c r="AK393" s="518"/>
      <c r="AL393" s="518"/>
      <c r="AM393" s="518"/>
      <c r="AN393" s="518"/>
      <c r="AO393" s="525"/>
      <c r="AP393" s="518"/>
      <c r="AQ393" s="518"/>
      <c r="AR393" s="518"/>
      <c r="AS393" s="518"/>
      <c r="AT393" s="518"/>
      <c r="AU393" s="525"/>
      <c r="AV393" s="518"/>
      <c r="AW393" s="518"/>
      <c r="AX393" s="525"/>
    </row>
    <row r="394" spans="1:50" x14ac:dyDescent="0.2">
      <c r="A394" s="639"/>
      <c r="B394" s="640"/>
      <c r="C394" s="640"/>
      <c r="D394" s="640"/>
      <c r="E394" s="640"/>
      <c r="F394" s="640"/>
      <c r="G394" s="640"/>
      <c r="H394" s="640"/>
      <c r="I394" s="640"/>
      <c r="J394" s="640"/>
      <c r="K394" s="640"/>
      <c r="L394" s="640"/>
      <c r="M394" s="640"/>
      <c r="N394" s="640"/>
      <c r="O394" s="640"/>
      <c r="P394" s="640"/>
      <c r="Q394" s="640"/>
      <c r="Y394" s="309"/>
      <c r="Z394" s="305"/>
      <c r="AE394" s="309"/>
      <c r="AF394" s="305"/>
      <c r="AH394" s="309"/>
      <c r="AI394" s="516"/>
      <c r="AO394" s="524"/>
      <c r="AU394" s="524"/>
      <c r="AX394" s="524"/>
    </row>
    <row r="395" spans="1:50" x14ac:dyDescent="0.2">
      <c r="A395" s="639"/>
      <c r="B395" s="640"/>
      <c r="C395" s="640"/>
      <c r="D395" s="640"/>
      <c r="E395" s="640"/>
      <c r="F395" s="640"/>
      <c r="G395" s="640"/>
      <c r="H395" s="640"/>
      <c r="I395" s="640"/>
      <c r="J395" s="640"/>
      <c r="K395" s="640"/>
      <c r="L395" s="640"/>
      <c r="M395" s="640"/>
      <c r="N395" s="640"/>
      <c r="O395" s="640"/>
      <c r="P395" s="640"/>
      <c r="Q395" s="640"/>
      <c r="R395" s="294"/>
      <c r="S395" s="296"/>
      <c r="T395" s="296"/>
      <c r="U395" s="296"/>
      <c r="V395" s="296"/>
      <c r="W395" s="296"/>
      <c r="X395" s="296"/>
      <c r="Y395" s="311"/>
      <c r="Z395" s="306"/>
      <c r="AA395" s="296"/>
      <c r="AB395" s="296"/>
      <c r="AC395" s="296"/>
      <c r="AD395" s="296"/>
      <c r="AE395" s="311"/>
      <c r="AF395" s="306"/>
      <c r="AG395" s="296"/>
      <c r="AH395" s="311"/>
      <c r="AI395" s="516"/>
      <c r="AO395" s="524"/>
      <c r="AU395" s="524"/>
      <c r="AX395" s="524"/>
    </row>
    <row r="396" spans="1:50" x14ac:dyDescent="0.2">
      <c r="A396" s="639"/>
      <c r="B396" s="640"/>
      <c r="C396" s="640"/>
      <c r="D396" s="640"/>
      <c r="E396" s="640"/>
      <c r="F396" s="640"/>
      <c r="G396" s="640"/>
      <c r="H396" s="640"/>
      <c r="I396" s="640"/>
      <c r="J396" s="640"/>
      <c r="K396" s="640"/>
      <c r="L396" s="640"/>
      <c r="M396" s="640"/>
      <c r="N396" s="640"/>
      <c r="O396" s="640"/>
      <c r="P396" s="640"/>
      <c r="Q396" s="640"/>
      <c r="Y396" s="309"/>
      <c r="Z396" s="305"/>
      <c r="AE396" s="309"/>
      <c r="AF396" s="305"/>
      <c r="AH396" s="309"/>
      <c r="AI396" s="516"/>
      <c r="AO396" s="524"/>
      <c r="AU396" s="524"/>
      <c r="AX396" s="524"/>
    </row>
    <row r="397" spans="1:50" x14ac:dyDescent="0.2">
      <c r="A397" s="639"/>
      <c r="B397" s="640"/>
      <c r="C397" s="640"/>
      <c r="D397" s="640"/>
      <c r="E397" s="640"/>
      <c r="F397" s="640"/>
      <c r="G397" s="640"/>
      <c r="H397" s="640"/>
      <c r="I397" s="640"/>
      <c r="J397" s="640"/>
      <c r="K397" s="640"/>
      <c r="L397" s="640"/>
      <c r="M397" s="640"/>
      <c r="N397" s="640"/>
      <c r="O397" s="640"/>
      <c r="P397" s="640"/>
      <c r="Q397" s="640"/>
      <c r="R397" s="294"/>
      <c r="S397" s="296"/>
      <c r="T397" s="296"/>
      <c r="U397" s="296"/>
      <c r="V397" s="296"/>
      <c r="W397" s="296"/>
      <c r="X397" s="296"/>
      <c r="Y397" s="311"/>
      <c r="Z397" s="306"/>
      <c r="AA397" s="296"/>
      <c r="AB397" s="296"/>
      <c r="AC397" s="296"/>
      <c r="AD397" s="296"/>
      <c r="AE397" s="311"/>
      <c r="AF397" s="306"/>
      <c r="AG397" s="296"/>
      <c r="AH397" s="311"/>
      <c r="AI397" s="517"/>
      <c r="AJ397" s="518"/>
      <c r="AK397" s="518"/>
      <c r="AL397" s="527"/>
      <c r="AM397" s="518"/>
      <c r="AN397" s="518"/>
      <c r="AO397" s="525"/>
      <c r="AP397" s="518"/>
      <c r="AQ397" s="518"/>
      <c r="AR397" s="518"/>
      <c r="AS397" s="527"/>
      <c r="AT397" s="518"/>
      <c r="AU397" s="525"/>
      <c r="AV397" s="518"/>
      <c r="AW397" s="518"/>
      <c r="AX397" s="525"/>
    </row>
    <row r="398" spans="1:50" x14ac:dyDescent="0.2">
      <c r="A398" s="639"/>
      <c r="B398" s="640"/>
      <c r="C398" s="640"/>
      <c r="D398" s="640"/>
      <c r="E398" s="640"/>
      <c r="F398" s="640"/>
      <c r="G398" s="640"/>
      <c r="H398" s="640"/>
      <c r="I398" s="640"/>
      <c r="J398" s="640"/>
      <c r="K398" s="640"/>
      <c r="L398" s="640"/>
      <c r="M398" s="640"/>
      <c r="N398" s="640"/>
      <c r="O398" s="640"/>
      <c r="P398" s="640"/>
      <c r="Q398" s="640"/>
      <c r="Y398" s="309"/>
      <c r="Z398" s="305"/>
      <c r="AE398" s="309"/>
      <c r="AF398" s="305"/>
      <c r="AH398" s="309"/>
      <c r="AI398" s="516"/>
      <c r="AO398" s="524"/>
      <c r="AU398" s="524"/>
      <c r="AX398" s="524"/>
    </row>
    <row r="399" spans="1:50" x14ac:dyDescent="0.2">
      <c r="A399" s="639"/>
      <c r="B399" s="640"/>
      <c r="C399" s="640"/>
      <c r="D399" s="640"/>
      <c r="E399" s="640"/>
      <c r="F399" s="640"/>
      <c r="G399" s="640"/>
      <c r="H399" s="640"/>
      <c r="I399" s="640"/>
      <c r="J399" s="640"/>
      <c r="K399" s="640"/>
      <c r="L399" s="640"/>
      <c r="M399" s="640"/>
      <c r="N399" s="640"/>
      <c r="O399" s="640"/>
      <c r="P399" s="640"/>
      <c r="Q399" s="640"/>
      <c r="R399" s="294"/>
      <c r="S399" s="296"/>
      <c r="T399" s="296"/>
      <c r="U399" s="296"/>
      <c r="V399" s="296"/>
      <c r="W399" s="296"/>
      <c r="X399" s="296"/>
      <c r="Y399" s="311"/>
      <c r="Z399" s="306"/>
      <c r="AA399" s="296"/>
      <c r="AB399" s="296"/>
      <c r="AC399" s="296"/>
      <c r="AD399" s="296"/>
      <c r="AE399" s="311"/>
      <c r="AF399" s="306"/>
      <c r="AG399" s="296"/>
      <c r="AH399" s="311"/>
      <c r="AI399" s="516"/>
      <c r="AO399" s="524"/>
      <c r="AU399" s="524"/>
      <c r="AX399" s="524"/>
    </row>
    <row r="400" spans="1:50" x14ac:dyDescent="0.2">
      <c r="A400" s="639"/>
      <c r="B400" s="640"/>
      <c r="C400" s="640"/>
      <c r="D400" s="640"/>
      <c r="E400" s="640"/>
      <c r="F400" s="640"/>
      <c r="G400" s="640"/>
      <c r="H400" s="640"/>
      <c r="I400" s="640"/>
      <c r="J400" s="640"/>
      <c r="K400" s="640"/>
      <c r="L400" s="640"/>
      <c r="M400" s="640"/>
      <c r="N400" s="640"/>
      <c r="O400" s="640"/>
      <c r="P400" s="640"/>
      <c r="Q400" s="640"/>
      <c r="Y400" s="309"/>
      <c r="Z400" s="305"/>
      <c r="AE400" s="309"/>
      <c r="AF400" s="305"/>
      <c r="AH400" s="309"/>
      <c r="AI400" s="516"/>
      <c r="AO400" s="524"/>
      <c r="AU400" s="524"/>
      <c r="AX400" s="524"/>
    </row>
    <row r="401" spans="1:50" x14ac:dyDescent="0.2">
      <c r="A401" s="639"/>
      <c r="B401" s="640"/>
      <c r="C401" s="640"/>
      <c r="D401" s="640"/>
      <c r="E401" s="640"/>
      <c r="F401" s="640"/>
      <c r="G401" s="640"/>
      <c r="H401" s="640"/>
      <c r="I401" s="640"/>
      <c r="J401" s="640"/>
      <c r="K401" s="640"/>
      <c r="L401" s="640"/>
      <c r="M401" s="640"/>
      <c r="N401" s="640"/>
      <c r="O401" s="640"/>
      <c r="P401" s="640"/>
      <c r="Q401" s="640"/>
      <c r="R401" s="294"/>
      <c r="S401" s="296"/>
      <c r="T401" s="296"/>
      <c r="U401" s="296"/>
      <c r="V401" s="296"/>
      <c r="W401" s="296"/>
      <c r="X401" s="296"/>
      <c r="Y401" s="311"/>
      <c r="Z401" s="306"/>
      <c r="AA401" s="296"/>
      <c r="AB401" s="296"/>
      <c r="AC401" s="296"/>
      <c r="AD401" s="296"/>
      <c r="AE401" s="311"/>
      <c r="AF401" s="306"/>
      <c r="AG401" s="296"/>
      <c r="AH401" s="311"/>
      <c r="AI401" s="517"/>
      <c r="AJ401" s="527"/>
      <c r="AK401" s="518"/>
      <c r="AL401" s="527"/>
      <c r="AM401" s="518"/>
      <c r="AN401" s="527"/>
      <c r="AO401" s="525"/>
      <c r="AP401" s="518"/>
      <c r="AQ401" s="527"/>
      <c r="AR401" s="518"/>
      <c r="AS401" s="518"/>
      <c r="AT401" s="518"/>
      <c r="AU401" s="525"/>
      <c r="AV401" s="518"/>
      <c r="AW401" s="518"/>
      <c r="AX401" s="525"/>
    </row>
    <row r="402" spans="1:50" x14ac:dyDescent="0.2">
      <c r="A402" s="639"/>
      <c r="B402" s="640"/>
      <c r="C402" s="640"/>
      <c r="D402" s="640"/>
      <c r="E402" s="640"/>
      <c r="F402" s="640"/>
      <c r="G402" s="640"/>
      <c r="H402" s="640"/>
      <c r="I402" s="640"/>
      <c r="J402" s="640"/>
      <c r="K402" s="640"/>
      <c r="L402" s="640"/>
      <c r="M402" s="640"/>
      <c r="N402" s="640"/>
      <c r="O402" s="640"/>
      <c r="P402" s="640"/>
      <c r="Q402" s="640"/>
      <c r="Y402" s="309"/>
      <c r="Z402" s="305"/>
      <c r="AE402" s="309"/>
      <c r="AF402" s="305"/>
      <c r="AH402" s="309"/>
      <c r="AI402" s="516"/>
      <c r="AO402" s="524"/>
      <c r="AU402" s="524"/>
      <c r="AX402" s="524"/>
    </row>
    <row r="403" spans="1:50" x14ac:dyDescent="0.2">
      <c r="A403" s="639"/>
      <c r="B403" s="640"/>
      <c r="C403" s="640"/>
      <c r="D403" s="640"/>
      <c r="E403" s="640"/>
      <c r="F403" s="640"/>
      <c r="G403" s="640"/>
      <c r="H403" s="640"/>
      <c r="I403" s="640"/>
      <c r="J403" s="640"/>
      <c r="K403" s="640"/>
      <c r="L403" s="640"/>
      <c r="M403" s="640"/>
      <c r="N403" s="640"/>
      <c r="O403" s="640"/>
      <c r="P403" s="640"/>
      <c r="Q403" s="640"/>
      <c r="R403" s="294"/>
      <c r="S403" s="296"/>
      <c r="T403" s="296"/>
      <c r="U403" s="296"/>
      <c r="V403" s="296"/>
      <c r="W403" s="296"/>
      <c r="X403" s="296"/>
      <c r="Y403" s="311"/>
      <c r="Z403" s="306"/>
      <c r="AA403" s="296"/>
      <c r="AB403" s="296"/>
      <c r="AC403" s="296"/>
      <c r="AD403" s="296"/>
      <c r="AE403" s="311"/>
      <c r="AF403" s="306"/>
      <c r="AG403" s="296"/>
      <c r="AH403" s="311"/>
      <c r="AI403" s="516"/>
      <c r="AO403" s="524"/>
      <c r="AU403" s="524"/>
      <c r="AX403" s="524"/>
    </row>
    <row r="404" spans="1:50" x14ac:dyDescent="0.2">
      <c r="A404" s="639"/>
      <c r="B404" s="640"/>
      <c r="C404" s="640"/>
      <c r="D404" s="640"/>
      <c r="E404" s="640"/>
      <c r="F404" s="640"/>
      <c r="G404" s="640"/>
      <c r="H404" s="640"/>
      <c r="I404" s="640"/>
      <c r="J404" s="640"/>
      <c r="K404" s="640"/>
      <c r="L404" s="640"/>
      <c r="M404" s="640"/>
      <c r="N404" s="640"/>
      <c r="O404" s="640"/>
      <c r="P404" s="640"/>
      <c r="Q404" s="640"/>
      <c r="Y404" s="309"/>
      <c r="Z404" s="305"/>
      <c r="AE404" s="309"/>
      <c r="AF404" s="305"/>
      <c r="AH404" s="309"/>
      <c r="AI404" s="516"/>
      <c r="AO404" s="524"/>
      <c r="AU404" s="524"/>
      <c r="AX404" s="524"/>
    </row>
    <row r="405" spans="1:50" x14ac:dyDescent="0.2">
      <c r="A405" s="639"/>
      <c r="B405" s="640"/>
      <c r="C405" s="640"/>
      <c r="D405" s="640"/>
      <c r="E405" s="640"/>
      <c r="F405" s="640"/>
      <c r="G405" s="640"/>
      <c r="H405" s="640"/>
      <c r="I405" s="640"/>
      <c r="J405" s="640"/>
      <c r="K405" s="640"/>
      <c r="L405" s="640"/>
      <c r="M405" s="640"/>
      <c r="N405" s="640"/>
      <c r="O405" s="640"/>
      <c r="P405" s="640"/>
      <c r="Q405" s="640"/>
      <c r="R405" s="294"/>
      <c r="S405" s="296"/>
      <c r="T405" s="296"/>
      <c r="U405" s="296"/>
      <c r="V405" s="296"/>
      <c r="W405" s="296"/>
      <c r="X405" s="296"/>
      <c r="Y405" s="311"/>
      <c r="Z405" s="306"/>
      <c r="AA405" s="296"/>
      <c r="AB405" s="296"/>
      <c r="AC405" s="296"/>
      <c r="AD405" s="296"/>
      <c r="AE405" s="311"/>
      <c r="AF405" s="306"/>
      <c r="AG405" s="296"/>
      <c r="AH405" s="311"/>
      <c r="AI405" s="517"/>
      <c r="AJ405" s="518"/>
      <c r="AK405" s="518"/>
      <c r="AL405" s="518"/>
      <c r="AM405" s="518"/>
      <c r="AN405" s="518"/>
      <c r="AO405" s="525"/>
      <c r="AP405" s="527"/>
      <c r="AQ405" s="518"/>
      <c r="AR405" s="518"/>
      <c r="AS405" s="527"/>
      <c r="AT405" s="518"/>
      <c r="AU405" s="525"/>
      <c r="AV405" s="518"/>
      <c r="AW405" s="518"/>
      <c r="AX405" s="525"/>
    </row>
    <row r="406" spans="1:50" x14ac:dyDescent="0.2">
      <c r="A406" s="639"/>
      <c r="B406" s="640"/>
      <c r="C406" s="640"/>
      <c r="D406" s="640"/>
      <c r="E406" s="640"/>
      <c r="F406" s="640"/>
      <c r="G406" s="640"/>
      <c r="H406" s="640"/>
      <c r="I406" s="640"/>
      <c r="J406" s="640"/>
      <c r="K406" s="640"/>
      <c r="L406" s="640"/>
      <c r="M406" s="640"/>
      <c r="N406" s="640"/>
      <c r="O406" s="640"/>
      <c r="P406" s="640"/>
      <c r="Q406" s="640"/>
      <c r="Y406" s="309"/>
      <c r="Z406" s="305"/>
      <c r="AE406" s="309"/>
      <c r="AF406" s="305"/>
      <c r="AH406" s="309"/>
      <c r="AI406" s="516"/>
      <c r="AO406" s="524"/>
      <c r="AU406" s="524"/>
      <c r="AX406" s="524"/>
    </row>
    <row r="407" spans="1:50" x14ac:dyDescent="0.2">
      <c r="A407" s="639"/>
      <c r="B407" s="640"/>
      <c r="C407" s="640"/>
      <c r="D407" s="640"/>
      <c r="E407" s="640"/>
      <c r="F407" s="640"/>
      <c r="G407" s="640"/>
      <c r="H407" s="640"/>
      <c r="I407" s="640"/>
      <c r="J407" s="640"/>
      <c r="K407" s="640"/>
      <c r="L407" s="640"/>
      <c r="M407" s="640"/>
      <c r="N407" s="640"/>
      <c r="O407" s="640"/>
      <c r="P407" s="640"/>
      <c r="Q407" s="640"/>
      <c r="R407" s="294"/>
      <c r="S407" s="296"/>
      <c r="T407" s="296"/>
      <c r="U407" s="296"/>
      <c r="V407" s="296"/>
      <c r="W407" s="296"/>
      <c r="X407" s="296"/>
      <c r="Y407" s="311"/>
      <c r="Z407" s="306"/>
      <c r="AA407" s="296"/>
      <c r="AB407" s="296"/>
      <c r="AC407" s="296"/>
      <c r="AD407" s="296"/>
      <c r="AE407" s="311"/>
      <c r="AF407" s="306"/>
      <c r="AG407" s="296"/>
      <c r="AH407" s="311"/>
      <c r="AI407" s="516"/>
      <c r="AO407" s="524"/>
      <c r="AU407" s="524"/>
      <c r="AX407" s="524"/>
    </row>
    <row r="408" spans="1:50" x14ac:dyDescent="0.2">
      <c r="A408" s="639"/>
      <c r="B408" s="640"/>
      <c r="C408" s="640"/>
      <c r="D408" s="640"/>
      <c r="E408" s="640"/>
      <c r="F408" s="640"/>
      <c r="G408" s="640"/>
      <c r="H408" s="640"/>
      <c r="I408" s="640"/>
      <c r="J408" s="640"/>
      <c r="K408" s="640"/>
      <c r="L408" s="640"/>
      <c r="M408" s="640"/>
      <c r="N408" s="640"/>
      <c r="O408" s="640"/>
      <c r="P408" s="640"/>
      <c r="Q408" s="640"/>
      <c r="Y408" s="309"/>
      <c r="Z408" s="305"/>
      <c r="AE408" s="309"/>
      <c r="AF408" s="305"/>
      <c r="AH408" s="309"/>
      <c r="AI408" s="516"/>
      <c r="AO408" s="524"/>
      <c r="AU408" s="524"/>
      <c r="AX408" s="524"/>
    </row>
    <row r="409" spans="1:50" ht="13.5" thickBot="1" x14ac:dyDescent="0.25">
      <c r="A409" s="651"/>
      <c r="B409" s="652"/>
      <c r="C409" s="652"/>
      <c r="D409" s="652"/>
      <c r="E409" s="652"/>
      <c r="F409" s="652"/>
      <c r="G409" s="652"/>
      <c r="H409" s="652"/>
      <c r="I409" s="652"/>
      <c r="J409" s="652"/>
      <c r="K409" s="652"/>
      <c r="L409" s="652"/>
      <c r="M409" s="652"/>
      <c r="N409" s="652"/>
      <c r="O409" s="652"/>
      <c r="P409" s="652"/>
      <c r="Q409" s="652"/>
      <c r="S409" s="302"/>
      <c r="T409" s="302"/>
      <c r="U409" s="302"/>
      <c r="V409" s="302"/>
      <c r="W409" s="302"/>
      <c r="X409" s="302"/>
      <c r="Y409" s="312"/>
      <c r="Z409" s="307"/>
      <c r="AA409" s="302"/>
      <c r="AB409" s="302"/>
      <c r="AC409" s="302"/>
      <c r="AD409" s="302"/>
      <c r="AE409" s="312"/>
      <c r="AF409" s="307"/>
      <c r="AG409" s="302"/>
      <c r="AH409" s="312"/>
      <c r="AI409" s="519"/>
      <c r="AJ409" s="520"/>
      <c r="AK409" s="520"/>
      <c r="AL409" s="520"/>
      <c r="AM409" s="520"/>
      <c r="AN409" s="520"/>
      <c r="AO409" s="526"/>
      <c r="AP409" s="520"/>
      <c r="AQ409" s="520"/>
      <c r="AR409" s="520"/>
      <c r="AS409" s="520"/>
      <c r="AT409" s="520"/>
      <c r="AU409" s="526"/>
      <c r="AV409" s="520"/>
      <c r="AW409" s="520"/>
      <c r="AX409" s="526"/>
    </row>
    <row r="410" spans="1:50" x14ac:dyDescent="0.2">
      <c r="A410" s="638"/>
      <c r="B410" s="640"/>
      <c r="C410" s="640"/>
      <c r="D410" s="640"/>
      <c r="E410" s="640"/>
      <c r="F410" s="640"/>
      <c r="G410" s="640"/>
      <c r="H410" s="640"/>
      <c r="I410" s="640"/>
      <c r="J410" s="640"/>
      <c r="K410" s="640"/>
      <c r="L410" s="640"/>
      <c r="M410" s="640"/>
      <c r="N410" s="640"/>
      <c r="O410" s="640"/>
      <c r="P410" s="640"/>
      <c r="Q410" s="640"/>
      <c r="Y410" s="309"/>
      <c r="Z410" s="305"/>
      <c r="AE410" s="309"/>
      <c r="AF410" s="305"/>
      <c r="AH410" s="309"/>
      <c r="AI410" s="516"/>
      <c r="AO410" s="524"/>
      <c r="AU410" s="524"/>
      <c r="AX410" s="524"/>
    </row>
    <row r="411" spans="1:50" x14ac:dyDescent="0.2">
      <c r="A411" s="639"/>
      <c r="B411" s="640"/>
      <c r="C411" s="640"/>
      <c r="D411" s="640"/>
      <c r="E411" s="640"/>
      <c r="F411" s="640"/>
      <c r="G411" s="640"/>
      <c r="H411" s="640"/>
      <c r="I411" s="640"/>
      <c r="J411" s="640"/>
      <c r="K411" s="640"/>
      <c r="L411" s="640"/>
      <c r="M411" s="640"/>
      <c r="N411" s="640"/>
      <c r="O411" s="640"/>
      <c r="P411" s="640"/>
      <c r="Q411" s="640"/>
      <c r="S411" s="295"/>
      <c r="T411" s="295"/>
      <c r="U411" s="295"/>
      <c r="V411" s="295"/>
      <c r="W411" s="295"/>
      <c r="X411" s="295"/>
      <c r="Y411" s="310"/>
      <c r="Z411" s="305"/>
      <c r="AA411" s="295"/>
      <c r="AB411" s="295"/>
      <c r="AC411" s="295"/>
      <c r="AD411" s="295"/>
      <c r="AE411" s="310"/>
      <c r="AF411" s="305"/>
      <c r="AG411" s="295"/>
      <c r="AH411" s="310"/>
      <c r="AI411" s="516"/>
      <c r="AO411" s="524"/>
      <c r="AU411" s="524"/>
      <c r="AX411" s="524"/>
    </row>
    <row r="412" spans="1:50" x14ac:dyDescent="0.2">
      <c r="A412" s="639"/>
      <c r="B412" s="640"/>
      <c r="C412" s="640"/>
      <c r="D412" s="640"/>
      <c r="E412" s="640"/>
      <c r="F412" s="640"/>
      <c r="G412" s="640"/>
      <c r="H412" s="640"/>
      <c r="I412" s="640"/>
      <c r="J412" s="640"/>
      <c r="K412" s="640"/>
      <c r="L412" s="640"/>
      <c r="M412" s="640"/>
      <c r="N412" s="640"/>
      <c r="O412" s="640"/>
      <c r="P412" s="640"/>
      <c r="Q412" s="640"/>
      <c r="S412" s="296"/>
      <c r="T412" s="296"/>
      <c r="U412" s="296"/>
      <c r="V412" s="296"/>
      <c r="W412" s="296"/>
      <c r="X412" s="296"/>
      <c r="Y412" s="311"/>
      <c r="Z412" s="306"/>
      <c r="AA412" s="296"/>
      <c r="AB412" s="296"/>
      <c r="AC412" s="296"/>
      <c r="AD412" s="296"/>
      <c r="AE412" s="311"/>
      <c r="AF412" s="306"/>
      <c r="AG412" s="296"/>
      <c r="AH412" s="311"/>
      <c r="AI412" s="516"/>
      <c r="AO412" s="524"/>
      <c r="AU412" s="524"/>
      <c r="AX412" s="524"/>
    </row>
    <row r="413" spans="1:50" x14ac:dyDescent="0.2">
      <c r="A413" s="639"/>
      <c r="B413" s="640"/>
      <c r="C413" s="640"/>
      <c r="D413" s="640"/>
      <c r="E413" s="640"/>
      <c r="F413" s="640"/>
      <c r="G413" s="640"/>
      <c r="H413" s="640"/>
      <c r="I413" s="640"/>
      <c r="J413" s="640"/>
      <c r="K413" s="640"/>
      <c r="L413" s="640"/>
      <c r="M413" s="640"/>
      <c r="N413" s="640"/>
      <c r="O413" s="640"/>
      <c r="P413" s="640"/>
      <c r="Q413" s="640"/>
      <c r="Y413" s="309"/>
      <c r="Z413" s="305"/>
      <c r="AE413" s="309"/>
      <c r="AF413" s="305"/>
      <c r="AH413" s="309"/>
      <c r="AI413" s="516"/>
      <c r="AO413" s="524"/>
      <c r="AU413" s="524"/>
      <c r="AX413" s="524"/>
    </row>
    <row r="414" spans="1:50" x14ac:dyDescent="0.2">
      <c r="A414" s="639"/>
      <c r="B414" s="640"/>
      <c r="C414" s="640"/>
      <c r="D414" s="640"/>
      <c r="E414" s="640"/>
      <c r="F414" s="640"/>
      <c r="G414" s="640"/>
      <c r="H414" s="640"/>
      <c r="I414" s="640"/>
      <c r="J414" s="640"/>
      <c r="K414" s="640"/>
      <c r="L414" s="640"/>
      <c r="M414" s="640"/>
      <c r="N414" s="640"/>
      <c r="O414" s="640"/>
      <c r="P414" s="640"/>
      <c r="Q414" s="640"/>
      <c r="R414" s="294"/>
      <c r="S414" s="296"/>
      <c r="T414" s="296"/>
      <c r="U414" s="296"/>
      <c r="V414" s="296"/>
      <c r="W414" s="296"/>
      <c r="X414" s="296"/>
      <c r="Y414" s="311"/>
      <c r="Z414" s="306"/>
      <c r="AA414" s="296"/>
      <c r="AB414" s="296"/>
      <c r="AC414" s="296"/>
      <c r="AD414" s="296"/>
      <c r="AE414" s="311"/>
      <c r="AF414" s="306"/>
      <c r="AG414" s="296"/>
      <c r="AH414" s="311"/>
      <c r="AI414" s="517"/>
      <c r="AJ414" s="518"/>
      <c r="AK414" s="518"/>
      <c r="AL414" s="518"/>
      <c r="AM414" s="518"/>
      <c r="AN414" s="518"/>
      <c r="AO414" s="525"/>
      <c r="AP414" s="518"/>
      <c r="AQ414" s="518"/>
      <c r="AR414" s="518"/>
      <c r="AS414" s="518"/>
      <c r="AT414" s="518"/>
      <c r="AU414" s="525"/>
      <c r="AV414" s="518"/>
      <c r="AW414" s="518"/>
      <c r="AX414" s="525"/>
    </row>
    <row r="415" spans="1:50" x14ac:dyDescent="0.2">
      <c r="A415" s="639"/>
      <c r="B415" s="640"/>
      <c r="C415" s="640"/>
      <c r="D415" s="640"/>
      <c r="E415" s="640"/>
      <c r="F415" s="640"/>
      <c r="G415" s="640"/>
      <c r="H415" s="640"/>
      <c r="I415" s="640"/>
      <c r="J415" s="640"/>
      <c r="K415" s="640"/>
      <c r="L415" s="640"/>
      <c r="M415" s="640"/>
      <c r="N415" s="640"/>
      <c r="O415" s="640"/>
      <c r="P415" s="640"/>
      <c r="Q415" s="640"/>
      <c r="Y415" s="309"/>
      <c r="Z415" s="305"/>
      <c r="AE415" s="309"/>
      <c r="AF415" s="305"/>
      <c r="AH415" s="309"/>
      <c r="AI415" s="516"/>
      <c r="AO415" s="524"/>
      <c r="AU415" s="524"/>
      <c r="AX415" s="524"/>
    </row>
    <row r="416" spans="1:50" x14ac:dyDescent="0.2">
      <c r="A416" s="649"/>
      <c r="B416" s="650"/>
      <c r="C416" s="650"/>
      <c r="D416" s="650"/>
      <c r="E416" s="650"/>
      <c r="F416" s="650"/>
      <c r="G416" s="650"/>
      <c r="H416" s="650"/>
      <c r="I416" s="650"/>
      <c r="J416" s="650"/>
      <c r="K416" s="650"/>
      <c r="L416" s="650"/>
      <c r="M416" s="650"/>
      <c r="N416" s="650"/>
      <c r="O416" s="650"/>
      <c r="P416" s="650"/>
      <c r="Q416" s="650"/>
      <c r="S416" s="296"/>
      <c r="T416" s="296"/>
      <c r="U416" s="296"/>
      <c r="V416" s="296"/>
      <c r="W416" s="296"/>
      <c r="X416" s="296"/>
      <c r="Y416" s="311"/>
      <c r="Z416" s="306"/>
      <c r="AA416" s="296"/>
      <c r="AB416" s="296"/>
      <c r="AC416" s="296"/>
      <c r="AD416" s="296"/>
      <c r="AE416" s="311"/>
      <c r="AF416" s="306"/>
      <c r="AG416" s="296"/>
      <c r="AH416" s="311"/>
      <c r="AI416" s="516"/>
      <c r="AO416" s="524"/>
      <c r="AU416" s="524"/>
      <c r="AX416" s="524"/>
    </row>
    <row r="417" spans="1:50" x14ac:dyDescent="0.2">
      <c r="A417" s="639"/>
      <c r="B417" s="640"/>
      <c r="C417" s="640"/>
      <c r="D417" s="640"/>
      <c r="E417" s="640"/>
      <c r="F417" s="640"/>
      <c r="G417" s="640"/>
      <c r="H417" s="640"/>
      <c r="I417" s="640"/>
      <c r="J417" s="640"/>
      <c r="K417" s="640"/>
      <c r="L417" s="640"/>
      <c r="M417" s="640"/>
      <c r="N417" s="640"/>
      <c r="O417" s="640"/>
      <c r="P417" s="640"/>
      <c r="Q417" s="640"/>
      <c r="Y417" s="309"/>
      <c r="Z417" s="305"/>
      <c r="AE417" s="309"/>
      <c r="AF417" s="305"/>
      <c r="AH417" s="309"/>
      <c r="AI417" s="516"/>
      <c r="AO417" s="524"/>
      <c r="AU417" s="524"/>
      <c r="AX417" s="524"/>
    </row>
    <row r="418" spans="1:50" x14ac:dyDescent="0.2">
      <c r="A418" s="639"/>
      <c r="B418" s="640"/>
      <c r="C418" s="640"/>
      <c r="D418" s="640"/>
      <c r="E418" s="640"/>
      <c r="F418" s="640"/>
      <c r="G418" s="640"/>
      <c r="H418" s="640"/>
      <c r="I418" s="640"/>
      <c r="J418" s="640"/>
      <c r="K418" s="640"/>
      <c r="L418" s="640"/>
      <c r="M418" s="640"/>
      <c r="N418" s="640"/>
      <c r="O418" s="640"/>
      <c r="P418" s="640"/>
      <c r="Q418" s="640"/>
      <c r="R418" s="294"/>
      <c r="S418" s="296"/>
      <c r="T418" s="296"/>
      <c r="U418" s="296"/>
      <c r="V418" s="296"/>
      <c r="W418" s="296"/>
      <c r="X418" s="296"/>
      <c r="Y418" s="311"/>
      <c r="Z418" s="306"/>
      <c r="AA418" s="296"/>
      <c r="AB418" s="296"/>
      <c r="AC418" s="296"/>
      <c r="AD418" s="296"/>
      <c r="AE418" s="311"/>
      <c r="AF418" s="306"/>
      <c r="AG418" s="296"/>
      <c r="AH418" s="311"/>
      <c r="AI418" s="517"/>
      <c r="AJ418" s="518"/>
      <c r="AK418" s="518"/>
      <c r="AL418" s="518"/>
      <c r="AM418" s="518"/>
      <c r="AN418" s="518"/>
      <c r="AO418" s="525"/>
      <c r="AP418" s="518"/>
      <c r="AQ418" s="518"/>
      <c r="AR418" s="518"/>
      <c r="AS418" s="527"/>
      <c r="AT418" s="518"/>
      <c r="AU418" s="525"/>
      <c r="AV418" s="518"/>
      <c r="AW418" s="518"/>
      <c r="AX418" s="525"/>
    </row>
    <row r="419" spans="1:50" x14ac:dyDescent="0.2">
      <c r="A419" s="639"/>
      <c r="B419" s="640"/>
      <c r="C419" s="640"/>
      <c r="D419" s="640"/>
      <c r="E419" s="640"/>
      <c r="F419" s="640"/>
      <c r="G419" s="640"/>
      <c r="H419" s="640"/>
      <c r="I419" s="640"/>
      <c r="J419" s="640"/>
      <c r="K419" s="640"/>
      <c r="L419" s="640"/>
      <c r="M419" s="640"/>
      <c r="N419" s="640"/>
      <c r="O419" s="640"/>
      <c r="P419" s="640"/>
      <c r="Q419" s="640"/>
      <c r="Y419" s="309"/>
      <c r="Z419" s="305"/>
      <c r="AE419" s="309"/>
      <c r="AF419" s="305"/>
      <c r="AH419" s="309"/>
      <c r="AI419" s="516"/>
      <c r="AO419" s="524"/>
      <c r="AU419" s="524"/>
      <c r="AX419" s="524"/>
    </row>
    <row r="420" spans="1:50" x14ac:dyDescent="0.2">
      <c r="A420" s="639"/>
      <c r="B420" s="640"/>
      <c r="C420" s="640"/>
      <c r="D420" s="640"/>
      <c r="E420" s="640"/>
      <c r="F420" s="640"/>
      <c r="G420" s="640"/>
      <c r="H420" s="640"/>
      <c r="I420" s="640"/>
      <c r="J420" s="640"/>
      <c r="K420" s="640"/>
      <c r="L420" s="640"/>
      <c r="M420" s="640"/>
      <c r="N420" s="640"/>
      <c r="O420" s="640"/>
      <c r="P420" s="640"/>
      <c r="Q420" s="640"/>
      <c r="R420" s="294"/>
      <c r="S420" s="296"/>
      <c r="T420" s="296"/>
      <c r="U420" s="296"/>
      <c r="V420" s="296"/>
      <c r="W420" s="296"/>
      <c r="X420" s="296"/>
      <c r="Y420" s="311"/>
      <c r="Z420" s="306"/>
      <c r="AA420" s="296"/>
      <c r="AB420" s="296"/>
      <c r="AC420" s="296"/>
      <c r="AD420" s="296"/>
      <c r="AE420" s="311"/>
      <c r="AF420" s="306"/>
      <c r="AG420" s="296"/>
      <c r="AH420" s="311"/>
      <c r="AI420" s="516"/>
      <c r="AO420" s="524"/>
      <c r="AU420" s="524"/>
      <c r="AX420" s="524"/>
    </row>
    <row r="421" spans="1:50" x14ac:dyDescent="0.2">
      <c r="A421" s="639"/>
      <c r="B421" s="640"/>
      <c r="C421" s="640"/>
      <c r="D421" s="640"/>
      <c r="E421" s="640"/>
      <c r="F421" s="640"/>
      <c r="G421" s="640"/>
      <c r="H421" s="640"/>
      <c r="I421" s="640"/>
      <c r="J421" s="640"/>
      <c r="K421" s="640"/>
      <c r="L421" s="640"/>
      <c r="M421" s="640"/>
      <c r="N421" s="640"/>
      <c r="O421" s="640"/>
      <c r="P421" s="640"/>
      <c r="Q421" s="640"/>
      <c r="Y421" s="309"/>
      <c r="Z421" s="305"/>
      <c r="AE421" s="309"/>
      <c r="AF421" s="305"/>
      <c r="AH421" s="309"/>
      <c r="AI421" s="516"/>
      <c r="AO421" s="524"/>
      <c r="AU421" s="524"/>
      <c r="AX421" s="524"/>
    </row>
    <row r="422" spans="1:50" x14ac:dyDescent="0.2">
      <c r="A422" s="639"/>
      <c r="B422" s="640"/>
      <c r="C422" s="640"/>
      <c r="D422" s="640"/>
      <c r="E422" s="640"/>
      <c r="F422" s="640"/>
      <c r="G422" s="640"/>
      <c r="H422" s="640"/>
      <c r="I422" s="640"/>
      <c r="J422" s="640"/>
      <c r="K422" s="640"/>
      <c r="L422" s="640"/>
      <c r="M422" s="640"/>
      <c r="N422" s="640"/>
      <c r="O422" s="640"/>
      <c r="P422" s="640"/>
      <c r="Q422" s="640"/>
      <c r="R422" s="294"/>
      <c r="S422" s="296"/>
      <c r="T422" s="296"/>
      <c r="U422" s="296"/>
      <c r="V422" s="296"/>
      <c r="W422" s="296"/>
      <c r="X422" s="296"/>
      <c r="Y422" s="311"/>
      <c r="Z422" s="306"/>
      <c r="AA422" s="296"/>
      <c r="AB422" s="296"/>
      <c r="AC422" s="296"/>
      <c r="AD422" s="296"/>
      <c r="AE422" s="311"/>
      <c r="AF422" s="306"/>
      <c r="AG422" s="296"/>
      <c r="AH422" s="311"/>
      <c r="AI422" s="517"/>
      <c r="AJ422" s="518"/>
      <c r="AK422" s="527"/>
      <c r="AL422" s="518"/>
      <c r="AM422" s="518"/>
      <c r="AN422" s="518"/>
      <c r="AO422" s="525"/>
      <c r="AP422" s="518"/>
      <c r="AQ422" s="518"/>
      <c r="AR422" s="518"/>
      <c r="AS422" s="518"/>
      <c r="AT422" s="518"/>
      <c r="AU422" s="525"/>
      <c r="AV422" s="518"/>
      <c r="AW422" s="518"/>
      <c r="AX422" s="525"/>
    </row>
    <row r="423" spans="1:50" x14ac:dyDescent="0.2">
      <c r="A423" s="639"/>
      <c r="B423" s="640"/>
      <c r="C423" s="640"/>
      <c r="D423" s="640"/>
      <c r="E423" s="640"/>
      <c r="F423" s="640"/>
      <c r="G423" s="640"/>
      <c r="H423" s="640"/>
      <c r="I423" s="640"/>
      <c r="J423" s="640"/>
      <c r="K423" s="640"/>
      <c r="L423" s="640"/>
      <c r="M423" s="640"/>
      <c r="N423" s="640"/>
      <c r="O423" s="640"/>
      <c r="P423" s="640"/>
      <c r="Q423" s="640"/>
      <c r="Y423" s="309"/>
      <c r="Z423" s="305"/>
      <c r="AE423" s="309"/>
      <c r="AF423" s="305"/>
      <c r="AH423" s="309"/>
      <c r="AI423" s="516"/>
      <c r="AO423" s="524"/>
      <c r="AU423" s="524"/>
      <c r="AX423" s="524"/>
    </row>
    <row r="424" spans="1:50" x14ac:dyDescent="0.2">
      <c r="A424" s="639"/>
      <c r="B424" s="640"/>
      <c r="C424" s="640"/>
      <c r="D424" s="640"/>
      <c r="E424" s="640"/>
      <c r="F424" s="640"/>
      <c r="G424" s="640"/>
      <c r="H424" s="640"/>
      <c r="I424" s="640"/>
      <c r="J424" s="640"/>
      <c r="K424" s="640"/>
      <c r="L424" s="640"/>
      <c r="M424" s="640"/>
      <c r="N424" s="640"/>
      <c r="O424" s="640"/>
      <c r="P424" s="640"/>
      <c r="Q424" s="640"/>
      <c r="R424" s="294"/>
      <c r="S424" s="296"/>
      <c r="T424" s="296"/>
      <c r="U424" s="296"/>
      <c r="V424" s="296"/>
      <c r="W424" s="296"/>
      <c r="X424" s="296"/>
      <c r="Y424" s="311"/>
      <c r="Z424" s="306"/>
      <c r="AA424" s="296"/>
      <c r="AB424" s="296"/>
      <c r="AC424" s="296"/>
      <c r="AD424" s="296"/>
      <c r="AE424" s="311"/>
      <c r="AF424" s="306"/>
      <c r="AG424" s="296"/>
      <c r="AH424" s="311"/>
      <c r="AI424" s="516"/>
      <c r="AO424" s="524"/>
      <c r="AU424" s="524"/>
      <c r="AX424" s="524"/>
    </row>
    <row r="425" spans="1:50" x14ac:dyDescent="0.2">
      <c r="A425" s="639"/>
      <c r="B425" s="640"/>
      <c r="C425" s="640"/>
      <c r="D425" s="640"/>
      <c r="E425" s="640"/>
      <c r="F425" s="640"/>
      <c r="G425" s="640"/>
      <c r="H425" s="640"/>
      <c r="I425" s="640"/>
      <c r="J425" s="640"/>
      <c r="K425" s="640"/>
      <c r="L425" s="640"/>
      <c r="M425" s="640"/>
      <c r="N425" s="640"/>
      <c r="O425" s="640"/>
      <c r="P425" s="640"/>
      <c r="Q425" s="640"/>
      <c r="Y425" s="309"/>
      <c r="Z425" s="305"/>
      <c r="AE425" s="309"/>
      <c r="AF425" s="305"/>
      <c r="AH425" s="309"/>
      <c r="AI425" s="516"/>
      <c r="AO425" s="524"/>
      <c r="AU425" s="524"/>
      <c r="AX425" s="524"/>
    </row>
    <row r="426" spans="1:50" x14ac:dyDescent="0.2">
      <c r="A426" s="639"/>
      <c r="B426" s="640"/>
      <c r="C426" s="640"/>
      <c r="D426" s="640"/>
      <c r="E426" s="640"/>
      <c r="F426" s="640"/>
      <c r="G426" s="640"/>
      <c r="H426" s="640"/>
      <c r="I426" s="640"/>
      <c r="J426" s="640"/>
      <c r="K426" s="640"/>
      <c r="L426" s="640"/>
      <c r="M426" s="640"/>
      <c r="N426" s="640"/>
      <c r="O426" s="640"/>
      <c r="P426" s="640"/>
      <c r="Q426" s="640"/>
      <c r="R426" s="294"/>
      <c r="S426" s="296"/>
      <c r="T426" s="296"/>
      <c r="U426" s="296"/>
      <c r="V426" s="296"/>
      <c r="W426" s="296"/>
      <c r="X426" s="296"/>
      <c r="Y426" s="311"/>
      <c r="Z426" s="306"/>
      <c r="AA426" s="296"/>
      <c r="AB426" s="296"/>
      <c r="AC426" s="296"/>
      <c r="AD426" s="296"/>
      <c r="AE426" s="311"/>
      <c r="AF426" s="306"/>
      <c r="AG426" s="296"/>
      <c r="AH426" s="311"/>
      <c r="AI426" s="517"/>
      <c r="AJ426" s="518"/>
      <c r="AK426" s="518"/>
      <c r="AL426" s="518"/>
      <c r="AM426" s="518"/>
      <c r="AN426" s="518"/>
      <c r="AO426" s="525"/>
      <c r="AP426" s="518"/>
      <c r="AQ426" s="518"/>
      <c r="AR426" s="518"/>
      <c r="AS426" s="518"/>
      <c r="AT426" s="518"/>
      <c r="AU426" s="525"/>
      <c r="AV426" s="518"/>
      <c r="AW426" s="518"/>
      <c r="AX426" s="525"/>
    </row>
    <row r="427" spans="1:50" x14ac:dyDescent="0.2">
      <c r="A427" s="639"/>
      <c r="B427" s="640"/>
      <c r="C427" s="640"/>
      <c r="D427" s="640"/>
      <c r="E427" s="640"/>
      <c r="F427" s="640"/>
      <c r="G427" s="640"/>
      <c r="H427" s="640"/>
      <c r="I427" s="640"/>
      <c r="J427" s="640"/>
      <c r="K427" s="640"/>
      <c r="L427" s="640"/>
      <c r="M427" s="640"/>
      <c r="N427" s="640"/>
      <c r="O427" s="640"/>
      <c r="P427" s="640"/>
      <c r="Q427" s="640"/>
      <c r="Y427" s="309"/>
      <c r="Z427" s="305"/>
      <c r="AE427" s="309"/>
      <c r="AF427" s="305"/>
      <c r="AH427" s="309"/>
      <c r="AI427" s="516"/>
      <c r="AO427" s="524"/>
      <c r="AU427" s="524"/>
      <c r="AX427" s="524"/>
    </row>
    <row r="428" spans="1:50" x14ac:dyDescent="0.2">
      <c r="A428" s="639"/>
      <c r="B428" s="640"/>
      <c r="C428" s="640"/>
      <c r="D428" s="640"/>
      <c r="E428" s="640"/>
      <c r="F428" s="640"/>
      <c r="G428" s="640"/>
      <c r="H428" s="640"/>
      <c r="I428" s="640"/>
      <c r="J428" s="640"/>
      <c r="K428" s="640"/>
      <c r="L428" s="640"/>
      <c r="M428" s="640"/>
      <c r="N428" s="640"/>
      <c r="O428" s="640"/>
      <c r="P428" s="640"/>
      <c r="Q428" s="640"/>
      <c r="R428" s="294"/>
      <c r="S428" s="296"/>
      <c r="T428" s="296"/>
      <c r="U428" s="296"/>
      <c r="V428" s="296"/>
      <c r="W428" s="296"/>
      <c r="X428" s="296"/>
      <c r="Y428" s="311"/>
      <c r="Z428" s="306"/>
      <c r="AA428" s="296"/>
      <c r="AB428" s="296"/>
      <c r="AC428" s="296"/>
      <c r="AD428" s="296"/>
      <c r="AE428" s="311"/>
      <c r="AF428" s="306"/>
      <c r="AG428" s="296"/>
      <c r="AH428" s="311"/>
      <c r="AI428" s="516"/>
      <c r="AO428" s="524"/>
      <c r="AU428" s="524"/>
      <c r="AX428" s="524"/>
    </row>
    <row r="429" spans="1:50" x14ac:dyDescent="0.2">
      <c r="A429" s="639"/>
      <c r="B429" s="640"/>
      <c r="C429" s="640"/>
      <c r="D429" s="640"/>
      <c r="E429" s="640"/>
      <c r="F429" s="640"/>
      <c r="G429" s="640"/>
      <c r="H429" s="640"/>
      <c r="I429" s="640"/>
      <c r="J429" s="640"/>
      <c r="K429" s="640"/>
      <c r="L429" s="640"/>
      <c r="M429" s="640"/>
      <c r="N429" s="640"/>
      <c r="O429" s="640"/>
      <c r="P429" s="640"/>
      <c r="Q429" s="640"/>
      <c r="Y429" s="309"/>
      <c r="Z429" s="305"/>
      <c r="AE429" s="309"/>
      <c r="AF429" s="305"/>
      <c r="AH429" s="309"/>
      <c r="AI429" s="516"/>
      <c r="AO429" s="524"/>
      <c r="AU429" s="524"/>
      <c r="AX429" s="524"/>
    </row>
    <row r="430" spans="1:50" x14ac:dyDescent="0.2">
      <c r="A430" s="639"/>
      <c r="B430" s="640"/>
      <c r="C430" s="640"/>
      <c r="D430" s="640"/>
      <c r="E430" s="640"/>
      <c r="F430" s="640"/>
      <c r="G430" s="640"/>
      <c r="H430" s="640"/>
      <c r="I430" s="640"/>
      <c r="J430" s="640"/>
      <c r="K430" s="640"/>
      <c r="L430" s="640"/>
      <c r="M430" s="640"/>
      <c r="N430" s="640"/>
      <c r="O430" s="640"/>
      <c r="P430" s="640"/>
      <c r="Q430" s="640"/>
      <c r="R430" s="294"/>
      <c r="S430" s="296"/>
      <c r="T430" s="296"/>
      <c r="U430" s="296"/>
      <c r="V430" s="296"/>
      <c r="W430" s="296"/>
      <c r="X430" s="296"/>
      <c r="Y430" s="311"/>
      <c r="Z430" s="306"/>
      <c r="AA430" s="296"/>
      <c r="AB430" s="296"/>
      <c r="AC430" s="296"/>
      <c r="AD430" s="296"/>
      <c r="AE430" s="311"/>
      <c r="AF430" s="306"/>
      <c r="AG430" s="296"/>
      <c r="AH430" s="311"/>
      <c r="AI430" s="517"/>
      <c r="AJ430" s="518"/>
      <c r="AK430" s="518"/>
      <c r="AL430" s="518"/>
      <c r="AM430" s="518"/>
      <c r="AN430" s="518"/>
      <c r="AO430" s="525"/>
      <c r="AP430" s="518"/>
      <c r="AQ430" s="518"/>
      <c r="AR430" s="518"/>
      <c r="AS430" s="518"/>
      <c r="AT430" s="527"/>
      <c r="AU430" s="525"/>
      <c r="AV430" s="518"/>
      <c r="AW430" s="518"/>
      <c r="AX430" s="525"/>
    </row>
    <row r="431" spans="1:50" x14ac:dyDescent="0.2">
      <c r="A431" s="639"/>
      <c r="B431" s="640"/>
      <c r="C431" s="640"/>
      <c r="D431" s="640"/>
      <c r="E431" s="640"/>
      <c r="F431" s="640"/>
      <c r="G431" s="640"/>
      <c r="H431" s="640"/>
      <c r="I431" s="640"/>
      <c r="J431" s="640"/>
      <c r="K431" s="640"/>
      <c r="L431" s="640"/>
      <c r="M431" s="640"/>
      <c r="N431" s="640"/>
      <c r="O431" s="640"/>
      <c r="P431" s="640"/>
      <c r="Q431" s="640"/>
      <c r="Y431" s="309"/>
      <c r="Z431" s="305"/>
      <c r="AE431" s="309"/>
      <c r="AF431" s="305"/>
      <c r="AH431" s="309"/>
      <c r="AI431" s="516"/>
      <c r="AO431" s="524"/>
      <c r="AU431" s="524"/>
      <c r="AX431" s="524"/>
    </row>
    <row r="432" spans="1:50" x14ac:dyDescent="0.2">
      <c r="A432" s="639"/>
      <c r="B432" s="640"/>
      <c r="C432" s="640"/>
      <c r="D432" s="640"/>
      <c r="E432" s="640"/>
      <c r="F432" s="640"/>
      <c r="G432" s="640"/>
      <c r="H432" s="640"/>
      <c r="I432" s="640"/>
      <c r="J432" s="640"/>
      <c r="K432" s="640"/>
      <c r="L432" s="640"/>
      <c r="M432" s="640"/>
      <c r="N432" s="640"/>
      <c r="O432" s="640"/>
      <c r="P432" s="640"/>
      <c r="Q432" s="640"/>
      <c r="R432" s="294"/>
      <c r="S432" s="296"/>
      <c r="T432" s="296"/>
      <c r="U432" s="296"/>
      <c r="V432" s="296"/>
      <c r="W432" s="296"/>
      <c r="X432" s="296"/>
      <c r="Y432" s="311"/>
      <c r="Z432" s="306"/>
      <c r="AA432" s="296"/>
      <c r="AB432" s="296"/>
      <c r="AC432" s="296"/>
      <c r="AD432" s="296"/>
      <c r="AE432" s="311"/>
      <c r="AF432" s="306"/>
      <c r="AG432" s="296"/>
      <c r="AH432" s="311"/>
      <c r="AI432" s="516"/>
      <c r="AO432" s="524"/>
      <c r="AU432" s="524"/>
      <c r="AX432" s="524"/>
    </row>
    <row r="433" spans="1:50" x14ac:dyDescent="0.2">
      <c r="A433" s="639"/>
      <c r="B433" s="640"/>
      <c r="C433" s="640"/>
      <c r="D433" s="640"/>
      <c r="E433" s="640"/>
      <c r="F433" s="640"/>
      <c r="G433" s="640"/>
      <c r="H433" s="640"/>
      <c r="I433" s="640"/>
      <c r="J433" s="640"/>
      <c r="K433" s="640"/>
      <c r="L433" s="640"/>
      <c r="M433" s="640"/>
      <c r="N433" s="640"/>
      <c r="O433" s="640"/>
      <c r="P433" s="640"/>
      <c r="Q433" s="640"/>
      <c r="Y433" s="309"/>
      <c r="Z433" s="305"/>
      <c r="AE433" s="309"/>
      <c r="AF433" s="305"/>
      <c r="AH433" s="309"/>
      <c r="AI433" s="516"/>
      <c r="AO433" s="524"/>
      <c r="AU433" s="524"/>
      <c r="AX433" s="524"/>
    </row>
    <row r="434" spans="1:50" x14ac:dyDescent="0.2">
      <c r="A434" s="639"/>
      <c r="B434" s="640"/>
      <c r="C434" s="640"/>
      <c r="D434" s="640"/>
      <c r="E434" s="640"/>
      <c r="F434" s="640"/>
      <c r="G434" s="640"/>
      <c r="H434" s="640"/>
      <c r="I434" s="640"/>
      <c r="J434" s="640"/>
      <c r="K434" s="640"/>
      <c r="L434" s="640"/>
      <c r="M434" s="640"/>
      <c r="N434" s="640"/>
      <c r="O434" s="640"/>
      <c r="P434" s="640"/>
      <c r="Q434" s="640"/>
      <c r="R434" s="294"/>
      <c r="S434" s="296"/>
      <c r="T434" s="296"/>
      <c r="U434" s="296"/>
      <c r="V434" s="296"/>
      <c r="W434" s="296"/>
      <c r="X434" s="296"/>
      <c r="Y434" s="311"/>
      <c r="Z434" s="306"/>
      <c r="AA434" s="296"/>
      <c r="AB434" s="296"/>
      <c r="AC434" s="296"/>
      <c r="AD434" s="296"/>
      <c r="AE434" s="311"/>
      <c r="AF434" s="306"/>
      <c r="AG434" s="296"/>
      <c r="AH434" s="311"/>
      <c r="AI434" s="517"/>
      <c r="AJ434" s="518"/>
      <c r="AK434" s="518"/>
      <c r="AL434" s="518"/>
      <c r="AM434" s="518"/>
      <c r="AN434" s="518"/>
      <c r="AO434" s="525"/>
      <c r="AP434" s="518"/>
      <c r="AQ434" s="518"/>
      <c r="AR434" s="518"/>
      <c r="AS434" s="518"/>
      <c r="AT434" s="518"/>
      <c r="AU434" s="525"/>
      <c r="AV434" s="518"/>
      <c r="AW434" s="518"/>
      <c r="AX434" s="525"/>
    </row>
    <row r="435" spans="1:50" x14ac:dyDescent="0.2">
      <c r="A435" s="639"/>
      <c r="B435" s="640"/>
      <c r="C435" s="640"/>
      <c r="D435" s="640"/>
      <c r="E435" s="640"/>
      <c r="F435" s="640"/>
      <c r="G435" s="640"/>
      <c r="H435" s="640"/>
      <c r="I435" s="640"/>
      <c r="J435" s="640"/>
      <c r="K435" s="640"/>
      <c r="L435" s="640"/>
      <c r="M435" s="640"/>
      <c r="N435" s="640"/>
      <c r="O435" s="640"/>
      <c r="P435" s="640"/>
      <c r="Q435" s="640"/>
      <c r="Y435" s="309"/>
      <c r="Z435" s="305"/>
      <c r="AE435" s="309"/>
      <c r="AF435" s="305"/>
      <c r="AH435" s="309"/>
      <c r="AI435" s="516"/>
      <c r="AO435" s="524"/>
      <c r="AU435" s="524"/>
      <c r="AX435" s="524"/>
    </row>
    <row r="436" spans="1:50" x14ac:dyDescent="0.2">
      <c r="A436" s="639"/>
      <c r="B436" s="640"/>
      <c r="C436" s="640"/>
      <c r="D436" s="640"/>
      <c r="E436" s="640"/>
      <c r="F436" s="640"/>
      <c r="G436" s="640"/>
      <c r="H436" s="640"/>
      <c r="I436" s="640"/>
      <c r="J436" s="640"/>
      <c r="K436" s="640"/>
      <c r="L436" s="640"/>
      <c r="M436" s="640"/>
      <c r="N436" s="640"/>
      <c r="O436" s="640"/>
      <c r="P436" s="640"/>
      <c r="Q436" s="640"/>
      <c r="R436" s="294"/>
      <c r="S436" s="296"/>
      <c r="T436" s="296"/>
      <c r="U436" s="296"/>
      <c r="V436" s="296"/>
      <c r="W436" s="296"/>
      <c r="X436" s="296"/>
      <c r="Y436" s="311"/>
      <c r="Z436" s="306"/>
      <c r="AA436" s="296"/>
      <c r="AB436" s="296"/>
      <c r="AC436" s="296"/>
      <c r="AD436" s="296"/>
      <c r="AE436" s="311"/>
      <c r="AF436" s="306"/>
      <c r="AG436" s="296"/>
      <c r="AH436" s="311"/>
      <c r="AI436" s="516"/>
      <c r="AO436" s="524"/>
      <c r="AU436" s="524"/>
      <c r="AX436" s="524"/>
    </row>
    <row r="437" spans="1:50" x14ac:dyDescent="0.2">
      <c r="A437" s="639"/>
      <c r="B437" s="640"/>
      <c r="C437" s="640"/>
      <c r="D437" s="640"/>
      <c r="E437" s="640"/>
      <c r="F437" s="640"/>
      <c r="G437" s="640"/>
      <c r="H437" s="640"/>
      <c r="I437" s="640"/>
      <c r="J437" s="640"/>
      <c r="K437" s="640"/>
      <c r="L437" s="640"/>
      <c r="M437" s="640"/>
      <c r="N437" s="640"/>
      <c r="O437" s="640"/>
      <c r="P437" s="640"/>
      <c r="Q437" s="640"/>
      <c r="Y437" s="309"/>
      <c r="Z437" s="305"/>
      <c r="AE437" s="309"/>
      <c r="AF437" s="305"/>
      <c r="AH437" s="309"/>
      <c r="AI437" s="516"/>
      <c r="AO437" s="524"/>
      <c r="AU437" s="524"/>
      <c r="AX437" s="524"/>
    </row>
    <row r="438" spans="1:50" ht="13.5" thickBot="1" x14ac:dyDescent="0.25">
      <c r="A438" s="651"/>
      <c r="B438" s="652"/>
      <c r="C438" s="652"/>
      <c r="D438" s="652"/>
      <c r="E438" s="652"/>
      <c r="F438" s="652"/>
      <c r="G438" s="652"/>
      <c r="H438" s="652"/>
      <c r="I438" s="652"/>
      <c r="J438" s="652"/>
      <c r="K438" s="652"/>
      <c r="L438" s="652"/>
      <c r="M438" s="652"/>
      <c r="N438" s="652"/>
      <c r="O438" s="652"/>
      <c r="P438" s="652"/>
      <c r="Q438" s="652"/>
      <c r="S438" s="302"/>
      <c r="T438" s="302"/>
      <c r="U438" s="302"/>
      <c r="V438" s="302"/>
      <c r="W438" s="302"/>
      <c r="X438" s="302"/>
      <c r="Y438" s="312"/>
      <c r="Z438" s="307"/>
      <c r="AA438" s="302"/>
      <c r="AB438" s="302"/>
      <c r="AC438" s="302"/>
      <c r="AD438" s="302"/>
      <c r="AE438" s="312"/>
      <c r="AF438" s="307"/>
      <c r="AG438" s="302"/>
      <c r="AH438" s="312"/>
      <c r="AI438" s="519"/>
      <c r="AJ438" s="520"/>
      <c r="AK438" s="520"/>
      <c r="AL438" s="520"/>
      <c r="AM438" s="520"/>
      <c r="AN438" s="520"/>
      <c r="AO438" s="526"/>
      <c r="AP438" s="520"/>
      <c r="AQ438" s="520"/>
      <c r="AR438" s="520"/>
      <c r="AS438" s="520"/>
      <c r="AT438" s="520"/>
      <c r="AU438" s="526"/>
      <c r="AV438" s="520"/>
      <c r="AW438" s="520"/>
      <c r="AX438" s="526"/>
    </row>
    <row r="439" spans="1:50" x14ac:dyDescent="0.2">
      <c r="A439" s="638"/>
      <c r="B439" s="640"/>
      <c r="C439" s="640"/>
      <c r="D439" s="640"/>
      <c r="E439" s="640"/>
      <c r="F439" s="640"/>
      <c r="G439" s="640"/>
      <c r="H439" s="640"/>
      <c r="I439" s="640"/>
      <c r="J439" s="640"/>
      <c r="K439" s="640"/>
      <c r="L439" s="640"/>
      <c r="M439" s="640"/>
      <c r="N439" s="640"/>
      <c r="O439" s="640"/>
      <c r="P439" s="640"/>
      <c r="Q439" s="640"/>
      <c r="Y439" s="309"/>
      <c r="Z439" s="305"/>
      <c r="AE439" s="309"/>
      <c r="AF439" s="305"/>
      <c r="AH439" s="309"/>
      <c r="AI439" s="516"/>
      <c r="AO439" s="524"/>
      <c r="AU439" s="524"/>
      <c r="AX439" s="524"/>
    </row>
    <row r="440" spans="1:50" x14ac:dyDescent="0.2">
      <c r="A440" s="639"/>
      <c r="B440" s="640"/>
      <c r="C440" s="640"/>
      <c r="D440" s="640"/>
      <c r="E440" s="640"/>
      <c r="F440" s="640"/>
      <c r="G440" s="640"/>
      <c r="H440" s="640"/>
      <c r="I440" s="640"/>
      <c r="J440" s="640"/>
      <c r="K440" s="640"/>
      <c r="L440" s="640"/>
      <c r="M440" s="640"/>
      <c r="N440" s="640"/>
      <c r="O440" s="640"/>
      <c r="P440" s="640"/>
      <c r="Q440" s="640"/>
      <c r="S440" s="295"/>
      <c r="T440" s="295"/>
      <c r="U440" s="295"/>
      <c r="V440" s="295"/>
      <c r="W440" s="295"/>
      <c r="X440" s="295"/>
      <c r="Y440" s="310"/>
      <c r="Z440" s="305"/>
      <c r="AA440" s="295"/>
      <c r="AB440" s="295"/>
      <c r="AC440" s="295"/>
      <c r="AD440" s="295"/>
      <c r="AE440" s="310"/>
      <c r="AF440" s="305"/>
      <c r="AG440" s="295"/>
      <c r="AH440" s="310"/>
      <c r="AI440" s="516"/>
      <c r="AO440" s="524"/>
      <c r="AU440" s="524"/>
      <c r="AX440" s="524"/>
    </row>
    <row r="441" spans="1:50" x14ac:dyDescent="0.2">
      <c r="A441" s="639"/>
      <c r="B441" s="640"/>
      <c r="C441" s="640"/>
      <c r="D441" s="640"/>
      <c r="E441" s="640"/>
      <c r="F441" s="640"/>
      <c r="G441" s="640"/>
      <c r="H441" s="640"/>
      <c r="I441" s="640"/>
      <c r="J441" s="640"/>
      <c r="K441" s="640"/>
      <c r="L441" s="640"/>
      <c r="M441" s="640"/>
      <c r="N441" s="640"/>
      <c r="O441" s="640"/>
      <c r="P441" s="640"/>
      <c r="Q441" s="640"/>
      <c r="S441" s="296"/>
      <c r="T441" s="296"/>
      <c r="U441" s="296"/>
      <c r="V441" s="296"/>
      <c r="W441" s="296"/>
      <c r="X441" s="296"/>
      <c r="Y441" s="311"/>
      <c r="Z441" s="306"/>
      <c r="AA441" s="296"/>
      <c r="AB441" s="296"/>
      <c r="AC441" s="296"/>
      <c r="AD441" s="296"/>
      <c r="AE441" s="311"/>
      <c r="AF441" s="306"/>
      <c r="AG441" s="296"/>
      <c r="AH441" s="311"/>
      <c r="AI441" s="516"/>
      <c r="AO441" s="524"/>
      <c r="AU441" s="524"/>
      <c r="AX441" s="524"/>
    </row>
    <row r="442" spans="1:50" x14ac:dyDescent="0.2">
      <c r="A442" s="639"/>
      <c r="B442" s="640"/>
      <c r="C442" s="640"/>
      <c r="D442" s="640"/>
      <c r="E442" s="640"/>
      <c r="F442" s="640"/>
      <c r="G442" s="640"/>
      <c r="H442" s="640"/>
      <c r="I442" s="640"/>
      <c r="J442" s="640"/>
      <c r="K442" s="640"/>
      <c r="L442" s="640"/>
      <c r="M442" s="640"/>
      <c r="N442" s="640"/>
      <c r="O442" s="640"/>
      <c r="P442" s="640"/>
      <c r="Q442" s="640"/>
      <c r="Y442" s="309"/>
      <c r="Z442" s="305"/>
      <c r="AE442" s="309"/>
      <c r="AF442" s="305"/>
      <c r="AH442" s="309"/>
      <c r="AI442" s="516"/>
      <c r="AO442" s="524"/>
      <c r="AU442" s="524"/>
      <c r="AX442" s="524"/>
    </row>
    <row r="443" spans="1:50" x14ac:dyDescent="0.2">
      <c r="A443" s="639"/>
      <c r="B443" s="640"/>
      <c r="C443" s="640"/>
      <c r="D443" s="640"/>
      <c r="E443" s="640"/>
      <c r="F443" s="640"/>
      <c r="G443" s="640"/>
      <c r="H443" s="640"/>
      <c r="I443" s="640"/>
      <c r="J443" s="640"/>
      <c r="K443" s="640"/>
      <c r="L443" s="640"/>
      <c r="M443" s="640"/>
      <c r="N443" s="640"/>
      <c r="O443" s="640"/>
      <c r="P443" s="640"/>
      <c r="Q443" s="640"/>
      <c r="R443" s="294"/>
      <c r="S443" s="296"/>
      <c r="T443" s="296"/>
      <c r="U443" s="296"/>
      <c r="V443" s="296"/>
      <c r="W443" s="296"/>
      <c r="X443" s="296"/>
      <c r="Y443" s="311"/>
      <c r="Z443" s="306"/>
      <c r="AA443" s="296"/>
      <c r="AB443" s="296"/>
      <c r="AC443" s="296"/>
      <c r="AD443" s="296"/>
      <c r="AE443" s="311"/>
      <c r="AF443" s="306"/>
      <c r="AG443" s="296"/>
      <c r="AH443" s="311"/>
      <c r="AI443" s="517"/>
      <c r="AJ443" s="518"/>
      <c r="AK443" s="518"/>
      <c r="AL443" s="518"/>
      <c r="AM443" s="518"/>
      <c r="AN443" s="518"/>
      <c r="AO443" s="525"/>
      <c r="AP443" s="518"/>
      <c r="AQ443" s="518"/>
      <c r="AR443" s="518"/>
      <c r="AS443" s="518"/>
      <c r="AT443" s="518"/>
      <c r="AU443" s="525"/>
      <c r="AV443" s="518"/>
      <c r="AW443" s="518"/>
      <c r="AX443" s="525"/>
    </row>
    <row r="444" spans="1:50" x14ac:dyDescent="0.2">
      <c r="A444" s="639"/>
      <c r="B444" s="640"/>
      <c r="C444" s="640"/>
      <c r="D444" s="640"/>
      <c r="E444" s="640"/>
      <c r="F444" s="640"/>
      <c r="G444" s="640"/>
      <c r="H444" s="640"/>
      <c r="I444" s="640"/>
      <c r="J444" s="640"/>
      <c r="K444" s="640"/>
      <c r="L444" s="640"/>
      <c r="M444" s="640"/>
      <c r="N444" s="640"/>
      <c r="O444" s="640"/>
      <c r="P444" s="640"/>
      <c r="Q444" s="640"/>
      <c r="Y444" s="309"/>
      <c r="Z444" s="305"/>
      <c r="AE444" s="309"/>
      <c r="AF444" s="305"/>
      <c r="AH444" s="309"/>
      <c r="AI444" s="516"/>
      <c r="AO444" s="524"/>
      <c r="AU444" s="524"/>
      <c r="AX444" s="524"/>
    </row>
    <row r="445" spans="1:50" x14ac:dyDescent="0.2">
      <c r="A445" s="649"/>
      <c r="B445" s="650"/>
      <c r="C445" s="650"/>
      <c r="D445" s="650"/>
      <c r="E445" s="650"/>
      <c r="F445" s="650"/>
      <c r="G445" s="650"/>
      <c r="H445" s="650"/>
      <c r="I445" s="650"/>
      <c r="J445" s="650"/>
      <c r="K445" s="650"/>
      <c r="L445" s="650"/>
      <c r="M445" s="650"/>
      <c r="N445" s="650"/>
      <c r="O445" s="650"/>
      <c r="P445" s="650"/>
      <c r="Q445" s="650"/>
      <c r="S445" s="296"/>
      <c r="T445" s="296"/>
      <c r="U445" s="296"/>
      <c r="V445" s="296"/>
      <c r="W445" s="296"/>
      <c r="X445" s="296"/>
      <c r="Y445" s="311"/>
      <c r="Z445" s="306"/>
      <c r="AA445" s="296"/>
      <c r="AB445" s="296"/>
      <c r="AC445" s="296"/>
      <c r="AD445" s="296"/>
      <c r="AE445" s="311"/>
      <c r="AF445" s="306"/>
      <c r="AG445" s="296"/>
      <c r="AH445" s="311"/>
      <c r="AI445" s="516"/>
      <c r="AO445" s="524"/>
      <c r="AU445" s="524"/>
      <c r="AX445" s="524"/>
    </row>
    <row r="446" spans="1:50" x14ac:dyDescent="0.2">
      <c r="A446" s="639"/>
      <c r="B446" s="640"/>
      <c r="C446" s="640"/>
      <c r="D446" s="640"/>
      <c r="E446" s="640"/>
      <c r="F446" s="640"/>
      <c r="G446" s="640"/>
      <c r="H446" s="640"/>
      <c r="I446" s="640"/>
      <c r="J446" s="640"/>
      <c r="K446" s="640"/>
      <c r="L446" s="640"/>
      <c r="M446" s="640"/>
      <c r="N446" s="640"/>
      <c r="O446" s="640"/>
      <c r="P446" s="640"/>
      <c r="Q446" s="640"/>
      <c r="Y446" s="309"/>
      <c r="Z446" s="305"/>
      <c r="AE446" s="309"/>
      <c r="AF446" s="305"/>
      <c r="AH446" s="309"/>
      <c r="AI446" s="516"/>
      <c r="AO446" s="524"/>
      <c r="AU446" s="524"/>
      <c r="AX446" s="524"/>
    </row>
    <row r="447" spans="1:50" x14ac:dyDescent="0.2">
      <c r="A447" s="639"/>
      <c r="B447" s="640"/>
      <c r="C447" s="640"/>
      <c r="D447" s="640"/>
      <c r="E447" s="640"/>
      <c r="F447" s="640"/>
      <c r="G447" s="640"/>
      <c r="H447" s="640"/>
      <c r="I447" s="640"/>
      <c r="J447" s="640"/>
      <c r="K447" s="640"/>
      <c r="L447" s="640"/>
      <c r="M447" s="640"/>
      <c r="N447" s="640"/>
      <c r="O447" s="640"/>
      <c r="P447" s="640"/>
      <c r="Q447" s="640"/>
      <c r="R447" s="294"/>
      <c r="S447" s="296"/>
      <c r="T447" s="296"/>
      <c r="U447" s="296"/>
      <c r="V447" s="296"/>
      <c r="W447" s="296"/>
      <c r="X447" s="296"/>
      <c r="Y447" s="311"/>
      <c r="Z447" s="306"/>
      <c r="AA447" s="296"/>
      <c r="AB447" s="296"/>
      <c r="AC447" s="296"/>
      <c r="AD447" s="296"/>
      <c r="AE447" s="311"/>
      <c r="AF447" s="306"/>
      <c r="AG447" s="296"/>
      <c r="AH447" s="311"/>
      <c r="AI447" s="517"/>
      <c r="AJ447" s="518"/>
      <c r="AK447" s="518"/>
      <c r="AL447" s="518"/>
      <c r="AM447" s="518"/>
      <c r="AN447" s="518"/>
      <c r="AO447" s="525"/>
      <c r="AP447" s="527"/>
      <c r="AQ447" s="518"/>
      <c r="AR447" s="527"/>
      <c r="AS447" s="518"/>
      <c r="AT447" s="518"/>
      <c r="AU447" s="525"/>
      <c r="AV447" s="518"/>
      <c r="AW447" s="518"/>
      <c r="AX447" s="525"/>
    </row>
    <row r="448" spans="1:50" x14ac:dyDescent="0.2">
      <c r="A448" s="639"/>
      <c r="B448" s="640"/>
      <c r="C448" s="640"/>
      <c r="D448" s="640"/>
      <c r="E448" s="640"/>
      <c r="F448" s="640"/>
      <c r="G448" s="640"/>
      <c r="H448" s="640"/>
      <c r="I448" s="640"/>
      <c r="J448" s="640"/>
      <c r="K448" s="640"/>
      <c r="L448" s="640"/>
      <c r="M448" s="640"/>
      <c r="N448" s="640"/>
      <c r="O448" s="640"/>
      <c r="P448" s="640"/>
      <c r="Q448" s="640"/>
      <c r="Y448" s="309"/>
      <c r="Z448" s="305"/>
      <c r="AE448" s="309"/>
      <c r="AF448" s="305"/>
      <c r="AH448" s="309"/>
      <c r="AI448" s="516"/>
      <c r="AO448" s="524"/>
      <c r="AU448" s="524"/>
      <c r="AX448" s="524"/>
    </row>
    <row r="449" spans="1:50" x14ac:dyDescent="0.2">
      <c r="A449" s="639"/>
      <c r="B449" s="640"/>
      <c r="C449" s="640"/>
      <c r="D449" s="640"/>
      <c r="E449" s="640"/>
      <c r="F449" s="640"/>
      <c r="G449" s="640"/>
      <c r="H449" s="640"/>
      <c r="I449" s="640"/>
      <c r="J449" s="640"/>
      <c r="K449" s="640"/>
      <c r="L449" s="640"/>
      <c r="M449" s="640"/>
      <c r="N449" s="640"/>
      <c r="O449" s="640"/>
      <c r="P449" s="640"/>
      <c r="Q449" s="640"/>
      <c r="R449" s="294"/>
      <c r="S449" s="296"/>
      <c r="T449" s="296"/>
      <c r="U449" s="296"/>
      <c r="V449" s="296"/>
      <c r="W449" s="296"/>
      <c r="X449" s="296"/>
      <c r="Y449" s="311"/>
      <c r="Z449" s="306"/>
      <c r="AA449" s="296"/>
      <c r="AB449" s="296"/>
      <c r="AC449" s="296"/>
      <c r="AD449" s="296"/>
      <c r="AE449" s="311"/>
      <c r="AF449" s="306"/>
      <c r="AG449" s="296"/>
      <c r="AH449" s="311"/>
      <c r="AI449" s="516"/>
      <c r="AO449" s="524"/>
      <c r="AU449" s="524"/>
      <c r="AX449" s="524"/>
    </row>
    <row r="450" spans="1:50" x14ac:dyDescent="0.2">
      <c r="A450" s="639"/>
      <c r="B450" s="640"/>
      <c r="C450" s="640"/>
      <c r="D450" s="640"/>
      <c r="E450" s="640"/>
      <c r="F450" s="640"/>
      <c r="G450" s="640"/>
      <c r="H450" s="640"/>
      <c r="I450" s="640"/>
      <c r="J450" s="640"/>
      <c r="K450" s="640"/>
      <c r="L450" s="640"/>
      <c r="M450" s="640"/>
      <c r="N450" s="640"/>
      <c r="O450" s="640"/>
      <c r="P450" s="640"/>
      <c r="Q450" s="640"/>
      <c r="Y450" s="309"/>
      <c r="Z450" s="305"/>
      <c r="AE450" s="309"/>
      <c r="AF450" s="305"/>
      <c r="AH450" s="309"/>
      <c r="AI450" s="516"/>
      <c r="AO450" s="524"/>
      <c r="AU450" s="524"/>
      <c r="AX450" s="524"/>
    </row>
    <row r="451" spans="1:50" x14ac:dyDescent="0.2">
      <c r="A451" s="639"/>
      <c r="B451" s="640"/>
      <c r="C451" s="640"/>
      <c r="D451" s="640"/>
      <c r="E451" s="640"/>
      <c r="F451" s="640"/>
      <c r="G451" s="640"/>
      <c r="H451" s="640"/>
      <c r="I451" s="640"/>
      <c r="J451" s="640"/>
      <c r="K451" s="640"/>
      <c r="L451" s="640"/>
      <c r="M451" s="640"/>
      <c r="N451" s="640"/>
      <c r="O451" s="640"/>
      <c r="P451" s="640"/>
      <c r="Q451" s="640"/>
      <c r="R451" s="294"/>
      <c r="S451" s="296"/>
      <c r="T451" s="296"/>
      <c r="U451" s="296"/>
      <c r="V451" s="296"/>
      <c r="W451" s="296"/>
      <c r="X451" s="296"/>
      <c r="Y451" s="311"/>
      <c r="Z451" s="306"/>
      <c r="AA451" s="296"/>
      <c r="AB451" s="296"/>
      <c r="AC451" s="296"/>
      <c r="AD451" s="296"/>
      <c r="AE451" s="311"/>
      <c r="AF451" s="306"/>
      <c r="AG451" s="296"/>
      <c r="AH451" s="311"/>
      <c r="AI451" s="517"/>
      <c r="AJ451" s="518"/>
      <c r="AK451" s="518"/>
      <c r="AL451" s="518"/>
      <c r="AM451" s="518"/>
      <c r="AN451" s="518"/>
      <c r="AO451" s="525"/>
      <c r="AP451" s="518"/>
      <c r="AQ451" s="518"/>
      <c r="AR451" s="527"/>
      <c r="AS451" s="518"/>
      <c r="AT451" s="518"/>
      <c r="AU451" s="525"/>
      <c r="AV451" s="518"/>
      <c r="AW451" s="518"/>
      <c r="AX451" s="525"/>
    </row>
    <row r="452" spans="1:50" x14ac:dyDescent="0.2">
      <c r="A452" s="639"/>
      <c r="B452" s="640"/>
      <c r="C452" s="640"/>
      <c r="D452" s="640"/>
      <c r="E452" s="640"/>
      <c r="F452" s="640"/>
      <c r="G452" s="640"/>
      <c r="H452" s="640"/>
      <c r="I452" s="640"/>
      <c r="J452" s="640"/>
      <c r="K452" s="640"/>
      <c r="L452" s="640"/>
      <c r="M452" s="640"/>
      <c r="N452" s="640"/>
      <c r="O452" s="640"/>
      <c r="P452" s="640"/>
      <c r="Q452" s="640"/>
      <c r="Y452" s="309"/>
      <c r="Z452" s="305"/>
      <c r="AE452" s="309"/>
      <c r="AF452" s="305"/>
      <c r="AH452" s="309"/>
      <c r="AI452" s="516"/>
      <c r="AO452" s="524"/>
      <c r="AU452" s="524"/>
      <c r="AX452" s="524"/>
    </row>
    <row r="453" spans="1:50" x14ac:dyDescent="0.2">
      <c r="A453" s="639"/>
      <c r="B453" s="640"/>
      <c r="C453" s="640"/>
      <c r="D453" s="640"/>
      <c r="E453" s="640"/>
      <c r="F453" s="640"/>
      <c r="G453" s="640"/>
      <c r="H453" s="640"/>
      <c r="I453" s="640"/>
      <c r="J453" s="640"/>
      <c r="K453" s="640"/>
      <c r="L453" s="640"/>
      <c r="M453" s="640"/>
      <c r="N453" s="640"/>
      <c r="O453" s="640"/>
      <c r="P453" s="640"/>
      <c r="Q453" s="640"/>
      <c r="R453" s="294"/>
      <c r="S453" s="296"/>
      <c r="T453" s="296"/>
      <c r="U453" s="296"/>
      <c r="V453" s="296"/>
      <c r="W453" s="296"/>
      <c r="X453" s="296"/>
      <c r="Y453" s="311"/>
      <c r="Z453" s="306"/>
      <c r="AA453" s="296"/>
      <c r="AB453" s="296"/>
      <c r="AC453" s="296"/>
      <c r="AD453" s="296"/>
      <c r="AE453" s="311"/>
      <c r="AF453" s="306"/>
      <c r="AG453" s="296"/>
      <c r="AH453" s="311"/>
      <c r="AI453" s="516"/>
      <c r="AO453" s="524"/>
      <c r="AU453" s="524"/>
      <c r="AX453" s="524"/>
    </row>
    <row r="454" spans="1:50" x14ac:dyDescent="0.2">
      <c r="A454" s="639"/>
      <c r="B454" s="640"/>
      <c r="C454" s="640"/>
      <c r="D454" s="640"/>
      <c r="E454" s="640"/>
      <c r="F454" s="640"/>
      <c r="G454" s="640"/>
      <c r="H454" s="640"/>
      <c r="I454" s="640"/>
      <c r="J454" s="640"/>
      <c r="K454" s="640"/>
      <c r="L454" s="640"/>
      <c r="M454" s="640"/>
      <c r="N454" s="640"/>
      <c r="O454" s="640"/>
      <c r="P454" s="640"/>
      <c r="Q454" s="640"/>
      <c r="Y454" s="309"/>
      <c r="Z454" s="305"/>
      <c r="AE454" s="309"/>
      <c r="AF454" s="305"/>
      <c r="AH454" s="309"/>
      <c r="AI454" s="516"/>
      <c r="AO454" s="524"/>
      <c r="AU454" s="524"/>
      <c r="AX454" s="524"/>
    </row>
    <row r="455" spans="1:50" x14ac:dyDescent="0.2">
      <c r="A455" s="639"/>
      <c r="B455" s="640"/>
      <c r="C455" s="640"/>
      <c r="D455" s="640"/>
      <c r="E455" s="640"/>
      <c r="F455" s="640"/>
      <c r="G455" s="640"/>
      <c r="H455" s="640"/>
      <c r="I455" s="640"/>
      <c r="J455" s="640"/>
      <c r="K455" s="640"/>
      <c r="L455" s="640"/>
      <c r="M455" s="640"/>
      <c r="N455" s="640"/>
      <c r="O455" s="640"/>
      <c r="P455" s="640"/>
      <c r="Q455" s="640"/>
      <c r="R455" s="294"/>
      <c r="S455" s="296"/>
      <c r="T455" s="296"/>
      <c r="U455" s="296"/>
      <c r="V455" s="296"/>
      <c r="W455" s="296"/>
      <c r="X455" s="296"/>
      <c r="Y455" s="311"/>
      <c r="Z455" s="306"/>
      <c r="AA455" s="296"/>
      <c r="AB455" s="296"/>
      <c r="AC455" s="296"/>
      <c r="AD455" s="296"/>
      <c r="AE455" s="311"/>
      <c r="AF455" s="306"/>
      <c r="AG455" s="296"/>
      <c r="AH455" s="311"/>
      <c r="AI455" s="517"/>
      <c r="AJ455" s="518"/>
      <c r="AK455" s="518"/>
      <c r="AL455" s="518"/>
      <c r="AM455" s="527"/>
      <c r="AN455" s="518"/>
      <c r="AO455" s="525"/>
      <c r="AP455" s="518"/>
      <c r="AQ455" s="518"/>
      <c r="AR455" s="518"/>
      <c r="AS455" s="518"/>
      <c r="AT455" s="518"/>
      <c r="AU455" s="525"/>
      <c r="AV455" s="518"/>
      <c r="AW455" s="518"/>
      <c r="AX455" s="525"/>
    </row>
    <row r="456" spans="1:50" x14ac:dyDescent="0.2">
      <c r="A456" s="639"/>
      <c r="B456" s="640"/>
      <c r="C456" s="640"/>
      <c r="D456" s="640"/>
      <c r="E456" s="640"/>
      <c r="F456" s="640"/>
      <c r="G456" s="640"/>
      <c r="H456" s="640"/>
      <c r="I456" s="640"/>
      <c r="J456" s="640"/>
      <c r="K456" s="640"/>
      <c r="L456" s="640"/>
      <c r="M456" s="640"/>
      <c r="N456" s="640"/>
      <c r="O456" s="640"/>
      <c r="P456" s="640"/>
      <c r="Q456" s="640"/>
      <c r="Y456" s="309"/>
      <c r="Z456" s="305"/>
      <c r="AE456" s="309"/>
      <c r="AF456" s="305"/>
      <c r="AH456" s="309"/>
      <c r="AI456" s="516"/>
      <c r="AO456" s="524"/>
      <c r="AU456" s="524"/>
      <c r="AX456" s="524"/>
    </row>
    <row r="457" spans="1:50" x14ac:dyDescent="0.2">
      <c r="A457" s="639"/>
      <c r="B457" s="640"/>
      <c r="C457" s="640"/>
      <c r="D457" s="640"/>
      <c r="E457" s="640"/>
      <c r="F457" s="640"/>
      <c r="G457" s="640"/>
      <c r="H457" s="640"/>
      <c r="I457" s="640"/>
      <c r="J457" s="640"/>
      <c r="K457" s="640"/>
      <c r="L457" s="640"/>
      <c r="M457" s="640"/>
      <c r="N457" s="640"/>
      <c r="O457" s="640"/>
      <c r="P457" s="640"/>
      <c r="Q457" s="640"/>
      <c r="R457" s="294"/>
      <c r="S457" s="296"/>
      <c r="T457" s="296"/>
      <c r="U457" s="296"/>
      <c r="V457" s="296"/>
      <c r="W457" s="296"/>
      <c r="X457" s="296"/>
      <c r="Y457" s="311"/>
      <c r="Z457" s="306"/>
      <c r="AA457" s="296"/>
      <c r="AB457" s="296"/>
      <c r="AC457" s="296"/>
      <c r="AD457" s="296"/>
      <c r="AE457" s="311"/>
      <c r="AF457" s="306"/>
      <c r="AG457" s="296"/>
      <c r="AH457" s="311"/>
      <c r="AI457" s="516"/>
      <c r="AO457" s="524"/>
      <c r="AU457" s="524"/>
      <c r="AX457" s="524"/>
    </row>
    <row r="458" spans="1:50" x14ac:dyDescent="0.2">
      <c r="A458" s="639"/>
      <c r="B458" s="640"/>
      <c r="C458" s="640"/>
      <c r="D458" s="640"/>
      <c r="E458" s="640"/>
      <c r="F458" s="640"/>
      <c r="G458" s="640"/>
      <c r="H458" s="640"/>
      <c r="I458" s="640"/>
      <c r="J458" s="640"/>
      <c r="K458" s="640"/>
      <c r="L458" s="640"/>
      <c r="M458" s="640"/>
      <c r="N458" s="640"/>
      <c r="O458" s="640"/>
      <c r="P458" s="640"/>
      <c r="Q458" s="640"/>
      <c r="Y458" s="309"/>
      <c r="Z458" s="305"/>
      <c r="AE458" s="309"/>
      <c r="AF458" s="305"/>
      <c r="AH458" s="309"/>
      <c r="AI458" s="516"/>
      <c r="AO458" s="524"/>
      <c r="AU458" s="524"/>
      <c r="AX458" s="524"/>
    </row>
    <row r="459" spans="1:50" x14ac:dyDescent="0.2">
      <c r="A459" s="639"/>
      <c r="B459" s="640"/>
      <c r="C459" s="640"/>
      <c r="D459" s="640"/>
      <c r="E459" s="640"/>
      <c r="F459" s="640"/>
      <c r="G459" s="640"/>
      <c r="H459" s="640"/>
      <c r="I459" s="640"/>
      <c r="J459" s="640"/>
      <c r="K459" s="640"/>
      <c r="L459" s="640"/>
      <c r="M459" s="640"/>
      <c r="N459" s="640"/>
      <c r="O459" s="640"/>
      <c r="P459" s="640"/>
      <c r="Q459" s="640"/>
      <c r="R459" s="294"/>
      <c r="S459" s="296"/>
      <c r="T459" s="296"/>
      <c r="U459" s="296"/>
      <c r="V459" s="296"/>
      <c r="W459" s="296"/>
      <c r="X459" s="296"/>
      <c r="Y459" s="311"/>
      <c r="Z459" s="306"/>
      <c r="AA459" s="296"/>
      <c r="AB459" s="296"/>
      <c r="AC459" s="296"/>
      <c r="AD459" s="296"/>
      <c r="AE459" s="311"/>
      <c r="AF459" s="306"/>
      <c r="AG459" s="296"/>
      <c r="AH459" s="311"/>
      <c r="AI459" s="517"/>
      <c r="AJ459" s="518"/>
      <c r="AK459" s="518"/>
      <c r="AL459" s="518"/>
      <c r="AM459" s="527"/>
      <c r="AN459" s="518"/>
      <c r="AO459" s="525"/>
      <c r="AP459" s="518"/>
      <c r="AQ459" s="518"/>
      <c r="AR459" s="518"/>
      <c r="AS459" s="518"/>
      <c r="AT459" s="518"/>
      <c r="AU459" s="525"/>
      <c r="AV459" s="518"/>
      <c r="AW459" s="518"/>
      <c r="AX459" s="525"/>
    </row>
    <row r="460" spans="1:50" x14ac:dyDescent="0.2">
      <c r="A460" s="639"/>
      <c r="B460" s="640"/>
      <c r="C460" s="640"/>
      <c r="D460" s="640"/>
      <c r="E460" s="640"/>
      <c r="F460" s="640"/>
      <c r="G460" s="640"/>
      <c r="H460" s="640"/>
      <c r="I460" s="640"/>
      <c r="J460" s="640"/>
      <c r="K460" s="640"/>
      <c r="L460" s="640"/>
      <c r="M460" s="640"/>
      <c r="N460" s="640"/>
      <c r="O460" s="640"/>
      <c r="P460" s="640"/>
      <c r="Q460" s="640"/>
      <c r="Y460" s="309"/>
      <c r="Z460" s="305"/>
      <c r="AE460" s="309"/>
      <c r="AF460" s="305"/>
      <c r="AH460" s="309"/>
      <c r="AI460" s="516"/>
      <c r="AO460" s="524"/>
      <c r="AU460" s="524"/>
      <c r="AX460" s="524"/>
    </row>
    <row r="461" spans="1:50" x14ac:dyDescent="0.2">
      <c r="A461" s="639"/>
      <c r="B461" s="640"/>
      <c r="C461" s="640"/>
      <c r="D461" s="640"/>
      <c r="E461" s="640"/>
      <c r="F461" s="640"/>
      <c r="G461" s="640"/>
      <c r="H461" s="640"/>
      <c r="I461" s="640"/>
      <c r="J461" s="640"/>
      <c r="K461" s="640"/>
      <c r="L461" s="640"/>
      <c r="M461" s="640"/>
      <c r="N461" s="640"/>
      <c r="O461" s="640"/>
      <c r="P461" s="640"/>
      <c r="Q461" s="640"/>
      <c r="R461" s="294"/>
      <c r="S461" s="296"/>
      <c r="T461" s="296"/>
      <c r="U461" s="296"/>
      <c r="V461" s="296"/>
      <c r="W461" s="296"/>
      <c r="X461" s="296"/>
      <c r="Y461" s="311"/>
      <c r="Z461" s="306"/>
      <c r="AA461" s="296"/>
      <c r="AB461" s="296"/>
      <c r="AC461" s="296"/>
      <c r="AD461" s="296"/>
      <c r="AE461" s="311"/>
      <c r="AF461" s="306"/>
      <c r="AG461" s="296"/>
      <c r="AH461" s="311"/>
      <c r="AI461" s="516"/>
      <c r="AO461" s="524"/>
      <c r="AU461" s="524"/>
      <c r="AX461" s="524"/>
    </row>
    <row r="462" spans="1:50" x14ac:dyDescent="0.2">
      <c r="A462" s="639"/>
      <c r="B462" s="640"/>
      <c r="C462" s="640"/>
      <c r="D462" s="640"/>
      <c r="E462" s="640"/>
      <c r="F462" s="640"/>
      <c r="G462" s="640"/>
      <c r="H462" s="640"/>
      <c r="I462" s="640"/>
      <c r="J462" s="640"/>
      <c r="K462" s="640"/>
      <c r="L462" s="640"/>
      <c r="M462" s="640"/>
      <c r="N462" s="640"/>
      <c r="O462" s="640"/>
      <c r="P462" s="640"/>
      <c r="Q462" s="640"/>
      <c r="Y462" s="309"/>
      <c r="Z462" s="305"/>
      <c r="AE462" s="309"/>
      <c r="AF462" s="305"/>
      <c r="AH462" s="309"/>
      <c r="AI462" s="516"/>
      <c r="AO462" s="524"/>
      <c r="AU462" s="524"/>
      <c r="AX462" s="524"/>
    </row>
    <row r="463" spans="1:50" x14ac:dyDescent="0.2">
      <c r="A463" s="639"/>
      <c r="B463" s="640"/>
      <c r="C463" s="640"/>
      <c r="D463" s="640"/>
      <c r="E463" s="640"/>
      <c r="F463" s="640"/>
      <c r="G463" s="640"/>
      <c r="H463" s="640"/>
      <c r="I463" s="640"/>
      <c r="J463" s="640"/>
      <c r="K463" s="640"/>
      <c r="L463" s="640"/>
      <c r="M463" s="640"/>
      <c r="N463" s="640"/>
      <c r="O463" s="640"/>
      <c r="P463" s="640"/>
      <c r="Q463" s="640"/>
      <c r="R463" s="294"/>
      <c r="S463" s="296"/>
      <c r="T463" s="296"/>
      <c r="U463" s="296"/>
      <c r="V463" s="296"/>
      <c r="W463" s="296"/>
      <c r="X463" s="296"/>
      <c r="Y463" s="311"/>
      <c r="Z463" s="306"/>
      <c r="AA463" s="296"/>
      <c r="AB463" s="296"/>
      <c r="AC463" s="296"/>
      <c r="AD463" s="296"/>
      <c r="AE463" s="311"/>
      <c r="AF463" s="306"/>
      <c r="AG463" s="296"/>
      <c r="AH463" s="311"/>
      <c r="AI463" s="517"/>
      <c r="AJ463" s="518"/>
      <c r="AK463" s="518"/>
      <c r="AL463" s="518"/>
      <c r="AM463" s="518"/>
      <c r="AN463" s="518"/>
      <c r="AO463" s="525"/>
      <c r="AP463" s="518"/>
      <c r="AQ463" s="518"/>
      <c r="AR463" s="518"/>
      <c r="AS463" s="518"/>
      <c r="AT463" s="518"/>
      <c r="AU463" s="525"/>
      <c r="AV463" s="518"/>
      <c r="AW463" s="518"/>
      <c r="AX463" s="525"/>
    </row>
    <row r="464" spans="1:50" x14ac:dyDescent="0.2">
      <c r="A464" s="639"/>
      <c r="B464" s="640"/>
      <c r="C464" s="640"/>
      <c r="D464" s="640"/>
      <c r="E464" s="640"/>
      <c r="F464" s="640"/>
      <c r="G464" s="640"/>
      <c r="H464" s="640"/>
      <c r="I464" s="640"/>
      <c r="J464" s="640"/>
      <c r="K464" s="640"/>
      <c r="L464" s="640"/>
      <c r="M464" s="640"/>
      <c r="N464" s="640"/>
      <c r="O464" s="640"/>
      <c r="P464" s="640"/>
      <c r="Q464" s="640"/>
      <c r="Y464" s="309"/>
      <c r="Z464" s="305"/>
      <c r="AE464" s="309"/>
      <c r="AF464" s="305"/>
      <c r="AH464" s="309"/>
      <c r="AI464" s="516"/>
      <c r="AO464" s="524"/>
      <c r="AU464" s="524"/>
      <c r="AX464" s="524"/>
    </row>
    <row r="465" spans="1:50" x14ac:dyDescent="0.2">
      <c r="A465" s="639"/>
      <c r="B465" s="640"/>
      <c r="C465" s="640"/>
      <c r="D465" s="640"/>
      <c r="E465" s="640"/>
      <c r="F465" s="640"/>
      <c r="G465" s="640"/>
      <c r="H465" s="640"/>
      <c r="I465" s="640"/>
      <c r="J465" s="640"/>
      <c r="K465" s="640"/>
      <c r="L465" s="640"/>
      <c r="M465" s="640"/>
      <c r="N465" s="640"/>
      <c r="O465" s="640"/>
      <c r="P465" s="640"/>
      <c r="Q465" s="640"/>
      <c r="R465" s="294"/>
      <c r="S465" s="296"/>
      <c r="T465" s="296"/>
      <c r="U465" s="296"/>
      <c r="V465" s="296"/>
      <c r="W465" s="296"/>
      <c r="X465" s="296"/>
      <c r="Y465" s="311"/>
      <c r="Z465" s="306"/>
      <c r="AA465" s="296"/>
      <c r="AB465" s="296"/>
      <c r="AC465" s="296"/>
      <c r="AD465" s="296"/>
      <c r="AE465" s="311"/>
      <c r="AF465" s="306"/>
      <c r="AG465" s="296"/>
      <c r="AH465" s="311"/>
      <c r="AI465" s="516"/>
      <c r="AO465" s="524"/>
      <c r="AU465" s="524"/>
      <c r="AX465" s="524"/>
    </row>
    <row r="466" spans="1:50" x14ac:dyDescent="0.2">
      <c r="A466" s="639"/>
      <c r="B466" s="640"/>
      <c r="C466" s="640"/>
      <c r="D466" s="640"/>
      <c r="E466" s="640"/>
      <c r="F466" s="640"/>
      <c r="G466" s="640"/>
      <c r="H466" s="640"/>
      <c r="I466" s="640"/>
      <c r="J466" s="640"/>
      <c r="K466" s="640"/>
      <c r="L466" s="640"/>
      <c r="M466" s="640"/>
      <c r="N466" s="640"/>
      <c r="O466" s="640"/>
      <c r="P466" s="640"/>
      <c r="Q466" s="640"/>
      <c r="Y466" s="309"/>
      <c r="Z466" s="305"/>
      <c r="AE466" s="309"/>
      <c r="AF466" s="305"/>
      <c r="AH466" s="309"/>
      <c r="AI466" s="516"/>
      <c r="AO466" s="524"/>
      <c r="AU466" s="524"/>
      <c r="AX466" s="524"/>
    </row>
    <row r="467" spans="1:50" ht="13.5" thickBot="1" x14ac:dyDescent="0.25">
      <c r="A467" s="651"/>
      <c r="B467" s="652"/>
      <c r="C467" s="652"/>
      <c r="D467" s="652"/>
      <c r="E467" s="652"/>
      <c r="F467" s="652"/>
      <c r="G467" s="652"/>
      <c r="H467" s="652"/>
      <c r="I467" s="652"/>
      <c r="J467" s="652"/>
      <c r="K467" s="652"/>
      <c r="L467" s="652"/>
      <c r="M467" s="652"/>
      <c r="N467" s="652"/>
      <c r="O467" s="652"/>
      <c r="P467" s="652"/>
      <c r="Q467" s="652"/>
      <c r="S467" s="302"/>
      <c r="T467" s="302"/>
      <c r="U467" s="302"/>
      <c r="V467" s="302"/>
      <c r="W467" s="302"/>
      <c r="X467" s="302"/>
      <c r="Y467" s="312"/>
      <c r="Z467" s="307"/>
      <c r="AA467" s="302"/>
      <c r="AB467" s="302"/>
      <c r="AC467" s="302"/>
      <c r="AD467" s="302"/>
      <c r="AE467" s="312"/>
      <c r="AF467" s="307"/>
      <c r="AG467" s="302"/>
      <c r="AH467" s="312"/>
      <c r="AI467" s="519"/>
      <c r="AJ467" s="520"/>
      <c r="AK467" s="520"/>
      <c r="AL467" s="520"/>
      <c r="AM467" s="520"/>
      <c r="AN467" s="520"/>
      <c r="AO467" s="526"/>
      <c r="AP467" s="520"/>
      <c r="AQ467" s="520"/>
      <c r="AR467" s="520"/>
      <c r="AS467" s="520"/>
      <c r="AT467" s="520"/>
      <c r="AU467" s="526"/>
      <c r="AV467" s="520"/>
      <c r="AW467" s="520"/>
      <c r="AX467" s="526"/>
    </row>
    <row r="468" spans="1:50" x14ac:dyDescent="0.2">
      <c r="A468" s="649"/>
      <c r="B468" s="640"/>
      <c r="C468" s="640"/>
      <c r="D468" s="640"/>
      <c r="E468" s="640"/>
      <c r="F468" s="640"/>
      <c r="G468" s="640"/>
      <c r="H468" s="640"/>
      <c r="I468" s="640"/>
      <c r="J468" s="640"/>
      <c r="K468" s="640"/>
      <c r="L468" s="640"/>
      <c r="M468" s="640"/>
      <c r="N468" s="640"/>
      <c r="O468" s="640"/>
      <c r="P468" s="640"/>
      <c r="Q468" s="640"/>
      <c r="Y468" s="309"/>
      <c r="Z468" s="305"/>
      <c r="AE468" s="309"/>
      <c r="AF468" s="305"/>
      <c r="AH468" s="309"/>
      <c r="AI468" s="516"/>
      <c r="AO468" s="524"/>
      <c r="AU468" s="524"/>
      <c r="AX468" s="524"/>
    </row>
    <row r="469" spans="1:50" x14ac:dyDescent="0.2">
      <c r="A469" s="649"/>
      <c r="B469" s="650"/>
      <c r="C469" s="650"/>
      <c r="D469" s="650"/>
      <c r="E469" s="650"/>
      <c r="F469" s="650"/>
      <c r="G469" s="650"/>
      <c r="H469" s="650"/>
      <c r="I469" s="650"/>
      <c r="J469" s="650"/>
      <c r="K469" s="650"/>
      <c r="L469" s="650"/>
      <c r="M469" s="650"/>
      <c r="N469" s="650"/>
      <c r="O469" s="650"/>
      <c r="P469" s="650"/>
      <c r="Q469" s="650"/>
      <c r="S469" s="296"/>
      <c r="T469" s="296"/>
      <c r="U469" s="296"/>
      <c r="V469" s="296"/>
      <c r="W469" s="296"/>
      <c r="X469" s="296"/>
      <c r="Y469" s="311"/>
      <c r="Z469" s="306"/>
      <c r="AA469" s="296"/>
      <c r="AB469" s="296"/>
      <c r="AC469" s="296"/>
      <c r="AD469" s="296"/>
      <c r="AE469" s="311"/>
      <c r="AF469" s="306"/>
      <c r="AG469" s="296"/>
      <c r="AH469" s="311"/>
      <c r="AI469" s="516"/>
      <c r="AO469" s="524"/>
      <c r="AU469" s="524"/>
      <c r="AX469" s="524"/>
    </row>
    <row r="470" spans="1:50" x14ac:dyDescent="0.2">
      <c r="A470" s="649"/>
      <c r="B470" s="640"/>
      <c r="C470" s="640"/>
      <c r="D470" s="640"/>
      <c r="E470" s="640"/>
      <c r="F470" s="640"/>
      <c r="G470" s="640"/>
      <c r="H470" s="640"/>
      <c r="I470" s="640"/>
      <c r="J470" s="640"/>
      <c r="K470" s="640"/>
      <c r="L470" s="640"/>
      <c r="M470" s="640"/>
      <c r="N470" s="640"/>
      <c r="O470" s="640"/>
      <c r="P470" s="640"/>
      <c r="Q470" s="640"/>
      <c r="Y470" s="309"/>
      <c r="Z470" s="305"/>
      <c r="AE470" s="309"/>
      <c r="AF470" s="305"/>
      <c r="AH470" s="309"/>
      <c r="AI470" s="516"/>
      <c r="AO470" s="524"/>
      <c r="AU470" s="524"/>
      <c r="AX470" s="524"/>
    </row>
    <row r="471" spans="1:50" x14ac:dyDescent="0.2">
      <c r="A471" s="649"/>
      <c r="B471" s="650"/>
      <c r="C471" s="650"/>
      <c r="D471" s="650"/>
      <c r="E471" s="650"/>
      <c r="F471" s="650"/>
      <c r="G471" s="650"/>
      <c r="H471" s="650"/>
      <c r="I471" s="650"/>
      <c r="J471" s="650"/>
      <c r="K471" s="650"/>
      <c r="L471" s="650"/>
      <c r="M471" s="650"/>
      <c r="N471" s="650"/>
      <c r="O471" s="650"/>
      <c r="P471" s="650"/>
      <c r="Q471" s="650"/>
      <c r="S471" s="296"/>
      <c r="T471" s="296"/>
      <c r="U471" s="296"/>
      <c r="V471" s="296"/>
      <c r="W471" s="296"/>
      <c r="X471" s="296"/>
      <c r="Y471" s="311"/>
      <c r="Z471" s="306"/>
      <c r="AA471" s="296"/>
      <c r="AB471" s="296"/>
      <c r="AC471" s="296"/>
      <c r="AD471" s="296"/>
      <c r="AE471" s="311"/>
      <c r="AF471" s="306"/>
      <c r="AG471" s="296"/>
      <c r="AH471" s="311"/>
      <c r="AI471" s="517"/>
      <c r="AJ471" s="518"/>
      <c r="AK471" s="518"/>
      <c r="AL471" s="518"/>
      <c r="AM471" s="518"/>
      <c r="AN471" s="518"/>
      <c r="AO471" s="525"/>
      <c r="AP471" s="518"/>
      <c r="AQ471" s="518"/>
      <c r="AR471" s="518"/>
      <c r="AS471" s="518"/>
      <c r="AT471" s="518"/>
      <c r="AU471" s="525"/>
      <c r="AV471" s="518"/>
      <c r="AW471" s="518"/>
      <c r="AX471" s="525"/>
    </row>
    <row r="472" spans="1:50" x14ac:dyDescent="0.2">
      <c r="A472" s="649"/>
      <c r="B472" s="640"/>
      <c r="C472" s="640"/>
      <c r="D472" s="640"/>
      <c r="E472" s="640"/>
      <c r="F472" s="640"/>
      <c r="G472" s="640"/>
      <c r="H472" s="640"/>
      <c r="I472" s="640"/>
      <c r="J472" s="640"/>
      <c r="K472" s="640"/>
      <c r="L472" s="640"/>
      <c r="M472" s="640"/>
      <c r="N472" s="640"/>
      <c r="O472" s="640"/>
      <c r="P472" s="640"/>
      <c r="Q472" s="640"/>
      <c r="R472" s="294"/>
      <c r="Y472" s="309"/>
      <c r="Z472" s="305"/>
      <c r="AE472" s="309"/>
      <c r="AF472" s="305"/>
      <c r="AH472" s="309"/>
      <c r="AI472" s="516"/>
      <c r="AO472" s="524"/>
      <c r="AU472" s="524"/>
      <c r="AX472" s="524"/>
    </row>
    <row r="473" spans="1:50" x14ac:dyDescent="0.2">
      <c r="A473" s="649"/>
      <c r="B473" s="650"/>
      <c r="C473" s="650"/>
      <c r="D473" s="650"/>
      <c r="E473" s="650"/>
      <c r="F473" s="650"/>
      <c r="G473" s="650"/>
      <c r="H473" s="650"/>
      <c r="I473" s="650"/>
      <c r="J473" s="650"/>
      <c r="K473" s="650"/>
      <c r="L473" s="650"/>
      <c r="M473" s="650"/>
      <c r="N473" s="650"/>
      <c r="O473" s="650"/>
      <c r="P473" s="650"/>
      <c r="Q473" s="650"/>
      <c r="S473" s="296"/>
      <c r="T473" s="296"/>
      <c r="U473" s="296"/>
      <c r="V473" s="296"/>
      <c r="W473" s="296"/>
      <c r="X473" s="296"/>
      <c r="Y473" s="311"/>
      <c r="Z473" s="306"/>
      <c r="AA473" s="296"/>
      <c r="AB473" s="296"/>
      <c r="AC473" s="296"/>
      <c r="AD473" s="296"/>
      <c r="AE473" s="311"/>
      <c r="AF473" s="306"/>
      <c r="AG473" s="296"/>
      <c r="AH473" s="311"/>
      <c r="AI473" s="516"/>
      <c r="AO473" s="524"/>
      <c r="AU473" s="524"/>
      <c r="AX473" s="524"/>
    </row>
    <row r="474" spans="1:50" x14ac:dyDescent="0.2">
      <c r="A474" s="649"/>
      <c r="B474" s="654"/>
      <c r="C474" s="654"/>
      <c r="D474" s="654"/>
      <c r="E474" s="654"/>
      <c r="F474" s="654"/>
      <c r="G474" s="654"/>
      <c r="H474" s="654"/>
      <c r="I474" s="654"/>
      <c r="J474" s="654"/>
      <c r="K474" s="654"/>
      <c r="L474" s="654"/>
      <c r="M474" s="654"/>
      <c r="N474" s="654"/>
      <c r="O474" s="654"/>
      <c r="P474" s="654"/>
      <c r="Q474" s="654"/>
      <c r="Y474" s="309"/>
      <c r="Z474" s="305"/>
      <c r="AE474" s="309"/>
      <c r="AF474" s="305"/>
      <c r="AH474" s="309"/>
      <c r="AI474" s="516"/>
      <c r="AO474" s="524"/>
      <c r="AU474" s="524"/>
      <c r="AX474" s="524"/>
    </row>
    <row r="475" spans="1:50" x14ac:dyDescent="0.2">
      <c r="A475" s="649"/>
      <c r="B475" s="650"/>
      <c r="C475" s="650"/>
      <c r="D475" s="650"/>
      <c r="E475" s="650"/>
      <c r="F475" s="650"/>
      <c r="G475" s="650"/>
      <c r="H475" s="650"/>
      <c r="I475" s="650"/>
      <c r="J475" s="650"/>
      <c r="K475" s="650"/>
      <c r="L475" s="650"/>
      <c r="M475" s="650"/>
      <c r="N475" s="650"/>
      <c r="O475" s="650"/>
      <c r="P475" s="650"/>
      <c r="Q475" s="650"/>
      <c r="S475" s="296"/>
      <c r="T475" s="296"/>
      <c r="U475" s="296"/>
      <c r="V475" s="296"/>
      <c r="W475" s="296"/>
      <c r="X475" s="296"/>
      <c r="Y475" s="311"/>
      <c r="Z475" s="306"/>
      <c r="AA475" s="296"/>
      <c r="AB475" s="296"/>
      <c r="AC475" s="296"/>
      <c r="AD475" s="296"/>
      <c r="AE475" s="311"/>
      <c r="AF475" s="306"/>
      <c r="AG475" s="296"/>
      <c r="AH475" s="311"/>
      <c r="AI475" s="517"/>
      <c r="AJ475" s="518"/>
      <c r="AK475" s="518"/>
      <c r="AL475" s="518"/>
      <c r="AM475" s="518"/>
      <c r="AN475" s="518"/>
      <c r="AO475" s="525"/>
      <c r="AP475" s="518"/>
      <c r="AQ475" s="518"/>
      <c r="AR475" s="518"/>
      <c r="AS475" s="518"/>
      <c r="AT475" s="518"/>
      <c r="AU475" s="525"/>
      <c r="AV475" s="518"/>
      <c r="AW475" s="518"/>
      <c r="AX475" s="525"/>
    </row>
    <row r="476" spans="1:50" x14ac:dyDescent="0.2">
      <c r="A476" s="649"/>
      <c r="B476" s="654"/>
      <c r="C476" s="654"/>
      <c r="D476" s="654"/>
      <c r="E476" s="654"/>
      <c r="F476" s="654"/>
      <c r="G476" s="654"/>
      <c r="H476" s="654"/>
      <c r="I476" s="654"/>
      <c r="J476" s="654"/>
      <c r="K476" s="654"/>
      <c r="L476" s="654"/>
      <c r="M476" s="654"/>
      <c r="N476" s="654"/>
      <c r="O476" s="654"/>
      <c r="P476" s="654"/>
      <c r="Q476" s="654"/>
      <c r="R476" s="294"/>
      <c r="Y476" s="309"/>
      <c r="Z476" s="305"/>
      <c r="AE476" s="309"/>
      <c r="AF476" s="305"/>
      <c r="AH476" s="309"/>
      <c r="AI476" s="516"/>
      <c r="AO476" s="524"/>
      <c r="AU476" s="524"/>
      <c r="AX476" s="524"/>
    </row>
    <row r="477" spans="1:50" x14ac:dyDescent="0.2">
      <c r="A477" s="649"/>
      <c r="B477" s="650"/>
      <c r="C477" s="650"/>
      <c r="D477" s="650"/>
      <c r="E477" s="650"/>
      <c r="F477" s="650"/>
      <c r="G477" s="650"/>
      <c r="H477" s="650"/>
      <c r="I477" s="650"/>
      <c r="J477" s="650"/>
      <c r="K477" s="650"/>
      <c r="L477" s="650"/>
      <c r="M477" s="650"/>
      <c r="N477" s="650"/>
      <c r="O477" s="650"/>
      <c r="P477" s="650"/>
      <c r="Q477" s="650"/>
      <c r="S477" s="296"/>
      <c r="T477" s="296"/>
      <c r="U477" s="296"/>
      <c r="V477" s="296"/>
      <c r="W477" s="296"/>
      <c r="X477" s="296"/>
      <c r="Y477" s="311"/>
      <c r="Z477" s="306"/>
      <c r="AA477" s="296"/>
      <c r="AB477" s="296"/>
      <c r="AC477" s="296"/>
      <c r="AD477" s="296"/>
      <c r="AE477" s="311"/>
      <c r="AF477" s="306"/>
      <c r="AG477" s="296"/>
      <c r="AH477" s="311"/>
      <c r="AI477" s="516"/>
      <c r="AO477" s="524"/>
      <c r="AU477" s="524"/>
      <c r="AX477" s="524"/>
    </row>
    <row r="478" spans="1:50" x14ac:dyDescent="0.2">
      <c r="A478" s="649"/>
      <c r="B478" s="654"/>
      <c r="C478" s="654"/>
      <c r="D478" s="654"/>
      <c r="E478" s="654"/>
      <c r="F478" s="654"/>
      <c r="G478" s="654"/>
      <c r="H478" s="654"/>
      <c r="I478" s="654"/>
      <c r="J478" s="654"/>
      <c r="K478" s="654"/>
      <c r="L478" s="654"/>
      <c r="M478" s="654"/>
      <c r="N478" s="654"/>
      <c r="O478" s="654"/>
      <c r="P478" s="654"/>
      <c r="Q478" s="654"/>
      <c r="R478" s="294"/>
      <c r="Y478" s="309"/>
      <c r="Z478" s="305"/>
      <c r="AE478" s="309"/>
      <c r="AF478" s="305"/>
      <c r="AH478" s="309"/>
      <c r="AI478" s="516"/>
      <c r="AO478" s="524"/>
      <c r="AU478" s="524"/>
      <c r="AX478" s="524"/>
    </row>
    <row r="479" spans="1:50" x14ac:dyDescent="0.2">
      <c r="A479" s="649"/>
      <c r="B479" s="650"/>
      <c r="C479" s="650"/>
      <c r="D479" s="650"/>
      <c r="E479" s="650"/>
      <c r="F479" s="650"/>
      <c r="G479" s="650"/>
      <c r="H479" s="650"/>
      <c r="I479" s="650"/>
      <c r="J479" s="650"/>
      <c r="K479" s="650"/>
      <c r="L479" s="650"/>
      <c r="M479" s="650"/>
      <c r="N479" s="650"/>
      <c r="O479" s="650"/>
      <c r="P479" s="650"/>
      <c r="Q479" s="650"/>
      <c r="S479" s="296"/>
      <c r="T479" s="296"/>
      <c r="U479" s="296"/>
      <c r="V479" s="296"/>
      <c r="W479" s="296"/>
      <c r="X479" s="296"/>
      <c r="Y479" s="311"/>
      <c r="Z479" s="306"/>
      <c r="AA479" s="296"/>
      <c r="AB479" s="296"/>
      <c r="AC479" s="296"/>
      <c r="AD479" s="296"/>
      <c r="AE479" s="311"/>
      <c r="AF479" s="306"/>
      <c r="AG479" s="296"/>
      <c r="AH479" s="311"/>
      <c r="AI479" s="517"/>
      <c r="AJ479" s="518"/>
      <c r="AK479" s="518"/>
      <c r="AL479" s="518"/>
      <c r="AM479" s="518"/>
      <c r="AN479" s="518"/>
      <c r="AO479" s="525"/>
      <c r="AP479" s="518"/>
      <c r="AQ479" s="518"/>
      <c r="AR479" s="518"/>
      <c r="AS479" s="518"/>
      <c r="AT479" s="518"/>
      <c r="AU479" s="525"/>
      <c r="AV479" s="518"/>
      <c r="AW479" s="518"/>
      <c r="AX479" s="525"/>
    </row>
    <row r="480" spans="1:50" x14ac:dyDescent="0.2">
      <c r="A480" s="649"/>
      <c r="B480" s="654"/>
      <c r="C480" s="654"/>
      <c r="D480" s="654"/>
      <c r="E480" s="654"/>
      <c r="F480" s="654"/>
      <c r="G480" s="654"/>
      <c r="H480" s="654"/>
      <c r="I480" s="654"/>
      <c r="J480" s="654"/>
      <c r="K480" s="654"/>
      <c r="L480" s="654"/>
      <c r="M480" s="654"/>
      <c r="N480" s="654"/>
      <c r="O480" s="654"/>
      <c r="P480" s="654"/>
      <c r="Q480" s="654"/>
      <c r="R480" s="294"/>
      <c r="Y480" s="309"/>
      <c r="Z480" s="305"/>
      <c r="AE480" s="309"/>
      <c r="AF480" s="305"/>
      <c r="AH480" s="309"/>
      <c r="AI480" s="516"/>
      <c r="AO480" s="524"/>
      <c r="AU480" s="524"/>
      <c r="AX480" s="524"/>
    </row>
    <row r="481" spans="1:50" x14ac:dyDescent="0.2">
      <c r="A481" s="649"/>
      <c r="B481" s="650"/>
      <c r="C481" s="650"/>
      <c r="D481" s="650"/>
      <c r="E481" s="650"/>
      <c r="F481" s="650"/>
      <c r="G481" s="650"/>
      <c r="H481" s="650"/>
      <c r="I481" s="650"/>
      <c r="J481" s="650"/>
      <c r="K481" s="650"/>
      <c r="L481" s="650"/>
      <c r="M481" s="650"/>
      <c r="N481" s="650"/>
      <c r="O481" s="650"/>
      <c r="P481" s="650"/>
      <c r="Q481" s="650"/>
      <c r="S481" s="296"/>
      <c r="T481" s="296"/>
      <c r="U481" s="296"/>
      <c r="V481" s="296"/>
      <c r="W481" s="296"/>
      <c r="X481" s="296"/>
      <c r="Y481" s="311"/>
      <c r="Z481" s="306"/>
      <c r="AA481" s="296"/>
      <c r="AB481" s="296"/>
      <c r="AC481" s="296"/>
      <c r="AD481" s="296"/>
      <c r="AE481" s="311"/>
      <c r="AF481" s="306"/>
      <c r="AG481" s="296"/>
      <c r="AH481" s="311"/>
      <c r="AI481" s="516"/>
      <c r="AO481" s="524"/>
      <c r="AU481" s="524"/>
      <c r="AX481" s="524"/>
    </row>
    <row r="482" spans="1:50" x14ac:dyDescent="0.2">
      <c r="A482" s="649"/>
      <c r="B482" s="640"/>
      <c r="C482" s="640"/>
      <c r="D482" s="640"/>
      <c r="E482" s="640"/>
      <c r="F482" s="640"/>
      <c r="G482" s="640"/>
      <c r="H482" s="640"/>
      <c r="I482" s="640"/>
      <c r="J482" s="640"/>
      <c r="K482" s="640"/>
      <c r="L482" s="640"/>
      <c r="M482" s="640"/>
      <c r="N482" s="640"/>
      <c r="O482" s="640"/>
      <c r="P482" s="640"/>
      <c r="Q482" s="640"/>
      <c r="R482" s="294"/>
      <c r="Y482" s="309"/>
      <c r="Z482" s="305"/>
      <c r="AE482" s="309"/>
      <c r="AF482" s="305"/>
      <c r="AH482" s="309"/>
      <c r="AI482" s="516"/>
      <c r="AO482" s="524"/>
      <c r="AU482" s="524"/>
      <c r="AX482" s="524"/>
    </row>
    <row r="483" spans="1:50" x14ac:dyDescent="0.2">
      <c r="A483" s="649"/>
      <c r="B483" s="650"/>
      <c r="C483" s="650"/>
      <c r="D483" s="650"/>
      <c r="E483" s="650"/>
      <c r="F483" s="650"/>
      <c r="G483" s="650"/>
      <c r="H483" s="650"/>
      <c r="I483" s="650"/>
      <c r="J483" s="650"/>
      <c r="K483" s="650"/>
      <c r="L483" s="650"/>
      <c r="M483" s="650"/>
      <c r="N483" s="650"/>
      <c r="O483" s="650"/>
      <c r="P483" s="650"/>
      <c r="Q483" s="650"/>
      <c r="S483" s="296"/>
      <c r="T483" s="296"/>
      <c r="U483" s="296"/>
      <c r="V483" s="296"/>
      <c r="W483" s="296"/>
      <c r="X483" s="296"/>
      <c r="Y483" s="311"/>
      <c r="Z483" s="306"/>
      <c r="AA483" s="296"/>
      <c r="AB483" s="296"/>
      <c r="AC483" s="296"/>
      <c r="AD483" s="296"/>
      <c r="AE483" s="311"/>
      <c r="AF483" s="306"/>
      <c r="AG483" s="296"/>
      <c r="AH483" s="311"/>
      <c r="AI483" s="517"/>
      <c r="AJ483" s="518"/>
      <c r="AK483" s="518"/>
      <c r="AL483" s="518"/>
      <c r="AM483" s="518"/>
      <c r="AN483" s="518"/>
      <c r="AO483" s="525"/>
      <c r="AP483" s="518"/>
      <c r="AQ483" s="518"/>
      <c r="AR483" s="518"/>
      <c r="AS483" s="518"/>
      <c r="AT483" s="518"/>
      <c r="AU483" s="525"/>
      <c r="AV483" s="518"/>
      <c r="AW483" s="518"/>
      <c r="AX483" s="525"/>
    </row>
    <row r="484" spans="1:50" x14ac:dyDescent="0.2">
      <c r="A484" s="649"/>
      <c r="B484" s="640"/>
      <c r="C484" s="640"/>
      <c r="D484" s="640"/>
      <c r="E484" s="640"/>
      <c r="F484" s="640"/>
      <c r="G484" s="640"/>
      <c r="H484" s="640"/>
      <c r="I484" s="640"/>
      <c r="J484" s="640"/>
      <c r="K484" s="640"/>
      <c r="L484" s="640"/>
      <c r="M484" s="640"/>
      <c r="N484" s="640"/>
      <c r="O484" s="640"/>
      <c r="P484" s="640"/>
      <c r="Q484" s="640"/>
      <c r="R484" s="294"/>
      <c r="Y484" s="309"/>
      <c r="Z484" s="305"/>
      <c r="AE484" s="309"/>
      <c r="AF484" s="305"/>
      <c r="AH484" s="309"/>
      <c r="AI484" s="516"/>
      <c r="AO484" s="524"/>
      <c r="AU484" s="524"/>
      <c r="AX484" s="524"/>
    </row>
    <row r="485" spans="1:50" x14ac:dyDescent="0.2">
      <c r="A485" s="649"/>
      <c r="B485" s="650"/>
      <c r="C485" s="650"/>
      <c r="D485" s="650"/>
      <c r="E485" s="650"/>
      <c r="F485" s="650"/>
      <c r="G485" s="650"/>
      <c r="H485" s="650"/>
      <c r="I485" s="650"/>
      <c r="J485" s="650"/>
      <c r="K485" s="650"/>
      <c r="L485" s="650"/>
      <c r="M485" s="650"/>
      <c r="N485" s="650"/>
      <c r="O485" s="650"/>
      <c r="P485" s="650"/>
      <c r="Q485" s="650"/>
      <c r="S485" s="296"/>
      <c r="T485" s="296"/>
      <c r="U485" s="296"/>
      <c r="V485" s="296"/>
      <c r="W485" s="296"/>
      <c r="X485" s="296"/>
      <c r="Y485" s="311"/>
      <c r="Z485" s="306"/>
      <c r="AA485" s="296"/>
      <c r="AB485" s="296"/>
      <c r="AC485" s="296"/>
      <c r="AD485" s="296"/>
      <c r="AE485" s="311"/>
      <c r="AF485" s="306"/>
      <c r="AG485" s="296"/>
      <c r="AH485" s="311"/>
      <c r="AI485" s="516"/>
      <c r="AO485" s="524"/>
      <c r="AU485" s="524"/>
      <c r="AX485" s="524"/>
    </row>
    <row r="486" spans="1:50" x14ac:dyDescent="0.2">
      <c r="A486" s="649"/>
      <c r="B486" s="640"/>
      <c r="C486" s="640"/>
      <c r="D486" s="640"/>
      <c r="E486" s="640"/>
      <c r="F486" s="640"/>
      <c r="G486" s="640"/>
      <c r="H486" s="640"/>
      <c r="I486" s="640"/>
      <c r="J486" s="640"/>
      <c r="K486" s="640"/>
      <c r="L486" s="640"/>
      <c r="M486" s="640"/>
      <c r="N486" s="640"/>
      <c r="O486" s="640"/>
      <c r="P486" s="640"/>
      <c r="Q486" s="640"/>
      <c r="R486" s="294"/>
      <c r="Y486" s="309"/>
      <c r="Z486" s="305"/>
      <c r="AE486" s="309"/>
      <c r="AF486" s="305"/>
      <c r="AH486" s="309"/>
      <c r="AI486" s="516"/>
      <c r="AO486" s="524"/>
      <c r="AU486" s="524"/>
      <c r="AX486" s="524"/>
    </row>
    <row r="487" spans="1:50" x14ac:dyDescent="0.2">
      <c r="A487" s="649"/>
      <c r="B487" s="650"/>
      <c r="C487" s="650"/>
      <c r="D487" s="650"/>
      <c r="E487" s="650"/>
      <c r="F487" s="650"/>
      <c r="G487" s="650"/>
      <c r="H487" s="650"/>
      <c r="I487" s="650"/>
      <c r="J487" s="650"/>
      <c r="K487" s="650"/>
      <c r="L487" s="650"/>
      <c r="M487" s="650"/>
      <c r="N487" s="650"/>
      <c r="O487" s="650"/>
      <c r="P487" s="650"/>
      <c r="Q487" s="650"/>
      <c r="S487" s="296"/>
      <c r="T487" s="296"/>
      <c r="U487" s="296"/>
      <c r="V487" s="296"/>
      <c r="W487" s="296"/>
      <c r="X487" s="296"/>
      <c r="Y487" s="311"/>
      <c r="Z487" s="306"/>
      <c r="AA487" s="296"/>
      <c r="AB487" s="296"/>
      <c r="AC487" s="296"/>
      <c r="AD487" s="296"/>
      <c r="AE487" s="311"/>
      <c r="AF487" s="306"/>
      <c r="AG487" s="296"/>
      <c r="AH487" s="311"/>
      <c r="AI487" s="517"/>
      <c r="AJ487" s="518"/>
      <c r="AK487" s="518"/>
      <c r="AL487" s="518"/>
      <c r="AM487" s="518"/>
      <c r="AN487" s="518"/>
      <c r="AO487" s="525"/>
      <c r="AP487" s="518"/>
      <c r="AQ487" s="518"/>
      <c r="AR487" s="518"/>
      <c r="AS487" s="518"/>
      <c r="AT487" s="518"/>
      <c r="AU487" s="525"/>
      <c r="AV487" s="518"/>
      <c r="AW487" s="518"/>
      <c r="AX487" s="525"/>
    </row>
    <row r="488" spans="1:50" x14ac:dyDescent="0.2">
      <c r="A488" s="649"/>
      <c r="B488" s="640"/>
      <c r="C488" s="640"/>
      <c r="D488" s="640"/>
      <c r="E488" s="640"/>
      <c r="F488" s="640"/>
      <c r="G488" s="640"/>
      <c r="H488" s="640"/>
      <c r="I488" s="640"/>
      <c r="J488" s="640"/>
      <c r="K488" s="640"/>
      <c r="L488" s="640"/>
      <c r="M488" s="640"/>
      <c r="N488" s="640"/>
      <c r="O488" s="640"/>
      <c r="P488" s="640"/>
      <c r="Q488" s="640"/>
      <c r="R488" s="294"/>
      <c r="Y488" s="309"/>
      <c r="Z488" s="305"/>
      <c r="AE488" s="309"/>
      <c r="AF488" s="305"/>
      <c r="AH488" s="309"/>
      <c r="AI488" s="516"/>
      <c r="AO488" s="524"/>
      <c r="AU488" s="524"/>
      <c r="AX488" s="524"/>
    </row>
    <row r="489" spans="1:50" x14ac:dyDescent="0.2">
      <c r="A489" s="649"/>
      <c r="B489" s="650"/>
      <c r="C489" s="650"/>
      <c r="D489" s="650"/>
      <c r="E489" s="650"/>
      <c r="F489" s="650"/>
      <c r="G489" s="650"/>
      <c r="H489" s="650"/>
      <c r="I489" s="650"/>
      <c r="J489" s="650"/>
      <c r="K489" s="650"/>
      <c r="L489" s="650"/>
      <c r="M489" s="650"/>
      <c r="N489" s="650"/>
      <c r="O489" s="650"/>
      <c r="P489" s="650"/>
      <c r="Q489" s="650"/>
      <c r="S489" s="296"/>
      <c r="T489" s="296"/>
      <c r="U489" s="296"/>
      <c r="V489" s="296"/>
      <c r="W489" s="296"/>
      <c r="X489" s="296"/>
      <c r="Y489" s="311"/>
      <c r="Z489" s="306"/>
      <c r="AA489" s="296"/>
      <c r="AB489" s="296"/>
      <c r="AC489" s="296"/>
      <c r="AD489" s="296"/>
      <c r="AE489" s="311"/>
      <c r="AF489" s="306"/>
      <c r="AG489" s="296"/>
      <c r="AH489" s="311"/>
      <c r="AI489" s="516"/>
      <c r="AO489" s="524"/>
      <c r="AU489" s="524"/>
      <c r="AX489" s="524"/>
    </row>
    <row r="490" spans="1:50" x14ac:dyDescent="0.2">
      <c r="A490" s="649"/>
      <c r="B490" s="640"/>
      <c r="C490" s="640"/>
      <c r="D490" s="640"/>
      <c r="E490" s="640"/>
      <c r="F490" s="640"/>
      <c r="G490" s="640"/>
      <c r="H490" s="640"/>
      <c r="I490" s="640"/>
      <c r="J490" s="640"/>
      <c r="K490" s="640"/>
      <c r="L490" s="640"/>
      <c r="M490" s="640"/>
      <c r="N490" s="640"/>
      <c r="O490" s="640"/>
      <c r="P490" s="640"/>
      <c r="Q490" s="640"/>
      <c r="R490" s="294"/>
      <c r="Y490" s="309"/>
      <c r="Z490" s="305"/>
      <c r="AE490" s="309"/>
      <c r="AF490" s="305"/>
      <c r="AH490" s="309"/>
      <c r="AI490" s="516"/>
      <c r="AO490" s="524"/>
      <c r="AU490" s="524"/>
      <c r="AX490" s="524"/>
    </row>
    <row r="491" spans="1:50" x14ac:dyDescent="0.2">
      <c r="A491" s="649"/>
      <c r="B491" s="650"/>
      <c r="C491" s="650"/>
      <c r="D491" s="650"/>
      <c r="E491" s="650"/>
      <c r="F491" s="650"/>
      <c r="G491" s="650"/>
      <c r="H491" s="650"/>
      <c r="I491" s="650"/>
      <c r="J491" s="650"/>
      <c r="K491" s="650"/>
      <c r="L491" s="650"/>
      <c r="M491" s="650"/>
      <c r="N491" s="650"/>
      <c r="O491" s="650"/>
      <c r="P491" s="650"/>
      <c r="Q491" s="650"/>
      <c r="S491" s="296"/>
      <c r="T491" s="296"/>
      <c r="U491" s="296"/>
      <c r="V491" s="296"/>
      <c r="W491" s="296"/>
      <c r="X491" s="296"/>
      <c r="Y491" s="311"/>
      <c r="Z491" s="306"/>
      <c r="AA491" s="296"/>
      <c r="AB491" s="296"/>
      <c r="AC491" s="296"/>
      <c r="AD491" s="296"/>
      <c r="AE491" s="311"/>
      <c r="AF491" s="306"/>
      <c r="AG491" s="296"/>
      <c r="AH491" s="311"/>
      <c r="AI491" s="517"/>
      <c r="AJ491" s="518"/>
      <c r="AK491" s="518"/>
      <c r="AL491" s="518"/>
      <c r="AM491" s="518"/>
      <c r="AN491" s="518"/>
      <c r="AO491" s="525"/>
      <c r="AP491" s="518"/>
      <c r="AQ491" s="518"/>
      <c r="AR491" s="518"/>
      <c r="AS491" s="518"/>
      <c r="AT491" s="518"/>
      <c r="AU491" s="525"/>
      <c r="AV491" s="518"/>
      <c r="AW491" s="518"/>
      <c r="AX491" s="525"/>
    </row>
    <row r="492" spans="1:50" x14ac:dyDescent="0.2">
      <c r="A492" s="649"/>
      <c r="B492" s="640"/>
      <c r="C492" s="640"/>
      <c r="D492" s="640"/>
      <c r="E492" s="640"/>
      <c r="F492" s="640"/>
      <c r="G492" s="640"/>
      <c r="H492" s="640"/>
      <c r="I492" s="640"/>
      <c r="J492" s="640"/>
      <c r="K492" s="640"/>
      <c r="L492" s="640"/>
      <c r="M492" s="640"/>
      <c r="N492" s="640"/>
      <c r="O492" s="640"/>
      <c r="P492" s="640"/>
      <c r="Q492" s="640"/>
      <c r="R492" s="294"/>
      <c r="Y492" s="309"/>
      <c r="Z492" s="305"/>
      <c r="AE492" s="309"/>
      <c r="AF492" s="305"/>
      <c r="AH492" s="309"/>
      <c r="AI492" s="516"/>
      <c r="AO492" s="524"/>
      <c r="AU492" s="524"/>
      <c r="AX492" s="524"/>
    </row>
    <row r="493" spans="1:50" x14ac:dyDescent="0.2">
      <c r="A493" s="649"/>
      <c r="B493" s="650"/>
      <c r="C493" s="650"/>
      <c r="D493" s="650"/>
      <c r="E493" s="650"/>
      <c r="F493" s="650"/>
      <c r="G493" s="650"/>
      <c r="H493" s="650"/>
      <c r="I493" s="650"/>
      <c r="J493" s="650"/>
      <c r="K493" s="650"/>
      <c r="L493" s="650"/>
      <c r="M493" s="650"/>
      <c r="N493" s="650"/>
      <c r="O493" s="650"/>
      <c r="P493" s="650"/>
      <c r="Q493" s="650"/>
      <c r="S493" s="296"/>
      <c r="T493" s="296"/>
      <c r="U493" s="296"/>
      <c r="V493" s="296"/>
      <c r="W493" s="296"/>
      <c r="X493" s="296"/>
      <c r="Y493" s="311"/>
      <c r="Z493" s="306"/>
      <c r="AA493" s="296"/>
      <c r="AB493" s="296"/>
      <c r="AC493" s="296"/>
      <c r="AD493" s="296"/>
      <c r="AE493" s="311"/>
      <c r="AF493" s="306"/>
      <c r="AG493" s="296"/>
      <c r="AH493" s="311"/>
      <c r="AI493" s="516"/>
      <c r="AO493" s="524"/>
      <c r="AU493" s="524"/>
      <c r="AX493" s="524"/>
    </row>
    <row r="494" spans="1:50" x14ac:dyDescent="0.2">
      <c r="A494" s="649"/>
      <c r="B494" s="640"/>
      <c r="C494" s="640"/>
      <c r="D494" s="640"/>
      <c r="E494" s="640"/>
      <c r="F494" s="640"/>
      <c r="G494" s="640"/>
      <c r="H494" s="640"/>
      <c r="I494" s="640"/>
      <c r="J494" s="640"/>
      <c r="K494" s="640"/>
      <c r="L494" s="640"/>
      <c r="M494" s="640"/>
      <c r="N494" s="640"/>
      <c r="O494" s="640"/>
      <c r="P494" s="640"/>
      <c r="Q494" s="640"/>
      <c r="R494" s="294"/>
      <c r="Y494" s="309"/>
      <c r="Z494" s="305"/>
      <c r="AE494" s="309"/>
      <c r="AF494" s="305"/>
      <c r="AH494" s="309"/>
      <c r="AI494" s="516"/>
      <c r="AO494" s="524"/>
      <c r="AU494" s="524"/>
      <c r="AX494" s="524"/>
    </row>
    <row r="495" spans="1:50" ht="13.5" thickBot="1" x14ac:dyDescent="0.25">
      <c r="A495" s="651"/>
      <c r="B495" s="652"/>
      <c r="C495" s="652"/>
      <c r="D495" s="652"/>
      <c r="E495" s="652"/>
      <c r="F495" s="652"/>
      <c r="G495" s="652"/>
      <c r="H495" s="652"/>
      <c r="I495" s="652"/>
      <c r="J495" s="652"/>
      <c r="K495" s="652"/>
      <c r="L495" s="652"/>
      <c r="M495" s="652"/>
      <c r="N495" s="652"/>
      <c r="O495" s="652"/>
      <c r="P495" s="652"/>
      <c r="Q495" s="652"/>
      <c r="S495" s="302"/>
      <c r="T495" s="302"/>
      <c r="U495" s="302"/>
      <c r="V495" s="302"/>
      <c r="W495" s="302"/>
      <c r="X495" s="302"/>
      <c r="Y495" s="312"/>
      <c r="Z495" s="307"/>
      <c r="AA495" s="302"/>
      <c r="AB495" s="302"/>
      <c r="AC495" s="302"/>
      <c r="AD495" s="302"/>
      <c r="AE495" s="312"/>
      <c r="AF495" s="307"/>
      <c r="AG495" s="302"/>
      <c r="AH495" s="312"/>
      <c r="AI495" s="519"/>
      <c r="AJ495" s="520"/>
      <c r="AK495" s="520"/>
      <c r="AL495" s="520"/>
      <c r="AM495" s="520"/>
      <c r="AN495" s="520"/>
      <c r="AO495" s="526"/>
      <c r="AP495" s="520"/>
      <c r="AQ495" s="520"/>
      <c r="AR495" s="520"/>
      <c r="AS495" s="520"/>
      <c r="AT495" s="520"/>
      <c r="AU495" s="526"/>
      <c r="AV495" s="520"/>
      <c r="AW495" s="520"/>
      <c r="AX495" s="526"/>
    </row>
    <row r="496" spans="1:50" x14ac:dyDescent="0.2">
      <c r="A496" s="298"/>
      <c r="B496" s="295"/>
      <c r="C496" s="295"/>
      <c r="D496" s="295"/>
      <c r="E496" s="295"/>
      <c r="F496" s="295"/>
      <c r="G496" s="295"/>
      <c r="H496" s="295"/>
      <c r="I496" s="295"/>
      <c r="J496" s="295"/>
      <c r="K496" s="295"/>
      <c r="L496" s="295"/>
      <c r="M496" s="295"/>
      <c r="N496" s="295"/>
      <c r="O496" s="295"/>
      <c r="P496" s="295"/>
      <c r="Q496" s="295"/>
      <c r="S496" s="295"/>
      <c r="T496" s="295"/>
      <c r="U496" s="295"/>
      <c r="V496" s="295"/>
      <c r="W496" s="295"/>
      <c r="X496" s="295"/>
      <c r="Y496" s="295"/>
      <c r="Z496" s="295"/>
      <c r="AA496" s="295"/>
      <c r="AB496" s="295"/>
      <c r="AC496" s="295"/>
      <c r="AD496" s="295"/>
      <c r="AE496" s="295"/>
      <c r="AF496" s="295"/>
      <c r="AG496" s="295"/>
      <c r="AH496" s="295"/>
    </row>
    <row r="497" spans="1:34" x14ac:dyDescent="0.2">
      <c r="A497" s="298"/>
      <c r="B497" s="295"/>
      <c r="C497" s="295"/>
      <c r="D497" s="295"/>
      <c r="E497" s="295"/>
      <c r="F497" s="295"/>
      <c r="G497" s="295"/>
      <c r="H497" s="295"/>
      <c r="I497" s="295"/>
      <c r="J497" s="295"/>
      <c r="K497" s="295"/>
      <c r="L497" s="295"/>
      <c r="M497" s="295"/>
      <c r="N497" s="295"/>
      <c r="O497" s="295"/>
      <c r="P497" s="295"/>
      <c r="Q497" s="295"/>
      <c r="S497" s="295"/>
      <c r="T497" s="295"/>
      <c r="U497" s="295"/>
      <c r="V497" s="295"/>
      <c r="W497" s="295"/>
      <c r="X497" s="295"/>
      <c r="Y497" s="295"/>
      <c r="Z497" s="295"/>
      <c r="AA497" s="295"/>
      <c r="AB497" s="295"/>
      <c r="AC497" s="295"/>
      <c r="AD497" s="295"/>
      <c r="AE497" s="295"/>
      <c r="AF497" s="295"/>
      <c r="AG497" s="295"/>
      <c r="AH497" s="29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99"/>
  <sheetViews>
    <sheetView workbookViewId="0">
      <selection sqref="A1:XFD1048576"/>
    </sheetView>
  </sheetViews>
  <sheetFormatPr defaultColWidth="9" defaultRowHeight="12.75" x14ac:dyDescent="0.2"/>
  <cols>
    <col min="1" max="1" width="20.75" style="292" customWidth="1"/>
    <col min="2" max="2" width="13.125" style="293" customWidth="1"/>
    <col min="3" max="4" width="5.125" style="293" customWidth="1"/>
    <col min="5" max="7" width="4.375" style="293" customWidth="1"/>
    <col min="8" max="8" width="11.625" style="293" customWidth="1"/>
    <col min="9" max="9" width="9" style="293" customWidth="1"/>
    <col min="10" max="11" width="5.125" style="293" customWidth="1"/>
    <col min="12" max="13" width="4.375" style="293" customWidth="1"/>
    <col min="14" max="14" width="11.5" style="293" customWidth="1"/>
    <col min="15" max="15" width="9.25" style="293" customWidth="1"/>
    <col min="16" max="16" width="4.375" style="293" customWidth="1"/>
    <col min="17" max="17" width="11.625" style="293" customWidth="1"/>
    <col min="18" max="18" width="19.375" style="298" customWidth="1"/>
    <col min="19" max="19" width="18.625" style="298" customWidth="1"/>
    <col min="20" max="21" width="19.25" style="298" customWidth="1"/>
    <col min="22" max="22" width="19.875" style="298" customWidth="1"/>
    <col min="23" max="23" width="19.25" style="298" customWidth="1"/>
    <col min="24" max="24" width="19.875" style="298" customWidth="1"/>
    <col min="25" max="25" width="18.25" style="298" customWidth="1"/>
    <col min="26" max="26" width="18.875" style="298" customWidth="1"/>
    <col min="27" max="27" width="18.5" style="298" customWidth="1"/>
    <col min="28" max="28" width="19.125" style="298" customWidth="1"/>
    <col min="29" max="29" width="19.5" style="298" customWidth="1"/>
    <col min="30" max="30" width="26.875" style="298" customWidth="1"/>
    <col min="31" max="31" width="27.5" style="298" customWidth="1"/>
    <col min="32" max="32" width="26.125" style="298" customWidth="1"/>
    <col min="33" max="33" width="26.75" style="298" customWidth="1"/>
    <col min="34" max="34" width="26" style="298" customWidth="1"/>
    <col min="35" max="36" width="26.625" style="298" customWidth="1"/>
    <col min="37" max="37" width="27.25" style="298" customWidth="1"/>
    <col min="38" max="38" width="26.625" style="298" customWidth="1"/>
    <col min="39" max="39" width="27.25" style="298" customWidth="1"/>
    <col min="40" max="40" width="25.625" style="298" customWidth="1"/>
    <col min="41" max="41" width="26.25" style="298" customWidth="1"/>
    <col min="42" max="42" width="25.875" style="298" customWidth="1"/>
    <col min="43" max="43" width="26.5" style="298" customWidth="1"/>
    <col min="44" max="44" width="20.125" style="298" customWidth="1"/>
    <col min="45" max="45" width="18.75" style="298" customWidth="1"/>
    <col min="46" max="46" width="19.375" style="298" customWidth="1"/>
    <col min="47" max="47" width="18.625" style="298" customWidth="1"/>
    <col min="48" max="49" width="19.25" style="298" customWidth="1"/>
    <col min="50" max="50" width="19.875" style="298" customWidth="1"/>
    <col min="51" max="51" width="19.25" style="298" customWidth="1"/>
    <col min="52" max="52" width="19.875" style="298" customWidth="1"/>
    <col min="53" max="53" width="18.25" style="298" customWidth="1"/>
    <col min="54" max="54" width="18.875" style="298" customWidth="1"/>
    <col min="55" max="55" width="18.5" style="298" customWidth="1"/>
    <col min="56" max="56" width="19.125" style="298" customWidth="1"/>
    <col min="57" max="57" width="19.5" style="298" customWidth="1"/>
    <col min="58" max="58" width="26.875" style="298" customWidth="1"/>
    <col min="59" max="59" width="27.5" style="298" customWidth="1"/>
    <col min="60" max="60" width="26.125" style="298" customWidth="1"/>
    <col min="61" max="61" width="26.75" style="298" customWidth="1"/>
    <col min="62" max="62" width="26" style="298" customWidth="1"/>
    <col min="63" max="64" width="26.625" style="298" customWidth="1"/>
    <col min="65" max="65" width="27.25" style="298" customWidth="1"/>
    <col min="66" max="66" width="26.625" style="298" customWidth="1"/>
    <col min="67" max="67" width="27.25" style="298" customWidth="1"/>
    <col min="68" max="68" width="25.625" style="298" customWidth="1"/>
    <col min="69" max="69" width="26.25" style="298" customWidth="1"/>
    <col min="70" max="70" width="25.875" style="298" customWidth="1"/>
    <col min="71" max="71" width="26.5" style="298" customWidth="1"/>
    <col min="72" max="72" width="20.125" style="298" customWidth="1"/>
    <col min="73" max="73" width="18.75" style="298" customWidth="1"/>
    <col min="74" max="74" width="19.375" style="298" customWidth="1"/>
    <col min="75" max="75" width="18.625" style="298" customWidth="1"/>
    <col min="76" max="77" width="19.25" style="298" customWidth="1"/>
    <col min="78" max="78" width="19.875" style="298" customWidth="1"/>
    <col min="79" max="79" width="19.25" style="298" customWidth="1"/>
    <col min="80" max="80" width="19.875" style="298" customWidth="1"/>
    <col min="81" max="81" width="18.25" style="298" customWidth="1"/>
    <col min="82" max="82" width="18.875" style="298" customWidth="1"/>
    <col min="83" max="83" width="18.5" style="298" customWidth="1"/>
    <col min="84" max="84" width="19.125" style="298" customWidth="1"/>
    <col min="85" max="85" width="19.5" style="298" customWidth="1"/>
    <col min="86" max="86" width="26.875" style="298" customWidth="1"/>
    <col min="87" max="87" width="27.5" style="298" customWidth="1"/>
    <col min="88" max="88" width="26.125" style="298" customWidth="1"/>
    <col min="89" max="89" width="26.75" style="298" customWidth="1"/>
    <col min="90" max="90" width="26" style="298" customWidth="1"/>
    <col min="91" max="92" width="26.625" style="298" customWidth="1"/>
    <col min="93" max="93" width="27.25" style="298" customWidth="1"/>
    <col min="94" max="94" width="26.625" style="298" customWidth="1"/>
    <col min="95" max="95" width="27.25" style="298" customWidth="1"/>
    <col min="96" max="96" width="25.625" style="298" customWidth="1"/>
    <col min="97" max="97" width="26.25" style="298" customWidth="1"/>
    <col min="98" max="98" width="25.875" style="298" customWidth="1"/>
    <col min="99" max="99" width="26.5" style="298" customWidth="1"/>
    <col min="100" max="100" width="20.125" style="298" customWidth="1"/>
    <col min="101" max="101" width="18.75" style="298" customWidth="1"/>
    <col min="102" max="102" width="19.375" style="298" customWidth="1"/>
    <col min="103" max="103" width="18.625" style="298" customWidth="1"/>
    <col min="104" max="105" width="19.25" style="298" customWidth="1"/>
    <col min="106" max="106" width="19.875" style="298" customWidth="1"/>
    <col min="107" max="107" width="19.25" style="298" customWidth="1"/>
    <col min="108" max="108" width="19.875" style="298" customWidth="1"/>
    <col min="109" max="109" width="18.25" style="298" customWidth="1"/>
    <col min="110" max="110" width="18.875" style="298" customWidth="1"/>
    <col min="111" max="111" width="18.5" style="298" customWidth="1"/>
    <col min="112" max="112" width="19.125" style="298" customWidth="1"/>
    <col min="113" max="113" width="19.5" style="298" customWidth="1"/>
    <col min="114" max="114" width="26.875" style="298" customWidth="1"/>
    <col min="115" max="115" width="27.5" style="298" customWidth="1"/>
    <col min="116" max="116" width="26.125" style="298" customWidth="1"/>
    <col min="117" max="117" width="26.75" style="298" customWidth="1"/>
    <col min="118" max="118" width="26" style="298" customWidth="1"/>
    <col min="119" max="120" width="26.625" style="298" customWidth="1"/>
    <col min="121" max="121" width="27.25" style="298" customWidth="1"/>
    <col min="122" max="122" width="26.625" style="298" customWidth="1"/>
    <col min="123" max="123" width="27.25" style="298" customWidth="1"/>
    <col min="124" max="124" width="25.625" style="298" customWidth="1"/>
    <col min="125" max="125" width="26.25" style="298" customWidth="1"/>
    <col min="126" max="126" width="25.875" style="298" customWidth="1"/>
    <col min="127" max="127" width="26.5" style="298" customWidth="1"/>
    <col min="128" max="128" width="20.125" style="298" customWidth="1"/>
    <col min="129" max="129" width="18.75" style="298" customWidth="1"/>
    <col min="130" max="130" width="19.375" style="298" customWidth="1"/>
    <col min="131" max="131" width="18.625" style="298" customWidth="1"/>
    <col min="132" max="133" width="19.25" style="298" customWidth="1"/>
    <col min="134" max="134" width="19.875" style="298" customWidth="1"/>
    <col min="135" max="135" width="19.25" style="298" customWidth="1"/>
    <col min="136" max="136" width="19.875" style="298" customWidth="1"/>
    <col min="137" max="137" width="18.25" style="298" customWidth="1"/>
    <col min="138" max="138" width="18.875" style="298" customWidth="1"/>
    <col min="139" max="139" width="18.5" style="298" customWidth="1"/>
    <col min="140" max="140" width="19.125" style="298" customWidth="1"/>
    <col min="141" max="141" width="19.5" style="298" customWidth="1"/>
    <col min="142" max="142" width="26.875" style="298" customWidth="1"/>
    <col min="143" max="143" width="27.5" style="298" customWidth="1"/>
    <col min="144" max="144" width="26.125" style="298" customWidth="1"/>
    <col min="145" max="145" width="26.75" style="298" customWidth="1"/>
    <col min="146" max="146" width="26" style="298" customWidth="1"/>
    <col min="147" max="148" width="26.625" style="298" customWidth="1"/>
    <col min="149" max="149" width="27.25" style="298" customWidth="1"/>
    <col min="150" max="150" width="26.625" style="298" customWidth="1"/>
    <col min="151" max="151" width="27.25" style="298" customWidth="1"/>
    <col min="152" max="152" width="25.625" style="298" customWidth="1"/>
    <col min="153" max="153" width="26.25" style="298" customWidth="1"/>
    <col min="154" max="154" width="25.875" style="298" customWidth="1"/>
    <col min="155" max="155" width="26.5" style="298" customWidth="1"/>
    <col min="156" max="156" width="20.125" style="298" customWidth="1"/>
    <col min="157" max="157" width="18.75" style="298" customWidth="1"/>
    <col min="158" max="158" width="19.375" style="298" customWidth="1"/>
    <col min="159" max="159" width="18.625" style="298" customWidth="1"/>
    <col min="160" max="161" width="19.25" style="298" customWidth="1"/>
    <col min="162" max="162" width="19.875" style="298" customWidth="1"/>
    <col min="163" max="163" width="19.25" style="298" customWidth="1"/>
    <col min="164" max="164" width="19.875" style="298" customWidth="1"/>
    <col min="165" max="165" width="18.25" style="298" customWidth="1"/>
    <col min="166" max="166" width="18.875" style="298" customWidth="1"/>
    <col min="167" max="167" width="18.5" style="298" customWidth="1"/>
    <col min="168" max="168" width="19.125" style="298" customWidth="1"/>
    <col min="169" max="169" width="19.5" style="298" customWidth="1"/>
    <col min="170" max="170" width="26.875" style="298" customWidth="1"/>
    <col min="171" max="171" width="27.5" style="298" customWidth="1"/>
    <col min="172" max="172" width="26.125" style="298" customWidth="1"/>
    <col min="173" max="173" width="26.75" style="298" customWidth="1"/>
    <col min="174" max="174" width="26" style="298" customWidth="1"/>
    <col min="175" max="176" width="26.625" style="298" customWidth="1"/>
    <col min="177" max="177" width="27.25" style="298" customWidth="1"/>
    <col min="178" max="178" width="26.625" style="298" customWidth="1"/>
    <col min="179" max="179" width="27.25" style="298" customWidth="1"/>
    <col min="180" max="180" width="25.625" style="298" customWidth="1"/>
    <col min="181" max="181" width="26.25" style="298" customWidth="1"/>
    <col min="182" max="182" width="25.875" style="298" customWidth="1"/>
    <col min="183" max="183" width="26.5" style="298" customWidth="1"/>
    <col min="184" max="184" width="20.125" style="298" customWidth="1"/>
    <col min="185" max="185" width="18.75" style="298" customWidth="1"/>
    <col min="186" max="186" width="19.375" style="298" customWidth="1"/>
    <col min="187" max="187" width="18.625" style="298" customWidth="1"/>
    <col min="188" max="189" width="19.25" style="298" customWidth="1"/>
    <col min="190" max="190" width="19.875" style="298" customWidth="1"/>
    <col min="191" max="191" width="19.25" style="298" customWidth="1"/>
    <col min="192" max="192" width="19.875" style="298" customWidth="1"/>
    <col min="193" max="193" width="18.25" style="298" customWidth="1"/>
    <col min="194" max="194" width="18.875" style="298" customWidth="1"/>
    <col min="195" max="195" width="18.5" style="298" customWidth="1"/>
    <col min="196" max="196" width="19.125" style="298" customWidth="1"/>
    <col min="197" max="197" width="19.5" style="298" customWidth="1"/>
    <col min="198" max="198" width="26.875" style="298" customWidth="1"/>
    <col min="199" max="199" width="27.5" style="298" customWidth="1"/>
    <col min="200" max="200" width="26.125" style="298" customWidth="1"/>
    <col min="201" max="201" width="26.75" style="298" customWidth="1"/>
    <col min="202" max="202" width="26" style="298" customWidth="1"/>
    <col min="203" max="204" width="26.625" style="298" customWidth="1"/>
    <col min="205" max="205" width="27.25" style="298" customWidth="1"/>
    <col min="206" max="206" width="26.625" style="298" customWidth="1"/>
    <col min="207" max="207" width="27.25" style="298" customWidth="1"/>
    <col min="208" max="208" width="25.625" style="298" customWidth="1"/>
    <col min="209" max="209" width="26.25" style="298" customWidth="1"/>
    <col min="210" max="210" width="25.875" style="298" customWidth="1"/>
    <col min="211" max="211" width="26.5" style="298" customWidth="1"/>
    <col min="212" max="212" width="20.125" style="298" customWidth="1"/>
    <col min="213" max="213" width="18.75" style="298" customWidth="1"/>
    <col min="214" max="214" width="19.375" style="298" customWidth="1"/>
    <col min="215" max="215" width="18.625" style="298" customWidth="1"/>
    <col min="216" max="217" width="19.25" style="298" customWidth="1"/>
    <col min="218" max="218" width="19.875" style="298" customWidth="1"/>
    <col min="219" max="219" width="19.25" style="298" customWidth="1"/>
    <col min="220" max="220" width="19.875" style="298" customWidth="1"/>
    <col min="221" max="221" width="18.25" style="298" customWidth="1"/>
    <col min="222" max="222" width="18.875" style="298" customWidth="1"/>
    <col min="223" max="223" width="18.5" style="298" customWidth="1"/>
    <col min="224" max="224" width="19.125" style="298" customWidth="1"/>
    <col min="225" max="225" width="19.5" style="298" customWidth="1"/>
    <col min="226" max="226" width="26.875" style="298" customWidth="1"/>
    <col min="227" max="227" width="27.5" style="298" customWidth="1"/>
    <col min="228" max="228" width="26.125" style="298" customWidth="1"/>
    <col min="229" max="229" width="26.75" style="298" customWidth="1"/>
    <col min="230" max="230" width="26" style="298" customWidth="1"/>
    <col min="231" max="232" width="26.625" style="298" customWidth="1"/>
    <col min="233" max="233" width="27.25" style="298" customWidth="1"/>
    <col min="234" max="234" width="26.625" style="298" customWidth="1"/>
    <col min="235" max="235" width="27.25" style="298" customWidth="1"/>
    <col min="236" max="236" width="25.625" style="298" customWidth="1"/>
    <col min="237" max="237" width="26.25" style="298" customWidth="1"/>
    <col min="238" max="238" width="25.875" style="298" customWidth="1"/>
    <col min="239" max="239" width="26.5" style="298" customWidth="1"/>
    <col min="240" max="240" width="20.125" style="298" customWidth="1"/>
    <col min="241" max="241" width="18.75" style="298" customWidth="1"/>
    <col min="242" max="242" width="19.375" style="298" customWidth="1"/>
    <col min="243" max="243" width="18.625" style="298" customWidth="1"/>
    <col min="244" max="245" width="19.25" style="298" customWidth="1"/>
    <col min="246" max="246" width="19.875" style="298" customWidth="1"/>
    <col min="247" max="247" width="19.25" style="298" customWidth="1"/>
    <col min="248" max="248" width="19.875" style="298" customWidth="1"/>
    <col min="249" max="249" width="18.25" style="298" customWidth="1"/>
    <col min="250" max="250" width="18.875" style="298" customWidth="1"/>
    <col min="251" max="251" width="18.5" style="298" customWidth="1"/>
    <col min="252" max="252" width="19.125" style="298" customWidth="1"/>
    <col min="253" max="253" width="19.5" style="298" customWidth="1"/>
    <col min="254" max="254" width="26.875" style="298" customWidth="1"/>
    <col min="255" max="255" width="27.5" style="298" customWidth="1"/>
    <col min="256" max="256" width="26.125" style="298" customWidth="1"/>
    <col min="257" max="257" width="26.75" style="298" customWidth="1"/>
    <col min="258" max="258" width="26" style="298" customWidth="1"/>
    <col min="259" max="260" width="26.625" style="298" customWidth="1"/>
    <col min="261" max="261" width="27.25" style="298" customWidth="1"/>
    <col min="262" max="262" width="26.625" style="298" customWidth="1"/>
    <col min="263" max="263" width="27.25" style="298" customWidth="1"/>
    <col min="264" max="264" width="25.625" style="298" customWidth="1"/>
    <col min="265" max="265" width="26.25" style="298" customWidth="1"/>
    <col min="266" max="266" width="25.875" style="298" customWidth="1"/>
    <col min="267" max="267" width="26.5" style="298" customWidth="1"/>
    <col min="268" max="268" width="20.125" style="298" customWidth="1"/>
    <col min="269" max="269" width="18.75" style="298" customWidth="1"/>
    <col min="270" max="270" width="19.375" style="298" customWidth="1"/>
    <col min="271" max="271" width="18.625" style="298" customWidth="1"/>
    <col min="272" max="273" width="19.25" style="298" customWidth="1"/>
    <col min="274" max="274" width="19.875" style="298" customWidth="1"/>
    <col min="275" max="275" width="19.25" style="298" customWidth="1"/>
    <col min="276" max="276" width="19.875" style="298" customWidth="1"/>
    <col min="277" max="277" width="18.25" style="298" customWidth="1"/>
    <col min="278" max="278" width="18.875" style="298" customWidth="1"/>
    <col min="279" max="279" width="18.5" style="298" customWidth="1"/>
    <col min="280" max="280" width="19.125" style="298" customWidth="1"/>
    <col min="281" max="281" width="19.5" style="298" customWidth="1"/>
    <col min="282" max="282" width="26.875" style="298" customWidth="1"/>
    <col min="283" max="283" width="27.5" style="298" customWidth="1"/>
    <col min="284" max="284" width="26.125" style="298" customWidth="1"/>
    <col min="285" max="285" width="26.75" style="298" customWidth="1"/>
    <col min="286" max="286" width="26" style="298" customWidth="1"/>
    <col min="287" max="288" width="26.625" style="298" customWidth="1"/>
    <col min="289" max="289" width="27.25" style="298" customWidth="1"/>
    <col min="290" max="290" width="26.625" style="298" customWidth="1"/>
    <col min="291" max="291" width="27.25" style="298" customWidth="1"/>
    <col min="292" max="292" width="25.625" style="298" customWidth="1"/>
    <col min="293" max="293" width="26.25" style="298" customWidth="1"/>
    <col min="294" max="294" width="25.875" style="298" customWidth="1"/>
    <col min="295" max="295" width="26.5" style="298" customWidth="1"/>
    <col min="296" max="296" width="20.125" style="298" customWidth="1"/>
    <col min="297" max="297" width="18.75" style="298" customWidth="1"/>
    <col min="298" max="298" width="19.375" style="298" customWidth="1"/>
    <col min="299" max="299" width="18.625" style="298" customWidth="1"/>
    <col min="300" max="301" width="19.25" style="298" customWidth="1"/>
    <col min="302" max="302" width="19.875" style="298" customWidth="1"/>
    <col min="303" max="303" width="19.25" style="298" customWidth="1"/>
    <col min="304" max="304" width="19.875" style="298" customWidth="1"/>
    <col min="305" max="305" width="18.25" style="298" customWidth="1"/>
    <col min="306" max="306" width="18.875" style="298" customWidth="1"/>
    <col min="307" max="307" width="18.5" style="298" customWidth="1"/>
    <col min="308" max="308" width="19.125" style="298" customWidth="1"/>
    <col min="309" max="309" width="19.5" style="298" customWidth="1"/>
    <col min="310" max="310" width="26.875" style="298" customWidth="1"/>
    <col min="311" max="311" width="27.5" style="298" customWidth="1"/>
    <col min="312" max="312" width="26.125" style="298" customWidth="1"/>
    <col min="313" max="313" width="26.75" style="298" customWidth="1"/>
    <col min="314" max="314" width="26" style="298" customWidth="1"/>
    <col min="315" max="316" width="26.625" style="298" customWidth="1"/>
    <col min="317" max="317" width="27.25" style="298" customWidth="1"/>
    <col min="318" max="318" width="26.625" style="298" customWidth="1"/>
    <col min="319" max="319" width="27.25" style="298" customWidth="1"/>
    <col min="320" max="320" width="25.625" style="298" customWidth="1"/>
    <col min="321" max="321" width="26.25" style="298" customWidth="1"/>
    <col min="322" max="322" width="25.875" style="298" customWidth="1"/>
    <col min="323" max="323" width="26.5" style="298" customWidth="1"/>
    <col min="324" max="324" width="20.125" style="298" customWidth="1"/>
    <col min="325" max="325" width="18.75" style="298" customWidth="1"/>
    <col min="326" max="326" width="19.375" style="298" customWidth="1"/>
    <col min="327" max="327" width="18.625" style="298" customWidth="1"/>
    <col min="328" max="329" width="19.25" style="298" customWidth="1"/>
    <col min="330" max="330" width="19.875" style="298" customWidth="1"/>
    <col min="331" max="331" width="19.25" style="298" customWidth="1"/>
    <col min="332" max="332" width="19.875" style="298" customWidth="1"/>
    <col min="333" max="333" width="18.25" style="298" customWidth="1"/>
    <col min="334" max="334" width="18.875" style="298" customWidth="1"/>
    <col min="335" max="335" width="18.5" style="298" customWidth="1"/>
    <col min="336" max="336" width="19.125" style="298" customWidth="1"/>
    <col min="337" max="337" width="19.5" style="298" customWidth="1"/>
    <col min="338" max="338" width="26.875" style="298" customWidth="1"/>
    <col min="339" max="339" width="27.5" style="298" customWidth="1"/>
    <col min="340" max="340" width="26.125" style="298" customWidth="1"/>
    <col min="341" max="341" width="26.75" style="298" customWidth="1"/>
    <col min="342" max="342" width="26" style="298" customWidth="1"/>
    <col min="343" max="344" width="26.625" style="298" customWidth="1"/>
    <col min="345" max="345" width="27.25" style="298" customWidth="1"/>
    <col min="346" max="346" width="26.625" style="298" customWidth="1"/>
    <col min="347" max="347" width="27.25" style="298" customWidth="1"/>
    <col min="348" max="348" width="25.625" style="298" customWidth="1"/>
    <col min="349" max="349" width="26.25" style="298" customWidth="1"/>
    <col min="350" max="350" width="25.875" style="298" customWidth="1"/>
    <col min="351" max="351" width="26.5" style="298" customWidth="1"/>
    <col min="352" max="352" width="20.125" style="298" customWidth="1"/>
    <col min="353" max="353" width="18.75" style="298" customWidth="1"/>
    <col min="354" max="354" width="19.375" style="298" customWidth="1"/>
    <col min="355" max="355" width="18.625" style="298" customWidth="1"/>
    <col min="356" max="357" width="19.25" style="298" customWidth="1"/>
    <col min="358" max="358" width="19.875" style="298" customWidth="1"/>
    <col min="359" max="359" width="19.25" style="298" customWidth="1"/>
    <col min="360" max="360" width="19.875" style="298" customWidth="1"/>
    <col min="361" max="361" width="18.25" style="298" customWidth="1"/>
    <col min="362" max="362" width="18.875" style="298" customWidth="1"/>
    <col min="363" max="363" width="18.5" style="298" customWidth="1"/>
    <col min="364" max="364" width="19.125" style="298" customWidth="1"/>
    <col min="365" max="365" width="24.5" style="298" customWidth="1"/>
    <col min="366" max="366" width="31.875" style="298" bestFit="1" customWidth="1"/>
    <col min="367" max="367" width="32.5" style="298" bestFit="1" customWidth="1"/>
    <col min="368" max="368" width="31.125" style="298" bestFit="1" customWidth="1"/>
    <col min="369" max="369" width="31.75" style="298" bestFit="1" customWidth="1"/>
    <col min="370" max="370" width="31" style="298" bestFit="1" customWidth="1"/>
    <col min="371" max="372" width="31.625" style="298" bestFit="1" customWidth="1"/>
    <col min="373" max="373" width="32.25" style="298" bestFit="1" customWidth="1"/>
    <col min="374" max="374" width="31.625" style="298" bestFit="1" customWidth="1"/>
    <col min="375" max="375" width="32.25" style="298" bestFit="1" customWidth="1"/>
    <col min="376" max="376" width="30.625" style="298" bestFit="1" customWidth="1"/>
    <col min="377" max="377" width="31.25" style="298" bestFit="1" customWidth="1"/>
    <col min="378" max="378" width="30.875" style="298" bestFit="1" customWidth="1"/>
    <col min="379" max="379" width="31.5" style="298" bestFit="1" customWidth="1"/>
    <col min="380" max="380" width="25.125" style="298" bestFit="1" customWidth="1"/>
    <col min="381" max="381" width="23.75" style="298" bestFit="1" customWidth="1"/>
    <col min="382" max="382" width="24.375" style="298" bestFit="1" customWidth="1"/>
    <col min="383" max="383" width="23.625" style="298" bestFit="1" customWidth="1"/>
    <col min="384" max="385" width="24.25" style="298" bestFit="1" customWidth="1"/>
    <col min="386" max="386" width="24.875" style="298" bestFit="1" customWidth="1"/>
    <col min="387" max="387" width="24.25" style="298" bestFit="1" customWidth="1"/>
    <col min="388" max="388" width="24.875" style="298" bestFit="1" customWidth="1"/>
    <col min="389" max="389" width="23.25" style="298" bestFit="1" customWidth="1"/>
    <col min="390" max="390" width="23.875" style="298" bestFit="1" customWidth="1"/>
    <col min="391" max="391" width="23.5" style="298" bestFit="1" customWidth="1"/>
    <col min="392" max="392" width="24.125" style="298" bestFit="1" customWidth="1"/>
    <col min="393" max="16384" width="9" style="298"/>
  </cols>
  <sheetData>
    <row r="1" spans="1:17" x14ac:dyDescent="0.2">
      <c r="A1" s="637"/>
      <c r="B1" s="640"/>
      <c r="C1" s="640"/>
      <c r="D1" s="640"/>
      <c r="E1" s="640"/>
      <c r="F1" s="640"/>
      <c r="G1" s="640"/>
      <c r="H1" s="640"/>
      <c r="I1" s="640"/>
      <c r="J1" s="640"/>
      <c r="K1" s="640"/>
      <c r="L1" s="640"/>
      <c r="M1" s="640"/>
      <c r="N1" s="640"/>
      <c r="O1" s="640"/>
      <c r="P1" s="640"/>
      <c r="Q1" s="640"/>
    </row>
    <row r="2" spans="1:17" s="300" customFormat="1" x14ac:dyDescent="0.2">
      <c r="A2" s="637"/>
      <c r="B2" s="640"/>
      <c r="C2" s="640"/>
      <c r="D2" s="640"/>
      <c r="E2" s="640"/>
      <c r="F2" s="640"/>
      <c r="G2" s="640"/>
      <c r="H2" s="640"/>
      <c r="I2" s="640"/>
      <c r="J2" s="640"/>
      <c r="K2" s="640"/>
      <c r="L2" s="640"/>
      <c r="M2" s="640"/>
      <c r="N2" s="640"/>
      <c r="O2" s="640"/>
      <c r="P2" s="640"/>
      <c r="Q2" s="640"/>
    </row>
    <row r="3" spans="1:17" x14ac:dyDescent="0.2">
      <c r="A3" s="637"/>
      <c r="B3" s="640"/>
      <c r="C3" s="640"/>
      <c r="D3" s="640"/>
      <c r="E3" s="640"/>
      <c r="F3" s="640"/>
      <c r="G3" s="640"/>
      <c r="H3" s="640"/>
      <c r="I3" s="640"/>
      <c r="J3" s="640"/>
      <c r="K3" s="640"/>
      <c r="L3" s="640"/>
      <c r="M3" s="640"/>
      <c r="N3" s="640"/>
      <c r="O3" s="640"/>
      <c r="P3" s="640"/>
      <c r="Q3" s="640"/>
    </row>
    <row r="4" spans="1:17" x14ac:dyDescent="0.2">
      <c r="A4" s="638"/>
      <c r="B4" s="640"/>
      <c r="C4" s="640"/>
      <c r="D4" s="640"/>
      <c r="E4" s="640"/>
      <c r="F4" s="640"/>
      <c r="G4" s="640"/>
      <c r="H4" s="640"/>
      <c r="I4" s="640"/>
      <c r="J4" s="640"/>
      <c r="K4" s="640"/>
      <c r="L4" s="640"/>
      <c r="M4" s="640"/>
      <c r="N4" s="640"/>
      <c r="O4" s="640"/>
      <c r="P4" s="640"/>
      <c r="Q4" s="640"/>
    </row>
    <row r="5" spans="1:17" x14ac:dyDescent="0.2">
      <c r="A5" s="639"/>
      <c r="B5" s="640"/>
      <c r="C5" s="640"/>
      <c r="D5" s="640"/>
      <c r="E5" s="640"/>
      <c r="F5" s="640"/>
      <c r="G5" s="640"/>
      <c r="H5" s="640"/>
      <c r="I5" s="640"/>
      <c r="J5" s="640"/>
      <c r="K5" s="640"/>
      <c r="L5" s="640"/>
      <c r="M5" s="640"/>
      <c r="N5" s="640"/>
      <c r="O5" s="640"/>
      <c r="P5" s="640"/>
      <c r="Q5" s="640"/>
    </row>
    <row r="6" spans="1:17" x14ac:dyDescent="0.2">
      <c r="A6" s="639"/>
      <c r="B6" s="640"/>
      <c r="C6" s="640"/>
      <c r="D6" s="640"/>
      <c r="E6" s="640"/>
      <c r="F6" s="640"/>
      <c r="G6" s="640"/>
      <c r="H6" s="640"/>
      <c r="I6" s="640"/>
      <c r="J6" s="640"/>
      <c r="K6" s="640"/>
      <c r="L6" s="640"/>
      <c r="M6" s="640"/>
      <c r="N6" s="640"/>
      <c r="O6" s="640"/>
      <c r="P6" s="640"/>
      <c r="Q6" s="640"/>
    </row>
    <row r="7" spans="1:17" x14ac:dyDescent="0.2">
      <c r="A7" s="639"/>
      <c r="B7" s="640"/>
      <c r="C7" s="640"/>
      <c r="D7" s="640"/>
      <c r="E7" s="640"/>
      <c r="F7" s="640"/>
      <c r="G7" s="640"/>
      <c r="H7" s="640"/>
      <c r="I7" s="640"/>
      <c r="J7" s="640"/>
      <c r="K7" s="640"/>
      <c r="L7" s="640"/>
      <c r="M7" s="640"/>
      <c r="N7" s="640"/>
      <c r="O7" s="640"/>
      <c r="P7" s="640"/>
      <c r="Q7" s="640"/>
    </row>
    <row r="8" spans="1:17" x14ac:dyDescent="0.2">
      <c r="A8" s="639"/>
      <c r="B8" s="640"/>
      <c r="C8" s="640"/>
      <c r="D8" s="640"/>
      <c r="E8" s="640"/>
      <c r="F8" s="640"/>
      <c r="G8" s="640"/>
      <c r="H8" s="640"/>
      <c r="I8" s="640"/>
      <c r="J8" s="640"/>
      <c r="K8" s="640"/>
      <c r="L8" s="640"/>
      <c r="M8" s="640"/>
      <c r="N8" s="640"/>
      <c r="O8" s="640"/>
      <c r="P8" s="640"/>
      <c r="Q8" s="640"/>
    </row>
    <row r="9" spans="1:17" x14ac:dyDescent="0.2">
      <c r="A9" s="639"/>
      <c r="B9" s="640"/>
      <c r="C9" s="640"/>
      <c r="D9" s="640"/>
      <c r="E9" s="640"/>
      <c r="F9" s="640"/>
      <c r="G9" s="640"/>
      <c r="H9" s="640"/>
      <c r="I9" s="640"/>
      <c r="J9" s="640"/>
      <c r="K9" s="640"/>
      <c r="L9" s="640"/>
      <c r="M9" s="640"/>
      <c r="N9" s="640"/>
      <c r="O9" s="640"/>
      <c r="P9" s="640"/>
      <c r="Q9" s="640"/>
    </row>
    <row r="10" spans="1:17" x14ac:dyDescent="0.2">
      <c r="A10" s="639"/>
      <c r="B10" s="640"/>
      <c r="C10" s="640"/>
      <c r="D10" s="640"/>
      <c r="E10" s="640"/>
      <c r="F10" s="640"/>
      <c r="G10" s="640"/>
      <c r="H10" s="640"/>
      <c r="I10" s="640"/>
      <c r="J10" s="640"/>
      <c r="K10" s="640"/>
      <c r="L10" s="640"/>
      <c r="M10" s="640"/>
      <c r="N10" s="640"/>
      <c r="O10" s="640"/>
      <c r="P10" s="640"/>
      <c r="Q10" s="640"/>
    </row>
    <row r="11" spans="1:17" x14ac:dyDescent="0.2">
      <c r="A11" s="639"/>
      <c r="B11" s="640"/>
      <c r="C11" s="640"/>
      <c r="D11" s="640"/>
      <c r="E11" s="640"/>
      <c r="F11" s="640"/>
      <c r="G11" s="640"/>
      <c r="H11" s="640"/>
      <c r="I11" s="640"/>
      <c r="J11" s="640"/>
      <c r="K11" s="640"/>
      <c r="L11" s="640"/>
      <c r="M11" s="640"/>
      <c r="N11" s="640"/>
      <c r="O11" s="640"/>
      <c r="P11" s="640"/>
      <c r="Q11" s="640"/>
    </row>
    <row r="12" spans="1:17" x14ac:dyDescent="0.2">
      <c r="A12" s="638"/>
      <c r="B12" s="640"/>
      <c r="C12" s="640"/>
      <c r="D12" s="640"/>
      <c r="E12" s="640"/>
      <c r="F12" s="640"/>
      <c r="G12" s="640"/>
      <c r="H12" s="640"/>
      <c r="I12" s="640"/>
      <c r="J12" s="640"/>
      <c r="K12" s="640"/>
      <c r="L12" s="640"/>
      <c r="M12" s="640"/>
      <c r="N12" s="640"/>
      <c r="O12" s="640"/>
      <c r="P12" s="640"/>
      <c r="Q12" s="640"/>
    </row>
    <row r="13" spans="1:17" x14ac:dyDescent="0.2">
      <c r="A13" s="639"/>
      <c r="B13" s="640"/>
      <c r="C13" s="640"/>
      <c r="D13" s="640"/>
      <c r="E13" s="640"/>
      <c r="F13" s="640"/>
      <c r="G13" s="640"/>
      <c r="H13" s="640"/>
      <c r="I13" s="640"/>
      <c r="J13" s="640"/>
      <c r="K13" s="640"/>
      <c r="L13" s="640"/>
      <c r="M13" s="640"/>
      <c r="N13" s="640"/>
      <c r="O13" s="640"/>
      <c r="P13" s="640"/>
      <c r="Q13" s="640"/>
    </row>
    <row r="14" spans="1:17" x14ac:dyDescent="0.2">
      <c r="A14" s="639"/>
      <c r="B14" s="640"/>
      <c r="C14" s="640"/>
      <c r="D14" s="640"/>
      <c r="E14" s="640"/>
      <c r="F14" s="640"/>
      <c r="G14" s="640"/>
      <c r="H14" s="640"/>
      <c r="I14" s="640"/>
      <c r="J14" s="640"/>
      <c r="K14" s="640"/>
      <c r="L14" s="640"/>
      <c r="M14" s="640"/>
      <c r="N14" s="640"/>
      <c r="O14" s="640"/>
      <c r="P14" s="640"/>
      <c r="Q14" s="640"/>
    </row>
    <row r="15" spans="1:17" x14ac:dyDescent="0.2">
      <c r="A15" s="639"/>
      <c r="B15" s="640"/>
      <c r="C15" s="640"/>
      <c r="D15" s="640"/>
      <c r="E15" s="640"/>
      <c r="F15" s="640"/>
      <c r="G15" s="640"/>
      <c r="H15" s="640"/>
      <c r="I15" s="640"/>
      <c r="J15" s="640"/>
      <c r="K15" s="640"/>
      <c r="L15" s="640"/>
      <c r="M15" s="640"/>
      <c r="N15" s="640"/>
      <c r="O15" s="640"/>
      <c r="P15" s="640"/>
      <c r="Q15" s="640"/>
    </row>
    <row r="16" spans="1:17" x14ac:dyDescent="0.2">
      <c r="A16" s="639"/>
      <c r="B16" s="640"/>
      <c r="C16" s="640"/>
      <c r="D16" s="640"/>
      <c r="E16" s="640"/>
      <c r="F16" s="640"/>
      <c r="G16" s="640"/>
      <c r="H16" s="640"/>
      <c r="I16" s="640"/>
      <c r="J16" s="640"/>
      <c r="K16" s="640"/>
      <c r="L16" s="640"/>
      <c r="M16" s="640"/>
      <c r="N16" s="640"/>
      <c r="O16" s="640"/>
      <c r="P16" s="640"/>
      <c r="Q16" s="640"/>
    </row>
    <row r="17" spans="1:17" x14ac:dyDescent="0.2">
      <c r="A17" s="639"/>
      <c r="B17" s="640"/>
      <c r="C17" s="640"/>
      <c r="D17" s="640"/>
      <c r="E17" s="640"/>
      <c r="F17" s="640"/>
      <c r="G17" s="640"/>
      <c r="H17" s="640"/>
      <c r="I17" s="640"/>
      <c r="J17" s="640"/>
      <c r="K17" s="640"/>
      <c r="L17" s="640"/>
      <c r="M17" s="640"/>
      <c r="N17" s="640"/>
      <c r="O17" s="640"/>
      <c r="P17" s="640"/>
      <c r="Q17" s="640"/>
    </row>
    <row r="18" spans="1:17" x14ac:dyDescent="0.2">
      <c r="A18" s="639"/>
      <c r="B18" s="640"/>
      <c r="C18" s="640"/>
      <c r="D18" s="640"/>
      <c r="E18" s="640"/>
      <c r="F18" s="640"/>
      <c r="G18" s="640"/>
      <c r="H18" s="640"/>
      <c r="I18" s="640"/>
      <c r="J18" s="640"/>
      <c r="K18" s="640"/>
      <c r="L18" s="640"/>
      <c r="M18" s="640"/>
      <c r="N18" s="640"/>
      <c r="O18" s="640"/>
      <c r="P18" s="640"/>
      <c r="Q18" s="640"/>
    </row>
    <row r="19" spans="1:17" x14ac:dyDescent="0.2">
      <c r="A19" s="639"/>
      <c r="B19" s="640"/>
      <c r="C19" s="640"/>
      <c r="D19" s="640"/>
      <c r="E19" s="640"/>
      <c r="F19" s="640"/>
      <c r="G19" s="640"/>
      <c r="H19" s="640"/>
      <c r="I19" s="640"/>
      <c r="J19" s="640"/>
      <c r="K19" s="640"/>
      <c r="L19" s="640"/>
      <c r="M19" s="640"/>
      <c r="N19" s="640"/>
      <c r="O19" s="640"/>
      <c r="P19" s="640"/>
      <c r="Q19" s="640"/>
    </row>
    <row r="20" spans="1:17" x14ac:dyDescent="0.2">
      <c r="A20" s="638"/>
      <c r="B20" s="640"/>
      <c r="C20" s="640"/>
      <c r="D20" s="640"/>
      <c r="E20" s="640"/>
      <c r="F20" s="640"/>
      <c r="G20" s="640"/>
      <c r="H20" s="640"/>
      <c r="I20" s="640"/>
      <c r="J20" s="640"/>
      <c r="K20" s="640"/>
      <c r="L20" s="640"/>
      <c r="M20" s="640"/>
      <c r="N20" s="640"/>
      <c r="O20" s="640"/>
      <c r="P20" s="640"/>
      <c r="Q20" s="640"/>
    </row>
    <row r="21" spans="1:17" x14ac:dyDescent="0.2">
      <c r="A21" s="639"/>
      <c r="B21" s="640"/>
      <c r="C21" s="640"/>
      <c r="D21" s="640"/>
      <c r="E21" s="640"/>
      <c r="F21" s="640"/>
      <c r="G21" s="640"/>
      <c r="H21" s="640"/>
      <c r="I21" s="640"/>
      <c r="J21" s="640"/>
      <c r="K21" s="640"/>
      <c r="L21" s="640"/>
      <c r="M21" s="640"/>
      <c r="N21" s="640"/>
      <c r="O21" s="640"/>
      <c r="P21" s="640"/>
      <c r="Q21" s="640"/>
    </row>
    <row r="22" spans="1:17" x14ac:dyDescent="0.2">
      <c r="A22" s="639"/>
      <c r="B22" s="640"/>
      <c r="C22" s="640"/>
      <c r="D22" s="640"/>
      <c r="E22" s="640"/>
      <c r="F22" s="640"/>
      <c r="G22" s="640"/>
      <c r="H22" s="640"/>
      <c r="I22" s="640"/>
      <c r="J22" s="640"/>
      <c r="K22" s="640"/>
      <c r="L22" s="640"/>
      <c r="M22" s="640"/>
      <c r="N22" s="640"/>
      <c r="O22" s="640"/>
      <c r="P22" s="640"/>
      <c r="Q22" s="640"/>
    </row>
    <row r="23" spans="1:17" x14ac:dyDescent="0.2">
      <c r="A23" s="639"/>
      <c r="B23" s="640"/>
      <c r="C23" s="640"/>
      <c r="D23" s="640"/>
      <c r="E23" s="640"/>
      <c r="F23" s="640"/>
      <c r="G23" s="640"/>
      <c r="H23" s="640"/>
      <c r="I23" s="640"/>
      <c r="J23" s="640"/>
      <c r="K23" s="640"/>
      <c r="L23" s="640"/>
      <c r="M23" s="640"/>
      <c r="N23" s="640"/>
      <c r="O23" s="640"/>
      <c r="P23" s="640"/>
      <c r="Q23" s="640"/>
    </row>
    <row r="24" spans="1:17" x14ac:dyDescent="0.2">
      <c r="A24" s="639"/>
      <c r="B24" s="640"/>
      <c r="C24" s="640"/>
      <c r="D24" s="640"/>
      <c r="E24" s="640"/>
      <c r="F24" s="640"/>
      <c r="G24" s="640"/>
      <c r="H24" s="640"/>
      <c r="I24" s="640"/>
      <c r="J24" s="640"/>
      <c r="K24" s="640"/>
      <c r="L24" s="640"/>
      <c r="M24" s="640"/>
      <c r="N24" s="640"/>
      <c r="O24" s="640"/>
      <c r="P24" s="640"/>
      <c r="Q24" s="640"/>
    </row>
    <row r="25" spans="1:17" x14ac:dyDescent="0.2">
      <c r="A25" s="639"/>
      <c r="B25" s="640"/>
      <c r="C25" s="640"/>
      <c r="D25" s="640"/>
      <c r="E25" s="640"/>
      <c r="F25" s="640"/>
      <c r="G25" s="640"/>
      <c r="H25" s="640"/>
      <c r="I25" s="640"/>
      <c r="J25" s="640"/>
      <c r="K25" s="640"/>
      <c r="L25" s="640"/>
      <c r="M25" s="640"/>
      <c r="N25" s="640"/>
      <c r="O25" s="640"/>
      <c r="P25" s="640"/>
      <c r="Q25" s="640"/>
    </row>
    <row r="26" spans="1:17" x14ac:dyDescent="0.2">
      <c r="A26" s="639"/>
      <c r="B26" s="640"/>
      <c r="C26" s="640"/>
      <c r="D26" s="640"/>
      <c r="E26" s="640"/>
      <c r="F26" s="640"/>
      <c r="G26" s="640"/>
      <c r="H26" s="640"/>
      <c r="I26" s="640"/>
      <c r="J26" s="640"/>
      <c r="K26" s="640"/>
      <c r="L26" s="640"/>
      <c r="M26" s="640"/>
      <c r="N26" s="640"/>
      <c r="O26" s="640"/>
      <c r="P26" s="640"/>
      <c r="Q26" s="640"/>
    </row>
    <row r="27" spans="1:17" x14ac:dyDescent="0.2">
      <c r="A27" s="639"/>
      <c r="B27" s="640"/>
      <c r="C27" s="640"/>
      <c r="D27" s="640"/>
      <c r="E27" s="640"/>
      <c r="F27" s="640"/>
      <c r="G27" s="640"/>
      <c r="H27" s="640"/>
      <c r="I27" s="640"/>
      <c r="J27" s="640"/>
      <c r="K27" s="640"/>
      <c r="L27" s="640"/>
      <c r="M27" s="640"/>
      <c r="N27" s="640"/>
      <c r="O27" s="640"/>
      <c r="P27" s="640"/>
      <c r="Q27" s="640"/>
    </row>
    <row r="28" spans="1:17" x14ac:dyDescent="0.2">
      <c r="A28" s="638"/>
      <c r="B28" s="640"/>
      <c r="C28" s="640"/>
      <c r="D28" s="640"/>
      <c r="E28" s="640"/>
      <c r="F28" s="640"/>
      <c r="G28" s="640"/>
      <c r="H28" s="640"/>
      <c r="I28" s="640"/>
      <c r="J28" s="640"/>
      <c r="K28" s="640"/>
      <c r="L28" s="640"/>
      <c r="M28" s="640"/>
      <c r="N28" s="640"/>
      <c r="O28" s="640"/>
      <c r="P28" s="640"/>
      <c r="Q28" s="640"/>
    </row>
    <row r="29" spans="1:17" x14ac:dyDescent="0.2">
      <c r="A29" s="639"/>
      <c r="B29" s="640"/>
      <c r="C29" s="640"/>
      <c r="D29" s="640"/>
      <c r="E29" s="640"/>
      <c r="F29" s="640"/>
      <c r="G29" s="640"/>
      <c r="H29" s="640"/>
      <c r="I29" s="640"/>
      <c r="J29" s="640"/>
      <c r="K29" s="640"/>
      <c r="L29" s="640"/>
      <c r="M29" s="640"/>
      <c r="N29" s="640"/>
      <c r="O29" s="640"/>
      <c r="P29" s="640"/>
      <c r="Q29" s="640"/>
    </row>
    <row r="30" spans="1:17" x14ac:dyDescent="0.2">
      <c r="A30" s="639"/>
      <c r="B30" s="640"/>
      <c r="C30" s="640"/>
      <c r="D30" s="640"/>
      <c r="E30" s="640"/>
      <c r="F30" s="640"/>
      <c r="G30" s="640"/>
      <c r="H30" s="640"/>
      <c r="I30" s="640"/>
      <c r="J30" s="640"/>
      <c r="K30" s="640"/>
      <c r="L30" s="640"/>
      <c r="M30" s="640"/>
      <c r="N30" s="640"/>
      <c r="O30" s="640"/>
      <c r="P30" s="640"/>
      <c r="Q30" s="640"/>
    </row>
    <row r="31" spans="1:17" x14ac:dyDescent="0.2">
      <c r="A31" s="639"/>
      <c r="B31" s="640"/>
      <c r="C31" s="640"/>
      <c r="D31" s="640"/>
      <c r="E31" s="640"/>
      <c r="F31" s="640"/>
      <c r="G31" s="640"/>
      <c r="H31" s="640"/>
      <c r="I31" s="640"/>
      <c r="J31" s="640"/>
      <c r="K31" s="640"/>
      <c r="L31" s="640"/>
      <c r="M31" s="640"/>
      <c r="N31" s="640"/>
      <c r="O31" s="640"/>
      <c r="P31" s="640"/>
      <c r="Q31" s="640"/>
    </row>
    <row r="32" spans="1:17" x14ac:dyDescent="0.2">
      <c r="A32" s="639"/>
      <c r="B32" s="640"/>
      <c r="C32" s="640"/>
      <c r="D32" s="640"/>
      <c r="E32" s="640"/>
      <c r="F32" s="640"/>
      <c r="G32" s="640"/>
      <c r="H32" s="640"/>
      <c r="I32" s="640"/>
      <c r="J32" s="640"/>
      <c r="K32" s="640"/>
      <c r="L32" s="640"/>
      <c r="M32" s="640"/>
      <c r="N32" s="640"/>
      <c r="O32" s="640"/>
      <c r="P32" s="640"/>
      <c r="Q32" s="640"/>
    </row>
    <row r="33" spans="1:17" x14ac:dyDescent="0.2">
      <c r="A33" s="639"/>
      <c r="B33" s="640"/>
      <c r="C33" s="640"/>
      <c r="D33" s="640"/>
      <c r="E33" s="640"/>
      <c r="F33" s="640"/>
      <c r="G33" s="640"/>
      <c r="H33" s="640"/>
      <c r="I33" s="640"/>
      <c r="J33" s="640"/>
      <c r="K33" s="640"/>
      <c r="L33" s="640"/>
      <c r="M33" s="640"/>
      <c r="N33" s="640"/>
      <c r="O33" s="640"/>
      <c r="P33" s="640"/>
      <c r="Q33" s="640"/>
    </row>
    <row r="34" spans="1:17" x14ac:dyDescent="0.2">
      <c r="A34" s="639"/>
      <c r="B34" s="640"/>
      <c r="C34" s="640"/>
      <c r="D34" s="640"/>
      <c r="E34" s="640"/>
      <c r="F34" s="640"/>
      <c r="G34" s="640"/>
      <c r="H34" s="640"/>
      <c r="I34" s="640"/>
      <c r="J34" s="640"/>
      <c r="K34" s="640"/>
      <c r="L34" s="640"/>
      <c r="M34" s="640"/>
      <c r="N34" s="640"/>
      <c r="O34" s="640"/>
      <c r="P34" s="640"/>
      <c r="Q34" s="640"/>
    </row>
    <row r="35" spans="1:17" x14ac:dyDescent="0.2">
      <c r="A35" s="639"/>
      <c r="B35" s="640"/>
      <c r="C35" s="640"/>
      <c r="D35" s="640"/>
      <c r="E35" s="640"/>
      <c r="F35" s="640"/>
      <c r="G35" s="640"/>
      <c r="H35" s="640"/>
      <c r="I35" s="640"/>
      <c r="J35" s="640"/>
      <c r="K35" s="640"/>
      <c r="L35" s="640"/>
      <c r="M35" s="640"/>
      <c r="N35" s="640"/>
      <c r="O35" s="640"/>
      <c r="P35" s="640"/>
      <c r="Q35" s="640"/>
    </row>
    <row r="36" spans="1:17" x14ac:dyDescent="0.2">
      <c r="A36" s="638"/>
      <c r="B36" s="640"/>
      <c r="C36" s="640"/>
      <c r="D36" s="640"/>
      <c r="E36" s="640"/>
      <c r="F36" s="640"/>
      <c r="G36" s="640"/>
      <c r="H36" s="640"/>
      <c r="I36" s="640"/>
      <c r="J36" s="640"/>
      <c r="K36" s="640"/>
      <c r="L36" s="640"/>
      <c r="M36" s="640"/>
      <c r="N36" s="640"/>
      <c r="O36" s="640"/>
      <c r="P36" s="640"/>
      <c r="Q36" s="640"/>
    </row>
    <row r="37" spans="1:17" x14ac:dyDescent="0.2">
      <c r="A37" s="639"/>
      <c r="B37" s="640"/>
      <c r="C37" s="640"/>
      <c r="D37" s="640"/>
      <c r="E37" s="640"/>
      <c r="F37" s="640"/>
      <c r="G37" s="640"/>
      <c r="H37" s="640"/>
      <c r="I37" s="640"/>
      <c r="J37" s="640"/>
      <c r="K37" s="640"/>
      <c r="L37" s="640"/>
      <c r="M37" s="640"/>
      <c r="N37" s="640"/>
      <c r="O37" s="640"/>
      <c r="P37" s="640"/>
      <c r="Q37" s="640"/>
    </row>
    <row r="38" spans="1:17" x14ac:dyDescent="0.2">
      <c r="A38" s="639"/>
      <c r="B38" s="640"/>
      <c r="C38" s="640"/>
      <c r="D38" s="640"/>
      <c r="E38" s="640"/>
      <c r="F38" s="640"/>
      <c r="G38" s="640"/>
      <c r="H38" s="640"/>
      <c r="I38" s="640"/>
      <c r="J38" s="640"/>
      <c r="K38" s="640"/>
      <c r="L38" s="640"/>
      <c r="M38" s="640"/>
      <c r="N38" s="640"/>
      <c r="O38" s="640"/>
      <c r="P38" s="640"/>
      <c r="Q38" s="640"/>
    </row>
    <row r="39" spans="1:17" x14ac:dyDescent="0.2">
      <c r="A39" s="639"/>
      <c r="B39" s="640"/>
      <c r="C39" s="640"/>
      <c r="D39" s="640"/>
      <c r="E39" s="640"/>
      <c r="F39" s="640"/>
      <c r="G39" s="640"/>
      <c r="H39" s="640"/>
      <c r="I39" s="640"/>
      <c r="J39" s="640"/>
      <c r="K39" s="640"/>
      <c r="L39" s="640"/>
      <c r="M39" s="640"/>
      <c r="N39" s="640"/>
      <c r="O39" s="640"/>
      <c r="P39" s="640"/>
      <c r="Q39" s="640"/>
    </row>
    <row r="40" spans="1:17" x14ac:dyDescent="0.2">
      <c r="A40" s="639"/>
      <c r="B40" s="640"/>
      <c r="C40" s="640"/>
      <c r="D40" s="640"/>
      <c r="E40" s="640"/>
      <c r="F40" s="640"/>
      <c r="G40" s="640"/>
      <c r="H40" s="640"/>
      <c r="I40" s="640"/>
      <c r="J40" s="640"/>
      <c r="K40" s="640"/>
      <c r="L40" s="640"/>
      <c r="M40" s="640"/>
      <c r="N40" s="640"/>
      <c r="O40" s="640"/>
      <c r="P40" s="640"/>
      <c r="Q40" s="640"/>
    </row>
    <row r="41" spans="1:17" x14ac:dyDescent="0.2">
      <c r="A41" s="639"/>
      <c r="B41" s="640"/>
      <c r="C41" s="640"/>
      <c r="D41" s="640"/>
      <c r="E41" s="640"/>
      <c r="F41" s="640"/>
      <c r="G41" s="640"/>
      <c r="H41" s="640"/>
      <c r="I41" s="640"/>
      <c r="J41" s="640"/>
      <c r="K41" s="640"/>
      <c r="L41" s="640"/>
      <c r="M41" s="640"/>
      <c r="N41" s="640"/>
      <c r="O41" s="640"/>
      <c r="P41" s="640"/>
      <c r="Q41" s="640"/>
    </row>
    <row r="42" spans="1:17" x14ac:dyDescent="0.2">
      <c r="A42" s="639"/>
      <c r="B42" s="640"/>
      <c r="C42" s="640"/>
      <c r="D42" s="640"/>
      <c r="E42" s="640"/>
      <c r="F42" s="640"/>
      <c r="G42" s="640"/>
      <c r="H42" s="640"/>
      <c r="I42" s="640"/>
      <c r="J42" s="640"/>
      <c r="K42" s="640"/>
      <c r="L42" s="640"/>
      <c r="M42" s="640"/>
      <c r="N42" s="640"/>
      <c r="O42" s="640"/>
      <c r="P42" s="640"/>
      <c r="Q42" s="640"/>
    </row>
    <row r="43" spans="1:17" x14ac:dyDescent="0.2">
      <c r="A43" s="639"/>
      <c r="B43" s="640"/>
      <c r="C43" s="640"/>
      <c r="D43" s="640"/>
      <c r="E43" s="640"/>
      <c r="F43" s="640"/>
      <c r="G43" s="640"/>
      <c r="H43" s="640"/>
      <c r="I43" s="640"/>
      <c r="J43" s="640"/>
      <c r="K43" s="640"/>
      <c r="L43" s="640"/>
      <c r="M43" s="640"/>
      <c r="N43" s="640"/>
      <c r="O43" s="640"/>
      <c r="P43" s="640"/>
      <c r="Q43" s="640"/>
    </row>
    <row r="44" spans="1:17" x14ac:dyDescent="0.2">
      <c r="A44" s="638"/>
      <c r="B44" s="640"/>
      <c r="C44" s="640"/>
      <c r="D44" s="640"/>
      <c r="E44" s="640"/>
      <c r="F44" s="640"/>
      <c r="G44" s="640"/>
      <c r="H44" s="640"/>
      <c r="I44" s="640"/>
      <c r="J44" s="640"/>
      <c r="K44" s="640"/>
      <c r="L44" s="640"/>
      <c r="M44" s="640"/>
      <c r="N44" s="640"/>
      <c r="O44" s="640"/>
      <c r="P44" s="640"/>
      <c r="Q44" s="640"/>
    </row>
    <row r="45" spans="1:17" x14ac:dyDescent="0.2">
      <c r="A45" s="639"/>
      <c r="B45" s="640"/>
      <c r="C45" s="640"/>
      <c r="D45" s="640"/>
      <c r="E45" s="640"/>
      <c r="F45" s="640"/>
      <c r="G45" s="640"/>
      <c r="H45" s="640"/>
      <c r="I45" s="640"/>
      <c r="J45" s="640"/>
      <c r="K45" s="640"/>
      <c r="L45" s="640"/>
      <c r="M45" s="640"/>
      <c r="N45" s="640"/>
      <c r="O45" s="640"/>
      <c r="P45" s="640"/>
      <c r="Q45" s="640"/>
    </row>
    <row r="46" spans="1:17" x14ac:dyDescent="0.2">
      <c r="A46" s="639"/>
      <c r="B46" s="640"/>
      <c r="C46" s="640"/>
      <c r="D46" s="640"/>
      <c r="E46" s="640"/>
      <c r="F46" s="640"/>
      <c r="G46" s="640"/>
      <c r="H46" s="640"/>
      <c r="I46" s="640"/>
      <c r="J46" s="640"/>
      <c r="K46" s="640"/>
      <c r="L46" s="640"/>
      <c r="M46" s="640"/>
      <c r="N46" s="640"/>
      <c r="O46" s="640"/>
      <c r="P46" s="640"/>
      <c r="Q46" s="640"/>
    </row>
    <row r="47" spans="1:17" x14ac:dyDescent="0.2">
      <c r="A47" s="639"/>
      <c r="B47" s="640"/>
      <c r="C47" s="640"/>
      <c r="D47" s="640"/>
      <c r="E47" s="640"/>
      <c r="F47" s="640"/>
      <c r="G47" s="640"/>
      <c r="H47" s="640"/>
      <c r="I47" s="640"/>
      <c r="J47" s="640"/>
      <c r="K47" s="640"/>
      <c r="L47" s="640"/>
      <c r="M47" s="640"/>
      <c r="N47" s="640"/>
      <c r="O47" s="640"/>
      <c r="P47" s="640"/>
      <c r="Q47" s="640"/>
    </row>
    <row r="48" spans="1:17" x14ac:dyDescent="0.2">
      <c r="A48" s="639"/>
      <c r="B48" s="640"/>
      <c r="C48" s="640"/>
      <c r="D48" s="640"/>
      <c r="E48" s="640"/>
      <c r="F48" s="640"/>
      <c r="G48" s="640"/>
      <c r="H48" s="640"/>
      <c r="I48" s="640"/>
      <c r="J48" s="640"/>
      <c r="K48" s="640"/>
      <c r="L48" s="640"/>
      <c r="M48" s="640"/>
      <c r="N48" s="640"/>
      <c r="O48" s="640"/>
      <c r="P48" s="640"/>
      <c r="Q48" s="640"/>
    </row>
    <row r="49" spans="1:17" x14ac:dyDescent="0.2">
      <c r="A49" s="639"/>
      <c r="B49" s="640"/>
      <c r="C49" s="640"/>
      <c r="D49" s="640"/>
      <c r="E49" s="640"/>
      <c r="F49" s="640"/>
      <c r="G49" s="640"/>
      <c r="H49" s="640"/>
      <c r="I49" s="640"/>
      <c r="J49" s="640"/>
      <c r="K49" s="640"/>
      <c r="L49" s="640"/>
      <c r="M49" s="640"/>
      <c r="N49" s="640"/>
      <c r="O49" s="640"/>
      <c r="P49" s="640"/>
      <c r="Q49" s="640"/>
    </row>
    <row r="50" spans="1:17" x14ac:dyDescent="0.2">
      <c r="A50" s="639"/>
      <c r="B50" s="640"/>
      <c r="C50" s="640"/>
      <c r="D50" s="640"/>
      <c r="E50" s="640"/>
      <c r="F50" s="640"/>
      <c r="G50" s="640"/>
      <c r="H50" s="640"/>
      <c r="I50" s="640"/>
      <c r="J50" s="640"/>
      <c r="K50" s="640"/>
      <c r="L50" s="640"/>
      <c r="M50" s="640"/>
      <c r="N50" s="640"/>
      <c r="O50" s="640"/>
      <c r="P50" s="640"/>
      <c r="Q50" s="640"/>
    </row>
    <row r="51" spans="1:17" x14ac:dyDescent="0.2">
      <c r="A51" s="639"/>
      <c r="B51" s="640"/>
      <c r="C51" s="640"/>
      <c r="D51" s="640"/>
      <c r="E51" s="640"/>
      <c r="F51" s="640"/>
      <c r="G51" s="640"/>
      <c r="H51" s="640"/>
      <c r="I51" s="640"/>
      <c r="J51" s="640"/>
      <c r="K51" s="640"/>
      <c r="L51" s="640"/>
      <c r="M51" s="640"/>
      <c r="N51" s="640"/>
      <c r="O51" s="640"/>
      <c r="P51" s="640"/>
      <c r="Q51" s="640"/>
    </row>
    <row r="52" spans="1:17" x14ac:dyDescent="0.2">
      <c r="A52" s="638"/>
      <c r="B52" s="640"/>
      <c r="C52" s="640"/>
      <c r="D52" s="640"/>
      <c r="E52" s="640"/>
      <c r="F52" s="640"/>
      <c r="G52" s="640"/>
      <c r="H52" s="640"/>
      <c r="I52" s="640"/>
      <c r="J52" s="640"/>
      <c r="K52" s="640"/>
      <c r="L52" s="640"/>
      <c r="M52" s="640"/>
      <c r="N52" s="640"/>
      <c r="O52" s="640"/>
      <c r="P52" s="640"/>
      <c r="Q52" s="640"/>
    </row>
    <row r="53" spans="1:17" x14ac:dyDescent="0.2">
      <c r="A53" s="639"/>
      <c r="B53" s="640"/>
      <c r="C53" s="640"/>
      <c r="D53" s="640"/>
      <c r="E53" s="640"/>
      <c r="F53" s="640"/>
      <c r="G53" s="640"/>
      <c r="H53" s="640"/>
      <c r="I53" s="640"/>
      <c r="J53" s="640"/>
      <c r="K53" s="640"/>
      <c r="L53" s="640"/>
      <c r="M53" s="640"/>
      <c r="N53" s="640"/>
      <c r="O53" s="640"/>
      <c r="P53" s="640"/>
      <c r="Q53" s="640"/>
    </row>
    <row r="54" spans="1:17" x14ac:dyDescent="0.2">
      <c r="A54" s="639"/>
      <c r="B54" s="640"/>
      <c r="C54" s="640"/>
      <c r="D54" s="640"/>
      <c r="E54" s="640"/>
      <c r="F54" s="640"/>
      <c r="G54" s="640"/>
      <c r="H54" s="640"/>
      <c r="I54" s="640"/>
      <c r="J54" s="640"/>
      <c r="K54" s="640"/>
      <c r="L54" s="640"/>
      <c r="M54" s="640"/>
      <c r="N54" s="640"/>
      <c r="O54" s="640"/>
      <c r="P54" s="640"/>
      <c r="Q54" s="640"/>
    </row>
    <row r="55" spans="1:17" x14ac:dyDescent="0.2">
      <c r="A55" s="639"/>
      <c r="B55" s="640"/>
      <c r="C55" s="640"/>
      <c r="D55" s="640"/>
      <c r="E55" s="640"/>
      <c r="F55" s="640"/>
      <c r="G55" s="640"/>
      <c r="H55" s="640"/>
      <c r="I55" s="640"/>
      <c r="J55" s="640"/>
      <c r="K55" s="640"/>
      <c r="L55" s="640"/>
      <c r="M55" s="640"/>
      <c r="N55" s="640"/>
      <c r="O55" s="640"/>
      <c r="P55" s="640"/>
      <c r="Q55" s="640"/>
    </row>
    <row r="56" spans="1:17" x14ac:dyDescent="0.2">
      <c r="A56" s="639"/>
      <c r="B56" s="640"/>
      <c r="C56" s="640"/>
      <c r="D56" s="640"/>
      <c r="E56" s="640"/>
      <c r="F56" s="640"/>
      <c r="G56" s="640"/>
      <c r="H56" s="640"/>
      <c r="I56" s="640"/>
      <c r="J56" s="640"/>
      <c r="K56" s="640"/>
      <c r="L56" s="640"/>
      <c r="M56" s="640"/>
      <c r="N56" s="640"/>
      <c r="O56" s="640"/>
      <c r="P56" s="640"/>
      <c r="Q56" s="640"/>
    </row>
    <row r="57" spans="1:17" x14ac:dyDescent="0.2">
      <c r="A57" s="639"/>
      <c r="B57" s="640"/>
      <c r="C57" s="640"/>
      <c r="D57" s="640"/>
      <c r="E57" s="640"/>
      <c r="F57" s="640"/>
      <c r="G57" s="640"/>
      <c r="H57" s="640"/>
      <c r="I57" s="640"/>
      <c r="J57" s="640"/>
      <c r="K57" s="640"/>
      <c r="L57" s="640"/>
      <c r="M57" s="640"/>
      <c r="N57" s="640"/>
      <c r="O57" s="640"/>
      <c r="P57" s="640"/>
      <c r="Q57" s="640"/>
    </row>
    <row r="58" spans="1:17" x14ac:dyDescent="0.2">
      <c r="A58" s="639"/>
      <c r="B58" s="640"/>
      <c r="C58" s="640"/>
      <c r="D58" s="640"/>
      <c r="E58" s="640"/>
      <c r="F58" s="640"/>
      <c r="G58" s="640"/>
      <c r="H58" s="640"/>
      <c r="I58" s="640"/>
      <c r="J58" s="640"/>
      <c r="K58" s="640"/>
      <c r="L58" s="640"/>
      <c r="M58" s="640"/>
      <c r="N58" s="640"/>
      <c r="O58" s="640"/>
      <c r="P58" s="640"/>
      <c r="Q58" s="640"/>
    </row>
    <row r="59" spans="1:17" x14ac:dyDescent="0.2">
      <c r="A59" s="639"/>
      <c r="B59" s="640"/>
      <c r="C59" s="640"/>
      <c r="D59" s="640"/>
      <c r="E59" s="640"/>
      <c r="F59" s="640"/>
      <c r="G59" s="640"/>
      <c r="H59" s="640"/>
      <c r="I59" s="640"/>
      <c r="J59" s="640"/>
      <c r="K59" s="640"/>
      <c r="L59" s="640"/>
      <c r="M59" s="640"/>
      <c r="N59" s="640"/>
      <c r="O59" s="640"/>
      <c r="P59" s="640"/>
      <c r="Q59" s="640"/>
    </row>
    <row r="60" spans="1:17" x14ac:dyDescent="0.2">
      <c r="A60" s="638"/>
      <c r="B60" s="640"/>
      <c r="C60" s="640"/>
      <c r="D60" s="640"/>
      <c r="E60" s="640"/>
      <c r="F60" s="640"/>
      <c r="G60" s="640"/>
      <c r="H60" s="640"/>
      <c r="I60" s="640"/>
      <c r="J60" s="640"/>
      <c r="K60" s="640"/>
      <c r="L60" s="640"/>
      <c r="M60" s="640"/>
      <c r="N60" s="640"/>
      <c r="O60" s="640"/>
      <c r="P60" s="640"/>
      <c r="Q60" s="640"/>
    </row>
    <row r="61" spans="1:17" x14ac:dyDescent="0.2">
      <c r="A61" s="639"/>
      <c r="B61" s="640"/>
      <c r="C61" s="640"/>
      <c r="D61" s="640"/>
      <c r="E61" s="640"/>
      <c r="F61" s="640"/>
      <c r="G61" s="640"/>
      <c r="H61" s="640"/>
      <c r="I61" s="640"/>
      <c r="J61" s="640"/>
      <c r="K61" s="640"/>
      <c r="L61" s="640"/>
      <c r="M61" s="640"/>
      <c r="N61" s="640"/>
      <c r="O61" s="640"/>
      <c r="P61" s="640"/>
      <c r="Q61" s="640"/>
    </row>
    <row r="62" spans="1:17" x14ac:dyDescent="0.2">
      <c r="A62" s="639"/>
      <c r="B62" s="640"/>
      <c r="C62" s="640"/>
      <c r="D62" s="640"/>
      <c r="E62" s="640"/>
      <c r="F62" s="640"/>
      <c r="G62" s="640"/>
      <c r="H62" s="640"/>
      <c r="I62" s="640"/>
      <c r="J62" s="640"/>
      <c r="K62" s="640"/>
      <c r="L62" s="640"/>
      <c r="M62" s="640"/>
      <c r="N62" s="640"/>
      <c r="O62" s="640"/>
      <c r="P62" s="640"/>
      <c r="Q62" s="640"/>
    </row>
    <row r="63" spans="1:17" x14ac:dyDescent="0.2">
      <c r="A63" s="639"/>
      <c r="B63" s="640"/>
      <c r="C63" s="640"/>
      <c r="D63" s="640"/>
      <c r="E63" s="640"/>
      <c r="F63" s="640"/>
      <c r="G63" s="640"/>
      <c r="H63" s="640"/>
      <c r="I63" s="640"/>
      <c r="J63" s="640"/>
      <c r="K63" s="640"/>
      <c r="L63" s="640"/>
      <c r="M63" s="640"/>
      <c r="N63" s="640"/>
      <c r="O63" s="640"/>
      <c r="P63" s="640"/>
      <c r="Q63" s="640"/>
    </row>
    <row r="64" spans="1:17" x14ac:dyDescent="0.2">
      <c r="A64" s="639"/>
      <c r="B64" s="640"/>
      <c r="C64" s="640"/>
      <c r="D64" s="640"/>
      <c r="E64" s="640"/>
      <c r="F64" s="640"/>
      <c r="G64" s="640"/>
      <c r="H64" s="640"/>
      <c r="I64" s="640"/>
      <c r="J64" s="640"/>
      <c r="K64" s="640"/>
      <c r="L64" s="640"/>
      <c r="M64" s="640"/>
      <c r="N64" s="640"/>
      <c r="O64" s="640"/>
      <c r="P64" s="640"/>
      <c r="Q64" s="640"/>
    </row>
    <row r="65" spans="1:17" x14ac:dyDescent="0.2">
      <c r="A65" s="639"/>
      <c r="B65" s="640"/>
      <c r="C65" s="640"/>
      <c r="D65" s="640"/>
      <c r="E65" s="640"/>
      <c r="F65" s="640"/>
      <c r="G65" s="640"/>
      <c r="H65" s="640"/>
      <c r="I65" s="640"/>
      <c r="J65" s="640"/>
      <c r="K65" s="640"/>
      <c r="L65" s="640"/>
      <c r="M65" s="640"/>
      <c r="N65" s="640"/>
      <c r="O65" s="640"/>
      <c r="P65" s="640"/>
      <c r="Q65" s="640"/>
    </row>
    <row r="66" spans="1:17" x14ac:dyDescent="0.2">
      <c r="A66" s="639"/>
      <c r="B66" s="640"/>
      <c r="C66" s="640"/>
      <c r="D66" s="640"/>
      <c r="E66" s="640"/>
      <c r="F66" s="640"/>
      <c r="G66" s="640"/>
      <c r="H66" s="640"/>
      <c r="I66" s="640"/>
      <c r="J66" s="640"/>
      <c r="K66" s="640"/>
      <c r="L66" s="640"/>
      <c r="M66" s="640"/>
      <c r="N66" s="640"/>
      <c r="O66" s="640"/>
      <c r="P66" s="640"/>
      <c r="Q66" s="640"/>
    </row>
    <row r="67" spans="1:17" x14ac:dyDescent="0.2">
      <c r="A67" s="639"/>
      <c r="B67" s="640"/>
      <c r="C67" s="640"/>
      <c r="D67" s="640"/>
      <c r="E67" s="640"/>
      <c r="F67" s="640"/>
      <c r="G67" s="640"/>
      <c r="H67" s="640"/>
      <c r="I67" s="640"/>
      <c r="J67" s="640"/>
      <c r="K67" s="640"/>
      <c r="L67" s="640"/>
      <c r="M67" s="640"/>
      <c r="N67" s="640"/>
      <c r="O67" s="640"/>
      <c r="P67" s="640"/>
      <c r="Q67" s="640"/>
    </row>
    <row r="68" spans="1:17" x14ac:dyDescent="0.2">
      <c r="A68" s="638"/>
      <c r="B68" s="640"/>
      <c r="C68" s="640"/>
      <c r="D68" s="640"/>
      <c r="E68" s="640"/>
      <c r="F68" s="640"/>
      <c r="G68" s="640"/>
      <c r="H68" s="640"/>
      <c r="I68" s="640"/>
      <c r="J68" s="640"/>
      <c r="K68" s="640"/>
      <c r="L68" s="640"/>
      <c r="M68" s="640"/>
      <c r="N68" s="640"/>
      <c r="O68" s="640"/>
      <c r="P68" s="640"/>
      <c r="Q68" s="640"/>
    </row>
    <row r="69" spans="1:17" x14ac:dyDescent="0.2">
      <c r="A69" s="639"/>
      <c r="B69" s="640"/>
      <c r="C69" s="640"/>
      <c r="D69" s="640"/>
      <c r="E69" s="640"/>
      <c r="F69" s="640"/>
      <c r="G69" s="640"/>
      <c r="H69" s="640"/>
      <c r="I69" s="640"/>
      <c r="J69" s="640"/>
      <c r="K69" s="640"/>
      <c r="L69" s="640"/>
      <c r="M69" s="640"/>
      <c r="N69" s="640"/>
      <c r="O69" s="640"/>
      <c r="P69" s="640"/>
      <c r="Q69" s="640"/>
    </row>
    <row r="70" spans="1:17" x14ac:dyDescent="0.2">
      <c r="A70" s="639"/>
      <c r="B70" s="640"/>
      <c r="C70" s="640"/>
      <c r="D70" s="640"/>
      <c r="E70" s="640"/>
      <c r="F70" s="640"/>
      <c r="G70" s="640"/>
      <c r="H70" s="640"/>
      <c r="I70" s="640"/>
      <c r="J70" s="640"/>
      <c r="K70" s="640"/>
      <c r="L70" s="640"/>
      <c r="M70" s="640"/>
      <c r="N70" s="640"/>
      <c r="O70" s="640"/>
      <c r="P70" s="640"/>
      <c r="Q70" s="640"/>
    </row>
    <row r="71" spans="1:17" x14ac:dyDescent="0.2">
      <c r="A71" s="639"/>
      <c r="B71" s="640"/>
      <c r="C71" s="640"/>
      <c r="D71" s="640"/>
      <c r="E71" s="640"/>
      <c r="F71" s="640"/>
      <c r="G71" s="640"/>
      <c r="H71" s="640"/>
      <c r="I71" s="640"/>
      <c r="J71" s="640"/>
      <c r="K71" s="640"/>
      <c r="L71" s="640"/>
      <c r="M71" s="640"/>
      <c r="N71" s="640"/>
      <c r="O71" s="640"/>
      <c r="P71" s="640"/>
      <c r="Q71" s="640"/>
    </row>
    <row r="72" spans="1:17" x14ac:dyDescent="0.2">
      <c r="A72" s="639"/>
      <c r="B72" s="640"/>
      <c r="C72" s="640"/>
      <c r="D72" s="640"/>
      <c r="E72" s="640"/>
      <c r="F72" s="640"/>
      <c r="G72" s="640"/>
      <c r="H72" s="640"/>
      <c r="I72" s="640"/>
      <c r="J72" s="640"/>
      <c r="K72" s="640"/>
      <c r="L72" s="640"/>
      <c r="M72" s="640"/>
      <c r="N72" s="640"/>
      <c r="O72" s="640"/>
      <c r="P72" s="640"/>
      <c r="Q72" s="640"/>
    </row>
    <row r="73" spans="1:17" x14ac:dyDescent="0.2">
      <c r="A73" s="639"/>
      <c r="B73" s="640"/>
      <c r="C73" s="640"/>
      <c r="D73" s="640"/>
      <c r="E73" s="640"/>
      <c r="F73" s="640"/>
      <c r="G73" s="640"/>
      <c r="H73" s="640"/>
      <c r="I73" s="640"/>
      <c r="J73" s="640"/>
      <c r="K73" s="640"/>
      <c r="L73" s="640"/>
      <c r="M73" s="640"/>
      <c r="N73" s="640"/>
      <c r="O73" s="640"/>
      <c r="P73" s="640"/>
      <c r="Q73" s="640"/>
    </row>
    <row r="74" spans="1:17" x14ac:dyDescent="0.2">
      <c r="A74" s="639"/>
      <c r="B74" s="640"/>
      <c r="C74" s="640"/>
      <c r="D74" s="640"/>
      <c r="E74" s="640"/>
      <c r="F74" s="640"/>
      <c r="G74" s="640"/>
      <c r="H74" s="640"/>
      <c r="I74" s="640"/>
      <c r="J74" s="640"/>
      <c r="K74" s="640"/>
      <c r="L74" s="640"/>
      <c r="M74" s="640"/>
      <c r="N74" s="640"/>
      <c r="O74" s="640"/>
      <c r="P74" s="640"/>
      <c r="Q74" s="640"/>
    </row>
    <row r="75" spans="1:17" x14ac:dyDescent="0.2">
      <c r="A75" s="639"/>
      <c r="B75" s="640"/>
      <c r="C75" s="640"/>
      <c r="D75" s="640"/>
      <c r="E75" s="640"/>
      <c r="F75" s="640"/>
      <c r="G75" s="640"/>
      <c r="H75" s="640"/>
      <c r="I75" s="640"/>
      <c r="J75" s="640"/>
      <c r="K75" s="640"/>
      <c r="L75" s="640"/>
      <c r="M75" s="640"/>
      <c r="N75" s="640"/>
      <c r="O75" s="640"/>
      <c r="P75" s="640"/>
      <c r="Q75" s="640"/>
    </row>
    <row r="76" spans="1:17" x14ac:dyDescent="0.2">
      <c r="A76" s="638"/>
      <c r="B76" s="640"/>
      <c r="C76" s="640"/>
      <c r="D76" s="640"/>
      <c r="E76" s="640"/>
      <c r="F76" s="640"/>
      <c r="G76" s="640"/>
      <c r="H76" s="640"/>
      <c r="I76" s="640"/>
      <c r="J76" s="640"/>
      <c r="K76" s="640"/>
      <c r="L76" s="640"/>
      <c r="M76" s="640"/>
      <c r="N76" s="640"/>
      <c r="O76" s="640"/>
      <c r="P76" s="640"/>
      <c r="Q76" s="640"/>
    </row>
    <row r="77" spans="1:17" x14ac:dyDescent="0.2">
      <c r="A77" s="639"/>
      <c r="B77" s="640"/>
      <c r="C77" s="640"/>
      <c r="D77" s="640"/>
      <c r="E77" s="640"/>
      <c r="F77" s="640"/>
      <c r="G77" s="640"/>
      <c r="H77" s="640"/>
      <c r="I77" s="640"/>
      <c r="J77" s="640"/>
      <c r="K77" s="640"/>
      <c r="L77" s="640"/>
      <c r="M77" s="640"/>
      <c r="N77" s="640"/>
      <c r="O77" s="640"/>
      <c r="P77" s="640"/>
      <c r="Q77" s="640"/>
    </row>
    <row r="78" spans="1:17" x14ac:dyDescent="0.2">
      <c r="A78" s="639"/>
      <c r="B78" s="640"/>
      <c r="C78" s="640"/>
      <c r="D78" s="640"/>
      <c r="E78" s="640"/>
      <c r="F78" s="640"/>
      <c r="G78" s="640"/>
      <c r="H78" s="640"/>
      <c r="I78" s="640"/>
      <c r="J78" s="640"/>
      <c r="K78" s="640"/>
      <c r="L78" s="640"/>
      <c r="M78" s="640"/>
      <c r="N78" s="640"/>
      <c r="O78" s="640"/>
      <c r="P78" s="640"/>
      <c r="Q78" s="640"/>
    </row>
    <row r="79" spans="1:17" x14ac:dyDescent="0.2">
      <c r="A79" s="639"/>
      <c r="B79" s="640"/>
      <c r="C79" s="640"/>
      <c r="D79" s="640"/>
      <c r="E79" s="640"/>
      <c r="F79" s="640"/>
      <c r="G79" s="640"/>
      <c r="H79" s="640"/>
      <c r="I79" s="640"/>
      <c r="J79" s="640"/>
      <c r="K79" s="640"/>
      <c r="L79" s="640"/>
      <c r="M79" s="640"/>
      <c r="N79" s="640"/>
      <c r="O79" s="640"/>
      <c r="P79" s="640"/>
      <c r="Q79" s="640"/>
    </row>
    <row r="80" spans="1:17" x14ac:dyDescent="0.2">
      <c r="A80" s="639"/>
      <c r="B80" s="640"/>
      <c r="C80" s="640"/>
      <c r="D80" s="640"/>
      <c r="E80" s="640"/>
      <c r="F80" s="640"/>
      <c r="G80" s="640"/>
      <c r="H80" s="640"/>
      <c r="I80" s="640"/>
      <c r="J80" s="640"/>
      <c r="K80" s="640"/>
      <c r="L80" s="640"/>
      <c r="M80" s="640"/>
      <c r="N80" s="640"/>
      <c r="O80" s="640"/>
      <c r="P80" s="640"/>
      <c r="Q80" s="640"/>
    </row>
    <row r="81" spans="1:17" x14ac:dyDescent="0.2">
      <c r="A81" s="639"/>
      <c r="B81" s="640"/>
      <c r="C81" s="640"/>
      <c r="D81" s="640"/>
      <c r="E81" s="640"/>
      <c r="F81" s="640"/>
      <c r="G81" s="640"/>
      <c r="H81" s="640"/>
      <c r="I81" s="640"/>
      <c r="J81" s="640"/>
      <c r="K81" s="640"/>
      <c r="L81" s="640"/>
      <c r="M81" s="640"/>
      <c r="N81" s="640"/>
      <c r="O81" s="640"/>
      <c r="P81" s="640"/>
      <c r="Q81" s="640"/>
    </row>
    <row r="82" spans="1:17" x14ac:dyDescent="0.2">
      <c r="A82" s="639"/>
      <c r="B82" s="640"/>
      <c r="C82" s="640"/>
      <c r="D82" s="640"/>
      <c r="E82" s="640"/>
      <c r="F82" s="640"/>
      <c r="G82" s="640"/>
      <c r="H82" s="640"/>
      <c r="I82" s="640"/>
      <c r="J82" s="640"/>
      <c r="K82" s="640"/>
      <c r="L82" s="640"/>
      <c r="M82" s="640"/>
      <c r="N82" s="640"/>
      <c r="O82" s="640"/>
      <c r="P82" s="640"/>
      <c r="Q82" s="640"/>
    </row>
    <row r="83" spans="1:17" x14ac:dyDescent="0.2">
      <c r="A83" s="639"/>
      <c r="B83" s="640"/>
      <c r="C83" s="640"/>
      <c r="D83" s="640"/>
      <c r="E83" s="640"/>
      <c r="F83" s="640"/>
      <c r="G83" s="640"/>
      <c r="H83" s="640"/>
      <c r="I83" s="640"/>
      <c r="J83" s="640"/>
      <c r="K83" s="640"/>
      <c r="L83" s="640"/>
      <c r="M83" s="640"/>
      <c r="N83" s="640"/>
      <c r="O83" s="640"/>
      <c r="P83" s="640"/>
      <c r="Q83" s="640"/>
    </row>
    <row r="84" spans="1:17" x14ac:dyDescent="0.2">
      <c r="A84" s="638"/>
      <c r="B84" s="640"/>
      <c r="C84" s="640"/>
      <c r="D84" s="640"/>
      <c r="E84" s="640"/>
      <c r="F84" s="640"/>
      <c r="G84" s="640"/>
      <c r="H84" s="640"/>
      <c r="I84" s="640"/>
      <c r="J84" s="640"/>
      <c r="K84" s="640"/>
      <c r="L84" s="640"/>
      <c r="M84" s="640"/>
      <c r="N84" s="640"/>
      <c r="O84" s="640"/>
      <c r="P84" s="640"/>
      <c r="Q84" s="640"/>
    </row>
    <row r="85" spans="1:17" x14ac:dyDescent="0.2">
      <c r="A85" s="639"/>
      <c r="B85" s="640"/>
      <c r="C85" s="640"/>
      <c r="D85" s="640"/>
      <c r="E85" s="640"/>
      <c r="F85" s="640"/>
      <c r="G85" s="640"/>
      <c r="H85" s="640"/>
      <c r="I85" s="640"/>
      <c r="J85" s="640"/>
      <c r="K85" s="640"/>
      <c r="L85" s="640"/>
      <c r="M85" s="640"/>
      <c r="N85" s="640"/>
      <c r="O85" s="640"/>
      <c r="P85" s="640"/>
      <c r="Q85" s="640"/>
    </row>
    <row r="86" spans="1:17" x14ac:dyDescent="0.2">
      <c r="A86" s="639"/>
      <c r="B86" s="640"/>
      <c r="C86" s="640"/>
      <c r="D86" s="640"/>
      <c r="E86" s="640"/>
      <c r="F86" s="640"/>
      <c r="G86" s="640"/>
      <c r="H86" s="640"/>
      <c r="I86" s="640"/>
      <c r="J86" s="640"/>
      <c r="K86" s="640"/>
      <c r="L86" s="640"/>
      <c r="M86" s="640"/>
      <c r="N86" s="640"/>
      <c r="O86" s="640"/>
      <c r="P86" s="640"/>
      <c r="Q86" s="640"/>
    </row>
    <row r="87" spans="1:17" x14ac:dyDescent="0.2">
      <c r="A87" s="639"/>
      <c r="B87" s="640"/>
      <c r="C87" s="640"/>
      <c r="D87" s="640"/>
      <c r="E87" s="640"/>
      <c r="F87" s="640"/>
      <c r="G87" s="640"/>
      <c r="H87" s="640"/>
      <c r="I87" s="640"/>
      <c r="J87" s="640"/>
      <c r="K87" s="640"/>
      <c r="L87" s="640"/>
      <c r="M87" s="640"/>
      <c r="N87" s="640"/>
      <c r="O87" s="640"/>
      <c r="P87" s="640"/>
      <c r="Q87" s="640"/>
    </row>
    <row r="88" spans="1:17" x14ac:dyDescent="0.2">
      <c r="A88" s="639"/>
      <c r="B88" s="640"/>
      <c r="C88" s="640"/>
      <c r="D88" s="640"/>
      <c r="E88" s="640"/>
      <c r="F88" s="640"/>
      <c r="G88" s="640"/>
      <c r="H88" s="640"/>
      <c r="I88" s="640"/>
      <c r="J88" s="640"/>
      <c r="K88" s="640"/>
      <c r="L88" s="640"/>
      <c r="M88" s="640"/>
      <c r="N88" s="640"/>
      <c r="O88" s="640"/>
      <c r="P88" s="640"/>
      <c r="Q88" s="640"/>
    </row>
    <row r="89" spans="1:17" x14ac:dyDescent="0.2">
      <c r="A89" s="639"/>
      <c r="B89" s="640"/>
      <c r="C89" s="640"/>
      <c r="D89" s="640"/>
      <c r="E89" s="640"/>
      <c r="F89" s="640"/>
      <c r="G89" s="640"/>
      <c r="H89" s="640"/>
      <c r="I89" s="640"/>
      <c r="J89" s="640"/>
      <c r="K89" s="640"/>
      <c r="L89" s="640"/>
      <c r="M89" s="640"/>
      <c r="N89" s="640"/>
      <c r="O89" s="640"/>
      <c r="P89" s="640"/>
      <c r="Q89" s="640"/>
    </row>
    <row r="90" spans="1:17" x14ac:dyDescent="0.2">
      <c r="A90" s="639"/>
      <c r="B90" s="640"/>
      <c r="C90" s="640"/>
      <c r="D90" s="640"/>
      <c r="E90" s="640"/>
      <c r="F90" s="640"/>
      <c r="G90" s="640"/>
      <c r="H90" s="640"/>
      <c r="I90" s="640"/>
      <c r="J90" s="640"/>
      <c r="K90" s="640"/>
      <c r="L90" s="640"/>
      <c r="M90" s="640"/>
      <c r="N90" s="640"/>
      <c r="O90" s="640"/>
      <c r="P90" s="640"/>
      <c r="Q90" s="640"/>
    </row>
    <row r="91" spans="1:17" x14ac:dyDescent="0.2">
      <c r="A91" s="639"/>
      <c r="B91" s="640"/>
      <c r="C91" s="640"/>
      <c r="D91" s="640"/>
      <c r="E91" s="640"/>
      <c r="F91" s="640"/>
      <c r="G91" s="640"/>
      <c r="H91" s="640"/>
      <c r="I91" s="640"/>
      <c r="J91" s="640"/>
      <c r="K91" s="640"/>
      <c r="L91" s="640"/>
      <c r="M91" s="640"/>
      <c r="N91" s="640"/>
      <c r="O91" s="640"/>
      <c r="P91" s="640"/>
      <c r="Q91" s="640"/>
    </row>
    <row r="92" spans="1:17" x14ac:dyDescent="0.2">
      <c r="A92" s="638"/>
      <c r="B92" s="640"/>
      <c r="C92" s="640"/>
      <c r="D92" s="640"/>
      <c r="E92" s="640"/>
      <c r="F92" s="640"/>
      <c r="G92" s="640"/>
      <c r="H92" s="640"/>
      <c r="I92" s="640"/>
      <c r="J92" s="640"/>
      <c r="K92" s="640"/>
      <c r="L92" s="640"/>
      <c r="M92" s="640"/>
      <c r="N92" s="640"/>
      <c r="O92" s="640"/>
      <c r="P92" s="640"/>
      <c r="Q92" s="640"/>
    </row>
    <row r="93" spans="1:17" x14ac:dyDescent="0.2">
      <c r="A93" s="639"/>
      <c r="B93" s="640"/>
      <c r="C93" s="640"/>
      <c r="D93" s="640"/>
      <c r="E93" s="640"/>
      <c r="F93" s="640"/>
      <c r="G93" s="640"/>
      <c r="H93" s="640"/>
      <c r="I93" s="640"/>
      <c r="J93" s="640"/>
      <c r="K93" s="640"/>
      <c r="L93" s="640"/>
      <c r="M93" s="640"/>
      <c r="N93" s="640"/>
      <c r="O93" s="640"/>
      <c r="P93" s="640"/>
      <c r="Q93" s="640"/>
    </row>
    <row r="94" spans="1:17" x14ac:dyDescent="0.2">
      <c r="A94" s="639"/>
      <c r="B94" s="640"/>
      <c r="C94" s="640"/>
      <c r="D94" s="640"/>
      <c r="E94" s="640"/>
      <c r="F94" s="640"/>
      <c r="G94" s="640"/>
      <c r="H94" s="640"/>
      <c r="I94" s="640"/>
      <c r="J94" s="640"/>
      <c r="K94" s="640"/>
      <c r="L94" s="640"/>
      <c r="M94" s="640"/>
      <c r="N94" s="640"/>
      <c r="O94" s="640"/>
      <c r="P94" s="640"/>
      <c r="Q94" s="640"/>
    </row>
    <row r="95" spans="1:17" x14ac:dyDescent="0.2">
      <c r="A95" s="639"/>
      <c r="B95" s="640"/>
      <c r="C95" s="640"/>
      <c r="D95" s="640"/>
      <c r="E95" s="640"/>
      <c r="F95" s="640"/>
      <c r="G95" s="640"/>
      <c r="H95" s="640"/>
      <c r="I95" s="640"/>
      <c r="J95" s="640"/>
      <c r="K95" s="640"/>
      <c r="L95" s="640"/>
      <c r="M95" s="640"/>
      <c r="N95" s="640"/>
      <c r="O95" s="640"/>
      <c r="P95" s="640"/>
      <c r="Q95" s="640"/>
    </row>
    <row r="96" spans="1:17" x14ac:dyDescent="0.2">
      <c r="A96" s="639"/>
      <c r="B96" s="640"/>
      <c r="C96" s="640"/>
      <c r="D96" s="640"/>
      <c r="E96" s="640"/>
      <c r="F96" s="640"/>
      <c r="G96" s="640"/>
      <c r="H96" s="640"/>
      <c r="I96" s="640"/>
      <c r="J96" s="640"/>
      <c r="K96" s="640"/>
      <c r="L96" s="640"/>
      <c r="M96" s="640"/>
      <c r="N96" s="640"/>
      <c r="O96" s="640"/>
      <c r="P96" s="640"/>
      <c r="Q96" s="640"/>
    </row>
    <row r="97" spans="1:17" x14ac:dyDescent="0.2">
      <c r="A97" s="639"/>
      <c r="B97" s="640"/>
      <c r="C97" s="640"/>
      <c r="D97" s="640"/>
      <c r="E97" s="640"/>
      <c r="F97" s="640"/>
      <c r="G97" s="640"/>
      <c r="H97" s="640"/>
      <c r="I97" s="640"/>
      <c r="J97" s="640"/>
      <c r="K97" s="640"/>
      <c r="L97" s="640"/>
      <c r="M97" s="640"/>
      <c r="N97" s="640"/>
      <c r="O97" s="640"/>
      <c r="P97" s="640"/>
      <c r="Q97" s="640"/>
    </row>
    <row r="98" spans="1:17" x14ac:dyDescent="0.2">
      <c r="A98" s="639"/>
      <c r="B98" s="640"/>
      <c r="C98" s="640"/>
      <c r="D98" s="640"/>
      <c r="E98" s="640"/>
      <c r="F98" s="640"/>
      <c r="G98" s="640"/>
      <c r="H98" s="640"/>
      <c r="I98" s="640"/>
      <c r="J98" s="640"/>
      <c r="K98" s="640"/>
      <c r="L98" s="640"/>
      <c r="M98" s="640"/>
      <c r="N98" s="640"/>
      <c r="O98" s="640"/>
      <c r="P98" s="640"/>
      <c r="Q98" s="640"/>
    </row>
    <row r="99" spans="1:17" x14ac:dyDescent="0.2">
      <c r="A99" s="639"/>
      <c r="B99" s="640"/>
      <c r="C99" s="640"/>
      <c r="D99" s="640"/>
      <c r="E99" s="640"/>
      <c r="F99" s="640"/>
      <c r="G99" s="640"/>
      <c r="H99" s="640"/>
      <c r="I99" s="640"/>
      <c r="J99" s="640"/>
      <c r="K99" s="640"/>
      <c r="L99" s="640"/>
      <c r="M99" s="640"/>
      <c r="N99" s="640"/>
      <c r="O99" s="640"/>
      <c r="P99" s="640"/>
      <c r="Q99" s="640"/>
    </row>
    <row r="100" spans="1:17" x14ac:dyDescent="0.2">
      <c r="A100" s="638"/>
      <c r="B100" s="640"/>
      <c r="C100" s="640"/>
      <c r="D100" s="640"/>
      <c r="E100" s="640"/>
      <c r="F100" s="640"/>
      <c r="G100" s="640"/>
      <c r="H100" s="640"/>
      <c r="I100" s="640"/>
      <c r="J100" s="640"/>
      <c r="K100" s="640"/>
      <c r="L100" s="640"/>
      <c r="M100" s="640"/>
      <c r="N100" s="640"/>
      <c r="O100" s="640"/>
      <c r="P100" s="640"/>
      <c r="Q100" s="640"/>
    </row>
    <row r="101" spans="1:17" x14ac:dyDescent="0.2">
      <c r="A101" s="639"/>
      <c r="B101" s="640"/>
      <c r="C101" s="640"/>
      <c r="D101" s="640"/>
      <c r="E101" s="640"/>
      <c r="F101" s="640"/>
      <c r="G101" s="640"/>
      <c r="H101" s="640"/>
      <c r="I101" s="640"/>
      <c r="J101" s="640"/>
      <c r="K101" s="640"/>
      <c r="L101" s="640"/>
      <c r="M101" s="640"/>
      <c r="N101" s="640"/>
      <c r="O101" s="640"/>
      <c r="P101" s="640"/>
      <c r="Q101" s="640"/>
    </row>
    <row r="102" spans="1:17" x14ac:dyDescent="0.2">
      <c r="A102" s="639"/>
      <c r="B102" s="640"/>
      <c r="C102" s="640"/>
      <c r="D102" s="640"/>
      <c r="E102" s="640"/>
      <c r="F102" s="640"/>
      <c r="G102" s="640"/>
      <c r="H102" s="640"/>
      <c r="I102" s="640"/>
      <c r="J102" s="640"/>
      <c r="K102" s="640"/>
      <c r="L102" s="640"/>
      <c r="M102" s="640"/>
      <c r="N102" s="640"/>
      <c r="O102" s="640"/>
      <c r="P102" s="640"/>
      <c r="Q102" s="640"/>
    </row>
    <row r="103" spans="1:17" x14ac:dyDescent="0.2">
      <c r="A103" s="639"/>
      <c r="B103" s="640"/>
      <c r="C103" s="640"/>
      <c r="D103" s="640"/>
      <c r="E103" s="640"/>
      <c r="F103" s="640"/>
      <c r="G103" s="640"/>
      <c r="H103" s="640"/>
      <c r="I103" s="640"/>
      <c r="J103" s="640"/>
      <c r="K103" s="640"/>
      <c r="L103" s="640"/>
      <c r="M103" s="640"/>
      <c r="N103" s="640"/>
      <c r="O103" s="640"/>
      <c r="P103" s="640"/>
      <c r="Q103" s="640"/>
    </row>
    <row r="104" spans="1:17" x14ac:dyDescent="0.2">
      <c r="A104" s="639"/>
      <c r="B104" s="640"/>
      <c r="C104" s="640"/>
      <c r="D104" s="640"/>
      <c r="E104" s="640"/>
      <c r="F104" s="640"/>
      <c r="G104" s="640"/>
      <c r="H104" s="640"/>
      <c r="I104" s="640"/>
      <c r="J104" s="640"/>
      <c r="K104" s="640"/>
      <c r="L104" s="640"/>
      <c r="M104" s="640"/>
      <c r="N104" s="640"/>
      <c r="O104" s="640"/>
      <c r="P104" s="640"/>
      <c r="Q104" s="640"/>
    </row>
    <row r="105" spans="1:17" x14ac:dyDescent="0.2">
      <c r="A105" s="639"/>
      <c r="B105" s="640"/>
      <c r="C105" s="640"/>
      <c r="D105" s="640"/>
      <c r="E105" s="640"/>
      <c r="F105" s="640"/>
      <c r="G105" s="640"/>
      <c r="H105" s="640"/>
      <c r="I105" s="640"/>
      <c r="J105" s="640"/>
      <c r="K105" s="640"/>
      <c r="L105" s="640"/>
      <c r="M105" s="640"/>
      <c r="N105" s="640"/>
      <c r="O105" s="640"/>
      <c r="P105" s="640"/>
      <c r="Q105" s="640"/>
    </row>
    <row r="106" spans="1:17" x14ac:dyDescent="0.2">
      <c r="A106" s="639"/>
      <c r="B106" s="640"/>
      <c r="C106" s="640"/>
      <c r="D106" s="640"/>
      <c r="E106" s="640"/>
      <c r="F106" s="640"/>
      <c r="G106" s="640"/>
      <c r="H106" s="640"/>
      <c r="I106" s="640"/>
      <c r="J106" s="640"/>
      <c r="K106" s="640"/>
      <c r="L106" s="640"/>
      <c r="M106" s="640"/>
      <c r="N106" s="640"/>
      <c r="O106" s="640"/>
      <c r="P106" s="640"/>
      <c r="Q106" s="640"/>
    </row>
    <row r="107" spans="1:17" x14ac:dyDescent="0.2">
      <c r="A107" s="639"/>
      <c r="B107" s="640"/>
      <c r="C107" s="640"/>
      <c r="D107" s="640"/>
      <c r="E107" s="640"/>
      <c r="F107" s="640"/>
      <c r="G107" s="640"/>
      <c r="H107" s="640"/>
      <c r="I107" s="640"/>
      <c r="J107" s="640"/>
      <c r="K107" s="640"/>
      <c r="L107" s="640"/>
      <c r="M107" s="640"/>
      <c r="N107" s="640"/>
      <c r="O107" s="640"/>
      <c r="P107" s="640"/>
      <c r="Q107" s="640"/>
    </row>
    <row r="108" spans="1:17" x14ac:dyDescent="0.2">
      <c r="A108" s="638"/>
      <c r="B108" s="640"/>
      <c r="C108" s="640"/>
      <c r="D108" s="640"/>
      <c r="E108" s="640"/>
      <c r="F108" s="640"/>
      <c r="G108" s="640"/>
      <c r="H108" s="640"/>
      <c r="I108" s="640"/>
      <c r="J108" s="640"/>
      <c r="K108" s="640"/>
      <c r="L108" s="640"/>
      <c r="M108" s="640"/>
      <c r="N108" s="640"/>
      <c r="O108" s="640"/>
      <c r="P108" s="640"/>
      <c r="Q108" s="640"/>
    </row>
    <row r="109" spans="1:17" x14ac:dyDescent="0.2">
      <c r="A109" s="639"/>
      <c r="B109" s="640"/>
      <c r="C109" s="640"/>
      <c r="D109" s="640"/>
      <c r="E109" s="640"/>
      <c r="F109" s="640"/>
      <c r="G109" s="640"/>
      <c r="H109" s="640"/>
      <c r="I109" s="640"/>
      <c r="J109" s="640"/>
      <c r="K109" s="640"/>
      <c r="L109" s="640"/>
      <c r="M109" s="640"/>
      <c r="N109" s="640"/>
      <c r="O109" s="640"/>
      <c r="P109" s="640"/>
      <c r="Q109" s="640"/>
    </row>
    <row r="110" spans="1:17" x14ac:dyDescent="0.2">
      <c r="A110" s="639"/>
      <c r="B110" s="640"/>
      <c r="C110" s="640"/>
      <c r="D110" s="640"/>
      <c r="E110" s="640"/>
      <c r="F110" s="640"/>
      <c r="G110" s="640"/>
      <c r="H110" s="640"/>
      <c r="I110" s="640"/>
      <c r="J110" s="640"/>
      <c r="K110" s="640"/>
      <c r="L110" s="640"/>
      <c r="M110" s="640"/>
      <c r="N110" s="640"/>
      <c r="O110" s="640"/>
      <c r="P110" s="640"/>
      <c r="Q110" s="640"/>
    </row>
    <row r="111" spans="1:17" x14ac:dyDescent="0.2">
      <c r="A111" s="639"/>
      <c r="B111" s="640"/>
      <c r="C111" s="640"/>
      <c r="D111" s="640"/>
      <c r="E111" s="640"/>
      <c r="F111" s="640"/>
      <c r="G111" s="640"/>
      <c r="H111" s="640"/>
      <c r="I111" s="640"/>
      <c r="J111" s="640"/>
      <c r="K111" s="640"/>
      <c r="L111" s="640"/>
      <c r="M111" s="640"/>
      <c r="N111" s="640"/>
      <c r="O111" s="640"/>
      <c r="P111" s="640"/>
      <c r="Q111" s="640"/>
    </row>
    <row r="112" spans="1:17" x14ac:dyDescent="0.2">
      <c r="A112" s="639"/>
      <c r="B112" s="640"/>
      <c r="C112" s="640"/>
      <c r="D112" s="640"/>
      <c r="E112" s="640"/>
      <c r="F112" s="640"/>
      <c r="G112" s="640"/>
      <c r="H112" s="640"/>
      <c r="I112" s="640"/>
      <c r="J112" s="640"/>
      <c r="K112" s="640"/>
      <c r="L112" s="640"/>
      <c r="M112" s="640"/>
      <c r="N112" s="640"/>
      <c r="O112" s="640"/>
      <c r="P112" s="640"/>
      <c r="Q112" s="640"/>
    </row>
    <row r="113" spans="1:17" x14ac:dyDescent="0.2">
      <c r="A113" s="639"/>
      <c r="B113" s="640"/>
      <c r="C113" s="640"/>
      <c r="D113" s="640"/>
      <c r="E113" s="640"/>
      <c r="F113" s="640"/>
      <c r="G113" s="640"/>
      <c r="H113" s="640"/>
      <c r="I113" s="640"/>
      <c r="J113" s="640"/>
      <c r="K113" s="640"/>
      <c r="L113" s="640"/>
      <c r="M113" s="640"/>
      <c r="N113" s="640"/>
      <c r="O113" s="640"/>
      <c r="P113" s="640"/>
      <c r="Q113" s="640"/>
    </row>
    <row r="114" spans="1:17" x14ac:dyDescent="0.2">
      <c r="A114" s="639"/>
      <c r="B114" s="640"/>
      <c r="C114" s="640"/>
      <c r="D114" s="640"/>
      <c r="E114" s="640"/>
      <c r="F114" s="640"/>
      <c r="G114" s="640"/>
      <c r="H114" s="640"/>
      <c r="I114" s="640"/>
      <c r="J114" s="640"/>
      <c r="K114" s="640"/>
      <c r="L114" s="640"/>
      <c r="M114" s="640"/>
      <c r="N114" s="640"/>
      <c r="O114" s="640"/>
      <c r="P114" s="640"/>
      <c r="Q114" s="640"/>
    </row>
    <row r="115" spans="1:17" x14ac:dyDescent="0.2">
      <c r="A115" s="639"/>
      <c r="B115" s="640"/>
      <c r="C115" s="640"/>
      <c r="D115" s="640"/>
      <c r="E115" s="640"/>
      <c r="F115" s="640"/>
      <c r="G115" s="640"/>
      <c r="H115" s="640"/>
      <c r="I115" s="640"/>
      <c r="J115" s="640"/>
      <c r="K115" s="640"/>
      <c r="L115" s="640"/>
      <c r="M115" s="640"/>
      <c r="N115" s="640"/>
      <c r="O115" s="640"/>
      <c r="P115" s="640"/>
      <c r="Q115" s="640"/>
    </row>
    <row r="116" spans="1:17" x14ac:dyDescent="0.2">
      <c r="A116" s="638"/>
      <c r="B116" s="640"/>
      <c r="C116" s="640"/>
      <c r="D116" s="640"/>
      <c r="E116" s="640"/>
      <c r="F116" s="640"/>
      <c r="G116" s="640"/>
      <c r="H116" s="640"/>
      <c r="I116" s="640"/>
      <c r="J116" s="640"/>
      <c r="K116" s="640"/>
      <c r="L116" s="640"/>
      <c r="M116" s="640"/>
      <c r="N116" s="640"/>
      <c r="O116" s="640"/>
      <c r="P116" s="640"/>
      <c r="Q116" s="640"/>
    </row>
    <row r="117" spans="1:17" x14ac:dyDescent="0.2">
      <c r="A117" s="639"/>
      <c r="B117" s="640"/>
      <c r="C117" s="640"/>
      <c r="D117" s="640"/>
      <c r="E117" s="640"/>
      <c r="F117" s="640"/>
      <c r="G117" s="640"/>
      <c r="H117" s="640"/>
      <c r="I117" s="640"/>
      <c r="J117" s="640"/>
      <c r="K117" s="640"/>
      <c r="L117" s="640"/>
      <c r="M117" s="640"/>
      <c r="N117" s="640"/>
      <c r="O117" s="640"/>
      <c r="P117" s="640"/>
      <c r="Q117" s="640"/>
    </row>
    <row r="118" spans="1:17" x14ac:dyDescent="0.2">
      <c r="A118" s="639"/>
      <c r="B118" s="640"/>
      <c r="C118" s="640"/>
      <c r="D118" s="640"/>
      <c r="E118" s="640"/>
      <c r="F118" s="640"/>
      <c r="G118" s="640"/>
      <c r="H118" s="640"/>
      <c r="I118" s="640"/>
      <c r="J118" s="640"/>
      <c r="K118" s="640"/>
      <c r="L118" s="640"/>
      <c r="M118" s="640"/>
      <c r="N118" s="640"/>
      <c r="O118" s="640"/>
      <c r="P118" s="640"/>
      <c r="Q118" s="640"/>
    </row>
    <row r="119" spans="1:17" x14ac:dyDescent="0.2">
      <c r="A119" s="639"/>
      <c r="B119" s="640"/>
      <c r="C119" s="640"/>
      <c r="D119" s="640"/>
      <c r="E119" s="640"/>
      <c r="F119" s="640"/>
      <c r="G119" s="640"/>
      <c r="H119" s="640"/>
      <c r="I119" s="640"/>
      <c r="J119" s="640"/>
      <c r="K119" s="640"/>
      <c r="L119" s="640"/>
      <c r="M119" s="640"/>
      <c r="N119" s="640"/>
      <c r="O119" s="640"/>
      <c r="P119" s="640"/>
      <c r="Q119" s="640"/>
    </row>
    <row r="120" spans="1:17" x14ac:dyDescent="0.2">
      <c r="A120" s="639"/>
      <c r="B120" s="640"/>
      <c r="C120" s="640"/>
      <c r="D120" s="640"/>
      <c r="E120" s="640"/>
      <c r="F120" s="640"/>
      <c r="G120" s="640"/>
      <c r="H120" s="640"/>
      <c r="I120" s="640"/>
      <c r="J120" s="640"/>
      <c r="K120" s="640"/>
      <c r="L120" s="640"/>
      <c r="M120" s="640"/>
      <c r="N120" s="640"/>
      <c r="O120" s="640"/>
      <c r="P120" s="640"/>
      <c r="Q120" s="640"/>
    </row>
    <row r="121" spans="1:17" x14ac:dyDescent="0.2">
      <c r="A121" s="639"/>
      <c r="B121" s="640"/>
      <c r="C121" s="640"/>
      <c r="D121" s="640"/>
      <c r="E121" s="640"/>
      <c r="F121" s="640"/>
      <c r="G121" s="640"/>
      <c r="H121" s="640"/>
      <c r="I121" s="640"/>
      <c r="J121" s="640"/>
      <c r="K121" s="640"/>
      <c r="L121" s="640"/>
      <c r="M121" s="640"/>
      <c r="N121" s="640"/>
      <c r="O121" s="640"/>
      <c r="P121" s="640"/>
      <c r="Q121" s="640"/>
    </row>
    <row r="122" spans="1:17" x14ac:dyDescent="0.2">
      <c r="A122" s="639"/>
      <c r="B122" s="640"/>
      <c r="C122" s="640"/>
      <c r="D122" s="640"/>
      <c r="E122" s="640"/>
      <c r="F122" s="640"/>
      <c r="G122" s="640"/>
      <c r="H122" s="640"/>
      <c r="I122" s="640"/>
      <c r="J122" s="640"/>
      <c r="K122" s="640"/>
      <c r="L122" s="640"/>
      <c r="M122" s="640"/>
      <c r="N122" s="640"/>
      <c r="O122" s="640"/>
      <c r="P122" s="640"/>
      <c r="Q122" s="640"/>
    </row>
    <row r="123" spans="1:17" x14ac:dyDescent="0.2">
      <c r="A123" s="639"/>
      <c r="B123" s="640"/>
      <c r="C123" s="640"/>
      <c r="D123" s="640"/>
      <c r="E123" s="640"/>
      <c r="F123" s="640"/>
      <c r="G123" s="640"/>
      <c r="H123" s="640"/>
      <c r="I123" s="640"/>
      <c r="J123" s="640"/>
      <c r="K123" s="640"/>
      <c r="L123" s="640"/>
      <c r="M123" s="640"/>
      <c r="N123" s="640"/>
      <c r="O123" s="640"/>
      <c r="P123" s="640"/>
      <c r="Q123" s="640"/>
    </row>
    <row r="124" spans="1:17" x14ac:dyDescent="0.2">
      <c r="A124" s="638"/>
      <c r="B124" s="640"/>
      <c r="C124" s="640"/>
      <c r="D124" s="640"/>
      <c r="E124" s="640"/>
      <c r="F124" s="640"/>
      <c r="G124" s="640"/>
      <c r="H124" s="640"/>
      <c r="I124" s="640"/>
      <c r="J124" s="640"/>
      <c r="K124" s="640"/>
      <c r="L124" s="640"/>
      <c r="M124" s="640"/>
      <c r="N124" s="640"/>
      <c r="O124" s="640"/>
      <c r="P124" s="640"/>
      <c r="Q124" s="640"/>
    </row>
    <row r="125" spans="1:17" x14ac:dyDescent="0.2">
      <c r="A125" s="639"/>
      <c r="B125" s="640"/>
      <c r="C125" s="640"/>
      <c r="D125" s="640"/>
      <c r="E125" s="640"/>
      <c r="F125" s="640"/>
      <c r="G125" s="640"/>
      <c r="H125" s="640"/>
      <c r="I125" s="640"/>
      <c r="J125" s="640"/>
      <c r="K125" s="640"/>
      <c r="L125" s="640"/>
      <c r="M125" s="640"/>
      <c r="N125" s="640"/>
      <c r="O125" s="640"/>
      <c r="P125" s="640"/>
      <c r="Q125" s="640"/>
    </row>
    <row r="126" spans="1:17" x14ac:dyDescent="0.2">
      <c r="A126" s="639"/>
      <c r="B126" s="640"/>
      <c r="C126" s="640"/>
      <c r="D126" s="640"/>
      <c r="E126" s="640"/>
      <c r="F126" s="640"/>
      <c r="G126" s="640"/>
      <c r="H126" s="640"/>
      <c r="I126" s="640"/>
      <c r="J126" s="640"/>
      <c r="K126" s="640"/>
      <c r="L126" s="640"/>
      <c r="M126" s="640"/>
      <c r="N126" s="640"/>
      <c r="O126" s="640"/>
      <c r="P126" s="640"/>
      <c r="Q126" s="640"/>
    </row>
    <row r="127" spans="1:17" x14ac:dyDescent="0.2">
      <c r="A127" s="639"/>
      <c r="B127" s="640"/>
      <c r="C127" s="640"/>
      <c r="D127" s="640"/>
      <c r="E127" s="640"/>
      <c r="F127" s="640"/>
      <c r="G127" s="640"/>
      <c r="H127" s="640"/>
      <c r="I127" s="640"/>
      <c r="J127" s="640"/>
      <c r="K127" s="640"/>
      <c r="L127" s="640"/>
      <c r="M127" s="640"/>
      <c r="N127" s="640"/>
      <c r="O127" s="640"/>
      <c r="P127" s="640"/>
      <c r="Q127" s="640"/>
    </row>
    <row r="128" spans="1:17" x14ac:dyDescent="0.2">
      <c r="A128" s="639"/>
      <c r="B128" s="640"/>
      <c r="C128" s="640"/>
      <c r="D128" s="640"/>
      <c r="E128" s="640"/>
      <c r="F128" s="640"/>
      <c r="G128" s="640"/>
      <c r="H128" s="640"/>
      <c r="I128" s="640"/>
      <c r="J128" s="640"/>
      <c r="K128" s="640"/>
      <c r="L128" s="640"/>
      <c r="M128" s="640"/>
      <c r="N128" s="640"/>
      <c r="O128" s="640"/>
      <c r="P128" s="640"/>
      <c r="Q128" s="640"/>
    </row>
    <row r="129" spans="1:17" x14ac:dyDescent="0.2">
      <c r="A129" s="639"/>
      <c r="B129" s="640"/>
      <c r="C129" s="640"/>
      <c r="D129" s="640"/>
      <c r="E129" s="640"/>
      <c r="F129" s="640"/>
      <c r="G129" s="640"/>
      <c r="H129" s="640"/>
      <c r="I129" s="640"/>
      <c r="J129" s="640"/>
      <c r="K129" s="640"/>
      <c r="L129" s="640"/>
      <c r="M129" s="640"/>
      <c r="N129" s="640"/>
      <c r="O129" s="640"/>
      <c r="P129" s="640"/>
      <c r="Q129" s="640"/>
    </row>
    <row r="130" spans="1:17" x14ac:dyDescent="0.2">
      <c r="A130" s="639"/>
      <c r="B130" s="640"/>
      <c r="C130" s="640"/>
      <c r="D130" s="640"/>
      <c r="E130" s="640"/>
      <c r="F130" s="640"/>
      <c r="G130" s="640"/>
      <c r="H130" s="640"/>
      <c r="I130" s="640"/>
      <c r="J130" s="640"/>
      <c r="K130" s="640"/>
      <c r="L130" s="640"/>
      <c r="M130" s="640"/>
      <c r="N130" s="640"/>
      <c r="O130" s="640"/>
      <c r="P130" s="640"/>
      <c r="Q130" s="640"/>
    </row>
    <row r="131" spans="1:17" x14ac:dyDescent="0.2">
      <c r="A131" s="639"/>
      <c r="B131" s="640"/>
      <c r="C131" s="640"/>
      <c r="D131" s="640"/>
      <c r="E131" s="640"/>
      <c r="F131" s="640"/>
      <c r="G131" s="640"/>
      <c r="H131" s="640"/>
      <c r="I131" s="640"/>
      <c r="J131" s="640"/>
      <c r="K131" s="640"/>
      <c r="L131" s="640"/>
      <c r="M131" s="640"/>
      <c r="N131" s="640"/>
      <c r="O131" s="640"/>
      <c r="P131" s="640"/>
      <c r="Q131" s="640"/>
    </row>
    <row r="132" spans="1:17" x14ac:dyDescent="0.2">
      <c r="A132" s="653"/>
      <c r="B132" s="640"/>
      <c r="C132" s="640"/>
      <c r="D132" s="640"/>
      <c r="E132" s="640"/>
      <c r="F132" s="640"/>
      <c r="G132" s="640"/>
      <c r="H132" s="640"/>
      <c r="I132" s="640"/>
      <c r="J132" s="640"/>
      <c r="K132" s="640"/>
      <c r="L132" s="640"/>
      <c r="M132" s="640"/>
      <c r="N132" s="640"/>
      <c r="O132" s="640"/>
      <c r="P132" s="640"/>
      <c r="Q132" s="640"/>
    </row>
    <row r="133" spans="1:17" x14ac:dyDescent="0.2">
      <c r="A133" s="653"/>
      <c r="B133" s="654"/>
      <c r="C133" s="654"/>
      <c r="D133" s="654"/>
      <c r="E133" s="654"/>
      <c r="F133" s="654"/>
      <c r="G133" s="654"/>
      <c r="H133" s="654"/>
      <c r="I133" s="654"/>
      <c r="J133" s="654"/>
      <c r="K133" s="654"/>
      <c r="L133" s="654"/>
      <c r="M133" s="654"/>
      <c r="N133" s="654"/>
      <c r="O133" s="654"/>
      <c r="P133" s="654"/>
      <c r="Q133" s="654"/>
    </row>
    <row r="134" spans="1:17" x14ac:dyDescent="0.2">
      <c r="A134" s="653"/>
      <c r="B134" s="654"/>
      <c r="C134" s="654"/>
      <c r="D134" s="654"/>
      <c r="E134" s="654"/>
      <c r="F134" s="654"/>
      <c r="G134" s="654"/>
      <c r="H134" s="654"/>
      <c r="I134" s="654"/>
      <c r="J134" s="654"/>
      <c r="K134" s="654"/>
      <c r="L134" s="654"/>
      <c r="M134" s="654"/>
      <c r="N134" s="654"/>
      <c r="O134" s="654"/>
      <c r="P134" s="654"/>
      <c r="Q134" s="654"/>
    </row>
    <row r="135" spans="1:17" x14ac:dyDescent="0.2">
      <c r="A135" s="653"/>
      <c r="B135" s="640"/>
      <c r="C135" s="640"/>
      <c r="D135" s="640"/>
      <c r="E135" s="640"/>
      <c r="F135" s="640"/>
      <c r="G135" s="640"/>
      <c r="H135" s="640"/>
      <c r="I135" s="640"/>
      <c r="J135" s="640"/>
      <c r="K135" s="640"/>
      <c r="L135" s="640"/>
      <c r="M135" s="640"/>
      <c r="N135" s="640"/>
      <c r="O135" s="640"/>
      <c r="P135" s="640"/>
      <c r="Q135" s="640"/>
    </row>
    <row r="136" spans="1:17" x14ac:dyDescent="0.2">
      <c r="A136" s="653"/>
      <c r="B136" s="640"/>
      <c r="C136" s="640"/>
      <c r="D136" s="640"/>
      <c r="E136" s="640"/>
      <c r="F136" s="640"/>
      <c r="G136" s="640"/>
      <c r="H136" s="640"/>
      <c r="I136" s="640"/>
      <c r="J136" s="640"/>
      <c r="K136" s="640"/>
      <c r="L136" s="640"/>
      <c r="M136" s="640"/>
      <c r="N136" s="640"/>
      <c r="O136" s="640"/>
      <c r="P136" s="640"/>
      <c r="Q136" s="640"/>
    </row>
    <row r="137" spans="1:17" x14ac:dyDescent="0.2">
      <c r="A137" s="638"/>
      <c r="B137" s="640"/>
      <c r="C137" s="640"/>
      <c r="D137" s="640"/>
      <c r="E137" s="640"/>
      <c r="F137" s="640"/>
      <c r="G137" s="640"/>
      <c r="H137" s="640"/>
      <c r="I137" s="640"/>
      <c r="J137" s="640"/>
      <c r="K137" s="640"/>
      <c r="L137" s="640"/>
      <c r="M137" s="640"/>
      <c r="N137" s="640"/>
      <c r="O137" s="640"/>
      <c r="P137" s="640"/>
      <c r="Q137" s="640"/>
    </row>
    <row r="138" spans="1:17" x14ac:dyDescent="0.2">
      <c r="A138" s="653"/>
      <c r="B138" s="640"/>
      <c r="C138" s="640"/>
      <c r="D138" s="640"/>
      <c r="E138" s="640"/>
      <c r="F138" s="640"/>
      <c r="G138" s="640"/>
      <c r="H138" s="640"/>
      <c r="I138" s="640"/>
      <c r="J138" s="640"/>
      <c r="K138" s="640"/>
      <c r="L138" s="640"/>
      <c r="M138" s="640"/>
      <c r="N138" s="640"/>
      <c r="O138" s="640"/>
      <c r="P138" s="640"/>
      <c r="Q138" s="640"/>
    </row>
    <row r="139" spans="1:17" ht="15.75" x14ac:dyDescent="0.25">
      <c r="A139"/>
      <c r="B139"/>
      <c r="C139"/>
      <c r="D139"/>
      <c r="E139"/>
      <c r="F139"/>
      <c r="G139"/>
      <c r="H139"/>
      <c r="I139"/>
      <c r="J139"/>
      <c r="K139"/>
      <c r="L139"/>
      <c r="M139"/>
      <c r="N139"/>
      <c r="O139"/>
      <c r="P139"/>
      <c r="Q139"/>
    </row>
    <row r="140" spans="1:17" ht="15.75" x14ac:dyDescent="0.25">
      <c r="A140"/>
      <c r="B140"/>
      <c r="C140"/>
      <c r="D140"/>
      <c r="E140"/>
      <c r="F140"/>
      <c r="G140"/>
      <c r="H140"/>
      <c r="I140"/>
      <c r="J140"/>
      <c r="K140"/>
      <c r="L140"/>
      <c r="M140"/>
      <c r="N140"/>
      <c r="O140"/>
      <c r="P140"/>
      <c r="Q140"/>
    </row>
    <row r="141" spans="1:17" ht="15.75" x14ac:dyDescent="0.25">
      <c r="A141"/>
      <c r="B141"/>
      <c r="C141"/>
      <c r="D141"/>
      <c r="E141"/>
      <c r="F141"/>
      <c r="G141"/>
      <c r="H141"/>
      <c r="I141"/>
      <c r="J141"/>
      <c r="K141"/>
      <c r="L141"/>
      <c r="M141"/>
      <c r="N141"/>
      <c r="O141"/>
      <c r="P141"/>
      <c r="Q141"/>
    </row>
    <row r="142" spans="1:17" ht="15.75" x14ac:dyDescent="0.25">
      <c r="A142"/>
      <c r="B142"/>
      <c r="C142"/>
      <c r="D142"/>
      <c r="E142"/>
      <c r="F142"/>
      <c r="G142"/>
      <c r="H142"/>
      <c r="I142"/>
      <c r="J142"/>
      <c r="K142"/>
      <c r="L142"/>
      <c r="M142"/>
      <c r="N142"/>
      <c r="O142"/>
      <c r="P142"/>
      <c r="Q142"/>
    </row>
    <row r="143" spans="1:17" ht="15.75" x14ac:dyDescent="0.25">
      <c r="A143"/>
      <c r="B143"/>
      <c r="C143"/>
      <c r="D143"/>
      <c r="E143"/>
      <c r="F143"/>
      <c r="G143"/>
      <c r="H143"/>
      <c r="I143"/>
      <c r="J143"/>
      <c r="K143"/>
      <c r="L143"/>
      <c r="M143"/>
      <c r="N143"/>
      <c r="O143"/>
      <c r="P143"/>
      <c r="Q143"/>
    </row>
    <row r="144" spans="1:17" ht="15.75" x14ac:dyDescent="0.25">
      <c r="A144"/>
      <c r="B144"/>
      <c r="C144"/>
      <c r="D144"/>
      <c r="E144"/>
      <c r="F144"/>
      <c r="G144"/>
      <c r="H144"/>
      <c r="I144"/>
      <c r="J144"/>
      <c r="K144"/>
      <c r="L144"/>
      <c r="M144"/>
      <c r="N144"/>
      <c r="O144"/>
      <c r="P144"/>
      <c r="Q144"/>
    </row>
    <row r="145" spans="1:17" ht="15.75" x14ac:dyDescent="0.25">
      <c r="A145"/>
      <c r="B145"/>
      <c r="C145"/>
      <c r="D145"/>
      <c r="E145"/>
      <c r="F145"/>
      <c r="G145"/>
      <c r="H145"/>
      <c r="I145"/>
      <c r="J145"/>
      <c r="K145"/>
      <c r="L145"/>
      <c r="M145"/>
      <c r="N145"/>
      <c r="O145"/>
      <c r="P145"/>
      <c r="Q145"/>
    </row>
    <row r="146" spans="1:17" ht="15.75" x14ac:dyDescent="0.25">
      <c r="A146"/>
      <c r="B146"/>
      <c r="C146"/>
      <c r="D146"/>
      <c r="E146"/>
      <c r="F146"/>
      <c r="G146"/>
      <c r="H146"/>
      <c r="I146"/>
      <c r="J146"/>
      <c r="K146"/>
      <c r="L146"/>
      <c r="M146"/>
      <c r="N146"/>
      <c r="O146"/>
      <c r="P146"/>
      <c r="Q146"/>
    </row>
    <row r="147" spans="1:17" ht="15.75" x14ac:dyDescent="0.25">
      <c r="A147"/>
      <c r="B147"/>
      <c r="C147"/>
      <c r="D147"/>
      <c r="E147"/>
      <c r="F147"/>
      <c r="G147"/>
      <c r="H147"/>
      <c r="I147"/>
      <c r="J147"/>
      <c r="K147"/>
      <c r="L147"/>
      <c r="M147"/>
      <c r="N147"/>
      <c r="O147"/>
      <c r="P147"/>
      <c r="Q147"/>
    </row>
    <row r="148" spans="1:17" ht="15.75" x14ac:dyDescent="0.25">
      <c r="A148"/>
      <c r="B148"/>
      <c r="C148"/>
      <c r="D148"/>
      <c r="E148"/>
      <c r="F148"/>
      <c r="G148"/>
      <c r="H148"/>
      <c r="I148"/>
      <c r="J148"/>
      <c r="K148"/>
      <c r="L148"/>
      <c r="M148"/>
      <c r="N148"/>
      <c r="O148"/>
      <c r="P148"/>
      <c r="Q148"/>
    </row>
    <row r="149" spans="1:17" ht="15.75" x14ac:dyDescent="0.25">
      <c r="A149"/>
      <c r="B149"/>
      <c r="C149"/>
      <c r="D149"/>
      <c r="E149"/>
      <c r="F149"/>
      <c r="G149"/>
      <c r="H149"/>
      <c r="I149"/>
      <c r="J149"/>
      <c r="K149"/>
      <c r="L149"/>
      <c r="M149"/>
      <c r="N149"/>
      <c r="O149"/>
      <c r="P149"/>
      <c r="Q149"/>
    </row>
    <row r="150" spans="1:17" ht="15.75" x14ac:dyDescent="0.25">
      <c r="A150"/>
      <c r="B150"/>
      <c r="C150"/>
      <c r="D150"/>
      <c r="E150"/>
      <c r="F150"/>
      <c r="G150"/>
      <c r="H150"/>
      <c r="I150"/>
      <c r="J150"/>
      <c r="K150"/>
      <c r="L150"/>
      <c r="M150"/>
      <c r="N150"/>
      <c r="O150"/>
      <c r="P150"/>
      <c r="Q150"/>
    </row>
    <row r="151" spans="1:17" ht="15.75" x14ac:dyDescent="0.25">
      <c r="A151"/>
      <c r="B151"/>
      <c r="C151"/>
      <c r="D151"/>
      <c r="E151"/>
      <c r="F151"/>
      <c r="G151"/>
      <c r="H151"/>
      <c r="I151"/>
      <c r="J151"/>
      <c r="K151"/>
      <c r="L151"/>
      <c r="M151"/>
      <c r="N151"/>
      <c r="O151"/>
      <c r="P151"/>
      <c r="Q151"/>
    </row>
    <row r="152" spans="1:17" ht="15.75" x14ac:dyDescent="0.25">
      <c r="A152"/>
      <c r="B152"/>
      <c r="C152"/>
      <c r="D152"/>
      <c r="E152"/>
      <c r="F152"/>
      <c r="G152"/>
      <c r="H152"/>
      <c r="I152"/>
      <c r="J152"/>
      <c r="K152"/>
      <c r="L152"/>
      <c r="M152"/>
      <c r="N152"/>
      <c r="O152"/>
      <c r="P152"/>
      <c r="Q152"/>
    </row>
    <row r="153" spans="1:17" ht="15.75" x14ac:dyDescent="0.25">
      <c r="A153"/>
      <c r="B153"/>
      <c r="C153"/>
      <c r="D153"/>
      <c r="E153"/>
      <c r="F153"/>
      <c r="G153"/>
      <c r="H153"/>
      <c r="I153"/>
      <c r="J153"/>
      <c r="K153"/>
      <c r="L153"/>
      <c r="M153"/>
      <c r="N153"/>
      <c r="O153"/>
      <c r="P153"/>
      <c r="Q153"/>
    </row>
    <row r="154" spans="1:17" ht="15.75" x14ac:dyDescent="0.25">
      <c r="A154"/>
      <c r="B154"/>
      <c r="C154"/>
      <c r="D154"/>
      <c r="E154"/>
      <c r="F154"/>
      <c r="G154"/>
      <c r="H154"/>
      <c r="I154"/>
      <c r="J154"/>
      <c r="K154"/>
      <c r="L154"/>
      <c r="M154"/>
      <c r="N154"/>
      <c r="O154"/>
      <c r="P154"/>
      <c r="Q154"/>
    </row>
    <row r="155" spans="1:17" ht="15.75" x14ac:dyDescent="0.25">
      <c r="A155"/>
      <c r="B155"/>
      <c r="C155"/>
      <c r="D155"/>
      <c r="E155"/>
      <c r="F155"/>
      <c r="G155"/>
      <c r="H155"/>
      <c r="I155"/>
      <c r="J155"/>
      <c r="K155"/>
      <c r="L155"/>
      <c r="M155"/>
      <c r="N155"/>
      <c r="O155"/>
      <c r="P155"/>
      <c r="Q155"/>
    </row>
    <row r="156" spans="1:17" ht="15.75" x14ac:dyDescent="0.25">
      <c r="A156"/>
      <c r="B156"/>
      <c r="C156"/>
      <c r="D156"/>
      <c r="E156"/>
      <c r="F156"/>
      <c r="G156"/>
      <c r="H156"/>
      <c r="I156"/>
      <c r="J156"/>
      <c r="K156"/>
      <c r="L156"/>
      <c r="M156"/>
      <c r="N156"/>
      <c r="O156"/>
      <c r="P156"/>
      <c r="Q156"/>
    </row>
    <row r="157" spans="1:17" ht="15.75" x14ac:dyDescent="0.25">
      <c r="A157"/>
      <c r="B157"/>
      <c r="C157"/>
      <c r="D157"/>
      <c r="E157"/>
      <c r="F157"/>
      <c r="G157"/>
      <c r="H157"/>
      <c r="I157"/>
      <c r="J157"/>
      <c r="K157"/>
      <c r="L157"/>
      <c r="M157"/>
      <c r="N157"/>
      <c r="O157"/>
      <c r="P157"/>
      <c r="Q157"/>
    </row>
    <row r="158" spans="1:17" ht="15.75" x14ac:dyDescent="0.25">
      <c r="A158"/>
      <c r="B158"/>
      <c r="C158"/>
      <c r="D158"/>
      <c r="E158"/>
      <c r="F158"/>
      <c r="G158"/>
      <c r="H158"/>
      <c r="I158"/>
      <c r="J158"/>
      <c r="K158"/>
      <c r="L158"/>
      <c r="M158"/>
      <c r="N158"/>
      <c r="O158"/>
      <c r="P158"/>
      <c r="Q158"/>
    </row>
    <row r="159" spans="1:17" ht="15.75" x14ac:dyDescent="0.25">
      <c r="A159"/>
      <c r="B159"/>
      <c r="C159"/>
      <c r="D159"/>
      <c r="E159"/>
      <c r="F159"/>
      <c r="G159"/>
      <c r="H159"/>
      <c r="I159"/>
      <c r="J159"/>
      <c r="K159"/>
      <c r="L159"/>
      <c r="M159"/>
      <c r="N159"/>
      <c r="O159"/>
      <c r="P159"/>
      <c r="Q159"/>
    </row>
    <row r="160" spans="1:17" ht="15.75" x14ac:dyDescent="0.25">
      <c r="A160"/>
      <c r="B160"/>
      <c r="C160"/>
      <c r="D160"/>
      <c r="E160"/>
      <c r="F160"/>
      <c r="G160"/>
      <c r="H160"/>
      <c r="I160"/>
      <c r="J160"/>
      <c r="K160"/>
      <c r="L160"/>
      <c r="M160"/>
      <c r="N160"/>
      <c r="O160"/>
      <c r="P160"/>
      <c r="Q160"/>
    </row>
    <row r="161" spans="1:17" ht="15.75" x14ac:dyDescent="0.25">
      <c r="A161"/>
      <c r="B161"/>
      <c r="C161"/>
      <c r="D161"/>
      <c r="E161"/>
      <c r="F161"/>
      <c r="G161"/>
      <c r="H161"/>
      <c r="I161"/>
      <c r="J161"/>
      <c r="K161"/>
      <c r="L161"/>
      <c r="M161"/>
      <c r="N161"/>
      <c r="O161"/>
      <c r="P161"/>
      <c r="Q161"/>
    </row>
    <row r="162" spans="1:17" ht="15.75" x14ac:dyDescent="0.25">
      <c r="A162"/>
      <c r="B162"/>
      <c r="C162"/>
      <c r="D162"/>
      <c r="E162"/>
      <c r="F162"/>
      <c r="G162"/>
      <c r="H162"/>
      <c r="I162"/>
      <c r="J162"/>
      <c r="K162"/>
      <c r="L162"/>
      <c r="M162"/>
      <c r="N162"/>
      <c r="O162"/>
      <c r="P162"/>
      <c r="Q162"/>
    </row>
    <row r="163" spans="1:17" ht="15.75" x14ac:dyDescent="0.25">
      <c r="A163"/>
      <c r="B163"/>
      <c r="C163"/>
      <c r="D163"/>
      <c r="E163"/>
      <c r="F163"/>
      <c r="G163"/>
      <c r="H163"/>
      <c r="I163"/>
      <c r="J163"/>
      <c r="K163"/>
      <c r="L163"/>
      <c r="M163"/>
      <c r="N163"/>
      <c r="O163"/>
      <c r="P163"/>
      <c r="Q163"/>
    </row>
    <row r="164" spans="1:17" ht="15.75" x14ac:dyDescent="0.25">
      <c r="A164"/>
      <c r="B164"/>
      <c r="C164"/>
      <c r="D164"/>
      <c r="E164"/>
      <c r="F164"/>
      <c r="G164"/>
      <c r="H164"/>
      <c r="I164"/>
      <c r="J164"/>
      <c r="K164"/>
      <c r="L164"/>
      <c r="M164"/>
      <c r="N164"/>
      <c r="O164"/>
      <c r="P164"/>
      <c r="Q164"/>
    </row>
    <row r="165" spans="1:17" ht="15.75" x14ac:dyDescent="0.25">
      <c r="A165"/>
      <c r="B165"/>
      <c r="C165"/>
      <c r="D165"/>
      <c r="E165"/>
      <c r="F165"/>
      <c r="G165"/>
      <c r="H165"/>
      <c r="I165"/>
      <c r="J165"/>
      <c r="K165"/>
      <c r="L165"/>
      <c r="M165"/>
      <c r="N165"/>
      <c r="O165"/>
      <c r="P165"/>
      <c r="Q165"/>
    </row>
    <row r="166" spans="1:17" ht="15.75" x14ac:dyDescent="0.25">
      <c r="A166"/>
      <c r="B166"/>
      <c r="C166"/>
      <c r="D166"/>
      <c r="E166"/>
      <c r="F166"/>
      <c r="G166"/>
      <c r="H166"/>
      <c r="I166"/>
      <c r="J166"/>
      <c r="K166"/>
      <c r="L166"/>
      <c r="M166"/>
      <c r="N166"/>
      <c r="O166"/>
      <c r="P166"/>
      <c r="Q166"/>
    </row>
    <row r="167" spans="1:17" ht="15.75" x14ac:dyDescent="0.25">
      <c r="A167"/>
      <c r="B167"/>
      <c r="C167"/>
      <c r="D167"/>
      <c r="E167"/>
      <c r="F167"/>
      <c r="G167"/>
      <c r="H167"/>
      <c r="I167"/>
      <c r="J167"/>
      <c r="K167"/>
      <c r="L167"/>
      <c r="M167"/>
      <c r="N167"/>
      <c r="O167"/>
      <c r="P167"/>
      <c r="Q167"/>
    </row>
    <row r="168" spans="1:17" ht="15.75" x14ac:dyDescent="0.25">
      <c r="A168"/>
      <c r="B168"/>
      <c r="C168"/>
      <c r="D168"/>
      <c r="E168"/>
      <c r="F168"/>
      <c r="G168"/>
      <c r="H168"/>
      <c r="I168"/>
      <c r="J168"/>
      <c r="K168"/>
      <c r="L168"/>
      <c r="M168"/>
      <c r="N168"/>
      <c r="O168"/>
      <c r="P168"/>
      <c r="Q168"/>
    </row>
    <row r="169" spans="1:17" ht="15.75" x14ac:dyDescent="0.25">
      <c r="A169"/>
      <c r="B169"/>
      <c r="C169"/>
      <c r="D169"/>
      <c r="E169"/>
      <c r="F169"/>
      <c r="G169"/>
      <c r="H169"/>
      <c r="I169"/>
      <c r="J169"/>
      <c r="K169"/>
      <c r="L169"/>
      <c r="M169"/>
      <c r="N169"/>
      <c r="O169"/>
      <c r="P169"/>
      <c r="Q169"/>
    </row>
    <row r="170" spans="1:17" ht="15.75" x14ac:dyDescent="0.25">
      <c r="A170"/>
      <c r="B170"/>
      <c r="C170"/>
      <c r="D170"/>
      <c r="E170"/>
      <c r="F170"/>
      <c r="G170"/>
      <c r="H170"/>
      <c r="I170"/>
      <c r="J170"/>
      <c r="K170"/>
      <c r="L170"/>
      <c r="M170"/>
      <c r="N170"/>
      <c r="O170"/>
      <c r="P170"/>
      <c r="Q170"/>
    </row>
    <row r="171" spans="1:17" ht="15.75" x14ac:dyDescent="0.25">
      <c r="A171"/>
      <c r="B171"/>
      <c r="C171"/>
      <c r="D171"/>
      <c r="E171"/>
      <c r="F171"/>
      <c r="G171"/>
      <c r="H171"/>
      <c r="I171"/>
      <c r="J171"/>
      <c r="K171"/>
      <c r="L171"/>
      <c r="M171"/>
      <c r="N171"/>
      <c r="O171"/>
      <c r="P171"/>
      <c r="Q171"/>
    </row>
    <row r="172" spans="1:17" ht="15.75" x14ac:dyDescent="0.25">
      <c r="A172"/>
      <c r="B172"/>
      <c r="C172"/>
      <c r="D172"/>
      <c r="E172"/>
      <c r="F172"/>
      <c r="G172"/>
      <c r="H172"/>
      <c r="I172"/>
      <c r="J172"/>
      <c r="K172"/>
      <c r="L172"/>
      <c r="M172"/>
      <c r="N172"/>
      <c r="O172"/>
      <c r="P172"/>
      <c r="Q172"/>
    </row>
    <row r="173" spans="1:17" ht="15.75" x14ac:dyDescent="0.25">
      <c r="A173"/>
      <c r="B173"/>
      <c r="C173"/>
      <c r="D173"/>
      <c r="E173"/>
      <c r="F173"/>
      <c r="G173"/>
      <c r="H173"/>
      <c r="I173"/>
      <c r="J173"/>
      <c r="K173"/>
      <c r="L173"/>
      <c r="M173"/>
      <c r="N173"/>
      <c r="O173"/>
      <c r="P173"/>
      <c r="Q173"/>
    </row>
    <row r="174" spans="1:17" ht="15.75" x14ac:dyDescent="0.25">
      <c r="A174"/>
      <c r="B174"/>
      <c r="C174"/>
      <c r="D174"/>
      <c r="E174"/>
      <c r="F174"/>
      <c r="G174"/>
      <c r="H174"/>
      <c r="I174"/>
      <c r="J174"/>
      <c r="K174"/>
      <c r="L174"/>
      <c r="M174"/>
      <c r="N174"/>
      <c r="O174"/>
      <c r="P174"/>
      <c r="Q174"/>
    </row>
    <row r="175" spans="1:17" ht="15.75" x14ac:dyDescent="0.25">
      <c r="A175"/>
      <c r="B175"/>
      <c r="C175"/>
      <c r="D175"/>
      <c r="E175"/>
      <c r="F175"/>
      <c r="G175"/>
      <c r="H175"/>
      <c r="I175"/>
      <c r="J175"/>
      <c r="K175"/>
      <c r="L175"/>
      <c r="M175"/>
      <c r="N175"/>
      <c r="O175"/>
      <c r="P175"/>
      <c r="Q175"/>
    </row>
    <row r="176" spans="1:17" ht="15.75" x14ac:dyDescent="0.25">
      <c r="A176"/>
      <c r="B176"/>
      <c r="C176"/>
      <c r="D176"/>
      <c r="E176"/>
      <c r="F176"/>
      <c r="G176"/>
      <c r="H176"/>
      <c r="I176"/>
      <c r="J176"/>
      <c r="K176"/>
      <c r="L176"/>
      <c r="M176"/>
      <c r="N176"/>
      <c r="O176"/>
      <c r="P176"/>
      <c r="Q176"/>
    </row>
    <row r="177" spans="1:17" ht="15.75" x14ac:dyDescent="0.25">
      <c r="A177"/>
      <c r="B177"/>
      <c r="C177"/>
      <c r="D177"/>
      <c r="E177"/>
      <c r="F177"/>
      <c r="G177"/>
      <c r="H177"/>
      <c r="I177"/>
      <c r="J177"/>
      <c r="K177"/>
      <c r="L177"/>
      <c r="M177"/>
      <c r="N177"/>
      <c r="O177"/>
      <c r="P177"/>
      <c r="Q177"/>
    </row>
    <row r="178" spans="1:17" ht="15.75" x14ac:dyDescent="0.25">
      <c r="A178"/>
      <c r="B178"/>
      <c r="C178"/>
      <c r="D178"/>
      <c r="E178"/>
      <c r="F178"/>
      <c r="G178"/>
      <c r="H178"/>
      <c r="I178"/>
      <c r="J178"/>
      <c r="K178"/>
      <c r="L178"/>
      <c r="M178"/>
      <c r="N178"/>
      <c r="O178"/>
      <c r="P178"/>
      <c r="Q178"/>
    </row>
    <row r="179" spans="1:17" ht="15.75" x14ac:dyDescent="0.25">
      <c r="A179"/>
      <c r="B179"/>
      <c r="C179"/>
      <c r="D179"/>
      <c r="E179"/>
      <c r="F179"/>
      <c r="G179"/>
      <c r="H179"/>
      <c r="I179"/>
      <c r="J179"/>
      <c r="K179"/>
      <c r="L179"/>
      <c r="M179"/>
      <c r="N179"/>
      <c r="O179"/>
      <c r="P179"/>
      <c r="Q179"/>
    </row>
    <row r="180" spans="1:17" ht="15.75" x14ac:dyDescent="0.25">
      <c r="A180"/>
      <c r="B180"/>
      <c r="C180"/>
      <c r="D180"/>
      <c r="E180"/>
      <c r="F180"/>
      <c r="G180"/>
      <c r="H180"/>
      <c r="I180"/>
      <c r="J180"/>
      <c r="K180"/>
      <c r="L180"/>
      <c r="M180"/>
      <c r="N180"/>
      <c r="O180"/>
      <c r="P180"/>
      <c r="Q180"/>
    </row>
    <row r="181" spans="1:17" ht="15.75" x14ac:dyDescent="0.25">
      <c r="A181"/>
      <c r="B181"/>
      <c r="C181"/>
      <c r="D181"/>
      <c r="E181"/>
      <c r="F181"/>
      <c r="G181"/>
      <c r="H181"/>
      <c r="I181"/>
      <c r="J181"/>
      <c r="K181"/>
      <c r="L181"/>
      <c r="M181"/>
      <c r="N181"/>
      <c r="O181"/>
      <c r="P181"/>
      <c r="Q181"/>
    </row>
    <row r="182" spans="1:17" ht="15.75" x14ac:dyDescent="0.25">
      <c r="A182"/>
      <c r="B182"/>
      <c r="C182"/>
      <c r="D182"/>
      <c r="E182"/>
      <c r="F182"/>
      <c r="G182"/>
      <c r="H182"/>
      <c r="I182"/>
      <c r="J182"/>
      <c r="K182"/>
      <c r="L182"/>
      <c r="M182"/>
      <c r="N182"/>
      <c r="O182"/>
      <c r="P182"/>
      <c r="Q182"/>
    </row>
    <row r="183" spans="1:17" ht="15.75" x14ac:dyDescent="0.25">
      <c r="A183"/>
      <c r="B183"/>
      <c r="C183"/>
      <c r="D183"/>
      <c r="E183"/>
      <c r="F183"/>
      <c r="G183"/>
      <c r="H183"/>
      <c r="I183"/>
      <c r="J183"/>
      <c r="K183"/>
      <c r="L183"/>
      <c r="M183"/>
      <c r="N183"/>
      <c r="O183"/>
      <c r="P183"/>
      <c r="Q183"/>
    </row>
    <row r="184" spans="1:17" ht="15.75" x14ac:dyDescent="0.25">
      <c r="A184"/>
      <c r="B184"/>
      <c r="C184"/>
      <c r="D184"/>
      <c r="E184"/>
      <c r="F184"/>
      <c r="G184"/>
      <c r="H184"/>
      <c r="I184"/>
      <c r="J184"/>
      <c r="K184"/>
      <c r="L184"/>
      <c r="M184"/>
      <c r="N184"/>
      <c r="O184"/>
      <c r="P184"/>
      <c r="Q184"/>
    </row>
    <row r="185" spans="1:17" ht="15.75" x14ac:dyDescent="0.25">
      <c r="A185"/>
      <c r="B185"/>
      <c r="C185"/>
      <c r="D185"/>
      <c r="E185"/>
      <c r="F185"/>
      <c r="G185"/>
      <c r="H185"/>
      <c r="I185"/>
      <c r="J185"/>
      <c r="K185"/>
      <c r="L185"/>
      <c r="M185"/>
      <c r="N185"/>
      <c r="O185"/>
      <c r="P185"/>
      <c r="Q185"/>
    </row>
    <row r="186" spans="1:17" ht="15.75" x14ac:dyDescent="0.25">
      <c r="A186"/>
      <c r="B186"/>
      <c r="C186"/>
      <c r="D186"/>
      <c r="E186"/>
      <c r="F186"/>
      <c r="G186"/>
      <c r="H186"/>
      <c r="I186"/>
      <c r="J186"/>
      <c r="K186"/>
      <c r="L186"/>
      <c r="M186"/>
      <c r="N186"/>
      <c r="O186"/>
      <c r="P186"/>
      <c r="Q186"/>
    </row>
    <row r="187" spans="1:17" ht="15.75" x14ac:dyDescent="0.25">
      <c r="A187"/>
      <c r="B187"/>
      <c r="C187"/>
      <c r="D187"/>
      <c r="E187"/>
      <c r="F187"/>
      <c r="G187"/>
      <c r="H187"/>
      <c r="I187"/>
      <c r="J187"/>
      <c r="K187"/>
      <c r="L187"/>
      <c r="M187"/>
      <c r="N187"/>
      <c r="O187"/>
      <c r="P187"/>
      <c r="Q187"/>
    </row>
    <row r="188" spans="1:17" ht="15.75" x14ac:dyDescent="0.25">
      <c r="A188"/>
      <c r="B188"/>
      <c r="C188"/>
      <c r="D188"/>
      <c r="E188"/>
      <c r="F188"/>
      <c r="G188"/>
      <c r="H188"/>
      <c r="I188"/>
      <c r="J188"/>
      <c r="K188"/>
      <c r="L188"/>
      <c r="M188"/>
      <c r="N188"/>
      <c r="O188"/>
      <c r="P188"/>
      <c r="Q188"/>
    </row>
    <row r="189" spans="1:17" ht="15.75" x14ac:dyDescent="0.25">
      <c r="A189"/>
      <c r="B189"/>
      <c r="C189"/>
      <c r="D189"/>
      <c r="E189"/>
      <c r="F189"/>
      <c r="G189"/>
      <c r="H189"/>
      <c r="I189"/>
      <c r="J189"/>
      <c r="K189"/>
      <c r="L189"/>
      <c r="M189"/>
      <c r="N189"/>
      <c r="O189"/>
      <c r="P189"/>
      <c r="Q189"/>
    </row>
    <row r="190" spans="1:17" ht="15.75" x14ac:dyDescent="0.25">
      <c r="A190"/>
      <c r="B190"/>
      <c r="C190"/>
      <c r="D190"/>
      <c r="E190"/>
      <c r="F190"/>
      <c r="G190"/>
      <c r="H190"/>
      <c r="I190"/>
      <c r="J190"/>
      <c r="K190"/>
      <c r="L190"/>
      <c r="M190"/>
      <c r="N190"/>
      <c r="O190"/>
      <c r="P190"/>
      <c r="Q190"/>
    </row>
    <row r="191" spans="1:17" ht="15.75" x14ac:dyDescent="0.25">
      <c r="A191"/>
      <c r="B191"/>
      <c r="C191"/>
      <c r="D191"/>
      <c r="E191"/>
      <c r="F191"/>
      <c r="G191"/>
      <c r="H191"/>
      <c r="I191"/>
      <c r="J191"/>
      <c r="K191"/>
      <c r="L191"/>
      <c r="M191"/>
      <c r="N191"/>
      <c r="O191"/>
      <c r="P191"/>
      <c r="Q191"/>
    </row>
    <row r="192" spans="1:17" ht="15.75" x14ac:dyDescent="0.25">
      <c r="A192"/>
      <c r="B192"/>
      <c r="C192"/>
      <c r="D192"/>
      <c r="E192"/>
      <c r="F192"/>
      <c r="G192"/>
      <c r="H192"/>
      <c r="I192"/>
      <c r="J192"/>
      <c r="K192"/>
      <c r="L192"/>
      <c r="M192"/>
      <c r="N192"/>
      <c r="O192"/>
      <c r="P192"/>
      <c r="Q192"/>
    </row>
    <row r="193" spans="1:17" ht="15.75" x14ac:dyDescent="0.25">
      <c r="A193"/>
      <c r="B193"/>
      <c r="C193"/>
      <c r="D193"/>
      <c r="E193"/>
      <c r="F193"/>
      <c r="G193"/>
      <c r="H193"/>
      <c r="I193"/>
      <c r="J193"/>
      <c r="K193"/>
      <c r="L193"/>
      <c r="M193"/>
      <c r="N193"/>
      <c r="O193"/>
      <c r="P193"/>
      <c r="Q193"/>
    </row>
    <row r="194" spans="1:17" ht="15.75" x14ac:dyDescent="0.25">
      <c r="A194"/>
      <c r="B194"/>
      <c r="C194"/>
      <c r="D194"/>
      <c r="E194"/>
      <c r="F194"/>
      <c r="G194"/>
      <c r="H194"/>
      <c r="I194"/>
      <c r="J194"/>
      <c r="K194"/>
      <c r="L194"/>
      <c r="M194"/>
      <c r="N194"/>
      <c r="O194"/>
      <c r="P194"/>
      <c r="Q194"/>
    </row>
    <row r="195" spans="1:17" ht="15.75" x14ac:dyDescent="0.25">
      <c r="A195"/>
      <c r="B195"/>
      <c r="C195"/>
      <c r="D195"/>
      <c r="E195"/>
      <c r="F195"/>
      <c r="G195"/>
      <c r="H195"/>
      <c r="I195"/>
      <c r="J195"/>
      <c r="K195"/>
      <c r="L195"/>
      <c r="M195"/>
      <c r="N195"/>
      <c r="O195"/>
      <c r="P195"/>
      <c r="Q195"/>
    </row>
    <row r="196" spans="1:17" ht="15.75" x14ac:dyDescent="0.25">
      <c r="A196"/>
      <c r="B196"/>
      <c r="C196"/>
      <c r="D196"/>
      <c r="E196"/>
      <c r="F196"/>
      <c r="G196"/>
      <c r="H196"/>
      <c r="I196"/>
      <c r="J196"/>
      <c r="K196"/>
      <c r="L196"/>
      <c r="M196"/>
      <c r="N196"/>
      <c r="O196"/>
      <c r="P196"/>
      <c r="Q196"/>
    </row>
    <row r="197" spans="1:17" ht="15.75" x14ac:dyDescent="0.25">
      <c r="A197"/>
      <c r="B197"/>
      <c r="C197"/>
      <c r="D197"/>
      <c r="E197"/>
      <c r="F197"/>
      <c r="G197"/>
      <c r="H197"/>
      <c r="I197"/>
      <c r="J197"/>
      <c r="K197"/>
      <c r="L197"/>
      <c r="M197"/>
      <c r="N197"/>
      <c r="O197"/>
      <c r="P197"/>
      <c r="Q197"/>
    </row>
    <row r="198" spans="1:17" ht="15.75" x14ac:dyDescent="0.25">
      <c r="A198"/>
      <c r="B198"/>
      <c r="C198"/>
      <c r="D198"/>
      <c r="E198"/>
      <c r="F198"/>
      <c r="G198"/>
      <c r="H198"/>
      <c r="I198"/>
      <c r="J198"/>
      <c r="K198"/>
      <c r="L198"/>
      <c r="M198"/>
      <c r="N198"/>
      <c r="O198"/>
      <c r="P198"/>
      <c r="Q198"/>
    </row>
    <row r="199" spans="1:17" ht="15.75" x14ac:dyDescent="0.25">
      <c r="A199"/>
      <c r="B199"/>
      <c r="C199"/>
      <c r="D199"/>
      <c r="E199"/>
      <c r="F199"/>
      <c r="G199"/>
      <c r="H199"/>
      <c r="I199"/>
      <c r="J199"/>
      <c r="K199"/>
      <c r="L199"/>
      <c r="M199"/>
      <c r="N199"/>
      <c r="O199"/>
      <c r="P199"/>
      <c r="Q199"/>
    </row>
    <row r="200" spans="1:17" ht="15.75" x14ac:dyDescent="0.25">
      <c r="A200"/>
      <c r="B200"/>
      <c r="C200"/>
      <c r="D200"/>
      <c r="E200"/>
      <c r="F200"/>
      <c r="G200"/>
      <c r="H200"/>
      <c r="I200"/>
      <c r="J200"/>
      <c r="K200"/>
      <c r="L200"/>
      <c r="M200"/>
      <c r="N200"/>
      <c r="O200"/>
      <c r="P200"/>
      <c r="Q200"/>
    </row>
    <row r="201" spans="1:17" ht="15.75" x14ac:dyDescent="0.25">
      <c r="A201"/>
      <c r="B201"/>
      <c r="C201"/>
      <c r="D201"/>
      <c r="E201"/>
      <c r="F201"/>
      <c r="G201"/>
      <c r="H201"/>
      <c r="I201"/>
      <c r="J201"/>
      <c r="K201"/>
      <c r="L201"/>
      <c r="M201"/>
      <c r="N201"/>
      <c r="O201"/>
      <c r="P201"/>
      <c r="Q201"/>
    </row>
    <row r="202" spans="1:17" ht="15.75" x14ac:dyDescent="0.25">
      <c r="A202"/>
      <c r="B202"/>
      <c r="C202"/>
      <c r="D202"/>
      <c r="E202"/>
      <c r="F202"/>
      <c r="G202"/>
      <c r="H202"/>
      <c r="I202"/>
      <c r="J202"/>
      <c r="K202"/>
      <c r="L202"/>
      <c r="M202"/>
      <c r="N202"/>
      <c r="O202"/>
      <c r="P202"/>
      <c r="Q202"/>
    </row>
    <row r="203" spans="1:17" ht="15.75" x14ac:dyDescent="0.25">
      <c r="A203"/>
      <c r="B203"/>
      <c r="C203"/>
      <c r="D203"/>
      <c r="E203"/>
      <c r="F203"/>
      <c r="G203"/>
      <c r="H203"/>
      <c r="I203"/>
      <c r="J203"/>
      <c r="K203"/>
      <c r="L203"/>
      <c r="M203"/>
      <c r="N203"/>
      <c r="O203"/>
      <c r="P203"/>
      <c r="Q203"/>
    </row>
    <row r="204" spans="1:17" ht="15.75" x14ac:dyDescent="0.25">
      <c r="A204"/>
      <c r="B204"/>
      <c r="C204"/>
      <c r="D204"/>
      <c r="E204"/>
      <c r="F204"/>
      <c r="G204"/>
      <c r="H204"/>
      <c r="I204"/>
      <c r="J204"/>
      <c r="K204"/>
      <c r="L204"/>
      <c r="M204"/>
      <c r="N204"/>
      <c r="O204"/>
      <c r="P204"/>
      <c r="Q204"/>
    </row>
    <row r="205" spans="1:17" ht="15.75" x14ac:dyDescent="0.25">
      <c r="A205"/>
      <c r="B205"/>
      <c r="C205"/>
      <c r="D205"/>
      <c r="E205"/>
      <c r="F205"/>
      <c r="G205"/>
      <c r="H205"/>
      <c r="I205"/>
      <c r="J205"/>
      <c r="K205"/>
      <c r="L205"/>
      <c r="M205"/>
      <c r="N205"/>
      <c r="O205"/>
      <c r="P205"/>
      <c r="Q205"/>
    </row>
    <row r="206" spans="1:17" ht="15.75" x14ac:dyDescent="0.25">
      <c r="A206"/>
      <c r="B206"/>
      <c r="C206"/>
      <c r="D206"/>
      <c r="E206"/>
      <c r="F206"/>
      <c r="G206"/>
      <c r="H206"/>
      <c r="I206"/>
      <c r="J206"/>
      <c r="K206"/>
      <c r="L206"/>
      <c r="M206"/>
      <c r="N206"/>
      <c r="O206"/>
      <c r="P206"/>
      <c r="Q206"/>
    </row>
    <row r="207" spans="1:17" ht="15.75" x14ac:dyDescent="0.25">
      <c r="A207"/>
      <c r="B207"/>
      <c r="C207"/>
      <c r="D207"/>
      <c r="E207"/>
      <c r="F207"/>
      <c r="G207"/>
      <c r="H207"/>
      <c r="I207"/>
      <c r="J207"/>
      <c r="K207"/>
      <c r="L207"/>
      <c r="M207"/>
      <c r="N207"/>
      <c r="O207"/>
      <c r="P207"/>
      <c r="Q207"/>
    </row>
    <row r="208" spans="1:17" ht="15.75" x14ac:dyDescent="0.25">
      <c r="A208"/>
      <c r="B208"/>
      <c r="C208"/>
      <c r="D208"/>
      <c r="E208"/>
      <c r="F208"/>
      <c r="G208"/>
      <c r="H208"/>
      <c r="I208"/>
      <c r="J208"/>
      <c r="K208"/>
      <c r="L208"/>
      <c r="M208"/>
      <c r="N208"/>
      <c r="O208"/>
      <c r="P208"/>
      <c r="Q208"/>
    </row>
    <row r="209" spans="1:17" ht="15.75" x14ac:dyDescent="0.25">
      <c r="A209"/>
      <c r="B209"/>
      <c r="C209"/>
      <c r="D209"/>
      <c r="E209"/>
      <c r="F209"/>
      <c r="G209"/>
      <c r="H209"/>
      <c r="I209"/>
      <c r="J209"/>
      <c r="K209"/>
      <c r="L209"/>
      <c r="M209"/>
      <c r="N209"/>
      <c r="O209"/>
      <c r="P209"/>
      <c r="Q209"/>
    </row>
    <row r="210" spans="1:17" ht="15.75" x14ac:dyDescent="0.25">
      <c r="A210"/>
      <c r="B210"/>
      <c r="C210"/>
      <c r="D210"/>
      <c r="E210"/>
      <c r="F210"/>
      <c r="G210"/>
      <c r="H210"/>
      <c r="I210"/>
      <c r="J210"/>
      <c r="K210"/>
      <c r="L210"/>
      <c r="M210"/>
      <c r="N210"/>
      <c r="O210"/>
      <c r="P210"/>
      <c r="Q210"/>
    </row>
    <row r="211" spans="1:17" ht="15.75" x14ac:dyDescent="0.25">
      <c r="A211"/>
      <c r="B211"/>
      <c r="C211"/>
      <c r="D211"/>
      <c r="E211"/>
      <c r="F211"/>
      <c r="G211"/>
      <c r="H211"/>
      <c r="I211"/>
      <c r="J211"/>
      <c r="K211"/>
      <c r="L211"/>
      <c r="M211"/>
      <c r="N211"/>
      <c r="O211"/>
      <c r="P211"/>
      <c r="Q211"/>
    </row>
    <row r="212" spans="1:17" ht="15.75" x14ac:dyDescent="0.25">
      <c r="A212"/>
      <c r="B212"/>
      <c r="C212"/>
      <c r="D212"/>
      <c r="E212"/>
      <c r="F212"/>
      <c r="G212"/>
      <c r="H212"/>
      <c r="I212"/>
      <c r="J212"/>
      <c r="K212"/>
      <c r="L212"/>
      <c r="M212"/>
      <c r="N212"/>
      <c r="O212"/>
      <c r="P212"/>
      <c r="Q212"/>
    </row>
    <row r="213" spans="1:17" ht="15.75" x14ac:dyDescent="0.25">
      <c r="A213"/>
      <c r="B213"/>
      <c r="C213"/>
      <c r="D213"/>
      <c r="E213"/>
      <c r="F213"/>
      <c r="G213"/>
      <c r="H213"/>
      <c r="I213"/>
      <c r="J213"/>
      <c r="K213"/>
      <c r="L213"/>
      <c r="M213"/>
      <c r="N213"/>
      <c r="O213"/>
      <c r="P213"/>
      <c r="Q213"/>
    </row>
    <row r="214" spans="1:17" ht="15.75" x14ac:dyDescent="0.25">
      <c r="A214"/>
      <c r="B214"/>
      <c r="C214"/>
      <c r="D214"/>
      <c r="E214"/>
      <c r="F214"/>
      <c r="G214"/>
      <c r="H214"/>
      <c r="I214"/>
      <c r="J214"/>
      <c r="K214"/>
      <c r="L214"/>
      <c r="M214"/>
      <c r="N214"/>
      <c r="O214"/>
      <c r="P214"/>
      <c r="Q214"/>
    </row>
    <row r="215" spans="1:17" ht="15.75" x14ac:dyDescent="0.25">
      <c r="A215"/>
      <c r="B215"/>
      <c r="C215"/>
      <c r="D215"/>
      <c r="E215"/>
      <c r="F215"/>
      <c r="G215"/>
      <c r="H215"/>
      <c r="I215"/>
      <c r="J215"/>
      <c r="K215"/>
      <c r="L215"/>
      <c r="M215"/>
      <c r="N215"/>
      <c r="O215"/>
      <c r="P215"/>
      <c r="Q215"/>
    </row>
    <row r="216" spans="1:17" ht="15.75" x14ac:dyDescent="0.25">
      <c r="A216"/>
      <c r="B216"/>
      <c r="C216"/>
      <c r="D216"/>
      <c r="E216"/>
      <c r="F216"/>
      <c r="G216"/>
      <c r="H216"/>
      <c r="I216"/>
      <c r="J216"/>
      <c r="K216"/>
      <c r="L216"/>
      <c r="M216"/>
      <c r="N216"/>
      <c r="O216"/>
      <c r="P216"/>
      <c r="Q216"/>
    </row>
    <row r="217" spans="1:17" ht="15.75" x14ac:dyDescent="0.25">
      <c r="A217"/>
      <c r="B217"/>
      <c r="C217"/>
      <c r="D217"/>
      <c r="E217"/>
      <c r="F217"/>
      <c r="G217"/>
      <c r="H217"/>
      <c r="I217"/>
      <c r="J217"/>
      <c r="K217"/>
      <c r="L217"/>
      <c r="M217"/>
      <c r="N217"/>
      <c r="O217"/>
      <c r="P217"/>
      <c r="Q217"/>
    </row>
    <row r="218" spans="1:17" ht="15.75" x14ac:dyDescent="0.25">
      <c r="A218"/>
      <c r="B218"/>
      <c r="C218"/>
      <c r="D218"/>
      <c r="E218"/>
      <c r="F218"/>
      <c r="G218"/>
      <c r="H218"/>
      <c r="I218"/>
      <c r="J218"/>
      <c r="K218"/>
      <c r="L218"/>
      <c r="M218"/>
      <c r="N218"/>
      <c r="O218"/>
      <c r="P218"/>
      <c r="Q218"/>
    </row>
    <row r="219" spans="1:17" ht="15.75" x14ac:dyDescent="0.25">
      <c r="A219"/>
      <c r="B219"/>
      <c r="C219"/>
      <c r="D219"/>
      <c r="E219"/>
      <c r="F219"/>
      <c r="G219"/>
      <c r="H219"/>
      <c r="I219"/>
      <c r="J219"/>
      <c r="K219"/>
      <c r="L219"/>
      <c r="M219"/>
      <c r="N219"/>
      <c r="O219"/>
      <c r="P219"/>
      <c r="Q219"/>
    </row>
    <row r="220" spans="1:17" ht="15.75" x14ac:dyDescent="0.25">
      <c r="A220"/>
      <c r="B220"/>
      <c r="C220"/>
      <c r="D220"/>
      <c r="E220"/>
      <c r="F220"/>
      <c r="G220"/>
      <c r="H220"/>
      <c r="I220"/>
      <c r="J220"/>
      <c r="K220"/>
      <c r="L220"/>
      <c r="M220"/>
      <c r="N220"/>
      <c r="O220"/>
      <c r="P220"/>
      <c r="Q220"/>
    </row>
    <row r="221" spans="1:17" ht="15.75" x14ac:dyDescent="0.25">
      <c r="A221"/>
      <c r="B221"/>
      <c r="C221"/>
      <c r="D221"/>
      <c r="E221"/>
      <c r="F221"/>
      <c r="G221"/>
      <c r="H221"/>
      <c r="I221"/>
      <c r="J221"/>
      <c r="K221"/>
      <c r="L221"/>
      <c r="M221"/>
      <c r="N221"/>
      <c r="O221"/>
      <c r="P221"/>
      <c r="Q221"/>
    </row>
    <row r="222" spans="1:17" ht="15.75" x14ac:dyDescent="0.25">
      <c r="A222"/>
      <c r="B222"/>
      <c r="C222"/>
      <c r="D222"/>
      <c r="E222"/>
      <c r="F222"/>
      <c r="G222"/>
      <c r="H222"/>
      <c r="I222"/>
      <c r="J222"/>
      <c r="K222"/>
      <c r="L222"/>
      <c r="M222"/>
      <c r="N222"/>
      <c r="O222"/>
      <c r="P222"/>
      <c r="Q222"/>
    </row>
    <row r="223" spans="1:17" ht="15.75" x14ac:dyDescent="0.25">
      <c r="A223"/>
      <c r="B223"/>
      <c r="C223"/>
      <c r="D223"/>
      <c r="E223"/>
      <c r="F223"/>
      <c r="G223"/>
      <c r="H223"/>
      <c r="I223"/>
      <c r="J223"/>
      <c r="K223"/>
      <c r="L223"/>
      <c r="M223"/>
      <c r="N223"/>
      <c r="O223"/>
      <c r="P223"/>
      <c r="Q223"/>
    </row>
    <row r="224" spans="1:17" ht="15.75" x14ac:dyDescent="0.25">
      <c r="A224"/>
      <c r="B224"/>
      <c r="C224"/>
      <c r="D224"/>
      <c r="E224"/>
      <c r="F224"/>
      <c r="G224"/>
      <c r="H224"/>
      <c r="I224"/>
      <c r="J224"/>
      <c r="K224"/>
      <c r="L224"/>
      <c r="M224"/>
      <c r="N224"/>
      <c r="O224"/>
      <c r="P224"/>
      <c r="Q224"/>
    </row>
    <row r="225" spans="1:17" ht="15.75" x14ac:dyDescent="0.25">
      <c r="A225"/>
      <c r="B225"/>
      <c r="C225"/>
      <c r="D225"/>
      <c r="E225"/>
      <c r="F225"/>
      <c r="G225"/>
      <c r="H225"/>
      <c r="I225"/>
      <c r="J225"/>
      <c r="K225"/>
      <c r="L225"/>
      <c r="M225"/>
      <c r="N225"/>
      <c r="O225"/>
      <c r="P225"/>
      <c r="Q225"/>
    </row>
    <row r="226" spans="1:17" ht="15.75" x14ac:dyDescent="0.25">
      <c r="A226"/>
      <c r="B226"/>
      <c r="C226"/>
      <c r="D226"/>
      <c r="E226"/>
      <c r="F226"/>
      <c r="G226"/>
      <c r="H226"/>
      <c r="I226"/>
      <c r="J226"/>
      <c r="K226"/>
      <c r="L226"/>
      <c r="M226"/>
      <c r="N226"/>
      <c r="O226"/>
      <c r="P226"/>
      <c r="Q226"/>
    </row>
    <row r="227" spans="1:17" ht="15.75" x14ac:dyDescent="0.25">
      <c r="A227"/>
      <c r="B227"/>
      <c r="C227"/>
      <c r="D227"/>
      <c r="E227"/>
      <c r="F227"/>
      <c r="G227"/>
      <c r="H227"/>
      <c r="I227"/>
      <c r="J227"/>
      <c r="K227"/>
      <c r="L227"/>
      <c r="M227"/>
      <c r="N227"/>
      <c r="O227"/>
      <c r="P227"/>
      <c r="Q227"/>
    </row>
    <row r="228" spans="1:17" ht="15.75" x14ac:dyDescent="0.25">
      <c r="A228"/>
      <c r="B228"/>
      <c r="C228"/>
      <c r="D228"/>
      <c r="E228"/>
      <c r="F228"/>
      <c r="G228"/>
      <c r="H228"/>
      <c r="I228"/>
      <c r="J228"/>
      <c r="K228"/>
      <c r="L228"/>
      <c r="M228"/>
      <c r="N228"/>
      <c r="O228"/>
      <c r="P228"/>
      <c r="Q228"/>
    </row>
    <row r="229" spans="1:17" ht="15.75" x14ac:dyDescent="0.25">
      <c r="A229"/>
      <c r="B229"/>
      <c r="C229"/>
      <c r="D229"/>
      <c r="E229"/>
      <c r="F229"/>
      <c r="G229"/>
      <c r="H229"/>
      <c r="I229"/>
      <c r="J229"/>
      <c r="K229"/>
      <c r="L229"/>
      <c r="M229"/>
      <c r="N229"/>
      <c r="O229"/>
      <c r="P229"/>
      <c r="Q229"/>
    </row>
    <row r="230" spans="1:17" ht="15.75" x14ac:dyDescent="0.25">
      <c r="A230"/>
      <c r="B230"/>
      <c r="C230"/>
      <c r="D230"/>
      <c r="E230"/>
      <c r="F230"/>
      <c r="G230"/>
      <c r="H230"/>
      <c r="I230"/>
      <c r="J230"/>
      <c r="K230"/>
      <c r="L230"/>
      <c r="M230"/>
      <c r="N230"/>
      <c r="O230"/>
      <c r="P230"/>
      <c r="Q230"/>
    </row>
    <row r="231" spans="1:17" ht="15.75" x14ac:dyDescent="0.25">
      <c r="A231"/>
      <c r="B231"/>
      <c r="C231"/>
      <c r="D231"/>
      <c r="E231"/>
      <c r="F231"/>
      <c r="G231"/>
      <c r="H231"/>
      <c r="I231"/>
      <c r="J231"/>
      <c r="K231"/>
      <c r="L231"/>
      <c r="M231"/>
      <c r="N231"/>
      <c r="O231"/>
      <c r="P231"/>
      <c r="Q231"/>
    </row>
    <row r="232" spans="1:17" ht="15.75" x14ac:dyDescent="0.25">
      <c r="A232"/>
      <c r="B232"/>
      <c r="C232"/>
      <c r="D232"/>
      <c r="E232"/>
      <c r="F232"/>
      <c r="G232"/>
      <c r="H232"/>
      <c r="I232"/>
      <c r="J232"/>
      <c r="K232"/>
      <c r="L232"/>
      <c r="M232"/>
      <c r="N232"/>
      <c r="O232"/>
      <c r="P232"/>
      <c r="Q232"/>
    </row>
    <row r="233" spans="1:17" ht="15.75" x14ac:dyDescent="0.25">
      <c r="A233"/>
      <c r="B233"/>
      <c r="C233"/>
      <c r="D233"/>
      <c r="E233"/>
      <c r="F233"/>
      <c r="G233"/>
      <c r="H233"/>
      <c r="I233"/>
      <c r="J233"/>
      <c r="K233"/>
      <c r="L233"/>
      <c r="M233"/>
      <c r="N233"/>
      <c r="O233"/>
      <c r="P233"/>
      <c r="Q233"/>
    </row>
    <row r="234" spans="1:17" ht="15.75" x14ac:dyDescent="0.25">
      <c r="A234"/>
      <c r="B234"/>
      <c r="C234"/>
      <c r="D234"/>
      <c r="E234"/>
      <c r="F234"/>
      <c r="G234"/>
      <c r="H234"/>
      <c r="I234"/>
      <c r="J234"/>
      <c r="K234"/>
      <c r="L234"/>
      <c r="M234"/>
      <c r="N234"/>
      <c r="O234"/>
      <c r="P234"/>
      <c r="Q234"/>
    </row>
    <row r="235" spans="1:17" ht="15.75" x14ac:dyDescent="0.25">
      <c r="A235"/>
      <c r="B235"/>
      <c r="C235"/>
      <c r="D235"/>
      <c r="E235"/>
      <c r="F235"/>
      <c r="G235"/>
      <c r="H235"/>
      <c r="I235"/>
      <c r="J235"/>
      <c r="K235"/>
      <c r="L235"/>
      <c r="M235"/>
      <c r="N235"/>
      <c r="O235"/>
      <c r="P235"/>
      <c r="Q235"/>
    </row>
    <row r="236" spans="1:17" ht="15.75" x14ac:dyDescent="0.25">
      <c r="A236"/>
      <c r="B236"/>
      <c r="C236"/>
      <c r="D236"/>
      <c r="E236"/>
      <c r="F236"/>
      <c r="G236"/>
      <c r="H236"/>
      <c r="I236"/>
      <c r="J236"/>
      <c r="K236"/>
      <c r="L236"/>
      <c r="M236"/>
      <c r="N236"/>
      <c r="O236"/>
      <c r="P236"/>
      <c r="Q236"/>
    </row>
    <row r="237" spans="1:17" ht="15.75" x14ac:dyDescent="0.25">
      <c r="A237"/>
      <c r="B237"/>
      <c r="C237"/>
      <c r="D237"/>
      <c r="E237"/>
      <c r="F237"/>
      <c r="G237"/>
      <c r="H237"/>
      <c r="I237"/>
      <c r="J237"/>
      <c r="K237"/>
      <c r="L237"/>
      <c r="M237"/>
      <c r="N237"/>
      <c r="O237"/>
      <c r="P237"/>
      <c r="Q237"/>
    </row>
    <row r="238" spans="1:17" ht="15.75" x14ac:dyDescent="0.25">
      <c r="A238"/>
      <c r="B238"/>
      <c r="C238"/>
      <c r="D238"/>
      <c r="E238"/>
      <c r="F238"/>
      <c r="G238"/>
      <c r="H238"/>
      <c r="I238"/>
      <c r="J238"/>
      <c r="K238"/>
      <c r="L238"/>
      <c r="M238"/>
      <c r="N238"/>
      <c r="O238"/>
      <c r="P238"/>
      <c r="Q238"/>
    </row>
    <row r="239" spans="1:17" ht="15.75" x14ac:dyDescent="0.25">
      <c r="A239"/>
      <c r="B239"/>
      <c r="C239"/>
      <c r="D239"/>
      <c r="E239"/>
      <c r="F239"/>
      <c r="G239"/>
      <c r="H239"/>
      <c r="I239"/>
      <c r="J239"/>
      <c r="K239"/>
      <c r="L239"/>
      <c r="M239"/>
      <c r="N239"/>
      <c r="O239"/>
      <c r="P239"/>
      <c r="Q239"/>
    </row>
    <row r="240" spans="1:17" ht="15.75" x14ac:dyDescent="0.25">
      <c r="A240"/>
      <c r="B240"/>
      <c r="C240"/>
      <c r="D240"/>
      <c r="E240"/>
      <c r="F240"/>
      <c r="G240"/>
      <c r="H240"/>
      <c r="I240"/>
      <c r="J240"/>
      <c r="K240"/>
      <c r="L240"/>
      <c r="M240"/>
      <c r="N240"/>
      <c r="O240"/>
      <c r="P240"/>
      <c r="Q240"/>
    </row>
    <row r="241" spans="1:17" ht="15.75" x14ac:dyDescent="0.25">
      <c r="A241"/>
      <c r="B241"/>
      <c r="C241"/>
      <c r="D241"/>
      <c r="E241"/>
      <c r="F241"/>
      <c r="G241"/>
      <c r="H241"/>
      <c r="I241"/>
      <c r="J241"/>
      <c r="K241"/>
      <c r="L241"/>
      <c r="M241"/>
      <c r="N241"/>
      <c r="O241"/>
      <c r="P241"/>
      <c r="Q241"/>
    </row>
    <row r="242" spans="1:17" ht="15.75" x14ac:dyDescent="0.25">
      <c r="A242"/>
      <c r="B242"/>
      <c r="C242"/>
      <c r="D242"/>
      <c r="E242"/>
      <c r="F242"/>
      <c r="G242"/>
      <c r="H242"/>
      <c r="I242"/>
      <c r="J242"/>
      <c r="K242"/>
      <c r="L242"/>
      <c r="M242"/>
      <c r="N242"/>
      <c r="O242"/>
      <c r="P242"/>
      <c r="Q242"/>
    </row>
    <row r="243" spans="1:17" ht="15.75" x14ac:dyDescent="0.25">
      <c r="A243"/>
      <c r="B243"/>
      <c r="C243"/>
      <c r="D243"/>
      <c r="E243"/>
      <c r="F243"/>
      <c r="G243"/>
      <c r="H243"/>
      <c r="I243"/>
      <c r="J243"/>
      <c r="K243"/>
      <c r="L243"/>
      <c r="M243"/>
      <c r="N243"/>
      <c r="O243"/>
      <c r="P243"/>
      <c r="Q243"/>
    </row>
    <row r="244" spans="1:17" ht="15.75" x14ac:dyDescent="0.25">
      <c r="A244"/>
      <c r="B244"/>
      <c r="C244"/>
      <c r="D244"/>
      <c r="E244"/>
      <c r="F244"/>
      <c r="G244"/>
      <c r="H244"/>
      <c r="I244"/>
      <c r="J244"/>
      <c r="K244"/>
      <c r="L244"/>
      <c r="M244"/>
      <c r="N244"/>
      <c r="O244"/>
      <c r="P244"/>
      <c r="Q244"/>
    </row>
    <row r="245" spans="1:17" ht="15.75" x14ac:dyDescent="0.25">
      <c r="A245"/>
      <c r="B245"/>
      <c r="C245"/>
      <c r="D245"/>
      <c r="E245"/>
      <c r="F245"/>
      <c r="G245"/>
      <c r="H245"/>
      <c r="I245"/>
      <c r="J245"/>
      <c r="K245"/>
      <c r="L245"/>
      <c r="M245"/>
      <c r="N245"/>
      <c r="O245"/>
      <c r="P245"/>
      <c r="Q245"/>
    </row>
    <row r="246" spans="1:17" ht="15.75" x14ac:dyDescent="0.25">
      <c r="A246"/>
      <c r="B246"/>
      <c r="C246"/>
      <c r="D246"/>
      <c r="E246"/>
      <c r="F246"/>
      <c r="G246"/>
      <c r="H246"/>
      <c r="I246"/>
      <c r="J246"/>
      <c r="K246"/>
      <c r="L246"/>
      <c r="M246"/>
      <c r="N246"/>
      <c r="O246"/>
      <c r="P246"/>
      <c r="Q246"/>
    </row>
    <row r="247" spans="1:17" ht="15.75" x14ac:dyDescent="0.25">
      <c r="A247"/>
      <c r="B247"/>
      <c r="C247"/>
      <c r="D247"/>
      <c r="E247"/>
      <c r="F247"/>
      <c r="G247"/>
      <c r="H247"/>
      <c r="I247"/>
      <c r="J247"/>
      <c r="K247"/>
      <c r="L247"/>
      <c r="M247"/>
      <c r="N247"/>
      <c r="O247"/>
      <c r="P247"/>
      <c r="Q247"/>
    </row>
    <row r="248" spans="1:17" ht="15.75" x14ac:dyDescent="0.25">
      <c r="A248"/>
      <c r="B248"/>
      <c r="C248"/>
      <c r="D248"/>
      <c r="E248"/>
      <c r="F248"/>
      <c r="G248"/>
      <c r="H248"/>
      <c r="I248"/>
      <c r="J248"/>
      <c r="K248"/>
      <c r="L248"/>
      <c r="M248"/>
      <c r="N248"/>
      <c r="O248"/>
      <c r="P248"/>
      <c r="Q248"/>
    </row>
    <row r="249" spans="1:17" ht="15.75" x14ac:dyDescent="0.25">
      <c r="A249"/>
      <c r="B249"/>
      <c r="C249"/>
      <c r="D249"/>
      <c r="E249"/>
      <c r="F249"/>
      <c r="G249"/>
      <c r="H249"/>
      <c r="I249"/>
      <c r="J249"/>
      <c r="K249"/>
      <c r="L249"/>
      <c r="M249"/>
      <c r="N249"/>
      <c r="O249"/>
      <c r="P249"/>
      <c r="Q249"/>
    </row>
    <row r="250" spans="1:17" ht="15.75" x14ac:dyDescent="0.25">
      <c r="A250"/>
      <c r="B250"/>
      <c r="C250"/>
      <c r="D250"/>
      <c r="E250"/>
      <c r="F250"/>
      <c r="G250"/>
      <c r="H250"/>
      <c r="I250"/>
      <c r="J250"/>
      <c r="K250"/>
      <c r="L250"/>
      <c r="M250"/>
      <c r="N250"/>
      <c r="O250"/>
      <c r="P250"/>
      <c r="Q250"/>
    </row>
    <row r="251" spans="1:17" ht="15.75" x14ac:dyDescent="0.25">
      <c r="A251"/>
      <c r="B251"/>
      <c r="C251"/>
      <c r="D251"/>
      <c r="E251"/>
      <c r="F251"/>
      <c r="G251"/>
      <c r="H251"/>
      <c r="I251"/>
      <c r="J251"/>
      <c r="K251"/>
      <c r="L251"/>
      <c r="M251"/>
      <c r="N251"/>
      <c r="O251"/>
      <c r="P251"/>
      <c r="Q251"/>
    </row>
    <row r="252" spans="1:17" ht="15.75" x14ac:dyDescent="0.25">
      <c r="A252"/>
      <c r="B252"/>
      <c r="C252"/>
      <c r="D252"/>
      <c r="E252"/>
      <c r="F252"/>
      <c r="G252"/>
      <c r="H252"/>
      <c r="I252"/>
      <c r="J252"/>
      <c r="K252"/>
      <c r="L252"/>
      <c r="M252"/>
      <c r="N252"/>
      <c r="O252"/>
      <c r="P252"/>
      <c r="Q252"/>
    </row>
    <row r="253" spans="1:17" ht="15.75" x14ac:dyDescent="0.25">
      <c r="A253"/>
      <c r="B253"/>
      <c r="C253"/>
      <c r="D253"/>
      <c r="E253"/>
      <c r="F253"/>
      <c r="G253"/>
      <c r="H253"/>
      <c r="I253"/>
      <c r="J253"/>
      <c r="K253"/>
      <c r="L253"/>
      <c r="M253"/>
      <c r="N253"/>
      <c r="O253"/>
      <c r="P253"/>
      <c r="Q253"/>
    </row>
    <row r="254" spans="1:17" ht="15.75" x14ac:dyDescent="0.25">
      <c r="A254"/>
      <c r="B254"/>
      <c r="C254"/>
      <c r="D254"/>
      <c r="E254"/>
      <c r="F254"/>
      <c r="G254"/>
      <c r="H254"/>
      <c r="I254"/>
      <c r="J254"/>
      <c r="K254"/>
      <c r="L254"/>
      <c r="M254"/>
      <c r="N254"/>
      <c r="O254"/>
      <c r="P254"/>
      <c r="Q254"/>
    </row>
    <row r="255" spans="1:17" ht="15.75" x14ac:dyDescent="0.25">
      <c r="A255"/>
      <c r="B255"/>
      <c r="C255"/>
      <c r="D255"/>
      <c r="E255"/>
      <c r="F255"/>
      <c r="G255"/>
      <c r="H255"/>
      <c r="I255"/>
      <c r="J255"/>
      <c r="K255"/>
      <c r="L255"/>
      <c r="M255"/>
      <c r="N255"/>
      <c r="O255"/>
      <c r="P255"/>
      <c r="Q255"/>
    </row>
    <row r="256" spans="1:17" ht="15.75" x14ac:dyDescent="0.25">
      <c r="A256"/>
      <c r="B256"/>
      <c r="C256"/>
      <c r="D256"/>
      <c r="E256"/>
      <c r="F256"/>
      <c r="G256"/>
      <c r="H256"/>
      <c r="I256"/>
      <c r="J256"/>
      <c r="K256"/>
      <c r="L256"/>
      <c r="M256"/>
      <c r="N256"/>
      <c r="O256"/>
      <c r="P256"/>
      <c r="Q256"/>
    </row>
    <row r="257" spans="1:17" ht="15.75" x14ac:dyDescent="0.25">
      <c r="A257"/>
      <c r="B257"/>
      <c r="C257"/>
      <c r="D257"/>
      <c r="E257"/>
      <c r="F257"/>
      <c r="G257"/>
      <c r="H257"/>
      <c r="I257"/>
      <c r="J257"/>
      <c r="K257"/>
      <c r="L257"/>
      <c r="M257"/>
      <c r="N257"/>
      <c r="O257"/>
      <c r="P257"/>
      <c r="Q257"/>
    </row>
    <row r="258" spans="1:17" ht="15.75" x14ac:dyDescent="0.25">
      <c r="A258"/>
      <c r="B258"/>
      <c r="C258"/>
      <c r="D258"/>
      <c r="E258"/>
      <c r="F258"/>
      <c r="G258"/>
      <c r="H258"/>
      <c r="I258"/>
      <c r="J258"/>
      <c r="K258"/>
      <c r="L258"/>
      <c r="M258"/>
      <c r="N258"/>
      <c r="O258"/>
      <c r="P258"/>
      <c r="Q258"/>
    </row>
    <row r="259" spans="1:17" ht="15.75" x14ac:dyDescent="0.25">
      <c r="A259"/>
      <c r="B259"/>
      <c r="C259"/>
      <c r="D259"/>
      <c r="E259"/>
      <c r="F259"/>
      <c r="G259"/>
      <c r="H259"/>
      <c r="I259"/>
      <c r="J259"/>
      <c r="K259"/>
      <c r="L259"/>
      <c r="M259"/>
      <c r="N259"/>
      <c r="O259"/>
      <c r="P259"/>
      <c r="Q259"/>
    </row>
    <row r="260" spans="1:17" ht="15.75" x14ac:dyDescent="0.25">
      <c r="A260"/>
      <c r="B260"/>
      <c r="C260"/>
      <c r="D260"/>
      <c r="E260"/>
      <c r="F260"/>
      <c r="G260"/>
      <c r="H260"/>
      <c r="I260"/>
      <c r="J260"/>
      <c r="K260"/>
      <c r="L260"/>
      <c r="M260"/>
      <c r="N260"/>
      <c r="O260"/>
      <c r="P260"/>
      <c r="Q260"/>
    </row>
    <row r="261" spans="1:17" ht="15.75" x14ac:dyDescent="0.25">
      <c r="A261"/>
      <c r="B261"/>
      <c r="C261"/>
      <c r="D261"/>
      <c r="E261"/>
      <c r="F261"/>
      <c r="G261"/>
      <c r="H261"/>
      <c r="I261"/>
      <c r="J261"/>
      <c r="K261"/>
      <c r="L261"/>
      <c r="M261"/>
      <c r="N261"/>
      <c r="O261"/>
      <c r="P261"/>
      <c r="Q261"/>
    </row>
    <row r="262" spans="1:17" ht="15.75" x14ac:dyDescent="0.25">
      <c r="A262"/>
      <c r="B262"/>
      <c r="C262"/>
      <c r="D262"/>
      <c r="E262"/>
      <c r="F262"/>
      <c r="G262"/>
      <c r="H262"/>
      <c r="I262"/>
      <c r="J262"/>
      <c r="K262"/>
      <c r="L262"/>
      <c r="M262"/>
      <c r="N262"/>
      <c r="O262"/>
      <c r="P262"/>
      <c r="Q262"/>
    </row>
    <row r="263" spans="1:17" ht="15.75" x14ac:dyDescent="0.25">
      <c r="A263"/>
      <c r="B263"/>
      <c r="C263"/>
      <c r="D263"/>
      <c r="E263"/>
      <c r="F263"/>
      <c r="G263"/>
      <c r="H263"/>
      <c r="I263"/>
      <c r="J263"/>
      <c r="K263"/>
      <c r="L263"/>
      <c r="M263"/>
      <c r="N263"/>
      <c r="O263"/>
      <c r="P263"/>
      <c r="Q263"/>
    </row>
    <row r="264" spans="1:17" ht="15.75" x14ac:dyDescent="0.25">
      <c r="A264"/>
      <c r="B264"/>
      <c r="C264"/>
      <c r="D264"/>
      <c r="E264"/>
      <c r="F264"/>
      <c r="G264"/>
      <c r="H264"/>
      <c r="I264"/>
      <c r="J264"/>
      <c r="K264"/>
      <c r="L264"/>
      <c r="M264"/>
      <c r="N264"/>
      <c r="O264"/>
      <c r="P264"/>
      <c r="Q264"/>
    </row>
    <row r="265" spans="1:17" ht="15.75" x14ac:dyDescent="0.25">
      <c r="A265"/>
      <c r="B265"/>
      <c r="C265"/>
      <c r="D265"/>
      <c r="E265"/>
      <c r="F265"/>
      <c r="G265"/>
      <c r="H265"/>
      <c r="I265"/>
      <c r="J265"/>
      <c r="K265"/>
      <c r="L265"/>
      <c r="M265"/>
      <c r="N265"/>
      <c r="O265"/>
      <c r="P265"/>
      <c r="Q265"/>
    </row>
    <row r="266" spans="1:17" ht="15.75" x14ac:dyDescent="0.25">
      <c r="A266"/>
      <c r="B266"/>
      <c r="C266"/>
      <c r="D266"/>
      <c r="E266"/>
      <c r="F266"/>
      <c r="G266"/>
      <c r="H266"/>
      <c r="I266"/>
      <c r="J266"/>
      <c r="K266"/>
      <c r="L266"/>
      <c r="M266"/>
      <c r="N266"/>
      <c r="O266"/>
      <c r="P266"/>
      <c r="Q266"/>
    </row>
    <row r="267" spans="1:17" ht="15.75" x14ac:dyDescent="0.25">
      <c r="A267"/>
      <c r="B267"/>
      <c r="C267"/>
      <c r="D267"/>
      <c r="E267"/>
      <c r="F267"/>
      <c r="G267"/>
      <c r="H267"/>
      <c r="I267"/>
      <c r="J267"/>
      <c r="K267"/>
      <c r="L267"/>
      <c r="M267"/>
      <c r="N267"/>
      <c r="O267"/>
      <c r="P267"/>
      <c r="Q267"/>
    </row>
    <row r="268" spans="1:17" ht="15.75" x14ac:dyDescent="0.25">
      <c r="A268"/>
      <c r="B268"/>
      <c r="C268"/>
      <c r="D268"/>
      <c r="E268"/>
      <c r="F268"/>
      <c r="G268"/>
      <c r="H268"/>
      <c r="I268"/>
      <c r="J268"/>
      <c r="K268"/>
      <c r="L268"/>
      <c r="M268"/>
      <c r="N268"/>
      <c r="O268"/>
      <c r="P268"/>
      <c r="Q268"/>
    </row>
    <row r="269" spans="1:17" ht="15.75" x14ac:dyDescent="0.25">
      <c r="A269"/>
      <c r="B269"/>
      <c r="C269"/>
      <c r="D269"/>
      <c r="E269"/>
      <c r="F269"/>
      <c r="G269"/>
      <c r="H269"/>
      <c r="I269"/>
      <c r="J269"/>
      <c r="K269"/>
      <c r="L269"/>
      <c r="M269"/>
      <c r="N269"/>
      <c r="O269"/>
      <c r="P269"/>
      <c r="Q269"/>
    </row>
    <row r="270" spans="1:17" ht="15.75" x14ac:dyDescent="0.25">
      <c r="A270"/>
      <c r="B270"/>
      <c r="C270"/>
      <c r="D270"/>
      <c r="E270"/>
      <c r="F270"/>
      <c r="G270"/>
      <c r="H270"/>
      <c r="I270"/>
      <c r="J270"/>
      <c r="K270"/>
      <c r="L270"/>
      <c r="M270"/>
      <c r="N270"/>
      <c r="O270"/>
      <c r="P270"/>
      <c r="Q270"/>
    </row>
    <row r="271" spans="1:17" ht="15.75" x14ac:dyDescent="0.25">
      <c r="A271"/>
      <c r="B271"/>
      <c r="C271"/>
      <c r="D271"/>
      <c r="E271"/>
      <c r="F271"/>
      <c r="G271"/>
      <c r="H271"/>
      <c r="I271"/>
      <c r="J271"/>
      <c r="K271"/>
      <c r="L271"/>
      <c r="M271"/>
      <c r="N271"/>
      <c r="O271"/>
      <c r="P271"/>
      <c r="Q271"/>
    </row>
    <row r="272" spans="1:17" ht="15.75" x14ac:dyDescent="0.25">
      <c r="A272"/>
      <c r="B272"/>
      <c r="C272"/>
      <c r="D272"/>
      <c r="E272"/>
      <c r="F272"/>
      <c r="G272"/>
      <c r="H272"/>
      <c r="I272"/>
      <c r="J272"/>
      <c r="K272"/>
      <c r="L272"/>
      <c r="M272"/>
      <c r="N272"/>
      <c r="O272"/>
      <c r="P272"/>
      <c r="Q272"/>
    </row>
    <row r="273" spans="1:17" ht="15.75" x14ac:dyDescent="0.25">
      <c r="A273"/>
      <c r="B273"/>
      <c r="C273"/>
      <c r="D273"/>
      <c r="E273"/>
      <c r="F273"/>
      <c r="G273"/>
      <c r="H273"/>
      <c r="I273"/>
      <c r="J273"/>
      <c r="K273"/>
      <c r="L273"/>
      <c r="M273"/>
      <c r="N273"/>
      <c r="O273"/>
      <c r="P273"/>
      <c r="Q273"/>
    </row>
    <row r="274" spans="1:17" ht="15.75" x14ac:dyDescent="0.25">
      <c r="A274"/>
      <c r="B274"/>
      <c r="C274"/>
      <c r="D274"/>
      <c r="E274"/>
      <c r="F274"/>
      <c r="G274"/>
      <c r="H274"/>
      <c r="I274"/>
      <c r="J274"/>
      <c r="K274"/>
      <c r="L274"/>
      <c r="M274"/>
      <c r="N274"/>
      <c r="O274"/>
      <c r="P274"/>
      <c r="Q274"/>
    </row>
    <row r="275" spans="1:17" ht="15.75" x14ac:dyDescent="0.25">
      <c r="A275"/>
      <c r="B275"/>
      <c r="C275"/>
      <c r="D275"/>
      <c r="E275"/>
      <c r="F275"/>
      <c r="G275"/>
      <c r="H275"/>
      <c r="I275"/>
      <c r="J275"/>
      <c r="K275"/>
      <c r="L275"/>
      <c r="M275"/>
      <c r="N275"/>
      <c r="O275"/>
      <c r="P275"/>
      <c r="Q275"/>
    </row>
    <row r="276" spans="1:17" ht="15.75" x14ac:dyDescent="0.25">
      <c r="A276"/>
      <c r="B276"/>
      <c r="C276"/>
      <c r="D276"/>
      <c r="E276"/>
      <c r="F276"/>
      <c r="G276"/>
      <c r="H276"/>
      <c r="I276"/>
      <c r="J276"/>
      <c r="K276"/>
      <c r="L276"/>
      <c r="M276"/>
      <c r="N276"/>
      <c r="O276"/>
      <c r="P276"/>
      <c r="Q276"/>
    </row>
    <row r="277" spans="1:17" ht="15.75" x14ac:dyDescent="0.25">
      <c r="A277"/>
      <c r="B277"/>
      <c r="C277"/>
      <c r="D277"/>
      <c r="E277"/>
      <c r="F277"/>
      <c r="G277"/>
      <c r="H277"/>
      <c r="I277"/>
      <c r="J277"/>
      <c r="K277"/>
      <c r="L277"/>
      <c r="M277"/>
      <c r="N277"/>
      <c r="O277"/>
      <c r="P277"/>
      <c r="Q277"/>
    </row>
    <row r="278" spans="1:17" ht="15.75" x14ac:dyDescent="0.25">
      <c r="A278"/>
      <c r="B278"/>
      <c r="C278"/>
      <c r="D278"/>
      <c r="E278"/>
      <c r="F278"/>
      <c r="G278"/>
      <c r="H278"/>
      <c r="I278"/>
      <c r="J278"/>
      <c r="K278"/>
      <c r="L278"/>
      <c r="M278"/>
      <c r="N278"/>
      <c r="O278"/>
      <c r="P278"/>
      <c r="Q278"/>
    </row>
    <row r="279" spans="1:17" ht="15.75" x14ac:dyDescent="0.25">
      <c r="A279"/>
      <c r="B279"/>
      <c r="C279"/>
      <c r="D279"/>
      <c r="E279"/>
      <c r="F279"/>
      <c r="G279"/>
      <c r="H279"/>
      <c r="I279"/>
      <c r="J279"/>
      <c r="K279"/>
      <c r="L279"/>
      <c r="M279"/>
      <c r="N279"/>
      <c r="O279"/>
      <c r="P279"/>
      <c r="Q279"/>
    </row>
    <row r="280" spans="1:17" ht="15.75" x14ac:dyDescent="0.25">
      <c r="A280"/>
      <c r="B280"/>
      <c r="C280"/>
      <c r="D280"/>
      <c r="E280"/>
      <c r="F280"/>
      <c r="G280"/>
      <c r="H280"/>
      <c r="I280"/>
      <c r="J280"/>
      <c r="K280"/>
      <c r="L280"/>
      <c r="M280"/>
      <c r="N280"/>
      <c r="O280"/>
      <c r="P280"/>
      <c r="Q280"/>
    </row>
    <row r="281" spans="1:17" ht="15.75" x14ac:dyDescent="0.25">
      <c r="A281"/>
      <c r="B281"/>
      <c r="C281"/>
      <c r="D281"/>
      <c r="E281"/>
      <c r="F281"/>
      <c r="G281"/>
      <c r="H281"/>
      <c r="I281"/>
      <c r="J281"/>
      <c r="K281"/>
      <c r="L281"/>
      <c r="M281"/>
      <c r="N281"/>
      <c r="O281"/>
      <c r="P281"/>
      <c r="Q281"/>
    </row>
    <row r="282" spans="1:17" ht="15.75" x14ac:dyDescent="0.25">
      <c r="A282"/>
      <c r="B282"/>
      <c r="C282"/>
      <c r="D282"/>
      <c r="E282"/>
      <c r="F282"/>
      <c r="G282"/>
      <c r="H282"/>
      <c r="I282"/>
      <c r="J282"/>
      <c r="K282"/>
      <c r="L282"/>
      <c r="M282"/>
      <c r="N282"/>
      <c r="O282"/>
      <c r="P282"/>
      <c r="Q282"/>
    </row>
    <row r="283" spans="1:17" ht="15.75" x14ac:dyDescent="0.25">
      <c r="A283"/>
      <c r="B283"/>
      <c r="C283"/>
      <c r="D283"/>
      <c r="E283"/>
      <c r="F283"/>
      <c r="G283"/>
      <c r="H283"/>
      <c r="I283"/>
      <c r="J283"/>
      <c r="K283"/>
      <c r="L283"/>
      <c r="M283"/>
      <c r="N283"/>
      <c r="O283"/>
      <c r="P283"/>
      <c r="Q283"/>
    </row>
    <row r="284" spans="1:17" ht="15.75" x14ac:dyDescent="0.25">
      <c r="A284"/>
      <c r="B284"/>
      <c r="C284"/>
      <c r="D284"/>
      <c r="E284"/>
      <c r="F284"/>
      <c r="G284"/>
      <c r="H284"/>
      <c r="I284"/>
      <c r="J284"/>
      <c r="K284"/>
      <c r="L284"/>
      <c r="M284"/>
      <c r="N284"/>
      <c r="O284"/>
      <c r="P284"/>
      <c r="Q284"/>
    </row>
    <row r="285" spans="1:17" ht="15.75" x14ac:dyDescent="0.25">
      <c r="A285"/>
      <c r="B285"/>
      <c r="C285"/>
      <c r="D285"/>
      <c r="E285"/>
      <c r="F285"/>
      <c r="G285"/>
      <c r="H285"/>
      <c r="I285"/>
      <c r="J285"/>
      <c r="K285"/>
      <c r="L285"/>
      <c r="M285"/>
      <c r="N285"/>
      <c r="O285"/>
      <c r="P285"/>
      <c r="Q285"/>
    </row>
    <row r="286" spans="1:17" ht="15.75" x14ac:dyDescent="0.25">
      <c r="A286"/>
      <c r="B286"/>
      <c r="C286"/>
      <c r="D286"/>
      <c r="E286"/>
      <c r="F286"/>
      <c r="G286"/>
      <c r="H286"/>
      <c r="I286"/>
      <c r="J286"/>
      <c r="K286"/>
      <c r="L286"/>
      <c r="M286"/>
      <c r="N286"/>
      <c r="O286"/>
      <c r="P286"/>
      <c r="Q286"/>
    </row>
    <row r="287" spans="1:17" ht="15.75" x14ac:dyDescent="0.25">
      <c r="A287"/>
      <c r="B287"/>
      <c r="C287"/>
      <c r="D287"/>
      <c r="E287"/>
      <c r="F287"/>
      <c r="G287"/>
      <c r="H287"/>
      <c r="I287"/>
      <c r="J287"/>
      <c r="K287"/>
      <c r="L287"/>
      <c r="M287"/>
      <c r="N287"/>
      <c r="O287"/>
      <c r="P287"/>
      <c r="Q287"/>
    </row>
    <row r="288" spans="1:17" ht="15.75" x14ac:dyDescent="0.25">
      <c r="A288"/>
      <c r="B288"/>
      <c r="C288"/>
      <c r="D288"/>
      <c r="E288"/>
      <c r="F288"/>
      <c r="G288"/>
      <c r="H288"/>
      <c r="I288"/>
      <c r="J288"/>
      <c r="K288"/>
      <c r="L288"/>
      <c r="M288"/>
      <c r="N288"/>
      <c r="O288"/>
      <c r="P288"/>
      <c r="Q288"/>
    </row>
    <row r="289" spans="1:17" ht="15.75" x14ac:dyDescent="0.25">
      <c r="A289"/>
      <c r="B289"/>
      <c r="C289"/>
      <c r="D289"/>
      <c r="E289"/>
      <c r="F289"/>
      <c r="G289"/>
      <c r="H289"/>
      <c r="I289"/>
      <c r="J289"/>
      <c r="K289"/>
      <c r="L289"/>
      <c r="M289"/>
      <c r="N289"/>
      <c r="O289"/>
      <c r="P289"/>
      <c r="Q289"/>
    </row>
    <row r="290" spans="1:17" ht="15.75" x14ac:dyDescent="0.25">
      <c r="A290"/>
      <c r="B290"/>
      <c r="C290"/>
      <c r="D290"/>
      <c r="E290"/>
      <c r="F290"/>
      <c r="G290"/>
      <c r="H290"/>
      <c r="I290"/>
      <c r="J290"/>
      <c r="K290"/>
      <c r="L290"/>
      <c r="M290"/>
      <c r="N290"/>
      <c r="O290"/>
      <c r="P290"/>
      <c r="Q290"/>
    </row>
    <row r="291" spans="1:17" ht="15.75" x14ac:dyDescent="0.25">
      <c r="A291"/>
      <c r="B291"/>
      <c r="C291"/>
      <c r="D291"/>
      <c r="E291"/>
      <c r="F291"/>
      <c r="G291"/>
      <c r="H291"/>
      <c r="I291"/>
      <c r="J291"/>
      <c r="K291"/>
      <c r="L291"/>
      <c r="M291"/>
      <c r="N291"/>
      <c r="O291"/>
      <c r="P291"/>
      <c r="Q291"/>
    </row>
    <row r="292" spans="1:17" ht="15.75" x14ac:dyDescent="0.25">
      <c r="A292"/>
      <c r="B292"/>
      <c r="C292"/>
      <c r="D292"/>
      <c r="E292"/>
      <c r="F292"/>
      <c r="G292"/>
      <c r="H292"/>
      <c r="I292"/>
      <c r="J292"/>
      <c r="K292"/>
      <c r="L292"/>
      <c r="M292"/>
      <c r="N292"/>
      <c r="O292"/>
      <c r="P292"/>
      <c r="Q292"/>
    </row>
    <row r="293" spans="1:17" ht="15.75" x14ac:dyDescent="0.25">
      <c r="A293"/>
      <c r="B293"/>
      <c r="C293"/>
      <c r="D293"/>
      <c r="E293"/>
      <c r="F293"/>
      <c r="G293"/>
      <c r="H293"/>
      <c r="I293"/>
      <c r="J293"/>
      <c r="K293"/>
      <c r="L293"/>
      <c r="M293"/>
      <c r="N293"/>
      <c r="O293"/>
      <c r="P293"/>
      <c r="Q293"/>
    </row>
    <row r="294" spans="1:17" ht="15.75" x14ac:dyDescent="0.25">
      <c r="A294"/>
      <c r="B294"/>
      <c r="C294"/>
      <c r="D294"/>
      <c r="E294"/>
      <c r="F294"/>
      <c r="G294"/>
      <c r="H294"/>
      <c r="I294"/>
      <c r="J294"/>
      <c r="K294"/>
      <c r="L294"/>
      <c r="M294"/>
      <c r="N294"/>
      <c r="O294"/>
      <c r="P294"/>
      <c r="Q294"/>
    </row>
    <row r="295" spans="1:17" ht="15.75" x14ac:dyDescent="0.25">
      <c r="A295"/>
      <c r="B295"/>
      <c r="C295"/>
      <c r="D295"/>
      <c r="E295"/>
      <c r="F295"/>
      <c r="G295"/>
      <c r="H295"/>
      <c r="I295"/>
      <c r="J295"/>
      <c r="K295"/>
      <c r="L295"/>
      <c r="M295"/>
      <c r="N295"/>
      <c r="O295"/>
      <c r="P295"/>
      <c r="Q295"/>
    </row>
    <row r="296" spans="1:17" ht="15.75" x14ac:dyDescent="0.25">
      <c r="A296"/>
      <c r="B296"/>
      <c r="C296"/>
      <c r="D296"/>
      <c r="E296"/>
      <c r="F296"/>
      <c r="G296"/>
      <c r="H296"/>
      <c r="I296"/>
      <c r="J296"/>
      <c r="K296"/>
      <c r="L296"/>
      <c r="M296"/>
      <c r="N296"/>
      <c r="O296"/>
      <c r="P296"/>
      <c r="Q296"/>
    </row>
    <row r="297" spans="1:17" ht="15.75" x14ac:dyDescent="0.25">
      <c r="A297"/>
      <c r="B297"/>
      <c r="C297"/>
      <c r="D297"/>
      <c r="E297"/>
      <c r="F297"/>
      <c r="G297"/>
      <c r="H297"/>
      <c r="I297"/>
      <c r="J297"/>
      <c r="K297"/>
      <c r="L297"/>
      <c r="M297"/>
      <c r="N297"/>
      <c r="O297"/>
      <c r="P297"/>
      <c r="Q297"/>
    </row>
    <row r="298" spans="1:17" ht="15.75" x14ac:dyDescent="0.25">
      <c r="A298"/>
      <c r="B298"/>
      <c r="C298"/>
      <c r="D298"/>
      <c r="E298"/>
      <c r="F298"/>
      <c r="G298"/>
      <c r="H298"/>
      <c r="I298"/>
      <c r="J298"/>
      <c r="K298"/>
      <c r="L298"/>
      <c r="M298"/>
      <c r="N298"/>
      <c r="O298"/>
      <c r="P298"/>
      <c r="Q298"/>
    </row>
    <row r="299" spans="1:17" ht="15.75" x14ac:dyDescent="0.25">
      <c r="A299"/>
      <c r="B299"/>
      <c r="C299"/>
      <c r="D299"/>
      <c r="E299"/>
      <c r="F299"/>
      <c r="G299"/>
      <c r="H299"/>
      <c r="I299"/>
      <c r="J299"/>
      <c r="K299"/>
      <c r="L299"/>
      <c r="M299"/>
      <c r="N299"/>
      <c r="O299"/>
      <c r="P299"/>
      <c r="Q299"/>
    </row>
    <row r="300" spans="1:17" ht="15.75" x14ac:dyDescent="0.25">
      <c r="A300"/>
      <c r="B300"/>
      <c r="C300"/>
      <c r="D300"/>
      <c r="E300"/>
      <c r="F300"/>
      <c r="G300"/>
      <c r="H300"/>
      <c r="I300"/>
      <c r="J300"/>
      <c r="K300"/>
      <c r="L300"/>
      <c r="M300"/>
      <c r="N300"/>
      <c r="O300"/>
      <c r="P300"/>
      <c r="Q300"/>
    </row>
    <row r="301" spans="1:17" ht="15.75" x14ac:dyDescent="0.25">
      <c r="A301"/>
      <c r="B301"/>
      <c r="C301"/>
      <c r="D301"/>
      <c r="E301"/>
      <c r="F301"/>
      <c r="G301"/>
      <c r="H301"/>
      <c r="I301"/>
      <c r="J301"/>
      <c r="K301"/>
      <c r="L301"/>
      <c r="M301"/>
      <c r="N301"/>
      <c r="O301"/>
      <c r="P301"/>
      <c r="Q301"/>
    </row>
    <row r="302" spans="1:17" ht="15.75" x14ac:dyDescent="0.25">
      <c r="A302"/>
      <c r="B302"/>
      <c r="C302"/>
      <c r="D302"/>
      <c r="E302"/>
      <c r="F302"/>
      <c r="G302"/>
      <c r="H302"/>
      <c r="I302"/>
      <c r="J302"/>
      <c r="K302"/>
      <c r="L302"/>
      <c r="M302"/>
      <c r="N302"/>
      <c r="O302"/>
      <c r="P302"/>
      <c r="Q302"/>
    </row>
    <row r="303" spans="1:17" ht="15.75" x14ac:dyDescent="0.25">
      <c r="A303"/>
      <c r="B303"/>
      <c r="C303"/>
      <c r="D303"/>
      <c r="E303"/>
      <c r="F303"/>
      <c r="G303"/>
      <c r="H303"/>
      <c r="I303"/>
      <c r="J303"/>
      <c r="K303"/>
      <c r="L303"/>
      <c r="M303"/>
      <c r="N303"/>
      <c r="O303"/>
      <c r="P303"/>
      <c r="Q303"/>
    </row>
    <row r="304" spans="1:17" ht="15.75" x14ac:dyDescent="0.25">
      <c r="A304"/>
      <c r="B304"/>
      <c r="C304"/>
      <c r="D304"/>
      <c r="E304"/>
      <c r="F304"/>
      <c r="G304"/>
      <c r="H304"/>
      <c r="I304"/>
      <c r="J304"/>
      <c r="K304"/>
      <c r="L304"/>
      <c r="M304"/>
      <c r="N304"/>
      <c r="O304"/>
      <c r="P304"/>
      <c r="Q304"/>
    </row>
    <row r="305" spans="1:17" ht="15.75" x14ac:dyDescent="0.25">
      <c r="A305"/>
      <c r="B305"/>
      <c r="C305"/>
      <c r="D305"/>
      <c r="E305"/>
      <c r="F305"/>
      <c r="G305"/>
      <c r="H305"/>
      <c r="I305"/>
      <c r="J305"/>
      <c r="K305"/>
      <c r="L305"/>
      <c r="M305"/>
      <c r="N305"/>
      <c r="O305"/>
      <c r="P305"/>
      <c r="Q305"/>
    </row>
    <row r="306" spans="1:17" ht="15.75" x14ac:dyDescent="0.25">
      <c r="A306"/>
      <c r="B306"/>
      <c r="C306"/>
      <c r="D306"/>
      <c r="E306"/>
      <c r="F306"/>
      <c r="G306"/>
      <c r="H306"/>
      <c r="I306"/>
      <c r="J306"/>
      <c r="K306"/>
      <c r="L306"/>
      <c r="M306"/>
      <c r="N306"/>
      <c r="O306"/>
      <c r="P306"/>
      <c r="Q306"/>
    </row>
    <row r="307" spans="1:17" ht="15.75" x14ac:dyDescent="0.25">
      <c r="A307"/>
      <c r="B307"/>
      <c r="C307"/>
      <c r="D307"/>
      <c r="E307"/>
      <c r="F307"/>
      <c r="G307"/>
      <c r="H307"/>
      <c r="I307"/>
      <c r="J307"/>
      <c r="K307"/>
      <c r="L307"/>
      <c r="M307"/>
      <c r="N307"/>
      <c r="O307"/>
      <c r="P307"/>
      <c r="Q307"/>
    </row>
    <row r="308" spans="1:17" ht="15.75" x14ac:dyDescent="0.25">
      <c r="A308"/>
      <c r="B308"/>
      <c r="C308"/>
      <c r="D308"/>
      <c r="E308"/>
      <c r="F308"/>
      <c r="G308"/>
      <c r="H308"/>
      <c r="I308"/>
      <c r="J308"/>
      <c r="K308"/>
      <c r="L308"/>
      <c r="M308"/>
      <c r="N308"/>
      <c r="O308"/>
      <c r="P308"/>
      <c r="Q308"/>
    </row>
    <row r="309" spans="1:17" ht="15.75" x14ac:dyDescent="0.25">
      <c r="A309"/>
      <c r="B309"/>
      <c r="C309"/>
      <c r="D309"/>
      <c r="E309"/>
      <c r="F309"/>
      <c r="G309"/>
      <c r="H309"/>
      <c r="I309"/>
      <c r="J309"/>
      <c r="K309"/>
      <c r="L309"/>
      <c r="M309"/>
      <c r="N309"/>
      <c r="O309"/>
      <c r="P309"/>
      <c r="Q309"/>
    </row>
    <row r="310" spans="1:17" ht="15.75" x14ac:dyDescent="0.25">
      <c r="A310"/>
      <c r="B310"/>
      <c r="C310"/>
      <c r="D310"/>
      <c r="E310"/>
      <c r="F310"/>
      <c r="G310"/>
      <c r="H310"/>
      <c r="I310"/>
      <c r="J310"/>
      <c r="K310"/>
      <c r="L310"/>
      <c r="M310"/>
      <c r="N310"/>
      <c r="O310"/>
      <c r="P310"/>
      <c r="Q310"/>
    </row>
    <row r="311" spans="1:17" ht="15.75" x14ac:dyDescent="0.25">
      <c r="A311"/>
      <c r="B311"/>
      <c r="C311"/>
      <c r="D311"/>
      <c r="E311"/>
      <c r="F311"/>
      <c r="G311"/>
      <c r="H311"/>
      <c r="I311"/>
      <c r="J311"/>
      <c r="K311"/>
      <c r="L311"/>
      <c r="M311"/>
      <c r="N311"/>
      <c r="O311"/>
      <c r="P311"/>
      <c r="Q311"/>
    </row>
    <row r="312" spans="1:17" ht="15.75" x14ac:dyDescent="0.25">
      <c r="A312"/>
      <c r="B312"/>
      <c r="C312"/>
      <c r="D312"/>
      <c r="E312"/>
      <c r="F312"/>
      <c r="G312"/>
      <c r="H312"/>
      <c r="I312"/>
      <c r="J312"/>
      <c r="K312"/>
      <c r="L312"/>
      <c r="M312"/>
      <c r="N312"/>
      <c r="O312"/>
      <c r="P312"/>
      <c r="Q312"/>
    </row>
    <row r="313" spans="1:17" ht="15.75" x14ac:dyDescent="0.25">
      <c r="A313"/>
      <c r="B313"/>
      <c r="C313"/>
      <c r="D313"/>
      <c r="E313"/>
      <c r="F313"/>
      <c r="G313"/>
      <c r="H313"/>
      <c r="I313"/>
      <c r="J313"/>
      <c r="K313"/>
      <c r="L313"/>
      <c r="M313"/>
      <c r="N313"/>
      <c r="O313"/>
      <c r="P313"/>
      <c r="Q313"/>
    </row>
    <row r="314" spans="1:17" ht="15.75" x14ac:dyDescent="0.25">
      <c r="A314"/>
      <c r="B314"/>
      <c r="C314"/>
      <c r="D314"/>
      <c r="E314"/>
      <c r="F314"/>
      <c r="G314"/>
      <c r="H314"/>
      <c r="I314"/>
      <c r="J314"/>
      <c r="K314"/>
      <c r="L314"/>
      <c r="M314"/>
      <c r="N314"/>
      <c r="O314"/>
      <c r="P314"/>
      <c r="Q314"/>
    </row>
    <row r="315" spans="1:17" ht="15.75" x14ac:dyDescent="0.25">
      <c r="A315"/>
      <c r="B315"/>
      <c r="C315"/>
      <c r="D315"/>
      <c r="E315"/>
      <c r="F315"/>
      <c r="G315"/>
      <c r="H315"/>
      <c r="I315"/>
      <c r="J315"/>
      <c r="K315"/>
      <c r="L315"/>
      <c r="M315"/>
      <c r="N315"/>
      <c r="O315"/>
      <c r="P315"/>
      <c r="Q315"/>
    </row>
    <row r="316" spans="1:17" ht="15.75" x14ac:dyDescent="0.25">
      <c r="A316"/>
      <c r="B316"/>
      <c r="C316"/>
      <c r="D316"/>
      <c r="E316"/>
      <c r="F316"/>
      <c r="G316"/>
      <c r="H316"/>
      <c r="I316"/>
      <c r="J316"/>
      <c r="K316"/>
      <c r="L316"/>
      <c r="M316"/>
      <c r="N316"/>
      <c r="O316"/>
      <c r="P316"/>
      <c r="Q316"/>
    </row>
    <row r="317" spans="1:17" ht="15.75" x14ac:dyDescent="0.25">
      <c r="A317"/>
      <c r="B317"/>
      <c r="C317"/>
      <c r="D317"/>
      <c r="E317"/>
      <c r="F317"/>
      <c r="G317"/>
      <c r="H317"/>
      <c r="I317"/>
      <c r="J317"/>
      <c r="K317"/>
      <c r="L317"/>
      <c r="M317"/>
      <c r="N317"/>
      <c r="O317"/>
      <c r="P317"/>
      <c r="Q317"/>
    </row>
    <row r="318" spans="1:17" ht="15.75" x14ac:dyDescent="0.25">
      <c r="A318"/>
      <c r="B318"/>
      <c r="C318"/>
      <c r="D318"/>
      <c r="E318"/>
      <c r="F318"/>
      <c r="G318"/>
      <c r="H318"/>
      <c r="I318"/>
      <c r="J318"/>
      <c r="K318"/>
      <c r="L318"/>
      <c r="M318"/>
      <c r="N318"/>
      <c r="O318"/>
      <c r="P318"/>
      <c r="Q318"/>
    </row>
    <row r="319" spans="1:17" ht="15.75" x14ac:dyDescent="0.25">
      <c r="A319"/>
      <c r="B319"/>
      <c r="C319"/>
      <c r="D319"/>
      <c r="E319"/>
      <c r="F319"/>
      <c r="G319"/>
      <c r="H319"/>
      <c r="I319"/>
      <c r="J319"/>
      <c r="K319"/>
      <c r="L319"/>
      <c r="M319"/>
      <c r="N319"/>
      <c r="O319"/>
      <c r="P319"/>
      <c r="Q319"/>
    </row>
    <row r="320" spans="1:17" ht="15.75" x14ac:dyDescent="0.25">
      <c r="A320"/>
      <c r="B320"/>
      <c r="C320"/>
      <c r="D320"/>
      <c r="E320"/>
      <c r="F320"/>
      <c r="G320"/>
      <c r="H320"/>
      <c r="I320"/>
      <c r="J320"/>
      <c r="K320"/>
      <c r="L320"/>
      <c r="M320"/>
      <c r="N320"/>
      <c r="O320"/>
      <c r="P320"/>
      <c r="Q320"/>
    </row>
    <row r="321" spans="1:17" ht="15.75" x14ac:dyDescent="0.25">
      <c r="A321"/>
      <c r="B321"/>
      <c r="C321"/>
      <c r="D321"/>
      <c r="E321"/>
      <c r="F321"/>
      <c r="G321"/>
      <c r="H321"/>
      <c r="I321"/>
      <c r="J321"/>
      <c r="K321"/>
      <c r="L321"/>
      <c r="M321"/>
      <c r="N321"/>
      <c r="O321"/>
      <c r="P321"/>
      <c r="Q321"/>
    </row>
    <row r="322" spans="1:17" ht="15.75" x14ac:dyDescent="0.25">
      <c r="A322"/>
      <c r="B322"/>
      <c r="C322"/>
      <c r="D322"/>
      <c r="E322"/>
      <c r="F322"/>
      <c r="G322"/>
      <c r="H322"/>
      <c r="I322"/>
      <c r="J322"/>
      <c r="K322"/>
      <c r="L322"/>
      <c r="M322"/>
      <c r="N322"/>
      <c r="O322"/>
      <c r="P322"/>
      <c r="Q322"/>
    </row>
    <row r="323" spans="1:17" ht="15.75" x14ac:dyDescent="0.25">
      <c r="A323"/>
      <c r="B323"/>
      <c r="C323"/>
      <c r="D323"/>
      <c r="E323"/>
      <c r="F323"/>
      <c r="G323"/>
      <c r="H323"/>
      <c r="I323"/>
      <c r="J323"/>
      <c r="K323"/>
      <c r="L323"/>
      <c r="M323"/>
      <c r="N323"/>
      <c r="O323"/>
      <c r="P323"/>
      <c r="Q323"/>
    </row>
    <row r="324" spans="1:17" ht="15.75" x14ac:dyDescent="0.25">
      <c r="A324"/>
      <c r="B324"/>
      <c r="C324"/>
      <c r="D324"/>
      <c r="E324"/>
      <c r="F324"/>
      <c r="G324"/>
      <c r="H324"/>
      <c r="I324"/>
      <c r="J324"/>
      <c r="K324"/>
      <c r="L324"/>
      <c r="M324"/>
      <c r="N324"/>
      <c r="O324"/>
      <c r="P324"/>
      <c r="Q324"/>
    </row>
    <row r="325" spans="1:17" ht="15.75" x14ac:dyDescent="0.25">
      <c r="A325"/>
      <c r="B325"/>
      <c r="C325"/>
      <c r="D325"/>
      <c r="E325"/>
      <c r="F325"/>
      <c r="G325"/>
      <c r="H325"/>
      <c r="I325"/>
      <c r="J325"/>
      <c r="K325"/>
      <c r="L325"/>
      <c r="M325"/>
      <c r="N325"/>
      <c r="O325"/>
      <c r="P325"/>
      <c r="Q325"/>
    </row>
    <row r="326" spans="1:17" ht="15.75" x14ac:dyDescent="0.25">
      <c r="A326"/>
      <c r="B326"/>
      <c r="C326"/>
      <c r="D326"/>
      <c r="E326"/>
      <c r="F326"/>
      <c r="G326"/>
      <c r="H326"/>
      <c r="I326"/>
      <c r="J326"/>
      <c r="K326"/>
      <c r="L326"/>
      <c r="M326"/>
      <c r="N326"/>
      <c r="O326"/>
      <c r="P326"/>
      <c r="Q326"/>
    </row>
    <row r="327" spans="1:17" ht="15.75" x14ac:dyDescent="0.25">
      <c r="A327"/>
      <c r="B327"/>
      <c r="C327"/>
      <c r="D327"/>
      <c r="E327"/>
      <c r="F327"/>
      <c r="G327"/>
      <c r="H327"/>
      <c r="I327"/>
      <c r="J327"/>
      <c r="K327"/>
      <c r="L327"/>
      <c r="M327"/>
      <c r="N327"/>
      <c r="O327"/>
      <c r="P327"/>
      <c r="Q327"/>
    </row>
    <row r="328" spans="1:17" ht="15.75" x14ac:dyDescent="0.25">
      <c r="A328"/>
      <c r="B328"/>
      <c r="C328"/>
      <c r="D328"/>
      <c r="E328"/>
      <c r="F328"/>
      <c r="G328"/>
      <c r="H328"/>
      <c r="I328"/>
      <c r="J328"/>
      <c r="K328"/>
      <c r="L328"/>
      <c r="M328"/>
      <c r="N328"/>
      <c r="O328"/>
      <c r="P328"/>
      <c r="Q328"/>
    </row>
    <row r="329" spans="1:17" ht="15.75" x14ac:dyDescent="0.25">
      <c r="A329"/>
      <c r="B329"/>
      <c r="C329"/>
      <c r="D329"/>
      <c r="E329"/>
      <c r="F329"/>
      <c r="G329"/>
      <c r="H329"/>
      <c r="I329"/>
      <c r="J329"/>
      <c r="K329"/>
      <c r="L329"/>
      <c r="M329"/>
      <c r="N329"/>
      <c r="O329"/>
      <c r="P329"/>
      <c r="Q329"/>
    </row>
    <row r="330" spans="1:17" ht="15.75" x14ac:dyDescent="0.25">
      <c r="A330"/>
      <c r="B330"/>
      <c r="C330"/>
      <c r="D330"/>
      <c r="E330"/>
      <c r="F330"/>
      <c r="G330"/>
      <c r="H330"/>
      <c r="I330"/>
      <c r="J330"/>
      <c r="K330"/>
      <c r="L330"/>
      <c r="M330"/>
      <c r="N330"/>
      <c r="O330"/>
      <c r="P330"/>
      <c r="Q330"/>
    </row>
    <row r="331" spans="1:17" ht="15.75" x14ac:dyDescent="0.25">
      <c r="A331"/>
      <c r="B331"/>
      <c r="C331"/>
      <c r="D331"/>
      <c r="E331"/>
      <c r="F331"/>
      <c r="G331"/>
      <c r="H331"/>
      <c r="I331"/>
      <c r="J331"/>
      <c r="K331"/>
      <c r="L331"/>
      <c r="M331"/>
      <c r="N331"/>
      <c r="O331"/>
      <c r="P331"/>
      <c r="Q331"/>
    </row>
    <row r="332" spans="1:17" ht="15.75" x14ac:dyDescent="0.25">
      <c r="A332"/>
      <c r="B332"/>
      <c r="C332"/>
      <c r="D332"/>
      <c r="E332"/>
      <c r="F332"/>
      <c r="G332"/>
      <c r="H332"/>
      <c r="I332"/>
      <c r="J332"/>
      <c r="K332"/>
      <c r="L332"/>
      <c r="M332"/>
      <c r="N332"/>
      <c r="O332"/>
      <c r="P332"/>
      <c r="Q332"/>
    </row>
    <row r="333" spans="1:17" ht="15.75" x14ac:dyDescent="0.25">
      <c r="A333"/>
      <c r="B333"/>
      <c r="C333"/>
      <c r="D333"/>
      <c r="E333"/>
      <c r="F333"/>
      <c r="G333"/>
      <c r="H333"/>
      <c r="I333"/>
      <c r="J333"/>
      <c r="K333"/>
      <c r="L333"/>
      <c r="M333"/>
      <c r="N333"/>
      <c r="O333"/>
      <c r="P333"/>
      <c r="Q333"/>
    </row>
    <row r="334" spans="1:17" ht="15.75" x14ac:dyDescent="0.25">
      <c r="A334"/>
      <c r="B334"/>
      <c r="C334"/>
      <c r="D334"/>
      <c r="E334"/>
      <c r="F334"/>
      <c r="G334"/>
      <c r="H334"/>
      <c r="I334"/>
      <c r="J334"/>
      <c r="K334"/>
      <c r="L334"/>
      <c r="M334"/>
      <c r="N334"/>
      <c r="O334"/>
      <c r="P334"/>
      <c r="Q334"/>
    </row>
    <row r="335" spans="1:17" ht="15.75" x14ac:dyDescent="0.25">
      <c r="A335"/>
      <c r="B335"/>
      <c r="C335"/>
      <c r="D335"/>
      <c r="E335"/>
      <c r="F335"/>
      <c r="G335"/>
      <c r="H335"/>
      <c r="I335"/>
      <c r="J335"/>
      <c r="K335"/>
      <c r="L335"/>
      <c r="M335"/>
      <c r="N335"/>
      <c r="O335"/>
      <c r="P335"/>
      <c r="Q335"/>
    </row>
    <row r="336" spans="1:17" ht="15.75" x14ac:dyDescent="0.25">
      <c r="A336"/>
      <c r="B336"/>
      <c r="C336"/>
      <c r="D336"/>
      <c r="E336"/>
      <c r="F336"/>
      <c r="G336"/>
      <c r="H336"/>
      <c r="I336"/>
      <c r="J336"/>
      <c r="K336"/>
      <c r="L336"/>
      <c r="M336"/>
      <c r="N336"/>
      <c r="O336"/>
      <c r="P336"/>
      <c r="Q336"/>
    </row>
    <row r="337" spans="1:17" ht="15.75" x14ac:dyDescent="0.25">
      <c r="A337"/>
      <c r="B337"/>
      <c r="C337"/>
      <c r="D337"/>
      <c r="E337"/>
      <c r="F337"/>
      <c r="G337"/>
      <c r="H337"/>
      <c r="I337"/>
      <c r="J337"/>
      <c r="K337"/>
      <c r="L337"/>
      <c r="M337"/>
      <c r="N337"/>
      <c r="O337"/>
      <c r="P337"/>
      <c r="Q337"/>
    </row>
    <row r="338" spans="1:17" ht="15.75" x14ac:dyDescent="0.25">
      <c r="A338"/>
      <c r="B338"/>
      <c r="C338"/>
      <c r="D338"/>
      <c r="E338"/>
      <c r="F338"/>
      <c r="G338"/>
      <c r="H338"/>
      <c r="I338"/>
      <c r="J338"/>
      <c r="K338"/>
      <c r="L338"/>
      <c r="M338"/>
      <c r="N338"/>
      <c r="O338"/>
      <c r="P338"/>
      <c r="Q338"/>
    </row>
    <row r="339" spans="1:17" ht="15.75" x14ac:dyDescent="0.25">
      <c r="A339"/>
      <c r="B339"/>
      <c r="C339"/>
      <c r="D339"/>
      <c r="E339"/>
      <c r="F339"/>
      <c r="G339"/>
      <c r="H339"/>
      <c r="I339"/>
      <c r="J339"/>
      <c r="K339"/>
      <c r="L339"/>
      <c r="M339"/>
      <c r="N339"/>
      <c r="O339"/>
      <c r="P339"/>
      <c r="Q339"/>
    </row>
    <row r="340" spans="1:17" ht="15.75" x14ac:dyDescent="0.25">
      <c r="A340"/>
      <c r="B340"/>
      <c r="C340"/>
      <c r="D340"/>
      <c r="E340"/>
      <c r="F340"/>
      <c r="G340"/>
      <c r="H340"/>
      <c r="I340"/>
      <c r="J340"/>
      <c r="K340"/>
      <c r="L340"/>
      <c r="M340"/>
      <c r="N340"/>
      <c r="O340"/>
      <c r="P340"/>
      <c r="Q340"/>
    </row>
    <row r="341" spans="1:17" ht="15.75" x14ac:dyDescent="0.25">
      <c r="A341"/>
      <c r="B341"/>
      <c r="C341"/>
      <c r="D341"/>
      <c r="E341"/>
      <c r="F341"/>
      <c r="G341"/>
      <c r="H341"/>
      <c r="I341"/>
      <c r="J341"/>
      <c r="K341"/>
      <c r="L341"/>
      <c r="M341"/>
      <c r="N341"/>
      <c r="O341"/>
      <c r="P341"/>
      <c r="Q341"/>
    </row>
    <row r="342" spans="1:17" ht="15.75" x14ac:dyDescent="0.25">
      <c r="A342"/>
      <c r="B342"/>
      <c r="C342"/>
      <c r="D342"/>
      <c r="E342"/>
      <c r="F342"/>
      <c r="G342"/>
      <c r="H342"/>
      <c r="I342"/>
      <c r="J342"/>
      <c r="K342"/>
      <c r="L342"/>
      <c r="M342"/>
      <c r="N342"/>
      <c r="O342"/>
      <c r="P342"/>
      <c r="Q342"/>
    </row>
    <row r="343" spans="1:17" ht="15.75" x14ac:dyDescent="0.25">
      <c r="A343"/>
      <c r="B343"/>
      <c r="C343"/>
      <c r="D343"/>
      <c r="E343"/>
      <c r="F343"/>
      <c r="G343"/>
      <c r="H343"/>
      <c r="I343"/>
      <c r="J343"/>
      <c r="K343"/>
      <c r="L343"/>
      <c r="M343"/>
      <c r="N343"/>
      <c r="O343"/>
      <c r="P343"/>
      <c r="Q343"/>
    </row>
    <row r="344" spans="1:17" ht="15.75" x14ac:dyDescent="0.25">
      <c r="A344"/>
      <c r="B344"/>
      <c r="C344"/>
      <c r="D344"/>
      <c r="E344"/>
      <c r="F344"/>
      <c r="G344"/>
      <c r="H344"/>
      <c r="I344"/>
      <c r="J344"/>
      <c r="K344"/>
      <c r="L344"/>
      <c r="M344"/>
      <c r="N344"/>
      <c r="O344"/>
      <c r="P344"/>
      <c r="Q344"/>
    </row>
    <row r="345" spans="1:17" ht="15.75" x14ac:dyDescent="0.25">
      <c r="A345"/>
      <c r="B345"/>
      <c r="C345"/>
      <c r="D345"/>
      <c r="E345"/>
      <c r="F345"/>
      <c r="G345"/>
      <c r="H345"/>
      <c r="I345"/>
      <c r="J345"/>
      <c r="K345"/>
      <c r="L345"/>
      <c r="M345"/>
      <c r="N345"/>
      <c r="O345"/>
      <c r="P345"/>
      <c r="Q345"/>
    </row>
    <row r="346" spans="1:17" ht="15.75" x14ac:dyDescent="0.25">
      <c r="A346"/>
      <c r="B346"/>
      <c r="C346"/>
      <c r="D346"/>
      <c r="E346"/>
      <c r="F346"/>
      <c r="G346"/>
      <c r="H346"/>
      <c r="I346"/>
      <c r="J346"/>
      <c r="K346"/>
      <c r="L346"/>
      <c r="M346"/>
      <c r="N346"/>
      <c r="O346"/>
      <c r="P346"/>
      <c r="Q346"/>
    </row>
    <row r="347" spans="1:17" ht="15.75" x14ac:dyDescent="0.25">
      <c r="A347"/>
      <c r="B347"/>
      <c r="C347"/>
      <c r="D347"/>
      <c r="E347"/>
      <c r="F347"/>
      <c r="G347"/>
      <c r="H347"/>
      <c r="I347"/>
      <c r="J347"/>
      <c r="K347"/>
      <c r="L347"/>
      <c r="M347"/>
      <c r="N347"/>
      <c r="O347"/>
      <c r="P347"/>
      <c r="Q347"/>
    </row>
    <row r="348" spans="1:17" ht="15.75" x14ac:dyDescent="0.25">
      <c r="A348"/>
      <c r="B348"/>
      <c r="C348"/>
      <c r="D348"/>
      <c r="E348"/>
      <c r="F348"/>
      <c r="G348"/>
      <c r="H348"/>
      <c r="I348"/>
      <c r="J348"/>
      <c r="K348"/>
      <c r="L348"/>
      <c r="M348"/>
      <c r="N348"/>
      <c r="O348"/>
      <c r="P348"/>
      <c r="Q348"/>
    </row>
    <row r="349" spans="1:17" ht="15.75" x14ac:dyDescent="0.25">
      <c r="A349"/>
      <c r="B349"/>
      <c r="C349"/>
      <c r="D349"/>
      <c r="E349"/>
      <c r="F349"/>
      <c r="G349"/>
      <c r="H349"/>
      <c r="I349"/>
      <c r="J349"/>
      <c r="K349"/>
      <c r="L349"/>
      <c r="M349"/>
      <c r="N349"/>
      <c r="O349"/>
      <c r="P349"/>
      <c r="Q349"/>
    </row>
    <row r="350" spans="1:17" ht="15.75" x14ac:dyDescent="0.25">
      <c r="A350"/>
      <c r="B350"/>
      <c r="C350"/>
      <c r="D350"/>
      <c r="E350"/>
      <c r="F350"/>
      <c r="G350"/>
      <c r="H350"/>
      <c r="I350"/>
      <c r="J350"/>
      <c r="K350"/>
      <c r="L350"/>
      <c r="M350"/>
      <c r="N350"/>
      <c r="O350"/>
      <c r="P350"/>
      <c r="Q350"/>
    </row>
    <row r="351" spans="1:17" ht="15.75" x14ac:dyDescent="0.25">
      <c r="A351"/>
      <c r="B351"/>
      <c r="C351"/>
      <c r="D351"/>
      <c r="E351"/>
      <c r="F351"/>
      <c r="G351"/>
      <c r="H351"/>
      <c r="I351"/>
      <c r="J351"/>
      <c r="K351"/>
      <c r="L351"/>
      <c r="M351"/>
      <c r="N351"/>
      <c r="O351"/>
      <c r="P351"/>
      <c r="Q351"/>
    </row>
    <row r="352" spans="1:17" ht="15.75" x14ac:dyDescent="0.25">
      <c r="A352"/>
      <c r="B352"/>
      <c r="C352"/>
      <c r="D352"/>
      <c r="E352"/>
      <c r="F352"/>
      <c r="G352"/>
      <c r="H352"/>
      <c r="I352"/>
      <c r="J352"/>
      <c r="K352"/>
      <c r="L352"/>
      <c r="M352"/>
      <c r="N352"/>
      <c r="O352"/>
      <c r="P352"/>
      <c r="Q352"/>
    </row>
    <row r="353" spans="1:17" ht="15.75" x14ac:dyDescent="0.25">
      <c r="A353"/>
      <c r="B353"/>
      <c r="C353"/>
      <c r="D353"/>
      <c r="E353"/>
      <c r="F353"/>
      <c r="G353"/>
      <c r="H353"/>
      <c r="I353"/>
      <c r="J353"/>
      <c r="K353"/>
      <c r="L353"/>
      <c r="M353"/>
      <c r="N353"/>
      <c r="O353"/>
      <c r="P353"/>
      <c r="Q353"/>
    </row>
    <row r="354" spans="1:17" ht="15.75" x14ac:dyDescent="0.25">
      <c r="A354"/>
      <c r="B354"/>
      <c r="C354"/>
      <c r="D354"/>
      <c r="E354"/>
      <c r="F354"/>
      <c r="G354"/>
      <c r="H354"/>
      <c r="I354"/>
      <c r="J354"/>
      <c r="K354"/>
      <c r="L354"/>
      <c r="M354"/>
      <c r="N354"/>
      <c r="O354"/>
      <c r="P354"/>
      <c r="Q354"/>
    </row>
    <row r="355" spans="1:17" ht="15.75" x14ac:dyDescent="0.25">
      <c r="A355"/>
      <c r="B355"/>
      <c r="C355"/>
      <c r="D355"/>
      <c r="E355"/>
      <c r="F355"/>
      <c r="G355"/>
      <c r="H355"/>
      <c r="I355"/>
      <c r="J355"/>
      <c r="K355"/>
      <c r="L355"/>
      <c r="M355"/>
      <c r="N355"/>
      <c r="O355"/>
      <c r="P355"/>
      <c r="Q355"/>
    </row>
    <row r="356" spans="1:17" ht="15.75" x14ac:dyDescent="0.25">
      <c r="A356"/>
      <c r="B356"/>
      <c r="C356"/>
      <c r="D356"/>
      <c r="E356"/>
      <c r="F356"/>
      <c r="G356"/>
      <c r="H356"/>
      <c r="I356"/>
      <c r="J356"/>
      <c r="K356"/>
      <c r="L356"/>
      <c r="M356"/>
      <c r="N356"/>
      <c r="O356"/>
      <c r="P356"/>
      <c r="Q356"/>
    </row>
    <row r="357" spans="1:17" ht="15.75" x14ac:dyDescent="0.25">
      <c r="A357"/>
      <c r="B357"/>
      <c r="C357"/>
      <c r="D357"/>
      <c r="E357"/>
      <c r="F357"/>
      <c r="G357"/>
      <c r="H357"/>
      <c r="I357"/>
      <c r="J357"/>
      <c r="K357"/>
      <c r="L357"/>
      <c r="M357"/>
      <c r="N357"/>
      <c r="O357"/>
      <c r="P357"/>
      <c r="Q357"/>
    </row>
    <row r="358" spans="1:17" ht="15.75" x14ac:dyDescent="0.25">
      <c r="A358"/>
      <c r="B358"/>
      <c r="C358"/>
      <c r="D358"/>
      <c r="E358"/>
      <c r="F358"/>
      <c r="G358"/>
      <c r="H358"/>
      <c r="I358"/>
      <c r="J358"/>
      <c r="K358"/>
      <c r="L358"/>
      <c r="M358"/>
      <c r="N358"/>
      <c r="O358"/>
      <c r="P358"/>
      <c r="Q358"/>
    </row>
    <row r="359" spans="1:17" ht="15.75" x14ac:dyDescent="0.25">
      <c r="A359"/>
      <c r="B359"/>
      <c r="C359"/>
      <c r="D359"/>
      <c r="E359"/>
      <c r="F359"/>
      <c r="G359"/>
      <c r="H359"/>
      <c r="I359"/>
      <c r="J359"/>
      <c r="K359"/>
      <c r="L359"/>
      <c r="M359"/>
      <c r="N359"/>
      <c r="O359"/>
      <c r="P359"/>
      <c r="Q359"/>
    </row>
    <row r="360" spans="1:17" ht="15.75" x14ac:dyDescent="0.25">
      <c r="A360"/>
      <c r="B360"/>
      <c r="C360"/>
      <c r="D360"/>
      <c r="E360"/>
      <c r="F360"/>
      <c r="G360"/>
      <c r="H360"/>
      <c r="I360"/>
      <c r="J360"/>
      <c r="K360"/>
      <c r="L360"/>
      <c r="M360"/>
      <c r="N360"/>
      <c r="O360"/>
      <c r="P360"/>
      <c r="Q360"/>
    </row>
    <row r="361" spans="1:17" ht="15.75" x14ac:dyDescent="0.25">
      <c r="A361"/>
      <c r="B361"/>
      <c r="C361"/>
      <c r="D361"/>
      <c r="E361"/>
      <c r="F361"/>
      <c r="G361"/>
      <c r="H361"/>
      <c r="I361"/>
      <c r="J361"/>
      <c r="K361"/>
      <c r="L361"/>
      <c r="M361"/>
      <c r="N361"/>
      <c r="O361"/>
      <c r="P361"/>
      <c r="Q361"/>
    </row>
    <row r="362" spans="1:17" ht="15.75" x14ac:dyDescent="0.25">
      <c r="A362"/>
      <c r="B362"/>
      <c r="C362"/>
      <c r="D362"/>
      <c r="E362"/>
      <c r="F362"/>
      <c r="G362"/>
      <c r="H362"/>
      <c r="I362"/>
      <c r="J362"/>
      <c r="K362"/>
      <c r="L362"/>
      <c r="M362"/>
      <c r="N362"/>
      <c r="O362"/>
      <c r="P362"/>
      <c r="Q362"/>
    </row>
    <row r="363" spans="1:17" ht="15.75" x14ac:dyDescent="0.25">
      <c r="A363"/>
      <c r="B363"/>
      <c r="C363"/>
      <c r="D363"/>
      <c r="E363"/>
      <c r="F363"/>
      <c r="G363"/>
      <c r="H363"/>
      <c r="I363"/>
      <c r="J363"/>
      <c r="K363"/>
      <c r="L363"/>
      <c r="M363"/>
      <c r="N363"/>
      <c r="O363"/>
      <c r="P363"/>
      <c r="Q363"/>
    </row>
    <row r="364" spans="1:17" ht="15.75" x14ac:dyDescent="0.25">
      <c r="A364"/>
      <c r="B364"/>
      <c r="C364"/>
      <c r="D364"/>
      <c r="E364"/>
      <c r="F364"/>
      <c r="G364"/>
      <c r="H364"/>
      <c r="I364"/>
      <c r="J364"/>
      <c r="K364"/>
      <c r="L364"/>
      <c r="M364"/>
      <c r="N364"/>
      <c r="O364"/>
      <c r="P364"/>
      <c r="Q364"/>
    </row>
    <row r="365" spans="1:17" ht="15.75" x14ac:dyDescent="0.25">
      <c r="A365"/>
      <c r="B365"/>
      <c r="C365"/>
      <c r="D365"/>
      <c r="E365"/>
      <c r="F365"/>
      <c r="G365"/>
      <c r="H365"/>
      <c r="I365"/>
      <c r="J365"/>
      <c r="K365"/>
      <c r="L365"/>
      <c r="M365"/>
      <c r="N365"/>
      <c r="O365"/>
      <c r="P365"/>
      <c r="Q365"/>
    </row>
    <row r="366" spans="1:17" ht="15.75" x14ac:dyDescent="0.25">
      <c r="A366"/>
      <c r="B366"/>
      <c r="C366"/>
      <c r="D366"/>
      <c r="E366"/>
      <c r="F366"/>
      <c r="G366"/>
      <c r="H366"/>
      <c r="I366"/>
      <c r="J366"/>
      <c r="K366"/>
      <c r="L366"/>
      <c r="M366"/>
      <c r="N366"/>
      <c r="O366"/>
      <c r="P366"/>
      <c r="Q366"/>
    </row>
    <row r="367" spans="1:17" ht="15.75" x14ac:dyDescent="0.25">
      <c r="A367"/>
      <c r="B367"/>
      <c r="C367"/>
      <c r="D367"/>
      <c r="E367"/>
      <c r="F367"/>
      <c r="G367"/>
      <c r="H367"/>
      <c r="I367"/>
      <c r="J367"/>
      <c r="K367"/>
      <c r="L367"/>
      <c r="M367"/>
      <c r="N367"/>
      <c r="O367"/>
      <c r="P367"/>
      <c r="Q367"/>
    </row>
    <row r="368" spans="1:17" ht="15.75" x14ac:dyDescent="0.25">
      <c r="A368"/>
      <c r="B368"/>
      <c r="C368"/>
      <c r="D368"/>
      <c r="E368"/>
      <c r="F368"/>
      <c r="G368"/>
      <c r="H368"/>
      <c r="I368"/>
      <c r="J368"/>
      <c r="K368"/>
      <c r="L368"/>
      <c r="M368"/>
      <c r="N368"/>
      <c r="O368"/>
      <c r="P368"/>
      <c r="Q368"/>
    </row>
    <row r="369" spans="1:17" ht="15.75" x14ac:dyDescent="0.25">
      <c r="A369"/>
      <c r="B369"/>
      <c r="C369"/>
      <c r="D369"/>
      <c r="E369"/>
      <c r="F369"/>
      <c r="G369"/>
      <c r="H369"/>
      <c r="I369"/>
      <c r="J369"/>
      <c r="K369"/>
      <c r="L369"/>
      <c r="M369"/>
      <c r="N369"/>
      <c r="O369"/>
      <c r="P369"/>
      <c r="Q369"/>
    </row>
    <row r="370" spans="1:17" ht="15.75" x14ac:dyDescent="0.25">
      <c r="A370"/>
      <c r="B370"/>
      <c r="C370"/>
      <c r="D370"/>
      <c r="E370"/>
      <c r="F370"/>
      <c r="G370"/>
      <c r="H370"/>
      <c r="I370"/>
      <c r="J370"/>
      <c r="K370"/>
      <c r="L370"/>
      <c r="M370"/>
      <c r="N370"/>
      <c r="O370"/>
      <c r="P370"/>
      <c r="Q370"/>
    </row>
    <row r="371" spans="1:17" ht="15.75" x14ac:dyDescent="0.25">
      <c r="A371"/>
      <c r="B371"/>
      <c r="C371"/>
      <c r="D371"/>
      <c r="E371"/>
      <c r="F371"/>
      <c r="G371"/>
      <c r="H371"/>
      <c r="I371"/>
      <c r="J371"/>
      <c r="K371"/>
      <c r="L371"/>
      <c r="M371"/>
      <c r="N371"/>
      <c r="O371"/>
      <c r="P371"/>
      <c r="Q371"/>
    </row>
    <row r="372" spans="1:17" ht="15.75" x14ac:dyDescent="0.25">
      <c r="A372"/>
      <c r="B372"/>
      <c r="C372"/>
      <c r="D372"/>
      <c r="E372"/>
      <c r="F372"/>
      <c r="G372"/>
      <c r="H372"/>
      <c r="I372"/>
      <c r="J372"/>
      <c r="K372"/>
      <c r="L372"/>
      <c r="M372"/>
      <c r="N372"/>
      <c r="O372"/>
      <c r="P372"/>
      <c r="Q372"/>
    </row>
    <row r="373" spans="1:17" ht="15.75" x14ac:dyDescent="0.25">
      <c r="A373"/>
      <c r="B373"/>
      <c r="C373"/>
      <c r="D373"/>
      <c r="E373"/>
      <c r="F373"/>
      <c r="G373"/>
      <c r="H373"/>
      <c r="I373"/>
      <c r="J373"/>
      <c r="K373"/>
      <c r="L373"/>
      <c r="M373"/>
      <c r="N373"/>
      <c r="O373"/>
      <c r="P373"/>
      <c r="Q373"/>
    </row>
    <row r="374" spans="1:17" ht="15.75" x14ac:dyDescent="0.25">
      <c r="A374"/>
      <c r="B374"/>
      <c r="C374"/>
      <c r="D374"/>
      <c r="E374"/>
      <c r="F374"/>
      <c r="G374"/>
      <c r="H374"/>
      <c r="I374"/>
      <c r="J374"/>
      <c r="K374"/>
      <c r="L374"/>
      <c r="M374"/>
      <c r="N374"/>
      <c r="O374"/>
      <c r="P374"/>
      <c r="Q374"/>
    </row>
    <row r="375" spans="1:17" ht="15.75" x14ac:dyDescent="0.25">
      <c r="A375"/>
      <c r="B375"/>
      <c r="C375"/>
      <c r="D375"/>
      <c r="E375"/>
      <c r="F375"/>
      <c r="G375"/>
      <c r="H375"/>
      <c r="I375"/>
      <c r="J375"/>
      <c r="K375"/>
      <c r="L375"/>
      <c r="M375"/>
      <c r="N375"/>
      <c r="O375"/>
      <c r="P375"/>
      <c r="Q375"/>
    </row>
    <row r="376" spans="1:17" ht="15.75" x14ac:dyDescent="0.25">
      <c r="A376"/>
      <c r="B376"/>
      <c r="C376"/>
      <c r="D376"/>
      <c r="E376"/>
      <c r="F376"/>
      <c r="G376"/>
      <c r="H376"/>
      <c r="I376"/>
      <c r="J376"/>
      <c r="K376"/>
      <c r="L376"/>
      <c r="M376"/>
      <c r="N376"/>
      <c r="O376"/>
      <c r="P376"/>
      <c r="Q376"/>
    </row>
    <row r="377" spans="1:17" ht="15.75" x14ac:dyDescent="0.25">
      <c r="A377"/>
      <c r="B377"/>
      <c r="C377"/>
      <c r="D377"/>
      <c r="E377"/>
      <c r="F377"/>
      <c r="G377"/>
      <c r="H377"/>
      <c r="I377"/>
      <c r="J377"/>
      <c r="K377"/>
      <c r="L377"/>
      <c r="M377"/>
      <c r="N377"/>
      <c r="O377"/>
      <c r="P377"/>
      <c r="Q377"/>
    </row>
    <row r="378" spans="1:17" ht="15.75" x14ac:dyDescent="0.25">
      <c r="A378"/>
      <c r="B378"/>
      <c r="C378"/>
      <c r="D378"/>
      <c r="E378"/>
      <c r="F378"/>
      <c r="G378"/>
      <c r="H378"/>
      <c r="I378"/>
      <c r="J378"/>
      <c r="K378"/>
      <c r="L378"/>
      <c r="M378"/>
      <c r="N378"/>
      <c r="O378"/>
      <c r="P378"/>
      <c r="Q378"/>
    </row>
    <row r="379" spans="1:17" ht="15.75" x14ac:dyDescent="0.25">
      <c r="A379"/>
      <c r="B379"/>
      <c r="C379"/>
      <c r="D379"/>
      <c r="E379"/>
      <c r="F379"/>
      <c r="G379"/>
      <c r="H379"/>
      <c r="I379"/>
      <c r="J379"/>
      <c r="K379"/>
      <c r="L379"/>
      <c r="M379"/>
      <c r="N379"/>
      <c r="O379"/>
      <c r="P379"/>
      <c r="Q379"/>
    </row>
    <row r="380" spans="1:17" ht="15.75" x14ac:dyDescent="0.25">
      <c r="A380"/>
      <c r="B380"/>
      <c r="C380"/>
      <c r="D380"/>
      <c r="E380"/>
      <c r="F380"/>
      <c r="G380"/>
      <c r="H380"/>
      <c r="I380"/>
      <c r="J380"/>
      <c r="K380"/>
      <c r="L380"/>
      <c r="M380"/>
      <c r="N380"/>
      <c r="O380"/>
      <c r="P380"/>
      <c r="Q380"/>
    </row>
    <row r="381" spans="1:17" ht="15.75" x14ac:dyDescent="0.25">
      <c r="A381"/>
      <c r="B381"/>
      <c r="C381"/>
      <c r="D381"/>
      <c r="E381"/>
      <c r="F381"/>
      <c r="G381"/>
      <c r="H381"/>
      <c r="I381"/>
      <c r="J381"/>
      <c r="K381"/>
      <c r="L381"/>
      <c r="M381"/>
      <c r="N381"/>
      <c r="O381"/>
      <c r="P381"/>
      <c r="Q381"/>
    </row>
    <row r="382" spans="1:17" ht="15.75" x14ac:dyDescent="0.25">
      <c r="A382"/>
      <c r="B382"/>
      <c r="C382"/>
      <c r="D382"/>
      <c r="E382"/>
      <c r="F382"/>
      <c r="G382"/>
      <c r="H382"/>
      <c r="I382"/>
      <c r="J382"/>
      <c r="K382"/>
      <c r="L382"/>
      <c r="M382"/>
      <c r="N382"/>
      <c r="O382"/>
      <c r="P382"/>
      <c r="Q382"/>
    </row>
    <row r="383" spans="1:17" ht="15.75" x14ac:dyDescent="0.25">
      <c r="A383"/>
      <c r="B383"/>
      <c r="C383"/>
      <c r="D383"/>
      <c r="E383"/>
      <c r="F383"/>
      <c r="G383"/>
      <c r="H383"/>
      <c r="I383"/>
      <c r="J383"/>
      <c r="K383"/>
      <c r="L383"/>
      <c r="M383"/>
      <c r="N383"/>
      <c r="O383"/>
      <c r="P383"/>
      <c r="Q383"/>
    </row>
    <row r="384" spans="1:17" ht="15.75" x14ac:dyDescent="0.25">
      <c r="A384"/>
      <c r="B384"/>
      <c r="C384"/>
      <c r="D384"/>
      <c r="E384"/>
      <c r="F384"/>
      <c r="G384"/>
      <c r="H384"/>
      <c r="I384"/>
      <c r="J384"/>
      <c r="K384"/>
      <c r="L384"/>
      <c r="M384"/>
      <c r="N384"/>
      <c r="O384"/>
      <c r="P384"/>
      <c r="Q384"/>
    </row>
    <row r="385" spans="1:17" ht="15.75" x14ac:dyDescent="0.25">
      <c r="A385"/>
      <c r="B385"/>
      <c r="C385"/>
      <c r="D385"/>
      <c r="E385"/>
      <c r="F385"/>
      <c r="G385"/>
      <c r="H385"/>
      <c r="I385"/>
      <c r="J385"/>
      <c r="K385"/>
      <c r="L385"/>
      <c r="M385"/>
      <c r="N385"/>
      <c r="O385"/>
      <c r="P385"/>
      <c r="Q385"/>
    </row>
    <row r="386" spans="1:17" ht="15.75" x14ac:dyDescent="0.25">
      <c r="A386"/>
      <c r="B386"/>
      <c r="C386"/>
      <c r="D386"/>
      <c r="E386"/>
      <c r="F386"/>
      <c r="G386"/>
      <c r="H386"/>
      <c r="I386"/>
      <c r="J386"/>
      <c r="K386"/>
      <c r="L386"/>
      <c r="M386"/>
      <c r="N386"/>
      <c r="O386"/>
      <c r="P386"/>
      <c r="Q386"/>
    </row>
    <row r="387" spans="1:17" ht="15.75" x14ac:dyDescent="0.25">
      <c r="A387"/>
      <c r="B387"/>
      <c r="C387"/>
      <c r="D387"/>
      <c r="E387"/>
      <c r="F387"/>
      <c r="G387"/>
      <c r="H387"/>
      <c r="I387"/>
      <c r="J387"/>
      <c r="K387"/>
      <c r="L387"/>
      <c r="M387"/>
      <c r="N387"/>
      <c r="O387"/>
      <c r="P387"/>
      <c r="Q387"/>
    </row>
    <row r="388" spans="1:17" ht="15.75" x14ac:dyDescent="0.25">
      <c r="A388"/>
      <c r="B388"/>
      <c r="C388"/>
      <c r="D388"/>
      <c r="E388"/>
      <c r="F388"/>
      <c r="G388"/>
      <c r="H388"/>
      <c r="I388"/>
      <c r="J388"/>
      <c r="K388"/>
      <c r="L388"/>
      <c r="M388"/>
      <c r="N388"/>
      <c r="O388"/>
      <c r="P388"/>
      <c r="Q388"/>
    </row>
    <row r="389" spans="1:17" ht="15.75" x14ac:dyDescent="0.25">
      <c r="A389"/>
      <c r="B389"/>
      <c r="C389"/>
      <c r="D389"/>
      <c r="E389"/>
      <c r="F389"/>
      <c r="G389"/>
      <c r="H389"/>
      <c r="I389"/>
      <c r="J389"/>
      <c r="K389"/>
      <c r="L389"/>
      <c r="M389"/>
      <c r="N389"/>
      <c r="O389"/>
      <c r="P389"/>
      <c r="Q389"/>
    </row>
    <row r="390" spans="1:17" ht="15.75" x14ac:dyDescent="0.25">
      <c r="A390"/>
      <c r="B390"/>
      <c r="C390"/>
      <c r="D390"/>
      <c r="E390"/>
      <c r="F390"/>
      <c r="G390"/>
      <c r="H390"/>
      <c r="I390"/>
      <c r="J390"/>
      <c r="K390"/>
      <c r="L390"/>
      <c r="M390"/>
      <c r="N390"/>
      <c r="O390"/>
      <c r="P390"/>
      <c r="Q390"/>
    </row>
    <row r="391" spans="1:17" ht="15.75" x14ac:dyDescent="0.25">
      <c r="A391"/>
      <c r="B391"/>
      <c r="C391"/>
      <c r="D391"/>
      <c r="E391"/>
      <c r="F391"/>
      <c r="G391"/>
      <c r="H391"/>
      <c r="I391"/>
      <c r="J391"/>
      <c r="K391"/>
      <c r="L391"/>
      <c r="M391"/>
      <c r="N391"/>
      <c r="O391"/>
      <c r="P391"/>
      <c r="Q391"/>
    </row>
    <row r="392" spans="1:17" ht="15.75" x14ac:dyDescent="0.25">
      <c r="A392"/>
      <c r="B392"/>
      <c r="C392"/>
      <c r="D392"/>
      <c r="E392"/>
      <c r="F392"/>
      <c r="G392"/>
      <c r="H392"/>
      <c r="I392"/>
      <c r="J392"/>
      <c r="K392"/>
      <c r="L392"/>
      <c r="M392"/>
      <c r="N392"/>
      <c r="O392"/>
      <c r="P392"/>
      <c r="Q392"/>
    </row>
    <row r="393" spans="1:17" ht="15.75" x14ac:dyDescent="0.25">
      <c r="A393"/>
      <c r="B393"/>
      <c r="C393"/>
      <c r="D393"/>
      <c r="E393"/>
      <c r="F393"/>
      <c r="G393"/>
      <c r="H393"/>
      <c r="I393"/>
      <c r="J393"/>
      <c r="K393"/>
      <c r="L393"/>
      <c r="M393"/>
      <c r="N393"/>
      <c r="O393"/>
      <c r="P393"/>
      <c r="Q393"/>
    </row>
    <row r="394" spans="1:17" ht="15.75" x14ac:dyDescent="0.25">
      <c r="A394"/>
      <c r="B394"/>
      <c r="C394"/>
      <c r="D394"/>
      <c r="E394"/>
      <c r="F394"/>
      <c r="G394"/>
      <c r="H394"/>
      <c r="I394"/>
      <c r="J394"/>
      <c r="K394"/>
      <c r="L394"/>
      <c r="M394"/>
      <c r="N394"/>
      <c r="O394"/>
      <c r="P394"/>
      <c r="Q394"/>
    </row>
    <row r="395" spans="1:17" ht="15.75" x14ac:dyDescent="0.25">
      <c r="A395"/>
      <c r="B395"/>
      <c r="C395"/>
      <c r="D395"/>
      <c r="E395"/>
      <c r="F395"/>
      <c r="G395"/>
      <c r="H395"/>
      <c r="I395"/>
      <c r="J395"/>
      <c r="K395"/>
      <c r="L395"/>
      <c r="M395"/>
      <c r="N395"/>
      <c r="O395"/>
      <c r="P395"/>
      <c r="Q395"/>
    </row>
    <row r="396" spans="1:17" ht="15.75" x14ac:dyDescent="0.25">
      <c r="A396"/>
      <c r="B396"/>
      <c r="C396"/>
      <c r="D396"/>
      <c r="E396"/>
      <c r="F396"/>
      <c r="G396"/>
      <c r="H396"/>
      <c r="I396"/>
      <c r="J396"/>
      <c r="K396"/>
      <c r="L396"/>
      <c r="M396"/>
      <c r="N396"/>
      <c r="O396"/>
      <c r="P396"/>
      <c r="Q396"/>
    </row>
    <row r="397" spans="1:17" ht="15.75" x14ac:dyDescent="0.25">
      <c r="A397"/>
      <c r="B397"/>
      <c r="C397"/>
      <c r="D397"/>
      <c r="E397"/>
      <c r="F397"/>
      <c r="G397"/>
      <c r="H397"/>
      <c r="I397"/>
      <c r="J397"/>
      <c r="K397"/>
      <c r="L397"/>
      <c r="M397"/>
      <c r="N397"/>
      <c r="O397"/>
      <c r="P397"/>
      <c r="Q397"/>
    </row>
    <row r="398" spans="1:17" ht="15.75" x14ac:dyDescent="0.25">
      <c r="A398"/>
      <c r="B398"/>
      <c r="C398"/>
      <c r="D398"/>
      <c r="E398"/>
      <c r="F398"/>
      <c r="G398"/>
      <c r="H398"/>
      <c r="I398"/>
      <c r="J398"/>
      <c r="K398"/>
      <c r="L398"/>
      <c r="M398"/>
      <c r="N398"/>
      <c r="O398"/>
      <c r="P398"/>
      <c r="Q398"/>
    </row>
    <row r="399" spans="1:17" ht="15.75" x14ac:dyDescent="0.25">
      <c r="A399"/>
      <c r="B399"/>
      <c r="C399"/>
      <c r="D399"/>
      <c r="E399"/>
      <c r="F399"/>
      <c r="G399"/>
      <c r="H399"/>
      <c r="I399"/>
      <c r="J399"/>
      <c r="K399"/>
      <c r="L399"/>
      <c r="M399"/>
      <c r="N399"/>
      <c r="O399"/>
      <c r="P399"/>
      <c r="Q399"/>
    </row>
    <row r="400" spans="1:17" ht="15.75" x14ac:dyDescent="0.25">
      <c r="A400"/>
      <c r="B400"/>
      <c r="C400"/>
      <c r="D400"/>
      <c r="E400"/>
      <c r="F400"/>
      <c r="G400"/>
      <c r="H400"/>
      <c r="I400"/>
      <c r="J400"/>
      <c r="K400"/>
      <c r="L400"/>
      <c r="M400"/>
      <c r="N400"/>
      <c r="O400"/>
      <c r="P400"/>
      <c r="Q400"/>
    </row>
    <row r="401" spans="1:17" ht="15.75" x14ac:dyDescent="0.25">
      <c r="A401"/>
      <c r="B401"/>
      <c r="C401"/>
      <c r="D401"/>
      <c r="E401"/>
      <c r="F401"/>
      <c r="G401"/>
      <c r="H401"/>
      <c r="I401"/>
      <c r="J401"/>
      <c r="K401"/>
      <c r="L401"/>
      <c r="M401"/>
      <c r="N401"/>
      <c r="O401"/>
      <c r="P401"/>
      <c r="Q401"/>
    </row>
    <row r="402" spans="1:17" ht="15.75" x14ac:dyDescent="0.25">
      <c r="A402"/>
      <c r="B402"/>
      <c r="C402"/>
      <c r="D402"/>
      <c r="E402"/>
      <c r="F402"/>
      <c r="G402"/>
      <c r="H402"/>
      <c r="I402"/>
      <c r="J402"/>
      <c r="K402"/>
      <c r="L402"/>
      <c r="M402"/>
      <c r="N402"/>
      <c r="O402"/>
      <c r="P402"/>
      <c r="Q402"/>
    </row>
    <row r="403" spans="1:17" ht="15.75" x14ac:dyDescent="0.25">
      <c r="A403"/>
      <c r="B403"/>
      <c r="C403"/>
      <c r="D403"/>
      <c r="E403"/>
      <c r="F403"/>
      <c r="G403"/>
      <c r="H403"/>
      <c r="I403"/>
      <c r="J403"/>
      <c r="K403"/>
      <c r="L403"/>
      <c r="M403"/>
      <c r="N403"/>
      <c r="O403"/>
      <c r="P403"/>
      <c r="Q403"/>
    </row>
    <row r="404" spans="1:17" ht="15.75" x14ac:dyDescent="0.25">
      <c r="A404"/>
      <c r="B404"/>
      <c r="C404"/>
      <c r="D404"/>
      <c r="E404"/>
      <c r="F404"/>
      <c r="G404"/>
      <c r="H404"/>
      <c r="I404"/>
      <c r="J404"/>
      <c r="K404"/>
      <c r="L404"/>
      <c r="M404"/>
      <c r="N404"/>
      <c r="O404"/>
      <c r="P404"/>
      <c r="Q404"/>
    </row>
    <row r="405" spans="1:17" ht="15.75" x14ac:dyDescent="0.25">
      <c r="A405"/>
      <c r="B405"/>
      <c r="C405"/>
      <c r="D405"/>
      <c r="E405"/>
      <c r="F405"/>
      <c r="G405"/>
      <c r="H405"/>
      <c r="I405"/>
      <c r="J405"/>
      <c r="K405"/>
      <c r="L405"/>
      <c r="M405"/>
      <c r="N405"/>
      <c r="O405"/>
      <c r="P405"/>
      <c r="Q405"/>
    </row>
    <row r="406" spans="1:17" ht="15.75" x14ac:dyDescent="0.25">
      <c r="A406"/>
      <c r="B406"/>
      <c r="C406"/>
      <c r="D406"/>
      <c r="E406"/>
      <c r="F406"/>
      <c r="G406"/>
      <c r="H406"/>
      <c r="I406"/>
      <c r="J406"/>
      <c r="K406"/>
      <c r="L406"/>
      <c r="M406"/>
      <c r="N406"/>
      <c r="O406"/>
      <c r="P406"/>
      <c r="Q406"/>
    </row>
    <row r="407" spans="1:17" ht="15.75" x14ac:dyDescent="0.25">
      <c r="A407"/>
      <c r="B407"/>
      <c r="C407"/>
      <c r="D407"/>
      <c r="E407"/>
      <c r="F407"/>
      <c r="G407"/>
      <c r="H407"/>
      <c r="I407"/>
      <c r="J407"/>
      <c r="K407"/>
      <c r="L407"/>
      <c r="M407"/>
      <c r="N407"/>
      <c r="O407"/>
      <c r="P407"/>
      <c r="Q407"/>
    </row>
    <row r="408" spans="1:17" ht="15.75" x14ac:dyDescent="0.25">
      <c r="A408"/>
      <c r="B408"/>
      <c r="C408"/>
      <c r="D408"/>
      <c r="E408"/>
      <c r="F408"/>
      <c r="G408"/>
      <c r="H408"/>
      <c r="I408"/>
      <c r="J408"/>
      <c r="K408"/>
      <c r="L408"/>
      <c r="M408"/>
      <c r="N408"/>
      <c r="O408"/>
      <c r="P408"/>
      <c r="Q408"/>
    </row>
    <row r="409" spans="1:17" ht="15.75" x14ac:dyDescent="0.25">
      <c r="A409"/>
      <c r="B409"/>
      <c r="C409"/>
      <c r="D409"/>
      <c r="E409"/>
      <c r="F409"/>
      <c r="G409"/>
      <c r="H409"/>
      <c r="I409"/>
      <c r="J409"/>
      <c r="K409"/>
      <c r="L409"/>
      <c r="M409"/>
      <c r="N409"/>
      <c r="O409"/>
      <c r="P409"/>
      <c r="Q409"/>
    </row>
    <row r="410" spans="1:17" ht="15.75" x14ac:dyDescent="0.25">
      <c r="A410"/>
      <c r="B410"/>
      <c r="C410"/>
      <c r="D410"/>
      <c r="E410"/>
      <c r="F410"/>
      <c r="G410"/>
      <c r="H410"/>
      <c r="I410"/>
      <c r="J410"/>
      <c r="K410"/>
      <c r="L410"/>
      <c r="M410"/>
      <c r="N410"/>
      <c r="O410"/>
      <c r="P410"/>
      <c r="Q410"/>
    </row>
    <row r="411" spans="1:17" ht="15.75" x14ac:dyDescent="0.25">
      <c r="A411"/>
      <c r="B411"/>
      <c r="C411"/>
      <c r="D411"/>
      <c r="E411"/>
      <c r="F411"/>
      <c r="G411"/>
      <c r="H411"/>
      <c r="I411"/>
      <c r="J411"/>
      <c r="K411"/>
      <c r="L411"/>
      <c r="M411"/>
      <c r="N411"/>
      <c r="O411"/>
      <c r="P411"/>
      <c r="Q411"/>
    </row>
    <row r="412" spans="1:17" ht="15.75" x14ac:dyDescent="0.25">
      <c r="A412"/>
      <c r="B412"/>
      <c r="C412"/>
      <c r="D412"/>
      <c r="E412"/>
      <c r="F412"/>
      <c r="G412"/>
      <c r="H412"/>
      <c r="I412"/>
      <c r="J412"/>
      <c r="K412"/>
      <c r="L412"/>
      <c r="M412"/>
      <c r="N412"/>
      <c r="O412"/>
      <c r="P412"/>
      <c r="Q412"/>
    </row>
    <row r="413" spans="1:17" ht="15.75" x14ac:dyDescent="0.25">
      <c r="A413"/>
      <c r="B413"/>
      <c r="C413"/>
      <c r="D413"/>
      <c r="E413"/>
      <c r="F413"/>
      <c r="G413"/>
      <c r="H413"/>
      <c r="I413"/>
      <c r="J413"/>
      <c r="K413"/>
      <c r="L413"/>
      <c r="M413"/>
      <c r="N413"/>
      <c r="O413"/>
      <c r="P413"/>
      <c r="Q413"/>
    </row>
    <row r="414" spans="1:17" ht="15.75" x14ac:dyDescent="0.25">
      <c r="A414"/>
      <c r="B414"/>
      <c r="C414"/>
      <c r="D414"/>
      <c r="E414"/>
      <c r="F414"/>
      <c r="G414"/>
      <c r="H414"/>
      <c r="I414"/>
      <c r="J414"/>
      <c r="K414"/>
      <c r="L414"/>
      <c r="M414"/>
      <c r="N414"/>
      <c r="O414"/>
      <c r="P414"/>
      <c r="Q414"/>
    </row>
    <row r="415" spans="1:17" ht="15.75" x14ac:dyDescent="0.25">
      <c r="A415"/>
      <c r="B415"/>
      <c r="C415"/>
      <c r="D415"/>
      <c r="E415"/>
      <c r="F415"/>
      <c r="G415"/>
      <c r="H415"/>
      <c r="I415"/>
      <c r="J415"/>
      <c r="K415"/>
      <c r="L415"/>
      <c r="M415"/>
      <c r="N415"/>
      <c r="O415"/>
      <c r="P415"/>
      <c r="Q415"/>
    </row>
    <row r="416" spans="1:17" ht="15.75" x14ac:dyDescent="0.25">
      <c r="A416"/>
      <c r="B416"/>
      <c r="C416"/>
      <c r="D416"/>
      <c r="E416"/>
      <c r="F416"/>
      <c r="G416"/>
      <c r="H416"/>
      <c r="I416"/>
      <c r="J416"/>
      <c r="K416"/>
      <c r="L416"/>
      <c r="M416"/>
      <c r="N416"/>
      <c r="O416"/>
      <c r="P416"/>
      <c r="Q416"/>
    </row>
    <row r="417" spans="1:17" ht="15.75" x14ac:dyDescent="0.25">
      <c r="A417"/>
      <c r="B417"/>
      <c r="C417"/>
      <c r="D417"/>
      <c r="E417"/>
      <c r="F417"/>
      <c r="G417"/>
      <c r="H417"/>
      <c r="I417"/>
      <c r="J417"/>
      <c r="K417"/>
      <c r="L417"/>
      <c r="M417"/>
      <c r="N417"/>
      <c r="O417"/>
      <c r="P417"/>
      <c r="Q417"/>
    </row>
    <row r="418" spans="1:17" ht="15.75" x14ac:dyDescent="0.25">
      <c r="A418"/>
      <c r="B418"/>
      <c r="C418"/>
      <c r="D418"/>
      <c r="E418"/>
      <c r="F418"/>
      <c r="G418"/>
      <c r="H418"/>
      <c r="I418"/>
      <c r="J418"/>
      <c r="K418"/>
      <c r="L418"/>
      <c r="M418"/>
      <c r="N418"/>
      <c r="O418"/>
      <c r="P418"/>
      <c r="Q418"/>
    </row>
    <row r="419" spans="1:17" ht="15.75" x14ac:dyDescent="0.25">
      <c r="A419"/>
      <c r="B419"/>
      <c r="C419"/>
      <c r="D419"/>
      <c r="E419"/>
      <c r="F419"/>
      <c r="G419"/>
      <c r="H419"/>
      <c r="I419"/>
      <c r="J419"/>
      <c r="K419"/>
      <c r="L419"/>
      <c r="M419"/>
      <c r="N419"/>
      <c r="O419"/>
      <c r="P419"/>
      <c r="Q419"/>
    </row>
    <row r="420" spans="1:17" ht="15.75" x14ac:dyDescent="0.25">
      <c r="A420"/>
      <c r="B420"/>
      <c r="C420"/>
      <c r="D420"/>
      <c r="E420"/>
      <c r="F420"/>
      <c r="G420"/>
      <c r="H420"/>
      <c r="I420"/>
      <c r="J420"/>
      <c r="K420"/>
      <c r="L420"/>
      <c r="M420"/>
      <c r="N420"/>
      <c r="O420"/>
      <c r="P420"/>
      <c r="Q420"/>
    </row>
    <row r="421" spans="1:17" ht="15.75" x14ac:dyDescent="0.25">
      <c r="A421"/>
      <c r="B421"/>
      <c r="C421"/>
      <c r="D421"/>
      <c r="E421"/>
      <c r="F421"/>
      <c r="G421"/>
      <c r="H421"/>
      <c r="I421"/>
      <c r="J421"/>
      <c r="K421"/>
      <c r="L421"/>
      <c r="M421"/>
      <c r="N421"/>
      <c r="O421"/>
      <c r="P421"/>
      <c r="Q421"/>
    </row>
    <row r="422" spans="1:17" ht="15.75" x14ac:dyDescent="0.25">
      <c r="A422"/>
      <c r="B422"/>
      <c r="C422"/>
      <c r="D422"/>
      <c r="E422"/>
      <c r="F422"/>
      <c r="G422"/>
      <c r="H422"/>
      <c r="I422"/>
      <c r="J422"/>
      <c r="K422"/>
      <c r="L422"/>
      <c r="M422"/>
      <c r="N422"/>
      <c r="O422"/>
      <c r="P422"/>
      <c r="Q422"/>
    </row>
    <row r="423" spans="1:17" ht="15.75" x14ac:dyDescent="0.25">
      <c r="A423"/>
      <c r="B423"/>
      <c r="C423"/>
      <c r="D423"/>
      <c r="E423"/>
      <c r="F423"/>
      <c r="G423"/>
      <c r="H423"/>
      <c r="I423"/>
      <c r="J423"/>
      <c r="K423"/>
      <c r="L423"/>
      <c r="M423"/>
      <c r="N423"/>
      <c r="O423"/>
      <c r="P423"/>
      <c r="Q423"/>
    </row>
    <row r="424" spans="1:17" ht="15.75" x14ac:dyDescent="0.25">
      <c r="A424"/>
      <c r="B424"/>
      <c r="C424"/>
      <c r="D424"/>
      <c r="E424"/>
      <c r="F424"/>
      <c r="G424"/>
      <c r="H424"/>
      <c r="I424"/>
      <c r="J424"/>
      <c r="K424"/>
      <c r="L424"/>
      <c r="M424"/>
      <c r="N424"/>
      <c r="O424"/>
      <c r="P424"/>
      <c r="Q424"/>
    </row>
    <row r="425" spans="1:17" ht="15.75" x14ac:dyDescent="0.25">
      <c r="A425"/>
      <c r="B425"/>
      <c r="C425"/>
      <c r="D425"/>
      <c r="E425"/>
      <c r="F425"/>
      <c r="G425"/>
      <c r="H425"/>
      <c r="I425"/>
      <c r="J425"/>
      <c r="K425"/>
      <c r="L425"/>
      <c r="M425"/>
      <c r="N425"/>
      <c r="O425"/>
      <c r="P425"/>
      <c r="Q425"/>
    </row>
    <row r="426" spans="1:17" ht="15.75" x14ac:dyDescent="0.25">
      <c r="A426"/>
      <c r="B426"/>
      <c r="C426"/>
      <c r="D426"/>
      <c r="E426"/>
      <c r="F426"/>
      <c r="G426"/>
      <c r="H426"/>
      <c r="I426"/>
      <c r="J426"/>
      <c r="K426"/>
      <c r="L426"/>
      <c r="M426"/>
      <c r="N426"/>
      <c r="O426"/>
      <c r="P426"/>
      <c r="Q426"/>
    </row>
    <row r="427" spans="1:17" ht="15.75" x14ac:dyDescent="0.25">
      <c r="A427"/>
      <c r="B427"/>
      <c r="C427"/>
      <c r="D427"/>
      <c r="E427"/>
      <c r="F427"/>
      <c r="G427"/>
      <c r="H427"/>
      <c r="I427"/>
      <c r="J427"/>
      <c r="K427"/>
      <c r="L427"/>
      <c r="M427"/>
      <c r="N427"/>
      <c r="O427"/>
      <c r="P427"/>
      <c r="Q427"/>
    </row>
    <row r="428" spans="1:17" ht="15.75" x14ac:dyDescent="0.25">
      <c r="A428"/>
      <c r="B428"/>
      <c r="C428"/>
      <c r="D428"/>
      <c r="E428"/>
      <c r="F428"/>
      <c r="G428"/>
      <c r="H428"/>
      <c r="I428"/>
      <c r="J428"/>
      <c r="K428"/>
      <c r="L428"/>
      <c r="M428"/>
      <c r="N428"/>
      <c r="O428"/>
      <c r="P428"/>
      <c r="Q428"/>
    </row>
    <row r="429" spans="1:17" ht="15.75" x14ac:dyDescent="0.25">
      <c r="A429"/>
      <c r="B429"/>
      <c r="C429"/>
      <c r="D429"/>
      <c r="E429"/>
      <c r="F429"/>
      <c r="G429"/>
      <c r="H429"/>
      <c r="I429"/>
      <c r="J429"/>
      <c r="K429"/>
      <c r="L429"/>
      <c r="M429"/>
      <c r="N429"/>
      <c r="O429"/>
      <c r="P429"/>
      <c r="Q429"/>
    </row>
    <row r="430" spans="1:17" ht="15.75" x14ac:dyDescent="0.25">
      <c r="A430"/>
      <c r="B430"/>
      <c r="C430"/>
      <c r="D430"/>
      <c r="E430"/>
      <c r="F430"/>
      <c r="G430"/>
      <c r="H430"/>
      <c r="I430"/>
      <c r="J430"/>
      <c r="K430"/>
      <c r="L430"/>
      <c r="M430"/>
      <c r="N430"/>
      <c r="O430"/>
      <c r="P430"/>
      <c r="Q430"/>
    </row>
    <row r="431" spans="1:17" ht="15.75" x14ac:dyDescent="0.25">
      <c r="A431"/>
      <c r="B431"/>
      <c r="C431"/>
      <c r="D431"/>
      <c r="E431"/>
      <c r="F431"/>
      <c r="G431"/>
      <c r="H431"/>
      <c r="I431"/>
      <c r="J431"/>
      <c r="K431"/>
      <c r="L431"/>
      <c r="M431"/>
      <c r="N431"/>
      <c r="O431"/>
      <c r="P431"/>
      <c r="Q431"/>
    </row>
    <row r="432" spans="1:17" ht="15.75" x14ac:dyDescent="0.25">
      <c r="A432"/>
      <c r="B432"/>
      <c r="C432"/>
      <c r="D432"/>
      <c r="E432"/>
      <c r="F432"/>
      <c r="G432"/>
      <c r="H432"/>
      <c r="I432"/>
      <c r="J432"/>
      <c r="K432"/>
      <c r="L432"/>
      <c r="M432"/>
      <c r="N432"/>
      <c r="O432"/>
      <c r="P432"/>
      <c r="Q432"/>
    </row>
    <row r="433" spans="1:17" ht="15.75" x14ac:dyDescent="0.25">
      <c r="A433"/>
      <c r="B433"/>
      <c r="C433"/>
      <c r="D433"/>
      <c r="E433"/>
      <c r="F433"/>
      <c r="G433"/>
      <c r="H433"/>
      <c r="I433"/>
      <c r="J433"/>
      <c r="K433"/>
      <c r="L433"/>
      <c r="M433"/>
      <c r="N433"/>
      <c r="O433"/>
      <c r="P433"/>
      <c r="Q433"/>
    </row>
    <row r="434" spans="1:17" ht="15.75" x14ac:dyDescent="0.25">
      <c r="A434"/>
      <c r="B434"/>
      <c r="C434"/>
      <c r="D434"/>
      <c r="E434"/>
      <c r="F434"/>
      <c r="G434"/>
      <c r="H434"/>
      <c r="I434"/>
      <c r="J434"/>
      <c r="K434"/>
      <c r="L434"/>
      <c r="M434"/>
      <c r="N434"/>
      <c r="O434"/>
      <c r="P434"/>
      <c r="Q434"/>
    </row>
    <row r="435" spans="1:17" ht="15.75" x14ac:dyDescent="0.25">
      <c r="A435"/>
      <c r="B435"/>
      <c r="C435"/>
      <c r="D435"/>
      <c r="E435"/>
      <c r="F435"/>
      <c r="G435"/>
      <c r="H435"/>
      <c r="I435"/>
      <c r="J435"/>
      <c r="K435"/>
      <c r="L435"/>
      <c r="M435"/>
      <c r="N435"/>
      <c r="O435"/>
      <c r="P435"/>
      <c r="Q435"/>
    </row>
    <row r="436" spans="1:17" ht="15.75" x14ac:dyDescent="0.25">
      <c r="A436"/>
      <c r="B436"/>
      <c r="C436"/>
      <c r="D436"/>
      <c r="E436"/>
      <c r="F436"/>
      <c r="G436"/>
      <c r="H436"/>
      <c r="I436"/>
      <c r="J436"/>
      <c r="K436"/>
      <c r="L436"/>
      <c r="M436"/>
      <c r="N436"/>
      <c r="O436"/>
      <c r="P436"/>
      <c r="Q436"/>
    </row>
    <row r="437" spans="1:17" ht="15.75" x14ac:dyDescent="0.25">
      <c r="A437"/>
      <c r="B437"/>
      <c r="C437"/>
      <c r="D437"/>
      <c r="E437"/>
      <c r="F437"/>
      <c r="G437"/>
      <c r="H437"/>
      <c r="I437"/>
      <c r="J437"/>
      <c r="K437"/>
      <c r="L437"/>
      <c r="M437"/>
      <c r="N437"/>
      <c r="O437"/>
      <c r="P437"/>
      <c r="Q437"/>
    </row>
    <row r="438" spans="1:17" ht="15.75" x14ac:dyDescent="0.25">
      <c r="A438"/>
      <c r="B438"/>
      <c r="C438"/>
      <c r="D438"/>
      <c r="E438"/>
      <c r="F438"/>
      <c r="G438"/>
      <c r="H438"/>
      <c r="I438"/>
      <c r="J438"/>
      <c r="K438"/>
      <c r="L438"/>
      <c r="M438"/>
      <c r="N438"/>
      <c r="O438"/>
      <c r="P438"/>
      <c r="Q438"/>
    </row>
    <row r="439" spans="1:17" ht="15.75" x14ac:dyDescent="0.25">
      <c r="A439"/>
      <c r="B439"/>
      <c r="C439"/>
      <c r="D439"/>
      <c r="E439"/>
      <c r="F439"/>
      <c r="G439"/>
      <c r="H439"/>
      <c r="I439"/>
      <c r="J439"/>
      <c r="K439"/>
      <c r="L439"/>
      <c r="M439"/>
      <c r="N439"/>
      <c r="O439"/>
      <c r="P439"/>
      <c r="Q439"/>
    </row>
    <row r="440" spans="1:17" ht="15.75" x14ac:dyDescent="0.25">
      <c r="A440"/>
      <c r="B440"/>
      <c r="C440"/>
      <c r="D440"/>
      <c r="E440"/>
      <c r="F440"/>
      <c r="G440"/>
      <c r="H440"/>
      <c r="I440"/>
      <c r="J440"/>
      <c r="K440"/>
      <c r="L440"/>
      <c r="M440"/>
      <c r="N440"/>
      <c r="O440"/>
      <c r="P440"/>
      <c r="Q440"/>
    </row>
    <row r="441" spans="1:17" ht="15.75" x14ac:dyDescent="0.25">
      <c r="A441"/>
      <c r="B441"/>
      <c r="C441"/>
      <c r="D441"/>
      <c r="E441"/>
      <c r="F441"/>
      <c r="G441"/>
      <c r="H441"/>
      <c r="I441"/>
      <c r="J441"/>
      <c r="K441"/>
      <c r="L441"/>
      <c r="M441"/>
      <c r="N441"/>
      <c r="O441"/>
      <c r="P441"/>
      <c r="Q441"/>
    </row>
    <row r="442" spans="1:17" ht="15.75" x14ac:dyDescent="0.25">
      <c r="A442"/>
      <c r="B442"/>
      <c r="C442"/>
      <c r="D442"/>
      <c r="E442"/>
      <c r="F442"/>
      <c r="G442"/>
      <c r="H442"/>
      <c r="I442"/>
      <c r="J442"/>
      <c r="K442"/>
      <c r="L442"/>
      <c r="M442"/>
      <c r="N442"/>
      <c r="O442"/>
      <c r="P442"/>
      <c r="Q442"/>
    </row>
    <row r="443" spans="1:17" ht="15.75" x14ac:dyDescent="0.25">
      <c r="A443"/>
      <c r="B443"/>
      <c r="C443"/>
      <c r="D443"/>
      <c r="E443"/>
      <c r="F443"/>
      <c r="G443"/>
      <c r="H443"/>
      <c r="I443"/>
      <c r="J443"/>
      <c r="K443"/>
      <c r="L443"/>
      <c r="M443"/>
      <c r="N443"/>
      <c r="O443"/>
      <c r="P443"/>
      <c r="Q443"/>
    </row>
    <row r="444" spans="1:17" ht="15.75" x14ac:dyDescent="0.25">
      <c r="A444"/>
      <c r="B444"/>
      <c r="C444"/>
      <c r="D444"/>
      <c r="E444"/>
      <c r="F444"/>
      <c r="G444"/>
      <c r="H444"/>
      <c r="I444"/>
      <c r="J444"/>
      <c r="K444"/>
      <c r="L444"/>
      <c r="M444"/>
      <c r="N444"/>
      <c r="O444"/>
      <c r="P444"/>
      <c r="Q444"/>
    </row>
    <row r="445" spans="1:17" ht="15.75" x14ac:dyDescent="0.25">
      <c r="A445"/>
      <c r="B445"/>
      <c r="C445"/>
      <c r="D445"/>
      <c r="E445"/>
      <c r="F445"/>
      <c r="G445"/>
      <c r="H445"/>
      <c r="I445"/>
      <c r="J445"/>
      <c r="K445"/>
      <c r="L445"/>
      <c r="M445"/>
      <c r="N445"/>
      <c r="O445"/>
      <c r="P445"/>
      <c r="Q445"/>
    </row>
    <row r="446" spans="1:17" ht="15.75" x14ac:dyDescent="0.25">
      <c r="A446"/>
      <c r="B446"/>
      <c r="C446"/>
      <c r="D446"/>
      <c r="E446"/>
      <c r="F446"/>
      <c r="G446"/>
      <c r="H446"/>
      <c r="I446"/>
      <c r="J446"/>
      <c r="K446"/>
      <c r="L446"/>
      <c r="M446"/>
      <c r="N446"/>
      <c r="O446"/>
      <c r="P446"/>
      <c r="Q446"/>
    </row>
    <row r="447" spans="1:17" ht="15.75" x14ac:dyDescent="0.25">
      <c r="A447"/>
      <c r="B447"/>
      <c r="C447"/>
      <c r="D447"/>
      <c r="E447"/>
      <c r="F447"/>
      <c r="G447"/>
      <c r="H447"/>
      <c r="I447"/>
      <c r="J447"/>
      <c r="K447"/>
      <c r="L447"/>
      <c r="M447"/>
      <c r="N447"/>
      <c r="O447"/>
      <c r="P447"/>
      <c r="Q447"/>
    </row>
    <row r="448" spans="1:17" ht="15.75" x14ac:dyDescent="0.25">
      <c r="A448"/>
      <c r="B448"/>
      <c r="C448"/>
      <c r="D448"/>
      <c r="E448"/>
      <c r="F448"/>
      <c r="G448"/>
      <c r="H448"/>
      <c r="I448"/>
      <c r="J448"/>
      <c r="K448"/>
      <c r="L448"/>
      <c r="M448"/>
      <c r="N448"/>
      <c r="O448"/>
      <c r="P448"/>
      <c r="Q448"/>
    </row>
    <row r="449" spans="1:17" ht="15.75" x14ac:dyDescent="0.25">
      <c r="A449"/>
      <c r="B449"/>
      <c r="C449"/>
      <c r="D449"/>
      <c r="E449"/>
      <c r="F449"/>
      <c r="G449"/>
      <c r="H449"/>
      <c r="I449"/>
      <c r="J449"/>
      <c r="K449"/>
      <c r="L449"/>
      <c r="M449"/>
      <c r="N449"/>
      <c r="O449"/>
      <c r="P449"/>
      <c r="Q449"/>
    </row>
    <row r="450" spans="1:17" ht="15.75" x14ac:dyDescent="0.25">
      <c r="A450"/>
      <c r="B450"/>
      <c r="C450"/>
      <c r="D450"/>
      <c r="E450"/>
      <c r="F450"/>
      <c r="G450"/>
      <c r="H450"/>
      <c r="I450"/>
      <c r="J450"/>
      <c r="K450"/>
      <c r="L450"/>
      <c r="M450"/>
      <c r="N450"/>
      <c r="O450"/>
      <c r="P450"/>
      <c r="Q450"/>
    </row>
    <row r="451" spans="1:17" ht="15.75" x14ac:dyDescent="0.25">
      <c r="A451"/>
      <c r="B451"/>
      <c r="C451"/>
      <c r="D451"/>
      <c r="E451"/>
      <c r="F451"/>
      <c r="G451"/>
      <c r="H451"/>
      <c r="I451"/>
      <c r="J451"/>
      <c r="K451"/>
      <c r="L451"/>
      <c r="M451"/>
      <c r="N451"/>
      <c r="O451"/>
      <c r="P451"/>
      <c r="Q451"/>
    </row>
    <row r="452" spans="1:17" ht="15.75" x14ac:dyDescent="0.25">
      <c r="A452"/>
      <c r="B452"/>
      <c r="C452"/>
      <c r="D452"/>
      <c r="E452"/>
      <c r="F452"/>
      <c r="G452"/>
      <c r="H452"/>
      <c r="I452"/>
      <c r="J452"/>
      <c r="K452"/>
      <c r="L452"/>
      <c r="M452"/>
      <c r="N452"/>
      <c r="O452"/>
      <c r="P452"/>
      <c r="Q452"/>
    </row>
    <row r="453" spans="1:17" ht="15.75" x14ac:dyDescent="0.25">
      <c r="A453"/>
      <c r="B453"/>
      <c r="C453"/>
      <c r="D453"/>
      <c r="E453"/>
      <c r="F453"/>
      <c r="G453"/>
      <c r="H453"/>
      <c r="I453"/>
      <c r="J453"/>
      <c r="K453"/>
      <c r="L453"/>
      <c r="M453"/>
      <c r="N453"/>
      <c r="O453"/>
      <c r="P453"/>
      <c r="Q453"/>
    </row>
    <row r="454" spans="1:17" ht="15.75" x14ac:dyDescent="0.25">
      <c r="A454"/>
      <c r="B454"/>
      <c r="C454"/>
      <c r="D454"/>
      <c r="E454"/>
      <c r="F454"/>
      <c r="G454"/>
      <c r="H454"/>
      <c r="I454"/>
      <c r="J454"/>
      <c r="K454"/>
      <c r="L454"/>
      <c r="M454"/>
      <c r="N454"/>
      <c r="O454"/>
      <c r="P454"/>
      <c r="Q454"/>
    </row>
    <row r="455" spans="1:17" ht="15.75" x14ac:dyDescent="0.25">
      <c r="A455"/>
      <c r="B455"/>
      <c r="C455"/>
      <c r="D455"/>
      <c r="E455"/>
      <c r="F455"/>
      <c r="G455"/>
      <c r="H455"/>
      <c r="I455"/>
      <c r="J455"/>
      <c r="K455"/>
      <c r="L455"/>
      <c r="M455"/>
      <c r="N455"/>
      <c r="O455"/>
      <c r="P455"/>
      <c r="Q455"/>
    </row>
    <row r="456" spans="1:17" ht="15.75" x14ac:dyDescent="0.25">
      <c r="A456"/>
      <c r="B456"/>
      <c r="C456"/>
      <c r="D456"/>
      <c r="E456"/>
      <c r="F456"/>
      <c r="G456"/>
      <c r="H456"/>
      <c r="I456"/>
      <c r="J456"/>
      <c r="K456"/>
      <c r="L456"/>
      <c r="M456"/>
      <c r="N456"/>
      <c r="O456"/>
      <c r="P456"/>
      <c r="Q456"/>
    </row>
    <row r="457" spans="1:17" ht="15.75" x14ac:dyDescent="0.25">
      <c r="A457"/>
      <c r="B457"/>
      <c r="C457"/>
      <c r="D457"/>
      <c r="E457"/>
      <c r="F457"/>
      <c r="G457"/>
      <c r="H457"/>
      <c r="I457"/>
      <c r="J457"/>
      <c r="K457"/>
      <c r="L457"/>
      <c r="M457"/>
      <c r="N457"/>
      <c r="O457"/>
      <c r="P457"/>
      <c r="Q457"/>
    </row>
    <row r="458" spans="1:17" ht="15.75" x14ac:dyDescent="0.25">
      <c r="A458"/>
      <c r="B458"/>
      <c r="C458"/>
      <c r="D458"/>
      <c r="E458"/>
      <c r="F458"/>
      <c r="G458"/>
      <c r="H458"/>
      <c r="I458"/>
      <c r="J458"/>
      <c r="K458"/>
      <c r="L458"/>
      <c r="M458"/>
      <c r="N458"/>
      <c r="O458"/>
      <c r="P458"/>
      <c r="Q458"/>
    </row>
    <row r="459" spans="1:17" ht="15.75" x14ac:dyDescent="0.25">
      <c r="A459"/>
      <c r="B459"/>
      <c r="C459"/>
      <c r="D459"/>
      <c r="E459"/>
      <c r="F459"/>
      <c r="G459"/>
      <c r="H459"/>
      <c r="I459"/>
      <c r="J459"/>
      <c r="K459"/>
      <c r="L459"/>
      <c r="M459"/>
      <c r="N459"/>
      <c r="O459"/>
      <c r="P459"/>
      <c r="Q459"/>
    </row>
    <row r="460" spans="1:17" ht="15.75" x14ac:dyDescent="0.25">
      <c r="A460"/>
      <c r="B460"/>
      <c r="C460"/>
      <c r="D460"/>
      <c r="E460"/>
      <c r="F460"/>
      <c r="G460"/>
      <c r="H460"/>
      <c r="I460"/>
      <c r="J460"/>
      <c r="K460"/>
      <c r="L460"/>
      <c r="M460"/>
      <c r="N460"/>
      <c r="O460"/>
      <c r="P460"/>
      <c r="Q460"/>
    </row>
    <row r="461" spans="1:17" ht="15.75" x14ac:dyDescent="0.25">
      <c r="A461"/>
      <c r="B461"/>
      <c r="C461"/>
      <c r="D461"/>
      <c r="E461"/>
      <c r="F461"/>
      <c r="G461"/>
      <c r="H461"/>
      <c r="I461"/>
      <c r="J461"/>
      <c r="K461"/>
      <c r="L461"/>
      <c r="M461"/>
      <c r="N461"/>
      <c r="O461"/>
      <c r="P461"/>
      <c r="Q461"/>
    </row>
    <row r="462" spans="1:17" ht="15.75" x14ac:dyDescent="0.25">
      <c r="A462"/>
      <c r="B462"/>
      <c r="C462"/>
      <c r="D462"/>
      <c r="E462"/>
      <c r="F462"/>
      <c r="G462"/>
      <c r="H462"/>
      <c r="I462"/>
      <c r="J462"/>
      <c r="K462"/>
      <c r="L462"/>
      <c r="M462"/>
      <c r="N462"/>
      <c r="O462"/>
      <c r="P462"/>
      <c r="Q462"/>
    </row>
    <row r="463" spans="1:17" ht="15.75" x14ac:dyDescent="0.25">
      <c r="A463"/>
      <c r="B463"/>
      <c r="C463"/>
      <c r="D463"/>
      <c r="E463"/>
      <c r="F463"/>
      <c r="G463"/>
      <c r="H463"/>
      <c r="I463"/>
      <c r="J463"/>
      <c r="K463"/>
      <c r="L463"/>
      <c r="M463"/>
      <c r="N463"/>
      <c r="O463"/>
      <c r="P463"/>
      <c r="Q463"/>
    </row>
    <row r="464" spans="1:17" ht="15.75" x14ac:dyDescent="0.25">
      <c r="A464"/>
      <c r="B464"/>
      <c r="C464"/>
      <c r="D464"/>
      <c r="E464"/>
      <c r="F464"/>
      <c r="G464"/>
      <c r="H464"/>
      <c r="I464"/>
      <c r="J464"/>
      <c r="K464"/>
      <c r="L464"/>
      <c r="M464"/>
      <c r="N464"/>
      <c r="O464"/>
      <c r="P464"/>
      <c r="Q464"/>
    </row>
    <row r="465" spans="1:17" ht="15.75" x14ac:dyDescent="0.25">
      <c r="A465"/>
      <c r="B465"/>
      <c r="C465"/>
      <c r="D465"/>
      <c r="E465"/>
      <c r="F465"/>
      <c r="G465"/>
      <c r="H465"/>
      <c r="I465"/>
      <c r="J465"/>
      <c r="K465"/>
      <c r="L465"/>
      <c r="M465"/>
      <c r="N465"/>
      <c r="O465"/>
      <c r="P465"/>
      <c r="Q465"/>
    </row>
    <row r="466" spans="1:17" ht="15.75" x14ac:dyDescent="0.25">
      <c r="A466"/>
      <c r="B466"/>
      <c r="C466"/>
      <c r="D466"/>
      <c r="E466"/>
      <c r="F466"/>
      <c r="G466"/>
      <c r="H466"/>
      <c r="I466"/>
      <c r="J466"/>
      <c r="K466"/>
      <c r="L466"/>
      <c r="M466"/>
      <c r="N466"/>
      <c r="O466"/>
      <c r="P466"/>
      <c r="Q466"/>
    </row>
    <row r="467" spans="1:17" ht="15.75" x14ac:dyDescent="0.25">
      <c r="A467"/>
      <c r="B467"/>
      <c r="C467"/>
      <c r="D467"/>
      <c r="E467"/>
      <c r="F467"/>
      <c r="G467"/>
      <c r="H467"/>
      <c r="I467"/>
      <c r="J467"/>
      <c r="K467"/>
      <c r="L467"/>
      <c r="M467"/>
      <c r="N467"/>
      <c r="O467"/>
      <c r="P467"/>
      <c r="Q467"/>
    </row>
    <row r="468" spans="1:17" ht="15.75" x14ac:dyDescent="0.25">
      <c r="A468"/>
      <c r="B468"/>
      <c r="C468"/>
      <c r="D468"/>
      <c r="E468"/>
      <c r="F468"/>
      <c r="G468"/>
      <c r="H468"/>
      <c r="I468"/>
      <c r="J468"/>
      <c r="K468"/>
      <c r="L468"/>
      <c r="M468"/>
      <c r="N468"/>
      <c r="O468"/>
      <c r="P468"/>
      <c r="Q468"/>
    </row>
    <row r="469" spans="1:17" ht="15.75" x14ac:dyDescent="0.25">
      <c r="A469"/>
      <c r="B469"/>
      <c r="C469"/>
      <c r="D469"/>
      <c r="E469"/>
      <c r="F469"/>
      <c r="G469"/>
      <c r="H469"/>
      <c r="I469"/>
      <c r="J469"/>
      <c r="K469"/>
      <c r="L469"/>
      <c r="M469"/>
      <c r="N469"/>
      <c r="O469"/>
      <c r="P469"/>
      <c r="Q469"/>
    </row>
    <row r="470" spans="1:17" ht="15.75" x14ac:dyDescent="0.25">
      <c r="A470"/>
      <c r="B470"/>
      <c r="C470"/>
      <c r="D470"/>
      <c r="E470"/>
      <c r="F470"/>
      <c r="G470"/>
      <c r="H470"/>
      <c r="I470"/>
      <c r="J470"/>
      <c r="K470"/>
      <c r="L470"/>
      <c r="M470"/>
      <c r="N470"/>
      <c r="O470"/>
      <c r="P470"/>
      <c r="Q470"/>
    </row>
    <row r="471" spans="1:17" ht="15.75" x14ac:dyDescent="0.25">
      <c r="A471"/>
      <c r="B471"/>
      <c r="C471"/>
      <c r="D471"/>
      <c r="E471"/>
      <c r="F471"/>
      <c r="G471"/>
      <c r="H471"/>
      <c r="I471"/>
      <c r="J471"/>
      <c r="K471"/>
      <c r="L471"/>
      <c r="M471"/>
      <c r="N471"/>
      <c r="O471"/>
      <c r="P471"/>
      <c r="Q471"/>
    </row>
    <row r="472" spans="1:17" ht="15.75" x14ac:dyDescent="0.25">
      <c r="A472"/>
      <c r="B472"/>
      <c r="C472"/>
      <c r="D472"/>
      <c r="E472"/>
      <c r="F472"/>
      <c r="G472"/>
      <c r="H472"/>
      <c r="I472"/>
      <c r="J472"/>
      <c r="K472"/>
      <c r="L472"/>
      <c r="M472"/>
      <c r="N472"/>
      <c r="O472"/>
      <c r="P472"/>
      <c r="Q472"/>
    </row>
    <row r="473" spans="1:17" ht="15.75" x14ac:dyDescent="0.25">
      <c r="A473"/>
      <c r="B473"/>
      <c r="C473"/>
      <c r="D473"/>
      <c r="E473"/>
      <c r="F473"/>
      <c r="G473"/>
      <c r="H473"/>
      <c r="I473"/>
      <c r="J473"/>
      <c r="K473"/>
      <c r="L473"/>
      <c r="M473"/>
      <c r="N473"/>
      <c r="O473"/>
      <c r="P473"/>
      <c r="Q473"/>
    </row>
    <row r="474" spans="1:17" ht="15.75" x14ac:dyDescent="0.25">
      <c r="A474"/>
      <c r="B474"/>
      <c r="C474"/>
      <c r="D474"/>
      <c r="E474"/>
      <c r="F474"/>
      <c r="G474"/>
      <c r="H474"/>
      <c r="I474"/>
      <c r="J474"/>
      <c r="K474"/>
      <c r="L474"/>
      <c r="M474"/>
      <c r="N474"/>
      <c r="O474"/>
      <c r="P474"/>
      <c r="Q474"/>
    </row>
    <row r="475" spans="1:17" ht="15.75" x14ac:dyDescent="0.25">
      <c r="A475"/>
      <c r="B475"/>
      <c r="C475"/>
      <c r="D475"/>
      <c r="E475"/>
      <c r="F475"/>
      <c r="G475"/>
      <c r="H475"/>
      <c r="I475"/>
      <c r="J475"/>
      <c r="K475"/>
      <c r="L475"/>
      <c r="M475"/>
      <c r="N475"/>
      <c r="O475"/>
      <c r="P475"/>
      <c r="Q475"/>
    </row>
    <row r="476" spans="1:17" ht="15.75" x14ac:dyDescent="0.25">
      <c r="A476"/>
      <c r="B476"/>
      <c r="C476"/>
      <c r="D476"/>
      <c r="E476"/>
      <c r="F476"/>
      <c r="G476"/>
      <c r="H476"/>
      <c r="I476"/>
      <c r="J476"/>
      <c r="K476"/>
      <c r="L476"/>
      <c r="M476"/>
      <c r="N476"/>
      <c r="O476"/>
      <c r="P476"/>
      <c r="Q476"/>
    </row>
    <row r="477" spans="1:17" ht="15.75" x14ac:dyDescent="0.25">
      <c r="A477"/>
      <c r="B477"/>
      <c r="C477"/>
      <c r="D477"/>
      <c r="E477"/>
      <c r="F477"/>
      <c r="G477"/>
      <c r="H477"/>
      <c r="I477"/>
      <c r="J477"/>
      <c r="K477"/>
      <c r="L477"/>
      <c r="M477"/>
      <c r="N477"/>
      <c r="O477"/>
      <c r="P477"/>
      <c r="Q477"/>
    </row>
    <row r="478" spans="1:17" ht="15.75" x14ac:dyDescent="0.25">
      <c r="A478"/>
      <c r="B478"/>
      <c r="C478"/>
      <c r="D478"/>
      <c r="E478"/>
      <c r="F478"/>
      <c r="G478"/>
      <c r="H478"/>
      <c r="I478"/>
      <c r="J478"/>
      <c r="K478"/>
      <c r="L478"/>
      <c r="M478"/>
      <c r="N478"/>
      <c r="O478"/>
      <c r="P478"/>
      <c r="Q478"/>
    </row>
    <row r="479" spans="1:17" ht="15.75" x14ac:dyDescent="0.25">
      <c r="A479"/>
      <c r="B479"/>
      <c r="C479"/>
      <c r="D479"/>
      <c r="E479"/>
      <c r="F479"/>
      <c r="G479"/>
      <c r="H479"/>
      <c r="I479"/>
      <c r="J479"/>
      <c r="K479"/>
      <c r="L479"/>
      <c r="M479"/>
      <c r="N479"/>
      <c r="O479"/>
      <c r="P479"/>
      <c r="Q479"/>
    </row>
    <row r="480" spans="1:17" ht="15.75" x14ac:dyDescent="0.25">
      <c r="A480"/>
      <c r="B480"/>
      <c r="C480"/>
      <c r="D480"/>
      <c r="E480"/>
      <c r="F480"/>
      <c r="G480"/>
      <c r="H480"/>
      <c r="I480"/>
      <c r="J480"/>
      <c r="K480"/>
      <c r="L480"/>
      <c r="M480"/>
      <c r="N480"/>
      <c r="O480"/>
      <c r="P480"/>
      <c r="Q480"/>
    </row>
    <row r="481" spans="1:17" ht="15.75" x14ac:dyDescent="0.25">
      <c r="A481"/>
      <c r="B481"/>
      <c r="C481"/>
      <c r="D481"/>
      <c r="E481"/>
      <c r="F481"/>
      <c r="G481"/>
      <c r="H481"/>
      <c r="I481"/>
      <c r="J481"/>
      <c r="K481"/>
      <c r="L481"/>
      <c r="M481"/>
      <c r="N481"/>
      <c r="O481"/>
      <c r="P481"/>
      <c r="Q481"/>
    </row>
    <row r="482" spans="1:17" ht="15.75" x14ac:dyDescent="0.25">
      <c r="A482"/>
      <c r="B482"/>
      <c r="C482"/>
      <c r="D482"/>
      <c r="E482"/>
      <c r="F482"/>
      <c r="G482"/>
      <c r="H482"/>
      <c r="I482"/>
      <c r="J482"/>
      <c r="K482"/>
      <c r="L482"/>
      <c r="M482"/>
      <c r="N482"/>
      <c r="O482"/>
      <c r="P482"/>
      <c r="Q482"/>
    </row>
    <row r="483" spans="1:17" ht="15.75" x14ac:dyDescent="0.25">
      <c r="A483"/>
      <c r="B483"/>
      <c r="C483"/>
      <c r="D483"/>
      <c r="E483"/>
      <c r="F483"/>
      <c r="G483"/>
      <c r="H483"/>
      <c r="I483"/>
      <c r="J483"/>
      <c r="K483"/>
      <c r="L483"/>
      <c r="M483"/>
      <c r="N483"/>
      <c r="O483"/>
      <c r="P483"/>
      <c r="Q483"/>
    </row>
    <row r="484" spans="1:17" ht="15.75" x14ac:dyDescent="0.25">
      <c r="A484"/>
      <c r="B484"/>
      <c r="C484"/>
      <c r="D484"/>
      <c r="E484"/>
      <c r="F484"/>
      <c r="G484"/>
      <c r="H484"/>
      <c r="I484"/>
      <c r="J484"/>
      <c r="K484"/>
      <c r="L484"/>
      <c r="M484"/>
      <c r="N484"/>
      <c r="O484"/>
      <c r="P484"/>
      <c r="Q484"/>
    </row>
    <row r="485" spans="1:17" ht="15.75" x14ac:dyDescent="0.25">
      <c r="A485"/>
      <c r="B485"/>
      <c r="C485"/>
      <c r="D485"/>
      <c r="E485"/>
      <c r="F485"/>
      <c r="G485"/>
      <c r="H485"/>
      <c r="I485"/>
      <c r="J485"/>
      <c r="K485"/>
      <c r="L485"/>
      <c r="M485"/>
      <c r="N485"/>
      <c r="O485"/>
      <c r="P485"/>
      <c r="Q485"/>
    </row>
    <row r="486" spans="1:17" ht="15.75" x14ac:dyDescent="0.25">
      <c r="A486"/>
      <c r="B486"/>
      <c r="C486"/>
      <c r="D486"/>
      <c r="E486"/>
      <c r="F486"/>
      <c r="G486"/>
      <c r="H486"/>
      <c r="I486"/>
      <c r="J486"/>
      <c r="K486"/>
      <c r="L486"/>
      <c r="M486"/>
      <c r="N486"/>
      <c r="O486"/>
      <c r="P486"/>
      <c r="Q486"/>
    </row>
    <row r="487" spans="1:17" ht="15.75" x14ac:dyDescent="0.25">
      <c r="A487"/>
      <c r="B487"/>
      <c r="C487"/>
      <c r="D487"/>
      <c r="E487"/>
      <c r="F487"/>
      <c r="G487"/>
      <c r="H487"/>
      <c r="I487"/>
      <c r="J487"/>
      <c r="K487"/>
      <c r="L487"/>
      <c r="M487"/>
      <c r="N487"/>
      <c r="O487"/>
      <c r="P487"/>
      <c r="Q487"/>
    </row>
    <row r="488" spans="1:17" ht="15.75" x14ac:dyDescent="0.25">
      <c r="A488"/>
      <c r="B488"/>
      <c r="C488"/>
      <c r="D488"/>
      <c r="E488"/>
      <c r="F488"/>
      <c r="G488"/>
      <c r="H488"/>
      <c r="I488"/>
      <c r="J488"/>
      <c r="K488"/>
      <c r="L488"/>
      <c r="M488"/>
      <c r="N488"/>
      <c r="O488"/>
      <c r="P488"/>
      <c r="Q488"/>
    </row>
    <row r="489" spans="1:17" ht="15.75" x14ac:dyDescent="0.25">
      <c r="A489"/>
      <c r="B489"/>
      <c r="C489"/>
      <c r="D489"/>
      <c r="E489"/>
      <c r="F489"/>
      <c r="G489"/>
      <c r="H489"/>
      <c r="I489"/>
      <c r="J489"/>
      <c r="K489"/>
      <c r="L489"/>
      <c r="M489"/>
      <c r="N489"/>
      <c r="O489"/>
      <c r="P489"/>
      <c r="Q489"/>
    </row>
    <row r="490" spans="1:17" ht="15.75" x14ac:dyDescent="0.25">
      <c r="A490"/>
      <c r="B490"/>
      <c r="C490"/>
      <c r="D490"/>
      <c r="E490"/>
      <c r="F490"/>
      <c r="G490"/>
      <c r="H490"/>
      <c r="I490"/>
      <c r="J490"/>
      <c r="K490"/>
      <c r="L490"/>
      <c r="M490"/>
      <c r="N490"/>
      <c r="O490"/>
      <c r="P490"/>
      <c r="Q490"/>
    </row>
    <row r="491" spans="1:17" ht="15.75" x14ac:dyDescent="0.25">
      <c r="A491"/>
      <c r="B491"/>
      <c r="C491"/>
      <c r="D491"/>
      <c r="E491"/>
      <c r="F491"/>
      <c r="G491"/>
      <c r="H491"/>
      <c r="I491"/>
      <c r="J491"/>
      <c r="K491"/>
      <c r="L491"/>
      <c r="M491"/>
      <c r="N491"/>
      <c r="O491"/>
      <c r="P491"/>
      <c r="Q491"/>
    </row>
    <row r="492" spans="1:17" ht="15.75" x14ac:dyDescent="0.25">
      <c r="A492"/>
      <c r="B492"/>
      <c r="C492"/>
      <c r="D492"/>
      <c r="E492"/>
      <c r="F492"/>
      <c r="G492"/>
      <c r="H492"/>
      <c r="I492"/>
      <c r="J492"/>
      <c r="K492"/>
      <c r="L492"/>
      <c r="M492"/>
      <c r="N492"/>
      <c r="O492"/>
      <c r="P492"/>
      <c r="Q492"/>
    </row>
    <row r="493" spans="1:17" ht="15.75" x14ac:dyDescent="0.25">
      <c r="A493"/>
      <c r="B493"/>
      <c r="C493"/>
      <c r="D493"/>
      <c r="E493"/>
      <c r="F493"/>
      <c r="G493"/>
      <c r="H493"/>
      <c r="I493"/>
      <c r="J493"/>
      <c r="K493"/>
      <c r="L493"/>
      <c r="M493"/>
      <c r="N493"/>
      <c r="O493"/>
      <c r="P493"/>
      <c r="Q493"/>
    </row>
    <row r="494" spans="1:17" ht="15.75" x14ac:dyDescent="0.25">
      <c r="A494"/>
      <c r="B494"/>
      <c r="C494"/>
      <c r="D494"/>
      <c r="E494"/>
      <c r="F494"/>
      <c r="G494"/>
      <c r="H494"/>
      <c r="I494"/>
      <c r="J494"/>
      <c r="K494"/>
      <c r="L494"/>
      <c r="M494"/>
      <c r="N494"/>
      <c r="O494"/>
      <c r="P494"/>
      <c r="Q494"/>
    </row>
    <row r="495" spans="1:17" ht="15.75" x14ac:dyDescent="0.25">
      <c r="A495"/>
      <c r="B495"/>
      <c r="C495"/>
      <c r="D495"/>
      <c r="E495"/>
      <c r="F495"/>
      <c r="G495"/>
      <c r="H495"/>
      <c r="I495"/>
      <c r="J495"/>
      <c r="K495"/>
      <c r="L495"/>
      <c r="M495"/>
      <c r="N495"/>
      <c r="O495"/>
      <c r="P495"/>
      <c r="Q495"/>
    </row>
    <row r="496" spans="1:17" x14ac:dyDescent="0.2">
      <c r="A496" s="294"/>
      <c r="B496" s="295"/>
      <c r="C496" s="295"/>
      <c r="D496" s="295"/>
      <c r="E496" s="295"/>
      <c r="F496" s="295"/>
      <c r="G496" s="295"/>
      <c r="H496" s="295"/>
      <c r="I496" s="295"/>
      <c r="J496" s="295"/>
      <c r="K496" s="295"/>
      <c r="L496" s="295"/>
      <c r="M496" s="295"/>
      <c r="N496" s="295"/>
      <c r="O496" s="295"/>
      <c r="P496" s="295"/>
      <c r="Q496" s="295"/>
    </row>
    <row r="497" spans="1:17" x14ac:dyDescent="0.2">
      <c r="A497" s="298"/>
      <c r="B497" s="295"/>
      <c r="C497" s="295"/>
      <c r="D497" s="295"/>
      <c r="E497" s="295"/>
      <c r="F497" s="295"/>
      <c r="G497" s="295"/>
      <c r="H497" s="295"/>
      <c r="I497" s="295"/>
      <c r="J497" s="295"/>
      <c r="K497" s="295"/>
      <c r="L497" s="295"/>
      <c r="M497" s="295"/>
      <c r="N497" s="295"/>
      <c r="O497" s="295"/>
      <c r="P497" s="295"/>
      <c r="Q497" s="295"/>
    </row>
    <row r="498" spans="1:17" x14ac:dyDescent="0.2">
      <c r="A498" s="298"/>
      <c r="B498" s="295"/>
      <c r="C498" s="295"/>
      <c r="D498" s="295"/>
      <c r="E498" s="295"/>
      <c r="F498" s="295"/>
      <c r="G498" s="295"/>
      <c r="H498" s="295"/>
      <c r="I498" s="295"/>
      <c r="J498" s="295"/>
      <c r="K498" s="295"/>
      <c r="L498" s="295"/>
      <c r="M498" s="295"/>
      <c r="N498" s="295"/>
      <c r="O498" s="295"/>
      <c r="P498" s="295"/>
      <c r="Q498" s="295"/>
    </row>
    <row r="499" spans="1:17" x14ac:dyDescent="0.2">
      <c r="A499" s="298"/>
      <c r="B499" s="295"/>
      <c r="C499" s="295"/>
      <c r="D499" s="295"/>
      <c r="E499" s="295"/>
      <c r="F499" s="295"/>
      <c r="G499" s="295"/>
      <c r="H499" s="295"/>
      <c r="I499" s="295"/>
      <c r="J499" s="295"/>
      <c r="K499" s="295"/>
      <c r="L499" s="295"/>
      <c r="M499" s="295"/>
      <c r="N499" s="295"/>
      <c r="O499" s="295"/>
      <c r="P499" s="295"/>
      <c r="Q499" s="29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99"/>
  <sheetViews>
    <sheetView workbookViewId="0">
      <selection sqref="A1:XFD1048576"/>
    </sheetView>
  </sheetViews>
  <sheetFormatPr defaultColWidth="9" defaultRowHeight="12.75" x14ac:dyDescent="0.2"/>
  <cols>
    <col min="1" max="1" width="20.125" style="292" customWidth="1"/>
    <col min="2" max="2" width="13.125" style="293" customWidth="1"/>
    <col min="3" max="4" width="5.125" style="293" customWidth="1"/>
    <col min="5" max="7" width="4.375" style="293" customWidth="1"/>
    <col min="8" max="8" width="11.625" style="293" customWidth="1"/>
    <col min="9" max="9" width="9" style="293" customWidth="1"/>
    <col min="10" max="11" width="5.125" style="293" customWidth="1"/>
    <col min="12" max="13" width="4.375" style="293" customWidth="1"/>
    <col min="14" max="14" width="11.5" style="293" customWidth="1"/>
    <col min="15" max="15" width="9.25" style="293" customWidth="1"/>
    <col min="16" max="16" width="4.375" style="293" customWidth="1"/>
    <col min="17" max="17" width="11.625" style="293" customWidth="1"/>
    <col min="18" max="18" width="19.375" style="298" customWidth="1"/>
    <col min="19" max="19" width="18.625" style="298" customWidth="1"/>
    <col min="20" max="21" width="19.25" style="298" customWidth="1"/>
    <col min="22" max="22" width="19.875" style="298" customWidth="1"/>
    <col min="23" max="23" width="19.25" style="298" customWidth="1"/>
    <col min="24" max="24" width="19.875" style="298" customWidth="1"/>
    <col min="25" max="25" width="18.25" style="298" customWidth="1"/>
    <col min="26" max="26" width="18.875" style="298" customWidth="1"/>
    <col min="27" max="27" width="18.5" style="298" customWidth="1"/>
    <col min="28" max="28" width="19.125" style="298" customWidth="1"/>
    <col min="29" max="29" width="19.5" style="298" customWidth="1"/>
    <col min="30" max="30" width="26.875" style="298" customWidth="1"/>
    <col min="31" max="31" width="27.5" style="298" customWidth="1"/>
    <col min="32" max="32" width="26.125" style="298" customWidth="1"/>
    <col min="33" max="33" width="26.75" style="298" customWidth="1"/>
    <col min="34" max="34" width="26" style="298" customWidth="1"/>
    <col min="35" max="36" width="26.625" style="298" customWidth="1"/>
    <col min="37" max="37" width="27.25" style="298" customWidth="1"/>
    <col min="38" max="38" width="26.625" style="298" customWidth="1"/>
    <col min="39" max="39" width="27.25" style="298" customWidth="1"/>
    <col min="40" max="40" width="25.625" style="298" customWidth="1"/>
    <col min="41" max="41" width="26.25" style="298" customWidth="1"/>
    <col min="42" max="42" width="25.875" style="298" customWidth="1"/>
    <col min="43" max="43" width="26.5" style="298" customWidth="1"/>
    <col min="44" max="44" width="20.125" style="298" customWidth="1"/>
    <col min="45" max="45" width="18.75" style="298" customWidth="1"/>
    <col min="46" max="46" width="19.375" style="298" customWidth="1"/>
    <col min="47" max="47" width="18.625" style="298" customWidth="1"/>
    <col min="48" max="49" width="19.25" style="298" customWidth="1"/>
    <col min="50" max="50" width="19.875" style="298" customWidth="1"/>
    <col min="51" max="51" width="19.25" style="298" customWidth="1"/>
    <col min="52" max="52" width="19.875" style="298" customWidth="1"/>
    <col min="53" max="53" width="18.25" style="298" customWidth="1"/>
    <col min="54" max="54" width="18.875" style="298" customWidth="1"/>
    <col min="55" max="55" width="18.5" style="298" customWidth="1"/>
    <col min="56" max="56" width="19.125" style="298" customWidth="1"/>
    <col min="57" max="57" width="19.5" style="298" customWidth="1"/>
    <col min="58" max="58" width="26.875" style="298" customWidth="1"/>
    <col min="59" max="59" width="27.5" style="298" customWidth="1"/>
    <col min="60" max="60" width="26.125" style="298" customWidth="1"/>
    <col min="61" max="61" width="26.75" style="298" customWidth="1"/>
    <col min="62" max="62" width="26" style="298" customWidth="1"/>
    <col min="63" max="64" width="26.625" style="298" customWidth="1"/>
    <col min="65" max="65" width="27.25" style="298" customWidth="1"/>
    <col min="66" max="66" width="26.625" style="298" customWidth="1"/>
    <col min="67" max="67" width="27.25" style="298" customWidth="1"/>
    <col min="68" max="68" width="25.625" style="298" customWidth="1"/>
    <col min="69" max="69" width="26.25" style="298" customWidth="1"/>
    <col min="70" max="70" width="25.875" style="298" customWidth="1"/>
    <col min="71" max="71" width="26.5" style="298" customWidth="1"/>
    <col min="72" max="72" width="20.125" style="298" customWidth="1"/>
    <col min="73" max="73" width="18.75" style="298" customWidth="1"/>
    <col min="74" max="74" width="19.375" style="298" customWidth="1"/>
    <col min="75" max="75" width="18.625" style="298" customWidth="1"/>
    <col min="76" max="77" width="19.25" style="298" customWidth="1"/>
    <col min="78" max="78" width="19.875" style="298" customWidth="1"/>
    <col min="79" max="79" width="19.25" style="298" customWidth="1"/>
    <col min="80" max="80" width="19.875" style="298" customWidth="1"/>
    <col min="81" max="81" width="18.25" style="298" customWidth="1"/>
    <col min="82" max="82" width="18.875" style="298" customWidth="1"/>
    <col min="83" max="83" width="18.5" style="298" customWidth="1"/>
    <col min="84" max="84" width="19.125" style="298" customWidth="1"/>
    <col min="85" max="85" width="19.5" style="298" customWidth="1"/>
    <col min="86" max="86" width="26.875" style="298" customWidth="1"/>
    <col min="87" max="87" width="27.5" style="298" customWidth="1"/>
    <col min="88" max="88" width="26.125" style="298" customWidth="1"/>
    <col min="89" max="89" width="26.75" style="298" customWidth="1"/>
    <col min="90" max="90" width="26" style="298" customWidth="1"/>
    <col min="91" max="92" width="26.625" style="298" customWidth="1"/>
    <col min="93" max="93" width="27.25" style="298" customWidth="1"/>
    <col min="94" max="94" width="26.625" style="298" customWidth="1"/>
    <col min="95" max="95" width="27.25" style="298" customWidth="1"/>
    <col min="96" max="96" width="25.625" style="298" customWidth="1"/>
    <col min="97" max="97" width="26.25" style="298" customWidth="1"/>
    <col min="98" max="98" width="25.875" style="298" customWidth="1"/>
    <col min="99" max="99" width="26.5" style="298" customWidth="1"/>
    <col min="100" max="100" width="20.125" style="298" customWidth="1"/>
    <col min="101" max="101" width="18.75" style="298" customWidth="1"/>
    <col min="102" max="102" width="19.375" style="298" customWidth="1"/>
    <col min="103" max="103" width="18.625" style="298" customWidth="1"/>
    <col min="104" max="105" width="19.25" style="298" customWidth="1"/>
    <col min="106" max="106" width="19.875" style="298" customWidth="1"/>
    <col min="107" max="107" width="19.25" style="298" customWidth="1"/>
    <col min="108" max="108" width="19.875" style="298" customWidth="1"/>
    <col min="109" max="109" width="18.25" style="298" customWidth="1"/>
    <col min="110" max="110" width="18.875" style="298" customWidth="1"/>
    <col min="111" max="111" width="18.5" style="298" customWidth="1"/>
    <col min="112" max="112" width="19.125" style="298" customWidth="1"/>
    <col min="113" max="113" width="19.5" style="298" customWidth="1"/>
    <col min="114" max="114" width="26.875" style="298" customWidth="1"/>
    <col min="115" max="115" width="27.5" style="298" customWidth="1"/>
    <col min="116" max="116" width="26.125" style="298" customWidth="1"/>
    <col min="117" max="117" width="26.75" style="298" customWidth="1"/>
    <col min="118" max="118" width="26" style="298" customWidth="1"/>
    <col min="119" max="120" width="26.625" style="298" customWidth="1"/>
    <col min="121" max="121" width="27.25" style="298" customWidth="1"/>
    <col min="122" max="122" width="26.625" style="298" customWidth="1"/>
    <col min="123" max="123" width="27.25" style="298" customWidth="1"/>
    <col min="124" max="124" width="25.625" style="298" customWidth="1"/>
    <col min="125" max="125" width="26.25" style="298" customWidth="1"/>
    <col min="126" max="126" width="25.875" style="298" customWidth="1"/>
    <col min="127" max="127" width="26.5" style="298" customWidth="1"/>
    <col min="128" max="128" width="20.125" style="298" customWidth="1"/>
    <col min="129" max="129" width="18.75" style="298" customWidth="1"/>
    <col min="130" max="130" width="19.375" style="298" customWidth="1"/>
    <col min="131" max="131" width="18.625" style="298" customWidth="1"/>
    <col min="132" max="133" width="19.25" style="298" customWidth="1"/>
    <col min="134" max="134" width="19.875" style="298" customWidth="1"/>
    <col min="135" max="135" width="19.25" style="298" customWidth="1"/>
    <col min="136" max="136" width="19.875" style="298" customWidth="1"/>
    <col min="137" max="137" width="18.25" style="298" customWidth="1"/>
    <col min="138" max="138" width="18.875" style="298" customWidth="1"/>
    <col min="139" max="139" width="18.5" style="298" customWidth="1"/>
    <col min="140" max="140" width="19.125" style="298" customWidth="1"/>
    <col min="141" max="141" width="19.5" style="298" customWidth="1"/>
    <col min="142" max="142" width="26.875" style="298" customWidth="1"/>
    <col min="143" max="143" width="27.5" style="298" customWidth="1"/>
    <col min="144" max="144" width="26.125" style="298" customWidth="1"/>
    <col min="145" max="145" width="26.75" style="298" customWidth="1"/>
    <col min="146" max="146" width="26" style="298" customWidth="1"/>
    <col min="147" max="148" width="26.625" style="298" customWidth="1"/>
    <col min="149" max="149" width="27.25" style="298" customWidth="1"/>
    <col min="150" max="150" width="26.625" style="298" customWidth="1"/>
    <col min="151" max="151" width="27.25" style="298" customWidth="1"/>
    <col min="152" max="152" width="25.625" style="298" customWidth="1"/>
    <col min="153" max="153" width="26.25" style="298" customWidth="1"/>
    <col min="154" max="154" width="25.875" style="298" customWidth="1"/>
    <col min="155" max="155" width="26.5" style="298" customWidth="1"/>
    <col min="156" max="156" width="20.125" style="298" customWidth="1"/>
    <col min="157" max="157" width="18.75" style="298" customWidth="1"/>
    <col min="158" max="158" width="19.375" style="298" customWidth="1"/>
    <col min="159" max="159" width="18.625" style="298" customWidth="1"/>
    <col min="160" max="161" width="19.25" style="298" customWidth="1"/>
    <col min="162" max="162" width="19.875" style="298" customWidth="1"/>
    <col min="163" max="163" width="19.25" style="298" customWidth="1"/>
    <col min="164" max="164" width="19.875" style="298" customWidth="1"/>
    <col min="165" max="165" width="18.25" style="298" customWidth="1"/>
    <col min="166" max="166" width="18.875" style="298" customWidth="1"/>
    <col min="167" max="167" width="18.5" style="298" customWidth="1"/>
    <col min="168" max="168" width="19.125" style="298" customWidth="1"/>
    <col min="169" max="169" width="19.5" style="298" customWidth="1"/>
    <col min="170" max="170" width="26.875" style="298" customWidth="1"/>
    <col min="171" max="171" width="27.5" style="298" customWidth="1"/>
    <col min="172" max="172" width="26.125" style="298" customWidth="1"/>
    <col min="173" max="173" width="26.75" style="298" customWidth="1"/>
    <col min="174" max="174" width="26" style="298" customWidth="1"/>
    <col min="175" max="176" width="26.625" style="298" customWidth="1"/>
    <col min="177" max="177" width="27.25" style="298" customWidth="1"/>
    <col min="178" max="178" width="26.625" style="298" customWidth="1"/>
    <col min="179" max="179" width="27.25" style="298" customWidth="1"/>
    <col min="180" max="180" width="25.625" style="298" customWidth="1"/>
    <col min="181" max="181" width="26.25" style="298" customWidth="1"/>
    <col min="182" max="182" width="25.875" style="298" customWidth="1"/>
    <col min="183" max="183" width="26.5" style="298" customWidth="1"/>
    <col min="184" max="184" width="20.125" style="298" customWidth="1"/>
    <col min="185" max="185" width="18.75" style="298" customWidth="1"/>
    <col min="186" max="186" width="19.375" style="298" customWidth="1"/>
    <col min="187" max="187" width="18.625" style="298" customWidth="1"/>
    <col min="188" max="189" width="19.25" style="298" customWidth="1"/>
    <col min="190" max="190" width="19.875" style="298" customWidth="1"/>
    <col min="191" max="191" width="19.25" style="298" customWidth="1"/>
    <col min="192" max="192" width="19.875" style="298" customWidth="1"/>
    <col min="193" max="193" width="18.25" style="298" customWidth="1"/>
    <col min="194" max="194" width="18.875" style="298" customWidth="1"/>
    <col min="195" max="195" width="18.5" style="298" customWidth="1"/>
    <col min="196" max="196" width="19.125" style="298" customWidth="1"/>
    <col min="197" max="197" width="19.5" style="298" customWidth="1"/>
    <col min="198" max="198" width="26.875" style="298" customWidth="1"/>
    <col min="199" max="199" width="27.5" style="298" customWidth="1"/>
    <col min="200" max="200" width="26.125" style="298" customWidth="1"/>
    <col min="201" max="201" width="26.75" style="298" customWidth="1"/>
    <col min="202" max="202" width="26" style="298" customWidth="1"/>
    <col min="203" max="204" width="26.625" style="298" customWidth="1"/>
    <col min="205" max="205" width="27.25" style="298" customWidth="1"/>
    <col min="206" max="206" width="26.625" style="298" customWidth="1"/>
    <col min="207" max="207" width="27.25" style="298" customWidth="1"/>
    <col min="208" max="208" width="25.625" style="298" customWidth="1"/>
    <col min="209" max="209" width="26.25" style="298" customWidth="1"/>
    <col min="210" max="210" width="25.875" style="298" customWidth="1"/>
    <col min="211" max="211" width="26.5" style="298" customWidth="1"/>
    <col min="212" max="212" width="20.125" style="298" customWidth="1"/>
    <col min="213" max="213" width="18.75" style="298" customWidth="1"/>
    <col min="214" max="214" width="19.375" style="298" customWidth="1"/>
    <col min="215" max="215" width="18.625" style="298" customWidth="1"/>
    <col min="216" max="217" width="19.25" style="298" customWidth="1"/>
    <col min="218" max="218" width="19.875" style="298" customWidth="1"/>
    <col min="219" max="219" width="19.25" style="298" customWidth="1"/>
    <col min="220" max="220" width="19.875" style="298" customWidth="1"/>
    <col min="221" max="221" width="18.25" style="298" customWidth="1"/>
    <col min="222" max="222" width="18.875" style="298" customWidth="1"/>
    <col min="223" max="223" width="18.5" style="298" customWidth="1"/>
    <col min="224" max="224" width="19.125" style="298" customWidth="1"/>
    <col min="225" max="225" width="19.5" style="298" customWidth="1"/>
    <col min="226" max="226" width="26.875" style="298" customWidth="1"/>
    <col min="227" max="227" width="27.5" style="298" customWidth="1"/>
    <col min="228" max="228" width="26.125" style="298" customWidth="1"/>
    <col min="229" max="229" width="26.75" style="298" customWidth="1"/>
    <col min="230" max="230" width="26" style="298" customWidth="1"/>
    <col min="231" max="232" width="26.625" style="298" customWidth="1"/>
    <col min="233" max="233" width="27.25" style="298" customWidth="1"/>
    <col min="234" max="234" width="26.625" style="298" customWidth="1"/>
    <col min="235" max="235" width="27.25" style="298" customWidth="1"/>
    <col min="236" max="236" width="25.625" style="298" customWidth="1"/>
    <col min="237" max="237" width="26.25" style="298" customWidth="1"/>
    <col min="238" max="238" width="25.875" style="298" customWidth="1"/>
    <col min="239" max="239" width="26.5" style="298" customWidth="1"/>
    <col min="240" max="240" width="20.125" style="298" customWidth="1"/>
    <col min="241" max="241" width="18.75" style="298" customWidth="1"/>
    <col min="242" max="242" width="19.375" style="298" customWidth="1"/>
    <col min="243" max="243" width="18.625" style="298" customWidth="1"/>
    <col min="244" max="245" width="19.25" style="298" customWidth="1"/>
    <col min="246" max="246" width="19.875" style="298" customWidth="1"/>
    <col min="247" max="247" width="19.25" style="298" customWidth="1"/>
    <col min="248" max="248" width="19.875" style="298" customWidth="1"/>
    <col min="249" max="249" width="18.25" style="298" customWidth="1"/>
    <col min="250" max="250" width="18.875" style="298" customWidth="1"/>
    <col min="251" max="251" width="18.5" style="298" customWidth="1"/>
    <col min="252" max="252" width="19.125" style="298" customWidth="1"/>
    <col min="253" max="253" width="19.5" style="298" customWidth="1"/>
    <col min="254" max="254" width="26.875" style="298" customWidth="1"/>
    <col min="255" max="255" width="27.5" style="298" customWidth="1"/>
    <col min="256" max="256" width="26.125" style="298" customWidth="1"/>
    <col min="257" max="257" width="26.75" style="298" customWidth="1"/>
    <col min="258" max="258" width="26" style="298" customWidth="1"/>
    <col min="259" max="260" width="26.625" style="298" customWidth="1"/>
    <col min="261" max="261" width="27.25" style="298" customWidth="1"/>
    <col min="262" max="262" width="26.625" style="298" customWidth="1"/>
    <col min="263" max="263" width="27.25" style="298" customWidth="1"/>
    <col min="264" max="264" width="25.625" style="298" customWidth="1"/>
    <col min="265" max="265" width="26.25" style="298" customWidth="1"/>
    <col min="266" max="266" width="25.875" style="298" customWidth="1"/>
    <col min="267" max="267" width="26.5" style="298" customWidth="1"/>
    <col min="268" max="268" width="20.125" style="298" customWidth="1"/>
    <col min="269" max="269" width="18.75" style="298" customWidth="1"/>
    <col min="270" max="270" width="19.375" style="298" customWidth="1"/>
    <col min="271" max="271" width="18.625" style="298" customWidth="1"/>
    <col min="272" max="273" width="19.25" style="298" customWidth="1"/>
    <col min="274" max="274" width="19.875" style="298" customWidth="1"/>
    <col min="275" max="275" width="19.25" style="298" customWidth="1"/>
    <col min="276" max="276" width="19.875" style="298" customWidth="1"/>
    <col min="277" max="277" width="18.25" style="298" customWidth="1"/>
    <col min="278" max="278" width="18.875" style="298" customWidth="1"/>
    <col min="279" max="279" width="18.5" style="298" customWidth="1"/>
    <col min="280" max="280" width="19.125" style="298" customWidth="1"/>
    <col min="281" max="281" width="19.5" style="298" customWidth="1"/>
    <col min="282" max="282" width="26.875" style="298" customWidth="1"/>
    <col min="283" max="283" width="27.5" style="298" customWidth="1"/>
    <col min="284" max="284" width="26.125" style="298" customWidth="1"/>
    <col min="285" max="285" width="26.75" style="298" customWidth="1"/>
    <col min="286" max="286" width="26" style="298" customWidth="1"/>
    <col min="287" max="288" width="26.625" style="298" customWidth="1"/>
    <col min="289" max="289" width="27.25" style="298" customWidth="1"/>
    <col min="290" max="290" width="26.625" style="298" customWidth="1"/>
    <col min="291" max="291" width="27.25" style="298" customWidth="1"/>
    <col min="292" max="292" width="25.625" style="298" customWidth="1"/>
    <col min="293" max="293" width="26.25" style="298" customWidth="1"/>
    <col min="294" max="294" width="25.875" style="298" customWidth="1"/>
    <col min="295" max="295" width="26.5" style="298" customWidth="1"/>
    <col min="296" max="296" width="20.125" style="298" customWidth="1"/>
    <col min="297" max="297" width="18.75" style="298" customWidth="1"/>
    <col min="298" max="298" width="19.375" style="298" customWidth="1"/>
    <col min="299" max="299" width="18.625" style="298" customWidth="1"/>
    <col min="300" max="301" width="19.25" style="298" customWidth="1"/>
    <col min="302" max="302" width="19.875" style="298" customWidth="1"/>
    <col min="303" max="303" width="19.25" style="298" customWidth="1"/>
    <col min="304" max="304" width="19.875" style="298" customWidth="1"/>
    <col min="305" max="305" width="18.25" style="298" customWidth="1"/>
    <col min="306" max="306" width="18.875" style="298" customWidth="1"/>
    <col min="307" max="307" width="18.5" style="298" customWidth="1"/>
    <col min="308" max="308" width="19.125" style="298" customWidth="1"/>
    <col min="309" max="309" width="19.5" style="298" customWidth="1"/>
    <col min="310" max="310" width="26.875" style="298" customWidth="1"/>
    <col min="311" max="311" width="27.5" style="298" customWidth="1"/>
    <col min="312" max="312" width="26.125" style="298" customWidth="1"/>
    <col min="313" max="313" width="26.75" style="298" customWidth="1"/>
    <col min="314" max="314" width="26" style="298" customWidth="1"/>
    <col min="315" max="316" width="26.625" style="298" customWidth="1"/>
    <col min="317" max="317" width="27.25" style="298" customWidth="1"/>
    <col min="318" max="318" width="26.625" style="298" customWidth="1"/>
    <col min="319" max="319" width="27.25" style="298" customWidth="1"/>
    <col min="320" max="320" width="25.625" style="298" customWidth="1"/>
    <col min="321" max="321" width="26.25" style="298" customWidth="1"/>
    <col min="322" max="322" width="25.875" style="298" customWidth="1"/>
    <col min="323" max="323" width="26.5" style="298" customWidth="1"/>
    <col min="324" max="324" width="20.125" style="298" customWidth="1"/>
    <col min="325" max="325" width="18.75" style="298" customWidth="1"/>
    <col min="326" max="326" width="19.375" style="298" customWidth="1"/>
    <col min="327" max="327" width="18.625" style="298" customWidth="1"/>
    <col min="328" max="329" width="19.25" style="298" customWidth="1"/>
    <col min="330" max="330" width="19.875" style="298" customWidth="1"/>
    <col min="331" max="331" width="19.25" style="298" customWidth="1"/>
    <col min="332" max="332" width="19.875" style="298" customWidth="1"/>
    <col min="333" max="333" width="18.25" style="298" customWidth="1"/>
    <col min="334" max="334" width="18.875" style="298" customWidth="1"/>
    <col min="335" max="335" width="18.5" style="298" customWidth="1"/>
    <col min="336" max="336" width="19.125" style="298" customWidth="1"/>
    <col min="337" max="337" width="19.5" style="298" customWidth="1"/>
    <col min="338" max="338" width="26.875" style="298" customWidth="1"/>
    <col min="339" max="339" width="27.5" style="298" customWidth="1"/>
    <col min="340" max="340" width="26.125" style="298" customWidth="1"/>
    <col min="341" max="341" width="26.75" style="298" customWidth="1"/>
    <col min="342" max="342" width="26" style="298" customWidth="1"/>
    <col min="343" max="344" width="26.625" style="298" customWidth="1"/>
    <col min="345" max="345" width="27.25" style="298" customWidth="1"/>
    <col min="346" max="346" width="26.625" style="298" customWidth="1"/>
    <col min="347" max="347" width="27.25" style="298" customWidth="1"/>
    <col min="348" max="348" width="25.625" style="298" customWidth="1"/>
    <col min="349" max="349" width="26.25" style="298" customWidth="1"/>
    <col min="350" max="350" width="25.875" style="298" customWidth="1"/>
    <col min="351" max="351" width="26.5" style="298" customWidth="1"/>
    <col min="352" max="352" width="20.125" style="298" customWidth="1"/>
    <col min="353" max="353" width="18.75" style="298" customWidth="1"/>
    <col min="354" max="354" width="19.375" style="298" customWidth="1"/>
    <col min="355" max="355" width="18.625" style="298" customWidth="1"/>
    <col min="356" max="357" width="19.25" style="298" customWidth="1"/>
    <col min="358" max="358" width="19.875" style="298" customWidth="1"/>
    <col min="359" max="359" width="19.25" style="298" customWidth="1"/>
    <col min="360" max="360" width="19.875" style="298" customWidth="1"/>
    <col min="361" max="361" width="18.25" style="298" customWidth="1"/>
    <col min="362" max="362" width="18.875" style="298" customWidth="1"/>
    <col min="363" max="363" width="18.5" style="298" customWidth="1"/>
    <col min="364" max="364" width="19.125" style="298" customWidth="1"/>
    <col min="365" max="365" width="24.5" style="298" customWidth="1"/>
    <col min="366" max="366" width="31.875" style="298" bestFit="1" customWidth="1"/>
    <col min="367" max="367" width="32.5" style="298" bestFit="1" customWidth="1"/>
    <col min="368" max="368" width="31.125" style="298" bestFit="1" customWidth="1"/>
    <col min="369" max="369" width="31.75" style="298" bestFit="1" customWidth="1"/>
    <col min="370" max="370" width="31" style="298" bestFit="1" customWidth="1"/>
    <col min="371" max="372" width="31.625" style="298" bestFit="1" customWidth="1"/>
    <col min="373" max="373" width="32.25" style="298" bestFit="1" customWidth="1"/>
    <col min="374" max="374" width="31.625" style="298" bestFit="1" customWidth="1"/>
    <col min="375" max="375" width="32.25" style="298" bestFit="1" customWidth="1"/>
    <col min="376" max="376" width="30.625" style="298" bestFit="1" customWidth="1"/>
    <col min="377" max="377" width="31.25" style="298" bestFit="1" customWidth="1"/>
    <col min="378" max="378" width="30.875" style="298" bestFit="1" customWidth="1"/>
    <col min="379" max="379" width="31.5" style="298" bestFit="1" customWidth="1"/>
    <col min="380" max="380" width="25.125" style="298" bestFit="1" customWidth="1"/>
    <col min="381" max="381" width="23.75" style="298" bestFit="1" customWidth="1"/>
    <col min="382" max="382" width="24.375" style="298" bestFit="1" customWidth="1"/>
    <col min="383" max="383" width="23.625" style="298" bestFit="1" customWidth="1"/>
    <col min="384" max="385" width="24.25" style="298" bestFit="1" customWidth="1"/>
    <col min="386" max="386" width="24.875" style="298" bestFit="1" customWidth="1"/>
    <col min="387" max="387" width="24.25" style="298" bestFit="1" customWidth="1"/>
    <col min="388" max="388" width="24.875" style="298" bestFit="1" customWidth="1"/>
    <col min="389" max="389" width="23.25" style="298" bestFit="1" customWidth="1"/>
    <col min="390" max="390" width="23.875" style="298" bestFit="1" customWidth="1"/>
    <col min="391" max="391" width="23.5" style="298" bestFit="1" customWidth="1"/>
    <col min="392" max="392" width="24.125" style="298" bestFit="1" customWidth="1"/>
    <col min="393" max="16384" width="9" style="298"/>
  </cols>
  <sheetData>
    <row r="1" spans="1:17" x14ac:dyDescent="0.2">
      <c r="A1" s="637"/>
      <c r="B1" s="640"/>
      <c r="C1" s="640"/>
      <c r="D1" s="640"/>
      <c r="E1" s="640"/>
      <c r="F1" s="640"/>
      <c r="G1" s="640"/>
      <c r="H1" s="640"/>
      <c r="I1" s="640"/>
      <c r="J1" s="640"/>
      <c r="K1" s="640"/>
      <c r="L1" s="640"/>
      <c r="M1" s="640"/>
      <c r="N1" s="640"/>
      <c r="O1" s="640"/>
      <c r="P1" s="640"/>
      <c r="Q1" s="640"/>
    </row>
    <row r="2" spans="1:17" s="300" customFormat="1" x14ac:dyDescent="0.2">
      <c r="A2" s="637"/>
      <c r="B2" s="640"/>
      <c r="C2" s="640"/>
      <c r="D2" s="640"/>
      <c r="E2" s="640"/>
      <c r="F2" s="640"/>
      <c r="G2" s="640"/>
      <c r="H2" s="640"/>
      <c r="I2" s="640"/>
      <c r="J2" s="640"/>
      <c r="K2" s="640"/>
      <c r="L2" s="640"/>
      <c r="M2" s="640"/>
      <c r="N2" s="640"/>
      <c r="O2" s="640"/>
      <c r="P2" s="640"/>
      <c r="Q2" s="640"/>
    </row>
    <row r="3" spans="1:17" x14ac:dyDescent="0.2">
      <c r="A3" s="637"/>
      <c r="B3" s="640"/>
      <c r="C3" s="640"/>
      <c r="D3" s="640"/>
      <c r="E3" s="640"/>
      <c r="F3" s="640"/>
      <c r="G3" s="640"/>
      <c r="H3" s="640"/>
      <c r="I3" s="640"/>
      <c r="J3" s="640"/>
      <c r="K3" s="640"/>
      <c r="L3" s="640"/>
      <c r="M3" s="640"/>
      <c r="N3" s="640"/>
      <c r="O3" s="640"/>
      <c r="P3" s="640"/>
      <c r="Q3" s="640"/>
    </row>
    <row r="4" spans="1:17" x14ac:dyDescent="0.2">
      <c r="A4" s="638"/>
      <c r="B4" s="640"/>
      <c r="C4" s="640"/>
      <c r="D4" s="640"/>
      <c r="E4" s="640"/>
      <c r="F4" s="640"/>
      <c r="G4" s="640"/>
      <c r="H4" s="640"/>
      <c r="I4" s="640"/>
      <c r="J4" s="640"/>
      <c r="K4" s="640"/>
      <c r="L4" s="640"/>
      <c r="M4" s="640"/>
      <c r="N4" s="640"/>
      <c r="O4" s="640"/>
      <c r="P4" s="640"/>
      <c r="Q4" s="640"/>
    </row>
    <row r="5" spans="1:17" x14ac:dyDescent="0.2">
      <c r="A5" s="639"/>
      <c r="B5" s="640"/>
      <c r="C5" s="640"/>
      <c r="D5" s="640"/>
      <c r="E5" s="640"/>
      <c r="F5" s="640"/>
      <c r="G5" s="640"/>
      <c r="H5" s="640"/>
      <c r="I5" s="640"/>
      <c r="J5" s="640"/>
      <c r="K5" s="640"/>
      <c r="L5" s="640"/>
      <c r="M5" s="640"/>
      <c r="N5" s="640"/>
      <c r="O5" s="640"/>
      <c r="P5" s="640"/>
      <c r="Q5" s="640"/>
    </row>
    <row r="6" spans="1:17" x14ac:dyDescent="0.2">
      <c r="A6" s="639"/>
      <c r="B6" s="640"/>
      <c r="C6" s="640"/>
      <c r="D6" s="640"/>
      <c r="E6" s="640"/>
      <c r="F6" s="640"/>
      <c r="G6" s="640"/>
      <c r="H6" s="640"/>
      <c r="I6" s="640"/>
      <c r="J6" s="640"/>
      <c r="K6" s="640"/>
      <c r="L6" s="640"/>
      <c r="M6" s="640"/>
      <c r="N6" s="640"/>
      <c r="O6" s="640"/>
      <c r="P6" s="640"/>
      <c r="Q6" s="640"/>
    </row>
    <row r="7" spans="1:17" x14ac:dyDescent="0.2">
      <c r="A7" s="639"/>
      <c r="B7" s="640"/>
      <c r="C7" s="640"/>
      <c r="D7" s="640"/>
      <c r="E7" s="640"/>
      <c r="F7" s="640"/>
      <c r="G7" s="640"/>
      <c r="H7" s="640"/>
      <c r="I7" s="640"/>
      <c r="J7" s="640"/>
      <c r="K7" s="640"/>
      <c r="L7" s="640"/>
      <c r="M7" s="640"/>
      <c r="N7" s="640"/>
      <c r="O7" s="640"/>
      <c r="P7" s="640"/>
      <c r="Q7" s="640"/>
    </row>
    <row r="8" spans="1:17" x14ac:dyDescent="0.2">
      <c r="A8" s="639"/>
      <c r="B8" s="640"/>
      <c r="C8" s="640"/>
      <c r="D8" s="640"/>
      <c r="E8" s="640"/>
      <c r="F8" s="640"/>
      <c r="G8" s="640"/>
      <c r="H8" s="640"/>
      <c r="I8" s="640"/>
      <c r="J8" s="640"/>
      <c r="K8" s="640"/>
      <c r="L8" s="640"/>
      <c r="M8" s="640"/>
      <c r="N8" s="640"/>
      <c r="O8" s="640"/>
      <c r="P8" s="640"/>
      <c r="Q8" s="640"/>
    </row>
    <row r="9" spans="1:17" x14ac:dyDescent="0.2">
      <c r="A9" s="639"/>
      <c r="B9" s="640"/>
      <c r="C9" s="640"/>
      <c r="D9" s="640"/>
      <c r="E9" s="640"/>
      <c r="F9" s="640"/>
      <c r="G9" s="640"/>
      <c r="H9" s="640"/>
      <c r="I9" s="640"/>
      <c r="J9" s="640"/>
      <c r="K9" s="640"/>
      <c r="L9" s="640"/>
      <c r="M9" s="640"/>
      <c r="N9" s="640"/>
      <c r="O9" s="640"/>
      <c r="P9" s="640"/>
      <c r="Q9" s="640"/>
    </row>
    <row r="10" spans="1:17" x14ac:dyDescent="0.2">
      <c r="A10" s="639"/>
      <c r="B10" s="640"/>
      <c r="C10" s="640"/>
      <c r="D10" s="640"/>
      <c r="E10" s="640"/>
      <c r="F10" s="640"/>
      <c r="G10" s="640"/>
      <c r="H10" s="640"/>
      <c r="I10" s="640"/>
      <c r="J10" s="640"/>
      <c r="K10" s="640"/>
      <c r="L10" s="640"/>
      <c r="M10" s="640"/>
      <c r="N10" s="640"/>
      <c r="O10" s="640"/>
      <c r="P10" s="640"/>
      <c r="Q10" s="640"/>
    </row>
    <row r="11" spans="1:17" x14ac:dyDescent="0.2">
      <c r="A11" s="639"/>
      <c r="B11" s="640"/>
      <c r="C11" s="640"/>
      <c r="D11" s="640"/>
      <c r="E11" s="640"/>
      <c r="F11" s="640"/>
      <c r="G11" s="640"/>
      <c r="H11" s="640"/>
      <c r="I11" s="640"/>
      <c r="J11" s="640"/>
      <c r="K11" s="640"/>
      <c r="L11" s="640"/>
      <c r="M11" s="640"/>
      <c r="N11" s="640"/>
      <c r="O11" s="640"/>
      <c r="P11" s="640"/>
      <c r="Q11" s="640"/>
    </row>
    <row r="12" spans="1:17" x14ac:dyDescent="0.2">
      <c r="A12" s="638"/>
      <c r="B12" s="640"/>
      <c r="C12" s="640"/>
      <c r="D12" s="640"/>
      <c r="E12" s="640"/>
      <c r="F12" s="640"/>
      <c r="G12" s="640"/>
      <c r="H12" s="640"/>
      <c r="I12" s="640"/>
      <c r="J12" s="640"/>
      <c r="K12" s="640"/>
      <c r="L12" s="640"/>
      <c r="M12" s="640"/>
      <c r="N12" s="640"/>
      <c r="O12" s="640"/>
      <c r="P12" s="640"/>
      <c r="Q12" s="640"/>
    </row>
    <row r="13" spans="1:17" x14ac:dyDescent="0.2">
      <c r="A13" s="639"/>
      <c r="B13" s="640"/>
      <c r="C13" s="640"/>
      <c r="D13" s="640"/>
      <c r="E13" s="640"/>
      <c r="F13" s="640"/>
      <c r="G13" s="640"/>
      <c r="H13" s="640"/>
      <c r="I13" s="640"/>
      <c r="J13" s="640"/>
      <c r="K13" s="640"/>
      <c r="L13" s="640"/>
      <c r="M13" s="640"/>
      <c r="N13" s="640"/>
      <c r="O13" s="640"/>
      <c r="P13" s="640"/>
      <c r="Q13" s="640"/>
    </row>
    <row r="14" spans="1:17" x14ac:dyDescent="0.2">
      <c r="A14" s="639"/>
      <c r="B14" s="640"/>
      <c r="C14" s="640"/>
      <c r="D14" s="640"/>
      <c r="E14" s="640"/>
      <c r="F14" s="640"/>
      <c r="G14" s="640"/>
      <c r="H14" s="640"/>
      <c r="I14" s="640"/>
      <c r="J14" s="640"/>
      <c r="K14" s="640"/>
      <c r="L14" s="640"/>
      <c r="M14" s="640"/>
      <c r="N14" s="640"/>
      <c r="O14" s="640"/>
      <c r="P14" s="640"/>
      <c r="Q14" s="640"/>
    </row>
    <row r="15" spans="1:17" x14ac:dyDescent="0.2">
      <c r="A15" s="639"/>
      <c r="B15" s="640"/>
      <c r="C15" s="640"/>
      <c r="D15" s="640"/>
      <c r="E15" s="640"/>
      <c r="F15" s="640"/>
      <c r="G15" s="640"/>
      <c r="H15" s="640"/>
      <c r="I15" s="640"/>
      <c r="J15" s="640"/>
      <c r="K15" s="640"/>
      <c r="L15" s="640"/>
      <c r="M15" s="640"/>
      <c r="N15" s="640"/>
      <c r="O15" s="640"/>
      <c r="P15" s="640"/>
      <c r="Q15" s="640"/>
    </row>
    <row r="16" spans="1:17" x14ac:dyDescent="0.2">
      <c r="A16" s="639"/>
      <c r="B16" s="640"/>
      <c r="C16" s="640"/>
      <c r="D16" s="640"/>
      <c r="E16" s="640"/>
      <c r="F16" s="640"/>
      <c r="G16" s="640"/>
      <c r="H16" s="640"/>
      <c r="I16" s="640"/>
      <c r="J16" s="640"/>
      <c r="K16" s="640"/>
      <c r="L16" s="640"/>
      <c r="M16" s="640"/>
      <c r="N16" s="640"/>
      <c r="O16" s="640"/>
      <c r="P16" s="640"/>
      <c r="Q16" s="640"/>
    </row>
    <row r="17" spans="1:17" x14ac:dyDescent="0.2">
      <c r="A17" s="639"/>
      <c r="B17" s="640"/>
      <c r="C17" s="640"/>
      <c r="D17" s="640"/>
      <c r="E17" s="640"/>
      <c r="F17" s="640"/>
      <c r="G17" s="640"/>
      <c r="H17" s="640"/>
      <c r="I17" s="640"/>
      <c r="J17" s="640"/>
      <c r="K17" s="640"/>
      <c r="L17" s="640"/>
      <c r="M17" s="640"/>
      <c r="N17" s="640"/>
      <c r="O17" s="640"/>
      <c r="P17" s="640"/>
      <c r="Q17" s="640"/>
    </row>
    <row r="18" spans="1:17" x14ac:dyDescent="0.2">
      <c r="A18" s="639"/>
      <c r="B18" s="640"/>
      <c r="C18" s="640"/>
      <c r="D18" s="640"/>
      <c r="E18" s="640"/>
      <c r="F18" s="640"/>
      <c r="G18" s="640"/>
      <c r="H18" s="640"/>
      <c r="I18" s="640"/>
      <c r="J18" s="640"/>
      <c r="K18" s="640"/>
      <c r="L18" s="640"/>
      <c r="M18" s="640"/>
      <c r="N18" s="640"/>
      <c r="O18" s="640"/>
      <c r="P18" s="640"/>
      <c r="Q18" s="640"/>
    </row>
    <row r="19" spans="1:17" x14ac:dyDescent="0.2">
      <c r="A19" s="639"/>
      <c r="B19" s="640"/>
      <c r="C19" s="640"/>
      <c r="D19" s="640"/>
      <c r="E19" s="640"/>
      <c r="F19" s="640"/>
      <c r="G19" s="640"/>
      <c r="H19" s="640"/>
      <c r="I19" s="640"/>
      <c r="J19" s="640"/>
      <c r="K19" s="640"/>
      <c r="L19" s="640"/>
      <c r="M19" s="640"/>
      <c r="N19" s="640"/>
      <c r="O19" s="640"/>
      <c r="P19" s="640"/>
      <c r="Q19" s="640"/>
    </row>
    <row r="20" spans="1:17" x14ac:dyDescent="0.2">
      <c r="A20" s="638"/>
      <c r="B20" s="640"/>
      <c r="C20" s="640"/>
      <c r="D20" s="640"/>
      <c r="E20" s="640"/>
      <c r="F20" s="640"/>
      <c r="G20" s="640"/>
      <c r="H20" s="640"/>
      <c r="I20" s="640"/>
      <c r="J20" s="640"/>
      <c r="K20" s="640"/>
      <c r="L20" s="640"/>
      <c r="M20" s="640"/>
      <c r="N20" s="640"/>
      <c r="O20" s="640"/>
      <c r="P20" s="640"/>
      <c r="Q20" s="640"/>
    </row>
    <row r="21" spans="1:17" x14ac:dyDescent="0.2">
      <c r="A21" s="639"/>
      <c r="B21" s="640"/>
      <c r="C21" s="640"/>
      <c r="D21" s="640"/>
      <c r="E21" s="640"/>
      <c r="F21" s="640"/>
      <c r="G21" s="640"/>
      <c r="H21" s="640"/>
      <c r="I21" s="640"/>
      <c r="J21" s="640"/>
      <c r="K21" s="640"/>
      <c r="L21" s="640"/>
      <c r="M21" s="640"/>
      <c r="N21" s="640"/>
      <c r="O21" s="640"/>
      <c r="P21" s="640"/>
      <c r="Q21" s="640"/>
    </row>
    <row r="22" spans="1:17" x14ac:dyDescent="0.2">
      <c r="A22" s="639"/>
      <c r="B22" s="640"/>
      <c r="C22" s="640"/>
      <c r="D22" s="640"/>
      <c r="E22" s="640"/>
      <c r="F22" s="640"/>
      <c r="G22" s="640"/>
      <c r="H22" s="640"/>
      <c r="I22" s="640"/>
      <c r="J22" s="640"/>
      <c r="K22" s="640"/>
      <c r="L22" s="640"/>
      <c r="M22" s="640"/>
      <c r="N22" s="640"/>
      <c r="O22" s="640"/>
      <c r="P22" s="640"/>
      <c r="Q22" s="640"/>
    </row>
    <row r="23" spans="1:17" x14ac:dyDescent="0.2">
      <c r="A23" s="639"/>
      <c r="B23" s="640"/>
      <c r="C23" s="640"/>
      <c r="D23" s="640"/>
      <c r="E23" s="640"/>
      <c r="F23" s="640"/>
      <c r="G23" s="640"/>
      <c r="H23" s="640"/>
      <c r="I23" s="640"/>
      <c r="J23" s="640"/>
      <c r="K23" s="640"/>
      <c r="L23" s="640"/>
      <c r="M23" s="640"/>
      <c r="N23" s="640"/>
      <c r="O23" s="640"/>
      <c r="P23" s="640"/>
      <c r="Q23" s="640"/>
    </row>
    <row r="24" spans="1:17" x14ac:dyDescent="0.2">
      <c r="A24" s="639"/>
      <c r="B24" s="640"/>
      <c r="C24" s="640"/>
      <c r="D24" s="640"/>
      <c r="E24" s="640"/>
      <c r="F24" s="640"/>
      <c r="G24" s="640"/>
      <c r="H24" s="640"/>
      <c r="I24" s="640"/>
      <c r="J24" s="640"/>
      <c r="K24" s="640"/>
      <c r="L24" s="640"/>
      <c r="M24" s="640"/>
      <c r="N24" s="640"/>
      <c r="O24" s="640"/>
      <c r="P24" s="640"/>
      <c r="Q24" s="640"/>
    </row>
    <row r="25" spans="1:17" x14ac:dyDescent="0.2">
      <c r="A25" s="639"/>
      <c r="B25" s="640"/>
      <c r="C25" s="640"/>
      <c r="D25" s="640"/>
      <c r="E25" s="640"/>
      <c r="F25" s="640"/>
      <c r="G25" s="640"/>
      <c r="H25" s="640"/>
      <c r="I25" s="640"/>
      <c r="J25" s="640"/>
      <c r="K25" s="640"/>
      <c r="L25" s="640"/>
      <c r="M25" s="640"/>
      <c r="N25" s="640"/>
      <c r="O25" s="640"/>
      <c r="P25" s="640"/>
      <c r="Q25" s="640"/>
    </row>
    <row r="26" spans="1:17" x14ac:dyDescent="0.2">
      <c r="A26" s="639"/>
      <c r="B26" s="640"/>
      <c r="C26" s="640"/>
      <c r="D26" s="640"/>
      <c r="E26" s="640"/>
      <c r="F26" s="640"/>
      <c r="G26" s="640"/>
      <c r="H26" s="640"/>
      <c r="I26" s="640"/>
      <c r="J26" s="640"/>
      <c r="K26" s="640"/>
      <c r="L26" s="640"/>
      <c r="M26" s="640"/>
      <c r="N26" s="640"/>
      <c r="O26" s="640"/>
      <c r="P26" s="640"/>
      <c r="Q26" s="640"/>
    </row>
    <row r="27" spans="1:17" x14ac:dyDescent="0.2">
      <c r="A27" s="639"/>
      <c r="B27" s="640"/>
      <c r="C27" s="640"/>
      <c r="D27" s="640"/>
      <c r="E27" s="640"/>
      <c r="F27" s="640"/>
      <c r="G27" s="640"/>
      <c r="H27" s="640"/>
      <c r="I27" s="640"/>
      <c r="J27" s="640"/>
      <c r="K27" s="640"/>
      <c r="L27" s="640"/>
      <c r="M27" s="640"/>
      <c r="N27" s="640"/>
      <c r="O27" s="640"/>
      <c r="P27" s="640"/>
      <c r="Q27" s="640"/>
    </row>
    <row r="28" spans="1:17" x14ac:dyDescent="0.2">
      <c r="A28" s="638"/>
      <c r="B28" s="640"/>
      <c r="C28" s="640"/>
      <c r="D28" s="640"/>
      <c r="E28" s="640"/>
      <c r="F28" s="640"/>
      <c r="G28" s="640"/>
      <c r="H28" s="640"/>
      <c r="I28" s="640"/>
      <c r="J28" s="640"/>
      <c r="K28" s="640"/>
      <c r="L28" s="640"/>
      <c r="M28" s="640"/>
      <c r="N28" s="640"/>
      <c r="O28" s="640"/>
      <c r="P28" s="640"/>
      <c r="Q28" s="640"/>
    </row>
    <row r="29" spans="1:17" x14ac:dyDescent="0.2">
      <c r="A29" s="639"/>
      <c r="B29" s="640"/>
      <c r="C29" s="640"/>
      <c r="D29" s="640"/>
      <c r="E29" s="640"/>
      <c r="F29" s="640"/>
      <c r="G29" s="640"/>
      <c r="H29" s="640"/>
      <c r="I29" s="640"/>
      <c r="J29" s="640"/>
      <c r="K29" s="640"/>
      <c r="L29" s="640"/>
      <c r="M29" s="640"/>
      <c r="N29" s="640"/>
      <c r="O29" s="640"/>
      <c r="P29" s="640"/>
      <c r="Q29" s="640"/>
    </row>
    <row r="30" spans="1:17" x14ac:dyDescent="0.2">
      <c r="A30" s="639"/>
      <c r="B30" s="640"/>
      <c r="C30" s="640"/>
      <c r="D30" s="640"/>
      <c r="E30" s="640"/>
      <c r="F30" s="640"/>
      <c r="G30" s="640"/>
      <c r="H30" s="640"/>
      <c r="I30" s="640"/>
      <c r="J30" s="640"/>
      <c r="K30" s="640"/>
      <c r="L30" s="640"/>
      <c r="M30" s="640"/>
      <c r="N30" s="640"/>
      <c r="O30" s="640"/>
      <c r="P30" s="640"/>
      <c r="Q30" s="640"/>
    </row>
    <row r="31" spans="1:17" x14ac:dyDescent="0.2">
      <c r="A31" s="639"/>
      <c r="B31" s="640"/>
      <c r="C31" s="640"/>
      <c r="D31" s="640"/>
      <c r="E31" s="640"/>
      <c r="F31" s="640"/>
      <c r="G31" s="640"/>
      <c r="H31" s="640"/>
      <c r="I31" s="640"/>
      <c r="J31" s="640"/>
      <c r="K31" s="640"/>
      <c r="L31" s="640"/>
      <c r="M31" s="640"/>
      <c r="N31" s="640"/>
      <c r="O31" s="640"/>
      <c r="P31" s="640"/>
      <c r="Q31" s="640"/>
    </row>
    <row r="32" spans="1:17" x14ac:dyDescent="0.2">
      <c r="A32" s="639"/>
      <c r="B32" s="640"/>
      <c r="C32" s="640"/>
      <c r="D32" s="640"/>
      <c r="E32" s="640"/>
      <c r="F32" s="640"/>
      <c r="G32" s="640"/>
      <c r="H32" s="640"/>
      <c r="I32" s="640"/>
      <c r="J32" s="640"/>
      <c r="K32" s="640"/>
      <c r="L32" s="640"/>
      <c r="M32" s="640"/>
      <c r="N32" s="640"/>
      <c r="O32" s="640"/>
      <c r="P32" s="640"/>
      <c r="Q32" s="640"/>
    </row>
    <row r="33" spans="1:17" x14ac:dyDescent="0.2">
      <c r="A33" s="639"/>
      <c r="B33" s="640"/>
      <c r="C33" s="640"/>
      <c r="D33" s="640"/>
      <c r="E33" s="640"/>
      <c r="F33" s="640"/>
      <c r="G33" s="640"/>
      <c r="H33" s="640"/>
      <c r="I33" s="640"/>
      <c r="J33" s="640"/>
      <c r="K33" s="640"/>
      <c r="L33" s="640"/>
      <c r="M33" s="640"/>
      <c r="N33" s="640"/>
      <c r="O33" s="640"/>
      <c r="P33" s="640"/>
      <c r="Q33" s="640"/>
    </row>
    <row r="34" spans="1:17" x14ac:dyDescent="0.2">
      <c r="A34" s="639"/>
      <c r="B34" s="640"/>
      <c r="C34" s="640"/>
      <c r="D34" s="640"/>
      <c r="E34" s="640"/>
      <c r="F34" s="640"/>
      <c r="G34" s="640"/>
      <c r="H34" s="640"/>
      <c r="I34" s="640"/>
      <c r="J34" s="640"/>
      <c r="K34" s="640"/>
      <c r="L34" s="640"/>
      <c r="M34" s="640"/>
      <c r="N34" s="640"/>
      <c r="O34" s="640"/>
      <c r="P34" s="640"/>
      <c r="Q34" s="640"/>
    </row>
    <row r="35" spans="1:17" x14ac:dyDescent="0.2">
      <c r="A35" s="639"/>
      <c r="B35" s="640"/>
      <c r="C35" s="640"/>
      <c r="D35" s="640"/>
      <c r="E35" s="640"/>
      <c r="F35" s="640"/>
      <c r="G35" s="640"/>
      <c r="H35" s="640"/>
      <c r="I35" s="640"/>
      <c r="J35" s="640"/>
      <c r="K35" s="640"/>
      <c r="L35" s="640"/>
      <c r="M35" s="640"/>
      <c r="N35" s="640"/>
      <c r="O35" s="640"/>
      <c r="P35" s="640"/>
      <c r="Q35" s="640"/>
    </row>
    <row r="36" spans="1:17" x14ac:dyDescent="0.2">
      <c r="A36" s="638"/>
      <c r="B36" s="640"/>
      <c r="C36" s="640"/>
      <c r="D36" s="640"/>
      <c r="E36" s="640"/>
      <c r="F36" s="640"/>
      <c r="G36" s="640"/>
      <c r="H36" s="640"/>
      <c r="I36" s="640"/>
      <c r="J36" s="640"/>
      <c r="K36" s="640"/>
      <c r="L36" s="640"/>
      <c r="M36" s="640"/>
      <c r="N36" s="640"/>
      <c r="O36" s="640"/>
      <c r="P36" s="640"/>
      <c r="Q36" s="640"/>
    </row>
    <row r="37" spans="1:17" x14ac:dyDescent="0.2">
      <c r="A37" s="639"/>
      <c r="B37" s="640"/>
      <c r="C37" s="640"/>
      <c r="D37" s="640"/>
      <c r="E37" s="640"/>
      <c r="F37" s="640"/>
      <c r="G37" s="640"/>
      <c r="H37" s="640"/>
      <c r="I37" s="640"/>
      <c r="J37" s="640"/>
      <c r="K37" s="640"/>
      <c r="L37" s="640"/>
      <c r="M37" s="640"/>
      <c r="N37" s="640"/>
      <c r="O37" s="640"/>
      <c r="P37" s="640"/>
      <c r="Q37" s="640"/>
    </row>
    <row r="38" spans="1:17" x14ac:dyDescent="0.2">
      <c r="A38" s="639"/>
      <c r="B38" s="640"/>
      <c r="C38" s="640"/>
      <c r="D38" s="640"/>
      <c r="E38" s="640"/>
      <c r="F38" s="640"/>
      <c r="G38" s="640"/>
      <c r="H38" s="640"/>
      <c r="I38" s="640"/>
      <c r="J38" s="640"/>
      <c r="K38" s="640"/>
      <c r="L38" s="640"/>
      <c r="M38" s="640"/>
      <c r="N38" s="640"/>
      <c r="O38" s="640"/>
      <c r="P38" s="640"/>
      <c r="Q38" s="640"/>
    </row>
    <row r="39" spans="1:17" x14ac:dyDescent="0.2">
      <c r="A39" s="639"/>
      <c r="B39" s="640"/>
      <c r="C39" s="640"/>
      <c r="D39" s="640"/>
      <c r="E39" s="640"/>
      <c r="F39" s="640"/>
      <c r="G39" s="640"/>
      <c r="H39" s="640"/>
      <c r="I39" s="640"/>
      <c r="J39" s="640"/>
      <c r="K39" s="640"/>
      <c r="L39" s="640"/>
      <c r="M39" s="640"/>
      <c r="N39" s="640"/>
      <c r="O39" s="640"/>
      <c r="P39" s="640"/>
      <c r="Q39" s="640"/>
    </row>
    <row r="40" spans="1:17" x14ac:dyDescent="0.2">
      <c r="A40" s="639"/>
      <c r="B40" s="640"/>
      <c r="C40" s="640"/>
      <c r="D40" s="640"/>
      <c r="E40" s="640"/>
      <c r="F40" s="640"/>
      <c r="G40" s="640"/>
      <c r="H40" s="640"/>
      <c r="I40" s="640"/>
      <c r="J40" s="640"/>
      <c r="K40" s="640"/>
      <c r="L40" s="640"/>
      <c r="M40" s="640"/>
      <c r="N40" s="640"/>
      <c r="O40" s="640"/>
      <c r="P40" s="640"/>
      <c r="Q40" s="640"/>
    </row>
    <row r="41" spans="1:17" x14ac:dyDescent="0.2">
      <c r="A41" s="639"/>
      <c r="B41" s="640"/>
      <c r="C41" s="640"/>
      <c r="D41" s="640"/>
      <c r="E41" s="640"/>
      <c r="F41" s="640"/>
      <c r="G41" s="640"/>
      <c r="H41" s="640"/>
      <c r="I41" s="640"/>
      <c r="J41" s="640"/>
      <c r="K41" s="640"/>
      <c r="L41" s="640"/>
      <c r="M41" s="640"/>
      <c r="N41" s="640"/>
      <c r="O41" s="640"/>
      <c r="P41" s="640"/>
      <c r="Q41" s="640"/>
    </row>
    <row r="42" spans="1:17" x14ac:dyDescent="0.2">
      <c r="A42" s="639"/>
      <c r="B42" s="640"/>
      <c r="C42" s="640"/>
      <c r="D42" s="640"/>
      <c r="E42" s="640"/>
      <c r="F42" s="640"/>
      <c r="G42" s="640"/>
      <c r="H42" s="640"/>
      <c r="I42" s="640"/>
      <c r="J42" s="640"/>
      <c r="K42" s="640"/>
      <c r="L42" s="640"/>
      <c r="M42" s="640"/>
      <c r="N42" s="640"/>
      <c r="O42" s="640"/>
      <c r="P42" s="640"/>
      <c r="Q42" s="640"/>
    </row>
    <row r="43" spans="1:17" x14ac:dyDescent="0.2">
      <c r="A43" s="639"/>
      <c r="B43" s="640"/>
      <c r="C43" s="640"/>
      <c r="D43" s="640"/>
      <c r="E43" s="640"/>
      <c r="F43" s="640"/>
      <c r="G43" s="640"/>
      <c r="H43" s="640"/>
      <c r="I43" s="640"/>
      <c r="J43" s="640"/>
      <c r="K43" s="640"/>
      <c r="L43" s="640"/>
      <c r="M43" s="640"/>
      <c r="N43" s="640"/>
      <c r="O43" s="640"/>
      <c r="P43" s="640"/>
      <c r="Q43" s="640"/>
    </row>
    <row r="44" spans="1:17" x14ac:dyDescent="0.2">
      <c r="A44" s="638"/>
      <c r="B44" s="640"/>
      <c r="C44" s="640"/>
      <c r="D44" s="640"/>
      <c r="E44" s="640"/>
      <c r="F44" s="640"/>
      <c r="G44" s="640"/>
      <c r="H44" s="640"/>
      <c r="I44" s="640"/>
      <c r="J44" s="640"/>
      <c r="K44" s="640"/>
      <c r="L44" s="640"/>
      <c r="M44" s="640"/>
      <c r="N44" s="640"/>
      <c r="O44" s="640"/>
      <c r="P44" s="640"/>
      <c r="Q44" s="640"/>
    </row>
    <row r="45" spans="1:17" x14ac:dyDescent="0.2">
      <c r="A45" s="639"/>
      <c r="B45" s="640"/>
      <c r="C45" s="640"/>
      <c r="D45" s="640"/>
      <c r="E45" s="640"/>
      <c r="F45" s="640"/>
      <c r="G45" s="640"/>
      <c r="H45" s="640"/>
      <c r="I45" s="640"/>
      <c r="J45" s="640"/>
      <c r="K45" s="640"/>
      <c r="L45" s="640"/>
      <c r="M45" s="640"/>
      <c r="N45" s="640"/>
      <c r="O45" s="640"/>
      <c r="P45" s="640"/>
      <c r="Q45" s="640"/>
    </row>
    <row r="46" spans="1:17" x14ac:dyDescent="0.2">
      <c r="A46" s="639"/>
      <c r="B46" s="640"/>
      <c r="C46" s="640"/>
      <c r="D46" s="640"/>
      <c r="E46" s="640"/>
      <c r="F46" s="640"/>
      <c r="G46" s="640"/>
      <c r="H46" s="640"/>
      <c r="I46" s="640"/>
      <c r="J46" s="640"/>
      <c r="K46" s="640"/>
      <c r="L46" s="640"/>
      <c r="M46" s="640"/>
      <c r="N46" s="640"/>
      <c r="O46" s="640"/>
      <c r="P46" s="640"/>
      <c r="Q46" s="640"/>
    </row>
    <row r="47" spans="1:17" x14ac:dyDescent="0.2">
      <c r="A47" s="639"/>
      <c r="B47" s="640"/>
      <c r="C47" s="640"/>
      <c r="D47" s="640"/>
      <c r="E47" s="640"/>
      <c r="F47" s="640"/>
      <c r="G47" s="640"/>
      <c r="H47" s="640"/>
      <c r="I47" s="640"/>
      <c r="J47" s="640"/>
      <c r="K47" s="640"/>
      <c r="L47" s="640"/>
      <c r="M47" s="640"/>
      <c r="N47" s="640"/>
      <c r="O47" s="640"/>
      <c r="P47" s="640"/>
      <c r="Q47" s="640"/>
    </row>
    <row r="48" spans="1:17" x14ac:dyDescent="0.2">
      <c r="A48" s="639"/>
      <c r="B48" s="640"/>
      <c r="C48" s="640"/>
      <c r="D48" s="640"/>
      <c r="E48" s="640"/>
      <c r="F48" s="640"/>
      <c r="G48" s="640"/>
      <c r="H48" s="640"/>
      <c r="I48" s="640"/>
      <c r="J48" s="640"/>
      <c r="K48" s="640"/>
      <c r="L48" s="640"/>
      <c r="M48" s="640"/>
      <c r="N48" s="640"/>
      <c r="O48" s="640"/>
      <c r="P48" s="640"/>
      <c r="Q48" s="640"/>
    </row>
    <row r="49" spans="1:17" x14ac:dyDescent="0.2">
      <c r="A49" s="639"/>
      <c r="B49" s="640"/>
      <c r="C49" s="640"/>
      <c r="D49" s="640"/>
      <c r="E49" s="640"/>
      <c r="F49" s="640"/>
      <c r="G49" s="640"/>
      <c r="H49" s="640"/>
      <c r="I49" s="640"/>
      <c r="J49" s="640"/>
      <c r="K49" s="640"/>
      <c r="L49" s="640"/>
      <c r="M49" s="640"/>
      <c r="N49" s="640"/>
      <c r="O49" s="640"/>
      <c r="P49" s="640"/>
      <c r="Q49" s="640"/>
    </row>
    <row r="50" spans="1:17" x14ac:dyDescent="0.2">
      <c r="A50" s="639"/>
      <c r="B50" s="640"/>
      <c r="C50" s="640"/>
      <c r="D50" s="640"/>
      <c r="E50" s="640"/>
      <c r="F50" s="640"/>
      <c r="G50" s="640"/>
      <c r="H50" s="640"/>
      <c r="I50" s="640"/>
      <c r="J50" s="640"/>
      <c r="K50" s="640"/>
      <c r="L50" s="640"/>
      <c r="M50" s="640"/>
      <c r="N50" s="640"/>
      <c r="O50" s="640"/>
      <c r="P50" s="640"/>
      <c r="Q50" s="640"/>
    </row>
    <row r="51" spans="1:17" x14ac:dyDescent="0.2">
      <c r="A51" s="639"/>
      <c r="B51" s="640"/>
      <c r="C51" s="640"/>
      <c r="D51" s="640"/>
      <c r="E51" s="640"/>
      <c r="F51" s="640"/>
      <c r="G51" s="640"/>
      <c r="H51" s="640"/>
      <c r="I51" s="640"/>
      <c r="J51" s="640"/>
      <c r="K51" s="640"/>
      <c r="L51" s="640"/>
      <c r="M51" s="640"/>
      <c r="N51" s="640"/>
      <c r="O51" s="640"/>
      <c r="P51" s="640"/>
      <c r="Q51" s="640"/>
    </row>
    <row r="52" spans="1:17" x14ac:dyDescent="0.2">
      <c r="A52" s="638"/>
      <c r="B52" s="640"/>
      <c r="C52" s="640"/>
      <c r="D52" s="640"/>
      <c r="E52" s="640"/>
      <c r="F52" s="640"/>
      <c r="G52" s="640"/>
      <c r="H52" s="640"/>
      <c r="I52" s="640"/>
      <c r="J52" s="640"/>
      <c r="K52" s="640"/>
      <c r="L52" s="640"/>
      <c r="M52" s="640"/>
      <c r="N52" s="640"/>
      <c r="O52" s="640"/>
      <c r="P52" s="640"/>
      <c r="Q52" s="640"/>
    </row>
    <row r="53" spans="1:17" x14ac:dyDescent="0.2">
      <c r="A53" s="639"/>
      <c r="B53" s="640"/>
      <c r="C53" s="640"/>
      <c r="D53" s="640"/>
      <c r="E53" s="640"/>
      <c r="F53" s="640"/>
      <c r="G53" s="640"/>
      <c r="H53" s="640"/>
      <c r="I53" s="640"/>
      <c r="J53" s="640"/>
      <c r="K53" s="640"/>
      <c r="L53" s="640"/>
      <c r="M53" s="640"/>
      <c r="N53" s="640"/>
      <c r="O53" s="640"/>
      <c r="P53" s="640"/>
      <c r="Q53" s="640"/>
    </row>
    <row r="54" spans="1:17" x14ac:dyDescent="0.2">
      <c r="A54" s="639"/>
      <c r="B54" s="640"/>
      <c r="C54" s="640"/>
      <c r="D54" s="640"/>
      <c r="E54" s="640"/>
      <c r="F54" s="640"/>
      <c r="G54" s="640"/>
      <c r="H54" s="640"/>
      <c r="I54" s="640"/>
      <c r="J54" s="640"/>
      <c r="K54" s="640"/>
      <c r="L54" s="640"/>
      <c r="M54" s="640"/>
      <c r="N54" s="640"/>
      <c r="O54" s="640"/>
      <c r="P54" s="640"/>
      <c r="Q54" s="640"/>
    </row>
    <row r="55" spans="1:17" x14ac:dyDescent="0.2">
      <c r="A55" s="639"/>
      <c r="B55" s="640"/>
      <c r="C55" s="640"/>
      <c r="D55" s="640"/>
      <c r="E55" s="640"/>
      <c r="F55" s="640"/>
      <c r="G55" s="640"/>
      <c r="H55" s="640"/>
      <c r="I55" s="640"/>
      <c r="J55" s="640"/>
      <c r="K55" s="640"/>
      <c r="L55" s="640"/>
      <c r="M55" s="640"/>
      <c r="N55" s="640"/>
      <c r="O55" s="640"/>
      <c r="P55" s="640"/>
      <c r="Q55" s="640"/>
    </row>
    <row r="56" spans="1:17" x14ac:dyDescent="0.2">
      <c r="A56" s="639"/>
      <c r="B56" s="640"/>
      <c r="C56" s="640"/>
      <c r="D56" s="640"/>
      <c r="E56" s="640"/>
      <c r="F56" s="640"/>
      <c r="G56" s="640"/>
      <c r="H56" s="640"/>
      <c r="I56" s="640"/>
      <c r="J56" s="640"/>
      <c r="K56" s="640"/>
      <c r="L56" s="640"/>
      <c r="M56" s="640"/>
      <c r="N56" s="640"/>
      <c r="O56" s="640"/>
      <c r="P56" s="640"/>
      <c r="Q56" s="640"/>
    </row>
    <row r="57" spans="1:17" x14ac:dyDescent="0.2">
      <c r="A57" s="639"/>
      <c r="B57" s="640"/>
      <c r="C57" s="640"/>
      <c r="D57" s="640"/>
      <c r="E57" s="640"/>
      <c r="F57" s="640"/>
      <c r="G57" s="640"/>
      <c r="H57" s="640"/>
      <c r="I57" s="640"/>
      <c r="J57" s="640"/>
      <c r="K57" s="640"/>
      <c r="L57" s="640"/>
      <c r="M57" s="640"/>
      <c r="N57" s="640"/>
      <c r="O57" s="640"/>
      <c r="P57" s="640"/>
      <c r="Q57" s="640"/>
    </row>
    <row r="58" spans="1:17" x14ac:dyDescent="0.2">
      <c r="A58" s="639"/>
      <c r="B58" s="640"/>
      <c r="C58" s="640"/>
      <c r="D58" s="640"/>
      <c r="E58" s="640"/>
      <c r="F58" s="640"/>
      <c r="G58" s="640"/>
      <c r="H58" s="640"/>
      <c r="I58" s="640"/>
      <c r="J58" s="640"/>
      <c r="K58" s="640"/>
      <c r="L58" s="640"/>
      <c r="M58" s="640"/>
      <c r="N58" s="640"/>
      <c r="O58" s="640"/>
      <c r="P58" s="640"/>
      <c r="Q58" s="640"/>
    </row>
    <row r="59" spans="1:17" x14ac:dyDescent="0.2">
      <c r="A59" s="639"/>
      <c r="B59" s="640"/>
      <c r="C59" s="640"/>
      <c r="D59" s="640"/>
      <c r="E59" s="640"/>
      <c r="F59" s="640"/>
      <c r="G59" s="640"/>
      <c r="H59" s="640"/>
      <c r="I59" s="640"/>
      <c r="J59" s="640"/>
      <c r="K59" s="640"/>
      <c r="L59" s="640"/>
      <c r="M59" s="640"/>
      <c r="N59" s="640"/>
      <c r="O59" s="640"/>
      <c r="P59" s="640"/>
      <c r="Q59" s="640"/>
    </row>
    <row r="60" spans="1:17" x14ac:dyDescent="0.2">
      <c r="A60" s="638"/>
      <c r="B60" s="640"/>
      <c r="C60" s="640"/>
      <c r="D60" s="640"/>
      <c r="E60" s="640"/>
      <c r="F60" s="640"/>
      <c r="G60" s="640"/>
      <c r="H60" s="640"/>
      <c r="I60" s="640"/>
      <c r="J60" s="640"/>
      <c r="K60" s="640"/>
      <c r="L60" s="640"/>
      <c r="M60" s="640"/>
      <c r="N60" s="640"/>
      <c r="O60" s="640"/>
      <c r="P60" s="640"/>
      <c r="Q60" s="640"/>
    </row>
    <row r="61" spans="1:17" x14ac:dyDescent="0.2">
      <c r="A61" s="639"/>
      <c r="B61" s="640"/>
      <c r="C61" s="640"/>
      <c r="D61" s="640"/>
      <c r="E61" s="640"/>
      <c r="F61" s="640"/>
      <c r="G61" s="640"/>
      <c r="H61" s="640"/>
      <c r="I61" s="640"/>
      <c r="J61" s="640"/>
      <c r="K61" s="640"/>
      <c r="L61" s="640"/>
      <c r="M61" s="640"/>
      <c r="N61" s="640"/>
      <c r="O61" s="640"/>
      <c r="P61" s="640"/>
      <c r="Q61" s="640"/>
    </row>
    <row r="62" spans="1:17" x14ac:dyDescent="0.2">
      <c r="A62" s="639"/>
      <c r="B62" s="640"/>
      <c r="C62" s="640"/>
      <c r="D62" s="640"/>
      <c r="E62" s="640"/>
      <c r="F62" s="640"/>
      <c r="G62" s="640"/>
      <c r="H62" s="640"/>
      <c r="I62" s="640"/>
      <c r="J62" s="640"/>
      <c r="K62" s="640"/>
      <c r="L62" s="640"/>
      <c r="M62" s="640"/>
      <c r="N62" s="640"/>
      <c r="O62" s="640"/>
      <c r="P62" s="640"/>
      <c r="Q62" s="640"/>
    </row>
    <row r="63" spans="1:17" x14ac:dyDescent="0.2">
      <c r="A63" s="639"/>
      <c r="B63" s="640"/>
      <c r="C63" s="640"/>
      <c r="D63" s="640"/>
      <c r="E63" s="640"/>
      <c r="F63" s="640"/>
      <c r="G63" s="640"/>
      <c r="H63" s="640"/>
      <c r="I63" s="640"/>
      <c r="J63" s="640"/>
      <c r="K63" s="640"/>
      <c r="L63" s="640"/>
      <c r="M63" s="640"/>
      <c r="N63" s="640"/>
      <c r="O63" s="640"/>
      <c r="P63" s="640"/>
      <c r="Q63" s="640"/>
    </row>
    <row r="64" spans="1:17" x14ac:dyDescent="0.2">
      <c r="A64" s="639"/>
      <c r="B64" s="640"/>
      <c r="C64" s="640"/>
      <c r="D64" s="640"/>
      <c r="E64" s="640"/>
      <c r="F64" s="640"/>
      <c r="G64" s="640"/>
      <c r="H64" s="640"/>
      <c r="I64" s="640"/>
      <c r="J64" s="640"/>
      <c r="K64" s="640"/>
      <c r="L64" s="640"/>
      <c r="M64" s="640"/>
      <c r="N64" s="640"/>
      <c r="O64" s="640"/>
      <c r="P64" s="640"/>
      <c r="Q64" s="640"/>
    </row>
    <row r="65" spans="1:17" x14ac:dyDescent="0.2">
      <c r="A65" s="639"/>
      <c r="B65" s="640"/>
      <c r="C65" s="640"/>
      <c r="D65" s="640"/>
      <c r="E65" s="640"/>
      <c r="F65" s="640"/>
      <c r="G65" s="640"/>
      <c r="H65" s="640"/>
      <c r="I65" s="640"/>
      <c r="J65" s="640"/>
      <c r="K65" s="640"/>
      <c r="L65" s="640"/>
      <c r="M65" s="640"/>
      <c r="N65" s="640"/>
      <c r="O65" s="640"/>
      <c r="P65" s="640"/>
      <c r="Q65" s="640"/>
    </row>
    <row r="66" spans="1:17" x14ac:dyDescent="0.2">
      <c r="A66" s="639"/>
      <c r="B66" s="640"/>
      <c r="C66" s="640"/>
      <c r="D66" s="640"/>
      <c r="E66" s="640"/>
      <c r="F66" s="640"/>
      <c r="G66" s="640"/>
      <c r="H66" s="640"/>
      <c r="I66" s="640"/>
      <c r="J66" s="640"/>
      <c r="K66" s="640"/>
      <c r="L66" s="640"/>
      <c r="M66" s="640"/>
      <c r="N66" s="640"/>
      <c r="O66" s="640"/>
      <c r="P66" s="640"/>
      <c r="Q66" s="640"/>
    </row>
    <row r="67" spans="1:17" x14ac:dyDescent="0.2">
      <c r="A67" s="639"/>
      <c r="B67" s="640"/>
      <c r="C67" s="640"/>
      <c r="D67" s="640"/>
      <c r="E67" s="640"/>
      <c r="F67" s="640"/>
      <c r="G67" s="640"/>
      <c r="H67" s="640"/>
      <c r="I67" s="640"/>
      <c r="J67" s="640"/>
      <c r="K67" s="640"/>
      <c r="L67" s="640"/>
      <c r="M67" s="640"/>
      <c r="N67" s="640"/>
      <c r="O67" s="640"/>
      <c r="P67" s="640"/>
      <c r="Q67" s="640"/>
    </row>
    <row r="68" spans="1:17" x14ac:dyDescent="0.2">
      <c r="A68" s="638"/>
      <c r="B68" s="640"/>
      <c r="C68" s="640"/>
      <c r="D68" s="640"/>
      <c r="E68" s="640"/>
      <c r="F68" s="640"/>
      <c r="G68" s="640"/>
      <c r="H68" s="640"/>
      <c r="I68" s="640"/>
      <c r="J68" s="640"/>
      <c r="K68" s="640"/>
      <c r="L68" s="640"/>
      <c r="M68" s="640"/>
      <c r="N68" s="640"/>
      <c r="O68" s="640"/>
      <c r="P68" s="640"/>
      <c r="Q68" s="640"/>
    </row>
    <row r="69" spans="1:17" x14ac:dyDescent="0.2">
      <c r="A69" s="639"/>
      <c r="B69" s="640"/>
      <c r="C69" s="640"/>
      <c r="D69" s="640"/>
      <c r="E69" s="640"/>
      <c r="F69" s="640"/>
      <c r="G69" s="640"/>
      <c r="H69" s="640"/>
      <c r="I69" s="640"/>
      <c r="J69" s="640"/>
      <c r="K69" s="640"/>
      <c r="L69" s="640"/>
      <c r="M69" s="640"/>
      <c r="N69" s="640"/>
      <c r="O69" s="640"/>
      <c r="P69" s="640"/>
      <c r="Q69" s="640"/>
    </row>
    <row r="70" spans="1:17" x14ac:dyDescent="0.2">
      <c r="A70" s="639"/>
      <c r="B70" s="640"/>
      <c r="C70" s="640"/>
      <c r="D70" s="640"/>
      <c r="E70" s="640"/>
      <c r="F70" s="640"/>
      <c r="G70" s="640"/>
      <c r="H70" s="640"/>
      <c r="I70" s="640"/>
      <c r="J70" s="640"/>
      <c r="K70" s="640"/>
      <c r="L70" s="640"/>
      <c r="M70" s="640"/>
      <c r="N70" s="640"/>
      <c r="O70" s="640"/>
      <c r="P70" s="640"/>
      <c r="Q70" s="640"/>
    </row>
    <row r="71" spans="1:17" x14ac:dyDescent="0.2">
      <c r="A71" s="639"/>
      <c r="B71" s="640"/>
      <c r="C71" s="640"/>
      <c r="D71" s="640"/>
      <c r="E71" s="640"/>
      <c r="F71" s="640"/>
      <c r="G71" s="640"/>
      <c r="H71" s="640"/>
      <c r="I71" s="640"/>
      <c r="J71" s="640"/>
      <c r="K71" s="640"/>
      <c r="L71" s="640"/>
      <c r="M71" s="640"/>
      <c r="N71" s="640"/>
      <c r="O71" s="640"/>
      <c r="P71" s="640"/>
      <c r="Q71" s="640"/>
    </row>
    <row r="72" spans="1:17" x14ac:dyDescent="0.2">
      <c r="A72" s="639"/>
      <c r="B72" s="640"/>
      <c r="C72" s="640"/>
      <c r="D72" s="640"/>
      <c r="E72" s="640"/>
      <c r="F72" s="640"/>
      <c r="G72" s="640"/>
      <c r="H72" s="640"/>
      <c r="I72" s="640"/>
      <c r="J72" s="640"/>
      <c r="K72" s="640"/>
      <c r="L72" s="640"/>
      <c r="M72" s="640"/>
      <c r="N72" s="640"/>
      <c r="O72" s="640"/>
      <c r="P72" s="640"/>
      <c r="Q72" s="640"/>
    </row>
    <row r="73" spans="1:17" x14ac:dyDescent="0.2">
      <c r="A73" s="639"/>
      <c r="B73" s="640"/>
      <c r="C73" s="640"/>
      <c r="D73" s="640"/>
      <c r="E73" s="640"/>
      <c r="F73" s="640"/>
      <c r="G73" s="640"/>
      <c r="H73" s="640"/>
      <c r="I73" s="640"/>
      <c r="J73" s="640"/>
      <c r="K73" s="640"/>
      <c r="L73" s="640"/>
      <c r="M73" s="640"/>
      <c r="N73" s="640"/>
      <c r="O73" s="640"/>
      <c r="P73" s="640"/>
      <c r="Q73" s="640"/>
    </row>
    <row r="74" spans="1:17" x14ac:dyDescent="0.2">
      <c r="A74" s="639"/>
      <c r="B74" s="640"/>
      <c r="C74" s="640"/>
      <c r="D74" s="640"/>
      <c r="E74" s="640"/>
      <c r="F74" s="640"/>
      <c r="G74" s="640"/>
      <c r="H74" s="640"/>
      <c r="I74" s="640"/>
      <c r="J74" s="640"/>
      <c r="K74" s="640"/>
      <c r="L74" s="640"/>
      <c r="M74" s="640"/>
      <c r="N74" s="640"/>
      <c r="O74" s="640"/>
      <c r="P74" s="640"/>
      <c r="Q74" s="640"/>
    </row>
    <row r="75" spans="1:17" x14ac:dyDescent="0.2">
      <c r="A75" s="639"/>
      <c r="B75" s="640"/>
      <c r="C75" s="640"/>
      <c r="D75" s="640"/>
      <c r="E75" s="640"/>
      <c r="F75" s="640"/>
      <c r="G75" s="640"/>
      <c r="H75" s="640"/>
      <c r="I75" s="640"/>
      <c r="J75" s="640"/>
      <c r="K75" s="640"/>
      <c r="L75" s="640"/>
      <c r="M75" s="640"/>
      <c r="N75" s="640"/>
      <c r="O75" s="640"/>
      <c r="P75" s="640"/>
      <c r="Q75" s="640"/>
    </row>
    <row r="76" spans="1:17" x14ac:dyDescent="0.2">
      <c r="A76" s="638"/>
      <c r="B76" s="640"/>
      <c r="C76" s="640"/>
      <c r="D76" s="640"/>
      <c r="E76" s="640"/>
      <c r="F76" s="640"/>
      <c r="G76" s="640"/>
      <c r="H76" s="640"/>
      <c r="I76" s="640"/>
      <c r="J76" s="640"/>
      <c r="K76" s="640"/>
      <c r="L76" s="640"/>
      <c r="M76" s="640"/>
      <c r="N76" s="640"/>
      <c r="O76" s="640"/>
      <c r="P76" s="640"/>
      <c r="Q76" s="640"/>
    </row>
    <row r="77" spans="1:17" x14ac:dyDescent="0.2">
      <c r="A77" s="639"/>
      <c r="B77" s="640"/>
      <c r="C77" s="640"/>
      <c r="D77" s="640"/>
      <c r="E77" s="640"/>
      <c r="F77" s="640"/>
      <c r="G77" s="640"/>
      <c r="H77" s="640"/>
      <c r="I77" s="640"/>
      <c r="J77" s="640"/>
      <c r="K77" s="640"/>
      <c r="L77" s="640"/>
      <c r="M77" s="640"/>
      <c r="N77" s="640"/>
      <c r="O77" s="640"/>
      <c r="P77" s="640"/>
      <c r="Q77" s="640"/>
    </row>
    <row r="78" spans="1:17" x14ac:dyDescent="0.2">
      <c r="A78" s="639"/>
      <c r="B78" s="640"/>
      <c r="C78" s="640"/>
      <c r="D78" s="640"/>
      <c r="E78" s="640"/>
      <c r="F78" s="640"/>
      <c r="G78" s="640"/>
      <c r="H78" s="640"/>
      <c r="I78" s="640"/>
      <c r="J78" s="640"/>
      <c r="K78" s="640"/>
      <c r="L78" s="640"/>
      <c r="M78" s="640"/>
      <c r="N78" s="640"/>
      <c r="O78" s="640"/>
      <c r="P78" s="640"/>
      <c r="Q78" s="640"/>
    </row>
    <row r="79" spans="1:17" x14ac:dyDescent="0.2">
      <c r="A79" s="639"/>
      <c r="B79" s="640"/>
      <c r="C79" s="640"/>
      <c r="D79" s="640"/>
      <c r="E79" s="640"/>
      <c r="F79" s="640"/>
      <c r="G79" s="640"/>
      <c r="H79" s="640"/>
      <c r="I79" s="640"/>
      <c r="J79" s="640"/>
      <c r="K79" s="640"/>
      <c r="L79" s="640"/>
      <c r="M79" s="640"/>
      <c r="N79" s="640"/>
      <c r="O79" s="640"/>
      <c r="P79" s="640"/>
      <c r="Q79" s="640"/>
    </row>
    <row r="80" spans="1:17" x14ac:dyDescent="0.2">
      <c r="A80" s="639"/>
      <c r="B80" s="640"/>
      <c r="C80" s="640"/>
      <c r="D80" s="640"/>
      <c r="E80" s="640"/>
      <c r="F80" s="640"/>
      <c r="G80" s="640"/>
      <c r="H80" s="640"/>
      <c r="I80" s="640"/>
      <c r="J80" s="640"/>
      <c r="K80" s="640"/>
      <c r="L80" s="640"/>
      <c r="M80" s="640"/>
      <c r="N80" s="640"/>
      <c r="O80" s="640"/>
      <c r="P80" s="640"/>
      <c r="Q80" s="640"/>
    </row>
    <row r="81" spans="1:17" x14ac:dyDescent="0.2">
      <c r="A81" s="639"/>
      <c r="B81" s="640"/>
      <c r="C81" s="640"/>
      <c r="D81" s="640"/>
      <c r="E81" s="640"/>
      <c r="F81" s="640"/>
      <c r="G81" s="640"/>
      <c r="H81" s="640"/>
      <c r="I81" s="640"/>
      <c r="J81" s="640"/>
      <c r="K81" s="640"/>
      <c r="L81" s="640"/>
      <c r="M81" s="640"/>
      <c r="N81" s="640"/>
      <c r="O81" s="640"/>
      <c r="P81" s="640"/>
      <c r="Q81" s="640"/>
    </row>
    <row r="82" spans="1:17" x14ac:dyDescent="0.2">
      <c r="A82" s="639"/>
      <c r="B82" s="640"/>
      <c r="C82" s="640"/>
      <c r="D82" s="640"/>
      <c r="E82" s="640"/>
      <c r="F82" s="640"/>
      <c r="G82" s="640"/>
      <c r="H82" s="640"/>
      <c r="I82" s="640"/>
      <c r="J82" s="640"/>
      <c r="K82" s="640"/>
      <c r="L82" s="640"/>
      <c r="M82" s="640"/>
      <c r="N82" s="640"/>
      <c r="O82" s="640"/>
      <c r="P82" s="640"/>
      <c r="Q82" s="640"/>
    </row>
    <row r="83" spans="1:17" x14ac:dyDescent="0.2">
      <c r="A83" s="639"/>
      <c r="B83" s="640"/>
      <c r="C83" s="640"/>
      <c r="D83" s="640"/>
      <c r="E83" s="640"/>
      <c r="F83" s="640"/>
      <c r="G83" s="640"/>
      <c r="H83" s="640"/>
      <c r="I83" s="640"/>
      <c r="J83" s="640"/>
      <c r="K83" s="640"/>
      <c r="L83" s="640"/>
      <c r="M83" s="640"/>
      <c r="N83" s="640"/>
      <c r="O83" s="640"/>
      <c r="P83" s="640"/>
      <c r="Q83" s="640"/>
    </row>
    <row r="84" spans="1:17" x14ac:dyDescent="0.2">
      <c r="A84" s="638"/>
      <c r="B84" s="640"/>
      <c r="C84" s="640"/>
      <c r="D84" s="640"/>
      <c r="E84" s="640"/>
      <c r="F84" s="640"/>
      <c r="G84" s="640"/>
      <c r="H84" s="640"/>
      <c r="I84" s="640"/>
      <c r="J84" s="640"/>
      <c r="K84" s="640"/>
      <c r="L84" s="640"/>
      <c r="M84" s="640"/>
      <c r="N84" s="640"/>
      <c r="O84" s="640"/>
      <c r="P84" s="640"/>
      <c r="Q84" s="640"/>
    </row>
    <row r="85" spans="1:17" x14ac:dyDescent="0.2">
      <c r="A85" s="639"/>
      <c r="B85" s="640"/>
      <c r="C85" s="640"/>
      <c r="D85" s="640"/>
      <c r="E85" s="640"/>
      <c r="F85" s="640"/>
      <c r="G85" s="640"/>
      <c r="H85" s="640"/>
      <c r="I85" s="640"/>
      <c r="J85" s="640"/>
      <c r="K85" s="640"/>
      <c r="L85" s="640"/>
      <c r="M85" s="640"/>
      <c r="N85" s="640"/>
      <c r="O85" s="640"/>
      <c r="P85" s="640"/>
      <c r="Q85" s="640"/>
    </row>
    <row r="86" spans="1:17" x14ac:dyDescent="0.2">
      <c r="A86" s="639"/>
      <c r="B86" s="640"/>
      <c r="C86" s="640"/>
      <c r="D86" s="640"/>
      <c r="E86" s="640"/>
      <c r="F86" s="640"/>
      <c r="G86" s="640"/>
      <c r="H86" s="640"/>
      <c r="I86" s="640"/>
      <c r="J86" s="640"/>
      <c r="K86" s="640"/>
      <c r="L86" s="640"/>
      <c r="M86" s="640"/>
      <c r="N86" s="640"/>
      <c r="O86" s="640"/>
      <c r="P86" s="640"/>
      <c r="Q86" s="640"/>
    </row>
    <row r="87" spans="1:17" x14ac:dyDescent="0.2">
      <c r="A87" s="639"/>
      <c r="B87" s="640"/>
      <c r="C87" s="640"/>
      <c r="D87" s="640"/>
      <c r="E87" s="640"/>
      <c r="F87" s="640"/>
      <c r="G87" s="640"/>
      <c r="H87" s="640"/>
      <c r="I87" s="640"/>
      <c r="J87" s="640"/>
      <c r="K87" s="640"/>
      <c r="L87" s="640"/>
      <c r="M87" s="640"/>
      <c r="N87" s="640"/>
      <c r="O87" s="640"/>
      <c r="P87" s="640"/>
      <c r="Q87" s="640"/>
    </row>
    <row r="88" spans="1:17" x14ac:dyDescent="0.2">
      <c r="A88" s="639"/>
      <c r="B88" s="640"/>
      <c r="C88" s="640"/>
      <c r="D88" s="640"/>
      <c r="E88" s="640"/>
      <c r="F88" s="640"/>
      <c r="G88" s="640"/>
      <c r="H88" s="640"/>
      <c r="I88" s="640"/>
      <c r="J88" s="640"/>
      <c r="K88" s="640"/>
      <c r="L88" s="640"/>
      <c r="M88" s="640"/>
      <c r="N88" s="640"/>
      <c r="O88" s="640"/>
      <c r="P88" s="640"/>
      <c r="Q88" s="640"/>
    </row>
    <row r="89" spans="1:17" x14ac:dyDescent="0.2">
      <c r="A89" s="639"/>
      <c r="B89" s="640"/>
      <c r="C89" s="640"/>
      <c r="D89" s="640"/>
      <c r="E89" s="640"/>
      <c r="F89" s="640"/>
      <c r="G89" s="640"/>
      <c r="H89" s="640"/>
      <c r="I89" s="640"/>
      <c r="J89" s="640"/>
      <c r="K89" s="640"/>
      <c r="L89" s="640"/>
      <c r="M89" s="640"/>
      <c r="N89" s="640"/>
      <c r="O89" s="640"/>
      <c r="P89" s="640"/>
      <c r="Q89" s="640"/>
    </row>
    <row r="90" spans="1:17" x14ac:dyDescent="0.2">
      <c r="A90" s="639"/>
      <c r="B90" s="640"/>
      <c r="C90" s="640"/>
      <c r="D90" s="640"/>
      <c r="E90" s="640"/>
      <c r="F90" s="640"/>
      <c r="G90" s="640"/>
      <c r="H90" s="640"/>
      <c r="I90" s="640"/>
      <c r="J90" s="640"/>
      <c r="K90" s="640"/>
      <c r="L90" s="640"/>
      <c r="M90" s="640"/>
      <c r="N90" s="640"/>
      <c r="O90" s="640"/>
      <c r="P90" s="640"/>
      <c r="Q90" s="640"/>
    </row>
    <row r="91" spans="1:17" x14ac:dyDescent="0.2">
      <c r="A91" s="639"/>
      <c r="B91" s="640"/>
      <c r="C91" s="640"/>
      <c r="D91" s="640"/>
      <c r="E91" s="640"/>
      <c r="F91" s="640"/>
      <c r="G91" s="640"/>
      <c r="H91" s="640"/>
      <c r="I91" s="640"/>
      <c r="J91" s="640"/>
      <c r="K91" s="640"/>
      <c r="L91" s="640"/>
      <c r="M91" s="640"/>
      <c r="N91" s="640"/>
      <c r="O91" s="640"/>
      <c r="P91" s="640"/>
      <c r="Q91" s="640"/>
    </row>
    <row r="92" spans="1:17" x14ac:dyDescent="0.2">
      <c r="A92" s="638"/>
      <c r="B92" s="640"/>
      <c r="C92" s="640"/>
      <c r="D92" s="640"/>
      <c r="E92" s="640"/>
      <c r="F92" s="640"/>
      <c r="G92" s="640"/>
      <c r="H92" s="640"/>
      <c r="I92" s="640"/>
      <c r="J92" s="640"/>
      <c r="K92" s="640"/>
      <c r="L92" s="640"/>
      <c r="M92" s="640"/>
      <c r="N92" s="640"/>
      <c r="O92" s="640"/>
      <c r="P92" s="640"/>
      <c r="Q92" s="640"/>
    </row>
    <row r="93" spans="1:17" x14ac:dyDescent="0.2">
      <c r="A93" s="639"/>
      <c r="B93" s="640"/>
      <c r="C93" s="640"/>
      <c r="D93" s="640"/>
      <c r="E93" s="640"/>
      <c r="F93" s="640"/>
      <c r="G93" s="640"/>
      <c r="H93" s="640"/>
      <c r="I93" s="640"/>
      <c r="J93" s="640"/>
      <c r="K93" s="640"/>
      <c r="L93" s="640"/>
      <c r="M93" s="640"/>
      <c r="N93" s="640"/>
      <c r="O93" s="640"/>
      <c r="P93" s="640"/>
      <c r="Q93" s="640"/>
    </row>
    <row r="94" spans="1:17" x14ac:dyDescent="0.2">
      <c r="A94" s="639"/>
      <c r="B94" s="640"/>
      <c r="C94" s="640"/>
      <c r="D94" s="640"/>
      <c r="E94" s="640"/>
      <c r="F94" s="640"/>
      <c r="G94" s="640"/>
      <c r="H94" s="640"/>
      <c r="I94" s="640"/>
      <c r="J94" s="640"/>
      <c r="K94" s="640"/>
      <c r="L94" s="640"/>
      <c r="M94" s="640"/>
      <c r="N94" s="640"/>
      <c r="O94" s="640"/>
      <c r="P94" s="640"/>
      <c r="Q94" s="640"/>
    </row>
    <row r="95" spans="1:17" x14ac:dyDescent="0.2">
      <c r="A95" s="639"/>
      <c r="B95" s="640"/>
      <c r="C95" s="640"/>
      <c r="D95" s="640"/>
      <c r="E95" s="640"/>
      <c r="F95" s="640"/>
      <c r="G95" s="640"/>
      <c r="H95" s="640"/>
      <c r="I95" s="640"/>
      <c r="J95" s="640"/>
      <c r="K95" s="640"/>
      <c r="L95" s="640"/>
      <c r="M95" s="640"/>
      <c r="N95" s="640"/>
      <c r="O95" s="640"/>
      <c r="P95" s="640"/>
      <c r="Q95" s="640"/>
    </row>
    <row r="96" spans="1:17" x14ac:dyDescent="0.2">
      <c r="A96" s="639"/>
      <c r="B96" s="640"/>
      <c r="C96" s="640"/>
      <c r="D96" s="640"/>
      <c r="E96" s="640"/>
      <c r="F96" s="640"/>
      <c r="G96" s="640"/>
      <c r="H96" s="640"/>
      <c r="I96" s="640"/>
      <c r="J96" s="640"/>
      <c r="K96" s="640"/>
      <c r="L96" s="640"/>
      <c r="M96" s="640"/>
      <c r="N96" s="640"/>
      <c r="O96" s="640"/>
      <c r="P96" s="640"/>
      <c r="Q96" s="640"/>
    </row>
    <row r="97" spans="1:17" x14ac:dyDescent="0.2">
      <c r="A97" s="639"/>
      <c r="B97" s="640"/>
      <c r="C97" s="640"/>
      <c r="D97" s="640"/>
      <c r="E97" s="640"/>
      <c r="F97" s="640"/>
      <c r="G97" s="640"/>
      <c r="H97" s="640"/>
      <c r="I97" s="640"/>
      <c r="J97" s="640"/>
      <c r="K97" s="640"/>
      <c r="L97" s="640"/>
      <c r="M97" s="640"/>
      <c r="N97" s="640"/>
      <c r="O97" s="640"/>
      <c r="P97" s="640"/>
      <c r="Q97" s="640"/>
    </row>
    <row r="98" spans="1:17" x14ac:dyDescent="0.2">
      <c r="A98" s="639"/>
      <c r="B98" s="640"/>
      <c r="C98" s="640"/>
      <c r="D98" s="640"/>
      <c r="E98" s="640"/>
      <c r="F98" s="640"/>
      <c r="G98" s="640"/>
      <c r="H98" s="640"/>
      <c r="I98" s="640"/>
      <c r="J98" s="640"/>
      <c r="K98" s="640"/>
      <c r="L98" s="640"/>
      <c r="M98" s="640"/>
      <c r="N98" s="640"/>
      <c r="O98" s="640"/>
      <c r="P98" s="640"/>
      <c r="Q98" s="640"/>
    </row>
    <row r="99" spans="1:17" x14ac:dyDescent="0.2">
      <c r="A99" s="639"/>
      <c r="B99" s="640"/>
      <c r="C99" s="640"/>
      <c r="D99" s="640"/>
      <c r="E99" s="640"/>
      <c r="F99" s="640"/>
      <c r="G99" s="640"/>
      <c r="H99" s="640"/>
      <c r="I99" s="640"/>
      <c r="J99" s="640"/>
      <c r="K99" s="640"/>
      <c r="L99" s="640"/>
      <c r="M99" s="640"/>
      <c r="N99" s="640"/>
      <c r="O99" s="640"/>
      <c r="P99" s="640"/>
      <c r="Q99" s="640"/>
    </row>
    <row r="100" spans="1:17" x14ac:dyDescent="0.2">
      <c r="A100" s="638"/>
      <c r="B100" s="640"/>
      <c r="C100" s="640"/>
      <c r="D100" s="640"/>
      <c r="E100" s="640"/>
      <c r="F100" s="640"/>
      <c r="G100" s="640"/>
      <c r="H100" s="640"/>
      <c r="I100" s="640"/>
      <c r="J100" s="640"/>
      <c r="K100" s="640"/>
      <c r="L100" s="640"/>
      <c r="M100" s="640"/>
      <c r="N100" s="640"/>
      <c r="O100" s="640"/>
      <c r="P100" s="640"/>
      <c r="Q100" s="640"/>
    </row>
    <row r="101" spans="1:17" x14ac:dyDescent="0.2">
      <c r="A101" s="639"/>
      <c r="B101" s="640"/>
      <c r="C101" s="640"/>
      <c r="D101" s="640"/>
      <c r="E101" s="640"/>
      <c r="F101" s="640"/>
      <c r="G101" s="640"/>
      <c r="H101" s="640"/>
      <c r="I101" s="640"/>
      <c r="J101" s="640"/>
      <c r="K101" s="640"/>
      <c r="L101" s="640"/>
      <c r="M101" s="640"/>
      <c r="N101" s="640"/>
      <c r="O101" s="640"/>
      <c r="P101" s="640"/>
      <c r="Q101" s="640"/>
    </row>
    <row r="102" spans="1:17" x14ac:dyDescent="0.2">
      <c r="A102" s="639"/>
      <c r="B102" s="640"/>
      <c r="C102" s="640"/>
      <c r="D102" s="640"/>
      <c r="E102" s="640"/>
      <c r="F102" s="640"/>
      <c r="G102" s="640"/>
      <c r="H102" s="640"/>
      <c r="I102" s="640"/>
      <c r="J102" s="640"/>
      <c r="K102" s="640"/>
      <c r="L102" s="640"/>
      <c r="M102" s="640"/>
      <c r="N102" s="640"/>
      <c r="O102" s="640"/>
      <c r="P102" s="640"/>
      <c r="Q102" s="640"/>
    </row>
    <row r="103" spans="1:17" x14ac:dyDescent="0.2">
      <c r="A103" s="639"/>
      <c r="B103" s="640"/>
      <c r="C103" s="640"/>
      <c r="D103" s="640"/>
      <c r="E103" s="640"/>
      <c r="F103" s="640"/>
      <c r="G103" s="640"/>
      <c r="H103" s="640"/>
      <c r="I103" s="640"/>
      <c r="J103" s="640"/>
      <c r="K103" s="640"/>
      <c r="L103" s="640"/>
      <c r="M103" s="640"/>
      <c r="N103" s="640"/>
      <c r="O103" s="640"/>
      <c r="P103" s="640"/>
      <c r="Q103" s="640"/>
    </row>
    <row r="104" spans="1:17" x14ac:dyDescent="0.2">
      <c r="A104" s="639"/>
      <c r="B104" s="640"/>
      <c r="C104" s="640"/>
      <c r="D104" s="640"/>
      <c r="E104" s="640"/>
      <c r="F104" s="640"/>
      <c r="G104" s="640"/>
      <c r="H104" s="640"/>
      <c r="I104" s="640"/>
      <c r="J104" s="640"/>
      <c r="K104" s="640"/>
      <c r="L104" s="640"/>
      <c r="M104" s="640"/>
      <c r="N104" s="640"/>
      <c r="O104" s="640"/>
      <c r="P104" s="640"/>
      <c r="Q104" s="640"/>
    </row>
    <row r="105" spans="1:17" x14ac:dyDescent="0.2">
      <c r="A105" s="639"/>
      <c r="B105" s="640"/>
      <c r="C105" s="640"/>
      <c r="D105" s="640"/>
      <c r="E105" s="640"/>
      <c r="F105" s="640"/>
      <c r="G105" s="640"/>
      <c r="H105" s="640"/>
      <c r="I105" s="640"/>
      <c r="J105" s="640"/>
      <c r="K105" s="640"/>
      <c r="L105" s="640"/>
      <c r="M105" s="640"/>
      <c r="N105" s="640"/>
      <c r="O105" s="640"/>
      <c r="P105" s="640"/>
      <c r="Q105" s="640"/>
    </row>
    <row r="106" spans="1:17" x14ac:dyDescent="0.2">
      <c r="A106" s="639"/>
      <c r="B106" s="640"/>
      <c r="C106" s="640"/>
      <c r="D106" s="640"/>
      <c r="E106" s="640"/>
      <c r="F106" s="640"/>
      <c r="G106" s="640"/>
      <c r="H106" s="640"/>
      <c r="I106" s="640"/>
      <c r="J106" s="640"/>
      <c r="K106" s="640"/>
      <c r="L106" s="640"/>
      <c r="M106" s="640"/>
      <c r="N106" s="640"/>
      <c r="O106" s="640"/>
      <c r="P106" s="640"/>
      <c r="Q106" s="640"/>
    </row>
    <row r="107" spans="1:17" x14ac:dyDescent="0.2">
      <c r="A107" s="639"/>
      <c r="B107" s="640"/>
      <c r="C107" s="640"/>
      <c r="D107" s="640"/>
      <c r="E107" s="640"/>
      <c r="F107" s="640"/>
      <c r="G107" s="640"/>
      <c r="H107" s="640"/>
      <c r="I107" s="640"/>
      <c r="J107" s="640"/>
      <c r="K107" s="640"/>
      <c r="L107" s="640"/>
      <c r="M107" s="640"/>
      <c r="N107" s="640"/>
      <c r="O107" s="640"/>
      <c r="P107" s="640"/>
      <c r="Q107" s="640"/>
    </row>
    <row r="108" spans="1:17" x14ac:dyDescent="0.2">
      <c r="A108" s="638"/>
      <c r="B108" s="640"/>
      <c r="C108" s="640"/>
      <c r="D108" s="640"/>
      <c r="E108" s="640"/>
      <c r="F108" s="640"/>
      <c r="G108" s="640"/>
      <c r="H108" s="640"/>
      <c r="I108" s="640"/>
      <c r="J108" s="640"/>
      <c r="K108" s="640"/>
      <c r="L108" s="640"/>
      <c r="M108" s="640"/>
      <c r="N108" s="640"/>
      <c r="O108" s="640"/>
      <c r="P108" s="640"/>
      <c r="Q108" s="640"/>
    </row>
    <row r="109" spans="1:17" x14ac:dyDescent="0.2">
      <c r="A109" s="639"/>
      <c r="B109" s="640"/>
      <c r="C109" s="640"/>
      <c r="D109" s="640"/>
      <c r="E109" s="640"/>
      <c r="F109" s="640"/>
      <c r="G109" s="640"/>
      <c r="H109" s="640"/>
      <c r="I109" s="640"/>
      <c r="J109" s="640"/>
      <c r="K109" s="640"/>
      <c r="L109" s="640"/>
      <c r="M109" s="640"/>
      <c r="N109" s="640"/>
      <c r="O109" s="640"/>
      <c r="P109" s="640"/>
      <c r="Q109" s="640"/>
    </row>
    <row r="110" spans="1:17" x14ac:dyDescent="0.2">
      <c r="A110" s="639"/>
      <c r="B110" s="640"/>
      <c r="C110" s="640"/>
      <c r="D110" s="640"/>
      <c r="E110" s="640"/>
      <c r="F110" s="640"/>
      <c r="G110" s="640"/>
      <c r="H110" s="640"/>
      <c r="I110" s="640"/>
      <c r="J110" s="640"/>
      <c r="K110" s="640"/>
      <c r="L110" s="640"/>
      <c r="M110" s="640"/>
      <c r="N110" s="640"/>
      <c r="O110" s="640"/>
      <c r="P110" s="640"/>
      <c r="Q110" s="640"/>
    </row>
    <row r="111" spans="1:17" x14ac:dyDescent="0.2">
      <c r="A111" s="639"/>
      <c r="B111" s="640"/>
      <c r="C111" s="640"/>
      <c r="D111" s="640"/>
      <c r="E111" s="640"/>
      <c r="F111" s="640"/>
      <c r="G111" s="640"/>
      <c r="H111" s="640"/>
      <c r="I111" s="640"/>
      <c r="J111" s="640"/>
      <c r="K111" s="640"/>
      <c r="L111" s="640"/>
      <c r="M111" s="640"/>
      <c r="N111" s="640"/>
      <c r="O111" s="640"/>
      <c r="P111" s="640"/>
      <c r="Q111" s="640"/>
    </row>
    <row r="112" spans="1:17" x14ac:dyDescent="0.2">
      <c r="A112" s="639"/>
      <c r="B112" s="640"/>
      <c r="C112" s="640"/>
      <c r="D112" s="640"/>
      <c r="E112" s="640"/>
      <c r="F112" s="640"/>
      <c r="G112" s="640"/>
      <c r="H112" s="640"/>
      <c r="I112" s="640"/>
      <c r="J112" s="640"/>
      <c r="K112" s="640"/>
      <c r="L112" s="640"/>
      <c r="M112" s="640"/>
      <c r="N112" s="640"/>
      <c r="O112" s="640"/>
      <c r="P112" s="640"/>
      <c r="Q112" s="640"/>
    </row>
    <row r="113" spans="1:17" x14ac:dyDescent="0.2">
      <c r="A113" s="639"/>
      <c r="B113" s="640"/>
      <c r="C113" s="640"/>
      <c r="D113" s="640"/>
      <c r="E113" s="640"/>
      <c r="F113" s="640"/>
      <c r="G113" s="640"/>
      <c r="H113" s="640"/>
      <c r="I113" s="640"/>
      <c r="J113" s="640"/>
      <c r="K113" s="640"/>
      <c r="L113" s="640"/>
      <c r="M113" s="640"/>
      <c r="N113" s="640"/>
      <c r="O113" s="640"/>
      <c r="P113" s="640"/>
      <c r="Q113" s="640"/>
    </row>
    <row r="114" spans="1:17" x14ac:dyDescent="0.2">
      <c r="A114" s="639"/>
      <c r="B114" s="640"/>
      <c r="C114" s="640"/>
      <c r="D114" s="640"/>
      <c r="E114" s="640"/>
      <c r="F114" s="640"/>
      <c r="G114" s="640"/>
      <c r="H114" s="640"/>
      <c r="I114" s="640"/>
      <c r="J114" s="640"/>
      <c r="K114" s="640"/>
      <c r="L114" s="640"/>
      <c r="M114" s="640"/>
      <c r="N114" s="640"/>
      <c r="O114" s="640"/>
      <c r="P114" s="640"/>
      <c r="Q114" s="640"/>
    </row>
    <row r="115" spans="1:17" x14ac:dyDescent="0.2">
      <c r="A115" s="639"/>
      <c r="B115" s="640"/>
      <c r="C115" s="640"/>
      <c r="D115" s="640"/>
      <c r="E115" s="640"/>
      <c r="F115" s="640"/>
      <c r="G115" s="640"/>
      <c r="H115" s="640"/>
      <c r="I115" s="640"/>
      <c r="J115" s="640"/>
      <c r="K115" s="640"/>
      <c r="L115" s="640"/>
      <c r="M115" s="640"/>
      <c r="N115" s="640"/>
      <c r="O115" s="640"/>
      <c r="P115" s="640"/>
      <c r="Q115" s="640"/>
    </row>
    <row r="116" spans="1:17" x14ac:dyDescent="0.2">
      <c r="A116" s="638"/>
      <c r="B116" s="640"/>
      <c r="C116" s="640"/>
      <c r="D116" s="640"/>
      <c r="E116" s="640"/>
      <c r="F116" s="640"/>
      <c r="G116" s="640"/>
      <c r="H116" s="640"/>
      <c r="I116" s="640"/>
      <c r="J116" s="640"/>
      <c r="K116" s="640"/>
      <c r="L116" s="640"/>
      <c r="M116" s="640"/>
      <c r="N116" s="640"/>
      <c r="O116" s="640"/>
      <c r="P116" s="640"/>
      <c r="Q116" s="640"/>
    </row>
    <row r="117" spans="1:17" x14ac:dyDescent="0.2">
      <c r="A117" s="639"/>
      <c r="B117" s="640"/>
      <c r="C117" s="640"/>
      <c r="D117" s="640"/>
      <c r="E117" s="640"/>
      <c r="F117" s="640"/>
      <c r="G117" s="640"/>
      <c r="H117" s="640"/>
      <c r="I117" s="640"/>
      <c r="J117" s="640"/>
      <c r="K117" s="640"/>
      <c r="L117" s="640"/>
      <c r="M117" s="640"/>
      <c r="N117" s="640"/>
      <c r="O117" s="640"/>
      <c r="P117" s="640"/>
      <c r="Q117" s="640"/>
    </row>
    <row r="118" spans="1:17" x14ac:dyDescent="0.2">
      <c r="A118" s="639"/>
      <c r="B118" s="640"/>
      <c r="C118" s="640"/>
      <c r="D118" s="640"/>
      <c r="E118" s="640"/>
      <c r="F118" s="640"/>
      <c r="G118" s="640"/>
      <c r="H118" s="640"/>
      <c r="I118" s="640"/>
      <c r="J118" s="640"/>
      <c r="K118" s="640"/>
      <c r="L118" s="640"/>
      <c r="M118" s="640"/>
      <c r="N118" s="640"/>
      <c r="O118" s="640"/>
      <c r="P118" s="640"/>
      <c r="Q118" s="640"/>
    </row>
    <row r="119" spans="1:17" x14ac:dyDescent="0.2">
      <c r="A119" s="639"/>
      <c r="B119" s="640"/>
      <c r="C119" s="640"/>
      <c r="D119" s="640"/>
      <c r="E119" s="640"/>
      <c r="F119" s="640"/>
      <c r="G119" s="640"/>
      <c r="H119" s="640"/>
      <c r="I119" s="640"/>
      <c r="J119" s="640"/>
      <c r="K119" s="640"/>
      <c r="L119" s="640"/>
      <c r="M119" s="640"/>
      <c r="N119" s="640"/>
      <c r="O119" s="640"/>
      <c r="P119" s="640"/>
      <c r="Q119" s="640"/>
    </row>
    <row r="120" spans="1:17" x14ac:dyDescent="0.2">
      <c r="A120" s="639"/>
      <c r="B120" s="640"/>
      <c r="C120" s="640"/>
      <c r="D120" s="640"/>
      <c r="E120" s="640"/>
      <c r="F120" s="640"/>
      <c r="G120" s="640"/>
      <c r="H120" s="640"/>
      <c r="I120" s="640"/>
      <c r="J120" s="640"/>
      <c r="K120" s="640"/>
      <c r="L120" s="640"/>
      <c r="M120" s="640"/>
      <c r="N120" s="640"/>
      <c r="O120" s="640"/>
      <c r="P120" s="640"/>
      <c r="Q120" s="640"/>
    </row>
    <row r="121" spans="1:17" x14ac:dyDescent="0.2">
      <c r="A121" s="639"/>
      <c r="B121" s="640"/>
      <c r="C121" s="640"/>
      <c r="D121" s="640"/>
      <c r="E121" s="640"/>
      <c r="F121" s="640"/>
      <c r="G121" s="640"/>
      <c r="H121" s="640"/>
      <c r="I121" s="640"/>
      <c r="J121" s="640"/>
      <c r="K121" s="640"/>
      <c r="L121" s="640"/>
      <c r="M121" s="640"/>
      <c r="N121" s="640"/>
      <c r="O121" s="640"/>
      <c r="P121" s="640"/>
      <c r="Q121" s="640"/>
    </row>
    <row r="122" spans="1:17" x14ac:dyDescent="0.2">
      <c r="A122" s="639"/>
      <c r="B122" s="640"/>
      <c r="C122" s="640"/>
      <c r="D122" s="640"/>
      <c r="E122" s="640"/>
      <c r="F122" s="640"/>
      <c r="G122" s="640"/>
      <c r="H122" s="640"/>
      <c r="I122" s="640"/>
      <c r="J122" s="640"/>
      <c r="K122" s="640"/>
      <c r="L122" s="640"/>
      <c r="M122" s="640"/>
      <c r="N122" s="640"/>
      <c r="O122" s="640"/>
      <c r="P122" s="640"/>
      <c r="Q122" s="640"/>
    </row>
    <row r="123" spans="1:17" x14ac:dyDescent="0.2">
      <c r="A123" s="639"/>
      <c r="B123" s="640"/>
      <c r="C123" s="640"/>
      <c r="D123" s="640"/>
      <c r="E123" s="640"/>
      <c r="F123" s="640"/>
      <c r="G123" s="640"/>
      <c r="H123" s="640"/>
      <c r="I123" s="640"/>
      <c r="J123" s="640"/>
      <c r="K123" s="640"/>
      <c r="L123" s="640"/>
      <c r="M123" s="640"/>
      <c r="N123" s="640"/>
      <c r="O123" s="640"/>
      <c r="P123" s="640"/>
      <c r="Q123" s="640"/>
    </row>
    <row r="124" spans="1:17" x14ac:dyDescent="0.2">
      <c r="A124" s="638"/>
      <c r="B124" s="640"/>
      <c r="C124" s="640"/>
      <c r="D124" s="640"/>
      <c r="E124" s="640"/>
      <c r="F124" s="640"/>
      <c r="G124" s="640"/>
      <c r="H124" s="640"/>
      <c r="I124" s="640"/>
      <c r="J124" s="640"/>
      <c r="K124" s="640"/>
      <c r="L124" s="640"/>
      <c r="M124" s="640"/>
      <c r="N124" s="640"/>
      <c r="O124" s="640"/>
      <c r="P124" s="640"/>
      <c r="Q124" s="640"/>
    </row>
    <row r="125" spans="1:17" x14ac:dyDescent="0.2">
      <c r="A125" s="639"/>
      <c r="B125" s="640"/>
      <c r="C125" s="640"/>
      <c r="D125" s="640"/>
      <c r="E125" s="640"/>
      <c r="F125" s="640"/>
      <c r="G125" s="640"/>
      <c r="H125" s="640"/>
      <c r="I125" s="640"/>
      <c r="J125" s="640"/>
      <c r="K125" s="640"/>
      <c r="L125" s="640"/>
      <c r="M125" s="640"/>
      <c r="N125" s="640"/>
      <c r="O125" s="640"/>
      <c r="P125" s="640"/>
      <c r="Q125" s="640"/>
    </row>
    <row r="126" spans="1:17" x14ac:dyDescent="0.2">
      <c r="A126" s="639"/>
      <c r="B126" s="640"/>
      <c r="C126" s="640"/>
      <c r="D126" s="640"/>
      <c r="E126" s="640"/>
      <c r="F126" s="640"/>
      <c r="G126" s="640"/>
      <c r="H126" s="640"/>
      <c r="I126" s="640"/>
      <c r="J126" s="640"/>
      <c r="K126" s="640"/>
      <c r="L126" s="640"/>
      <c r="M126" s="640"/>
      <c r="N126" s="640"/>
      <c r="O126" s="640"/>
      <c r="P126" s="640"/>
      <c r="Q126" s="640"/>
    </row>
    <row r="127" spans="1:17" x14ac:dyDescent="0.2">
      <c r="A127" s="639"/>
      <c r="B127" s="640"/>
      <c r="C127" s="640"/>
      <c r="D127" s="640"/>
      <c r="E127" s="640"/>
      <c r="F127" s="640"/>
      <c r="G127" s="640"/>
      <c r="H127" s="640"/>
      <c r="I127" s="640"/>
      <c r="J127" s="640"/>
      <c r="K127" s="640"/>
      <c r="L127" s="640"/>
      <c r="M127" s="640"/>
      <c r="N127" s="640"/>
      <c r="O127" s="640"/>
      <c r="P127" s="640"/>
      <c r="Q127" s="640"/>
    </row>
    <row r="128" spans="1:17" x14ac:dyDescent="0.2">
      <c r="A128" s="639"/>
      <c r="B128" s="640"/>
      <c r="C128" s="640"/>
      <c r="D128" s="640"/>
      <c r="E128" s="640"/>
      <c r="F128" s="640"/>
      <c r="G128" s="640"/>
      <c r="H128" s="640"/>
      <c r="I128" s="640"/>
      <c r="J128" s="640"/>
      <c r="K128" s="640"/>
      <c r="L128" s="640"/>
      <c r="M128" s="640"/>
      <c r="N128" s="640"/>
      <c r="O128" s="640"/>
      <c r="P128" s="640"/>
      <c r="Q128" s="640"/>
    </row>
    <row r="129" spans="1:17" x14ac:dyDescent="0.2">
      <c r="A129" s="639"/>
      <c r="B129" s="640"/>
      <c r="C129" s="640"/>
      <c r="D129" s="640"/>
      <c r="E129" s="640"/>
      <c r="F129" s="640"/>
      <c r="G129" s="640"/>
      <c r="H129" s="640"/>
      <c r="I129" s="640"/>
      <c r="J129" s="640"/>
      <c r="K129" s="640"/>
      <c r="L129" s="640"/>
      <c r="M129" s="640"/>
      <c r="N129" s="640"/>
      <c r="O129" s="640"/>
      <c r="P129" s="640"/>
      <c r="Q129" s="640"/>
    </row>
    <row r="130" spans="1:17" x14ac:dyDescent="0.2">
      <c r="A130" s="639"/>
      <c r="B130" s="640"/>
      <c r="C130" s="640"/>
      <c r="D130" s="640"/>
      <c r="E130" s="640"/>
      <c r="F130" s="640"/>
      <c r="G130" s="640"/>
      <c r="H130" s="640"/>
      <c r="I130" s="640"/>
      <c r="J130" s="640"/>
      <c r="K130" s="640"/>
      <c r="L130" s="640"/>
      <c r="M130" s="640"/>
      <c r="N130" s="640"/>
      <c r="O130" s="640"/>
      <c r="P130" s="640"/>
      <c r="Q130" s="640"/>
    </row>
    <row r="131" spans="1:17" x14ac:dyDescent="0.2">
      <c r="A131" s="639"/>
      <c r="B131" s="640"/>
      <c r="C131" s="640"/>
      <c r="D131" s="640"/>
      <c r="E131" s="640"/>
      <c r="F131" s="640"/>
      <c r="G131" s="640"/>
      <c r="H131" s="640"/>
      <c r="I131" s="640"/>
      <c r="J131" s="640"/>
      <c r="K131" s="640"/>
      <c r="L131" s="640"/>
      <c r="M131" s="640"/>
      <c r="N131" s="640"/>
      <c r="O131" s="640"/>
      <c r="P131" s="640"/>
      <c r="Q131" s="640"/>
    </row>
    <row r="132" spans="1:17" x14ac:dyDescent="0.2">
      <c r="A132" s="638"/>
      <c r="B132" s="640"/>
      <c r="C132" s="640"/>
      <c r="D132" s="640"/>
      <c r="E132" s="640"/>
      <c r="F132" s="640"/>
      <c r="G132" s="640"/>
      <c r="H132" s="640"/>
      <c r="I132" s="640"/>
      <c r="J132" s="640"/>
      <c r="K132" s="640"/>
      <c r="L132" s="640"/>
      <c r="M132" s="640"/>
      <c r="N132" s="640"/>
      <c r="O132" s="640"/>
      <c r="P132" s="640"/>
      <c r="Q132" s="640"/>
    </row>
    <row r="133" spans="1:17" x14ac:dyDescent="0.2">
      <c r="A133" s="638"/>
      <c r="B133" s="640"/>
      <c r="C133" s="640"/>
      <c r="D133" s="640"/>
      <c r="E133" s="640"/>
      <c r="F133" s="640"/>
      <c r="G133" s="640"/>
      <c r="H133" s="640"/>
      <c r="I133" s="640"/>
      <c r="J133" s="640"/>
      <c r="K133" s="640"/>
      <c r="L133" s="640"/>
      <c r="M133" s="640"/>
      <c r="N133" s="640"/>
      <c r="O133" s="640"/>
      <c r="P133" s="640"/>
      <c r="Q133" s="640"/>
    </row>
    <row r="134" spans="1:17" x14ac:dyDescent="0.2">
      <c r="A134" s="638"/>
      <c r="B134" s="640"/>
      <c r="C134" s="640"/>
      <c r="D134" s="640"/>
      <c r="E134" s="640"/>
      <c r="F134" s="640"/>
      <c r="G134" s="640"/>
      <c r="H134" s="640"/>
      <c r="I134" s="640"/>
      <c r="J134" s="640"/>
      <c r="K134" s="640"/>
      <c r="L134" s="640"/>
      <c r="M134" s="640"/>
      <c r="N134" s="640"/>
      <c r="O134" s="640"/>
      <c r="P134" s="640"/>
      <c r="Q134" s="640"/>
    </row>
    <row r="135" spans="1:17" x14ac:dyDescent="0.2">
      <c r="A135" s="638"/>
      <c r="B135" s="640"/>
      <c r="C135" s="640"/>
      <c r="D135" s="640"/>
      <c r="E135" s="640"/>
      <c r="F135" s="640"/>
      <c r="G135" s="640"/>
      <c r="H135" s="640"/>
      <c r="I135" s="640"/>
      <c r="J135" s="640"/>
      <c r="K135" s="640"/>
      <c r="L135" s="640"/>
      <c r="M135" s="640"/>
      <c r="N135" s="640"/>
      <c r="O135" s="640"/>
      <c r="P135" s="640"/>
      <c r="Q135" s="640"/>
    </row>
    <row r="136" spans="1:17" x14ac:dyDescent="0.2">
      <c r="A136" s="638"/>
      <c r="B136" s="640"/>
      <c r="C136" s="640"/>
      <c r="D136" s="640"/>
      <c r="E136" s="640"/>
      <c r="F136" s="640"/>
      <c r="G136" s="640"/>
      <c r="H136" s="640"/>
      <c r="I136" s="640"/>
      <c r="J136" s="640"/>
      <c r="K136" s="640"/>
      <c r="L136" s="640"/>
      <c r="M136" s="640"/>
      <c r="N136" s="640"/>
      <c r="O136" s="640"/>
      <c r="P136" s="640"/>
      <c r="Q136" s="640"/>
    </row>
    <row r="137" spans="1:17" x14ac:dyDescent="0.2">
      <c r="A137" s="638"/>
      <c r="B137" s="640"/>
      <c r="C137" s="640"/>
      <c r="D137" s="640"/>
      <c r="E137" s="640"/>
      <c r="F137" s="640"/>
      <c r="G137" s="640"/>
      <c r="H137" s="640"/>
      <c r="I137" s="640"/>
      <c r="J137" s="640"/>
      <c r="K137" s="640"/>
      <c r="L137" s="640"/>
      <c r="M137" s="640"/>
      <c r="N137" s="640"/>
      <c r="O137" s="640"/>
      <c r="P137" s="640"/>
      <c r="Q137" s="640"/>
    </row>
    <row r="138" spans="1:17" x14ac:dyDescent="0.2">
      <c r="A138" s="638"/>
      <c r="B138" s="640"/>
      <c r="C138" s="640"/>
      <c r="D138" s="640"/>
      <c r="E138" s="640"/>
      <c r="F138" s="640"/>
      <c r="G138" s="640"/>
      <c r="H138" s="640"/>
      <c r="I138" s="640"/>
      <c r="J138" s="640"/>
      <c r="K138" s="640"/>
      <c r="L138" s="640"/>
      <c r="M138" s="640"/>
      <c r="N138" s="640"/>
      <c r="O138" s="640"/>
      <c r="P138" s="640"/>
      <c r="Q138" s="640"/>
    </row>
    <row r="139" spans="1:17" ht="15.75" x14ac:dyDescent="0.25">
      <c r="A139"/>
      <c r="B139"/>
      <c r="C139"/>
      <c r="D139"/>
      <c r="E139"/>
      <c r="F139"/>
      <c r="G139"/>
      <c r="H139"/>
      <c r="I139"/>
      <c r="J139"/>
      <c r="K139"/>
      <c r="L139"/>
      <c r="M139"/>
      <c r="N139"/>
      <c r="O139"/>
      <c r="P139"/>
      <c r="Q139"/>
    </row>
    <row r="140" spans="1:17" ht="15.75" x14ac:dyDescent="0.25">
      <c r="A140"/>
      <c r="B140"/>
      <c r="C140"/>
      <c r="D140"/>
      <c r="E140"/>
      <c r="F140"/>
      <c r="G140"/>
      <c r="H140"/>
      <c r="I140"/>
      <c r="J140"/>
      <c r="K140"/>
      <c r="L140"/>
      <c r="M140"/>
      <c r="N140"/>
      <c r="O140"/>
      <c r="P140"/>
      <c r="Q140"/>
    </row>
    <row r="141" spans="1:17" ht="15.75" x14ac:dyDescent="0.25">
      <c r="A141"/>
      <c r="B141"/>
      <c r="C141"/>
      <c r="D141"/>
      <c r="E141"/>
      <c r="F141"/>
      <c r="G141"/>
      <c r="H141"/>
      <c r="I141"/>
      <c r="J141"/>
      <c r="K141"/>
      <c r="L141"/>
      <c r="M141"/>
      <c r="N141"/>
      <c r="O141"/>
      <c r="P141"/>
      <c r="Q141"/>
    </row>
    <row r="142" spans="1:17" ht="15.75" x14ac:dyDescent="0.25">
      <c r="A142"/>
      <c r="B142"/>
      <c r="C142"/>
      <c r="D142"/>
      <c r="E142"/>
      <c r="F142"/>
      <c r="G142"/>
      <c r="H142"/>
      <c r="I142"/>
      <c r="J142"/>
      <c r="K142"/>
      <c r="L142"/>
      <c r="M142"/>
      <c r="N142"/>
      <c r="O142"/>
      <c r="P142"/>
      <c r="Q142"/>
    </row>
    <row r="143" spans="1:17" ht="15.75" x14ac:dyDescent="0.25">
      <c r="A143"/>
      <c r="B143"/>
      <c r="C143"/>
      <c r="D143"/>
      <c r="E143"/>
      <c r="F143"/>
      <c r="G143"/>
      <c r="H143"/>
      <c r="I143"/>
      <c r="J143"/>
      <c r="K143"/>
      <c r="L143"/>
      <c r="M143"/>
      <c r="N143"/>
      <c r="O143"/>
      <c r="P143"/>
      <c r="Q143"/>
    </row>
    <row r="144" spans="1:17" ht="15.75" x14ac:dyDescent="0.25">
      <c r="A144"/>
      <c r="B144"/>
      <c r="C144"/>
      <c r="D144"/>
      <c r="E144"/>
      <c r="F144"/>
      <c r="G144"/>
      <c r="H144"/>
      <c r="I144"/>
      <c r="J144"/>
      <c r="K144"/>
      <c r="L144"/>
      <c r="M144"/>
      <c r="N144"/>
      <c r="O144"/>
      <c r="P144"/>
      <c r="Q144"/>
    </row>
    <row r="145" spans="1:17" ht="15.75" x14ac:dyDescent="0.25">
      <c r="A145"/>
      <c r="B145"/>
      <c r="C145"/>
      <c r="D145"/>
      <c r="E145"/>
      <c r="F145"/>
      <c r="G145"/>
      <c r="H145"/>
      <c r="I145"/>
      <c r="J145"/>
      <c r="K145"/>
      <c r="L145"/>
      <c r="M145"/>
      <c r="N145"/>
      <c r="O145"/>
      <c r="P145"/>
      <c r="Q145"/>
    </row>
    <row r="146" spans="1:17" ht="15.75" x14ac:dyDescent="0.25">
      <c r="A146"/>
      <c r="B146"/>
      <c r="C146"/>
      <c r="D146"/>
      <c r="E146"/>
      <c r="F146"/>
      <c r="G146"/>
      <c r="H146"/>
      <c r="I146"/>
      <c r="J146"/>
      <c r="K146"/>
      <c r="L146"/>
      <c r="M146"/>
      <c r="N146"/>
      <c r="O146"/>
      <c r="P146"/>
      <c r="Q146"/>
    </row>
    <row r="147" spans="1:17" ht="15.75" x14ac:dyDescent="0.25">
      <c r="A147"/>
      <c r="B147"/>
      <c r="C147"/>
      <c r="D147"/>
      <c r="E147"/>
      <c r="F147"/>
      <c r="G147"/>
      <c r="H147"/>
      <c r="I147"/>
      <c r="J147"/>
      <c r="K147"/>
      <c r="L147"/>
      <c r="M147"/>
      <c r="N147"/>
      <c r="O147"/>
      <c r="P147"/>
      <c r="Q147"/>
    </row>
    <row r="148" spans="1:17" ht="15.75" x14ac:dyDescent="0.25">
      <c r="A148"/>
      <c r="B148"/>
      <c r="C148"/>
      <c r="D148"/>
      <c r="E148"/>
      <c r="F148"/>
      <c r="G148"/>
      <c r="H148"/>
      <c r="I148"/>
      <c r="J148"/>
      <c r="K148"/>
      <c r="L148"/>
      <c r="M148"/>
      <c r="N148"/>
      <c r="O148"/>
      <c r="P148"/>
      <c r="Q148"/>
    </row>
    <row r="149" spans="1:17" ht="15.75" x14ac:dyDescent="0.25">
      <c r="A149"/>
      <c r="B149"/>
      <c r="C149"/>
      <c r="D149"/>
      <c r="E149"/>
      <c r="F149"/>
      <c r="G149"/>
      <c r="H149"/>
      <c r="I149"/>
      <c r="J149"/>
      <c r="K149"/>
      <c r="L149"/>
      <c r="M149"/>
      <c r="N149"/>
      <c r="O149"/>
      <c r="P149"/>
      <c r="Q149"/>
    </row>
    <row r="150" spans="1:17" ht="15.75" x14ac:dyDescent="0.25">
      <c r="A150"/>
      <c r="B150"/>
      <c r="C150"/>
      <c r="D150"/>
      <c r="E150"/>
      <c r="F150"/>
      <c r="G150"/>
      <c r="H150"/>
      <c r="I150"/>
      <c r="J150"/>
      <c r="K150"/>
      <c r="L150"/>
      <c r="M150"/>
      <c r="N150"/>
      <c r="O150"/>
      <c r="P150"/>
      <c r="Q150"/>
    </row>
    <row r="151" spans="1:17" ht="15.75" x14ac:dyDescent="0.25">
      <c r="A151"/>
      <c r="B151"/>
      <c r="C151"/>
      <c r="D151"/>
      <c r="E151"/>
      <c r="F151"/>
      <c r="G151"/>
      <c r="H151"/>
      <c r="I151"/>
      <c r="J151"/>
      <c r="K151"/>
      <c r="L151"/>
      <c r="M151"/>
      <c r="N151"/>
      <c r="O151"/>
      <c r="P151"/>
      <c r="Q151"/>
    </row>
    <row r="152" spans="1:17" ht="15.75" x14ac:dyDescent="0.25">
      <c r="A152"/>
      <c r="B152"/>
      <c r="C152"/>
      <c r="D152"/>
      <c r="E152"/>
      <c r="F152"/>
      <c r="G152"/>
      <c r="H152"/>
      <c r="I152"/>
      <c r="J152"/>
      <c r="K152"/>
      <c r="L152"/>
      <c r="M152"/>
      <c r="N152"/>
      <c r="O152"/>
      <c r="P152"/>
      <c r="Q152"/>
    </row>
    <row r="153" spans="1:17" ht="15.75" x14ac:dyDescent="0.25">
      <c r="A153"/>
      <c r="B153"/>
      <c r="C153"/>
      <c r="D153"/>
      <c r="E153"/>
      <c r="F153"/>
      <c r="G153"/>
      <c r="H153"/>
      <c r="I153"/>
      <c r="J153"/>
      <c r="K153"/>
      <c r="L153"/>
      <c r="M153"/>
      <c r="N153"/>
      <c r="O153"/>
      <c r="P153"/>
      <c r="Q153"/>
    </row>
    <row r="154" spans="1:17" ht="15.75" x14ac:dyDescent="0.25">
      <c r="A154"/>
      <c r="B154"/>
      <c r="C154"/>
      <c r="D154"/>
      <c r="E154"/>
      <c r="F154"/>
      <c r="G154"/>
      <c r="H154"/>
      <c r="I154"/>
      <c r="J154"/>
      <c r="K154"/>
      <c r="L154"/>
      <c r="M154"/>
      <c r="N154"/>
      <c r="O154"/>
      <c r="P154"/>
      <c r="Q154"/>
    </row>
    <row r="155" spans="1:17" ht="15.75" x14ac:dyDescent="0.25">
      <c r="A155"/>
      <c r="B155"/>
      <c r="C155"/>
      <c r="D155"/>
      <c r="E155"/>
      <c r="F155"/>
      <c r="G155"/>
      <c r="H155"/>
      <c r="I155"/>
      <c r="J155"/>
      <c r="K155"/>
      <c r="L155"/>
      <c r="M155"/>
      <c r="N155"/>
      <c r="O155"/>
      <c r="P155"/>
      <c r="Q155"/>
    </row>
    <row r="156" spans="1:17" ht="15.75" x14ac:dyDescent="0.25">
      <c r="A156"/>
      <c r="B156"/>
      <c r="C156"/>
      <c r="D156"/>
      <c r="E156"/>
      <c r="F156"/>
      <c r="G156"/>
      <c r="H156"/>
      <c r="I156"/>
      <c r="J156"/>
      <c r="K156"/>
      <c r="L156"/>
      <c r="M156"/>
      <c r="N156"/>
      <c r="O156"/>
      <c r="P156"/>
      <c r="Q156"/>
    </row>
    <row r="157" spans="1:17" ht="15.75" x14ac:dyDescent="0.25">
      <c r="A157"/>
      <c r="B157"/>
      <c r="C157"/>
      <c r="D157"/>
      <c r="E157"/>
      <c r="F157"/>
      <c r="G157"/>
      <c r="H157"/>
      <c r="I157"/>
      <c r="J157"/>
      <c r="K157"/>
      <c r="L157"/>
      <c r="M157"/>
      <c r="N157"/>
      <c r="O157"/>
      <c r="P157"/>
      <c r="Q157"/>
    </row>
    <row r="158" spans="1:17" ht="15.75" x14ac:dyDescent="0.25">
      <c r="A158"/>
      <c r="B158"/>
      <c r="C158"/>
      <c r="D158"/>
      <c r="E158"/>
      <c r="F158"/>
      <c r="G158"/>
      <c r="H158"/>
      <c r="I158"/>
      <c r="J158"/>
      <c r="K158"/>
      <c r="L158"/>
      <c r="M158"/>
      <c r="N158"/>
      <c r="O158"/>
      <c r="P158"/>
      <c r="Q158"/>
    </row>
    <row r="159" spans="1:17" ht="15.75" x14ac:dyDescent="0.25">
      <c r="A159"/>
      <c r="B159"/>
      <c r="C159"/>
      <c r="D159"/>
      <c r="E159"/>
      <c r="F159"/>
      <c r="G159"/>
      <c r="H159"/>
      <c r="I159"/>
      <c r="J159"/>
      <c r="K159"/>
      <c r="L159"/>
      <c r="M159"/>
      <c r="N159"/>
      <c r="O159"/>
      <c r="P159"/>
      <c r="Q159"/>
    </row>
    <row r="160" spans="1:17" ht="15.75" x14ac:dyDescent="0.25">
      <c r="A160"/>
      <c r="B160"/>
      <c r="C160"/>
      <c r="D160"/>
      <c r="E160"/>
      <c r="F160"/>
      <c r="G160"/>
      <c r="H160"/>
      <c r="I160"/>
      <c r="J160"/>
      <c r="K160"/>
      <c r="L160"/>
      <c r="M160"/>
      <c r="N160"/>
      <c r="O160"/>
      <c r="P160"/>
      <c r="Q160"/>
    </row>
    <row r="161" spans="1:17" ht="15.75" x14ac:dyDescent="0.25">
      <c r="A161"/>
      <c r="B161"/>
      <c r="C161"/>
      <c r="D161"/>
      <c r="E161"/>
      <c r="F161"/>
      <c r="G161"/>
      <c r="H161"/>
      <c r="I161"/>
      <c r="J161"/>
      <c r="K161"/>
      <c r="L161"/>
      <c r="M161"/>
      <c r="N161"/>
      <c r="O161"/>
      <c r="P161"/>
      <c r="Q161"/>
    </row>
    <row r="162" spans="1:17" ht="15.75" x14ac:dyDescent="0.25">
      <c r="A162"/>
      <c r="B162"/>
      <c r="C162"/>
      <c r="D162"/>
      <c r="E162"/>
      <c r="F162"/>
      <c r="G162"/>
      <c r="H162"/>
      <c r="I162"/>
      <c r="J162"/>
      <c r="K162"/>
      <c r="L162"/>
      <c r="M162"/>
      <c r="N162"/>
      <c r="O162"/>
      <c r="P162"/>
      <c r="Q162"/>
    </row>
    <row r="163" spans="1:17" ht="15.75" x14ac:dyDescent="0.25">
      <c r="A163"/>
      <c r="B163"/>
      <c r="C163"/>
      <c r="D163"/>
      <c r="E163"/>
      <c r="F163"/>
      <c r="G163"/>
      <c r="H163"/>
      <c r="I163"/>
      <c r="J163"/>
      <c r="K163"/>
      <c r="L163"/>
      <c r="M163"/>
      <c r="N163"/>
      <c r="O163"/>
      <c r="P163"/>
      <c r="Q163"/>
    </row>
    <row r="164" spans="1:17" ht="15.75" x14ac:dyDescent="0.25">
      <c r="A164"/>
      <c r="B164"/>
      <c r="C164"/>
      <c r="D164"/>
      <c r="E164"/>
      <c r="F164"/>
      <c r="G164"/>
      <c r="H164"/>
      <c r="I164"/>
      <c r="J164"/>
      <c r="K164"/>
      <c r="L164"/>
      <c r="M164"/>
      <c r="N164"/>
      <c r="O164"/>
      <c r="P164"/>
      <c r="Q164"/>
    </row>
    <row r="165" spans="1:17" ht="15.75" x14ac:dyDescent="0.25">
      <c r="A165"/>
      <c r="B165"/>
      <c r="C165"/>
      <c r="D165"/>
      <c r="E165"/>
      <c r="F165"/>
      <c r="G165"/>
      <c r="H165"/>
      <c r="I165"/>
      <c r="J165"/>
      <c r="K165"/>
      <c r="L165"/>
      <c r="M165"/>
      <c r="N165"/>
      <c r="O165"/>
      <c r="P165"/>
      <c r="Q165"/>
    </row>
    <row r="166" spans="1:17" ht="15.75" x14ac:dyDescent="0.25">
      <c r="A166"/>
      <c r="B166"/>
      <c r="C166"/>
      <c r="D166"/>
      <c r="E166"/>
      <c r="F166"/>
      <c r="G166"/>
      <c r="H166"/>
      <c r="I166"/>
      <c r="J166"/>
      <c r="K166"/>
      <c r="L166"/>
      <c r="M166"/>
      <c r="N166"/>
      <c r="O166"/>
      <c r="P166"/>
      <c r="Q166"/>
    </row>
    <row r="167" spans="1:17" ht="15.75" x14ac:dyDescent="0.25">
      <c r="A167"/>
      <c r="B167"/>
      <c r="C167"/>
      <c r="D167"/>
      <c r="E167"/>
      <c r="F167"/>
      <c r="G167"/>
      <c r="H167"/>
      <c r="I167"/>
      <c r="J167"/>
      <c r="K167"/>
      <c r="L167"/>
      <c r="M167"/>
      <c r="N167"/>
      <c r="O167"/>
      <c r="P167"/>
      <c r="Q167"/>
    </row>
    <row r="168" spans="1:17" ht="15.75" x14ac:dyDescent="0.25">
      <c r="A168"/>
      <c r="B168"/>
      <c r="C168"/>
      <c r="D168"/>
      <c r="E168"/>
      <c r="F168"/>
      <c r="G168"/>
      <c r="H168"/>
      <c r="I168"/>
      <c r="J168"/>
      <c r="K168"/>
      <c r="L168"/>
      <c r="M168"/>
      <c r="N168"/>
      <c r="O168"/>
      <c r="P168"/>
      <c r="Q168"/>
    </row>
    <row r="169" spans="1:17" ht="15.75" x14ac:dyDescent="0.25">
      <c r="A169"/>
      <c r="B169"/>
      <c r="C169"/>
      <c r="D169"/>
      <c r="E169"/>
      <c r="F169"/>
      <c r="G169"/>
      <c r="H169"/>
      <c r="I169"/>
      <c r="J169"/>
      <c r="K169"/>
      <c r="L169"/>
      <c r="M169"/>
      <c r="N169"/>
      <c r="O169"/>
      <c r="P169"/>
      <c r="Q169"/>
    </row>
    <row r="170" spans="1:17" ht="15.75" x14ac:dyDescent="0.25">
      <c r="A170"/>
      <c r="B170"/>
      <c r="C170"/>
      <c r="D170"/>
      <c r="E170"/>
      <c r="F170"/>
      <c r="G170"/>
      <c r="H170"/>
      <c r="I170"/>
      <c r="J170"/>
      <c r="K170"/>
      <c r="L170"/>
      <c r="M170"/>
      <c r="N170"/>
      <c r="O170"/>
      <c r="P170"/>
      <c r="Q170"/>
    </row>
    <row r="171" spans="1:17" ht="15.75" x14ac:dyDescent="0.25">
      <c r="A171"/>
      <c r="B171"/>
      <c r="C171"/>
      <c r="D171"/>
      <c r="E171"/>
      <c r="F171"/>
      <c r="G171"/>
      <c r="H171"/>
      <c r="I171"/>
      <c r="J171"/>
      <c r="K171"/>
      <c r="L171"/>
      <c r="M171"/>
      <c r="N171"/>
      <c r="O171"/>
      <c r="P171"/>
      <c r="Q171"/>
    </row>
    <row r="172" spans="1:17" ht="15.75" x14ac:dyDescent="0.25">
      <c r="A172"/>
      <c r="B172"/>
      <c r="C172"/>
      <c r="D172"/>
      <c r="E172"/>
      <c r="F172"/>
      <c r="G172"/>
      <c r="H172"/>
      <c r="I172"/>
      <c r="J172"/>
      <c r="K172"/>
      <c r="L172"/>
      <c r="M172"/>
      <c r="N172"/>
      <c r="O172"/>
      <c r="P172"/>
      <c r="Q172"/>
    </row>
    <row r="173" spans="1:17" ht="15.75" x14ac:dyDescent="0.25">
      <c r="A173"/>
      <c r="B173"/>
      <c r="C173"/>
      <c r="D173"/>
      <c r="E173"/>
      <c r="F173"/>
      <c r="G173"/>
      <c r="H173"/>
      <c r="I173"/>
      <c r="J173"/>
      <c r="K173"/>
      <c r="L173"/>
      <c r="M173"/>
      <c r="N173"/>
      <c r="O173"/>
      <c r="P173"/>
      <c r="Q173"/>
    </row>
    <row r="174" spans="1:17" ht="15.75" x14ac:dyDescent="0.25">
      <c r="A174"/>
      <c r="B174"/>
      <c r="C174"/>
      <c r="D174"/>
      <c r="E174"/>
      <c r="F174"/>
      <c r="G174"/>
      <c r="H174"/>
      <c r="I174"/>
      <c r="J174"/>
      <c r="K174"/>
      <c r="L174"/>
      <c r="M174"/>
      <c r="N174"/>
      <c r="O174"/>
      <c r="P174"/>
      <c r="Q174"/>
    </row>
    <row r="175" spans="1:17" ht="15.75" x14ac:dyDescent="0.25">
      <c r="A175"/>
      <c r="B175"/>
      <c r="C175"/>
      <c r="D175"/>
      <c r="E175"/>
      <c r="F175"/>
      <c r="G175"/>
      <c r="H175"/>
      <c r="I175"/>
      <c r="J175"/>
      <c r="K175"/>
      <c r="L175"/>
      <c r="M175"/>
      <c r="N175"/>
      <c r="O175"/>
      <c r="P175"/>
      <c r="Q175"/>
    </row>
    <row r="176" spans="1:17" ht="15.75" x14ac:dyDescent="0.25">
      <c r="A176"/>
      <c r="B176"/>
      <c r="C176"/>
      <c r="D176"/>
      <c r="E176"/>
      <c r="F176"/>
      <c r="G176"/>
      <c r="H176"/>
      <c r="I176"/>
      <c r="J176"/>
      <c r="K176"/>
      <c r="L176"/>
      <c r="M176"/>
      <c r="N176"/>
      <c r="O176"/>
      <c r="P176"/>
      <c r="Q176"/>
    </row>
    <row r="177" spans="1:17" ht="15.75" x14ac:dyDescent="0.25">
      <c r="A177"/>
      <c r="B177"/>
      <c r="C177"/>
      <c r="D177"/>
      <c r="E177"/>
      <c r="F177"/>
      <c r="G177"/>
      <c r="H177"/>
      <c r="I177"/>
      <c r="J177"/>
      <c r="K177"/>
      <c r="L177"/>
      <c r="M177"/>
      <c r="N177"/>
      <c r="O177"/>
      <c r="P177"/>
      <c r="Q177"/>
    </row>
    <row r="178" spans="1:17" ht="15.75" x14ac:dyDescent="0.25">
      <c r="A178"/>
      <c r="B178"/>
      <c r="C178"/>
      <c r="D178"/>
      <c r="E178"/>
      <c r="F178"/>
      <c r="G178"/>
      <c r="H178"/>
      <c r="I178"/>
      <c r="J178"/>
      <c r="K178"/>
      <c r="L178"/>
      <c r="M178"/>
      <c r="N178"/>
      <c r="O178"/>
      <c r="P178"/>
      <c r="Q178"/>
    </row>
    <row r="179" spans="1:17" ht="15.75" x14ac:dyDescent="0.25">
      <c r="A179"/>
      <c r="B179"/>
      <c r="C179"/>
      <c r="D179"/>
      <c r="E179"/>
      <c r="F179"/>
      <c r="G179"/>
      <c r="H179"/>
      <c r="I179"/>
      <c r="J179"/>
      <c r="K179"/>
      <c r="L179"/>
      <c r="M179"/>
      <c r="N179"/>
      <c r="O179"/>
      <c r="P179"/>
      <c r="Q179"/>
    </row>
    <row r="180" spans="1:17" ht="15.75" x14ac:dyDescent="0.25">
      <c r="A180"/>
      <c r="B180"/>
      <c r="C180"/>
      <c r="D180"/>
      <c r="E180"/>
      <c r="F180"/>
      <c r="G180"/>
      <c r="H180"/>
      <c r="I180"/>
      <c r="J180"/>
      <c r="K180"/>
      <c r="L180"/>
      <c r="M180"/>
      <c r="N180"/>
      <c r="O180"/>
      <c r="P180"/>
      <c r="Q180"/>
    </row>
    <row r="181" spans="1:17" ht="15.75" x14ac:dyDescent="0.25">
      <c r="A181"/>
      <c r="B181"/>
      <c r="C181"/>
      <c r="D181"/>
      <c r="E181"/>
      <c r="F181"/>
      <c r="G181"/>
      <c r="H181"/>
      <c r="I181"/>
      <c r="J181"/>
      <c r="K181"/>
      <c r="L181"/>
      <c r="M181"/>
      <c r="N181"/>
      <c r="O181"/>
      <c r="P181"/>
      <c r="Q181"/>
    </row>
    <row r="182" spans="1:17" ht="15.75" x14ac:dyDescent="0.25">
      <c r="A182"/>
      <c r="B182"/>
      <c r="C182"/>
      <c r="D182"/>
      <c r="E182"/>
      <c r="F182"/>
      <c r="G182"/>
      <c r="H182"/>
      <c r="I182"/>
      <c r="J182"/>
      <c r="K182"/>
      <c r="L182"/>
      <c r="M182"/>
      <c r="N182"/>
      <c r="O182"/>
      <c r="P182"/>
      <c r="Q182"/>
    </row>
    <row r="183" spans="1:17" ht="15.75" x14ac:dyDescent="0.25">
      <c r="A183"/>
      <c r="B183"/>
      <c r="C183"/>
      <c r="D183"/>
      <c r="E183"/>
      <c r="F183"/>
      <c r="G183"/>
      <c r="H183"/>
      <c r="I183"/>
      <c r="J183"/>
      <c r="K183"/>
      <c r="L183"/>
      <c r="M183"/>
      <c r="N183"/>
      <c r="O183"/>
      <c r="P183"/>
      <c r="Q183"/>
    </row>
    <row r="184" spans="1:17" ht="15.75" x14ac:dyDescent="0.25">
      <c r="A184"/>
      <c r="B184"/>
      <c r="C184"/>
      <c r="D184"/>
      <c r="E184"/>
      <c r="F184"/>
      <c r="G184"/>
      <c r="H184"/>
      <c r="I184"/>
      <c r="J184"/>
      <c r="K184"/>
      <c r="L184"/>
      <c r="M184"/>
      <c r="N184"/>
      <c r="O184"/>
      <c r="P184"/>
      <c r="Q184"/>
    </row>
    <row r="185" spans="1:17" ht="15.75" x14ac:dyDescent="0.25">
      <c r="A185"/>
      <c r="B185"/>
      <c r="C185"/>
      <c r="D185"/>
      <c r="E185"/>
      <c r="F185"/>
      <c r="G185"/>
      <c r="H185"/>
      <c r="I185"/>
      <c r="J185"/>
      <c r="K185"/>
      <c r="L185"/>
      <c r="M185"/>
      <c r="N185"/>
      <c r="O185"/>
      <c r="P185"/>
      <c r="Q185"/>
    </row>
    <row r="186" spans="1:17" ht="15.75" x14ac:dyDescent="0.25">
      <c r="A186"/>
      <c r="B186"/>
      <c r="C186"/>
      <c r="D186"/>
      <c r="E186"/>
      <c r="F186"/>
      <c r="G186"/>
      <c r="H186"/>
      <c r="I186"/>
      <c r="J186"/>
      <c r="K186"/>
      <c r="L186"/>
      <c r="M186"/>
      <c r="N186"/>
      <c r="O186"/>
      <c r="P186"/>
      <c r="Q186"/>
    </row>
    <row r="187" spans="1:17" ht="15.75" x14ac:dyDescent="0.25">
      <c r="A187"/>
      <c r="B187"/>
      <c r="C187"/>
      <c r="D187"/>
      <c r="E187"/>
      <c r="F187"/>
      <c r="G187"/>
      <c r="H187"/>
      <c r="I187"/>
      <c r="J187"/>
      <c r="K187"/>
      <c r="L187"/>
      <c r="M187"/>
      <c r="N187"/>
      <c r="O187"/>
      <c r="P187"/>
      <c r="Q187"/>
    </row>
    <row r="188" spans="1:17" ht="15.75" x14ac:dyDescent="0.25">
      <c r="A188"/>
      <c r="B188"/>
      <c r="C188"/>
      <c r="D188"/>
      <c r="E188"/>
      <c r="F188"/>
      <c r="G188"/>
      <c r="H188"/>
      <c r="I188"/>
      <c r="J188"/>
      <c r="K188"/>
      <c r="L188"/>
      <c r="M188"/>
      <c r="N188"/>
      <c r="O188"/>
      <c r="P188"/>
      <c r="Q188"/>
    </row>
    <row r="189" spans="1:17" ht="15.75" x14ac:dyDescent="0.25">
      <c r="A189"/>
      <c r="B189"/>
      <c r="C189"/>
      <c r="D189"/>
      <c r="E189"/>
      <c r="F189"/>
      <c r="G189"/>
      <c r="H189"/>
      <c r="I189"/>
      <c r="J189"/>
      <c r="K189"/>
      <c r="L189"/>
      <c r="M189"/>
      <c r="N189"/>
      <c r="O189"/>
      <c r="P189"/>
      <c r="Q189"/>
    </row>
    <row r="190" spans="1:17" ht="15.75" x14ac:dyDescent="0.25">
      <c r="A190"/>
      <c r="B190"/>
      <c r="C190"/>
      <c r="D190"/>
      <c r="E190"/>
      <c r="F190"/>
      <c r="G190"/>
      <c r="H190"/>
      <c r="I190"/>
      <c r="J190"/>
      <c r="K190"/>
      <c r="L190"/>
      <c r="M190"/>
      <c r="N190"/>
      <c r="O190"/>
      <c r="P190"/>
      <c r="Q190"/>
    </row>
    <row r="191" spans="1:17" ht="15.75" x14ac:dyDescent="0.25">
      <c r="A191"/>
      <c r="B191"/>
      <c r="C191"/>
      <c r="D191"/>
      <c r="E191"/>
      <c r="F191"/>
      <c r="G191"/>
      <c r="H191"/>
      <c r="I191"/>
      <c r="J191"/>
      <c r="K191"/>
      <c r="L191"/>
      <c r="M191"/>
      <c r="N191"/>
      <c r="O191"/>
      <c r="P191"/>
      <c r="Q191"/>
    </row>
    <row r="192" spans="1:17" ht="15.75" x14ac:dyDescent="0.25">
      <c r="A192"/>
      <c r="B192"/>
      <c r="C192"/>
      <c r="D192"/>
      <c r="E192"/>
      <c r="F192"/>
      <c r="G192"/>
      <c r="H192"/>
      <c r="I192"/>
      <c r="J192"/>
      <c r="K192"/>
      <c r="L192"/>
      <c r="M192"/>
      <c r="N192"/>
      <c r="O192"/>
      <c r="P192"/>
      <c r="Q192"/>
    </row>
    <row r="193" spans="1:17" ht="15.75" x14ac:dyDescent="0.25">
      <c r="A193"/>
      <c r="B193"/>
      <c r="C193"/>
      <c r="D193"/>
      <c r="E193"/>
      <c r="F193"/>
      <c r="G193"/>
      <c r="H193"/>
      <c r="I193"/>
      <c r="J193"/>
      <c r="K193"/>
      <c r="L193"/>
      <c r="M193"/>
      <c r="N193"/>
      <c r="O193"/>
      <c r="P193"/>
      <c r="Q193"/>
    </row>
    <row r="194" spans="1:17" ht="15.75" x14ac:dyDescent="0.25">
      <c r="A194"/>
      <c r="B194"/>
      <c r="C194"/>
      <c r="D194"/>
      <c r="E194"/>
      <c r="F194"/>
      <c r="G194"/>
      <c r="H194"/>
      <c r="I194"/>
      <c r="J194"/>
      <c r="K194"/>
      <c r="L194"/>
      <c r="M194"/>
      <c r="N194"/>
      <c r="O194"/>
      <c r="P194"/>
      <c r="Q194"/>
    </row>
    <row r="195" spans="1:17" ht="15.75" x14ac:dyDescent="0.25">
      <c r="A195"/>
      <c r="B195"/>
      <c r="C195"/>
      <c r="D195"/>
      <c r="E195"/>
      <c r="F195"/>
      <c r="G195"/>
      <c r="H195"/>
      <c r="I195"/>
      <c r="J195"/>
      <c r="K195"/>
      <c r="L195"/>
      <c r="M195"/>
      <c r="N195"/>
      <c r="O195"/>
      <c r="P195"/>
      <c r="Q195"/>
    </row>
    <row r="196" spans="1:17" ht="15.75" x14ac:dyDescent="0.25">
      <c r="A196"/>
      <c r="B196"/>
      <c r="C196"/>
      <c r="D196"/>
      <c r="E196"/>
      <c r="F196"/>
      <c r="G196"/>
      <c r="H196"/>
      <c r="I196"/>
      <c r="J196"/>
      <c r="K196"/>
      <c r="L196"/>
      <c r="M196"/>
      <c r="N196"/>
      <c r="O196"/>
      <c r="P196"/>
      <c r="Q196"/>
    </row>
    <row r="197" spans="1:17" ht="15.75" x14ac:dyDescent="0.25">
      <c r="A197"/>
      <c r="B197"/>
      <c r="C197"/>
      <c r="D197"/>
      <c r="E197"/>
      <c r="F197"/>
      <c r="G197"/>
      <c r="H197"/>
      <c r="I197"/>
      <c r="J197"/>
      <c r="K197"/>
      <c r="L197"/>
      <c r="M197"/>
      <c r="N197"/>
      <c r="O197"/>
      <c r="P197"/>
      <c r="Q197"/>
    </row>
    <row r="198" spans="1:17" ht="15.75" x14ac:dyDescent="0.25">
      <c r="A198"/>
      <c r="B198"/>
      <c r="C198"/>
      <c r="D198"/>
      <c r="E198"/>
      <c r="F198"/>
      <c r="G198"/>
      <c r="H198"/>
      <c r="I198"/>
      <c r="J198"/>
      <c r="K198"/>
      <c r="L198"/>
      <c r="M198"/>
      <c r="N198"/>
      <c r="O198"/>
      <c r="P198"/>
      <c r="Q198"/>
    </row>
    <row r="199" spans="1:17" ht="15.75" x14ac:dyDescent="0.25">
      <c r="A199"/>
      <c r="B199"/>
      <c r="C199"/>
      <c r="D199"/>
      <c r="E199"/>
      <c r="F199"/>
      <c r="G199"/>
      <c r="H199"/>
      <c r="I199"/>
      <c r="J199"/>
      <c r="K199"/>
      <c r="L199"/>
      <c r="M199"/>
      <c r="N199"/>
      <c r="O199"/>
      <c r="P199"/>
      <c r="Q199"/>
    </row>
    <row r="200" spans="1:17" ht="15.75" x14ac:dyDescent="0.25">
      <c r="A200"/>
      <c r="B200"/>
      <c r="C200"/>
      <c r="D200"/>
      <c r="E200"/>
      <c r="F200"/>
      <c r="G200"/>
      <c r="H200"/>
      <c r="I200"/>
      <c r="J200"/>
      <c r="K200"/>
      <c r="L200"/>
      <c r="M200"/>
      <c r="N200"/>
      <c r="O200"/>
      <c r="P200"/>
      <c r="Q200"/>
    </row>
    <row r="201" spans="1:17" ht="15.75" x14ac:dyDescent="0.25">
      <c r="A201"/>
      <c r="B201"/>
      <c r="C201"/>
      <c r="D201"/>
      <c r="E201"/>
      <c r="F201"/>
      <c r="G201"/>
      <c r="H201"/>
      <c r="I201"/>
      <c r="J201"/>
      <c r="K201"/>
      <c r="L201"/>
      <c r="M201"/>
      <c r="N201"/>
      <c r="O201"/>
      <c r="P201"/>
      <c r="Q201"/>
    </row>
    <row r="202" spans="1:17" ht="15.75" x14ac:dyDescent="0.25">
      <c r="A202"/>
      <c r="B202"/>
      <c r="C202"/>
      <c r="D202"/>
      <c r="E202"/>
      <c r="F202"/>
      <c r="G202"/>
      <c r="H202"/>
      <c r="I202"/>
      <c r="J202"/>
      <c r="K202"/>
      <c r="L202"/>
      <c r="M202"/>
      <c r="N202"/>
      <c r="O202"/>
      <c r="P202"/>
      <c r="Q202"/>
    </row>
    <row r="203" spans="1:17" ht="15.75" x14ac:dyDescent="0.25">
      <c r="A203"/>
      <c r="B203"/>
      <c r="C203"/>
      <c r="D203"/>
      <c r="E203"/>
      <c r="F203"/>
      <c r="G203"/>
      <c r="H203"/>
      <c r="I203"/>
      <c r="J203"/>
      <c r="K203"/>
      <c r="L203"/>
      <c r="M203"/>
      <c r="N203"/>
      <c r="O203"/>
      <c r="P203"/>
      <c r="Q203"/>
    </row>
    <row r="204" spans="1:17" ht="15.75" x14ac:dyDescent="0.25">
      <c r="A204"/>
      <c r="B204"/>
      <c r="C204"/>
      <c r="D204"/>
      <c r="E204"/>
      <c r="F204"/>
      <c r="G204"/>
      <c r="H204"/>
      <c r="I204"/>
      <c r="J204"/>
      <c r="K204"/>
      <c r="L204"/>
      <c r="M204"/>
      <c r="N204"/>
      <c r="O204"/>
      <c r="P204"/>
      <c r="Q204"/>
    </row>
    <row r="205" spans="1:17" ht="15.75" x14ac:dyDescent="0.25">
      <c r="A205"/>
      <c r="B205"/>
      <c r="C205"/>
      <c r="D205"/>
      <c r="E205"/>
      <c r="F205"/>
      <c r="G205"/>
      <c r="H205"/>
      <c r="I205"/>
      <c r="J205"/>
      <c r="K205"/>
      <c r="L205"/>
      <c r="M205"/>
      <c r="N205"/>
      <c r="O205"/>
      <c r="P205"/>
      <c r="Q205"/>
    </row>
    <row r="206" spans="1:17" ht="15.75" x14ac:dyDescent="0.25">
      <c r="A206"/>
      <c r="B206"/>
      <c r="C206"/>
      <c r="D206"/>
      <c r="E206"/>
      <c r="F206"/>
      <c r="G206"/>
      <c r="H206"/>
      <c r="I206"/>
      <c r="J206"/>
      <c r="K206"/>
      <c r="L206"/>
      <c r="M206"/>
      <c r="N206"/>
      <c r="O206"/>
      <c r="P206"/>
      <c r="Q206"/>
    </row>
    <row r="207" spans="1:17" ht="15.75" x14ac:dyDescent="0.25">
      <c r="A207"/>
      <c r="B207"/>
      <c r="C207"/>
      <c r="D207"/>
      <c r="E207"/>
      <c r="F207"/>
      <c r="G207"/>
      <c r="H207"/>
      <c r="I207"/>
      <c r="J207"/>
      <c r="K207"/>
      <c r="L207"/>
      <c r="M207"/>
      <c r="N207"/>
      <c r="O207"/>
      <c r="P207"/>
      <c r="Q207"/>
    </row>
    <row r="208" spans="1:17" ht="15.75" x14ac:dyDescent="0.25">
      <c r="A208"/>
      <c r="B208"/>
      <c r="C208"/>
      <c r="D208"/>
      <c r="E208"/>
      <c r="F208"/>
      <c r="G208"/>
      <c r="H208"/>
      <c r="I208"/>
      <c r="J208"/>
      <c r="K208"/>
      <c r="L208"/>
      <c r="M208"/>
      <c r="N208"/>
      <c r="O208"/>
      <c r="P208"/>
      <c r="Q208"/>
    </row>
    <row r="209" spans="1:17" ht="15.75" x14ac:dyDescent="0.25">
      <c r="A209"/>
      <c r="B209"/>
      <c r="C209"/>
      <c r="D209"/>
      <c r="E209"/>
      <c r="F209"/>
      <c r="G209"/>
      <c r="H209"/>
      <c r="I209"/>
      <c r="J209"/>
      <c r="K209"/>
      <c r="L209"/>
      <c r="M209"/>
      <c r="N209"/>
      <c r="O209"/>
      <c r="P209"/>
      <c r="Q209"/>
    </row>
    <row r="210" spans="1:17" ht="15.75" x14ac:dyDescent="0.25">
      <c r="A210"/>
      <c r="B210"/>
      <c r="C210"/>
      <c r="D210"/>
      <c r="E210"/>
      <c r="F210"/>
      <c r="G210"/>
      <c r="H210"/>
      <c r="I210"/>
      <c r="J210"/>
      <c r="K210"/>
      <c r="L210"/>
      <c r="M210"/>
      <c r="N210"/>
      <c r="O210"/>
      <c r="P210"/>
      <c r="Q210"/>
    </row>
    <row r="211" spans="1:17" ht="15.75" x14ac:dyDescent="0.25">
      <c r="A211"/>
      <c r="B211"/>
      <c r="C211"/>
      <c r="D211"/>
      <c r="E211"/>
      <c r="F211"/>
      <c r="G211"/>
      <c r="H211"/>
      <c r="I211"/>
      <c r="J211"/>
      <c r="K211"/>
      <c r="L211"/>
      <c r="M211"/>
      <c r="N211"/>
      <c r="O211"/>
      <c r="P211"/>
      <c r="Q211"/>
    </row>
    <row r="212" spans="1:17" ht="15.75" x14ac:dyDescent="0.25">
      <c r="A212"/>
      <c r="B212"/>
      <c r="C212"/>
      <c r="D212"/>
      <c r="E212"/>
      <c r="F212"/>
      <c r="G212"/>
      <c r="H212"/>
      <c r="I212"/>
      <c r="J212"/>
      <c r="K212"/>
      <c r="L212"/>
      <c r="M212"/>
      <c r="N212"/>
      <c r="O212"/>
      <c r="P212"/>
      <c r="Q212"/>
    </row>
    <row r="213" spans="1:17" ht="15.75" x14ac:dyDescent="0.25">
      <c r="A213"/>
      <c r="B213"/>
      <c r="C213"/>
      <c r="D213"/>
      <c r="E213"/>
      <c r="F213"/>
      <c r="G213"/>
      <c r="H213"/>
      <c r="I213"/>
      <c r="J213"/>
      <c r="K213"/>
      <c r="L213"/>
      <c r="M213"/>
      <c r="N213"/>
      <c r="O213"/>
      <c r="P213"/>
      <c r="Q213"/>
    </row>
    <row r="214" spans="1:17" ht="15.75" x14ac:dyDescent="0.25">
      <c r="A214"/>
      <c r="B214"/>
      <c r="C214"/>
      <c r="D214"/>
      <c r="E214"/>
      <c r="F214"/>
      <c r="G214"/>
      <c r="H214"/>
      <c r="I214"/>
      <c r="J214"/>
      <c r="K214"/>
      <c r="L214"/>
      <c r="M214"/>
      <c r="N214"/>
      <c r="O214"/>
      <c r="P214"/>
      <c r="Q214"/>
    </row>
    <row r="215" spans="1:17" ht="15.75" x14ac:dyDescent="0.25">
      <c r="A215"/>
      <c r="B215"/>
      <c r="C215"/>
      <c r="D215"/>
      <c r="E215"/>
      <c r="F215"/>
      <c r="G215"/>
      <c r="H215"/>
      <c r="I215"/>
      <c r="J215"/>
      <c r="K215"/>
      <c r="L215"/>
      <c r="M215"/>
      <c r="N215"/>
      <c r="O215"/>
      <c r="P215"/>
      <c r="Q215"/>
    </row>
    <row r="216" spans="1:17" ht="15.75" x14ac:dyDescent="0.25">
      <c r="A216"/>
      <c r="B216"/>
      <c r="C216"/>
      <c r="D216"/>
      <c r="E216"/>
      <c r="F216"/>
      <c r="G216"/>
      <c r="H216"/>
      <c r="I216"/>
      <c r="J216"/>
      <c r="K216"/>
      <c r="L216"/>
      <c r="M216"/>
      <c r="N216"/>
      <c r="O216"/>
      <c r="P216"/>
      <c r="Q216"/>
    </row>
    <row r="217" spans="1:17" ht="15.75" x14ac:dyDescent="0.25">
      <c r="A217"/>
      <c r="B217"/>
      <c r="C217"/>
      <c r="D217"/>
      <c r="E217"/>
      <c r="F217"/>
      <c r="G217"/>
      <c r="H217"/>
      <c r="I217"/>
      <c r="J217"/>
      <c r="K217"/>
      <c r="L217"/>
      <c r="M217"/>
      <c r="N217"/>
      <c r="O217"/>
      <c r="P217"/>
      <c r="Q217"/>
    </row>
    <row r="218" spans="1:17" ht="15.75" x14ac:dyDescent="0.25">
      <c r="A218"/>
      <c r="B218"/>
      <c r="C218"/>
      <c r="D218"/>
      <c r="E218"/>
      <c r="F218"/>
      <c r="G218"/>
      <c r="H218"/>
      <c r="I218"/>
      <c r="J218"/>
      <c r="K218"/>
      <c r="L218"/>
      <c r="M218"/>
      <c r="N218"/>
      <c r="O218"/>
      <c r="P218"/>
      <c r="Q218"/>
    </row>
    <row r="219" spans="1:17" ht="15.75" x14ac:dyDescent="0.25">
      <c r="A219"/>
      <c r="B219"/>
      <c r="C219"/>
      <c r="D219"/>
      <c r="E219"/>
      <c r="F219"/>
      <c r="G219"/>
      <c r="H219"/>
      <c r="I219"/>
      <c r="J219"/>
      <c r="K219"/>
      <c r="L219"/>
      <c r="M219"/>
      <c r="N219"/>
      <c r="O219"/>
      <c r="P219"/>
      <c r="Q219"/>
    </row>
    <row r="220" spans="1:17" ht="15.75" x14ac:dyDescent="0.25">
      <c r="A220"/>
      <c r="B220"/>
      <c r="C220"/>
      <c r="D220"/>
      <c r="E220"/>
      <c r="F220"/>
      <c r="G220"/>
      <c r="H220"/>
      <c r="I220"/>
      <c r="J220"/>
      <c r="K220"/>
      <c r="L220"/>
      <c r="M220"/>
      <c r="N220"/>
      <c r="O220"/>
      <c r="P220"/>
      <c r="Q220"/>
    </row>
    <row r="221" spans="1:17" ht="15.75" x14ac:dyDescent="0.25">
      <c r="A221"/>
      <c r="B221"/>
      <c r="C221"/>
      <c r="D221"/>
      <c r="E221"/>
      <c r="F221"/>
      <c r="G221"/>
      <c r="H221"/>
      <c r="I221"/>
      <c r="J221"/>
      <c r="K221"/>
      <c r="L221"/>
      <c r="M221"/>
      <c r="N221"/>
      <c r="O221"/>
      <c r="P221"/>
      <c r="Q221"/>
    </row>
    <row r="222" spans="1:17" ht="15.75" x14ac:dyDescent="0.25">
      <c r="A222"/>
      <c r="B222"/>
      <c r="C222"/>
      <c r="D222"/>
      <c r="E222"/>
      <c r="F222"/>
      <c r="G222"/>
      <c r="H222"/>
      <c r="I222"/>
      <c r="J222"/>
      <c r="K222"/>
      <c r="L222"/>
      <c r="M222"/>
      <c r="N222"/>
      <c r="O222"/>
      <c r="P222"/>
      <c r="Q222"/>
    </row>
    <row r="223" spans="1:17" ht="15.75" x14ac:dyDescent="0.25">
      <c r="A223"/>
      <c r="B223"/>
      <c r="C223"/>
      <c r="D223"/>
      <c r="E223"/>
      <c r="F223"/>
      <c r="G223"/>
      <c r="H223"/>
      <c r="I223"/>
      <c r="J223"/>
      <c r="K223"/>
      <c r="L223"/>
      <c r="M223"/>
      <c r="N223"/>
      <c r="O223"/>
      <c r="P223"/>
      <c r="Q223"/>
    </row>
    <row r="224" spans="1:17" ht="15.75" x14ac:dyDescent="0.25">
      <c r="A224"/>
      <c r="B224"/>
      <c r="C224"/>
      <c r="D224"/>
      <c r="E224"/>
      <c r="F224"/>
      <c r="G224"/>
      <c r="H224"/>
      <c r="I224"/>
      <c r="J224"/>
      <c r="K224"/>
      <c r="L224"/>
      <c r="M224"/>
      <c r="N224"/>
      <c r="O224"/>
      <c r="P224"/>
      <c r="Q224"/>
    </row>
    <row r="225" spans="1:17" ht="15.75" x14ac:dyDescent="0.25">
      <c r="A225"/>
      <c r="B225"/>
      <c r="C225"/>
      <c r="D225"/>
      <c r="E225"/>
      <c r="F225"/>
      <c r="G225"/>
      <c r="H225"/>
      <c r="I225"/>
      <c r="J225"/>
      <c r="K225"/>
      <c r="L225"/>
      <c r="M225"/>
      <c r="N225"/>
      <c r="O225"/>
      <c r="P225"/>
      <c r="Q225"/>
    </row>
    <row r="226" spans="1:17" ht="15.75" x14ac:dyDescent="0.25">
      <c r="A226"/>
      <c r="B226"/>
      <c r="C226"/>
      <c r="D226"/>
      <c r="E226"/>
      <c r="F226"/>
      <c r="G226"/>
      <c r="H226"/>
      <c r="I226"/>
      <c r="J226"/>
      <c r="K226"/>
      <c r="L226"/>
      <c r="M226"/>
      <c r="N226"/>
      <c r="O226"/>
      <c r="P226"/>
      <c r="Q226"/>
    </row>
    <row r="227" spans="1:17" ht="15.75" x14ac:dyDescent="0.25">
      <c r="A227"/>
      <c r="B227"/>
      <c r="C227"/>
      <c r="D227"/>
      <c r="E227"/>
      <c r="F227"/>
      <c r="G227"/>
      <c r="H227"/>
      <c r="I227"/>
      <c r="J227"/>
      <c r="K227"/>
      <c r="L227"/>
      <c r="M227"/>
      <c r="N227"/>
      <c r="O227"/>
      <c r="P227"/>
      <c r="Q227"/>
    </row>
    <row r="228" spans="1:17" ht="15.75" x14ac:dyDescent="0.25">
      <c r="A228"/>
      <c r="B228"/>
      <c r="C228"/>
      <c r="D228"/>
      <c r="E228"/>
      <c r="F228"/>
      <c r="G228"/>
      <c r="H228"/>
      <c r="I228"/>
      <c r="J228"/>
      <c r="K228"/>
      <c r="L228"/>
      <c r="M228"/>
      <c r="N228"/>
      <c r="O228"/>
      <c r="P228"/>
      <c r="Q228"/>
    </row>
    <row r="229" spans="1:17" ht="15.75" x14ac:dyDescent="0.25">
      <c r="A229"/>
      <c r="B229"/>
      <c r="C229"/>
      <c r="D229"/>
      <c r="E229"/>
      <c r="F229"/>
      <c r="G229"/>
      <c r="H229"/>
      <c r="I229"/>
      <c r="J229"/>
      <c r="K229"/>
      <c r="L229"/>
      <c r="M229"/>
      <c r="N229"/>
      <c r="O229"/>
      <c r="P229"/>
      <c r="Q229"/>
    </row>
    <row r="230" spans="1:17" ht="15.75" x14ac:dyDescent="0.25">
      <c r="A230"/>
      <c r="B230"/>
      <c r="C230"/>
      <c r="D230"/>
      <c r="E230"/>
      <c r="F230"/>
      <c r="G230"/>
      <c r="H230"/>
      <c r="I230"/>
      <c r="J230"/>
      <c r="K230"/>
      <c r="L230"/>
      <c r="M230"/>
      <c r="N230"/>
      <c r="O230"/>
      <c r="P230"/>
      <c r="Q230"/>
    </row>
    <row r="231" spans="1:17" ht="15.75" x14ac:dyDescent="0.25">
      <c r="A231"/>
      <c r="B231"/>
      <c r="C231"/>
      <c r="D231"/>
      <c r="E231"/>
      <c r="F231"/>
      <c r="G231"/>
      <c r="H231"/>
      <c r="I231"/>
      <c r="J231"/>
      <c r="K231"/>
      <c r="L231"/>
      <c r="M231"/>
      <c r="N231"/>
      <c r="O231"/>
      <c r="P231"/>
      <c r="Q231"/>
    </row>
    <row r="232" spans="1:17" ht="15.75" x14ac:dyDescent="0.25">
      <c r="A232"/>
      <c r="B232"/>
      <c r="C232"/>
      <c r="D232"/>
      <c r="E232"/>
      <c r="F232"/>
      <c r="G232"/>
      <c r="H232"/>
      <c r="I232"/>
      <c r="J232"/>
      <c r="K232"/>
      <c r="L232"/>
      <c r="M232"/>
      <c r="N232"/>
      <c r="O232"/>
      <c r="P232"/>
      <c r="Q232"/>
    </row>
    <row r="233" spans="1:17" ht="15.75" x14ac:dyDescent="0.25">
      <c r="A233"/>
      <c r="B233"/>
      <c r="C233"/>
      <c r="D233"/>
      <c r="E233"/>
      <c r="F233"/>
      <c r="G233"/>
      <c r="H233"/>
      <c r="I233"/>
      <c r="J233"/>
      <c r="K233"/>
      <c r="L233"/>
      <c r="M233"/>
      <c r="N233"/>
      <c r="O233"/>
      <c r="P233"/>
      <c r="Q233"/>
    </row>
    <row r="234" spans="1:17" ht="15.75" x14ac:dyDescent="0.25">
      <c r="A234"/>
      <c r="B234"/>
      <c r="C234"/>
      <c r="D234"/>
      <c r="E234"/>
      <c r="F234"/>
      <c r="G234"/>
      <c r="H234"/>
      <c r="I234"/>
      <c r="J234"/>
      <c r="K234"/>
      <c r="L234"/>
      <c r="M234"/>
      <c r="N234"/>
      <c r="O234"/>
      <c r="P234"/>
      <c r="Q234"/>
    </row>
    <row r="235" spans="1:17" ht="15.75" x14ac:dyDescent="0.25">
      <c r="A235"/>
      <c r="B235"/>
      <c r="C235"/>
      <c r="D235"/>
      <c r="E235"/>
      <c r="F235"/>
      <c r="G235"/>
      <c r="H235"/>
      <c r="I235"/>
      <c r="J235"/>
      <c r="K235"/>
      <c r="L235"/>
      <c r="M235"/>
      <c r="N235"/>
      <c r="O235"/>
      <c r="P235"/>
      <c r="Q235"/>
    </row>
    <row r="236" spans="1:17" ht="15.75" x14ac:dyDescent="0.25">
      <c r="A236"/>
      <c r="B236"/>
      <c r="C236"/>
      <c r="D236"/>
      <c r="E236"/>
      <c r="F236"/>
      <c r="G236"/>
      <c r="H236"/>
      <c r="I236"/>
      <c r="J236"/>
      <c r="K236"/>
      <c r="L236"/>
      <c r="M236"/>
      <c r="N236"/>
      <c r="O236"/>
      <c r="P236"/>
      <c r="Q236"/>
    </row>
    <row r="237" spans="1:17" ht="15.75" x14ac:dyDescent="0.25">
      <c r="A237"/>
      <c r="B237"/>
      <c r="C237"/>
      <c r="D237"/>
      <c r="E237"/>
      <c r="F237"/>
      <c r="G237"/>
      <c r="H237"/>
      <c r="I237"/>
      <c r="J237"/>
      <c r="K237"/>
      <c r="L237"/>
      <c r="M237"/>
      <c r="N237"/>
      <c r="O237"/>
      <c r="P237"/>
      <c r="Q237"/>
    </row>
    <row r="238" spans="1:17" ht="15.75" x14ac:dyDescent="0.25">
      <c r="A238"/>
      <c r="B238"/>
      <c r="C238"/>
      <c r="D238"/>
      <c r="E238"/>
      <c r="F238"/>
      <c r="G238"/>
      <c r="H238"/>
      <c r="I238"/>
      <c r="J238"/>
      <c r="K238"/>
      <c r="L238"/>
      <c r="M238"/>
      <c r="N238"/>
      <c r="O238"/>
      <c r="P238"/>
      <c r="Q238"/>
    </row>
    <row r="239" spans="1:17" ht="15.75" x14ac:dyDescent="0.25">
      <c r="A239"/>
      <c r="B239"/>
      <c r="C239"/>
      <c r="D239"/>
      <c r="E239"/>
      <c r="F239"/>
      <c r="G239"/>
      <c r="H239"/>
      <c r="I239"/>
      <c r="J239"/>
      <c r="K239"/>
      <c r="L239"/>
      <c r="M239"/>
      <c r="N239"/>
      <c r="O239"/>
      <c r="P239"/>
      <c r="Q239"/>
    </row>
    <row r="240" spans="1:17" ht="15.75" x14ac:dyDescent="0.25">
      <c r="A240"/>
      <c r="B240"/>
      <c r="C240"/>
      <c r="D240"/>
      <c r="E240"/>
      <c r="F240"/>
      <c r="G240"/>
      <c r="H240"/>
      <c r="I240"/>
      <c r="J240"/>
      <c r="K240"/>
      <c r="L240"/>
      <c r="M240"/>
      <c r="N240"/>
      <c r="O240"/>
      <c r="P240"/>
      <c r="Q240"/>
    </row>
    <row r="241" spans="1:17" ht="15.75" x14ac:dyDescent="0.25">
      <c r="A241"/>
      <c r="B241"/>
      <c r="C241"/>
      <c r="D241"/>
      <c r="E241"/>
      <c r="F241"/>
      <c r="G241"/>
      <c r="H241"/>
      <c r="I241"/>
      <c r="J241"/>
      <c r="K241"/>
      <c r="L241"/>
      <c r="M241"/>
      <c r="N241"/>
      <c r="O241"/>
      <c r="P241"/>
      <c r="Q241"/>
    </row>
    <row r="242" spans="1:17" ht="15.75" x14ac:dyDescent="0.25">
      <c r="A242"/>
      <c r="B242"/>
      <c r="C242"/>
      <c r="D242"/>
      <c r="E242"/>
      <c r="F242"/>
      <c r="G242"/>
      <c r="H242"/>
      <c r="I242"/>
      <c r="J242"/>
      <c r="K242"/>
      <c r="L242"/>
      <c r="M242"/>
      <c r="N242"/>
      <c r="O242"/>
      <c r="P242"/>
      <c r="Q242"/>
    </row>
    <row r="243" spans="1:17" ht="15.75" x14ac:dyDescent="0.25">
      <c r="A243"/>
      <c r="B243"/>
      <c r="C243"/>
      <c r="D243"/>
      <c r="E243"/>
      <c r="F243"/>
      <c r="G243"/>
      <c r="H243"/>
      <c r="I243"/>
      <c r="J243"/>
      <c r="K243"/>
      <c r="L243"/>
      <c r="M243"/>
      <c r="N243"/>
      <c r="O243"/>
      <c r="P243"/>
      <c r="Q243"/>
    </row>
    <row r="244" spans="1:17" ht="15.75" x14ac:dyDescent="0.25">
      <c r="A244"/>
      <c r="B244"/>
      <c r="C244"/>
      <c r="D244"/>
      <c r="E244"/>
      <c r="F244"/>
      <c r="G244"/>
      <c r="H244"/>
      <c r="I244"/>
      <c r="J244"/>
      <c r="K244"/>
      <c r="L244"/>
      <c r="M244"/>
      <c r="N244"/>
      <c r="O244"/>
      <c r="P244"/>
      <c r="Q244"/>
    </row>
    <row r="245" spans="1:17" ht="15.75" x14ac:dyDescent="0.25">
      <c r="A245"/>
      <c r="B245"/>
      <c r="C245"/>
      <c r="D245"/>
      <c r="E245"/>
      <c r="F245"/>
      <c r="G245"/>
      <c r="H245"/>
      <c r="I245"/>
      <c r="J245"/>
      <c r="K245"/>
      <c r="L245"/>
      <c r="M245"/>
      <c r="N245"/>
      <c r="O245"/>
      <c r="P245"/>
      <c r="Q245"/>
    </row>
    <row r="246" spans="1:17" ht="15.75" x14ac:dyDescent="0.25">
      <c r="A246"/>
      <c r="B246"/>
      <c r="C246"/>
      <c r="D246"/>
      <c r="E246"/>
      <c r="F246"/>
      <c r="G246"/>
      <c r="H246"/>
      <c r="I246"/>
      <c r="J246"/>
      <c r="K246"/>
      <c r="L246"/>
      <c r="M246"/>
      <c r="N246"/>
      <c r="O246"/>
      <c r="P246"/>
      <c r="Q246"/>
    </row>
    <row r="247" spans="1:17" ht="15.75" x14ac:dyDescent="0.25">
      <c r="A247"/>
      <c r="B247"/>
      <c r="C247"/>
      <c r="D247"/>
      <c r="E247"/>
      <c r="F247"/>
      <c r="G247"/>
      <c r="H247"/>
      <c r="I247"/>
      <c r="J247"/>
      <c r="K247"/>
      <c r="L247"/>
      <c r="M247"/>
      <c r="N247"/>
      <c r="O247"/>
      <c r="P247"/>
      <c r="Q247"/>
    </row>
    <row r="248" spans="1:17" ht="15.75" x14ac:dyDescent="0.25">
      <c r="A248"/>
      <c r="B248"/>
      <c r="C248"/>
      <c r="D248"/>
      <c r="E248"/>
      <c r="F248"/>
      <c r="G248"/>
      <c r="H248"/>
      <c r="I248"/>
      <c r="J248"/>
      <c r="K248"/>
      <c r="L248"/>
      <c r="M248"/>
      <c r="N248"/>
      <c r="O248"/>
      <c r="P248"/>
      <c r="Q248"/>
    </row>
    <row r="249" spans="1:17" ht="15.75" x14ac:dyDescent="0.25">
      <c r="A249"/>
      <c r="B249"/>
      <c r="C249"/>
      <c r="D249"/>
      <c r="E249"/>
      <c r="F249"/>
      <c r="G249"/>
      <c r="H249"/>
      <c r="I249"/>
      <c r="J249"/>
      <c r="K249"/>
      <c r="L249"/>
      <c r="M249"/>
      <c r="N249"/>
      <c r="O249"/>
      <c r="P249"/>
      <c r="Q249"/>
    </row>
    <row r="250" spans="1:17" ht="15.75" x14ac:dyDescent="0.25">
      <c r="A250"/>
      <c r="B250"/>
      <c r="C250"/>
      <c r="D250"/>
      <c r="E250"/>
      <c r="F250"/>
      <c r="G250"/>
      <c r="H250"/>
      <c r="I250"/>
      <c r="J250"/>
      <c r="K250"/>
      <c r="L250"/>
      <c r="M250"/>
      <c r="N250"/>
      <c r="O250"/>
      <c r="P250"/>
      <c r="Q250"/>
    </row>
    <row r="251" spans="1:17" ht="15.75" x14ac:dyDescent="0.25">
      <c r="A251"/>
      <c r="B251"/>
      <c r="C251"/>
      <c r="D251"/>
      <c r="E251"/>
      <c r="F251"/>
      <c r="G251"/>
      <c r="H251"/>
      <c r="I251"/>
      <c r="J251"/>
      <c r="K251"/>
      <c r="L251"/>
      <c r="M251"/>
      <c r="N251"/>
      <c r="O251"/>
      <c r="P251"/>
      <c r="Q251"/>
    </row>
    <row r="252" spans="1:17" ht="15.75" x14ac:dyDescent="0.25">
      <c r="A252"/>
      <c r="B252"/>
      <c r="C252"/>
      <c r="D252"/>
      <c r="E252"/>
      <c r="F252"/>
      <c r="G252"/>
      <c r="H252"/>
      <c r="I252"/>
      <c r="J252"/>
      <c r="K252"/>
      <c r="L252"/>
      <c r="M252"/>
      <c r="N252"/>
      <c r="O252"/>
      <c r="P252"/>
      <c r="Q252"/>
    </row>
    <row r="253" spans="1:17" ht="15.75" x14ac:dyDescent="0.25">
      <c r="A253"/>
      <c r="B253"/>
      <c r="C253"/>
      <c r="D253"/>
      <c r="E253"/>
      <c r="F253"/>
      <c r="G253"/>
      <c r="H253"/>
      <c r="I253"/>
      <c r="J253"/>
      <c r="K253"/>
      <c r="L253"/>
      <c r="M253"/>
      <c r="N253"/>
      <c r="O253"/>
      <c r="P253"/>
      <c r="Q253"/>
    </row>
    <row r="254" spans="1:17" ht="15.75" x14ac:dyDescent="0.25">
      <c r="A254"/>
      <c r="B254"/>
      <c r="C254"/>
      <c r="D254"/>
      <c r="E254"/>
      <c r="F254"/>
      <c r="G254"/>
      <c r="H254"/>
      <c r="I254"/>
      <c r="J254"/>
      <c r="K254"/>
      <c r="L254"/>
      <c r="M254"/>
      <c r="N254"/>
      <c r="O254"/>
      <c r="P254"/>
      <c r="Q254"/>
    </row>
    <row r="255" spans="1:17" ht="15.75" x14ac:dyDescent="0.25">
      <c r="A255"/>
      <c r="B255"/>
      <c r="C255"/>
      <c r="D255"/>
      <c r="E255"/>
      <c r="F255"/>
      <c r="G255"/>
      <c r="H255"/>
      <c r="I255"/>
      <c r="J255"/>
      <c r="K255"/>
      <c r="L255"/>
      <c r="M255"/>
      <c r="N255"/>
      <c r="O255"/>
      <c r="P255"/>
      <c r="Q255"/>
    </row>
    <row r="256" spans="1:17" ht="15.75" x14ac:dyDescent="0.25">
      <c r="A256"/>
      <c r="B256"/>
      <c r="C256"/>
      <c r="D256"/>
      <c r="E256"/>
      <c r="F256"/>
      <c r="G256"/>
      <c r="H256"/>
      <c r="I256"/>
      <c r="J256"/>
      <c r="K256"/>
      <c r="L256"/>
      <c r="M256"/>
      <c r="N256"/>
      <c r="O256"/>
      <c r="P256"/>
      <c r="Q256"/>
    </row>
    <row r="257" spans="1:17" ht="15.75" x14ac:dyDescent="0.25">
      <c r="A257"/>
      <c r="B257"/>
      <c r="C257"/>
      <c r="D257"/>
      <c r="E257"/>
      <c r="F257"/>
      <c r="G257"/>
      <c r="H257"/>
      <c r="I257"/>
      <c r="J257"/>
      <c r="K257"/>
      <c r="L257"/>
      <c r="M257"/>
      <c r="N257"/>
      <c r="O257"/>
      <c r="P257"/>
      <c r="Q257"/>
    </row>
    <row r="258" spans="1:17" ht="15.75" x14ac:dyDescent="0.25">
      <c r="A258"/>
      <c r="B258"/>
      <c r="C258"/>
      <c r="D258"/>
      <c r="E258"/>
      <c r="F258"/>
      <c r="G258"/>
      <c r="H258"/>
      <c r="I258"/>
      <c r="J258"/>
      <c r="K258"/>
      <c r="L258"/>
      <c r="M258"/>
      <c r="N258"/>
      <c r="O258"/>
      <c r="P258"/>
      <c r="Q258"/>
    </row>
    <row r="259" spans="1:17" ht="15.75" x14ac:dyDescent="0.25">
      <c r="A259"/>
      <c r="B259"/>
      <c r="C259"/>
      <c r="D259"/>
      <c r="E259"/>
      <c r="F259"/>
      <c r="G259"/>
      <c r="H259"/>
      <c r="I259"/>
      <c r="J259"/>
      <c r="K259"/>
      <c r="L259"/>
      <c r="M259"/>
      <c r="N259"/>
      <c r="O259"/>
      <c r="P259"/>
      <c r="Q259"/>
    </row>
    <row r="260" spans="1:17" ht="15.75" x14ac:dyDescent="0.25">
      <c r="A260"/>
      <c r="B260"/>
      <c r="C260"/>
      <c r="D260"/>
      <c r="E260"/>
      <c r="F260"/>
      <c r="G260"/>
      <c r="H260"/>
      <c r="I260"/>
      <c r="J260"/>
      <c r="K260"/>
      <c r="L260"/>
      <c r="M260"/>
      <c r="N260"/>
      <c r="O260"/>
      <c r="P260"/>
      <c r="Q260"/>
    </row>
    <row r="261" spans="1:17" ht="15.75" x14ac:dyDescent="0.25">
      <c r="A261"/>
      <c r="B261"/>
      <c r="C261"/>
      <c r="D261"/>
      <c r="E261"/>
      <c r="F261"/>
      <c r="G261"/>
      <c r="H261"/>
      <c r="I261"/>
      <c r="J261"/>
      <c r="K261"/>
      <c r="L261"/>
      <c r="M261"/>
      <c r="N261"/>
      <c r="O261"/>
      <c r="P261"/>
      <c r="Q261"/>
    </row>
    <row r="262" spans="1:17" ht="15.75" x14ac:dyDescent="0.25">
      <c r="A262"/>
      <c r="B262"/>
      <c r="C262"/>
      <c r="D262"/>
      <c r="E262"/>
      <c r="F262"/>
      <c r="G262"/>
      <c r="H262"/>
      <c r="I262"/>
      <c r="J262"/>
      <c r="K262"/>
      <c r="L262"/>
      <c r="M262"/>
      <c r="N262"/>
      <c r="O262"/>
      <c r="P262"/>
      <c r="Q262"/>
    </row>
    <row r="263" spans="1:17" ht="15.75" x14ac:dyDescent="0.25">
      <c r="A263"/>
      <c r="B263"/>
      <c r="C263"/>
      <c r="D263"/>
      <c r="E263"/>
      <c r="F263"/>
      <c r="G263"/>
      <c r="H263"/>
      <c r="I263"/>
      <c r="J263"/>
      <c r="K263"/>
      <c r="L263"/>
      <c r="M263"/>
      <c r="N263"/>
      <c r="O263"/>
      <c r="P263"/>
      <c r="Q263"/>
    </row>
    <row r="264" spans="1:17" ht="15.75" x14ac:dyDescent="0.25">
      <c r="A264"/>
      <c r="B264"/>
      <c r="C264"/>
      <c r="D264"/>
      <c r="E264"/>
      <c r="F264"/>
      <c r="G264"/>
      <c r="H264"/>
      <c r="I264"/>
      <c r="J264"/>
      <c r="K264"/>
      <c r="L264"/>
      <c r="M264"/>
      <c r="N264"/>
      <c r="O264"/>
      <c r="P264"/>
      <c r="Q264"/>
    </row>
    <row r="265" spans="1:17" ht="15.75" x14ac:dyDescent="0.25">
      <c r="A265"/>
      <c r="B265"/>
      <c r="C265"/>
      <c r="D265"/>
      <c r="E265"/>
      <c r="F265"/>
      <c r="G265"/>
      <c r="H265"/>
      <c r="I265"/>
      <c r="J265"/>
      <c r="K265"/>
      <c r="L265"/>
      <c r="M265"/>
      <c r="N265"/>
      <c r="O265"/>
      <c r="P265"/>
      <c r="Q265"/>
    </row>
    <row r="266" spans="1:17" ht="15.75" x14ac:dyDescent="0.25">
      <c r="A266"/>
      <c r="B266"/>
      <c r="C266"/>
      <c r="D266"/>
      <c r="E266"/>
      <c r="F266"/>
      <c r="G266"/>
      <c r="H266"/>
      <c r="I266"/>
      <c r="J266"/>
      <c r="K266"/>
      <c r="L266"/>
      <c r="M266"/>
      <c r="N266"/>
      <c r="O266"/>
      <c r="P266"/>
      <c r="Q266"/>
    </row>
    <row r="267" spans="1:17" ht="15.75" x14ac:dyDescent="0.25">
      <c r="A267"/>
      <c r="B267"/>
      <c r="C267"/>
      <c r="D267"/>
      <c r="E267"/>
      <c r="F267"/>
      <c r="G267"/>
      <c r="H267"/>
      <c r="I267"/>
      <c r="J267"/>
      <c r="K267"/>
      <c r="L267"/>
      <c r="M267"/>
      <c r="N267"/>
      <c r="O267"/>
      <c r="P267"/>
      <c r="Q267"/>
    </row>
    <row r="268" spans="1:17" ht="15.75" x14ac:dyDescent="0.25">
      <c r="A268"/>
      <c r="B268"/>
      <c r="C268"/>
      <c r="D268"/>
      <c r="E268"/>
      <c r="F268"/>
      <c r="G268"/>
      <c r="H268"/>
      <c r="I268"/>
      <c r="J268"/>
      <c r="K268"/>
      <c r="L268"/>
      <c r="M268"/>
      <c r="N268"/>
      <c r="O268"/>
      <c r="P268"/>
      <c r="Q268"/>
    </row>
    <row r="269" spans="1:17" ht="15.75" x14ac:dyDescent="0.25">
      <c r="A269"/>
      <c r="B269"/>
      <c r="C269"/>
      <c r="D269"/>
      <c r="E269"/>
      <c r="F269"/>
      <c r="G269"/>
      <c r="H269"/>
      <c r="I269"/>
      <c r="J269"/>
      <c r="K269"/>
      <c r="L269"/>
      <c r="M269"/>
      <c r="N269"/>
      <c r="O269"/>
      <c r="P269"/>
      <c r="Q269"/>
    </row>
    <row r="270" spans="1:17" ht="15.75" x14ac:dyDescent="0.25">
      <c r="A270"/>
      <c r="B270"/>
      <c r="C270"/>
      <c r="D270"/>
      <c r="E270"/>
      <c r="F270"/>
      <c r="G270"/>
      <c r="H270"/>
      <c r="I270"/>
      <c r="J270"/>
      <c r="K270"/>
      <c r="L270"/>
      <c r="M270"/>
      <c r="N270"/>
      <c r="O270"/>
      <c r="P270"/>
      <c r="Q270"/>
    </row>
    <row r="271" spans="1:17" ht="15.75" x14ac:dyDescent="0.25">
      <c r="A271"/>
      <c r="B271"/>
      <c r="C271"/>
      <c r="D271"/>
      <c r="E271"/>
      <c r="F271"/>
      <c r="G271"/>
      <c r="H271"/>
      <c r="I271"/>
      <c r="J271"/>
      <c r="K271"/>
      <c r="L271"/>
      <c r="M271"/>
      <c r="N271"/>
      <c r="O271"/>
      <c r="P271"/>
      <c r="Q271"/>
    </row>
    <row r="272" spans="1:17" ht="15.75" x14ac:dyDescent="0.25">
      <c r="A272"/>
      <c r="B272"/>
      <c r="C272"/>
      <c r="D272"/>
      <c r="E272"/>
      <c r="F272"/>
      <c r="G272"/>
      <c r="H272"/>
      <c r="I272"/>
      <c r="J272"/>
      <c r="K272"/>
      <c r="L272"/>
      <c r="M272"/>
      <c r="N272"/>
      <c r="O272"/>
      <c r="P272"/>
      <c r="Q272"/>
    </row>
    <row r="273" spans="1:17" ht="15.75" x14ac:dyDescent="0.25">
      <c r="A273"/>
      <c r="B273"/>
      <c r="C273"/>
      <c r="D273"/>
      <c r="E273"/>
      <c r="F273"/>
      <c r="G273"/>
      <c r="H273"/>
      <c r="I273"/>
      <c r="J273"/>
      <c r="K273"/>
      <c r="L273"/>
      <c r="M273"/>
      <c r="N273"/>
      <c r="O273"/>
      <c r="P273"/>
      <c r="Q273"/>
    </row>
    <row r="274" spans="1:17" ht="15.75" x14ac:dyDescent="0.25">
      <c r="A274"/>
      <c r="B274"/>
      <c r="C274"/>
      <c r="D274"/>
      <c r="E274"/>
      <c r="F274"/>
      <c r="G274"/>
      <c r="H274"/>
      <c r="I274"/>
      <c r="J274"/>
      <c r="K274"/>
      <c r="L274"/>
      <c r="M274"/>
      <c r="N274"/>
      <c r="O274"/>
      <c r="P274"/>
      <c r="Q274"/>
    </row>
    <row r="275" spans="1:17" ht="15.75" x14ac:dyDescent="0.25">
      <c r="A275"/>
      <c r="B275"/>
      <c r="C275"/>
      <c r="D275"/>
      <c r="E275"/>
      <c r="F275"/>
      <c r="G275"/>
      <c r="H275"/>
      <c r="I275"/>
      <c r="J275"/>
      <c r="K275"/>
      <c r="L275"/>
      <c r="M275"/>
      <c r="N275"/>
      <c r="O275"/>
      <c r="P275"/>
      <c r="Q275"/>
    </row>
    <row r="276" spans="1:17" ht="15.75" x14ac:dyDescent="0.25">
      <c r="A276"/>
      <c r="B276"/>
      <c r="C276"/>
      <c r="D276"/>
      <c r="E276"/>
      <c r="F276"/>
      <c r="G276"/>
      <c r="H276"/>
      <c r="I276"/>
      <c r="J276"/>
      <c r="K276"/>
      <c r="L276"/>
      <c r="M276"/>
      <c r="N276"/>
      <c r="O276"/>
      <c r="P276"/>
      <c r="Q276"/>
    </row>
    <row r="277" spans="1:17" ht="15.75" x14ac:dyDescent="0.25">
      <c r="A277"/>
      <c r="B277"/>
      <c r="C277"/>
      <c r="D277"/>
      <c r="E277"/>
      <c r="F277"/>
      <c r="G277"/>
      <c r="H277"/>
      <c r="I277"/>
      <c r="J277"/>
      <c r="K277"/>
      <c r="L277"/>
      <c r="M277"/>
      <c r="N277"/>
      <c r="O277"/>
      <c r="P277"/>
      <c r="Q277"/>
    </row>
    <row r="278" spans="1:17" ht="15.75" x14ac:dyDescent="0.25">
      <c r="A278"/>
      <c r="B278"/>
      <c r="C278"/>
      <c r="D278"/>
      <c r="E278"/>
      <c r="F278"/>
      <c r="G278"/>
      <c r="H278"/>
      <c r="I278"/>
      <c r="J278"/>
      <c r="K278"/>
      <c r="L278"/>
      <c r="M278"/>
      <c r="N278"/>
      <c r="O278"/>
      <c r="P278"/>
      <c r="Q278"/>
    </row>
    <row r="279" spans="1:17" ht="15.75" x14ac:dyDescent="0.25">
      <c r="A279"/>
      <c r="B279"/>
      <c r="C279"/>
      <c r="D279"/>
      <c r="E279"/>
      <c r="F279"/>
      <c r="G279"/>
      <c r="H279"/>
      <c r="I279"/>
      <c r="J279"/>
      <c r="K279"/>
      <c r="L279"/>
      <c r="M279"/>
      <c r="N279"/>
      <c r="O279"/>
      <c r="P279"/>
      <c r="Q279"/>
    </row>
    <row r="280" spans="1:17" ht="15.75" x14ac:dyDescent="0.25">
      <c r="A280"/>
      <c r="B280"/>
      <c r="C280"/>
      <c r="D280"/>
      <c r="E280"/>
      <c r="F280"/>
      <c r="G280"/>
      <c r="H280"/>
      <c r="I280"/>
      <c r="J280"/>
      <c r="K280"/>
      <c r="L280"/>
      <c r="M280"/>
      <c r="N280"/>
      <c r="O280"/>
      <c r="P280"/>
      <c r="Q280"/>
    </row>
    <row r="281" spans="1:17" ht="15.75" x14ac:dyDescent="0.25">
      <c r="A281"/>
      <c r="B281"/>
      <c r="C281"/>
      <c r="D281"/>
      <c r="E281"/>
      <c r="F281"/>
      <c r="G281"/>
      <c r="H281"/>
      <c r="I281"/>
      <c r="J281"/>
      <c r="K281"/>
      <c r="L281"/>
      <c r="M281"/>
      <c r="N281"/>
      <c r="O281"/>
      <c r="P281"/>
      <c r="Q281"/>
    </row>
    <row r="282" spans="1:17" ht="15.75" x14ac:dyDescent="0.25">
      <c r="A282"/>
      <c r="B282"/>
      <c r="C282"/>
      <c r="D282"/>
      <c r="E282"/>
      <c r="F282"/>
      <c r="G282"/>
      <c r="H282"/>
      <c r="I282"/>
      <c r="J282"/>
      <c r="K282"/>
      <c r="L282"/>
      <c r="M282"/>
      <c r="N282"/>
      <c r="O282"/>
      <c r="P282"/>
      <c r="Q282"/>
    </row>
    <row r="283" spans="1:17" ht="15.75" x14ac:dyDescent="0.25">
      <c r="A283"/>
      <c r="B283"/>
      <c r="C283"/>
      <c r="D283"/>
      <c r="E283"/>
      <c r="F283"/>
      <c r="G283"/>
      <c r="H283"/>
      <c r="I283"/>
      <c r="J283"/>
      <c r="K283"/>
      <c r="L283"/>
      <c r="M283"/>
      <c r="N283"/>
      <c r="O283"/>
      <c r="P283"/>
      <c r="Q283"/>
    </row>
    <row r="284" spans="1:17" ht="15.75" x14ac:dyDescent="0.25">
      <c r="A284"/>
      <c r="B284"/>
      <c r="C284"/>
      <c r="D284"/>
      <c r="E284"/>
      <c r="F284"/>
      <c r="G284"/>
      <c r="H284"/>
      <c r="I284"/>
      <c r="J284"/>
      <c r="K284"/>
      <c r="L284"/>
      <c r="M284"/>
      <c r="N284"/>
      <c r="O284"/>
      <c r="P284"/>
      <c r="Q284"/>
    </row>
    <row r="285" spans="1:17" ht="15.75" x14ac:dyDescent="0.25">
      <c r="A285"/>
      <c r="B285"/>
      <c r="C285"/>
      <c r="D285"/>
      <c r="E285"/>
      <c r="F285"/>
      <c r="G285"/>
      <c r="H285"/>
      <c r="I285"/>
      <c r="J285"/>
      <c r="K285"/>
      <c r="L285"/>
      <c r="M285"/>
      <c r="N285"/>
      <c r="O285"/>
      <c r="P285"/>
      <c r="Q285"/>
    </row>
    <row r="286" spans="1:17" ht="15.75" x14ac:dyDescent="0.25">
      <c r="A286"/>
      <c r="B286"/>
      <c r="C286"/>
      <c r="D286"/>
      <c r="E286"/>
      <c r="F286"/>
      <c r="G286"/>
      <c r="H286"/>
      <c r="I286"/>
      <c r="J286"/>
      <c r="K286"/>
      <c r="L286"/>
      <c r="M286"/>
      <c r="N286"/>
      <c r="O286"/>
      <c r="P286"/>
      <c r="Q286"/>
    </row>
    <row r="287" spans="1:17" ht="15.75" x14ac:dyDescent="0.25">
      <c r="A287"/>
      <c r="B287"/>
      <c r="C287"/>
      <c r="D287"/>
      <c r="E287"/>
      <c r="F287"/>
      <c r="G287"/>
      <c r="H287"/>
      <c r="I287"/>
      <c r="J287"/>
      <c r="K287"/>
      <c r="L287"/>
      <c r="M287"/>
      <c r="N287"/>
      <c r="O287"/>
      <c r="P287"/>
      <c r="Q287"/>
    </row>
    <row r="288" spans="1:17" ht="15.75" x14ac:dyDescent="0.25">
      <c r="A288"/>
      <c r="B288"/>
      <c r="C288"/>
      <c r="D288"/>
      <c r="E288"/>
      <c r="F288"/>
      <c r="G288"/>
      <c r="H288"/>
      <c r="I288"/>
      <c r="J288"/>
      <c r="K288"/>
      <c r="L288"/>
      <c r="M288"/>
      <c r="N288"/>
      <c r="O288"/>
      <c r="P288"/>
      <c r="Q288"/>
    </row>
    <row r="289" spans="1:17" ht="15.75" x14ac:dyDescent="0.25">
      <c r="A289"/>
      <c r="B289"/>
      <c r="C289"/>
      <c r="D289"/>
      <c r="E289"/>
      <c r="F289"/>
      <c r="G289"/>
      <c r="H289"/>
      <c r="I289"/>
      <c r="J289"/>
      <c r="K289"/>
      <c r="L289"/>
      <c r="M289"/>
      <c r="N289"/>
      <c r="O289"/>
      <c r="P289"/>
      <c r="Q289"/>
    </row>
    <row r="290" spans="1:17" ht="15.75" x14ac:dyDescent="0.25">
      <c r="A290"/>
      <c r="B290"/>
      <c r="C290"/>
      <c r="D290"/>
      <c r="E290"/>
      <c r="F290"/>
      <c r="G290"/>
      <c r="H290"/>
      <c r="I290"/>
      <c r="J290"/>
      <c r="K290"/>
      <c r="L290"/>
      <c r="M290"/>
      <c r="N290"/>
      <c r="O290"/>
      <c r="P290"/>
      <c r="Q290"/>
    </row>
    <row r="291" spans="1:17" ht="15.75" x14ac:dyDescent="0.25">
      <c r="A291"/>
      <c r="B291"/>
      <c r="C291"/>
      <c r="D291"/>
      <c r="E291"/>
      <c r="F291"/>
      <c r="G291"/>
      <c r="H291"/>
      <c r="I291"/>
      <c r="J291"/>
      <c r="K291"/>
      <c r="L291"/>
      <c r="M291"/>
      <c r="N291"/>
      <c r="O291"/>
      <c r="P291"/>
      <c r="Q291"/>
    </row>
    <row r="292" spans="1:17" ht="15.75" x14ac:dyDescent="0.25">
      <c r="A292"/>
      <c r="B292"/>
      <c r="C292"/>
      <c r="D292"/>
      <c r="E292"/>
      <c r="F292"/>
      <c r="G292"/>
      <c r="H292"/>
      <c r="I292"/>
      <c r="J292"/>
      <c r="K292"/>
      <c r="L292"/>
      <c r="M292"/>
      <c r="N292"/>
      <c r="O292"/>
      <c r="P292"/>
      <c r="Q292"/>
    </row>
    <row r="293" spans="1:17" ht="15.75" x14ac:dyDescent="0.25">
      <c r="A293"/>
      <c r="B293"/>
      <c r="C293"/>
      <c r="D293"/>
      <c r="E293"/>
      <c r="F293"/>
      <c r="G293"/>
      <c r="H293"/>
      <c r="I293"/>
      <c r="J293"/>
      <c r="K293"/>
      <c r="L293"/>
      <c r="M293"/>
      <c r="N293"/>
      <c r="O293"/>
      <c r="P293"/>
      <c r="Q293"/>
    </row>
    <row r="294" spans="1:17" ht="15.75" x14ac:dyDescent="0.25">
      <c r="A294"/>
      <c r="B294"/>
      <c r="C294"/>
      <c r="D294"/>
      <c r="E294"/>
      <c r="F294"/>
      <c r="G294"/>
      <c r="H294"/>
      <c r="I294"/>
      <c r="J294"/>
      <c r="K294"/>
      <c r="L294"/>
      <c r="M294"/>
      <c r="N294"/>
      <c r="O294"/>
      <c r="P294"/>
      <c r="Q294"/>
    </row>
    <row r="295" spans="1:17" ht="15.75" x14ac:dyDescent="0.25">
      <c r="A295"/>
      <c r="B295"/>
      <c r="C295"/>
      <c r="D295"/>
      <c r="E295"/>
      <c r="F295"/>
      <c r="G295"/>
      <c r="H295"/>
      <c r="I295"/>
      <c r="J295"/>
      <c r="K295"/>
      <c r="L295"/>
      <c r="M295"/>
      <c r="N295"/>
      <c r="O295"/>
      <c r="P295"/>
      <c r="Q295"/>
    </row>
    <row r="296" spans="1:17" ht="15.75" x14ac:dyDescent="0.25">
      <c r="A296"/>
      <c r="B296"/>
      <c r="C296"/>
      <c r="D296"/>
      <c r="E296"/>
      <c r="F296"/>
      <c r="G296"/>
      <c r="H296"/>
      <c r="I296"/>
      <c r="J296"/>
      <c r="K296"/>
      <c r="L296"/>
      <c r="M296"/>
      <c r="N296"/>
      <c r="O296"/>
      <c r="P296"/>
      <c r="Q296"/>
    </row>
    <row r="297" spans="1:17" ht="15.75" x14ac:dyDescent="0.25">
      <c r="A297"/>
      <c r="B297"/>
      <c r="C297"/>
      <c r="D297"/>
      <c r="E297"/>
      <c r="F297"/>
      <c r="G297"/>
      <c r="H297"/>
      <c r="I297"/>
      <c r="J297"/>
      <c r="K297"/>
      <c r="L297"/>
      <c r="M297"/>
      <c r="N297"/>
      <c r="O297"/>
      <c r="P297"/>
      <c r="Q297"/>
    </row>
    <row r="298" spans="1:17" ht="15.75" x14ac:dyDescent="0.25">
      <c r="A298"/>
      <c r="B298"/>
      <c r="C298"/>
      <c r="D298"/>
      <c r="E298"/>
      <c r="F298"/>
      <c r="G298"/>
      <c r="H298"/>
      <c r="I298"/>
      <c r="J298"/>
      <c r="K298"/>
      <c r="L298"/>
      <c r="M298"/>
      <c r="N298"/>
      <c r="O298"/>
      <c r="P298"/>
      <c r="Q298"/>
    </row>
    <row r="299" spans="1:17" ht="15.75" x14ac:dyDescent="0.25">
      <c r="A299"/>
      <c r="B299"/>
      <c r="C299"/>
      <c r="D299"/>
      <c r="E299"/>
      <c r="F299"/>
      <c r="G299"/>
      <c r="H299"/>
      <c r="I299"/>
      <c r="J299"/>
      <c r="K299"/>
      <c r="L299"/>
      <c r="M299"/>
      <c r="N299"/>
      <c r="O299"/>
      <c r="P299"/>
      <c r="Q299"/>
    </row>
    <row r="300" spans="1:17" ht="15.75" x14ac:dyDescent="0.25">
      <c r="A300"/>
      <c r="B300"/>
      <c r="C300"/>
      <c r="D300"/>
      <c r="E300"/>
      <c r="F300"/>
      <c r="G300"/>
      <c r="H300"/>
      <c r="I300"/>
      <c r="J300"/>
      <c r="K300"/>
      <c r="L300"/>
      <c r="M300"/>
      <c r="N300"/>
      <c r="O300"/>
      <c r="P300"/>
      <c r="Q300"/>
    </row>
    <row r="301" spans="1:17" ht="15.75" x14ac:dyDescent="0.25">
      <c r="A301"/>
      <c r="B301"/>
      <c r="C301"/>
      <c r="D301"/>
      <c r="E301"/>
      <c r="F301"/>
      <c r="G301"/>
      <c r="H301"/>
      <c r="I301"/>
      <c r="J301"/>
      <c r="K301"/>
      <c r="L301"/>
      <c r="M301"/>
      <c r="N301"/>
      <c r="O301"/>
      <c r="P301"/>
      <c r="Q301"/>
    </row>
    <row r="302" spans="1:17" ht="15.75" x14ac:dyDescent="0.25">
      <c r="A302"/>
      <c r="B302"/>
      <c r="C302"/>
      <c r="D302"/>
      <c r="E302"/>
      <c r="F302"/>
      <c r="G302"/>
      <c r="H302"/>
      <c r="I302"/>
      <c r="J302"/>
      <c r="K302"/>
      <c r="L302"/>
      <c r="M302"/>
      <c r="N302"/>
      <c r="O302"/>
      <c r="P302"/>
      <c r="Q302"/>
    </row>
    <row r="303" spans="1:17" ht="15.75" x14ac:dyDescent="0.25">
      <c r="A303"/>
      <c r="B303"/>
      <c r="C303"/>
      <c r="D303"/>
      <c r="E303"/>
      <c r="F303"/>
      <c r="G303"/>
      <c r="H303"/>
      <c r="I303"/>
      <c r="J303"/>
      <c r="K303"/>
      <c r="L303"/>
      <c r="M303"/>
      <c r="N303"/>
      <c r="O303"/>
      <c r="P303"/>
      <c r="Q303"/>
    </row>
    <row r="304" spans="1:17" ht="15.75" x14ac:dyDescent="0.25">
      <c r="A304"/>
      <c r="B304"/>
      <c r="C304"/>
      <c r="D304"/>
      <c r="E304"/>
      <c r="F304"/>
      <c r="G304"/>
      <c r="H304"/>
      <c r="I304"/>
      <c r="J304"/>
      <c r="K304"/>
      <c r="L304"/>
      <c r="M304"/>
      <c r="N304"/>
      <c r="O304"/>
      <c r="P304"/>
      <c r="Q304"/>
    </row>
    <row r="305" spans="1:17" ht="15.75" x14ac:dyDescent="0.25">
      <c r="A305"/>
      <c r="B305"/>
      <c r="C305"/>
      <c r="D305"/>
      <c r="E305"/>
      <c r="F305"/>
      <c r="G305"/>
      <c r="H305"/>
      <c r="I305"/>
      <c r="J305"/>
      <c r="K305"/>
      <c r="L305"/>
      <c r="M305"/>
      <c r="N305"/>
      <c r="O305"/>
      <c r="P305"/>
      <c r="Q305"/>
    </row>
    <row r="306" spans="1:17" ht="15.75" x14ac:dyDescent="0.25">
      <c r="A306"/>
      <c r="B306"/>
      <c r="C306"/>
      <c r="D306"/>
      <c r="E306"/>
      <c r="F306"/>
      <c r="G306"/>
      <c r="H306"/>
      <c r="I306"/>
      <c r="J306"/>
      <c r="K306"/>
      <c r="L306"/>
      <c r="M306"/>
      <c r="N306"/>
      <c r="O306"/>
      <c r="P306"/>
      <c r="Q306"/>
    </row>
    <row r="307" spans="1:17" ht="15.75" x14ac:dyDescent="0.25">
      <c r="A307"/>
      <c r="B307"/>
      <c r="C307"/>
      <c r="D307"/>
      <c r="E307"/>
      <c r="F307"/>
      <c r="G307"/>
      <c r="H307"/>
      <c r="I307"/>
      <c r="J307"/>
      <c r="K307"/>
      <c r="L307"/>
      <c r="M307"/>
      <c r="N307"/>
      <c r="O307"/>
      <c r="P307"/>
      <c r="Q307"/>
    </row>
    <row r="308" spans="1:17" ht="15.75" x14ac:dyDescent="0.25">
      <c r="A308"/>
      <c r="B308"/>
      <c r="C308"/>
      <c r="D308"/>
      <c r="E308"/>
      <c r="F308"/>
      <c r="G308"/>
      <c r="H308"/>
      <c r="I308"/>
      <c r="J308"/>
      <c r="K308"/>
      <c r="L308"/>
      <c r="M308"/>
      <c r="N308"/>
      <c r="O308"/>
      <c r="P308"/>
      <c r="Q308"/>
    </row>
    <row r="309" spans="1:17" ht="15.75" x14ac:dyDescent="0.25">
      <c r="A309"/>
      <c r="B309"/>
      <c r="C309"/>
      <c r="D309"/>
      <c r="E309"/>
      <c r="F309"/>
      <c r="G309"/>
      <c r="H309"/>
      <c r="I309"/>
      <c r="J309"/>
      <c r="K309"/>
      <c r="L309"/>
      <c r="M309"/>
      <c r="N309"/>
      <c r="O309"/>
      <c r="P309"/>
      <c r="Q309"/>
    </row>
    <row r="310" spans="1:17" ht="15.75" x14ac:dyDescent="0.25">
      <c r="A310"/>
      <c r="B310"/>
      <c r="C310"/>
      <c r="D310"/>
      <c r="E310"/>
      <c r="F310"/>
      <c r="G310"/>
      <c r="H310"/>
      <c r="I310"/>
      <c r="J310"/>
      <c r="K310"/>
      <c r="L310"/>
      <c r="M310"/>
      <c r="N310"/>
      <c r="O310"/>
      <c r="P310"/>
      <c r="Q310"/>
    </row>
    <row r="311" spans="1:17" ht="15.75" x14ac:dyDescent="0.25">
      <c r="A311"/>
      <c r="B311"/>
      <c r="C311"/>
      <c r="D311"/>
      <c r="E311"/>
      <c r="F311"/>
      <c r="G311"/>
      <c r="H311"/>
      <c r="I311"/>
      <c r="J311"/>
      <c r="K311"/>
      <c r="L311"/>
      <c r="M311"/>
      <c r="N311"/>
      <c r="O311"/>
      <c r="P311"/>
      <c r="Q311"/>
    </row>
    <row r="312" spans="1:17" ht="15.75" x14ac:dyDescent="0.25">
      <c r="A312"/>
      <c r="B312"/>
      <c r="C312"/>
      <c r="D312"/>
      <c r="E312"/>
      <c r="F312"/>
      <c r="G312"/>
      <c r="H312"/>
      <c r="I312"/>
      <c r="J312"/>
      <c r="K312"/>
      <c r="L312"/>
      <c r="M312"/>
      <c r="N312"/>
      <c r="O312"/>
      <c r="P312"/>
      <c r="Q312"/>
    </row>
    <row r="313" spans="1:17" ht="15.75" x14ac:dyDescent="0.25">
      <c r="A313"/>
      <c r="B313"/>
      <c r="C313"/>
      <c r="D313"/>
      <c r="E313"/>
      <c r="F313"/>
      <c r="G313"/>
      <c r="H313"/>
      <c r="I313"/>
      <c r="J313"/>
      <c r="K313"/>
      <c r="L313"/>
      <c r="M313"/>
      <c r="N313"/>
      <c r="O313"/>
      <c r="P313"/>
      <c r="Q313"/>
    </row>
    <row r="314" spans="1:17" ht="15.75" x14ac:dyDescent="0.25">
      <c r="A314"/>
      <c r="B314"/>
      <c r="C314"/>
      <c r="D314"/>
      <c r="E314"/>
      <c r="F314"/>
      <c r="G314"/>
      <c r="H314"/>
      <c r="I314"/>
      <c r="J314"/>
      <c r="K314"/>
      <c r="L314"/>
      <c r="M314"/>
      <c r="N314"/>
      <c r="O314"/>
      <c r="P314"/>
      <c r="Q314"/>
    </row>
    <row r="315" spans="1:17" ht="15.75" x14ac:dyDescent="0.25">
      <c r="A315"/>
      <c r="B315"/>
      <c r="C315"/>
      <c r="D315"/>
      <c r="E315"/>
      <c r="F315"/>
      <c r="G315"/>
      <c r="H315"/>
      <c r="I315"/>
      <c r="J315"/>
      <c r="K315"/>
      <c r="L315"/>
      <c r="M315"/>
      <c r="N315"/>
      <c r="O315"/>
      <c r="P315"/>
      <c r="Q315"/>
    </row>
    <row r="316" spans="1:17" ht="15.75" x14ac:dyDescent="0.25">
      <c r="A316"/>
      <c r="B316"/>
      <c r="C316"/>
      <c r="D316"/>
      <c r="E316"/>
      <c r="F316"/>
      <c r="G316"/>
      <c r="H316"/>
      <c r="I316"/>
      <c r="J316"/>
      <c r="K316"/>
      <c r="L316"/>
      <c r="M316"/>
      <c r="N316"/>
      <c r="O316"/>
      <c r="P316"/>
      <c r="Q316"/>
    </row>
    <row r="317" spans="1:17" ht="15.75" x14ac:dyDescent="0.25">
      <c r="A317"/>
      <c r="B317"/>
      <c r="C317"/>
      <c r="D317"/>
      <c r="E317"/>
      <c r="F317"/>
      <c r="G317"/>
      <c r="H317"/>
      <c r="I317"/>
      <c r="J317"/>
      <c r="K317"/>
      <c r="L317"/>
      <c r="M317"/>
      <c r="N317"/>
      <c r="O317"/>
      <c r="P317"/>
      <c r="Q317"/>
    </row>
    <row r="318" spans="1:17" ht="15.75" x14ac:dyDescent="0.25">
      <c r="A318"/>
      <c r="B318"/>
      <c r="C318"/>
      <c r="D318"/>
      <c r="E318"/>
      <c r="F318"/>
      <c r="G318"/>
      <c r="H318"/>
      <c r="I318"/>
      <c r="J318"/>
      <c r="K318"/>
      <c r="L318"/>
      <c r="M318"/>
      <c r="N318"/>
      <c r="O318"/>
      <c r="P318"/>
      <c r="Q318"/>
    </row>
    <row r="319" spans="1:17" ht="15.75" x14ac:dyDescent="0.25">
      <c r="A319"/>
      <c r="B319"/>
      <c r="C319"/>
      <c r="D319"/>
      <c r="E319"/>
      <c r="F319"/>
      <c r="G319"/>
      <c r="H319"/>
      <c r="I319"/>
      <c r="J319"/>
      <c r="K319"/>
      <c r="L319"/>
      <c r="M319"/>
      <c r="N319"/>
      <c r="O319"/>
      <c r="P319"/>
      <c r="Q319"/>
    </row>
    <row r="320" spans="1:17" ht="15.75" x14ac:dyDescent="0.25">
      <c r="A320"/>
      <c r="B320"/>
      <c r="C320"/>
      <c r="D320"/>
      <c r="E320"/>
      <c r="F320"/>
      <c r="G320"/>
      <c r="H320"/>
      <c r="I320"/>
      <c r="J320"/>
      <c r="K320"/>
      <c r="L320"/>
      <c r="M320"/>
      <c r="N320"/>
      <c r="O320"/>
      <c r="P320"/>
      <c r="Q320"/>
    </row>
    <row r="321" spans="1:17" ht="15.75" x14ac:dyDescent="0.25">
      <c r="A321"/>
      <c r="B321"/>
      <c r="C321"/>
      <c r="D321"/>
      <c r="E321"/>
      <c r="F321"/>
      <c r="G321"/>
      <c r="H321"/>
      <c r="I321"/>
      <c r="J321"/>
      <c r="K321"/>
      <c r="L321"/>
      <c r="M321"/>
      <c r="N321"/>
      <c r="O321"/>
      <c r="P321"/>
      <c r="Q321"/>
    </row>
    <row r="322" spans="1:17" ht="15.75" x14ac:dyDescent="0.25">
      <c r="A322"/>
      <c r="B322"/>
      <c r="C322"/>
      <c r="D322"/>
      <c r="E322"/>
      <c r="F322"/>
      <c r="G322"/>
      <c r="H322"/>
      <c r="I322"/>
      <c r="J322"/>
      <c r="K322"/>
      <c r="L322"/>
      <c r="M322"/>
      <c r="N322"/>
      <c r="O322"/>
      <c r="P322"/>
      <c r="Q322"/>
    </row>
    <row r="323" spans="1:17" ht="15.75" x14ac:dyDescent="0.25">
      <c r="A323"/>
      <c r="B323"/>
      <c r="C323"/>
      <c r="D323"/>
      <c r="E323"/>
      <c r="F323"/>
      <c r="G323"/>
      <c r="H323"/>
      <c r="I323"/>
      <c r="J323"/>
      <c r="K323"/>
      <c r="L323"/>
      <c r="M323"/>
      <c r="N323"/>
      <c r="O323"/>
      <c r="P323"/>
      <c r="Q323"/>
    </row>
    <row r="324" spans="1:17" ht="15.75" x14ac:dyDescent="0.25">
      <c r="A324"/>
      <c r="B324"/>
      <c r="C324"/>
      <c r="D324"/>
      <c r="E324"/>
      <c r="F324"/>
      <c r="G324"/>
      <c r="H324"/>
      <c r="I324"/>
      <c r="J324"/>
      <c r="K324"/>
      <c r="L324"/>
      <c r="M324"/>
      <c r="N324"/>
      <c r="O324"/>
      <c r="P324"/>
      <c r="Q324"/>
    </row>
    <row r="325" spans="1:17" ht="15.75" x14ac:dyDescent="0.25">
      <c r="A325"/>
      <c r="B325"/>
      <c r="C325"/>
      <c r="D325"/>
      <c r="E325"/>
      <c r="F325"/>
      <c r="G325"/>
      <c r="H325"/>
      <c r="I325"/>
      <c r="J325"/>
      <c r="K325"/>
      <c r="L325"/>
      <c r="M325"/>
      <c r="N325"/>
      <c r="O325"/>
      <c r="P325"/>
      <c r="Q325"/>
    </row>
    <row r="326" spans="1:17" ht="15.75" x14ac:dyDescent="0.25">
      <c r="A326"/>
      <c r="B326"/>
      <c r="C326"/>
      <c r="D326"/>
      <c r="E326"/>
      <c r="F326"/>
      <c r="G326"/>
      <c r="H326"/>
      <c r="I326"/>
      <c r="J326"/>
      <c r="K326"/>
      <c r="L326"/>
      <c r="M326"/>
      <c r="N326"/>
      <c r="O326"/>
      <c r="P326"/>
      <c r="Q326"/>
    </row>
    <row r="327" spans="1:17" ht="15.75" x14ac:dyDescent="0.25">
      <c r="A327"/>
      <c r="B327"/>
      <c r="C327"/>
      <c r="D327"/>
      <c r="E327"/>
      <c r="F327"/>
      <c r="G327"/>
      <c r="H327"/>
      <c r="I327"/>
      <c r="J327"/>
      <c r="K327"/>
      <c r="L327"/>
      <c r="M327"/>
      <c r="N327"/>
      <c r="O327"/>
      <c r="P327"/>
      <c r="Q327"/>
    </row>
    <row r="328" spans="1:17" ht="15.75" x14ac:dyDescent="0.25">
      <c r="A328"/>
      <c r="B328"/>
      <c r="C328"/>
      <c r="D328"/>
      <c r="E328"/>
      <c r="F328"/>
      <c r="G328"/>
      <c r="H328"/>
      <c r="I328"/>
      <c r="J328"/>
      <c r="K328"/>
      <c r="L328"/>
      <c r="M328"/>
      <c r="N328"/>
      <c r="O328"/>
      <c r="P328"/>
      <c r="Q328"/>
    </row>
    <row r="329" spans="1:17" ht="15.75" x14ac:dyDescent="0.25">
      <c r="A329"/>
      <c r="B329"/>
      <c r="C329"/>
      <c r="D329"/>
      <c r="E329"/>
      <c r="F329"/>
      <c r="G329"/>
      <c r="H329"/>
      <c r="I329"/>
      <c r="J329"/>
      <c r="K329"/>
      <c r="L329"/>
      <c r="M329"/>
      <c r="N329"/>
      <c r="O329"/>
      <c r="P329"/>
      <c r="Q329"/>
    </row>
    <row r="330" spans="1:17" ht="15.75" x14ac:dyDescent="0.25">
      <c r="A330"/>
      <c r="B330"/>
      <c r="C330"/>
      <c r="D330"/>
      <c r="E330"/>
      <c r="F330"/>
      <c r="G330"/>
      <c r="H330"/>
      <c r="I330"/>
      <c r="J330"/>
      <c r="K330"/>
      <c r="L330"/>
      <c r="M330"/>
      <c r="N330"/>
      <c r="O330"/>
      <c r="P330"/>
      <c r="Q330"/>
    </row>
    <row r="331" spans="1:17" ht="15.75" x14ac:dyDescent="0.25">
      <c r="A331"/>
      <c r="B331"/>
      <c r="C331"/>
      <c r="D331"/>
      <c r="E331"/>
      <c r="F331"/>
      <c r="G331"/>
      <c r="H331"/>
      <c r="I331"/>
      <c r="J331"/>
      <c r="K331"/>
      <c r="L331"/>
      <c r="M331"/>
      <c r="N331"/>
      <c r="O331"/>
      <c r="P331"/>
      <c r="Q331"/>
    </row>
    <row r="332" spans="1:17" ht="15.75" x14ac:dyDescent="0.25">
      <c r="A332"/>
      <c r="B332"/>
      <c r="C332"/>
      <c r="D332"/>
      <c r="E332"/>
      <c r="F332"/>
      <c r="G332"/>
      <c r="H332"/>
      <c r="I332"/>
      <c r="J332"/>
      <c r="K332"/>
      <c r="L332"/>
      <c r="M332"/>
      <c r="N332"/>
      <c r="O332"/>
      <c r="P332"/>
      <c r="Q332"/>
    </row>
    <row r="333" spans="1:17" ht="15.75" x14ac:dyDescent="0.25">
      <c r="A333"/>
      <c r="B333"/>
      <c r="C333"/>
      <c r="D333"/>
      <c r="E333"/>
      <c r="F333"/>
      <c r="G333"/>
      <c r="H333"/>
      <c r="I333"/>
      <c r="J333"/>
      <c r="K333"/>
      <c r="L333"/>
      <c r="M333"/>
      <c r="N333"/>
      <c r="O333"/>
      <c r="P333"/>
      <c r="Q333"/>
    </row>
    <row r="334" spans="1:17" ht="15.75" x14ac:dyDescent="0.25">
      <c r="A334"/>
      <c r="B334"/>
      <c r="C334"/>
      <c r="D334"/>
      <c r="E334"/>
      <c r="F334"/>
      <c r="G334"/>
      <c r="H334"/>
      <c r="I334"/>
      <c r="J334"/>
      <c r="K334"/>
      <c r="L334"/>
      <c r="M334"/>
      <c r="N334"/>
      <c r="O334"/>
      <c r="P334"/>
      <c r="Q334"/>
    </row>
    <row r="335" spans="1:17" ht="15.75" x14ac:dyDescent="0.25">
      <c r="A335"/>
      <c r="B335"/>
      <c r="C335"/>
      <c r="D335"/>
      <c r="E335"/>
      <c r="F335"/>
      <c r="G335"/>
      <c r="H335"/>
      <c r="I335"/>
      <c r="J335"/>
      <c r="K335"/>
      <c r="L335"/>
      <c r="M335"/>
      <c r="N335"/>
      <c r="O335"/>
      <c r="P335"/>
      <c r="Q335"/>
    </row>
    <row r="336" spans="1:17" ht="15.75" x14ac:dyDescent="0.25">
      <c r="A336"/>
      <c r="B336"/>
      <c r="C336"/>
      <c r="D336"/>
      <c r="E336"/>
      <c r="F336"/>
      <c r="G336"/>
      <c r="H336"/>
      <c r="I336"/>
      <c r="J336"/>
      <c r="K336"/>
      <c r="L336"/>
      <c r="M336"/>
      <c r="N336"/>
      <c r="O336"/>
      <c r="P336"/>
      <c r="Q336"/>
    </row>
    <row r="337" spans="1:17" ht="15.75" x14ac:dyDescent="0.25">
      <c r="A337"/>
      <c r="B337"/>
      <c r="C337"/>
      <c r="D337"/>
      <c r="E337"/>
      <c r="F337"/>
      <c r="G337"/>
      <c r="H337"/>
      <c r="I337"/>
      <c r="J337"/>
      <c r="K337"/>
      <c r="L337"/>
      <c r="M337"/>
      <c r="N337"/>
      <c r="O337"/>
      <c r="P337"/>
      <c r="Q337"/>
    </row>
    <row r="338" spans="1:17" ht="15.75" x14ac:dyDescent="0.25">
      <c r="A338"/>
      <c r="B338"/>
      <c r="C338"/>
      <c r="D338"/>
      <c r="E338"/>
      <c r="F338"/>
      <c r="G338"/>
      <c r="H338"/>
      <c r="I338"/>
      <c r="J338"/>
      <c r="K338"/>
      <c r="L338"/>
      <c r="M338"/>
      <c r="N338"/>
      <c r="O338"/>
      <c r="P338"/>
      <c r="Q338"/>
    </row>
    <row r="339" spans="1:17" ht="15.75" x14ac:dyDescent="0.25">
      <c r="A339"/>
      <c r="B339"/>
      <c r="C339"/>
      <c r="D339"/>
      <c r="E339"/>
      <c r="F339"/>
      <c r="G339"/>
      <c r="H339"/>
      <c r="I339"/>
      <c r="J339"/>
      <c r="K339"/>
      <c r="L339"/>
      <c r="M339"/>
      <c r="N339"/>
      <c r="O339"/>
      <c r="P339"/>
      <c r="Q339"/>
    </row>
    <row r="340" spans="1:17" ht="15.75" x14ac:dyDescent="0.25">
      <c r="A340"/>
      <c r="B340"/>
      <c r="C340"/>
      <c r="D340"/>
      <c r="E340"/>
      <c r="F340"/>
      <c r="G340"/>
      <c r="H340"/>
      <c r="I340"/>
      <c r="J340"/>
      <c r="K340"/>
      <c r="L340"/>
      <c r="M340"/>
      <c r="N340"/>
      <c r="O340"/>
      <c r="P340"/>
      <c r="Q340"/>
    </row>
    <row r="341" spans="1:17" ht="15.75" x14ac:dyDescent="0.25">
      <c r="A341"/>
      <c r="B341"/>
      <c r="C341"/>
      <c r="D341"/>
      <c r="E341"/>
      <c r="F341"/>
      <c r="G341"/>
      <c r="H341"/>
      <c r="I341"/>
      <c r="J341"/>
      <c r="K341"/>
      <c r="L341"/>
      <c r="M341"/>
      <c r="N341"/>
      <c r="O341"/>
      <c r="P341"/>
      <c r="Q341"/>
    </row>
    <row r="342" spans="1:17" ht="15.75" x14ac:dyDescent="0.25">
      <c r="A342"/>
      <c r="B342"/>
      <c r="C342"/>
      <c r="D342"/>
      <c r="E342"/>
      <c r="F342"/>
      <c r="G342"/>
      <c r="H342"/>
      <c r="I342"/>
      <c r="J342"/>
      <c r="K342"/>
      <c r="L342"/>
      <c r="M342"/>
      <c r="N342"/>
      <c r="O342"/>
      <c r="P342"/>
      <c r="Q342"/>
    </row>
    <row r="343" spans="1:17" ht="15.75" x14ac:dyDescent="0.25">
      <c r="A343"/>
      <c r="B343"/>
      <c r="C343"/>
      <c r="D343"/>
      <c r="E343"/>
      <c r="F343"/>
      <c r="G343"/>
      <c r="H343"/>
      <c r="I343"/>
      <c r="J343"/>
      <c r="K343"/>
      <c r="L343"/>
      <c r="M343"/>
      <c r="N343"/>
      <c r="O343"/>
      <c r="P343"/>
      <c r="Q343"/>
    </row>
    <row r="344" spans="1:17" ht="15.75" x14ac:dyDescent="0.25">
      <c r="A344"/>
      <c r="B344"/>
      <c r="C344"/>
      <c r="D344"/>
      <c r="E344"/>
      <c r="F344"/>
      <c r="G344"/>
      <c r="H344"/>
      <c r="I344"/>
      <c r="J344"/>
      <c r="K344"/>
      <c r="L344"/>
      <c r="M344"/>
      <c r="N344"/>
      <c r="O344"/>
      <c r="P344"/>
      <c r="Q344"/>
    </row>
    <row r="345" spans="1:17" ht="15.75" x14ac:dyDescent="0.25">
      <c r="A345"/>
      <c r="B345"/>
      <c r="C345"/>
      <c r="D345"/>
      <c r="E345"/>
      <c r="F345"/>
      <c r="G345"/>
      <c r="H345"/>
      <c r="I345"/>
      <c r="J345"/>
      <c r="K345"/>
      <c r="L345"/>
      <c r="M345"/>
      <c r="N345"/>
      <c r="O345"/>
      <c r="P345"/>
      <c r="Q345"/>
    </row>
    <row r="346" spans="1:17" ht="15.75" x14ac:dyDescent="0.25">
      <c r="A346"/>
      <c r="B346"/>
      <c r="C346"/>
      <c r="D346"/>
      <c r="E346"/>
      <c r="F346"/>
      <c r="G346"/>
      <c r="H346"/>
      <c r="I346"/>
      <c r="J346"/>
      <c r="K346"/>
      <c r="L346"/>
      <c r="M346"/>
      <c r="N346"/>
      <c r="O346"/>
      <c r="P346"/>
      <c r="Q346"/>
    </row>
    <row r="347" spans="1:17" ht="15.75" x14ac:dyDescent="0.25">
      <c r="A347"/>
      <c r="B347"/>
      <c r="C347"/>
      <c r="D347"/>
      <c r="E347"/>
      <c r="F347"/>
      <c r="G347"/>
      <c r="H347"/>
      <c r="I347"/>
      <c r="J347"/>
      <c r="K347"/>
      <c r="L347"/>
      <c r="M347"/>
      <c r="N347"/>
      <c r="O347"/>
      <c r="P347"/>
      <c r="Q347"/>
    </row>
    <row r="348" spans="1:17" ht="15.75" x14ac:dyDescent="0.25">
      <c r="A348"/>
      <c r="B348"/>
      <c r="C348"/>
      <c r="D348"/>
      <c r="E348"/>
      <c r="F348"/>
      <c r="G348"/>
      <c r="H348"/>
      <c r="I348"/>
      <c r="J348"/>
      <c r="K348"/>
      <c r="L348"/>
      <c r="M348"/>
      <c r="N348"/>
      <c r="O348"/>
      <c r="P348"/>
      <c r="Q348"/>
    </row>
    <row r="349" spans="1:17" ht="15.75" x14ac:dyDescent="0.25">
      <c r="A349"/>
      <c r="B349"/>
      <c r="C349"/>
      <c r="D349"/>
      <c r="E349"/>
      <c r="F349"/>
      <c r="G349"/>
      <c r="H349"/>
      <c r="I349"/>
      <c r="J349"/>
      <c r="K349"/>
      <c r="L349"/>
      <c r="M349"/>
      <c r="N349"/>
      <c r="O349"/>
      <c r="P349"/>
      <c r="Q349"/>
    </row>
    <row r="350" spans="1:17" ht="15.75" x14ac:dyDescent="0.25">
      <c r="A350"/>
      <c r="B350"/>
      <c r="C350"/>
      <c r="D350"/>
      <c r="E350"/>
      <c r="F350"/>
      <c r="G350"/>
      <c r="H350"/>
      <c r="I350"/>
      <c r="J350"/>
      <c r="K350"/>
      <c r="L350"/>
      <c r="M350"/>
      <c r="N350"/>
      <c r="O350"/>
      <c r="P350"/>
      <c r="Q350"/>
    </row>
    <row r="351" spans="1:17" ht="15.75" x14ac:dyDescent="0.25">
      <c r="A351"/>
      <c r="B351"/>
      <c r="C351"/>
      <c r="D351"/>
      <c r="E351"/>
      <c r="F351"/>
      <c r="G351"/>
      <c r="H351"/>
      <c r="I351"/>
      <c r="J351"/>
      <c r="K351"/>
      <c r="L351"/>
      <c r="M351"/>
      <c r="N351"/>
      <c r="O351"/>
      <c r="P351"/>
      <c r="Q351"/>
    </row>
    <row r="352" spans="1:17" ht="15.75" x14ac:dyDescent="0.25">
      <c r="A352"/>
      <c r="B352"/>
      <c r="C352"/>
      <c r="D352"/>
      <c r="E352"/>
      <c r="F352"/>
      <c r="G352"/>
      <c r="H352"/>
      <c r="I352"/>
      <c r="J352"/>
      <c r="K352"/>
      <c r="L352"/>
      <c r="M352"/>
      <c r="N352"/>
      <c r="O352"/>
      <c r="P352"/>
      <c r="Q352"/>
    </row>
    <row r="353" spans="1:17" ht="15.75" x14ac:dyDescent="0.25">
      <c r="A353"/>
      <c r="B353"/>
      <c r="C353"/>
      <c r="D353"/>
      <c r="E353"/>
      <c r="F353"/>
      <c r="G353"/>
      <c r="H353"/>
      <c r="I353"/>
      <c r="J353"/>
      <c r="K353"/>
      <c r="L353"/>
      <c r="M353"/>
      <c r="N353"/>
      <c r="O353"/>
      <c r="P353"/>
      <c r="Q353"/>
    </row>
    <row r="354" spans="1:17" ht="15.75" x14ac:dyDescent="0.25">
      <c r="A354"/>
      <c r="B354"/>
      <c r="C354"/>
      <c r="D354"/>
      <c r="E354"/>
      <c r="F354"/>
      <c r="G354"/>
      <c r="H354"/>
      <c r="I354"/>
      <c r="J354"/>
      <c r="K354"/>
      <c r="L354"/>
      <c r="M354"/>
      <c r="N354"/>
      <c r="O354"/>
      <c r="P354"/>
      <c r="Q354"/>
    </row>
    <row r="355" spans="1:17" ht="15.75" x14ac:dyDescent="0.25">
      <c r="A355"/>
      <c r="B355"/>
      <c r="C355"/>
      <c r="D355"/>
      <c r="E355"/>
      <c r="F355"/>
      <c r="G355"/>
      <c r="H355"/>
      <c r="I355"/>
      <c r="J355"/>
      <c r="K355"/>
      <c r="L355"/>
      <c r="M355"/>
      <c r="N355"/>
      <c r="O355"/>
      <c r="P355"/>
      <c r="Q355"/>
    </row>
    <row r="356" spans="1:17" ht="15.75" x14ac:dyDescent="0.25">
      <c r="A356"/>
      <c r="B356"/>
      <c r="C356"/>
      <c r="D356"/>
      <c r="E356"/>
      <c r="F356"/>
      <c r="G356"/>
      <c r="H356"/>
      <c r="I356"/>
      <c r="J356"/>
      <c r="K356"/>
      <c r="L356"/>
      <c r="M356"/>
      <c r="N356"/>
      <c r="O356"/>
      <c r="P356"/>
      <c r="Q356"/>
    </row>
    <row r="357" spans="1:17" ht="15.75" x14ac:dyDescent="0.25">
      <c r="A357"/>
      <c r="B357"/>
      <c r="C357"/>
      <c r="D357"/>
      <c r="E357"/>
      <c r="F357"/>
      <c r="G357"/>
      <c r="H357"/>
      <c r="I357"/>
      <c r="J357"/>
      <c r="K357"/>
      <c r="L357"/>
      <c r="M357"/>
      <c r="N357"/>
      <c r="O357"/>
      <c r="P357"/>
      <c r="Q357"/>
    </row>
    <row r="358" spans="1:17" ht="15.75" x14ac:dyDescent="0.25">
      <c r="A358"/>
      <c r="B358"/>
      <c r="C358"/>
      <c r="D358"/>
      <c r="E358"/>
      <c r="F358"/>
      <c r="G358"/>
      <c r="H358"/>
      <c r="I358"/>
      <c r="J358"/>
      <c r="K358"/>
      <c r="L358"/>
      <c r="M358"/>
      <c r="N358"/>
      <c r="O358"/>
      <c r="P358"/>
      <c r="Q358"/>
    </row>
    <row r="359" spans="1:17" ht="15.75" x14ac:dyDescent="0.25">
      <c r="A359"/>
      <c r="B359"/>
      <c r="C359"/>
      <c r="D359"/>
      <c r="E359"/>
      <c r="F359"/>
      <c r="G359"/>
      <c r="H359"/>
      <c r="I359"/>
      <c r="J359"/>
      <c r="K359"/>
      <c r="L359"/>
      <c r="M359"/>
      <c r="N359"/>
      <c r="O359"/>
      <c r="P359"/>
      <c r="Q359"/>
    </row>
    <row r="360" spans="1:17" ht="15.75" x14ac:dyDescent="0.25">
      <c r="A360"/>
      <c r="B360"/>
      <c r="C360"/>
      <c r="D360"/>
      <c r="E360"/>
      <c r="F360"/>
      <c r="G360"/>
      <c r="H360"/>
      <c r="I360"/>
      <c r="J360"/>
      <c r="K360"/>
      <c r="L360"/>
      <c r="M360"/>
      <c r="N360"/>
      <c r="O360"/>
      <c r="P360"/>
      <c r="Q360"/>
    </row>
    <row r="361" spans="1:17" ht="15.75" x14ac:dyDescent="0.25">
      <c r="A361"/>
      <c r="B361"/>
      <c r="C361"/>
      <c r="D361"/>
      <c r="E361"/>
      <c r="F361"/>
      <c r="G361"/>
      <c r="H361"/>
      <c r="I361"/>
      <c r="J361"/>
      <c r="K361"/>
      <c r="L361"/>
      <c r="M361"/>
      <c r="N361"/>
      <c r="O361"/>
      <c r="P361"/>
      <c r="Q361"/>
    </row>
    <row r="362" spans="1:17" ht="15.75" x14ac:dyDescent="0.25">
      <c r="A362"/>
      <c r="B362"/>
      <c r="C362"/>
      <c r="D362"/>
      <c r="E362"/>
      <c r="F362"/>
      <c r="G362"/>
      <c r="H362"/>
      <c r="I362"/>
      <c r="J362"/>
      <c r="K362"/>
      <c r="L362"/>
      <c r="M362"/>
      <c r="N362"/>
      <c r="O362"/>
      <c r="P362"/>
      <c r="Q362"/>
    </row>
    <row r="363" spans="1:17" ht="15.75" x14ac:dyDescent="0.25">
      <c r="A363"/>
      <c r="B363"/>
      <c r="C363"/>
      <c r="D363"/>
      <c r="E363"/>
      <c r="F363"/>
      <c r="G363"/>
      <c r="H363"/>
      <c r="I363"/>
      <c r="J363"/>
      <c r="K363"/>
      <c r="L363"/>
      <c r="M363"/>
      <c r="N363"/>
      <c r="O363"/>
      <c r="P363"/>
      <c r="Q363"/>
    </row>
    <row r="364" spans="1:17" ht="15.75" x14ac:dyDescent="0.25">
      <c r="A364"/>
      <c r="B364"/>
      <c r="C364"/>
      <c r="D364"/>
      <c r="E364"/>
      <c r="F364"/>
      <c r="G364"/>
      <c r="H364"/>
      <c r="I364"/>
      <c r="J364"/>
      <c r="K364"/>
      <c r="L364"/>
      <c r="M364"/>
      <c r="N364"/>
      <c r="O364"/>
      <c r="P364"/>
      <c r="Q364"/>
    </row>
    <row r="365" spans="1:17" ht="15.75" x14ac:dyDescent="0.25">
      <c r="A365"/>
      <c r="B365"/>
      <c r="C365"/>
      <c r="D365"/>
      <c r="E365"/>
      <c r="F365"/>
      <c r="G365"/>
      <c r="H365"/>
      <c r="I365"/>
      <c r="J365"/>
      <c r="K365"/>
      <c r="L365"/>
      <c r="M365"/>
      <c r="N365"/>
      <c r="O365"/>
      <c r="P365"/>
      <c r="Q365"/>
    </row>
    <row r="366" spans="1:17" ht="15.75" x14ac:dyDescent="0.25">
      <c r="A366"/>
      <c r="B366"/>
      <c r="C366"/>
      <c r="D366"/>
      <c r="E366"/>
      <c r="F366"/>
      <c r="G366"/>
      <c r="H366"/>
      <c r="I366"/>
      <c r="J366"/>
      <c r="K366"/>
      <c r="L366"/>
      <c r="M366"/>
      <c r="N366"/>
      <c r="O366"/>
      <c r="P366"/>
      <c r="Q366"/>
    </row>
    <row r="367" spans="1:17" ht="15.75" x14ac:dyDescent="0.25">
      <c r="A367"/>
      <c r="B367"/>
      <c r="C367"/>
      <c r="D367"/>
      <c r="E367"/>
      <c r="F367"/>
      <c r="G367"/>
      <c r="H367"/>
      <c r="I367"/>
      <c r="J367"/>
      <c r="K367"/>
      <c r="L367"/>
      <c r="M367"/>
      <c r="N367"/>
      <c r="O367"/>
      <c r="P367"/>
      <c r="Q367"/>
    </row>
    <row r="368" spans="1:17" ht="15.75" x14ac:dyDescent="0.25">
      <c r="A368"/>
      <c r="B368"/>
      <c r="C368"/>
      <c r="D368"/>
      <c r="E368"/>
      <c r="F368"/>
      <c r="G368"/>
      <c r="H368"/>
      <c r="I368"/>
      <c r="J368"/>
      <c r="K368"/>
      <c r="L368"/>
      <c r="M368"/>
      <c r="N368"/>
      <c r="O368"/>
      <c r="P368"/>
      <c r="Q368"/>
    </row>
    <row r="369" spans="1:17" ht="15.75" x14ac:dyDescent="0.25">
      <c r="A369"/>
      <c r="B369"/>
      <c r="C369"/>
      <c r="D369"/>
      <c r="E369"/>
      <c r="F369"/>
      <c r="G369"/>
      <c r="H369"/>
      <c r="I369"/>
      <c r="J369"/>
      <c r="K369"/>
      <c r="L369"/>
      <c r="M369"/>
      <c r="N369"/>
      <c r="O369"/>
      <c r="P369"/>
      <c r="Q369"/>
    </row>
    <row r="370" spans="1:17" ht="15.75" x14ac:dyDescent="0.25">
      <c r="A370"/>
      <c r="B370"/>
      <c r="C370"/>
      <c r="D370"/>
      <c r="E370"/>
      <c r="F370"/>
      <c r="G370"/>
      <c r="H370"/>
      <c r="I370"/>
      <c r="J370"/>
      <c r="K370"/>
      <c r="L370"/>
      <c r="M370"/>
      <c r="N370"/>
      <c r="O370"/>
      <c r="P370"/>
      <c r="Q370"/>
    </row>
    <row r="371" spans="1:17" ht="15.75" x14ac:dyDescent="0.25">
      <c r="A371"/>
      <c r="B371"/>
      <c r="C371"/>
      <c r="D371"/>
      <c r="E371"/>
      <c r="F371"/>
      <c r="G371"/>
      <c r="H371"/>
      <c r="I371"/>
      <c r="J371"/>
      <c r="K371"/>
      <c r="L371"/>
      <c r="M371"/>
      <c r="N371"/>
      <c r="O371"/>
      <c r="P371"/>
      <c r="Q371"/>
    </row>
    <row r="372" spans="1:17" ht="15.75" x14ac:dyDescent="0.25">
      <c r="A372"/>
      <c r="B372"/>
      <c r="C372"/>
      <c r="D372"/>
      <c r="E372"/>
      <c r="F372"/>
      <c r="G372"/>
      <c r="H372"/>
      <c r="I372"/>
      <c r="J372"/>
      <c r="K372"/>
      <c r="L372"/>
      <c r="M372"/>
      <c r="N372"/>
      <c r="O372"/>
      <c r="P372"/>
      <c r="Q372"/>
    </row>
    <row r="373" spans="1:17" ht="15.75" x14ac:dyDescent="0.25">
      <c r="A373"/>
      <c r="B373"/>
      <c r="C373"/>
      <c r="D373"/>
      <c r="E373"/>
      <c r="F373"/>
      <c r="G373"/>
      <c r="H373"/>
      <c r="I373"/>
      <c r="J373"/>
      <c r="K373"/>
      <c r="L373"/>
      <c r="M373"/>
      <c r="N373"/>
      <c r="O373"/>
      <c r="P373"/>
      <c r="Q373"/>
    </row>
    <row r="374" spans="1:17" ht="15.75" x14ac:dyDescent="0.25">
      <c r="A374"/>
      <c r="B374"/>
      <c r="C374"/>
      <c r="D374"/>
      <c r="E374"/>
      <c r="F374"/>
      <c r="G374"/>
      <c r="H374"/>
      <c r="I374"/>
      <c r="J374"/>
      <c r="K374"/>
      <c r="L374"/>
      <c r="M374"/>
      <c r="N374"/>
      <c r="O374"/>
      <c r="P374"/>
      <c r="Q374"/>
    </row>
    <row r="375" spans="1:17" ht="15.75" x14ac:dyDescent="0.25">
      <c r="A375"/>
      <c r="B375"/>
      <c r="C375"/>
      <c r="D375"/>
      <c r="E375"/>
      <c r="F375"/>
      <c r="G375"/>
      <c r="H375"/>
      <c r="I375"/>
      <c r="J375"/>
      <c r="K375"/>
      <c r="L375"/>
      <c r="M375"/>
      <c r="N375"/>
      <c r="O375"/>
      <c r="P375"/>
      <c r="Q375"/>
    </row>
    <row r="376" spans="1:17" ht="15.75" x14ac:dyDescent="0.25">
      <c r="A376"/>
      <c r="B376"/>
      <c r="C376"/>
      <c r="D376"/>
      <c r="E376"/>
      <c r="F376"/>
      <c r="G376"/>
      <c r="H376"/>
      <c r="I376"/>
      <c r="J376"/>
      <c r="K376"/>
      <c r="L376"/>
      <c r="M376"/>
      <c r="N376"/>
      <c r="O376"/>
      <c r="P376"/>
      <c r="Q376"/>
    </row>
    <row r="377" spans="1:17" ht="15.75" x14ac:dyDescent="0.25">
      <c r="A377"/>
      <c r="B377"/>
      <c r="C377"/>
      <c r="D377"/>
      <c r="E377"/>
      <c r="F377"/>
      <c r="G377"/>
      <c r="H377"/>
      <c r="I377"/>
      <c r="J377"/>
      <c r="K377"/>
      <c r="L377"/>
      <c r="M377"/>
      <c r="N377"/>
      <c r="O377"/>
      <c r="P377"/>
      <c r="Q377"/>
    </row>
    <row r="378" spans="1:17" ht="15.75" x14ac:dyDescent="0.25">
      <c r="A378"/>
      <c r="B378"/>
      <c r="C378"/>
      <c r="D378"/>
      <c r="E378"/>
      <c r="F378"/>
      <c r="G378"/>
      <c r="H378"/>
      <c r="I378"/>
      <c r="J378"/>
      <c r="K378"/>
      <c r="L378"/>
      <c r="M378"/>
      <c r="N378"/>
      <c r="O378"/>
      <c r="P378"/>
      <c r="Q378"/>
    </row>
    <row r="379" spans="1:17" ht="15.75" x14ac:dyDescent="0.25">
      <c r="A379"/>
      <c r="B379"/>
      <c r="C379"/>
      <c r="D379"/>
      <c r="E379"/>
      <c r="F379"/>
      <c r="G379"/>
      <c r="H379"/>
      <c r="I379"/>
      <c r="J379"/>
      <c r="K379"/>
      <c r="L379"/>
      <c r="M379"/>
      <c r="N379"/>
      <c r="O379"/>
      <c r="P379"/>
      <c r="Q379"/>
    </row>
    <row r="380" spans="1:17" ht="15.75" x14ac:dyDescent="0.25">
      <c r="A380"/>
      <c r="B380"/>
      <c r="C380"/>
      <c r="D380"/>
      <c r="E380"/>
      <c r="F380"/>
      <c r="G380"/>
      <c r="H380"/>
      <c r="I380"/>
      <c r="J380"/>
      <c r="K380"/>
      <c r="L380"/>
      <c r="M380"/>
      <c r="N380"/>
      <c r="O380"/>
      <c r="P380"/>
      <c r="Q380"/>
    </row>
    <row r="381" spans="1:17" ht="15.75" x14ac:dyDescent="0.25">
      <c r="A381"/>
      <c r="B381"/>
      <c r="C381"/>
      <c r="D381"/>
      <c r="E381"/>
      <c r="F381"/>
      <c r="G381"/>
      <c r="H381"/>
      <c r="I381"/>
      <c r="J381"/>
      <c r="K381"/>
      <c r="L381"/>
      <c r="M381"/>
      <c r="N381"/>
      <c r="O381"/>
      <c r="P381"/>
      <c r="Q381"/>
    </row>
    <row r="382" spans="1:17" ht="15.75" x14ac:dyDescent="0.25">
      <c r="A382"/>
      <c r="B382"/>
      <c r="C382"/>
      <c r="D382"/>
      <c r="E382"/>
      <c r="F382"/>
      <c r="G382"/>
      <c r="H382"/>
      <c r="I382"/>
      <c r="J382"/>
      <c r="K382"/>
      <c r="L382"/>
      <c r="M382"/>
      <c r="N382"/>
      <c r="O382"/>
      <c r="P382"/>
      <c r="Q382"/>
    </row>
    <row r="383" spans="1:17" ht="15.75" x14ac:dyDescent="0.25">
      <c r="A383"/>
      <c r="B383"/>
      <c r="C383"/>
      <c r="D383"/>
      <c r="E383"/>
      <c r="F383"/>
      <c r="G383"/>
      <c r="H383"/>
      <c r="I383"/>
      <c r="J383"/>
      <c r="K383"/>
      <c r="L383"/>
      <c r="M383"/>
      <c r="N383"/>
      <c r="O383"/>
      <c r="P383"/>
      <c r="Q383"/>
    </row>
    <row r="384" spans="1:17" ht="15.75" x14ac:dyDescent="0.25">
      <c r="A384"/>
      <c r="B384"/>
      <c r="C384"/>
      <c r="D384"/>
      <c r="E384"/>
      <c r="F384"/>
      <c r="G384"/>
      <c r="H384"/>
      <c r="I384"/>
      <c r="J384"/>
      <c r="K384"/>
      <c r="L384"/>
      <c r="M384"/>
      <c r="N384"/>
      <c r="O384"/>
      <c r="P384"/>
      <c r="Q384"/>
    </row>
    <row r="385" spans="1:17" ht="15.75" x14ac:dyDescent="0.25">
      <c r="A385"/>
      <c r="B385"/>
      <c r="C385"/>
      <c r="D385"/>
      <c r="E385"/>
      <c r="F385"/>
      <c r="G385"/>
      <c r="H385"/>
      <c r="I385"/>
      <c r="J385"/>
      <c r="K385"/>
      <c r="L385"/>
      <c r="M385"/>
      <c r="N385"/>
      <c r="O385"/>
      <c r="P385"/>
      <c r="Q385"/>
    </row>
    <row r="386" spans="1:17" ht="15.75" x14ac:dyDescent="0.25">
      <c r="A386"/>
      <c r="B386"/>
      <c r="C386"/>
      <c r="D386"/>
      <c r="E386"/>
      <c r="F386"/>
      <c r="G386"/>
      <c r="H386"/>
      <c r="I386"/>
      <c r="J386"/>
      <c r="K386"/>
      <c r="L386"/>
      <c r="M386"/>
      <c r="N386"/>
      <c r="O386"/>
      <c r="P386"/>
      <c r="Q386"/>
    </row>
    <row r="387" spans="1:17" ht="15.75" x14ac:dyDescent="0.25">
      <c r="A387"/>
      <c r="B387"/>
      <c r="C387"/>
      <c r="D387"/>
      <c r="E387"/>
      <c r="F387"/>
      <c r="G387"/>
      <c r="H387"/>
      <c r="I387"/>
      <c r="J387"/>
      <c r="K387"/>
      <c r="L387"/>
      <c r="M387"/>
      <c r="N387"/>
      <c r="O387"/>
      <c r="P387"/>
      <c r="Q387"/>
    </row>
    <row r="388" spans="1:17" ht="15.75" x14ac:dyDescent="0.25">
      <c r="A388"/>
      <c r="B388"/>
      <c r="C388"/>
      <c r="D388"/>
      <c r="E388"/>
      <c r="F388"/>
      <c r="G388"/>
      <c r="H388"/>
      <c r="I388"/>
      <c r="J388"/>
      <c r="K388"/>
      <c r="L388"/>
      <c r="M388"/>
      <c r="N388"/>
      <c r="O388"/>
      <c r="P388"/>
      <c r="Q388"/>
    </row>
    <row r="389" spans="1:17" ht="15.75" x14ac:dyDescent="0.25">
      <c r="A389"/>
      <c r="B389"/>
      <c r="C389"/>
      <c r="D389"/>
      <c r="E389"/>
      <c r="F389"/>
      <c r="G389"/>
      <c r="H389"/>
      <c r="I389"/>
      <c r="J389"/>
      <c r="K389"/>
      <c r="L389"/>
      <c r="M389"/>
      <c r="N389"/>
      <c r="O389"/>
      <c r="P389"/>
      <c r="Q389"/>
    </row>
    <row r="390" spans="1:17" ht="15.75" x14ac:dyDescent="0.25">
      <c r="A390"/>
      <c r="B390"/>
      <c r="C390"/>
      <c r="D390"/>
      <c r="E390"/>
      <c r="F390"/>
      <c r="G390"/>
      <c r="H390"/>
      <c r="I390"/>
      <c r="J390"/>
      <c r="K390"/>
      <c r="L390"/>
      <c r="M390"/>
      <c r="N390"/>
      <c r="O390"/>
      <c r="P390"/>
      <c r="Q390"/>
    </row>
    <row r="391" spans="1:17" ht="15.75" x14ac:dyDescent="0.25">
      <c r="A391"/>
      <c r="B391"/>
      <c r="C391"/>
      <c r="D391"/>
      <c r="E391"/>
      <c r="F391"/>
      <c r="G391"/>
      <c r="H391"/>
      <c r="I391"/>
      <c r="J391"/>
      <c r="K391"/>
      <c r="L391"/>
      <c r="M391"/>
      <c r="N391"/>
      <c r="O391"/>
      <c r="P391"/>
      <c r="Q391"/>
    </row>
    <row r="392" spans="1:17" ht="15.75" x14ac:dyDescent="0.25">
      <c r="A392"/>
      <c r="B392"/>
      <c r="C392"/>
      <c r="D392"/>
      <c r="E392"/>
      <c r="F392"/>
      <c r="G392"/>
      <c r="H392"/>
      <c r="I392"/>
      <c r="J392"/>
      <c r="K392"/>
      <c r="L392"/>
      <c r="M392"/>
      <c r="N392"/>
      <c r="O392"/>
      <c r="P392"/>
      <c r="Q392"/>
    </row>
    <row r="393" spans="1:17" ht="15.75" x14ac:dyDescent="0.25">
      <c r="A393"/>
      <c r="B393"/>
      <c r="C393"/>
      <c r="D393"/>
      <c r="E393"/>
      <c r="F393"/>
      <c r="G393"/>
      <c r="H393"/>
      <c r="I393"/>
      <c r="J393"/>
      <c r="K393"/>
      <c r="L393"/>
      <c r="M393"/>
      <c r="N393"/>
      <c r="O393"/>
      <c r="P393"/>
      <c r="Q393"/>
    </row>
    <row r="394" spans="1:17" ht="15.75" x14ac:dyDescent="0.25">
      <c r="A394"/>
      <c r="B394"/>
      <c r="C394"/>
      <c r="D394"/>
      <c r="E394"/>
      <c r="F394"/>
      <c r="G394"/>
      <c r="H394"/>
      <c r="I394"/>
      <c r="J394"/>
      <c r="K394"/>
      <c r="L394"/>
      <c r="M394"/>
      <c r="N394"/>
      <c r="O394"/>
      <c r="P394"/>
      <c r="Q394"/>
    </row>
    <row r="395" spans="1:17" ht="15.75" x14ac:dyDescent="0.25">
      <c r="A395"/>
      <c r="B395"/>
      <c r="C395"/>
      <c r="D395"/>
      <c r="E395"/>
      <c r="F395"/>
      <c r="G395"/>
      <c r="H395"/>
      <c r="I395"/>
      <c r="J395"/>
      <c r="K395"/>
      <c r="L395"/>
      <c r="M395"/>
      <c r="N395"/>
      <c r="O395"/>
      <c r="P395"/>
      <c r="Q395"/>
    </row>
    <row r="396" spans="1:17" ht="15.75" x14ac:dyDescent="0.25">
      <c r="A396"/>
      <c r="B396"/>
      <c r="C396"/>
      <c r="D396"/>
      <c r="E396"/>
      <c r="F396"/>
      <c r="G396"/>
      <c r="H396"/>
      <c r="I396"/>
      <c r="J396"/>
      <c r="K396"/>
      <c r="L396"/>
      <c r="M396"/>
      <c r="N396"/>
      <c r="O396"/>
      <c r="P396"/>
      <c r="Q396"/>
    </row>
    <row r="397" spans="1:17" ht="15.75" x14ac:dyDescent="0.25">
      <c r="A397"/>
      <c r="B397"/>
      <c r="C397"/>
      <c r="D397"/>
      <c r="E397"/>
      <c r="F397"/>
      <c r="G397"/>
      <c r="H397"/>
      <c r="I397"/>
      <c r="J397"/>
      <c r="K397"/>
      <c r="L397"/>
      <c r="M397"/>
      <c r="N397"/>
      <c r="O397"/>
      <c r="P397"/>
      <c r="Q397"/>
    </row>
    <row r="398" spans="1:17" ht="15.75" x14ac:dyDescent="0.25">
      <c r="A398"/>
      <c r="B398"/>
      <c r="C398"/>
      <c r="D398"/>
      <c r="E398"/>
      <c r="F398"/>
      <c r="G398"/>
      <c r="H398"/>
      <c r="I398"/>
      <c r="J398"/>
      <c r="K398"/>
      <c r="L398"/>
      <c r="M398"/>
      <c r="N398"/>
      <c r="O398"/>
      <c r="P398"/>
      <c r="Q398"/>
    </row>
    <row r="399" spans="1:17" ht="15.75" x14ac:dyDescent="0.25">
      <c r="A399"/>
      <c r="B399"/>
      <c r="C399"/>
      <c r="D399"/>
      <c r="E399"/>
      <c r="F399"/>
      <c r="G399"/>
      <c r="H399"/>
      <c r="I399"/>
      <c r="J399"/>
      <c r="K399"/>
      <c r="L399"/>
      <c r="M399"/>
      <c r="N399"/>
      <c r="O399"/>
      <c r="P399"/>
      <c r="Q399"/>
    </row>
    <row r="400" spans="1:17" ht="15.75" x14ac:dyDescent="0.25">
      <c r="A400"/>
      <c r="B400"/>
      <c r="C400"/>
      <c r="D400"/>
      <c r="E400"/>
      <c r="F400"/>
      <c r="G400"/>
      <c r="H400"/>
      <c r="I400"/>
      <c r="J400"/>
      <c r="K400"/>
      <c r="L400"/>
      <c r="M400"/>
      <c r="N400"/>
      <c r="O400"/>
      <c r="P400"/>
      <c r="Q400"/>
    </row>
    <row r="401" spans="1:17" ht="15.75" x14ac:dyDescent="0.25">
      <c r="A401"/>
      <c r="B401"/>
      <c r="C401"/>
      <c r="D401"/>
      <c r="E401"/>
      <c r="F401"/>
      <c r="G401"/>
      <c r="H401"/>
      <c r="I401"/>
      <c r="J401"/>
      <c r="K401"/>
      <c r="L401"/>
      <c r="M401"/>
      <c r="N401"/>
      <c r="O401"/>
      <c r="P401"/>
      <c r="Q401"/>
    </row>
    <row r="402" spans="1:17" ht="15.75" x14ac:dyDescent="0.25">
      <c r="A402"/>
      <c r="B402"/>
      <c r="C402"/>
      <c r="D402"/>
      <c r="E402"/>
      <c r="F402"/>
      <c r="G402"/>
      <c r="H402"/>
      <c r="I402"/>
      <c r="J402"/>
      <c r="K402"/>
      <c r="L402"/>
      <c r="M402"/>
      <c r="N402"/>
      <c r="O402"/>
      <c r="P402"/>
      <c r="Q402"/>
    </row>
    <row r="403" spans="1:17" ht="15.75" x14ac:dyDescent="0.25">
      <c r="A403"/>
      <c r="B403"/>
      <c r="C403"/>
      <c r="D403"/>
      <c r="E403"/>
      <c r="F403"/>
      <c r="G403"/>
      <c r="H403"/>
      <c r="I403"/>
      <c r="J403"/>
      <c r="K403"/>
      <c r="L403"/>
      <c r="M403"/>
      <c r="N403"/>
      <c r="O403"/>
      <c r="P403"/>
      <c r="Q403"/>
    </row>
    <row r="404" spans="1:17" ht="15.75" x14ac:dyDescent="0.25">
      <c r="A404"/>
      <c r="B404"/>
      <c r="C404"/>
      <c r="D404"/>
      <c r="E404"/>
      <c r="F404"/>
      <c r="G404"/>
      <c r="H404"/>
      <c r="I404"/>
      <c r="J404"/>
      <c r="K404"/>
      <c r="L404"/>
      <c r="M404"/>
      <c r="N404"/>
      <c r="O404"/>
      <c r="P404"/>
      <c r="Q404"/>
    </row>
    <row r="405" spans="1:17" ht="15.75" x14ac:dyDescent="0.25">
      <c r="A405"/>
      <c r="B405"/>
      <c r="C405"/>
      <c r="D405"/>
      <c r="E405"/>
      <c r="F405"/>
      <c r="G405"/>
      <c r="H405"/>
      <c r="I405"/>
      <c r="J405"/>
      <c r="K405"/>
      <c r="L405"/>
      <c r="M405"/>
      <c r="N405"/>
      <c r="O405"/>
      <c r="P405"/>
      <c r="Q405"/>
    </row>
    <row r="406" spans="1:17" ht="15.75" x14ac:dyDescent="0.25">
      <c r="A406"/>
      <c r="B406"/>
      <c r="C406"/>
      <c r="D406"/>
      <c r="E406"/>
      <c r="F406"/>
      <c r="G406"/>
      <c r="H406"/>
      <c r="I406"/>
      <c r="J406"/>
      <c r="K406"/>
      <c r="L406"/>
      <c r="M406"/>
      <c r="N406"/>
      <c r="O406"/>
      <c r="P406"/>
      <c r="Q406"/>
    </row>
    <row r="407" spans="1:17" ht="15.75" x14ac:dyDescent="0.25">
      <c r="A407"/>
      <c r="B407"/>
      <c r="C407"/>
      <c r="D407"/>
      <c r="E407"/>
      <c r="F407"/>
      <c r="G407"/>
      <c r="H407"/>
      <c r="I407"/>
      <c r="J407"/>
      <c r="K407"/>
      <c r="L407"/>
      <c r="M407"/>
      <c r="N407"/>
      <c r="O407"/>
      <c r="P407"/>
      <c r="Q407"/>
    </row>
    <row r="408" spans="1:17" ht="15.75" x14ac:dyDescent="0.25">
      <c r="A408"/>
      <c r="B408"/>
      <c r="C408"/>
      <c r="D408"/>
      <c r="E408"/>
      <c r="F408"/>
      <c r="G408"/>
      <c r="H408"/>
      <c r="I408"/>
      <c r="J408"/>
      <c r="K408"/>
      <c r="L408"/>
      <c r="M408"/>
      <c r="N408"/>
      <c r="O408"/>
      <c r="P408"/>
      <c r="Q408"/>
    </row>
    <row r="409" spans="1:17" ht="15.75" x14ac:dyDescent="0.25">
      <c r="A409"/>
      <c r="B409"/>
      <c r="C409"/>
      <c r="D409"/>
      <c r="E409"/>
      <c r="F409"/>
      <c r="G409"/>
      <c r="H409"/>
      <c r="I409"/>
      <c r="J409"/>
      <c r="K409"/>
      <c r="L409"/>
      <c r="M409"/>
      <c r="N409"/>
      <c r="O409"/>
      <c r="P409"/>
      <c r="Q409"/>
    </row>
    <row r="410" spans="1:17" ht="15.75" x14ac:dyDescent="0.25">
      <c r="A410"/>
      <c r="B410"/>
      <c r="C410"/>
      <c r="D410"/>
      <c r="E410"/>
      <c r="F410"/>
      <c r="G410"/>
      <c r="H410"/>
      <c r="I410"/>
      <c r="J410"/>
      <c r="K410"/>
      <c r="L410"/>
      <c r="M410"/>
      <c r="N410"/>
      <c r="O410"/>
      <c r="P410"/>
      <c r="Q410"/>
    </row>
    <row r="411" spans="1:17" ht="15.75" x14ac:dyDescent="0.25">
      <c r="A411"/>
      <c r="B411"/>
      <c r="C411"/>
      <c r="D411"/>
      <c r="E411"/>
      <c r="F411"/>
      <c r="G411"/>
      <c r="H411"/>
      <c r="I411"/>
      <c r="J411"/>
      <c r="K411"/>
      <c r="L411"/>
      <c r="M411"/>
      <c r="N411"/>
      <c r="O411"/>
      <c r="P411"/>
      <c r="Q411"/>
    </row>
    <row r="412" spans="1:17" ht="15.75" x14ac:dyDescent="0.25">
      <c r="A412"/>
      <c r="B412"/>
      <c r="C412"/>
      <c r="D412"/>
      <c r="E412"/>
      <c r="F412"/>
      <c r="G412"/>
      <c r="H412"/>
      <c r="I412"/>
      <c r="J412"/>
      <c r="K412"/>
      <c r="L412"/>
      <c r="M412"/>
      <c r="N412"/>
      <c r="O412"/>
      <c r="P412"/>
      <c r="Q412"/>
    </row>
    <row r="413" spans="1:17" ht="15.75" x14ac:dyDescent="0.25">
      <c r="A413"/>
      <c r="B413"/>
      <c r="C413"/>
      <c r="D413"/>
      <c r="E413"/>
      <c r="F413"/>
      <c r="G413"/>
      <c r="H413"/>
      <c r="I413"/>
      <c r="J413"/>
      <c r="K413"/>
      <c r="L413"/>
      <c r="M413"/>
      <c r="N413"/>
      <c r="O413"/>
      <c r="P413"/>
      <c r="Q413"/>
    </row>
    <row r="414" spans="1:17" ht="15.75" x14ac:dyDescent="0.25">
      <c r="A414"/>
      <c r="B414"/>
      <c r="C414"/>
      <c r="D414"/>
      <c r="E414"/>
      <c r="F414"/>
      <c r="G414"/>
      <c r="H414"/>
      <c r="I414"/>
      <c r="J414"/>
      <c r="K414"/>
      <c r="L414"/>
      <c r="M414"/>
      <c r="N414"/>
      <c r="O414"/>
      <c r="P414"/>
      <c r="Q414"/>
    </row>
    <row r="415" spans="1:17" ht="15.75" x14ac:dyDescent="0.25">
      <c r="A415"/>
      <c r="B415"/>
      <c r="C415"/>
      <c r="D415"/>
      <c r="E415"/>
      <c r="F415"/>
      <c r="G415"/>
      <c r="H415"/>
      <c r="I415"/>
      <c r="J415"/>
      <c r="K415"/>
      <c r="L415"/>
      <c r="M415"/>
      <c r="N415"/>
      <c r="O415"/>
      <c r="P415"/>
      <c r="Q415"/>
    </row>
    <row r="416" spans="1:17" ht="15.75" x14ac:dyDescent="0.25">
      <c r="A416"/>
      <c r="B416"/>
      <c r="C416"/>
      <c r="D416"/>
      <c r="E416"/>
      <c r="F416"/>
      <c r="G416"/>
      <c r="H416"/>
      <c r="I416"/>
      <c r="J416"/>
      <c r="K416"/>
      <c r="L416"/>
      <c r="M416"/>
      <c r="N416"/>
      <c r="O416"/>
      <c r="P416"/>
      <c r="Q416"/>
    </row>
    <row r="417" spans="1:17" ht="15.75" x14ac:dyDescent="0.25">
      <c r="A417"/>
      <c r="B417"/>
      <c r="C417"/>
      <c r="D417"/>
      <c r="E417"/>
      <c r="F417"/>
      <c r="G417"/>
      <c r="H417"/>
      <c r="I417"/>
      <c r="J417"/>
      <c r="K417"/>
      <c r="L417"/>
      <c r="M417"/>
      <c r="N417"/>
      <c r="O417"/>
      <c r="P417"/>
      <c r="Q417"/>
    </row>
    <row r="418" spans="1:17" ht="15.75" x14ac:dyDescent="0.25">
      <c r="A418"/>
      <c r="B418"/>
      <c r="C418"/>
      <c r="D418"/>
      <c r="E418"/>
      <c r="F418"/>
      <c r="G418"/>
      <c r="H418"/>
      <c r="I418"/>
      <c r="J418"/>
      <c r="K418"/>
      <c r="L418"/>
      <c r="M418"/>
      <c r="N418"/>
      <c r="O418"/>
      <c r="P418"/>
      <c r="Q418"/>
    </row>
    <row r="419" spans="1:17" ht="15.75" x14ac:dyDescent="0.25">
      <c r="A419"/>
      <c r="B419"/>
      <c r="C419"/>
      <c r="D419"/>
      <c r="E419"/>
      <c r="F419"/>
      <c r="G419"/>
      <c r="H419"/>
      <c r="I419"/>
      <c r="J419"/>
      <c r="K419"/>
      <c r="L419"/>
      <c r="M419"/>
      <c r="N419"/>
      <c r="O419"/>
      <c r="P419"/>
      <c r="Q419"/>
    </row>
    <row r="420" spans="1:17" ht="15.75" x14ac:dyDescent="0.25">
      <c r="A420"/>
      <c r="B420"/>
      <c r="C420"/>
      <c r="D420"/>
      <c r="E420"/>
      <c r="F420"/>
      <c r="G420"/>
      <c r="H420"/>
      <c r="I420"/>
      <c r="J420"/>
      <c r="K420"/>
      <c r="L420"/>
      <c r="M420"/>
      <c r="N420"/>
      <c r="O420"/>
      <c r="P420"/>
      <c r="Q420"/>
    </row>
    <row r="421" spans="1:17" ht="15.75" x14ac:dyDescent="0.25">
      <c r="A421"/>
      <c r="B421"/>
      <c r="C421"/>
      <c r="D421"/>
      <c r="E421"/>
      <c r="F421"/>
      <c r="G421"/>
      <c r="H421"/>
      <c r="I421"/>
      <c r="J421"/>
      <c r="K421"/>
      <c r="L421"/>
      <c r="M421"/>
      <c r="N421"/>
      <c r="O421"/>
      <c r="P421"/>
      <c r="Q421"/>
    </row>
    <row r="422" spans="1:17" ht="15.75" x14ac:dyDescent="0.25">
      <c r="A422"/>
      <c r="B422"/>
      <c r="C422"/>
      <c r="D422"/>
      <c r="E422"/>
      <c r="F422"/>
      <c r="G422"/>
      <c r="H422"/>
      <c r="I422"/>
      <c r="J422"/>
      <c r="K422"/>
      <c r="L422"/>
      <c r="M422"/>
      <c r="N422"/>
      <c r="O422"/>
      <c r="P422"/>
      <c r="Q422"/>
    </row>
    <row r="423" spans="1:17" ht="15.75" x14ac:dyDescent="0.25">
      <c r="A423"/>
      <c r="B423"/>
      <c r="C423"/>
      <c r="D423"/>
      <c r="E423"/>
      <c r="F423"/>
      <c r="G423"/>
      <c r="H423"/>
      <c r="I423"/>
      <c r="J423"/>
      <c r="K423"/>
      <c r="L423"/>
      <c r="M423"/>
      <c r="N423"/>
      <c r="O423"/>
      <c r="P423"/>
      <c r="Q423"/>
    </row>
    <row r="424" spans="1:17" ht="15.75" x14ac:dyDescent="0.25">
      <c r="A424"/>
      <c r="B424"/>
      <c r="C424"/>
      <c r="D424"/>
      <c r="E424"/>
      <c r="F424"/>
      <c r="G424"/>
      <c r="H424"/>
      <c r="I424"/>
      <c r="J424"/>
      <c r="K424"/>
      <c r="L424"/>
      <c r="M424"/>
      <c r="N424"/>
      <c r="O424"/>
      <c r="P424"/>
      <c r="Q424"/>
    </row>
    <row r="425" spans="1:17" ht="15.75" x14ac:dyDescent="0.25">
      <c r="A425"/>
      <c r="B425"/>
      <c r="C425"/>
      <c r="D425"/>
      <c r="E425"/>
      <c r="F425"/>
      <c r="G425"/>
      <c r="H425"/>
      <c r="I425"/>
      <c r="J425"/>
      <c r="K425"/>
      <c r="L425"/>
      <c r="M425"/>
      <c r="N425"/>
      <c r="O425"/>
      <c r="P425"/>
      <c r="Q425"/>
    </row>
    <row r="426" spans="1:17" ht="15.75" x14ac:dyDescent="0.25">
      <c r="A426"/>
      <c r="B426"/>
      <c r="C426"/>
      <c r="D426"/>
      <c r="E426"/>
      <c r="F426"/>
      <c r="G426"/>
      <c r="H426"/>
      <c r="I426"/>
      <c r="J426"/>
      <c r="K426"/>
      <c r="L426"/>
      <c r="M426"/>
      <c r="N426"/>
      <c r="O426"/>
      <c r="P426"/>
      <c r="Q426"/>
    </row>
    <row r="427" spans="1:17" ht="15.75" x14ac:dyDescent="0.25">
      <c r="A427"/>
      <c r="B427"/>
      <c r="C427"/>
      <c r="D427"/>
      <c r="E427"/>
      <c r="F427"/>
      <c r="G427"/>
      <c r="H427"/>
      <c r="I427"/>
      <c r="J427"/>
      <c r="K427"/>
      <c r="L427"/>
      <c r="M427"/>
      <c r="N427"/>
      <c r="O427"/>
      <c r="P427"/>
      <c r="Q427"/>
    </row>
    <row r="428" spans="1:17" ht="15.75" x14ac:dyDescent="0.25">
      <c r="A428"/>
      <c r="B428"/>
      <c r="C428"/>
      <c r="D428"/>
      <c r="E428"/>
      <c r="F428"/>
      <c r="G428"/>
      <c r="H428"/>
      <c r="I428"/>
      <c r="J428"/>
      <c r="K428"/>
      <c r="L428"/>
      <c r="M428"/>
      <c r="N428"/>
      <c r="O428"/>
      <c r="P428"/>
      <c r="Q428"/>
    </row>
    <row r="429" spans="1:17" ht="15.75" x14ac:dyDescent="0.25">
      <c r="A429"/>
      <c r="B429"/>
      <c r="C429"/>
      <c r="D429"/>
      <c r="E429"/>
      <c r="F429"/>
      <c r="G429"/>
      <c r="H429"/>
      <c r="I429"/>
      <c r="J429"/>
      <c r="K429"/>
      <c r="L429"/>
      <c r="M429"/>
      <c r="N429"/>
      <c r="O429"/>
      <c r="P429"/>
      <c r="Q429"/>
    </row>
    <row r="430" spans="1:17" ht="15.75" x14ac:dyDescent="0.25">
      <c r="A430"/>
      <c r="B430"/>
      <c r="C430"/>
      <c r="D430"/>
      <c r="E430"/>
      <c r="F430"/>
      <c r="G430"/>
      <c r="H430"/>
      <c r="I430"/>
      <c r="J430"/>
      <c r="K430"/>
      <c r="L430"/>
      <c r="M430"/>
      <c r="N430"/>
      <c r="O430"/>
      <c r="P430"/>
      <c r="Q430"/>
    </row>
    <row r="431" spans="1:17" ht="15.75" x14ac:dyDescent="0.25">
      <c r="A431"/>
      <c r="B431"/>
      <c r="C431"/>
      <c r="D431"/>
      <c r="E431"/>
      <c r="F431"/>
      <c r="G431"/>
      <c r="H431"/>
      <c r="I431"/>
      <c r="J431"/>
      <c r="K431"/>
      <c r="L431"/>
      <c r="M431"/>
      <c r="N431"/>
      <c r="O431"/>
      <c r="P431"/>
      <c r="Q431"/>
    </row>
    <row r="432" spans="1:17" ht="15.75" x14ac:dyDescent="0.25">
      <c r="A432"/>
      <c r="B432"/>
      <c r="C432"/>
      <c r="D432"/>
      <c r="E432"/>
      <c r="F432"/>
      <c r="G432"/>
      <c r="H432"/>
      <c r="I432"/>
      <c r="J432"/>
      <c r="K432"/>
      <c r="L432"/>
      <c r="M432"/>
      <c r="N432"/>
      <c r="O432"/>
      <c r="P432"/>
      <c r="Q432"/>
    </row>
    <row r="433" spans="1:17" ht="15.75" x14ac:dyDescent="0.25">
      <c r="A433"/>
      <c r="B433"/>
      <c r="C433"/>
      <c r="D433"/>
      <c r="E433"/>
      <c r="F433"/>
      <c r="G433"/>
      <c r="H433"/>
      <c r="I433"/>
      <c r="J433"/>
      <c r="K433"/>
      <c r="L433"/>
      <c r="M433"/>
      <c r="N433"/>
      <c r="O433"/>
      <c r="P433"/>
      <c r="Q433"/>
    </row>
    <row r="434" spans="1:17" ht="15.75" x14ac:dyDescent="0.25">
      <c r="A434"/>
      <c r="B434"/>
      <c r="C434"/>
      <c r="D434"/>
      <c r="E434"/>
      <c r="F434"/>
      <c r="G434"/>
      <c r="H434"/>
      <c r="I434"/>
      <c r="J434"/>
      <c r="K434"/>
      <c r="L434"/>
      <c r="M434"/>
      <c r="N434"/>
      <c r="O434"/>
      <c r="P434"/>
      <c r="Q434"/>
    </row>
    <row r="435" spans="1:17" ht="15.75" x14ac:dyDescent="0.25">
      <c r="A435"/>
      <c r="B435"/>
      <c r="C435"/>
      <c r="D435"/>
      <c r="E435"/>
      <c r="F435"/>
      <c r="G435"/>
      <c r="H435"/>
      <c r="I435"/>
      <c r="J435"/>
      <c r="K435"/>
      <c r="L435"/>
      <c r="M435"/>
      <c r="N435"/>
      <c r="O435"/>
      <c r="P435"/>
      <c r="Q435"/>
    </row>
    <row r="436" spans="1:17" ht="15.75" x14ac:dyDescent="0.25">
      <c r="A436"/>
      <c r="B436"/>
      <c r="C436"/>
      <c r="D436"/>
      <c r="E436"/>
      <c r="F436"/>
      <c r="G436"/>
      <c r="H436"/>
      <c r="I436"/>
      <c r="J436"/>
      <c r="K436"/>
      <c r="L436"/>
      <c r="M436"/>
      <c r="N436"/>
      <c r="O436"/>
      <c r="P436"/>
      <c r="Q436"/>
    </row>
    <row r="437" spans="1:17" ht="15.75" x14ac:dyDescent="0.25">
      <c r="A437"/>
      <c r="B437"/>
      <c r="C437"/>
      <c r="D437"/>
      <c r="E437"/>
      <c r="F437"/>
      <c r="G437"/>
      <c r="H437"/>
      <c r="I437"/>
      <c r="J437"/>
      <c r="K437"/>
      <c r="L437"/>
      <c r="M437"/>
      <c r="N437"/>
      <c r="O437"/>
      <c r="P437"/>
      <c r="Q437"/>
    </row>
    <row r="438" spans="1:17" ht="15.75" x14ac:dyDescent="0.25">
      <c r="A438"/>
      <c r="B438"/>
      <c r="C438"/>
      <c r="D438"/>
      <c r="E438"/>
      <c r="F438"/>
      <c r="G438"/>
      <c r="H438"/>
      <c r="I438"/>
      <c r="J438"/>
      <c r="K438"/>
      <c r="L438"/>
      <c r="M438"/>
      <c r="N438"/>
      <c r="O438"/>
      <c r="P438"/>
      <c r="Q438"/>
    </row>
    <row r="439" spans="1:17" ht="15.75" x14ac:dyDescent="0.25">
      <c r="A439"/>
      <c r="B439"/>
      <c r="C439"/>
      <c r="D439"/>
      <c r="E439"/>
      <c r="F439"/>
      <c r="G439"/>
      <c r="H439"/>
      <c r="I439"/>
      <c r="J439"/>
      <c r="K439"/>
      <c r="L439"/>
      <c r="M439"/>
      <c r="N439"/>
      <c r="O439"/>
      <c r="P439"/>
      <c r="Q439"/>
    </row>
    <row r="440" spans="1:17" ht="15.75" x14ac:dyDescent="0.25">
      <c r="A440"/>
      <c r="B440"/>
      <c r="C440"/>
      <c r="D440"/>
      <c r="E440"/>
      <c r="F440"/>
      <c r="G440"/>
      <c r="H440"/>
      <c r="I440"/>
      <c r="J440"/>
      <c r="K440"/>
      <c r="L440"/>
      <c r="M440"/>
      <c r="N440"/>
      <c r="O440"/>
      <c r="P440"/>
      <c r="Q440"/>
    </row>
    <row r="441" spans="1:17" ht="15.75" x14ac:dyDescent="0.25">
      <c r="A441"/>
      <c r="B441"/>
      <c r="C441"/>
      <c r="D441"/>
      <c r="E441"/>
      <c r="F441"/>
      <c r="G441"/>
      <c r="H441"/>
      <c r="I441"/>
      <c r="J441"/>
      <c r="K441"/>
      <c r="L441"/>
      <c r="M441"/>
      <c r="N441"/>
      <c r="O441"/>
      <c r="P441"/>
      <c r="Q441"/>
    </row>
    <row r="442" spans="1:17" ht="15.75" x14ac:dyDescent="0.25">
      <c r="A442"/>
      <c r="B442"/>
      <c r="C442"/>
      <c r="D442"/>
      <c r="E442"/>
      <c r="F442"/>
      <c r="G442"/>
      <c r="H442"/>
      <c r="I442"/>
      <c r="J442"/>
      <c r="K442"/>
      <c r="L442"/>
      <c r="M442"/>
      <c r="N442"/>
      <c r="O442"/>
      <c r="P442"/>
      <c r="Q442"/>
    </row>
    <row r="443" spans="1:17" ht="15.75" x14ac:dyDescent="0.25">
      <c r="A443"/>
      <c r="B443"/>
      <c r="C443"/>
      <c r="D443"/>
      <c r="E443"/>
      <c r="F443"/>
      <c r="G443"/>
      <c r="H443"/>
      <c r="I443"/>
      <c r="J443"/>
      <c r="K443"/>
      <c r="L443"/>
      <c r="M443"/>
      <c r="N443"/>
      <c r="O443"/>
      <c r="P443"/>
      <c r="Q443"/>
    </row>
    <row r="444" spans="1:17" ht="15.75" x14ac:dyDescent="0.25">
      <c r="A444"/>
      <c r="B444"/>
      <c r="C444"/>
      <c r="D444"/>
      <c r="E444"/>
      <c r="F444"/>
      <c r="G444"/>
      <c r="H444"/>
      <c r="I444"/>
      <c r="J444"/>
      <c r="K444"/>
      <c r="L444"/>
      <c r="M444"/>
      <c r="N444"/>
      <c r="O444"/>
      <c r="P444"/>
      <c r="Q444"/>
    </row>
    <row r="445" spans="1:17" ht="15.75" x14ac:dyDescent="0.25">
      <c r="A445"/>
      <c r="B445"/>
      <c r="C445"/>
      <c r="D445"/>
      <c r="E445"/>
      <c r="F445"/>
      <c r="G445"/>
      <c r="H445"/>
      <c r="I445"/>
      <c r="J445"/>
      <c r="K445"/>
      <c r="L445"/>
      <c r="M445"/>
      <c r="N445"/>
      <c r="O445"/>
      <c r="P445"/>
      <c r="Q445"/>
    </row>
    <row r="446" spans="1:17" ht="15.75" x14ac:dyDescent="0.25">
      <c r="A446"/>
      <c r="B446"/>
      <c r="C446"/>
      <c r="D446"/>
      <c r="E446"/>
      <c r="F446"/>
      <c r="G446"/>
      <c r="H446"/>
      <c r="I446"/>
      <c r="J446"/>
      <c r="K446"/>
      <c r="L446"/>
      <c r="M446"/>
      <c r="N446"/>
      <c r="O446"/>
      <c r="P446"/>
      <c r="Q446"/>
    </row>
    <row r="447" spans="1:17" ht="15.75" x14ac:dyDescent="0.25">
      <c r="A447"/>
      <c r="B447"/>
      <c r="C447"/>
      <c r="D447"/>
      <c r="E447"/>
      <c r="F447"/>
      <c r="G447"/>
      <c r="H447"/>
      <c r="I447"/>
      <c r="J447"/>
      <c r="K447"/>
      <c r="L447"/>
      <c r="M447"/>
      <c r="N447"/>
      <c r="O447"/>
      <c r="P447"/>
      <c r="Q447"/>
    </row>
    <row r="448" spans="1:17" ht="15.75" x14ac:dyDescent="0.25">
      <c r="A448"/>
      <c r="B448"/>
      <c r="C448"/>
      <c r="D448"/>
      <c r="E448"/>
      <c r="F448"/>
      <c r="G448"/>
      <c r="H448"/>
      <c r="I448"/>
      <c r="J448"/>
      <c r="K448"/>
      <c r="L448"/>
      <c r="M448"/>
      <c r="N448"/>
      <c r="O448"/>
      <c r="P448"/>
      <c r="Q448"/>
    </row>
    <row r="449" spans="1:17" ht="15.75" x14ac:dyDescent="0.25">
      <c r="A449"/>
      <c r="B449"/>
      <c r="C449"/>
      <c r="D449"/>
      <c r="E449"/>
      <c r="F449"/>
      <c r="G449"/>
      <c r="H449"/>
      <c r="I449"/>
      <c r="J449"/>
      <c r="K449"/>
      <c r="L449"/>
      <c r="M449"/>
      <c r="N449"/>
      <c r="O449"/>
      <c r="P449"/>
      <c r="Q449"/>
    </row>
    <row r="450" spans="1:17" ht="15.75" x14ac:dyDescent="0.25">
      <c r="A450"/>
      <c r="B450"/>
      <c r="C450"/>
      <c r="D450"/>
      <c r="E450"/>
      <c r="F450"/>
      <c r="G450"/>
      <c r="H450"/>
      <c r="I450"/>
      <c r="J450"/>
      <c r="K450"/>
      <c r="L450"/>
      <c r="M450"/>
      <c r="N450"/>
      <c r="O450"/>
      <c r="P450"/>
      <c r="Q450"/>
    </row>
    <row r="451" spans="1:17" ht="15.75" x14ac:dyDescent="0.25">
      <c r="A451"/>
      <c r="B451"/>
      <c r="C451"/>
      <c r="D451"/>
      <c r="E451"/>
      <c r="F451"/>
      <c r="G451"/>
      <c r="H451"/>
      <c r="I451"/>
      <c r="J451"/>
      <c r="K451"/>
      <c r="L451"/>
      <c r="M451"/>
      <c r="N451"/>
      <c r="O451"/>
      <c r="P451"/>
      <c r="Q451"/>
    </row>
    <row r="452" spans="1:17" ht="15.75" x14ac:dyDescent="0.25">
      <c r="A452"/>
      <c r="B452"/>
      <c r="C452"/>
      <c r="D452"/>
      <c r="E452"/>
      <c r="F452"/>
      <c r="G452"/>
      <c r="H452"/>
      <c r="I452"/>
      <c r="J452"/>
      <c r="K452"/>
      <c r="L452"/>
      <c r="M452"/>
      <c r="N452"/>
      <c r="O452"/>
      <c r="P452"/>
      <c r="Q452"/>
    </row>
    <row r="453" spans="1:17" ht="15.75" x14ac:dyDescent="0.25">
      <c r="A453"/>
      <c r="B453"/>
      <c r="C453"/>
      <c r="D453"/>
      <c r="E453"/>
      <c r="F453"/>
      <c r="G453"/>
      <c r="H453"/>
      <c r="I453"/>
      <c r="J453"/>
      <c r="K453"/>
      <c r="L453"/>
      <c r="M453"/>
      <c r="N453"/>
      <c r="O453"/>
      <c r="P453"/>
      <c r="Q453"/>
    </row>
    <row r="454" spans="1:17" ht="15.75" x14ac:dyDescent="0.25">
      <c r="A454"/>
      <c r="B454"/>
      <c r="C454"/>
      <c r="D454"/>
      <c r="E454"/>
      <c r="F454"/>
      <c r="G454"/>
      <c r="H454"/>
      <c r="I454"/>
      <c r="J454"/>
      <c r="K454"/>
      <c r="L454"/>
      <c r="M454"/>
      <c r="N454"/>
      <c r="O454"/>
      <c r="P454"/>
      <c r="Q454"/>
    </row>
    <row r="455" spans="1:17" ht="15.75" x14ac:dyDescent="0.25">
      <c r="A455"/>
      <c r="B455"/>
      <c r="C455"/>
      <c r="D455"/>
      <c r="E455"/>
      <c r="F455"/>
      <c r="G455"/>
      <c r="H455"/>
      <c r="I455"/>
      <c r="J455"/>
      <c r="K455"/>
      <c r="L455"/>
      <c r="M455"/>
      <c r="N455"/>
      <c r="O455"/>
      <c r="P455"/>
      <c r="Q455"/>
    </row>
    <row r="456" spans="1:17" ht="15.75" x14ac:dyDescent="0.25">
      <c r="A456"/>
      <c r="B456"/>
      <c r="C456"/>
      <c r="D456"/>
      <c r="E456"/>
      <c r="F456"/>
      <c r="G456"/>
      <c r="H456"/>
      <c r="I456"/>
      <c r="J456"/>
      <c r="K456"/>
      <c r="L456"/>
      <c r="M456"/>
      <c r="N456"/>
      <c r="O456"/>
      <c r="P456"/>
      <c r="Q456"/>
    </row>
    <row r="457" spans="1:17" ht="15.75" x14ac:dyDescent="0.25">
      <c r="A457"/>
      <c r="B457"/>
      <c r="C457"/>
      <c r="D457"/>
      <c r="E457"/>
      <c r="F457"/>
      <c r="G457"/>
      <c r="H457"/>
      <c r="I457"/>
      <c r="J457"/>
      <c r="K457"/>
      <c r="L457"/>
      <c r="M457"/>
      <c r="N457"/>
      <c r="O457"/>
      <c r="P457"/>
      <c r="Q457"/>
    </row>
    <row r="458" spans="1:17" ht="15.75" x14ac:dyDescent="0.25">
      <c r="A458"/>
      <c r="B458"/>
      <c r="C458"/>
      <c r="D458"/>
      <c r="E458"/>
      <c r="F458"/>
      <c r="G458"/>
      <c r="H458"/>
      <c r="I458"/>
      <c r="J458"/>
      <c r="K458"/>
      <c r="L458"/>
      <c r="M458"/>
      <c r="N458"/>
      <c r="O458"/>
      <c r="P458"/>
      <c r="Q458"/>
    </row>
    <row r="459" spans="1:17" ht="15.75" x14ac:dyDescent="0.25">
      <c r="A459"/>
      <c r="B459"/>
      <c r="C459"/>
      <c r="D459"/>
      <c r="E459"/>
      <c r="F459"/>
      <c r="G459"/>
      <c r="H459"/>
      <c r="I459"/>
      <c r="J459"/>
      <c r="K459"/>
      <c r="L459"/>
      <c r="M459"/>
      <c r="N459"/>
      <c r="O459"/>
      <c r="P459"/>
      <c r="Q459"/>
    </row>
    <row r="460" spans="1:17" ht="15.75" x14ac:dyDescent="0.25">
      <c r="A460"/>
      <c r="B460"/>
      <c r="C460"/>
      <c r="D460"/>
      <c r="E460"/>
      <c r="F460"/>
      <c r="G460"/>
      <c r="H460"/>
      <c r="I460"/>
      <c r="J460"/>
      <c r="K460"/>
      <c r="L460"/>
      <c r="M460"/>
      <c r="N460"/>
      <c r="O460"/>
      <c r="P460"/>
      <c r="Q460"/>
    </row>
    <row r="461" spans="1:17" ht="15.75" x14ac:dyDescent="0.25">
      <c r="A461"/>
      <c r="B461"/>
      <c r="C461"/>
      <c r="D461"/>
      <c r="E461"/>
      <c r="F461"/>
      <c r="G461"/>
      <c r="H461"/>
      <c r="I461"/>
      <c r="J461"/>
      <c r="K461"/>
      <c r="L461"/>
      <c r="M461"/>
      <c r="N461"/>
      <c r="O461"/>
      <c r="P461"/>
      <c r="Q461"/>
    </row>
    <row r="462" spans="1:17" ht="15.75" x14ac:dyDescent="0.25">
      <c r="A462"/>
      <c r="B462"/>
      <c r="C462"/>
      <c r="D462"/>
      <c r="E462"/>
      <c r="F462"/>
      <c r="G462"/>
      <c r="H462"/>
      <c r="I462"/>
      <c r="J462"/>
      <c r="K462"/>
      <c r="L462"/>
      <c r="M462"/>
      <c r="N462"/>
      <c r="O462"/>
      <c r="P462"/>
      <c r="Q462"/>
    </row>
    <row r="463" spans="1:17" ht="15.75" x14ac:dyDescent="0.25">
      <c r="A463"/>
      <c r="B463"/>
      <c r="C463"/>
      <c r="D463"/>
      <c r="E463"/>
      <c r="F463"/>
      <c r="G463"/>
      <c r="H463"/>
      <c r="I463"/>
      <c r="J463"/>
      <c r="K463"/>
      <c r="L463"/>
      <c r="M463"/>
      <c r="N463"/>
      <c r="O463"/>
      <c r="P463"/>
      <c r="Q463"/>
    </row>
    <row r="464" spans="1:17" ht="15.75" x14ac:dyDescent="0.25">
      <c r="A464"/>
      <c r="B464"/>
      <c r="C464"/>
      <c r="D464"/>
      <c r="E464"/>
      <c r="F464"/>
      <c r="G464"/>
      <c r="H464"/>
      <c r="I464"/>
      <c r="J464"/>
      <c r="K464"/>
      <c r="L464"/>
      <c r="M464"/>
      <c r="N464"/>
      <c r="O464"/>
      <c r="P464"/>
      <c r="Q464"/>
    </row>
    <row r="465" spans="1:17" ht="15.75" x14ac:dyDescent="0.25">
      <c r="A465"/>
      <c r="B465"/>
      <c r="C465"/>
      <c r="D465"/>
      <c r="E465"/>
      <c r="F465"/>
      <c r="G465"/>
      <c r="H465"/>
      <c r="I465"/>
      <c r="J465"/>
      <c r="K465"/>
      <c r="L465"/>
      <c r="M465"/>
      <c r="N465"/>
      <c r="O465"/>
      <c r="P465"/>
      <c r="Q465"/>
    </row>
    <row r="466" spans="1:17" ht="15.75" x14ac:dyDescent="0.25">
      <c r="A466"/>
      <c r="B466"/>
      <c r="C466"/>
      <c r="D466"/>
      <c r="E466"/>
      <c r="F466"/>
      <c r="G466"/>
      <c r="H466"/>
      <c r="I466"/>
      <c r="J466"/>
      <c r="K466"/>
      <c r="L466"/>
      <c r="M466"/>
      <c r="N466"/>
      <c r="O466"/>
      <c r="P466"/>
      <c r="Q466"/>
    </row>
    <row r="467" spans="1:17" ht="15.75" x14ac:dyDescent="0.25">
      <c r="A467"/>
      <c r="B467"/>
      <c r="C467"/>
      <c r="D467"/>
      <c r="E467"/>
      <c r="F467"/>
      <c r="G467"/>
      <c r="H467"/>
      <c r="I467"/>
      <c r="J467"/>
      <c r="K467"/>
      <c r="L467"/>
      <c r="M467"/>
      <c r="N467"/>
      <c r="O467"/>
      <c r="P467"/>
      <c r="Q467"/>
    </row>
    <row r="468" spans="1:17" ht="15.75" x14ac:dyDescent="0.25">
      <c r="A468"/>
      <c r="B468"/>
      <c r="C468"/>
      <c r="D468"/>
      <c r="E468"/>
      <c r="F468"/>
      <c r="G468"/>
      <c r="H468"/>
      <c r="I468"/>
      <c r="J468"/>
      <c r="K468"/>
      <c r="L468"/>
      <c r="M468"/>
      <c r="N468"/>
      <c r="O468"/>
      <c r="P468"/>
      <c r="Q468"/>
    </row>
    <row r="469" spans="1:17" ht="15.75" x14ac:dyDescent="0.25">
      <c r="A469"/>
      <c r="B469"/>
      <c r="C469"/>
      <c r="D469"/>
      <c r="E469"/>
      <c r="F469"/>
      <c r="G469"/>
      <c r="H469"/>
      <c r="I469"/>
      <c r="J469"/>
      <c r="K469"/>
      <c r="L469"/>
      <c r="M469"/>
      <c r="N469"/>
      <c r="O469"/>
      <c r="P469"/>
      <c r="Q469"/>
    </row>
    <row r="470" spans="1:17" ht="15.75" x14ac:dyDescent="0.25">
      <c r="A470"/>
      <c r="B470"/>
      <c r="C470"/>
      <c r="D470"/>
      <c r="E470"/>
      <c r="F470"/>
      <c r="G470"/>
      <c r="H470"/>
      <c r="I470"/>
      <c r="J470"/>
      <c r="K470"/>
      <c r="L470"/>
      <c r="M470"/>
      <c r="N470"/>
      <c r="O470"/>
      <c r="P470"/>
      <c r="Q470"/>
    </row>
    <row r="471" spans="1:17" ht="15.75" x14ac:dyDescent="0.25">
      <c r="A471"/>
      <c r="B471"/>
      <c r="C471"/>
      <c r="D471"/>
      <c r="E471"/>
      <c r="F471"/>
      <c r="G471"/>
      <c r="H471"/>
      <c r="I471"/>
      <c r="J471"/>
      <c r="K471"/>
      <c r="L471"/>
      <c r="M471"/>
      <c r="N471"/>
      <c r="O471"/>
      <c r="P471"/>
      <c r="Q471"/>
    </row>
    <row r="472" spans="1:17" ht="15.75" x14ac:dyDescent="0.25">
      <c r="A472"/>
      <c r="B472"/>
      <c r="C472"/>
      <c r="D472"/>
      <c r="E472"/>
      <c r="F472"/>
      <c r="G472"/>
      <c r="H472"/>
      <c r="I472"/>
      <c r="J472"/>
      <c r="K472"/>
      <c r="L472"/>
      <c r="M472"/>
      <c r="N472"/>
      <c r="O472"/>
      <c r="P472"/>
      <c r="Q472"/>
    </row>
    <row r="473" spans="1:17" ht="15.75" x14ac:dyDescent="0.25">
      <c r="A473"/>
      <c r="B473"/>
      <c r="C473"/>
      <c r="D473"/>
      <c r="E473"/>
      <c r="F473"/>
      <c r="G473"/>
      <c r="H473"/>
      <c r="I473"/>
      <c r="J473"/>
      <c r="K473"/>
      <c r="L473"/>
      <c r="M473"/>
      <c r="N473"/>
      <c r="O473"/>
      <c r="P473"/>
      <c r="Q473"/>
    </row>
    <row r="474" spans="1:17" ht="15.75" x14ac:dyDescent="0.25">
      <c r="A474"/>
      <c r="B474"/>
      <c r="C474"/>
      <c r="D474"/>
      <c r="E474"/>
      <c r="F474"/>
      <c r="G474"/>
      <c r="H474"/>
      <c r="I474"/>
      <c r="J474"/>
      <c r="K474"/>
      <c r="L474"/>
      <c r="M474"/>
      <c r="N474"/>
      <c r="O474"/>
      <c r="P474"/>
      <c r="Q474"/>
    </row>
    <row r="475" spans="1:17" ht="15.75" x14ac:dyDescent="0.25">
      <c r="A475"/>
      <c r="B475"/>
      <c r="C475"/>
      <c r="D475"/>
      <c r="E475"/>
      <c r="F475"/>
      <c r="G475"/>
      <c r="H475"/>
      <c r="I475"/>
      <c r="J475"/>
      <c r="K475"/>
      <c r="L475"/>
      <c r="M475"/>
      <c r="N475"/>
      <c r="O475"/>
      <c r="P475"/>
      <c r="Q475"/>
    </row>
    <row r="476" spans="1:17" ht="15.75" x14ac:dyDescent="0.25">
      <c r="A476"/>
      <c r="B476"/>
      <c r="C476"/>
      <c r="D476"/>
      <c r="E476"/>
      <c r="F476"/>
      <c r="G476"/>
      <c r="H476"/>
      <c r="I476"/>
      <c r="J476"/>
      <c r="K476"/>
      <c r="L476"/>
      <c r="M476"/>
      <c r="N476"/>
      <c r="O476"/>
      <c r="P476"/>
      <c r="Q476"/>
    </row>
    <row r="477" spans="1:17" ht="15.75" x14ac:dyDescent="0.25">
      <c r="A477"/>
      <c r="B477"/>
      <c r="C477"/>
      <c r="D477"/>
      <c r="E477"/>
      <c r="F477"/>
      <c r="G477"/>
      <c r="H477"/>
      <c r="I477"/>
      <c r="J477"/>
      <c r="K477"/>
      <c r="L477"/>
      <c r="M477"/>
      <c r="N477"/>
      <c r="O477"/>
      <c r="P477"/>
      <c r="Q477"/>
    </row>
    <row r="478" spans="1:17" ht="15.75" x14ac:dyDescent="0.25">
      <c r="A478"/>
      <c r="B478"/>
      <c r="C478"/>
      <c r="D478"/>
      <c r="E478"/>
      <c r="F478"/>
      <c r="G478"/>
      <c r="H478"/>
      <c r="I478"/>
      <c r="J478"/>
      <c r="K478"/>
      <c r="L478"/>
      <c r="M478"/>
      <c r="N478"/>
      <c r="O478"/>
      <c r="P478"/>
      <c r="Q478"/>
    </row>
    <row r="479" spans="1:17" ht="15.75" x14ac:dyDescent="0.25">
      <c r="A479"/>
      <c r="B479"/>
      <c r="C479"/>
      <c r="D479"/>
      <c r="E479"/>
      <c r="F479"/>
      <c r="G479"/>
      <c r="H479"/>
      <c r="I479"/>
      <c r="J479"/>
      <c r="K479"/>
      <c r="L479"/>
      <c r="M479"/>
      <c r="N479"/>
      <c r="O479"/>
      <c r="P479"/>
      <c r="Q479"/>
    </row>
    <row r="480" spans="1:17" ht="15.75" x14ac:dyDescent="0.25">
      <c r="A480"/>
      <c r="B480"/>
      <c r="C480"/>
      <c r="D480"/>
      <c r="E480"/>
      <c r="F480"/>
      <c r="G480"/>
      <c r="H480"/>
      <c r="I480"/>
      <c r="J480"/>
      <c r="K480"/>
      <c r="L480"/>
      <c r="M480"/>
      <c r="N480"/>
      <c r="O480"/>
      <c r="P480"/>
      <c r="Q480"/>
    </row>
    <row r="481" spans="1:17" ht="15.75" x14ac:dyDescent="0.25">
      <c r="A481"/>
      <c r="B481"/>
      <c r="C481"/>
      <c r="D481"/>
      <c r="E481"/>
      <c r="F481"/>
      <c r="G481"/>
      <c r="H481"/>
      <c r="I481"/>
      <c r="J481"/>
      <c r="K481"/>
      <c r="L481"/>
      <c r="M481"/>
      <c r="N481"/>
      <c r="O481"/>
      <c r="P481"/>
      <c r="Q481"/>
    </row>
    <row r="482" spans="1:17" ht="15.75" x14ac:dyDescent="0.25">
      <c r="A482"/>
      <c r="B482"/>
      <c r="C482"/>
      <c r="D482"/>
      <c r="E482"/>
      <c r="F482"/>
      <c r="G482"/>
      <c r="H482"/>
      <c r="I482"/>
      <c r="J482"/>
      <c r="K482"/>
      <c r="L482"/>
      <c r="M482"/>
      <c r="N482"/>
      <c r="O482"/>
      <c r="P482"/>
      <c r="Q482"/>
    </row>
    <row r="483" spans="1:17" ht="15.75" x14ac:dyDescent="0.25">
      <c r="A483"/>
      <c r="B483"/>
      <c r="C483"/>
      <c r="D483"/>
      <c r="E483"/>
      <c r="F483"/>
      <c r="G483"/>
      <c r="H483"/>
      <c r="I483"/>
      <c r="J483"/>
      <c r="K483"/>
      <c r="L483"/>
      <c r="M483"/>
      <c r="N483"/>
      <c r="O483"/>
      <c r="P483"/>
      <c r="Q483"/>
    </row>
    <row r="484" spans="1:17" ht="15.75" x14ac:dyDescent="0.25">
      <c r="A484"/>
      <c r="B484"/>
      <c r="C484"/>
      <c r="D484"/>
      <c r="E484"/>
      <c r="F484"/>
      <c r="G484"/>
      <c r="H484"/>
      <c r="I484"/>
      <c r="J484"/>
      <c r="K484"/>
      <c r="L484"/>
      <c r="M484"/>
      <c r="N484"/>
      <c r="O484"/>
      <c r="P484"/>
      <c r="Q484"/>
    </row>
    <row r="485" spans="1:17" ht="15.75" x14ac:dyDescent="0.25">
      <c r="A485"/>
      <c r="B485"/>
      <c r="C485"/>
      <c r="D485"/>
      <c r="E485"/>
      <c r="F485"/>
      <c r="G485"/>
      <c r="H485"/>
      <c r="I485"/>
      <c r="J485"/>
      <c r="K485"/>
      <c r="L485"/>
      <c r="M485"/>
      <c r="N485"/>
      <c r="O485"/>
      <c r="P485"/>
      <c r="Q485"/>
    </row>
    <row r="486" spans="1:17" ht="15.75" x14ac:dyDescent="0.25">
      <c r="A486"/>
      <c r="B486"/>
      <c r="C486"/>
      <c r="D486"/>
      <c r="E486"/>
      <c r="F486"/>
      <c r="G486"/>
      <c r="H486"/>
      <c r="I486"/>
      <c r="J486"/>
      <c r="K486"/>
      <c r="L486"/>
      <c r="M486"/>
      <c r="N486"/>
      <c r="O486"/>
      <c r="P486"/>
      <c r="Q486"/>
    </row>
    <row r="487" spans="1:17" ht="15.75" x14ac:dyDescent="0.25">
      <c r="A487"/>
      <c r="B487"/>
      <c r="C487"/>
      <c r="D487"/>
      <c r="E487"/>
      <c r="F487"/>
      <c r="G487"/>
      <c r="H487"/>
      <c r="I487"/>
      <c r="J487"/>
      <c r="K487"/>
      <c r="L487"/>
      <c r="M487"/>
      <c r="N487"/>
      <c r="O487"/>
      <c r="P487"/>
      <c r="Q487"/>
    </row>
    <row r="488" spans="1:17" ht="15.75" x14ac:dyDescent="0.25">
      <c r="A488"/>
      <c r="B488"/>
      <c r="C488"/>
      <c r="D488"/>
      <c r="E488"/>
      <c r="F488"/>
      <c r="G488"/>
      <c r="H488"/>
      <c r="I488"/>
      <c r="J488"/>
      <c r="K488"/>
      <c r="L488"/>
      <c r="M488"/>
      <c r="N488"/>
      <c r="O488"/>
      <c r="P488"/>
      <c r="Q488"/>
    </row>
    <row r="489" spans="1:17" ht="15.75" x14ac:dyDescent="0.25">
      <c r="A489"/>
      <c r="B489"/>
      <c r="C489"/>
      <c r="D489"/>
      <c r="E489"/>
      <c r="F489"/>
      <c r="G489"/>
      <c r="H489"/>
      <c r="I489"/>
      <c r="J489"/>
      <c r="K489"/>
      <c r="L489"/>
      <c r="M489"/>
      <c r="N489"/>
      <c r="O489"/>
      <c r="P489"/>
      <c r="Q489"/>
    </row>
    <row r="490" spans="1:17" ht="15.75" x14ac:dyDescent="0.25">
      <c r="A490"/>
      <c r="B490"/>
      <c r="C490"/>
      <c r="D490"/>
      <c r="E490"/>
      <c r="F490"/>
      <c r="G490"/>
      <c r="H490"/>
      <c r="I490"/>
      <c r="J490"/>
      <c r="K490"/>
      <c r="L490"/>
      <c r="M490"/>
      <c r="N490"/>
      <c r="O490"/>
      <c r="P490"/>
      <c r="Q490"/>
    </row>
    <row r="491" spans="1:17" ht="15.75" x14ac:dyDescent="0.25">
      <c r="A491"/>
      <c r="B491"/>
      <c r="C491"/>
      <c r="D491"/>
      <c r="E491"/>
      <c r="F491"/>
      <c r="G491"/>
      <c r="H491"/>
      <c r="I491"/>
      <c r="J491"/>
      <c r="K491"/>
      <c r="L491"/>
      <c r="M491"/>
      <c r="N491"/>
      <c r="O491"/>
      <c r="P491"/>
      <c r="Q491"/>
    </row>
    <row r="492" spans="1:17" ht="15.75" x14ac:dyDescent="0.25">
      <c r="A492"/>
      <c r="B492"/>
      <c r="C492"/>
      <c r="D492"/>
      <c r="E492"/>
      <c r="F492"/>
      <c r="G492"/>
      <c r="H492"/>
      <c r="I492"/>
      <c r="J492"/>
      <c r="K492"/>
      <c r="L492"/>
      <c r="M492"/>
      <c r="N492"/>
      <c r="O492"/>
      <c r="P492"/>
      <c r="Q492"/>
    </row>
    <row r="493" spans="1:17" ht="15.75" x14ac:dyDescent="0.25">
      <c r="A493"/>
      <c r="B493"/>
      <c r="C493"/>
      <c r="D493"/>
      <c r="E493"/>
      <c r="F493"/>
      <c r="G493"/>
      <c r="H493"/>
      <c r="I493"/>
      <c r="J493"/>
      <c r="K493"/>
      <c r="L493"/>
      <c r="M493"/>
      <c r="N493"/>
      <c r="O493"/>
      <c r="P493"/>
      <c r="Q493"/>
    </row>
    <row r="494" spans="1:17" ht="15.75" x14ac:dyDescent="0.25">
      <c r="A494"/>
      <c r="B494"/>
      <c r="C494"/>
      <c r="D494"/>
      <c r="E494"/>
      <c r="F494"/>
      <c r="G494"/>
      <c r="H494"/>
      <c r="I494"/>
      <c r="J494"/>
      <c r="K494"/>
      <c r="L494"/>
      <c r="M494"/>
      <c r="N494"/>
      <c r="O494"/>
      <c r="P494"/>
      <c r="Q494"/>
    </row>
    <row r="495" spans="1:17" ht="15.75" x14ac:dyDescent="0.25">
      <c r="A495"/>
      <c r="B495"/>
      <c r="C495"/>
      <c r="D495"/>
      <c r="E495"/>
      <c r="F495"/>
      <c r="G495"/>
      <c r="H495"/>
      <c r="I495"/>
      <c r="J495"/>
      <c r="K495"/>
      <c r="L495"/>
      <c r="M495"/>
      <c r="N495"/>
      <c r="O495"/>
      <c r="P495"/>
      <c r="Q495"/>
    </row>
    <row r="496" spans="1:17" x14ac:dyDescent="0.2">
      <c r="A496" s="294"/>
      <c r="B496" s="295"/>
      <c r="C496" s="295"/>
      <c r="D496" s="295"/>
      <c r="E496" s="295"/>
      <c r="F496" s="295"/>
      <c r="G496" s="295"/>
      <c r="H496" s="295"/>
      <c r="I496" s="295"/>
      <c r="J496" s="295"/>
      <c r="K496" s="295"/>
      <c r="L496" s="295"/>
      <c r="M496" s="295"/>
      <c r="N496" s="295"/>
      <c r="O496" s="295"/>
      <c r="P496" s="295"/>
      <c r="Q496" s="295"/>
    </row>
    <row r="497" spans="1:17" x14ac:dyDescent="0.2">
      <c r="A497" s="298"/>
      <c r="B497" s="295"/>
      <c r="C497" s="295"/>
      <c r="D497" s="295"/>
      <c r="E497" s="295"/>
      <c r="F497" s="295"/>
      <c r="G497" s="295"/>
      <c r="H497" s="295"/>
      <c r="I497" s="295"/>
      <c r="J497" s="295"/>
      <c r="K497" s="295"/>
      <c r="L497" s="295"/>
      <c r="M497" s="295"/>
      <c r="N497" s="295"/>
      <c r="O497" s="295"/>
      <c r="P497" s="295"/>
      <c r="Q497" s="295"/>
    </row>
    <row r="498" spans="1:17" x14ac:dyDescent="0.2">
      <c r="A498" s="298"/>
      <c r="B498" s="295"/>
      <c r="C498" s="295"/>
      <c r="D498" s="295"/>
      <c r="E498" s="295"/>
      <c r="F498" s="295"/>
      <c r="G498" s="295"/>
      <c r="H498" s="295"/>
      <c r="I498" s="295"/>
      <c r="J498" s="295"/>
      <c r="K498" s="295"/>
      <c r="L498" s="295"/>
      <c r="M498" s="295"/>
      <c r="N498" s="295"/>
      <c r="O498" s="295"/>
      <c r="P498" s="295"/>
      <c r="Q498" s="295"/>
    </row>
    <row r="499" spans="1:17" x14ac:dyDescent="0.2">
      <c r="A499" s="298"/>
      <c r="B499" s="295"/>
      <c r="C499" s="295"/>
      <c r="D499" s="295"/>
      <c r="E499" s="295"/>
      <c r="F499" s="295"/>
      <c r="G499" s="295"/>
      <c r="H499" s="295"/>
      <c r="I499" s="295"/>
      <c r="J499" s="295"/>
      <c r="K499" s="295"/>
      <c r="L499" s="295"/>
      <c r="M499" s="295"/>
      <c r="N499" s="295"/>
      <c r="O499" s="295"/>
      <c r="P499" s="295"/>
      <c r="Q499" s="29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H26"/>
  <sheetViews>
    <sheetView view="pageBreakPreview" zoomScaleNormal="100" zoomScaleSheetLayoutView="100" workbookViewId="0"/>
  </sheetViews>
  <sheetFormatPr defaultRowHeight="15.75" x14ac:dyDescent="0.25"/>
  <cols>
    <col min="1" max="1" width="25.5" bestFit="1" customWidth="1"/>
    <col min="6" max="6" width="9.75" bestFit="1" customWidth="1"/>
  </cols>
  <sheetData>
    <row r="1" spans="1:8" ht="18" x14ac:dyDescent="0.25">
      <c r="A1" s="82" t="s">
        <v>162</v>
      </c>
      <c r="B1" s="82"/>
      <c r="C1" s="82"/>
      <c r="D1" s="82"/>
      <c r="E1" s="82"/>
      <c r="F1" s="82"/>
      <c r="G1" s="82"/>
      <c r="H1" s="82"/>
    </row>
    <row r="2" spans="1:8" x14ac:dyDescent="0.25">
      <c r="A2" s="103"/>
      <c r="B2" s="85"/>
      <c r="C2" s="85"/>
      <c r="D2" s="85"/>
      <c r="E2" s="85"/>
      <c r="F2" s="85"/>
      <c r="G2" s="85"/>
      <c r="H2" s="85"/>
    </row>
    <row r="3" spans="1:8" x14ac:dyDescent="0.25">
      <c r="A3" s="707" t="s">
        <v>163</v>
      </c>
      <c r="B3" s="707"/>
      <c r="C3" s="707"/>
      <c r="D3" s="707"/>
      <c r="E3" s="707"/>
      <c r="F3" s="707"/>
      <c r="G3" s="707"/>
      <c r="H3" s="707"/>
    </row>
    <row r="4" spans="1:8" x14ac:dyDescent="0.25">
      <c r="A4" s="707" t="s">
        <v>164</v>
      </c>
      <c r="B4" s="707"/>
      <c r="C4" s="707"/>
      <c r="D4" s="707"/>
      <c r="E4" s="707"/>
      <c r="F4" s="707"/>
      <c r="G4" s="707"/>
      <c r="H4" s="707"/>
    </row>
    <row r="5" spans="1:8" x14ac:dyDescent="0.25">
      <c r="A5" s="87"/>
      <c r="B5" s="87"/>
      <c r="C5" s="87"/>
      <c r="D5" s="87"/>
      <c r="E5" s="87"/>
      <c r="F5" s="87"/>
      <c r="G5" s="87"/>
      <c r="H5" s="87"/>
    </row>
    <row r="6" spans="1:8" x14ac:dyDescent="0.25">
      <c r="A6" s="104"/>
      <c r="B6" s="90"/>
      <c r="C6" s="90" t="s">
        <v>165</v>
      </c>
      <c r="D6" s="90" t="s">
        <v>166</v>
      </c>
      <c r="E6" s="90"/>
      <c r="F6" s="90" t="s">
        <v>167</v>
      </c>
      <c r="G6" s="90" t="s">
        <v>168</v>
      </c>
      <c r="H6" s="90" t="s">
        <v>169</v>
      </c>
    </row>
    <row r="7" spans="1:8" x14ac:dyDescent="0.25">
      <c r="A7" s="105"/>
      <c r="B7" s="93" t="s">
        <v>3</v>
      </c>
      <c r="C7" s="93" t="s">
        <v>3</v>
      </c>
      <c r="D7" s="93" t="s">
        <v>3</v>
      </c>
      <c r="E7" s="93" t="s">
        <v>6</v>
      </c>
      <c r="F7" s="93" t="s">
        <v>26</v>
      </c>
      <c r="G7" s="93" t="s">
        <v>170</v>
      </c>
      <c r="H7" s="93" t="s">
        <v>171</v>
      </c>
    </row>
    <row r="8" spans="1:8" x14ac:dyDescent="0.25">
      <c r="A8" s="106" t="s">
        <v>172</v>
      </c>
      <c r="B8" s="95">
        <f>'Averages Pivot Table'!$S469</f>
        <v>119501.05197672936</v>
      </c>
      <c r="C8" s="95">
        <f>'Averages Pivot Table'!$S473</f>
        <v>81837.001711138058</v>
      </c>
      <c r="D8" s="95">
        <f>'Averages Pivot Table'!$S477</f>
        <v>71172.670611802532</v>
      </c>
      <c r="E8" s="95">
        <f>'Averages Pivot Table'!$S481</f>
        <v>46724.085728522361</v>
      </c>
      <c r="F8" s="95">
        <f>'Averages Pivot Table'!$S485</f>
        <v>53771.993892548067</v>
      </c>
      <c r="G8" s="95">
        <f>'Averages Pivot Table'!$S489</f>
        <v>0</v>
      </c>
      <c r="H8" s="95">
        <f>'Averages Pivot Table'!$S493</f>
        <v>86254.021181387216</v>
      </c>
    </row>
    <row r="9" spans="1:8" x14ac:dyDescent="0.25">
      <c r="A9" s="106" t="s">
        <v>173</v>
      </c>
      <c r="B9" s="96">
        <f>'Averages Pivot Table'!$T469</f>
        <v>110141.91260780694</v>
      </c>
      <c r="C9" s="96">
        <f>'Averages Pivot Table'!$T473</f>
        <v>78071.286974762857</v>
      </c>
      <c r="D9" s="96">
        <f>'Averages Pivot Table'!$T477</f>
        <v>66584.806860991201</v>
      </c>
      <c r="E9" s="96">
        <f>'Averages Pivot Table'!$T481</f>
        <v>45934.044402034619</v>
      </c>
      <c r="F9" s="96">
        <f>'Averages Pivot Table'!$T485</f>
        <v>48126.323283031168</v>
      </c>
      <c r="G9" s="96">
        <f>'Averages Pivot Table'!$T489</f>
        <v>0</v>
      </c>
      <c r="H9" s="96">
        <f>'Averages Pivot Table'!$T493</f>
        <v>76053.499376965265</v>
      </c>
    </row>
    <row r="10" spans="1:8" x14ac:dyDescent="0.25">
      <c r="A10" s="106" t="s">
        <v>174</v>
      </c>
      <c r="B10" s="96">
        <f>'Averages Pivot Table'!$U469</f>
        <v>83627.991078621315</v>
      </c>
      <c r="C10" s="96">
        <f>'Averages Pivot Table'!$U473</f>
        <v>68037.582641390516</v>
      </c>
      <c r="D10" s="96">
        <f>'Averages Pivot Table'!$U477</f>
        <v>57679.868272018139</v>
      </c>
      <c r="E10" s="96">
        <f>'Averages Pivot Table'!$U481</f>
        <v>43791.849804407524</v>
      </c>
      <c r="F10" s="96">
        <f>'Averages Pivot Table'!$U485</f>
        <v>43834.267844675145</v>
      </c>
      <c r="G10" s="96">
        <f>'Averages Pivot Table'!$U489</f>
        <v>0</v>
      </c>
      <c r="H10" s="96">
        <f>'Averages Pivot Table'!$U493</f>
        <v>63751.752616010097</v>
      </c>
    </row>
    <row r="11" spans="1:8" x14ac:dyDescent="0.25">
      <c r="A11" s="106" t="s">
        <v>175</v>
      </c>
      <c r="B11" s="96">
        <f>'Averages Pivot Table'!$V469</f>
        <v>80657.566645266314</v>
      </c>
      <c r="C11" s="96">
        <f>'Averages Pivot Table'!$V473</f>
        <v>65754.493798726413</v>
      </c>
      <c r="D11" s="96">
        <f>'Averages Pivot Table'!$V477</f>
        <v>56561.076412092618</v>
      </c>
      <c r="E11" s="96">
        <f>'Averages Pivot Table'!$V481</f>
        <v>44326.835975416252</v>
      </c>
      <c r="F11" s="96">
        <f>'Averages Pivot Table'!$V485</f>
        <v>46467.625520219517</v>
      </c>
      <c r="G11" s="96">
        <f>'Averages Pivot Table'!$V489</f>
        <v>0</v>
      </c>
      <c r="H11" s="96">
        <f>'Averages Pivot Table'!$V493</f>
        <v>61977.405117341899</v>
      </c>
    </row>
    <row r="12" spans="1:8" x14ac:dyDescent="0.25">
      <c r="A12" s="106" t="s">
        <v>176</v>
      </c>
      <c r="B12" s="96">
        <f>'Averages Pivot Table'!$W469</f>
        <v>77593.532616786164</v>
      </c>
      <c r="C12" s="96">
        <f>'Averages Pivot Table'!$W473</f>
        <v>64734.742043507562</v>
      </c>
      <c r="D12" s="96">
        <f>'Averages Pivot Table'!$W477</f>
        <v>55034.509527510156</v>
      </c>
      <c r="E12" s="96">
        <f>'Averages Pivot Table'!$W481</f>
        <v>45769.888849730516</v>
      </c>
      <c r="F12" s="96">
        <f>'Averages Pivot Table'!$W485</f>
        <v>46695.869781410838</v>
      </c>
      <c r="G12" s="96">
        <f>'Averages Pivot Table'!$W489</f>
        <v>0</v>
      </c>
      <c r="H12" s="96">
        <f>'Averages Pivot Table'!$W493</f>
        <v>60168.183200053922</v>
      </c>
    </row>
    <row r="13" spans="1:8" x14ac:dyDescent="0.25">
      <c r="A13" s="106" t="s">
        <v>177</v>
      </c>
      <c r="B13" s="96">
        <f>'Averages Pivot Table'!$X469</f>
        <v>76627.95892158596</v>
      </c>
      <c r="C13" s="96">
        <f>'Averages Pivot Table'!$X473</f>
        <v>61666.404368916505</v>
      </c>
      <c r="D13" s="96">
        <f>'Averages Pivot Table'!$X477</f>
        <v>54377.654779967233</v>
      </c>
      <c r="E13" s="96">
        <f>'Averages Pivot Table'!$X481</f>
        <v>43238.089761200325</v>
      </c>
      <c r="F13" s="96">
        <f>'Averages Pivot Table'!$X485</f>
        <v>46031.017321379484</v>
      </c>
      <c r="G13" s="96">
        <f>'Averages Pivot Table'!$X489</f>
        <v>0</v>
      </c>
      <c r="H13" s="96">
        <f>'Averages Pivot Table'!$X493</f>
        <v>58231.346350032269</v>
      </c>
    </row>
    <row r="14" spans="1:8" x14ac:dyDescent="0.25">
      <c r="A14" s="107" t="s">
        <v>178</v>
      </c>
      <c r="B14" s="96">
        <f>'Averages Pivot Table'!$Y469</f>
        <v>105279.60100669328</v>
      </c>
      <c r="C14" s="96">
        <f>'Averages Pivot Table'!$Y473</f>
        <v>75152.165388629699</v>
      </c>
      <c r="D14" s="96">
        <f>'Averages Pivot Table'!$Y477</f>
        <v>63585.804013193963</v>
      </c>
      <c r="E14" s="96">
        <f>'Averages Pivot Table'!$Y481</f>
        <v>45231.529040463967</v>
      </c>
      <c r="F14" s="96">
        <f>'Averages Pivot Table'!$Y485</f>
        <v>49454.775006606593</v>
      </c>
      <c r="G14" s="96">
        <f>'Averages Pivot Table'!$Y489</f>
        <v>0</v>
      </c>
      <c r="H14" s="96">
        <f>'Averages Pivot Table'!$Y493</f>
        <v>74978.086726519134</v>
      </c>
    </row>
    <row r="15" spans="1:8" x14ac:dyDescent="0.25">
      <c r="A15" s="106"/>
      <c r="B15" s="96"/>
      <c r="C15" s="96"/>
      <c r="D15" s="96"/>
      <c r="E15" s="96"/>
      <c r="F15" s="96"/>
      <c r="G15" s="96"/>
      <c r="H15" s="96"/>
    </row>
    <row r="16" spans="1:8" x14ac:dyDescent="0.25">
      <c r="A16" s="106" t="s">
        <v>179</v>
      </c>
      <c r="B16" s="96">
        <f>'Averages Pivot Table'!$Z469</f>
        <v>64906.800450636423</v>
      </c>
      <c r="C16" s="96">
        <f>'Averages Pivot Table'!$Z473</f>
        <v>52969.762290537408</v>
      </c>
      <c r="D16" s="96">
        <f>'Averages Pivot Table'!$Z477</f>
        <v>46440.70137479344</v>
      </c>
      <c r="E16" s="96">
        <f>'Averages Pivot Table'!$Z481</f>
        <v>49580.39225348879</v>
      </c>
      <c r="F16" s="96">
        <f>'Averages Pivot Table'!$Z485</f>
        <v>35596.028355387527</v>
      </c>
      <c r="G16" s="96">
        <f>'Averages Pivot Table'!$Z489</f>
        <v>57977.926590538336</v>
      </c>
      <c r="H16" s="96">
        <f>'Averages Pivot Table'!$Z493</f>
        <v>55581.861796773417</v>
      </c>
    </row>
    <row r="17" spans="1:8" x14ac:dyDescent="0.25">
      <c r="A17" s="106" t="s">
        <v>180</v>
      </c>
      <c r="B17" s="96">
        <f>'Averages Pivot Table'!$AA469</f>
        <v>69083.250259977402</v>
      </c>
      <c r="C17" s="96">
        <f>'Averages Pivot Table'!$AA473</f>
        <v>55416.499175070945</v>
      </c>
      <c r="D17" s="96">
        <f>'Averages Pivot Table'!$AA477</f>
        <v>50927.179283945152</v>
      </c>
      <c r="E17" s="96">
        <f>'Averages Pivot Table'!$AA481</f>
        <v>48457.819557151597</v>
      </c>
      <c r="F17" s="96">
        <f>'Averages Pivot Table'!$AA485</f>
        <v>42907.92054335522</v>
      </c>
      <c r="G17" s="96">
        <f>'Averages Pivot Table'!$AA489</f>
        <v>51697.846039436132</v>
      </c>
      <c r="H17" s="96">
        <f>'Averages Pivot Table'!$AA493</f>
        <v>53003.10844698143</v>
      </c>
    </row>
    <row r="18" spans="1:8" x14ac:dyDescent="0.25">
      <c r="A18" s="106" t="s">
        <v>181</v>
      </c>
      <c r="B18" s="96">
        <f>'Averages Pivot Table'!$AB469</f>
        <v>57741.376140075801</v>
      </c>
      <c r="C18" s="96">
        <f>'Averages Pivot Table'!$AB473</f>
        <v>51093.887022759038</v>
      </c>
      <c r="D18" s="96">
        <f>'Averages Pivot Table'!$AB477</f>
        <v>46279.796630449193</v>
      </c>
      <c r="E18" s="96">
        <f>'Averages Pivot Table'!$AB481</f>
        <v>43552.960607387489</v>
      </c>
      <c r="F18" s="96">
        <f>'Averages Pivot Table'!$AB485</f>
        <v>44747.631244483673</v>
      </c>
      <c r="G18" s="96">
        <f>'Averages Pivot Table'!$AB489</f>
        <v>49790.670853167372</v>
      </c>
      <c r="H18" s="96">
        <f>'Averages Pivot Table'!$AB493</f>
        <v>49074.41080160017</v>
      </c>
    </row>
    <row r="19" spans="1:8" x14ac:dyDescent="0.25">
      <c r="A19" s="106" t="s">
        <v>182</v>
      </c>
      <c r="B19" s="96">
        <f>'Averages Pivot Table'!$AC469</f>
        <v>61250.441352336646</v>
      </c>
      <c r="C19" s="96">
        <f>'Averages Pivot Table'!$AC473</f>
        <v>53247.403137505476</v>
      </c>
      <c r="D19" s="96">
        <f>'Averages Pivot Table'!$AC477</f>
        <v>44988.974728979185</v>
      </c>
      <c r="E19" s="96">
        <f>'Averages Pivot Table'!$AC481</f>
        <v>39987.430128511485</v>
      </c>
      <c r="F19" s="96">
        <f>'Averages Pivot Table'!$AC485</f>
        <v>41264.503456314829</v>
      </c>
      <c r="G19" s="96">
        <f>'Averages Pivot Table'!$AC489</f>
        <v>45514.302542040707</v>
      </c>
      <c r="H19" s="96">
        <f>'Averages Pivot Table'!$AC493</f>
        <v>45599.608710317181</v>
      </c>
    </row>
    <row r="20" spans="1:8" x14ac:dyDescent="0.25">
      <c r="A20" s="107" t="s">
        <v>183</v>
      </c>
      <c r="B20" s="96">
        <f>'Averages Pivot Table'!$AE469</f>
        <v>65713.153438178022</v>
      </c>
      <c r="C20" s="96">
        <f>'Averages Pivot Table'!$AE473</f>
        <v>54997.60177260112</v>
      </c>
      <c r="D20" s="96">
        <f>'Averages Pivot Table'!$AE477</f>
        <v>49545.064178184781</v>
      </c>
      <c r="E20" s="96">
        <f>'Averages Pivot Table'!$AE481</f>
        <v>46463.230038330366</v>
      </c>
      <c r="F20" s="96">
        <f>'Averages Pivot Table'!$AE485</f>
        <v>43061.382518496321</v>
      </c>
      <c r="G20" s="96">
        <f>'Averages Pivot Table'!$AE489</f>
        <v>51103.291064162484</v>
      </c>
      <c r="H20" s="96">
        <f>'Averages Pivot Table'!$AE493</f>
        <v>51722.850244398367</v>
      </c>
    </row>
    <row r="21" spans="1:8" x14ac:dyDescent="0.25">
      <c r="A21" s="106"/>
      <c r="B21" s="96"/>
      <c r="C21" s="96"/>
      <c r="D21" s="96"/>
      <c r="E21" s="96"/>
      <c r="F21" s="96"/>
      <c r="G21" s="96"/>
      <c r="H21" s="96"/>
    </row>
    <row r="22" spans="1:8" x14ac:dyDescent="0.25">
      <c r="A22" s="106" t="s">
        <v>184</v>
      </c>
      <c r="B22" s="96">
        <f>'Averages Pivot Table'!$AF469</f>
        <v>45247.392325821093</v>
      </c>
      <c r="C22" s="96">
        <f>'Averages Pivot Table'!$AF473</f>
        <v>46397.808514579512</v>
      </c>
      <c r="D22" s="96">
        <f>'Averages Pivot Table'!$AF477</f>
        <v>42979.468530137245</v>
      </c>
      <c r="E22" s="96">
        <f>'Averages Pivot Table'!$AF481</f>
        <v>37009.694496212447</v>
      </c>
      <c r="F22" s="96">
        <f>'Averages Pivot Table'!$AF485</f>
        <v>1974.9749999999999</v>
      </c>
      <c r="G22" s="96">
        <f>'Averages Pivot Table'!$AF489</f>
        <v>45302.002858972905</v>
      </c>
      <c r="H22" s="96">
        <f>'Averages Pivot Table'!$AF493</f>
        <v>42974.690303876276</v>
      </c>
    </row>
    <row r="23" spans="1:8" x14ac:dyDescent="0.25">
      <c r="A23" s="106" t="s">
        <v>185</v>
      </c>
      <c r="B23" s="96">
        <f>'Averages Pivot Table'!$AG469</f>
        <v>0</v>
      </c>
      <c r="C23" s="96">
        <f>'Averages Pivot Table'!$AG473</f>
        <v>0</v>
      </c>
      <c r="D23" s="96">
        <f>'Averages Pivot Table'!$AG477</f>
        <v>0</v>
      </c>
      <c r="E23" s="96">
        <f>'Averages Pivot Table'!$AG481</f>
        <v>0</v>
      </c>
      <c r="F23" s="96">
        <f>'Averages Pivot Table'!$AG485</f>
        <v>0</v>
      </c>
      <c r="G23" s="96">
        <f>'Averages Pivot Table'!$AG489</f>
        <v>42334.887867422825</v>
      </c>
      <c r="H23" s="96">
        <f>'Averages Pivot Table'!$AG493</f>
        <v>42334.887867422825</v>
      </c>
    </row>
    <row r="24" spans="1:8" x14ac:dyDescent="0.25">
      <c r="A24" s="108" t="s">
        <v>186</v>
      </c>
      <c r="B24" s="99">
        <f>'Averages Pivot Table'!$AH469</f>
        <v>45247.392325821093</v>
      </c>
      <c r="C24" s="99">
        <f>'Averages Pivot Table'!$AH473</f>
        <v>46397.808514579512</v>
      </c>
      <c r="D24" s="99">
        <f>'Averages Pivot Table'!$AH477</f>
        <v>42979.468530137245</v>
      </c>
      <c r="E24" s="99">
        <f>'Averages Pivot Table'!$AH481</f>
        <v>37009.694496212447</v>
      </c>
      <c r="F24" s="99">
        <f>'Averages Pivot Table'!$AH485</f>
        <v>1974.9749999999999</v>
      </c>
      <c r="G24" s="99">
        <f>'Averages Pivot Table'!$AH489</f>
        <v>44251.05750925844</v>
      </c>
      <c r="H24" s="99">
        <f>'Averages Pivot Table'!$AH493</f>
        <v>42787.539888618296</v>
      </c>
    </row>
    <row r="25" spans="1:8" ht="27.75" customHeight="1" x14ac:dyDescent="0.25">
      <c r="A25" s="708" t="s">
        <v>187</v>
      </c>
      <c r="B25" s="709"/>
      <c r="C25" s="709"/>
      <c r="D25" s="709"/>
      <c r="E25" s="709"/>
      <c r="F25" s="709"/>
      <c r="G25" s="709"/>
      <c r="H25" s="709"/>
    </row>
    <row r="26" spans="1:8" x14ac:dyDescent="0.25">
      <c r="A26" s="101"/>
      <c r="B26" s="101"/>
      <c r="C26" s="101"/>
      <c r="D26" s="101"/>
      <c r="E26" s="101"/>
      <c r="F26" s="101"/>
      <c r="G26" s="101"/>
      <c r="H26" s="102" t="s">
        <v>1124</v>
      </c>
    </row>
  </sheetData>
  <mergeCells count="3">
    <mergeCell ref="A3:H3"/>
    <mergeCell ref="A4:H4"/>
    <mergeCell ref="A25:H25"/>
  </mergeCells>
  <pageMargins left="0.7" right="0.7" top="0.75" bottom="0.75" header="0.3" footer="0.3"/>
  <pageSetup firstPageNumber="142" orientation="landscape" useFirstPageNumber="1" r:id="rId1"/>
  <headerFooter>
    <oddHeader>&amp;R&amp;"Arial,Regular"&amp;8SREB-State Data Exchange</oddHeader>
    <oddFooter>&amp;C&amp;"Arial,Regular"&amp;8C-&amp;P</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S600"/>
  <sheetViews>
    <sheetView showZeros="0" tabSelected="1" view="pageBreakPreview" topLeftCell="A13" zoomScaleNormal="100" zoomScaleSheetLayoutView="100" workbookViewId="0">
      <selection activeCell="N11" sqref="N11"/>
    </sheetView>
  </sheetViews>
  <sheetFormatPr defaultColWidth="9" defaultRowHeight="15.75" x14ac:dyDescent="0.25"/>
  <cols>
    <col min="1" max="1" width="11.625" style="109" customWidth="1"/>
    <col min="2" max="2" width="8.25" style="109" customWidth="1"/>
    <col min="3" max="3" width="6.25" style="109" customWidth="1"/>
    <col min="4" max="4" width="8.25" style="109" customWidth="1"/>
    <col min="5" max="5" width="7.625" style="109" customWidth="1"/>
    <col min="6" max="6" width="8.5" style="109" customWidth="1"/>
    <col min="7" max="7" width="7.625" style="109" customWidth="1"/>
    <col min="8" max="8" width="8.25" style="109" customWidth="1"/>
    <col min="9" max="9" width="7.625" style="109" customWidth="1"/>
    <col min="10" max="10" width="8.5" style="109" customWidth="1"/>
    <col min="11" max="11" width="5.5" style="109" customWidth="1"/>
    <col min="12" max="12" width="8.5" style="109" customWidth="1"/>
    <col min="13" max="13" width="5.625" style="109" customWidth="1"/>
    <col min="14" max="14" width="7.875" style="109" customWidth="1"/>
    <col min="15" max="15" width="7.625" style="109" customWidth="1"/>
    <col min="16" max="16" width="5" style="109" customWidth="1"/>
    <col min="17" max="17" width="9.25" style="110" bestFit="1" customWidth="1"/>
    <col min="18" max="19" width="9" style="110"/>
    <col min="20" max="16384" width="9" style="109"/>
  </cols>
  <sheetData>
    <row r="1" spans="1:19" ht="18" x14ac:dyDescent="0.25">
      <c r="A1" s="82" t="s">
        <v>188</v>
      </c>
      <c r="B1" s="82"/>
      <c r="C1" s="82"/>
      <c r="D1" s="82"/>
      <c r="E1" s="82"/>
      <c r="F1" s="82"/>
      <c r="G1" s="82"/>
      <c r="H1" s="82"/>
      <c r="I1" s="82"/>
      <c r="J1" s="82"/>
      <c r="K1" s="82"/>
      <c r="L1" s="82"/>
      <c r="M1" s="82"/>
      <c r="N1" s="82"/>
      <c r="O1" s="82"/>
    </row>
    <row r="2" spans="1:19" ht="15.75" customHeight="1" x14ac:dyDescent="0.25">
      <c r="A2" s="82"/>
      <c r="B2" s="87"/>
      <c r="C2" s="87"/>
      <c r="D2" s="87"/>
      <c r="E2" s="87"/>
      <c r="F2" s="87"/>
      <c r="G2" s="87"/>
      <c r="H2" s="87"/>
      <c r="I2" s="87"/>
      <c r="J2" s="87"/>
      <c r="K2" s="87"/>
      <c r="L2" s="87" t="s">
        <v>7</v>
      </c>
      <c r="M2" s="87"/>
    </row>
    <row r="3" spans="1:19" x14ac:dyDescent="0.25">
      <c r="A3" s="111" t="s">
        <v>189</v>
      </c>
      <c r="B3" s="87"/>
      <c r="C3" s="87"/>
      <c r="D3" s="87"/>
      <c r="E3" s="87"/>
      <c r="F3" s="87"/>
      <c r="G3" s="87"/>
      <c r="H3" s="87"/>
      <c r="I3" s="87"/>
      <c r="J3" s="87"/>
      <c r="K3" s="87"/>
      <c r="L3" s="87"/>
      <c r="M3" s="87"/>
      <c r="N3" s="112"/>
      <c r="O3" s="112"/>
    </row>
    <row r="4" spans="1:19" x14ac:dyDescent="0.25">
      <c r="A4" s="111" t="s">
        <v>272</v>
      </c>
      <c r="B4" s="87"/>
      <c r="C4" s="87"/>
      <c r="D4" s="87"/>
      <c r="E4" s="87"/>
      <c r="F4" s="87"/>
      <c r="G4" s="87"/>
      <c r="H4" s="87"/>
      <c r="I4" s="87"/>
      <c r="J4" s="87"/>
      <c r="K4" s="87"/>
      <c r="L4" s="87"/>
      <c r="M4" s="87"/>
      <c r="N4" s="112"/>
      <c r="O4" s="112"/>
    </row>
    <row r="5" spans="1:19" ht="15.75" customHeight="1" x14ac:dyDescent="0.25">
      <c r="A5" s="87"/>
      <c r="B5" s="113"/>
      <c r="C5" s="87"/>
      <c r="D5" s="87"/>
      <c r="E5" s="87"/>
      <c r="F5" s="87"/>
      <c r="G5" s="87"/>
      <c r="H5" s="87"/>
      <c r="I5" s="87"/>
      <c r="J5" s="87"/>
      <c r="K5" s="87"/>
      <c r="L5" s="87"/>
      <c r="M5" s="87"/>
    </row>
    <row r="6" spans="1:19" x14ac:dyDescent="0.25">
      <c r="A6" s="114"/>
      <c r="B6" s="115">
        <v>1</v>
      </c>
      <c r="C6" s="116"/>
      <c r="D6" s="115">
        <v>2</v>
      </c>
      <c r="E6" s="116"/>
      <c r="F6" s="115">
        <v>3</v>
      </c>
      <c r="G6" s="116"/>
      <c r="H6" s="115">
        <v>4</v>
      </c>
      <c r="I6" s="116"/>
      <c r="J6" s="115">
        <v>5</v>
      </c>
      <c r="K6" s="116"/>
      <c r="L6" s="115">
        <v>6</v>
      </c>
      <c r="M6" s="116"/>
      <c r="N6" s="117" t="s">
        <v>178</v>
      </c>
      <c r="O6" s="116"/>
      <c r="Q6" s="118" t="s">
        <v>191</v>
      </c>
      <c r="S6" s="119" t="s">
        <v>192</v>
      </c>
    </row>
    <row r="7" spans="1:19" x14ac:dyDescent="0.25">
      <c r="A7" s="120"/>
      <c r="B7" s="121" t="s">
        <v>193</v>
      </c>
      <c r="C7" s="122" t="s">
        <v>170</v>
      </c>
      <c r="D7" s="121" t="s">
        <v>193</v>
      </c>
      <c r="E7" s="122" t="s">
        <v>170</v>
      </c>
      <c r="F7" s="121" t="s">
        <v>193</v>
      </c>
      <c r="G7" s="122" t="s">
        <v>170</v>
      </c>
      <c r="H7" s="121" t="s">
        <v>193</v>
      </c>
      <c r="I7" s="122" t="s">
        <v>170</v>
      </c>
      <c r="J7" s="121" t="s">
        <v>193</v>
      </c>
      <c r="K7" s="122" t="s">
        <v>170</v>
      </c>
      <c r="L7" s="121" t="s">
        <v>193</v>
      </c>
      <c r="M7" s="122" t="s">
        <v>170</v>
      </c>
      <c r="N7" s="123" t="s">
        <v>193</v>
      </c>
      <c r="O7" s="122" t="s">
        <v>170</v>
      </c>
      <c r="Q7" s="118"/>
    </row>
    <row r="8" spans="1:19" s="127" customFormat="1" ht="18" customHeight="1" x14ac:dyDescent="0.25">
      <c r="A8" s="124" t="s">
        <v>194</v>
      </c>
      <c r="B8" s="125">
        <f>'Averages Pivot Table'!S495</f>
        <v>86441.20788294985</v>
      </c>
      <c r="C8" s="125"/>
      <c r="D8" s="125">
        <f>'Averages Pivot Table'!T495</f>
        <v>75941.651486007569</v>
      </c>
      <c r="E8" s="125"/>
      <c r="F8" s="125">
        <f>'Averages Pivot Table'!U495</f>
        <v>62990.29365355098</v>
      </c>
      <c r="G8" s="125"/>
      <c r="H8" s="125">
        <f>'Averages Pivot Table'!V495</f>
        <v>60656.306040924981</v>
      </c>
      <c r="I8" s="125"/>
      <c r="J8" s="125">
        <f>'Averages Pivot Table'!W495</f>
        <v>58816.312208015683</v>
      </c>
      <c r="K8" s="125"/>
      <c r="L8" s="125">
        <f>'Averages Pivot Table'!X495</f>
        <v>57992.118919753768</v>
      </c>
      <c r="M8" s="125"/>
      <c r="N8" s="125">
        <f>'Averages Pivot Table'!Y495</f>
        <v>74682.273896093233</v>
      </c>
      <c r="O8" s="126"/>
      <c r="Q8" s="128">
        <v>-3.7283026127281293E-3</v>
      </c>
      <c r="R8" s="129" t="s">
        <v>194</v>
      </c>
      <c r="S8" s="668">
        <v>75400.498321541643</v>
      </c>
    </row>
    <row r="9" spans="1:19" ht="12.95" customHeight="1" x14ac:dyDescent="0.25">
      <c r="A9" s="106"/>
      <c r="B9" s="131"/>
      <c r="C9" s="131"/>
      <c r="D9" s="131"/>
      <c r="E9" s="131"/>
      <c r="F9" s="131"/>
      <c r="G9" s="131"/>
      <c r="H9" s="131"/>
      <c r="I9" s="131"/>
      <c r="J9" s="131"/>
      <c r="K9" s="131"/>
      <c r="L9" s="131"/>
      <c r="M9" s="132"/>
      <c r="N9" s="131"/>
      <c r="O9" s="133"/>
      <c r="Q9" s="134"/>
      <c r="S9" s="669"/>
    </row>
    <row r="10" spans="1:19" ht="12.95" customHeight="1" x14ac:dyDescent="0.25">
      <c r="A10" s="136" t="s">
        <v>195</v>
      </c>
      <c r="B10" s="137">
        <f>'Averages Pivot Table'!S32</f>
        <v>83303.098039770543</v>
      </c>
      <c r="C10" s="138">
        <f>IF(B10&gt;0,RANK(B10,(B$10:B$28)),0)</f>
        <v>8</v>
      </c>
      <c r="D10" s="137">
        <f>'Averages Pivot Table'!T32</f>
        <v>84984.927878017232</v>
      </c>
      <c r="E10" s="138">
        <f>IF(D10&gt;0,RANK(D10,(D$10:D$28)),0)</f>
        <v>2</v>
      </c>
      <c r="F10" s="137">
        <f>'Averages Pivot Table'!U32</f>
        <v>60592.178399969809</v>
      </c>
      <c r="G10" s="138">
        <f>IF(F10&gt;0,RANK(F10,(F$10:F$28)),0)</f>
        <v>12</v>
      </c>
      <c r="H10" s="137">
        <f>'Averages Pivot Table'!V32</f>
        <v>61695.646723505648</v>
      </c>
      <c r="I10" s="138">
        <f>IF(H10&gt;0,RANK(H10,(H$10:H$28)),0)</f>
        <v>8</v>
      </c>
      <c r="J10" s="137">
        <f>'Averages Pivot Table'!W32</f>
        <v>51426.075672801329</v>
      </c>
      <c r="K10" s="138">
        <f>IF(J10&gt;0,RANK(J10,(J$10:J$28)),0)</f>
        <v>10</v>
      </c>
      <c r="L10" s="137">
        <f>'Averages Pivot Table'!X32</f>
        <v>67796.111527918867</v>
      </c>
      <c r="M10" s="138">
        <f>IF(L10&gt;0,RANK(L10,(L$10:L$28)),0)</f>
        <v>4</v>
      </c>
      <c r="N10" s="137">
        <f>'Averages Pivot Table'!Y32</f>
        <v>73960.181788217902</v>
      </c>
      <c r="O10" s="138">
        <f>IF(N10&gt;0,RANK(N10,(N$10:N$28)),0)</f>
        <v>8</v>
      </c>
      <c r="Q10" s="134">
        <v>3.6115705717165984E-2</v>
      </c>
      <c r="R10" s="110" t="s">
        <v>195</v>
      </c>
      <c r="S10" s="669">
        <v>72751.781656992607</v>
      </c>
    </row>
    <row r="11" spans="1:19" ht="12.95" customHeight="1" x14ac:dyDescent="0.25">
      <c r="A11" s="136" t="s">
        <v>196</v>
      </c>
      <c r="B11" s="137">
        <f>'Averages Pivot Table'!S61</f>
        <v>78648.229771733924</v>
      </c>
      <c r="C11" s="138">
        <f t="shared" ref="C11:E28" si="0">IF(B11&gt;0,RANK(B11,(B$10:B$28)),0)</f>
        <v>15</v>
      </c>
      <c r="D11" s="137">
        <f>'Averages Pivot Table'!T61</f>
        <v>0</v>
      </c>
      <c r="E11" s="138">
        <f t="shared" si="0"/>
        <v>0</v>
      </c>
      <c r="F11" s="137">
        <f>'Averages Pivot Table'!U61</f>
        <v>57857.70059108697</v>
      </c>
      <c r="G11" s="138">
        <f t="shared" ref="G11" si="1">IF(F11&gt;0,RANK(F11,(F$10:F$28)),0)</f>
        <v>14</v>
      </c>
      <c r="H11" s="137">
        <f>'Averages Pivot Table'!V61</f>
        <v>51880.543603128885</v>
      </c>
      <c r="I11" s="138">
        <f t="shared" ref="I11" si="2">IF(H11&gt;0,RANK(H11,(H$10:H$28)),0)</f>
        <v>13</v>
      </c>
      <c r="J11" s="137">
        <f>'Averages Pivot Table'!W61</f>
        <v>36188.993122910797</v>
      </c>
      <c r="K11" s="138">
        <f t="shared" ref="K11" si="3">IF(J11&gt;0,RANK(J11,(J$10:J$28)),0)</f>
        <v>12</v>
      </c>
      <c r="L11" s="137">
        <f>'Averages Pivot Table'!X61</f>
        <v>54666.311245567464</v>
      </c>
      <c r="M11" s="138">
        <f t="shared" ref="M11" si="4">IF(L11&gt;0,RANK(L11,(L$10:L$28)),0)</f>
        <v>10</v>
      </c>
      <c r="N11" s="137">
        <f>'Averages Pivot Table'!Y61</f>
        <v>61825.661571843157</v>
      </c>
      <c r="O11" s="138">
        <f t="shared" ref="O11" si="5">IF(N11&gt;0,RANK(N11,(N$10:N$28)),0)</f>
        <v>16</v>
      </c>
      <c r="Q11" s="134">
        <v>2.6162627391467599E-2</v>
      </c>
      <c r="R11" s="110" t="s">
        <v>196</v>
      </c>
      <c r="S11" s="669">
        <v>61129.79961629834</v>
      </c>
    </row>
    <row r="12" spans="1:19" ht="12.95" customHeight="1" x14ac:dyDescent="0.25">
      <c r="A12" s="136" t="s">
        <v>197</v>
      </c>
      <c r="B12" s="137">
        <f>'Averages Pivot Table'!S90</f>
        <v>106525.09111591688</v>
      </c>
      <c r="C12" s="138">
        <f t="shared" si="0"/>
        <v>1</v>
      </c>
      <c r="D12" s="137">
        <f>'Averages Pivot Table'!T90</f>
        <v>0</v>
      </c>
      <c r="E12" s="138">
        <f t="shared" si="0"/>
        <v>0</v>
      </c>
      <c r="F12" s="137">
        <f>'Averages Pivot Table'!U90</f>
        <v>69796.662074100634</v>
      </c>
      <c r="G12" s="138">
        <f t="shared" ref="G12" si="6">IF(F12&gt;0,RANK(F12,(F$10:F$28)),0)</f>
        <v>1</v>
      </c>
      <c r="H12" s="137">
        <f>'Averages Pivot Table'!V90</f>
        <v>0</v>
      </c>
      <c r="I12" s="138">
        <f t="shared" ref="I12" si="7">IF(H12&gt;0,RANK(H12,(H$10:H$28)),0)</f>
        <v>0</v>
      </c>
      <c r="J12" s="137">
        <f>'Averages Pivot Table'!W90</f>
        <v>0</v>
      </c>
      <c r="K12" s="138">
        <f t="shared" ref="K12" si="8">IF(J12&gt;0,RANK(J12,(J$10:J$28)),0)</f>
        <v>0</v>
      </c>
      <c r="L12" s="137">
        <f>'Averages Pivot Table'!X90</f>
        <v>0</v>
      </c>
      <c r="M12" s="138">
        <f t="shared" ref="M12" si="9">IF(L12&gt;0,RANK(L12,(L$10:L$28)),0)</f>
        <v>0</v>
      </c>
      <c r="N12" s="137">
        <f>'Averages Pivot Table'!Y90</f>
        <v>101358.83245746001</v>
      </c>
      <c r="O12" s="138">
        <f t="shared" ref="O12" si="10">IF(N12&gt;0,RANK(N12,(N$10:N$28)),0)</f>
        <v>1</v>
      </c>
      <c r="Q12" s="134">
        <v>3.2331158441670074E-2</v>
      </c>
      <c r="R12" s="110" t="s">
        <v>197</v>
      </c>
      <c r="S12" s="669">
        <v>94474.343564954674</v>
      </c>
    </row>
    <row r="13" spans="1:19" ht="12.95" customHeight="1" x14ac:dyDescent="0.25">
      <c r="A13" s="136" t="s">
        <v>198</v>
      </c>
      <c r="B13" s="137">
        <f>'Averages Pivot Table'!S119</f>
        <v>81948.839929893089</v>
      </c>
      <c r="C13" s="138">
        <f t="shared" si="0"/>
        <v>11</v>
      </c>
      <c r="D13" s="137">
        <f>'Averages Pivot Table'!T119</f>
        <v>71663.756941113053</v>
      </c>
      <c r="E13" s="138">
        <f t="shared" si="0"/>
        <v>7</v>
      </c>
      <c r="F13" s="137">
        <f>'Averages Pivot Table'!U119</f>
        <v>68063.064339527598</v>
      </c>
      <c r="G13" s="138">
        <f t="shared" ref="G13" si="11">IF(F13&gt;0,RANK(F13,(F$10:F$28)),0)</f>
        <v>3</v>
      </c>
      <c r="H13" s="137">
        <f>'Averages Pivot Table'!V119</f>
        <v>64433.206990673069</v>
      </c>
      <c r="I13" s="138">
        <f t="shared" ref="I13" si="12">IF(H13&gt;0,RANK(H13,(H$10:H$28)),0)</f>
        <v>6</v>
      </c>
      <c r="J13" s="137">
        <f>'Averages Pivot Table'!W119</f>
        <v>0</v>
      </c>
      <c r="K13" s="138">
        <f t="shared" ref="K13" si="13">IF(J13&gt;0,RANK(J13,(J$10:J$28)),0)</f>
        <v>0</v>
      </c>
      <c r="L13" s="137">
        <f>'Averages Pivot Table'!X119</f>
        <v>70940.176470588238</v>
      </c>
      <c r="M13" s="138">
        <f t="shared" ref="M13" si="14">IF(L13&gt;0,RANK(L13,(L$10:L$28)),0)</f>
        <v>2</v>
      </c>
      <c r="N13" s="137">
        <f>'Averages Pivot Table'!Y119</f>
        <v>78326.239855557098</v>
      </c>
      <c r="O13" s="138">
        <f t="shared" ref="O13" si="15">IF(N13&gt;0,RANK(N13,(N$10:N$28)),0)</f>
        <v>4</v>
      </c>
      <c r="Q13" s="134">
        <v>2.2072823285583815E-2</v>
      </c>
      <c r="R13" s="110" t="s">
        <v>198</v>
      </c>
      <c r="S13" s="669">
        <v>78037.041880881618</v>
      </c>
    </row>
    <row r="14" spans="1:19" ht="12.95" customHeight="1" x14ac:dyDescent="0.25">
      <c r="A14" s="136"/>
      <c r="B14" s="137"/>
      <c r="C14" s="138"/>
      <c r="D14" s="137"/>
      <c r="E14" s="138"/>
      <c r="F14" s="137"/>
      <c r="G14" s="138"/>
      <c r="H14" s="137"/>
      <c r="I14" s="138"/>
      <c r="J14" s="137"/>
      <c r="K14" s="138"/>
      <c r="L14" s="137"/>
      <c r="M14" s="138"/>
      <c r="N14" s="137"/>
      <c r="O14" s="138"/>
      <c r="Q14" s="134"/>
      <c r="S14" s="669"/>
    </row>
    <row r="15" spans="1:19" ht="12.95" customHeight="1" x14ac:dyDescent="0.25">
      <c r="A15" s="136" t="s">
        <v>199</v>
      </c>
      <c r="B15" s="137">
        <f>'Averages Pivot Table'!S148</f>
        <v>84414.551160254807</v>
      </c>
      <c r="C15" s="138">
        <f t="shared" si="0"/>
        <v>7</v>
      </c>
      <c r="D15" s="137">
        <f>'Averages Pivot Table'!T148</f>
        <v>109235.9707087635</v>
      </c>
      <c r="E15" s="138">
        <f t="shared" si="0"/>
        <v>1</v>
      </c>
      <c r="F15" s="137">
        <f>'Averages Pivot Table'!U148</f>
        <v>61615.98558444572</v>
      </c>
      <c r="G15" s="138">
        <f t="shared" ref="G15" si="16">IF(F15&gt;0,RANK(F15,(F$10:F$28)),0)</f>
        <v>8</v>
      </c>
      <c r="H15" s="137">
        <f>'Averages Pivot Table'!V148</f>
        <v>59752.342855670831</v>
      </c>
      <c r="I15" s="138">
        <f t="shared" ref="I15" si="17">IF(H15&gt;0,RANK(H15,(H$10:H$28)),0)</f>
        <v>9</v>
      </c>
      <c r="J15" s="137">
        <f>'Averages Pivot Table'!W148</f>
        <v>55560.08661007398</v>
      </c>
      <c r="K15" s="138">
        <f t="shared" ref="K15" si="18">IF(J15&gt;0,RANK(J15,(J$10:J$28)),0)</f>
        <v>8</v>
      </c>
      <c r="L15" s="137">
        <f>'Averages Pivot Table'!X148</f>
        <v>58253.267523916751</v>
      </c>
      <c r="M15" s="138">
        <f t="shared" ref="M15" si="19">IF(L15&gt;0,RANK(L15,(L$10:L$28)),0)</f>
        <v>7</v>
      </c>
      <c r="N15" s="137">
        <f>'Averages Pivot Table'!Y148</f>
        <v>73793.67886588283</v>
      </c>
      <c r="O15" s="138">
        <f t="shared" ref="O15" si="20">IF(N15&gt;0,RANK(N15,(N$10:N$28)),0)</f>
        <v>9</v>
      </c>
      <c r="Q15" s="134">
        <v>-7.7438840380816387E-4</v>
      </c>
      <c r="R15" s="110" t="s">
        <v>199</v>
      </c>
      <c r="S15" s="669">
        <v>72573.992372108783</v>
      </c>
    </row>
    <row r="16" spans="1:19" ht="12.95" customHeight="1" x14ac:dyDescent="0.25">
      <c r="A16" s="136" t="s">
        <v>200</v>
      </c>
      <c r="B16" s="137">
        <f>'Averages Pivot Table'!S177</f>
        <v>82002.110449162996</v>
      </c>
      <c r="C16" s="138">
        <f t="shared" si="0"/>
        <v>10</v>
      </c>
      <c r="D16" s="137">
        <f>'Averages Pivot Table'!T177</f>
        <v>0</v>
      </c>
      <c r="E16" s="138">
        <f t="shared" si="0"/>
        <v>0</v>
      </c>
      <c r="F16" s="137">
        <f>'Averages Pivot Table'!U177</f>
        <v>60705.285861168348</v>
      </c>
      <c r="G16" s="138">
        <f t="shared" ref="G16" si="21">IF(F16&gt;0,RANK(F16,(F$10:F$28)),0)</f>
        <v>11</v>
      </c>
      <c r="H16" s="137">
        <f>'Averages Pivot Table'!V177</f>
        <v>59352.546306713157</v>
      </c>
      <c r="I16" s="138">
        <f t="shared" ref="I16" si="22">IF(H16&gt;0,RANK(H16,(H$10:H$28)),0)</f>
        <v>10</v>
      </c>
      <c r="J16" s="137">
        <f>'Averages Pivot Table'!W177</f>
        <v>0</v>
      </c>
      <c r="K16" s="138">
        <f t="shared" ref="K16" si="23">IF(J16&gt;0,RANK(J16,(J$10:J$28)),0)</f>
        <v>0</v>
      </c>
      <c r="L16" s="137">
        <f>'Averages Pivot Table'!X177</f>
        <v>0</v>
      </c>
      <c r="M16" s="138">
        <f t="shared" ref="M16" si="24">IF(L16&gt;0,RANK(L16,(L$10:L$28)),0)</f>
        <v>0</v>
      </c>
      <c r="N16" s="137">
        <f>'Averages Pivot Table'!Y177</f>
        <v>69885.585832844736</v>
      </c>
      <c r="O16" s="138">
        <f t="shared" ref="O16" si="25">IF(N16&gt;0,RANK(N16,(N$10:N$28)),0)</f>
        <v>11</v>
      </c>
      <c r="Q16" s="134">
        <v>1.4678972224501659E-2</v>
      </c>
      <c r="R16" s="110" t="s">
        <v>200</v>
      </c>
      <c r="S16" s="669">
        <v>69042.577551673297</v>
      </c>
    </row>
    <row r="17" spans="1:19" ht="12.95" customHeight="1" x14ac:dyDescent="0.25">
      <c r="A17" s="136" t="s">
        <v>201</v>
      </c>
      <c r="B17" s="137">
        <f>'Averages Pivot Table'!S206</f>
        <v>79313.656170605114</v>
      </c>
      <c r="C17" s="138">
        <f t="shared" si="0"/>
        <v>14</v>
      </c>
      <c r="D17" s="137">
        <f>'Averages Pivot Table'!T206</f>
        <v>65840.633444674837</v>
      </c>
      <c r="E17" s="138">
        <f t="shared" si="0"/>
        <v>9</v>
      </c>
      <c r="F17" s="137">
        <f>'Averages Pivot Table'!U206</f>
        <v>56824.224102274595</v>
      </c>
      <c r="G17" s="138">
        <f t="shared" ref="G17" si="26">IF(F17&gt;0,RANK(F17,(F$10:F$28)),0)</f>
        <v>15</v>
      </c>
      <c r="H17" s="137">
        <f>'Averages Pivot Table'!V206</f>
        <v>52901.883457966753</v>
      </c>
      <c r="I17" s="138">
        <f t="shared" ref="I17" si="27">IF(H17&gt;0,RANK(H17,(H$10:H$28)),0)</f>
        <v>11</v>
      </c>
      <c r="J17" s="137">
        <f>'Averages Pivot Table'!W206</f>
        <v>0</v>
      </c>
      <c r="K17" s="138">
        <f t="shared" ref="K17" si="28">IF(J17&gt;0,RANK(J17,(J$10:J$28)),0)</f>
        <v>0</v>
      </c>
      <c r="L17" s="137">
        <f>'Averages Pivot Table'!X206</f>
        <v>48272.936863399736</v>
      </c>
      <c r="M17" s="138">
        <f t="shared" ref="M17" si="29">IF(L17&gt;0,RANK(L17,(L$10:L$28)),0)</f>
        <v>12</v>
      </c>
      <c r="N17" s="137">
        <f>'Averages Pivot Table'!Y206</f>
        <v>63589.127195937523</v>
      </c>
      <c r="O17" s="138">
        <f t="shared" ref="O17" si="30">IF(N17&gt;0,RANK(N17,(N$10:N$28)),0)</f>
        <v>15</v>
      </c>
      <c r="Q17" s="134">
        <v>1.0557979959825257E-4</v>
      </c>
      <c r="R17" s="110" t="s">
        <v>201</v>
      </c>
      <c r="S17" s="669">
        <v>65585.878201746731</v>
      </c>
    </row>
    <row r="18" spans="1:19" ht="12.95" customHeight="1" x14ac:dyDescent="0.25">
      <c r="A18" s="136" t="s">
        <v>202</v>
      </c>
      <c r="B18" s="137">
        <f>'Averages Pivot Table'!S235</f>
        <v>101949.58534273348</v>
      </c>
      <c r="C18" s="138">
        <f t="shared" si="0"/>
        <v>2</v>
      </c>
      <c r="D18" s="137">
        <f>'Averages Pivot Table'!T235</f>
        <v>72978.025032120335</v>
      </c>
      <c r="E18" s="138">
        <f t="shared" si="0"/>
        <v>5</v>
      </c>
      <c r="F18" s="137">
        <f>'Averages Pivot Table'!U235</f>
        <v>58773.967704246672</v>
      </c>
      <c r="G18" s="138">
        <f t="shared" ref="G18" si="31">IF(F18&gt;0,RANK(F18,(F$10:F$28)),0)</f>
        <v>13</v>
      </c>
      <c r="H18" s="137">
        <f>'Averages Pivot Table'!V235</f>
        <v>65139.248593420336</v>
      </c>
      <c r="I18" s="138">
        <f t="shared" ref="I18" si="32">IF(H18&gt;0,RANK(H18,(H$10:H$28)),0)</f>
        <v>5</v>
      </c>
      <c r="J18" s="137">
        <f>'Averages Pivot Table'!W235</f>
        <v>57909.716622607673</v>
      </c>
      <c r="K18" s="138">
        <f t="shared" ref="K18" si="33">IF(J18&gt;0,RANK(J18,(J$10:J$28)),0)</f>
        <v>6</v>
      </c>
      <c r="L18" s="137">
        <f>'Averages Pivot Table'!X235</f>
        <v>58774.34269375322</v>
      </c>
      <c r="M18" s="138">
        <f t="shared" ref="M18" si="34">IF(L18&gt;0,RANK(L18,(L$10:L$28)),0)</f>
        <v>5</v>
      </c>
      <c r="N18" s="137">
        <f>'Averages Pivot Table'!Y235</f>
        <v>77349.397185301001</v>
      </c>
      <c r="O18" s="138">
        <f t="shared" ref="O18" si="35">IF(N18&gt;0,RANK(N18,(N$10:N$28)),0)</f>
        <v>6</v>
      </c>
      <c r="Q18" s="134">
        <v>9.2444757487123476E-3</v>
      </c>
      <c r="R18" s="110" t="s">
        <v>202</v>
      </c>
      <c r="S18" s="669">
        <v>80478.95291009717</v>
      </c>
    </row>
    <row r="19" spans="1:19" ht="12.95" customHeight="1" x14ac:dyDescent="0.25">
      <c r="A19" s="136"/>
      <c r="B19" s="137"/>
      <c r="C19" s="138"/>
      <c r="D19" s="137"/>
      <c r="E19" s="138"/>
      <c r="F19" s="137"/>
      <c r="G19" s="138"/>
      <c r="H19" s="137"/>
      <c r="I19" s="138"/>
      <c r="J19" s="137"/>
      <c r="K19" s="138"/>
      <c r="L19" s="137"/>
      <c r="M19" s="138"/>
      <c r="N19" s="137"/>
      <c r="O19" s="138"/>
      <c r="Q19" s="134"/>
      <c r="S19" s="669"/>
    </row>
    <row r="20" spans="1:19" ht="12.95" customHeight="1" x14ac:dyDescent="0.25">
      <c r="A20" s="136" t="s">
        <v>203</v>
      </c>
      <c r="B20" s="137">
        <f>'Averages Pivot Table'!S264</f>
        <v>65894.009756624742</v>
      </c>
      <c r="C20" s="138">
        <f t="shared" si="0"/>
        <v>16</v>
      </c>
      <c r="D20" s="137">
        <f>'Averages Pivot Table'!T264</f>
        <v>68580.388851281459</v>
      </c>
      <c r="E20" s="138">
        <f t="shared" si="0"/>
        <v>8</v>
      </c>
      <c r="F20" s="137">
        <f>'Averages Pivot Table'!U264</f>
        <v>0</v>
      </c>
      <c r="G20" s="138">
        <f t="shared" ref="G20" si="36">IF(F20&gt;0,RANK(F20,(F$10:F$28)),0)</f>
        <v>0</v>
      </c>
      <c r="H20" s="137">
        <f>'Averages Pivot Table'!V264</f>
        <v>52628.107524861276</v>
      </c>
      <c r="I20" s="138">
        <f t="shared" ref="I20" si="37">IF(H20&gt;0,RANK(H20,(H$10:H$28)),0)</f>
        <v>12</v>
      </c>
      <c r="J20" s="137">
        <f>'Averages Pivot Table'!W264</f>
        <v>51119.548951901343</v>
      </c>
      <c r="K20" s="138">
        <f t="shared" ref="K20" si="38">IF(J20&gt;0,RANK(J20,(J$10:J$28)),0)</f>
        <v>11</v>
      </c>
      <c r="L20" s="137">
        <f>'Averages Pivot Table'!X264</f>
        <v>0</v>
      </c>
      <c r="M20" s="138">
        <f t="shared" ref="M20" si="39">IF(L20&gt;0,RANK(L20,(L$10:L$28)),0)</f>
        <v>0</v>
      </c>
      <c r="N20" s="137">
        <f>'Averages Pivot Table'!Y264</f>
        <v>64368.731866132461</v>
      </c>
      <c r="O20" s="138">
        <f t="shared" ref="O20" si="40">IF(N20&gt;0,RANK(N20,(N$10:N$28)),0)</f>
        <v>14</v>
      </c>
      <c r="Q20" s="134">
        <v>2.9302098687566058E-2</v>
      </c>
      <c r="R20" s="110" t="s">
        <v>203</v>
      </c>
      <c r="S20" s="669">
        <v>62816.482272798901</v>
      </c>
    </row>
    <row r="21" spans="1:19" ht="12.95" customHeight="1" x14ac:dyDescent="0.25">
      <c r="A21" s="136" t="s">
        <v>204</v>
      </c>
      <c r="B21" s="137">
        <f>'Averages Pivot Table'!S293</f>
        <v>90402.432321404049</v>
      </c>
      <c r="C21" s="138">
        <f t="shared" si="0"/>
        <v>4</v>
      </c>
      <c r="D21" s="137">
        <f>'Averages Pivot Table'!T293</f>
        <v>72543.754729264343</v>
      </c>
      <c r="E21" s="138">
        <f t="shared" si="0"/>
        <v>6</v>
      </c>
      <c r="F21" s="137">
        <f>'Averages Pivot Table'!U293</f>
        <v>69362.94186135933</v>
      </c>
      <c r="G21" s="138">
        <f t="shared" ref="G21" si="41">IF(F21&gt;0,RANK(F21,(F$10:F$28)),0)</f>
        <v>2</v>
      </c>
      <c r="H21" s="137">
        <f>'Averages Pivot Table'!V293</f>
        <v>68603.265049652633</v>
      </c>
      <c r="I21" s="138">
        <f t="shared" ref="I21" si="42">IF(H21&gt;0,RANK(H21,(H$10:H$28)),0)</f>
        <v>3</v>
      </c>
      <c r="J21" s="137">
        <f>'Averages Pivot Table'!W293</f>
        <v>64209.316218832966</v>
      </c>
      <c r="K21" s="138">
        <f t="shared" ref="K21" si="43">IF(J21&gt;0,RANK(J21,(J$10:J$28)),0)</f>
        <v>2</v>
      </c>
      <c r="L21" s="137">
        <f>'Averages Pivot Table'!X293</f>
        <v>68193.366069600976</v>
      </c>
      <c r="M21" s="138">
        <f t="shared" ref="M21" si="44">IF(L21&gt;0,RANK(L21,(L$10:L$28)),0)</f>
        <v>3</v>
      </c>
      <c r="N21" s="137">
        <f>'Averages Pivot Table'!Y293</f>
        <v>77556.272890930573</v>
      </c>
      <c r="O21" s="138">
        <f t="shared" ref="O21" si="45">IF(N21&gt;0,RANK(N21,(N$10:N$28)),0)</f>
        <v>5</v>
      </c>
      <c r="Q21" s="134">
        <v>-1.3437913210995757E-3</v>
      </c>
      <c r="R21" s="110" t="s">
        <v>204</v>
      </c>
      <c r="S21" s="669">
        <v>79332.810015933195</v>
      </c>
    </row>
    <row r="22" spans="1:19" ht="12.95" customHeight="1" x14ac:dyDescent="0.25">
      <c r="A22" s="136" t="s">
        <v>205</v>
      </c>
      <c r="B22" s="137">
        <f>'Averages Pivot Table'!S322</f>
        <v>80382.396851091471</v>
      </c>
      <c r="C22" s="138">
        <f t="shared" si="0"/>
        <v>13</v>
      </c>
      <c r="D22" s="137">
        <f>'Averages Pivot Table'!T322</f>
        <v>0</v>
      </c>
      <c r="E22" s="138">
        <f t="shared" si="0"/>
        <v>0</v>
      </c>
      <c r="F22" s="137">
        <f>'Averages Pivot Table'!U322</f>
        <v>61426.493451222508</v>
      </c>
      <c r="G22" s="138">
        <f t="shared" ref="G22" si="46">IF(F22&gt;0,RANK(F22,(F$10:F$28)),0)</f>
        <v>10</v>
      </c>
      <c r="H22" s="137">
        <f>'Averages Pivot Table'!V322</f>
        <v>61726.864786600519</v>
      </c>
      <c r="I22" s="138">
        <f t="shared" ref="I22" si="47">IF(H22&gt;0,RANK(H22,(H$10:H$28)),0)</f>
        <v>7</v>
      </c>
      <c r="J22" s="137">
        <f>'Averages Pivot Table'!W322</f>
        <v>54581.887588950973</v>
      </c>
      <c r="K22" s="138">
        <f t="shared" ref="K22" si="48">IF(J22&gt;0,RANK(J22,(J$10:J$28)),0)</f>
        <v>9</v>
      </c>
      <c r="L22" s="137">
        <f>'Averages Pivot Table'!X322</f>
        <v>48434.632573595256</v>
      </c>
      <c r="M22" s="138">
        <f t="shared" ref="M22" si="49">IF(L22&gt;0,RANK(L22,(L$10:L$28)),0)</f>
        <v>11</v>
      </c>
      <c r="N22" s="137">
        <f>'Averages Pivot Table'!Y322</f>
        <v>69337.956295025841</v>
      </c>
      <c r="O22" s="138">
        <f t="shared" ref="O22" si="50">IF(N22&gt;0,RANK(N22,(N$10:N$28)),0)</f>
        <v>12</v>
      </c>
      <c r="Q22" s="134">
        <v>2.5203554889083105E-2</v>
      </c>
      <c r="R22" s="110" t="s">
        <v>205</v>
      </c>
      <c r="S22" s="669">
        <v>66816.984268899527</v>
      </c>
    </row>
    <row r="23" spans="1:19" ht="12.95" customHeight="1" x14ac:dyDescent="0.25">
      <c r="A23" s="136" t="s">
        <v>206</v>
      </c>
      <c r="B23" s="137">
        <f>'Averages Pivot Table'!S351</f>
        <v>86600.192050118145</v>
      </c>
      <c r="C23" s="138">
        <f t="shared" si="0"/>
        <v>6</v>
      </c>
      <c r="D23" s="137">
        <f>'Averages Pivot Table'!T351</f>
        <v>0</v>
      </c>
      <c r="E23" s="138">
        <f t="shared" si="0"/>
        <v>0</v>
      </c>
      <c r="F23" s="137">
        <f>'Averages Pivot Table'!U351</f>
        <v>67388.610778024711</v>
      </c>
      <c r="G23" s="138">
        <f t="shared" ref="G23" si="51">IF(F23&gt;0,RANK(F23,(F$10:F$28)),0)</f>
        <v>4</v>
      </c>
      <c r="H23" s="137">
        <f>'Averages Pivot Table'!V351</f>
        <v>72335.88461538461</v>
      </c>
      <c r="I23" s="138">
        <f t="shared" ref="I23" si="52">IF(H23&gt;0,RANK(H23,(H$10:H$28)),0)</f>
        <v>1</v>
      </c>
      <c r="J23" s="137">
        <f>'Averages Pivot Table'!W351</f>
        <v>62603.945264510396</v>
      </c>
      <c r="K23" s="138">
        <f t="shared" ref="K23" si="53">IF(J23&gt;0,RANK(J23,(J$10:J$28)),0)</f>
        <v>3</v>
      </c>
      <c r="L23" s="137">
        <f>'Averages Pivot Table'!X351</f>
        <v>54720.885198312099</v>
      </c>
      <c r="M23" s="138">
        <f t="shared" ref="M23" si="54">IF(L23&gt;0,RANK(L23,(L$10:L$28)),0)</f>
        <v>9</v>
      </c>
      <c r="N23" s="137">
        <f>'Averages Pivot Table'!Y351</f>
        <v>74782.340525064646</v>
      </c>
      <c r="O23" s="138">
        <f t="shared" ref="O23" si="55">IF(N23&gt;0,RANK(N23,(N$10:N$28)),0)</f>
        <v>7</v>
      </c>
      <c r="Q23" s="134">
        <v>2.0197809334500296E-2</v>
      </c>
      <c r="R23" s="110" t="s">
        <v>206</v>
      </c>
      <c r="S23" s="669">
        <v>70111.743118967046</v>
      </c>
    </row>
    <row r="24" spans="1:19" ht="12.95" customHeight="1" x14ac:dyDescent="0.25">
      <c r="A24" s="136"/>
      <c r="B24" s="137"/>
      <c r="C24" s="138"/>
      <c r="D24" s="137"/>
      <c r="E24" s="138"/>
      <c r="F24" s="137"/>
      <c r="G24" s="138"/>
      <c r="H24" s="137"/>
      <c r="I24" s="138"/>
      <c r="J24" s="137"/>
      <c r="K24" s="138"/>
      <c r="L24" s="137"/>
      <c r="M24" s="138"/>
      <c r="N24" s="137"/>
      <c r="O24" s="138"/>
      <c r="Q24" s="134"/>
      <c r="S24" s="669"/>
    </row>
    <row r="25" spans="1:19" ht="12.95" customHeight="1" x14ac:dyDescent="0.25">
      <c r="A25" s="136" t="s">
        <v>207</v>
      </c>
      <c r="B25" s="137">
        <f>'Averages Pivot Table'!S380</f>
        <v>82375.093674370757</v>
      </c>
      <c r="C25" s="138">
        <f t="shared" si="0"/>
        <v>9</v>
      </c>
      <c r="D25" s="137">
        <f>'Averages Pivot Table'!T380</f>
        <v>60895.829187407959</v>
      </c>
      <c r="E25" s="138">
        <f t="shared" si="0"/>
        <v>10</v>
      </c>
      <c r="F25" s="137">
        <f>'Averages Pivot Table'!U380</f>
        <v>62153.619262800952</v>
      </c>
      <c r="G25" s="138">
        <f t="shared" ref="G25" si="56">IF(F25&gt;0,RANK(F25,(F$10:F$28)),0)</f>
        <v>7</v>
      </c>
      <c r="H25" s="137">
        <f>'Averages Pivot Table'!V380</f>
        <v>0</v>
      </c>
      <c r="I25" s="138">
        <f t="shared" ref="I25" si="57">IF(H25&gt;0,RANK(H25,(H$10:H$28)),0)</f>
        <v>0</v>
      </c>
      <c r="J25" s="137">
        <f>'Averages Pivot Table'!W380</f>
        <v>55988.558139109344</v>
      </c>
      <c r="K25" s="138">
        <f t="shared" ref="K25" si="58">IF(J25&gt;0,RANK(J25,(J$10:J$28)),0)</f>
        <v>7</v>
      </c>
      <c r="L25" s="137">
        <f>'Averages Pivot Table'!X380</f>
        <v>0</v>
      </c>
      <c r="M25" s="138">
        <f t="shared" ref="M25" si="59">IF(L25&gt;0,RANK(L25,(L$10:L$28)),0)</f>
        <v>0</v>
      </c>
      <c r="N25" s="137">
        <f>'Averages Pivot Table'!Y380</f>
        <v>70562.404069923374</v>
      </c>
      <c r="O25" s="138">
        <f t="shared" ref="O25" si="60">IF(N25&gt;0,RANK(N25,(N$10:N$28)),0)</f>
        <v>10</v>
      </c>
      <c r="Q25" s="134">
        <v>5.2904552922918013E-2</v>
      </c>
      <c r="R25" s="110" t="s">
        <v>207</v>
      </c>
      <c r="S25" s="669">
        <v>67160.426279245294</v>
      </c>
    </row>
    <row r="26" spans="1:19" ht="12.95" customHeight="1" x14ac:dyDescent="0.25">
      <c r="A26" s="136" t="s">
        <v>208</v>
      </c>
      <c r="B26" s="137">
        <f>'Averages Pivot Table'!S409</f>
        <v>91638.825877971263</v>
      </c>
      <c r="C26" s="138">
        <f t="shared" si="0"/>
        <v>3</v>
      </c>
      <c r="D26" s="137">
        <f>'Averages Pivot Table'!T409</f>
        <v>74822.090858104333</v>
      </c>
      <c r="E26" s="138">
        <f t="shared" si="0"/>
        <v>3</v>
      </c>
      <c r="F26" s="137">
        <f>'Averages Pivot Table'!U409</f>
        <v>63748.167762035577</v>
      </c>
      <c r="G26" s="138">
        <f t="shared" ref="G26" si="61">IF(F26&gt;0,RANK(F26,(F$10:F$28)),0)</f>
        <v>5</v>
      </c>
      <c r="H26" s="137">
        <f>'Averages Pivot Table'!V409</f>
        <v>72012.182706927473</v>
      </c>
      <c r="I26" s="138">
        <f t="shared" ref="I26" si="62">IF(H26&gt;0,RANK(H26,(H$10:H$28)),0)</f>
        <v>2</v>
      </c>
      <c r="J26" s="137">
        <f>'Averages Pivot Table'!W409</f>
        <v>62544.753924080367</v>
      </c>
      <c r="K26" s="138">
        <f t="shared" ref="K26" si="63">IF(J26&gt;0,RANK(J26,(J$10:J$28)),0)</f>
        <v>4</v>
      </c>
      <c r="L26" s="137">
        <f>'Averages Pivot Table'!X409</f>
        <v>71465.193196694265</v>
      </c>
      <c r="M26" s="138">
        <f t="shared" ref="M26" si="64">IF(L26&gt;0,RANK(L26,(L$10:L$28)),0)</f>
        <v>1</v>
      </c>
      <c r="N26" s="137">
        <f>'Averages Pivot Table'!Y409</f>
        <v>78644.835103040357</v>
      </c>
      <c r="O26" s="138">
        <f t="shared" ref="O26" si="65">IF(N26&gt;0,RANK(N26,(N$10:N$28)),0)</f>
        <v>3</v>
      </c>
      <c r="Q26" s="134">
        <v>-8.7417392706541114E-2</v>
      </c>
      <c r="R26" s="110" t="s">
        <v>208</v>
      </c>
      <c r="S26" s="669">
        <v>85161.071393400547</v>
      </c>
    </row>
    <row r="27" spans="1:19" ht="12.95" customHeight="1" x14ac:dyDescent="0.25">
      <c r="A27" s="136" t="s">
        <v>209</v>
      </c>
      <c r="B27" s="137">
        <f>'Averages Pivot Table'!S438</f>
        <v>90208.645828011038</v>
      </c>
      <c r="C27" s="138">
        <f t="shared" si="0"/>
        <v>5</v>
      </c>
      <c r="D27" s="137">
        <f>'Averages Pivot Table'!T438</f>
        <v>74552.878896825481</v>
      </c>
      <c r="E27" s="138">
        <f t="shared" si="0"/>
        <v>4</v>
      </c>
      <c r="F27" s="137">
        <f>'Averages Pivot Table'!U438</f>
        <v>63416.053619656348</v>
      </c>
      <c r="G27" s="138">
        <f t="shared" ref="G27" si="66">IF(F27&gt;0,RANK(F27,(F$10:F$28)),0)</f>
        <v>6</v>
      </c>
      <c r="H27" s="137">
        <f>'Averages Pivot Table'!V438</f>
        <v>65786.282608318739</v>
      </c>
      <c r="I27" s="138">
        <f t="shared" ref="I27" si="67">IF(H27&gt;0,RANK(H27,(H$10:H$28)),0)</f>
        <v>4</v>
      </c>
      <c r="J27" s="137">
        <f>'Averages Pivot Table'!W438</f>
        <v>66495.388184592055</v>
      </c>
      <c r="K27" s="138">
        <f t="shared" ref="K27" si="68">IF(J27&gt;0,RANK(J27,(J$10:J$28)),0)</f>
        <v>1</v>
      </c>
      <c r="L27" s="137">
        <f>'Averages Pivot Table'!X438</f>
        <v>58259.432744795988</v>
      </c>
      <c r="M27" s="138">
        <f t="shared" ref="M27" si="69">IF(L27&gt;0,RANK(L27,(L$10:L$28)),0)</f>
        <v>6</v>
      </c>
      <c r="N27" s="137">
        <f>'Averages Pivot Table'!Y438</f>
        <v>79874.97239367188</v>
      </c>
      <c r="O27" s="138">
        <f t="shared" ref="O27" si="70">IF(N27&gt;0,RANK(N27,(N$10:N$28)),0)</f>
        <v>2</v>
      </c>
      <c r="Q27" s="134">
        <v>2.9043108165013251E-2</v>
      </c>
      <c r="R27" s="110" t="s">
        <v>209</v>
      </c>
      <c r="S27" s="669">
        <v>80471.193759384754</v>
      </c>
    </row>
    <row r="28" spans="1:19" ht="12.95" customHeight="1" x14ac:dyDescent="0.25">
      <c r="A28" s="139" t="s">
        <v>210</v>
      </c>
      <c r="B28" s="140">
        <f>'Averages Pivot Table'!S467</f>
        <v>80649.686683704873</v>
      </c>
      <c r="C28" s="141">
        <f t="shared" si="0"/>
        <v>12</v>
      </c>
      <c r="D28" s="140">
        <f>'Averages Pivot Table'!T467</f>
        <v>0</v>
      </c>
      <c r="E28" s="141">
        <f t="shared" si="0"/>
        <v>0</v>
      </c>
      <c r="F28" s="140">
        <f>'Averages Pivot Table'!U467</f>
        <v>61430.797242216577</v>
      </c>
      <c r="G28" s="141">
        <f t="shared" ref="G28" si="71">IF(F28&gt;0,RANK(F28,(F$10:F$28)),0)</f>
        <v>9</v>
      </c>
      <c r="H28" s="140">
        <f>'Averages Pivot Table'!V467</f>
        <v>0</v>
      </c>
      <c r="I28" s="141">
        <f t="shared" ref="I28" si="72">IF(H28&gt;0,RANK(H28,(H$10:H$28)),0)</f>
        <v>0</v>
      </c>
      <c r="J28" s="140">
        <f>'Averages Pivot Table'!W467</f>
        <v>60667.717389983809</v>
      </c>
      <c r="K28" s="141">
        <f t="shared" ref="K28" si="73">IF(J28&gt;0,RANK(J28,(J$10:J$28)),0)</f>
        <v>5</v>
      </c>
      <c r="L28" s="140">
        <f>'Averages Pivot Table'!X467</f>
        <v>56110.368435273871</v>
      </c>
      <c r="M28" s="141">
        <f t="shared" ref="M28" si="74">IF(L28&gt;0,RANK(L28,(L$10:L$28)),0)</f>
        <v>8</v>
      </c>
      <c r="N28" s="140">
        <f>'Averages Pivot Table'!Y467</f>
        <v>68035.328719392855</v>
      </c>
      <c r="O28" s="141">
        <f t="shared" ref="O28" si="75">IF(N28&gt;0,RANK(N28,(N$10:N$28)),0)</f>
        <v>13</v>
      </c>
      <c r="Q28" s="134">
        <v>3.73918879822559E-2</v>
      </c>
      <c r="R28" s="110" t="s">
        <v>210</v>
      </c>
      <c r="S28" s="669">
        <v>65285.464099351499</v>
      </c>
    </row>
    <row r="29" spans="1:19" ht="27.75" customHeight="1" x14ac:dyDescent="0.25">
      <c r="A29" s="712" t="s">
        <v>1127</v>
      </c>
      <c r="B29" s="712"/>
      <c r="C29" s="712"/>
      <c r="D29" s="712"/>
      <c r="E29" s="712"/>
      <c r="F29" s="712"/>
      <c r="G29" s="712"/>
      <c r="H29" s="712"/>
      <c r="I29" s="712"/>
      <c r="J29" s="712"/>
      <c r="K29" s="712"/>
      <c r="L29" s="712"/>
      <c r="M29" s="712"/>
      <c r="N29" s="712"/>
      <c r="O29" s="712"/>
      <c r="Q29" s="118"/>
    </row>
    <row r="30" spans="1:19" x14ac:dyDescent="0.25">
      <c r="O30" s="102" t="s">
        <v>1128</v>
      </c>
      <c r="Q30" s="118"/>
    </row>
    <row r="31" spans="1:19" ht="18" x14ac:dyDescent="0.25">
      <c r="A31" s="82" t="s">
        <v>211</v>
      </c>
      <c r="B31" s="82"/>
      <c r="C31" s="82"/>
      <c r="D31" s="82"/>
      <c r="E31" s="82"/>
      <c r="F31" s="82"/>
      <c r="G31" s="82"/>
      <c r="H31" s="82"/>
      <c r="I31" s="82"/>
      <c r="J31" s="82"/>
      <c r="K31" s="82"/>
      <c r="L31" s="82"/>
      <c r="M31" s="82"/>
      <c r="Q31" s="118"/>
    </row>
    <row r="32" spans="1:19" x14ac:dyDescent="0.25">
      <c r="A32" s="87"/>
      <c r="B32" s="87"/>
      <c r="C32" s="87"/>
      <c r="D32" s="87"/>
      <c r="E32" s="87"/>
      <c r="F32" s="87"/>
      <c r="G32" s="112"/>
      <c r="H32" s="112"/>
      <c r="I32" s="112"/>
      <c r="J32" s="112"/>
      <c r="K32" s="112"/>
      <c r="Q32" s="118"/>
    </row>
    <row r="33" spans="1:19" x14ac:dyDescent="0.25">
      <c r="A33" s="707" t="s">
        <v>189</v>
      </c>
      <c r="B33" s="707"/>
      <c r="C33" s="707"/>
      <c r="D33" s="707"/>
      <c r="E33" s="707"/>
      <c r="F33" s="707"/>
      <c r="G33" s="707"/>
      <c r="H33" s="707"/>
      <c r="I33" s="707"/>
      <c r="J33" s="707"/>
      <c r="K33" s="707"/>
      <c r="L33" s="707"/>
      <c r="M33" s="707"/>
      <c r="Q33" s="118"/>
    </row>
    <row r="34" spans="1:19" x14ac:dyDescent="0.25">
      <c r="A34" s="707" t="s">
        <v>273</v>
      </c>
      <c r="B34" s="707"/>
      <c r="C34" s="707"/>
      <c r="D34" s="707"/>
      <c r="E34" s="707"/>
      <c r="F34" s="707"/>
      <c r="G34" s="707"/>
      <c r="H34" s="707"/>
      <c r="I34" s="707"/>
      <c r="J34" s="707"/>
      <c r="K34" s="707"/>
      <c r="L34" s="707"/>
      <c r="M34" s="707"/>
      <c r="Q34" s="118"/>
    </row>
    <row r="35" spans="1:19" x14ac:dyDescent="0.25">
      <c r="A35" s="87"/>
      <c r="B35" s="87"/>
      <c r="C35" s="87"/>
      <c r="D35" s="87"/>
      <c r="E35" s="87"/>
      <c r="F35" s="87"/>
      <c r="G35" s="112"/>
      <c r="H35" s="112"/>
      <c r="I35" s="112"/>
      <c r="J35" s="112"/>
      <c r="K35" s="112"/>
      <c r="L35" s="133"/>
      <c r="M35" s="133"/>
      <c r="N35" s="133"/>
      <c r="O35" s="133"/>
      <c r="Q35" s="118"/>
    </row>
    <row r="36" spans="1:19" ht="24" x14ac:dyDescent="0.25">
      <c r="A36" s="114"/>
      <c r="B36" s="142" t="s">
        <v>179</v>
      </c>
      <c r="C36" s="143"/>
      <c r="D36" s="115" t="s">
        <v>180</v>
      </c>
      <c r="E36" s="116"/>
      <c r="F36" s="115" t="s">
        <v>181</v>
      </c>
      <c r="G36" s="116"/>
      <c r="H36" s="115" t="s">
        <v>182</v>
      </c>
      <c r="I36" s="116"/>
      <c r="J36" s="117" t="s">
        <v>183</v>
      </c>
      <c r="K36" s="116"/>
      <c r="N36" s="144" t="s">
        <v>7</v>
      </c>
      <c r="O36" s="145"/>
      <c r="Q36" s="118" t="s">
        <v>191</v>
      </c>
      <c r="S36" s="110" t="s">
        <v>192</v>
      </c>
    </row>
    <row r="37" spans="1:19" x14ac:dyDescent="0.25">
      <c r="A37" s="120"/>
      <c r="B37" s="146" t="s">
        <v>193</v>
      </c>
      <c r="C37" s="147" t="s">
        <v>170</v>
      </c>
      <c r="D37" s="146" t="s">
        <v>193</v>
      </c>
      <c r="E37" s="147" t="s">
        <v>170</v>
      </c>
      <c r="F37" s="146" t="s">
        <v>193</v>
      </c>
      <c r="G37" s="147" t="s">
        <v>170</v>
      </c>
      <c r="H37" s="146" t="s">
        <v>193</v>
      </c>
      <c r="I37" s="147" t="s">
        <v>170</v>
      </c>
      <c r="J37" s="148" t="s">
        <v>193</v>
      </c>
      <c r="K37" s="147" t="s">
        <v>170</v>
      </c>
      <c r="N37" s="149"/>
      <c r="O37" s="150"/>
      <c r="Q37" s="118"/>
    </row>
    <row r="38" spans="1:19" s="127" customFormat="1" ht="18" customHeight="1" x14ac:dyDescent="0.25">
      <c r="A38" s="124" t="s">
        <v>194</v>
      </c>
      <c r="B38" s="151">
        <f>'Averages Pivot Table'!Z495</f>
        <v>56065.111958396803</v>
      </c>
      <c r="C38" s="151"/>
      <c r="D38" s="151">
        <f>'Averages Pivot Table'!AA495</f>
        <v>51958.681136994594</v>
      </c>
      <c r="E38" s="151"/>
      <c r="F38" s="151">
        <f>'Averages Pivot Table'!AB495</f>
        <v>47807.382879844692</v>
      </c>
      <c r="G38" s="151"/>
      <c r="H38" s="151">
        <f>'Averages Pivot Table'!AC495</f>
        <v>45406.047447329773</v>
      </c>
      <c r="I38" s="152"/>
      <c r="J38" s="153">
        <f>'Averages Pivot Table'!AE495</f>
        <v>50893.399518102859</v>
      </c>
      <c r="K38" s="151"/>
      <c r="N38" s="154"/>
      <c r="O38" s="154"/>
      <c r="Q38" s="128">
        <v>2.999149798157678E-3</v>
      </c>
      <c r="R38" s="129" t="s">
        <v>194</v>
      </c>
      <c r="S38" s="130">
        <v>51679.10817866453</v>
      </c>
    </row>
    <row r="39" spans="1:19" ht="12.95" customHeight="1" x14ac:dyDescent="0.25">
      <c r="A39" s="136"/>
      <c r="B39" s="131"/>
      <c r="C39" s="155"/>
      <c r="D39" s="131"/>
      <c r="E39" s="155"/>
      <c r="F39" s="156"/>
      <c r="G39" s="110"/>
      <c r="H39" s="110"/>
      <c r="I39" s="110"/>
      <c r="J39" s="157"/>
      <c r="K39" s="110"/>
      <c r="Q39" s="134"/>
      <c r="S39" s="135"/>
    </row>
    <row r="40" spans="1:19" ht="12.95" customHeight="1" x14ac:dyDescent="0.25">
      <c r="A40" s="136" t="s">
        <v>195</v>
      </c>
      <c r="B40" s="158">
        <f>'Averages Pivot Table'!Z32</f>
        <v>0</v>
      </c>
      <c r="C40" s="138">
        <f>IF(B40&gt;0,RANK(B40,(B$40:B$58)),0)</f>
        <v>0</v>
      </c>
      <c r="D40" s="158">
        <f>'Averages Pivot Table'!AA32</f>
        <v>59095.094830192596</v>
      </c>
      <c r="E40" s="138">
        <f>IF(D40&gt;0,RANK(D40,(D$40:D$58)),0)</f>
        <v>3</v>
      </c>
      <c r="F40" s="158">
        <f>'Averages Pivot Table'!AB32</f>
        <v>51510.383669813971</v>
      </c>
      <c r="G40" s="138">
        <f>IF(F40&gt;0,RANK(F40,(F$40:F$58)),0)</f>
        <v>3</v>
      </c>
      <c r="H40" s="159">
        <f>'Averages Pivot Table'!AC32</f>
        <v>52068.832306581629</v>
      </c>
      <c r="I40" s="138">
        <f>IF(H40&gt;0,RANK(H40,(H$40:H$58)),0)</f>
        <v>3</v>
      </c>
      <c r="J40" s="160">
        <f>'Averages Pivot Table'!AE32</f>
        <v>53890.58005049418</v>
      </c>
      <c r="K40" s="138">
        <f>IF(J40&gt;0,RANK(J40,(J$40:J$58)),0)</f>
        <v>5</v>
      </c>
      <c r="Q40" s="134">
        <v>2.7251409560276464E-3</v>
      </c>
      <c r="R40" s="110" t="s">
        <v>195</v>
      </c>
      <c r="S40" s="135">
        <v>53018.942272532433</v>
      </c>
    </row>
    <row r="41" spans="1:19" ht="12.95" customHeight="1" x14ac:dyDescent="0.25">
      <c r="A41" s="136" t="s">
        <v>196</v>
      </c>
      <c r="B41" s="158">
        <f>'Averages Pivot Table'!Z61</f>
        <v>0</v>
      </c>
      <c r="C41" s="138">
        <f t="shared" ref="C41:E58" si="76">IF(B41&gt;0,RANK(B41,(B$40:B$58)),0)</f>
        <v>0</v>
      </c>
      <c r="D41" s="158">
        <f>'Averages Pivot Table'!AA61</f>
        <v>50278.236369201186</v>
      </c>
      <c r="E41" s="138">
        <f t="shared" si="76"/>
        <v>7</v>
      </c>
      <c r="F41" s="158">
        <f>'Averages Pivot Table'!AB61</f>
        <v>42862.703675996519</v>
      </c>
      <c r="G41" s="138">
        <f t="shared" ref="G41" si="77">IF(F41&gt;0,RANK(F41,(F$40:F$58)),0)</f>
        <v>14</v>
      </c>
      <c r="H41" s="159">
        <f>'Averages Pivot Table'!AC61</f>
        <v>41282.503431954632</v>
      </c>
      <c r="I41" s="138">
        <f t="shared" ref="I41" si="78">IF(H41&gt;0,RANK(H41,(H$40:H$58)),0)</f>
        <v>14</v>
      </c>
      <c r="J41" s="160">
        <f>'Averages Pivot Table'!AE61</f>
        <v>43546.377554553517</v>
      </c>
      <c r="K41" s="138">
        <f t="shared" ref="K41" si="79">IF(J41&gt;0,RANK(J41,(J$40:J$58)),0)</f>
        <v>16</v>
      </c>
      <c r="Q41" s="134">
        <v>9.6565984710667088E-3</v>
      </c>
      <c r="R41" s="110" t="s">
        <v>196</v>
      </c>
      <c r="S41" s="135">
        <v>43576.138634502102</v>
      </c>
    </row>
    <row r="42" spans="1:19" ht="12.95" customHeight="1" x14ac:dyDescent="0.25">
      <c r="A42" s="136" t="s">
        <v>197</v>
      </c>
      <c r="B42" s="158">
        <f>'Averages Pivot Table'!Z90</f>
        <v>0</v>
      </c>
      <c r="C42" s="138">
        <f t="shared" si="76"/>
        <v>0</v>
      </c>
      <c r="D42" s="158">
        <f>'Averages Pivot Table'!AA90</f>
        <v>84048.726063829788</v>
      </c>
      <c r="E42" s="138">
        <f t="shared" si="76"/>
        <v>1</v>
      </c>
      <c r="F42" s="158">
        <f>'Averages Pivot Table'!AB90</f>
        <v>61012.265636001517</v>
      </c>
      <c r="G42" s="138">
        <f t="shared" ref="G42" si="80">IF(F42&gt;0,RANK(F42,(F$40:F$58)),0)</f>
        <v>1</v>
      </c>
      <c r="H42" s="159">
        <f>'Averages Pivot Table'!AC90</f>
        <v>0</v>
      </c>
      <c r="I42" s="138">
        <f t="shared" ref="I42" si="81">IF(H42&gt;0,RANK(H42,(H$40:H$58)),0)</f>
        <v>0</v>
      </c>
      <c r="J42" s="160">
        <f>'Averages Pivot Table'!AE90</f>
        <v>68958.386479777721</v>
      </c>
      <c r="K42" s="138">
        <f t="shared" ref="K42" si="82">IF(J42&gt;0,RANK(J42,(J$40:J$58)),0)</f>
        <v>1</v>
      </c>
      <c r="Q42" s="134">
        <v>5.677352336417172E-3</v>
      </c>
      <c r="R42" s="110" t="s">
        <v>197</v>
      </c>
      <c r="S42" s="135">
        <v>63804.420643749996</v>
      </c>
    </row>
    <row r="43" spans="1:19" ht="12.95" customHeight="1" x14ac:dyDescent="0.25">
      <c r="A43" s="136" t="s">
        <v>198</v>
      </c>
      <c r="B43" s="158">
        <f>'Averages Pivot Table'!Z119</f>
        <v>59204.074156305505</v>
      </c>
      <c r="C43" s="138">
        <f t="shared" si="76"/>
        <v>1</v>
      </c>
      <c r="D43" s="158">
        <f>'Averages Pivot Table'!AA119</f>
        <v>53683.265771812083</v>
      </c>
      <c r="E43" s="138">
        <f t="shared" si="76"/>
        <v>5</v>
      </c>
      <c r="F43" s="158">
        <f>'Averages Pivot Table'!AB119</f>
        <v>46463.124423963134</v>
      </c>
      <c r="G43" s="138">
        <f t="shared" ref="G43" si="83">IF(F43&gt;0,RANK(F43,(F$40:F$58)),0)</f>
        <v>10</v>
      </c>
      <c r="H43" s="159">
        <f>'Averages Pivot Table'!AC119</f>
        <v>50110.288135593219</v>
      </c>
      <c r="I43" s="138">
        <f t="shared" ref="I43" si="84">IF(H43&gt;0,RANK(H43,(H$40:H$58)),0)</f>
        <v>4</v>
      </c>
      <c r="J43" s="160">
        <f>'Averages Pivot Table'!AE119</f>
        <v>55270.779039301313</v>
      </c>
      <c r="K43" s="138">
        <f t="shared" ref="K43" si="85">IF(J43&gt;0,RANK(J43,(J$40:J$58)),0)</f>
        <v>4</v>
      </c>
      <c r="Q43" s="134">
        <v>6.3017519023134318E-3</v>
      </c>
      <c r="R43" s="110" t="s">
        <v>198</v>
      </c>
      <c r="S43" s="135">
        <v>54243.92208265065</v>
      </c>
    </row>
    <row r="44" spans="1:19" ht="12.95" customHeight="1" x14ac:dyDescent="0.25">
      <c r="A44" s="136"/>
      <c r="B44" s="158"/>
      <c r="C44" s="138"/>
      <c r="D44" s="158"/>
      <c r="E44" s="138"/>
      <c r="F44" s="158"/>
      <c r="G44" s="138"/>
      <c r="H44" s="159"/>
      <c r="I44" s="138"/>
      <c r="J44" s="160"/>
      <c r="K44" s="138"/>
      <c r="Q44" s="134"/>
      <c r="S44" s="135"/>
    </row>
    <row r="45" spans="1:19" ht="12.95" customHeight="1" x14ac:dyDescent="0.25">
      <c r="A45" s="136" t="s">
        <v>199</v>
      </c>
      <c r="B45" s="158">
        <f>'Averages Pivot Table'!Z148</f>
        <v>47850.368594958571</v>
      </c>
      <c r="C45" s="138">
        <f t="shared" si="76"/>
        <v>5</v>
      </c>
      <c r="D45" s="158">
        <f>'Averages Pivot Table'!AA148</f>
        <v>46671.899590163935</v>
      </c>
      <c r="E45" s="138">
        <f t="shared" si="76"/>
        <v>10</v>
      </c>
      <c r="F45" s="158">
        <f>'Averages Pivot Table'!AB148</f>
        <v>47829.68069395778</v>
      </c>
      <c r="G45" s="138">
        <f t="shared" ref="G45" si="86">IF(F45&gt;0,RANK(F45,(F$40:F$58)),0)</f>
        <v>6</v>
      </c>
      <c r="H45" s="159">
        <f>'Averages Pivot Table'!AC148</f>
        <v>43231.37704918033</v>
      </c>
      <c r="I45" s="138">
        <f t="shared" ref="I45" si="87">IF(H45&gt;0,RANK(H45,(H$40:H$58)),0)</f>
        <v>12</v>
      </c>
      <c r="J45" s="160">
        <f>'Averages Pivot Table'!AE148</f>
        <v>47337.673804285143</v>
      </c>
      <c r="K45" s="138">
        <f t="shared" ref="K45" si="88">IF(J45&gt;0,RANK(J45,(J$40:J$58)),0)</f>
        <v>10</v>
      </c>
      <c r="Q45" s="134">
        <v>-2.6865887039670532E-2</v>
      </c>
      <c r="R45" s="110" t="s">
        <v>199</v>
      </c>
      <c r="S45" s="135">
        <v>47971.754367968657</v>
      </c>
    </row>
    <row r="46" spans="1:19" ht="12.95" customHeight="1" x14ac:dyDescent="0.25">
      <c r="A46" s="136" t="s">
        <v>200</v>
      </c>
      <c r="B46" s="158">
        <f>'Averages Pivot Table'!Z177</f>
        <v>0</v>
      </c>
      <c r="C46" s="138">
        <f t="shared" si="76"/>
        <v>0</v>
      </c>
      <c r="D46" s="158">
        <f>'Averages Pivot Table'!AA177</f>
        <v>44185.756411854534</v>
      </c>
      <c r="E46" s="138">
        <f t="shared" si="76"/>
        <v>13</v>
      </c>
      <c r="F46" s="158">
        <f>'Averages Pivot Table'!AB177</f>
        <v>43742.548379530264</v>
      </c>
      <c r="G46" s="138">
        <f t="shared" ref="G46" si="89">IF(F46&gt;0,RANK(F46,(F$40:F$58)),0)</f>
        <v>13</v>
      </c>
      <c r="H46" s="159">
        <f>'Averages Pivot Table'!AC177</f>
        <v>47910.21191317874</v>
      </c>
      <c r="I46" s="138">
        <f t="shared" ref="I46" si="90">IF(H46&gt;0,RANK(H46,(H$40:H$58)),0)</f>
        <v>6</v>
      </c>
      <c r="J46" s="160">
        <f>'Averages Pivot Table'!AE177</f>
        <v>43988.414879869008</v>
      </c>
      <c r="K46" s="138">
        <f t="shared" ref="K46" si="91">IF(J46&gt;0,RANK(J46,(J$40:J$58)),0)</f>
        <v>14</v>
      </c>
      <c r="Q46" s="134">
        <v>1.5219775820041493E-2</v>
      </c>
      <c r="R46" s="110" t="s">
        <v>200</v>
      </c>
      <c r="S46" s="135">
        <v>48603.485888788731</v>
      </c>
    </row>
    <row r="47" spans="1:19" ht="12.95" customHeight="1" x14ac:dyDescent="0.25">
      <c r="A47" s="136" t="s">
        <v>201</v>
      </c>
      <c r="B47" s="158">
        <f>'Averages Pivot Table'!Z206</f>
        <v>0</v>
      </c>
      <c r="C47" s="138">
        <f t="shared" si="76"/>
        <v>0</v>
      </c>
      <c r="D47" s="158">
        <f>'Averages Pivot Table'!AA206</f>
        <v>45060.755103694391</v>
      </c>
      <c r="E47" s="138">
        <f t="shared" si="76"/>
        <v>11</v>
      </c>
      <c r="F47" s="158">
        <f>'Averages Pivot Table'!AB206</f>
        <v>41914.474633252052</v>
      </c>
      <c r="G47" s="138">
        <f t="shared" ref="G47" si="92">IF(F47&gt;0,RANK(F47,(F$40:F$58)),0)</f>
        <v>15</v>
      </c>
      <c r="H47" s="159">
        <f>'Averages Pivot Table'!AC206</f>
        <v>48141.455141744926</v>
      </c>
      <c r="I47" s="138">
        <f t="shared" ref="I47" si="93">IF(H47&gt;0,RANK(H47,(H$40:H$58)),0)</f>
        <v>5</v>
      </c>
      <c r="J47" s="160">
        <f>'Averages Pivot Table'!AE206</f>
        <v>45212.898886339921</v>
      </c>
      <c r="K47" s="138">
        <f t="shared" ref="K47" si="94">IF(J47&gt;0,RANK(J47,(J$40:J$58)),0)</f>
        <v>13</v>
      </c>
      <c r="Q47" s="134">
        <v>5.2846387216052134E-3</v>
      </c>
      <c r="R47" s="110" t="s">
        <v>201</v>
      </c>
      <c r="S47" s="135">
        <v>49938.14158728972</v>
      </c>
    </row>
    <row r="48" spans="1:19" ht="12.95" customHeight="1" x14ac:dyDescent="0.25">
      <c r="A48" s="136" t="s">
        <v>202</v>
      </c>
      <c r="B48" s="158">
        <f>'Averages Pivot Table'!Z235</f>
        <v>0</v>
      </c>
      <c r="C48" s="138">
        <f t="shared" si="76"/>
        <v>0</v>
      </c>
      <c r="D48" s="158">
        <f>'Averages Pivot Table'!AA235</f>
        <v>64386.787691078549</v>
      </c>
      <c r="E48" s="138">
        <f t="shared" si="76"/>
        <v>2</v>
      </c>
      <c r="F48" s="158">
        <f>'Averages Pivot Table'!AB235</f>
        <v>53595.122857974231</v>
      </c>
      <c r="G48" s="138">
        <f t="shared" ref="G48" si="95">IF(F48&gt;0,RANK(F48,(F$40:F$58)),0)</f>
        <v>2</v>
      </c>
      <c r="H48" s="159">
        <f>'Averages Pivot Table'!AC235</f>
        <v>54514.990458797278</v>
      </c>
      <c r="I48" s="138">
        <f t="shared" ref="I48" si="96">IF(H48&gt;0,RANK(H48,(H$40:H$58)),0)</f>
        <v>2</v>
      </c>
      <c r="J48" s="160">
        <f>'Averages Pivot Table'!AE235</f>
        <v>61152.914473355762</v>
      </c>
      <c r="K48" s="138">
        <f t="shared" ref="K48" si="97">IF(J48&gt;0,RANK(J48,(J$40:J$58)),0)</f>
        <v>2</v>
      </c>
      <c r="Q48" s="134">
        <v>5.1639643547817258E-3</v>
      </c>
      <c r="R48" s="110" t="s">
        <v>202</v>
      </c>
      <c r="S48" s="135">
        <v>65745.12407672072</v>
      </c>
    </row>
    <row r="49" spans="1:19" ht="12.95" customHeight="1" x14ac:dyDescent="0.25">
      <c r="A49" s="136"/>
      <c r="B49" s="158"/>
      <c r="C49" s="138"/>
      <c r="D49" s="158"/>
      <c r="E49" s="138"/>
      <c r="F49" s="158"/>
      <c r="G49" s="138"/>
      <c r="H49" s="159"/>
      <c r="I49" s="138"/>
      <c r="J49" s="160"/>
      <c r="K49" s="138"/>
      <c r="Q49" s="134"/>
      <c r="S49" s="135"/>
    </row>
    <row r="50" spans="1:19" x14ac:dyDescent="0.25">
      <c r="A50" s="136" t="s">
        <v>203</v>
      </c>
      <c r="B50" s="158">
        <f>'Averages Pivot Table'!Z264</f>
        <v>0</v>
      </c>
      <c r="C50" s="138">
        <f t="shared" si="76"/>
        <v>0</v>
      </c>
      <c r="D50" s="158">
        <f>'Averages Pivot Table'!AA264</f>
        <v>48363.854805846058</v>
      </c>
      <c r="E50" s="138">
        <f t="shared" si="76"/>
        <v>9</v>
      </c>
      <c r="F50" s="158">
        <f>'Averages Pivot Table'!AB264</f>
        <v>49095.072361618353</v>
      </c>
      <c r="G50" s="138">
        <f t="shared" ref="G50" si="98">IF(F50&gt;0,RANK(F50,(F$40:F$58)),0)</f>
        <v>4</v>
      </c>
      <c r="H50" s="159">
        <f>'Averages Pivot Table'!AC264</f>
        <v>47468.692380595967</v>
      </c>
      <c r="I50" s="138">
        <f t="shared" ref="I50" si="99">IF(H50&gt;0,RANK(H50,(H$40:H$58)),0)</f>
        <v>7</v>
      </c>
      <c r="J50" s="160">
        <f>'Averages Pivot Table'!AE264</f>
        <v>48660.618914969164</v>
      </c>
      <c r="K50" s="138">
        <f t="shared" ref="K50" si="100">IF(J50&gt;0,RANK(J50,(J$40:J$58)),0)</f>
        <v>8</v>
      </c>
      <c r="Q50" s="134">
        <v>1.3020827609998868E-2</v>
      </c>
      <c r="R50" s="110" t="s">
        <v>203</v>
      </c>
      <c r="S50" s="135">
        <v>49309.383603560455</v>
      </c>
    </row>
    <row r="51" spans="1:19" ht="12.95" customHeight="1" x14ac:dyDescent="0.25">
      <c r="A51" s="136" t="s">
        <v>204</v>
      </c>
      <c r="B51" s="158">
        <f>'Averages Pivot Table'!Z293</f>
        <v>0</v>
      </c>
      <c r="C51" s="138">
        <f t="shared" si="76"/>
        <v>0</v>
      </c>
      <c r="D51" s="158">
        <f>'Averages Pivot Table'!AA293</f>
        <v>40667.373540268294</v>
      </c>
      <c r="E51" s="138">
        <f t="shared" si="76"/>
        <v>14</v>
      </c>
      <c r="F51" s="158">
        <f>'Averages Pivot Table'!AB293</f>
        <v>45882.420346016479</v>
      </c>
      <c r="G51" s="138">
        <f t="shared" ref="G51" si="101">IF(F51&gt;0,RANK(F51,(F$40:F$58)),0)</f>
        <v>11</v>
      </c>
      <c r="H51" s="159">
        <f>'Averages Pivot Table'!AC293</f>
        <v>45660.997959873093</v>
      </c>
      <c r="I51" s="138">
        <f t="shared" ref="I51" si="102">IF(H51&gt;0,RANK(H51,(H$40:H$58)),0)</f>
        <v>10</v>
      </c>
      <c r="J51" s="160">
        <f>'Averages Pivot Table'!AE293</f>
        <v>43620.031499013669</v>
      </c>
      <c r="K51" s="138">
        <f t="shared" ref="K51" si="103">IF(J51&gt;0,RANK(J51,(J$40:J$58)),0)</f>
        <v>15</v>
      </c>
      <c r="Q51" s="134">
        <v>-2.5314858138459267E-4</v>
      </c>
      <c r="R51" s="110" t="s">
        <v>204</v>
      </c>
      <c r="S51" s="135">
        <v>47284.192889672398</v>
      </c>
    </row>
    <row r="52" spans="1:19" ht="12.95" customHeight="1" x14ac:dyDescent="0.25">
      <c r="A52" s="136" t="s">
        <v>205</v>
      </c>
      <c r="B52" s="158">
        <f>'Averages Pivot Table'!Z322</f>
        <v>54358.342857142859</v>
      </c>
      <c r="C52" s="138">
        <f t="shared" si="76"/>
        <v>2</v>
      </c>
      <c r="D52" s="158">
        <f>'Averages Pivot Table'!AA322</f>
        <v>52595.713486918983</v>
      </c>
      <c r="E52" s="138">
        <f t="shared" si="76"/>
        <v>6</v>
      </c>
      <c r="F52" s="158">
        <f>'Averages Pivot Table'!AB322</f>
        <v>44455.40878378378</v>
      </c>
      <c r="G52" s="138">
        <f t="shared" ref="G52" si="104">IF(F52&gt;0,RANK(F52,(F$40:F$58)),0)</f>
        <v>12</v>
      </c>
      <c r="H52" s="159">
        <f>'Averages Pivot Table'!AC322</f>
        <v>43695.204928458639</v>
      </c>
      <c r="I52" s="138">
        <f t="shared" ref="I52" si="105">IF(H52&gt;0,RANK(H52,(H$40:H$58)),0)</f>
        <v>11</v>
      </c>
      <c r="J52" s="160">
        <f>'Averages Pivot Table'!AE322</f>
        <v>49605.965819783218</v>
      </c>
      <c r="K52" s="138">
        <f t="shared" ref="K52" si="106">IF(J52&gt;0,RANK(J52,(J$40:J$58)),0)</f>
        <v>7</v>
      </c>
      <c r="Q52" s="134">
        <v>1.7171073474383541E-2</v>
      </c>
      <c r="R52" s="110" t="s">
        <v>205</v>
      </c>
      <c r="S52" s="135">
        <v>48473.878839482204</v>
      </c>
    </row>
    <row r="53" spans="1:19" ht="12.95" customHeight="1" x14ac:dyDescent="0.25">
      <c r="A53" s="136" t="s">
        <v>206</v>
      </c>
      <c r="B53" s="158">
        <f>'Averages Pivot Table'!Z351</f>
        <v>0</v>
      </c>
      <c r="C53" s="138">
        <f t="shared" si="76"/>
        <v>0</v>
      </c>
      <c r="D53" s="158">
        <f>'Averages Pivot Table'!AA351</f>
        <v>48793.755043227662</v>
      </c>
      <c r="E53" s="138">
        <f t="shared" si="76"/>
        <v>8</v>
      </c>
      <c r="F53" s="158">
        <f>'Averages Pivot Table'!AB351</f>
        <v>47066.307855626328</v>
      </c>
      <c r="G53" s="138">
        <f t="shared" ref="G53" si="107">IF(F53&gt;0,RANK(F53,(F$40:F$58)),0)</f>
        <v>9</v>
      </c>
      <c r="H53" s="159">
        <f>'Averages Pivot Table'!AC351</f>
        <v>45931.636736462489</v>
      </c>
      <c r="I53" s="138">
        <f t="shared" ref="I53" si="108">IF(H53&gt;0,RANK(H53,(H$40:H$58)),0)</f>
        <v>9</v>
      </c>
      <c r="J53" s="160">
        <f>'Averages Pivot Table'!AE351</f>
        <v>48077.851168327361</v>
      </c>
      <c r="K53" s="138">
        <f t="shared" ref="K53" si="109">IF(J53&gt;0,RANK(J53,(J$40:J$58)),0)</f>
        <v>9</v>
      </c>
      <c r="Q53" s="134">
        <v>4.1558921089936132E-3</v>
      </c>
      <c r="R53" s="110" t="s">
        <v>206</v>
      </c>
      <c r="S53" s="135">
        <v>46221.884479864799</v>
      </c>
    </row>
    <row r="54" spans="1:19" ht="12.95" customHeight="1" x14ac:dyDescent="0.25">
      <c r="A54" s="136"/>
      <c r="B54" s="158"/>
      <c r="C54" s="138"/>
      <c r="D54" s="158"/>
      <c r="E54" s="138"/>
      <c r="F54" s="158"/>
      <c r="G54" s="138"/>
      <c r="H54" s="159"/>
      <c r="I54" s="138"/>
      <c r="J54" s="160"/>
      <c r="K54" s="138"/>
      <c r="Q54" s="134"/>
      <c r="S54" s="135"/>
    </row>
    <row r="55" spans="1:19" ht="12.95" customHeight="1" x14ac:dyDescent="0.25">
      <c r="A55" s="136" t="s">
        <v>207</v>
      </c>
      <c r="B55" s="158">
        <f>'Averages Pivot Table'!Z380</f>
        <v>0</v>
      </c>
      <c r="C55" s="138">
        <f t="shared" si="76"/>
        <v>0</v>
      </c>
      <c r="D55" s="158">
        <f>'Averages Pivot Table'!AA380</f>
        <v>44622.980622144161</v>
      </c>
      <c r="E55" s="138">
        <f t="shared" si="76"/>
        <v>12</v>
      </c>
      <c r="F55" s="158">
        <f>'Averages Pivot Table'!AB380</f>
        <v>47777.392143319863</v>
      </c>
      <c r="G55" s="138">
        <f t="shared" ref="G55" si="110">IF(F55&gt;0,RANK(F55,(F$40:F$58)),0)</f>
        <v>7</v>
      </c>
      <c r="H55" s="159">
        <f>'Averages Pivot Table'!AC380</f>
        <v>0</v>
      </c>
      <c r="I55" s="138">
        <f t="shared" ref="I55" si="111">IF(H55&gt;0,RANK(H55,(H$40:H$58)),0)</f>
        <v>0</v>
      </c>
      <c r="J55" s="160">
        <f>'Averages Pivot Table'!AE380</f>
        <v>46048.007578168879</v>
      </c>
      <c r="K55" s="138">
        <f t="shared" ref="K55" si="112">IF(J55&gt;0,RANK(J55,(J$40:J$58)),0)</f>
        <v>12</v>
      </c>
      <c r="O55" s="131"/>
      <c r="Q55" s="134">
        <v>1.3495462945704782E-2</v>
      </c>
      <c r="R55" s="110" t="s">
        <v>207</v>
      </c>
      <c r="S55" s="135">
        <v>46502.975476948595</v>
      </c>
    </row>
    <row r="56" spans="1:19" ht="12.95" customHeight="1" x14ac:dyDescent="0.25">
      <c r="A56" s="136" t="s">
        <v>208</v>
      </c>
      <c r="B56" s="158">
        <f>'Averages Pivot Table'!Z409</f>
        <v>53138.270366049954</v>
      </c>
      <c r="C56" s="138">
        <f t="shared" si="76"/>
        <v>3</v>
      </c>
      <c r="D56" s="158">
        <f>'Averages Pivot Table'!AA409</f>
        <v>55133.767320032115</v>
      </c>
      <c r="E56" s="138">
        <f t="shared" si="76"/>
        <v>4</v>
      </c>
      <c r="F56" s="158">
        <f>'Averages Pivot Table'!AB409</f>
        <v>48720.287713187208</v>
      </c>
      <c r="G56" s="138">
        <f t="shared" ref="G56" si="113">IF(F56&gt;0,RANK(F56,(F$40:F$58)),0)</f>
        <v>5</v>
      </c>
      <c r="H56" s="159">
        <f>'Averages Pivot Table'!AC409</f>
        <v>42922.616462689271</v>
      </c>
      <c r="I56" s="138">
        <f t="shared" ref="I56" si="114">IF(H56&gt;0,RANK(H56,(H$40:H$58)),0)</f>
        <v>13</v>
      </c>
      <c r="J56" s="160">
        <f>'Averages Pivot Table'!AE409</f>
        <v>53185.035763505351</v>
      </c>
      <c r="K56" s="138">
        <f t="shared" ref="K56" si="115">IF(J56&gt;0,RANK(J56,(J$40:J$58)),0)</f>
        <v>6</v>
      </c>
      <c r="O56" s="158"/>
      <c r="Q56" s="134">
        <v>-9.3519998909088863E-3</v>
      </c>
      <c r="R56" s="110" t="s">
        <v>208</v>
      </c>
      <c r="S56" s="135">
        <v>53316.681219609753</v>
      </c>
    </row>
    <row r="57" spans="1:19" ht="12.95" customHeight="1" x14ac:dyDescent="0.25">
      <c r="A57" s="136" t="s">
        <v>209</v>
      </c>
      <c r="B57" s="158">
        <f>'Averages Pivot Table'!Z438</f>
        <v>0</v>
      </c>
      <c r="C57" s="138">
        <f t="shared" si="76"/>
        <v>0</v>
      </c>
      <c r="D57" s="158">
        <f>'Averages Pivot Table'!AA438</f>
        <v>0</v>
      </c>
      <c r="E57" s="138">
        <f t="shared" si="76"/>
        <v>0</v>
      </c>
      <c r="F57" s="158">
        <f>'Averages Pivot Table'!AB438</f>
        <v>0</v>
      </c>
      <c r="G57" s="138">
        <f t="shared" ref="G57" si="116">IF(F57&gt;0,RANK(F57,(F$40:F$58)),0)</f>
        <v>0</v>
      </c>
      <c r="H57" s="159">
        <f>'Averages Pivot Table'!AC438</f>
        <v>57445.42424242424</v>
      </c>
      <c r="I57" s="138">
        <f t="shared" ref="I57" si="117">IF(H57&gt;0,RANK(H57,(H$40:H$58)),0)</f>
        <v>1</v>
      </c>
      <c r="J57" s="160">
        <f>'Averages Pivot Table'!AE438</f>
        <v>58423.364014631297</v>
      </c>
      <c r="K57" s="138">
        <f t="shared" ref="K57" si="118">IF(J57&gt;0,RANK(J57,(J$40:J$58)),0)</f>
        <v>3</v>
      </c>
      <c r="O57" s="158"/>
      <c r="Q57" s="134">
        <v>2.4344716822354919E-2</v>
      </c>
      <c r="R57" s="110" t="s">
        <v>209</v>
      </c>
      <c r="S57" s="135">
        <v>56975.266498981851</v>
      </c>
    </row>
    <row r="58" spans="1:19" ht="12.95" customHeight="1" x14ac:dyDescent="0.25">
      <c r="A58" s="161" t="s">
        <v>210</v>
      </c>
      <c r="B58" s="162">
        <f>'Averages Pivot Table'!Z467</f>
        <v>48895.120225358536</v>
      </c>
      <c r="C58" s="141">
        <f t="shared" si="76"/>
        <v>4</v>
      </c>
      <c r="D58" s="162">
        <f>'Averages Pivot Table'!AA467</f>
        <v>0</v>
      </c>
      <c r="E58" s="141">
        <f t="shared" si="76"/>
        <v>0</v>
      </c>
      <c r="F58" s="162">
        <f>'Averages Pivot Table'!AB467</f>
        <v>47754.210815145336</v>
      </c>
      <c r="G58" s="141">
        <f t="shared" ref="G58" si="119">IF(F58&gt;0,RANK(F58,(F$40:F$58)),0)</f>
        <v>8</v>
      </c>
      <c r="H58" s="163">
        <f>'Averages Pivot Table'!AC467</f>
        <v>46051.849300979608</v>
      </c>
      <c r="I58" s="141">
        <f t="shared" ref="I58" si="120">IF(H58&gt;0,RANK(H58,(H$40:H$58)),0)</f>
        <v>8</v>
      </c>
      <c r="J58" s="164">
        <f>'Averages Pivot Table'!AE467</f>
        <v>47212.803862310015</v>
      </c>
      <c r="K58" s="141">
        <f t="shared" ref="K58" si="121">IF(J58&gt;0,RANK(J58,(J$40:J$58)),0)</f>
        <v>11</v>
      </c>
      <c r="O58" s="158"/>
      <c r="Q58" s="134">
        <v>1.72395430888393E-2</v>
      </c>
      <c r="R58" s="110" t="s">
        <v>210</v>
      </c>
      <c r="S58" s="135">
        <v>47037.446610450446</v>
      </c>
    </row>
    <row r="59" spans="1:19" ht="28.5" customHeight="1" x14ac:dyDescent="0.25">
      <c r="A59" s="713" t="s">
        <v>1127</v>
      </c>
      <c r="B59" s="713"/>
      <c r="C59" s="713"/>
      <c r="D59" s="713"/>
      <c r="E59" s="713"/>
      <c r="F59" s="713"/>
      <c r="G59" s="713"/>
      <c r="H59" s="713"/>
      <c r="I59" s="713"/>
      <c r="J59" s="713"/>
      <c r="K59" s="713"/>
      <c r="L59" s="165"/>
      <c r="M59" s="165"/>
      <c r="N59" s="166"/>
      <c r="O59" s="166"/>
      <c r="Q59" s="118"/>
    </row>
    <row r="60" spans="1:19" x14ac:dyDescent="0.25">
      <c r="K60" s="102" t="s">
        <v>1124</v>
      </c>
      <c r="M60" s="102"/>
      <c r="Q60" s="118"/>
    </row>
    <row r="61" spans="1:19" ht="18" x14ac:dyDescent="0.25">
      <c r="A61" s="82" t="s">
        <v>213</v>
      </c>
      <c r="B61" s="82"/>
      <c r="C61" s="82"/>
      <c r="D61" s="82"/>
      <c r="E61" s="82"/>
      <c r="F61" s="82"/>
      <c r="G61" s="82"/>
      <c r="H61" s="82"/>
      <c r="I61" s="82"/>
      <c r="J61" s="82" t="s">
        <v>7</v>
      </c>
      <c r="K61" s="82"/>
      <c r="L61" s="82"/>
      <c r="M61" s="82"/>
      <c r="N61" s="82"/>
      <c r="O61" s="82"/>
      <c r="Q61" s="118"/>
    </row>
    <row r="62" spans="1:19" x14ac:dyDescent="0.25">
      <c r="A62" s="87"/>
      <c r="B62" s="87"/>
      <c r="C62" s="87"/>
      <c r="D62" s="87"/>
      <c r="E62" s="87"/>
      <c r="F62" s="87"/>
      <c r="G62" s="112"/>
      <c r="H62" s="112"/>
      <c r="I62" s="112"/>
      <c r="J62" s="112"/>
      <c r="K62" s="112"/>
      <c r="O62" s="158"/>
      <c r="Q62" s="118"/>
    </row>
    <row r="63" spans="1:19" x14ac:dyDescent="0.25">
      <c r="A63" s="707" t="s">
        <v>189</v>
      </c>
      <c r="B63" s="707"/>
      <c r="C63" s="707"/>
      <c r="D63" s="707"/>
      <c r="E63" s="707"/>
      <c r="F63" s="707"/>
      <c r="G63" s="707"/>
      <c r="H63" s="707"/>
      <c r="I63" s="707"/>
      <c r="J63" s="112" t="s">
        <v>7</v>
      </c>
      <c r="K63" s="112"/>
      <c r="O63" s="158"/>
      <c r="Q63" s="118"/>
    </row>
    <row r="64" spans="1:19" x14ac:dyDescent="0.25">
      <c r="A64" s="707" t="s">
        <v>274</v>
      </c>
      <c r="B64" s="707"/>
      <c r="C64" s="707"/>
      <c r="D64" s="707"/>
      <c r="E64" s="707"/>
      <c r="F64" s="707"/>
      <c r="G64" s="707"/>
      <c r="H64" s="707"/>
      <c r="I64" s="707"/>
      <c r="J64" s="112" t="s">
        <v>7</v>
      </c>
      <c r="K64" s="112"/>
      <c r="O64" s="158"/>
      <c r="Q64" s="118"/>
    </row>
    <row r="65" spans="1:19" x14ac:dyDescent="0.25">
      <c r="A65" s="87"/>
      <c r="B65" s="87"/>
      <c r="C65" s="87"/>
      <c r="D65" s="87"/>
      <c r="E65" s="87"/>
      <c r="F65" s="87"/>
      <c r="G65" s="112"/>
      <c r="H65" s="112"/>
      <c r="I65" s="112"/>
      <c r="J65" s="112"/>
      <c r="K65" s="112"/>
      <c r="L65" s="133"/>
      <c r="M65" s="133"/>
      <c r="N65" s="133"/>
      <c r="O65" s="167"/>
      <c r="Q65" s="118"/>
    </row>
    <row r="66" spans="1:19" s="127" customFormat="1" ht="48" customHeight="1" x14ac:dyDescent="0.2">
      <c r="A66" s="168"/>
      <c r="B66" s="169" t="s">
        <v>215</v>
      </c>
      <c r="C66" s="170"/>
      <c r="D66" s="169" t="s">
        <v>185</v>
      </c>
      <c r="E66" s="116"/>
      <c r="F66" s="171" t="s">
        <v>186</v>
      </c>
      <c r="G66" s="116"/>
      <c r="L66" s="172" t="s">
        <v>7</v>
      </c>
      <c r="M66" s="173"/>
      <c r="N66" s="172"/>
      <c r="O66" s="174"/>
      <c r="Q66" s="118" t="s">
        <v>191</v>
      </c>
      <c r="R66" s="129"/>
      <c r="S66" s="110" t="s">
        <v>192</v>
      </c>
    </row>
    <row r="67" spans="1:19" x14ac:dyDescent="0.25">
      <c r="A67" s="120"/>
      <c r="B67" s="146" t="s">
        <v>193</v>
      </c>
      <c r="C67" s="147" t="s">
        <v>170</v>
      </c>
      <c r="D67" s="146" t="s">
        <v>193</v>
      </c>
      <c r="E67" s="147" t="s">
        <v>170</v>
      </c>
      <c r="F67" s="148" t="s">
        <v>193</v>
      </c>
      <c r="G67" s="147" t="s">
        <v>170</v>
      </c>
      <c r="L67" s="149"/>
      <c r="M67" s="150"/>
      <c r="N67" s="149"/>
      <c r="O67" s="158"/>
      <c r="Q67" s="118"/>
    </row>
    <row r="68" spans="1:19" s="127" customFormat="1" ht="18" customHeight="1" x14ac:dyDescent="0.25">
      <c r="A68" s="124" t="s">
        <v>194</v>
      </c>
      <c r="B68" s="151">
        <f>'Averages Pivot Table'!AF495</f>
        <v>41144.201379390543</v>
      </c>
      <c r="C68" s="151"/>
      <c r="D68" s="151">
        <f>'Averages Pivot Table'!AG495</f>
        <v>42681.169229786276</v>
      </c>
      <c r="E68" s="151"/>
      <c r="F68" s="153">
        <f>'Averages Pivot Table'!AH495</f>
        <v>41617.922027705943</v>
      </c>
      <c r="G68" s="151"/>
      <c r="J68" s="151"/>
      <c r="K68" s="151"/>
      <c r="L68" s="151"/>
      <c r="M68" s="154"/>
      <c r="N68" s="154"/>
      <c r="O68" s="174"/>
      <c r="Q68" s="128">
        <v>-1.1806780023714269E-2</v>
      </c>
      <c r="R68" s="129" t="s">
        <v>194</v>
      </c>
      <c r="S68" s="130">
        <v>45150.740528898044</v>
      </c>
    </row>
    <row r="69" spans="1:19" ht="12.95" customHeight="1" x14ac:dyDescent="0.25">
      <c r="A69" s="136"/>
      <c r="B69" s="167"/>
      <c r="C69" s="167"/>
      <c r="D69" s="167"/>
      <c r="E69" s="167"/>
      <c r="F69" s="175"/>
      <c r="G69" s="176"/>
      <c r="J69" s="133"/>
      <c r="O69" s="158"/>
      <c r="Q69" s="134"/>
      <c r="S69" s="135"/>
    </row>
    <row r="70" spans="1:19" ht="12.95" customHeight="1" x14ac:dyDescent="0.25">
      <c r="A70" s="136" t="s">
        <v>195</v>
      </c>
      <c r="B70" s="167">
        <f>'Averages Pivot Table'!AF32</f>
        <v>53364.060301507532</v>
      </c>
      <c r="C70" s="138">
        <f>IF(B70&gt;0,RANK(B70,(B$70:B$88)),0)</f>
        <v>1</v>
      </c>
      <c r="D70" s="167">
        <f>'Averages Pivot Table'!AG32</f>
        <v>49066.595690970404</v>
      </c>
      <c r="E70" s="138">
        <f>IF(D70&gt;0,RANK(D70,(D$70:D$88)),0)</f>
        <v>1</v>
      </c>
      <c r="F70" s="177">
        <f>'Averages Pivot Table'!AH32</f>
        <v>50864.227946358485</v>
      </c>
      <c r="G70" s="138">
        <f>IF(F70&gt;0,RANK(F70,(F$70:F$88)),0)</f>
        <v>1</v>
      </c>
      <c r="J70" s="133"/>
      <c r="O70" s="167"/>
      <c r="Q70" s="134">
        <v>-5.8555491955274968E-3</v>
      </c>
      <c r="R70" s="110" t="s">
        <v>195</v>
      </c>
      <c r="S70" s="135">
        <v>53421.884542857144</v>
      </c>
    </row>
    <row r="71" spans="1:19" ht="12.95" customHeight="1" x14ac:dyDescent="0.25">
      <c r="A71" s="136" t="s">
        <v>196</v>
      </c>
      <c r="B71" s="167">
        <f>'Averages Pivot Table'!AF61</f>
        <v>0</v>
      </c>
      <c r="C71" s="138">
        <f t="shared" ref="C71:E88" si="122">IF(B71&gt;0,RANK(B71,(B$70:B$88)),0)</f>
        <v>0</v>
      </c>
      <c r="D71" s="167">
        <f>'Averages Pivot Table'!AG61</f>
        <v>0</v>
      </c>
      <c r="E71" s="138">
        <f t="shared" si="122"/>
        <v>0</v>
      </c>
      <c r="F71" s="177">
        <f>'Averages Pivot Table'!AH61</f>
        <v>0</v>
      </c>
      <c r="G71" s="138">
        <f t="shared" ref="G71" si="123">IF(F71&gt;0,RANK(F71,(F$70:F$88)),0)</f>
        <v>0</v>
      </c>
      <c r="J71" s="133"/>
      <c r="O71" s="158"/>
      <c r="Q71" s="134" t="e">
        <v>#DIV/0!</v>
      </c>
      <c r="R71" s="110" t="s">
        <v>196</v>
      </c>
      <c r="S71" s="135">
        <v>0</v>
      </c>
    </row>
    <row r="72" spans="1:19" ht="12.95" customHeight="1" x14ac:dyDescent="0.25">
      <c r="A72" s="136" t="s">
        <v>197</v>
      </c>
      <c r="B72" s="167">
        <f>'Averages Pivot Table'!AF90</f>
        <v>0</v>
      </c>
      <c r="C72" s="138">
        <f t="shared" si="122"/>
        <v>0</v>
      </c>
      <c r="D72" s="167">
        <f>'Averages Pivot Table'!AG90</f>
        <v>0</v>
      </c>
      <c r="E72" s="138">
        <f t="shared" si="122"/>
        <v>0</v>
      </c>
      <c r="F72" s="177">
        <f>'Averages Pivot Table'!AH90</f>
        <v>0</v>
      </c>
      <c r="G72" s="138">
        <f t="shared" ref="G72" si="124">IF(F72&gt;0,RANK(F72,(F$70:F$88)),0)</f>
        <v>0</v>
      </c>
      <c r="J72" s="133"/>
      <c r="O72" s="158"/>
      <c r="Q72" s="134" t="e">
        <v>#DIV/0!</v>
      </c>
      <c r="R72" s="110" t="s">
        <v>197</v>
      </c>
      <c r="S72" s="135">
        <v>0</v>
      </c>
    </row>
    <row r="73" spans="1:19" ht="12.95" customHeight="1" x14ac:dyDescent="0.25">
      <c r="A73" s="136" t="s">
        <v>198</v>
      </c>
      <c r="B73" s="167">
        <f>'Averages Pivot Table'!AF119</f>
        <v>0</v>
      </c>
      <c r="C73" s="138">
        <f t="shared" si="122"/>
        <v>0</v>
      </c>
      <c r="D73" s="167">
        <f>'Averages Pivot Table'!AG119</f>
        <v>0</v>
      </c>
      <c r="E73" s="138">
        <f t="shared" si="122"/>
        <v>0</v>
      </c>
      <c r="F73" s="177">
        <f>'Averages Pivot Table'!AH119</f>
        <v>0</v>
      </c>
      <c r="G73" s="138">
        <f t="shared" ref="G73" si="125">IF(F73&gt;0,RANK(F73,(F$70:F$88)),0)</f>
        <v>0</v>
      </c>
      <c r="J73" s="133"/>
      <c r="O73" s="158"/>
      <c r="Q73" s="134" t="e">
        <v>#DIV/0!</v>
      </c>
      <c r="R73" s="110" t="s">
        <v>198</v>
      </c>
      <c r="S73" s="135">
        <v>0</v>
      </c>
    </row>
    <row r="74" spans="1:19" ht="12.95" customHeight="1" x14ac:dyDescent="0.25">
      <c r="A74" s="136"/>
      <c r="B74" s="167"/>
      <c r="C74" s="138"/>
      <c r="D74" s="167"/>
      <c r="E74" s="138"/>
      <c r="F74" s="177"/>
      <c r="G74" s="138"/>
      <c r="J74" s="133"/>
      <c r="O74" s="158"/>
      <c r="Q74" s="134"/>
      <c r="S74" s="135"/>
    </row>
    <row r="75" spans="1:19" ht="12.95" customHeight="1" x14ac:dyDescent="0.25">
      <c r="A75" s="136" t="s">
        <v>199</v>
      </c>
      <c r="B75" s="167">
        <f>'Averages Pivot Table'!AF148</f>
        <v>41580.85665023102</v>
      </c>
      <c r="C75" s="138">
        <f t="shared" si="122"/>
        <v>3</v>
      </c>
      <c r="D75" s="167">
        <f>'Averages Pivot Table'!AG148</f>
        <v>0</v>
      </c>
      <c r="E75" s="138">
        <f t="shared" si="122"/>
        <v>0</v>
      </c>
      <c r="F75" s="177">
        <f>'Averages Pivot Table'!AH148</f>
        <v>41580.85665023102</v>
      </c>
      <c r="G75" s="138">
        <f t="shared" ref="G75" si="126">IF(F75&gt;0,RANK(F75,(F$70:F$88)),0)</f>
        <v>3</v>
      </c>
      <c r="J75" s="133"/>
      <c r="O75" s="158"/>
      <c r="Q75" s="134">
        <v>-7.4337614178779984E-3</v>
      </c>
      <c r="R75" s="110" t="s">
        <v>199</v>
      </c>
      <c r="S75" s="135">
        <v>45023.665847234435</v>
      </c>
    </row>
    <row r="76" spans="1:19" ht="12.95" customHeight="1" x14ac:dyDescent="0.25">
      <c r="A76" s="136" t="s">
        <v>200</v>
      </c>
      <c r="B76" s="167">
        <f>'Averages Pivot Table'!AF177</f>
        <v>40761.67988784358</v>
      </c>
      <c r="C76" s="138">
        <f t="shared" si="122"/>
        <v>4</v>
      </c>
      <c r="D76" s="167">
        <f>'Averages Pivot Table'!AG177</f>
        <v>0</v>
      </c>
      <c r="E76" s="138">
        <f t="shared" si="122"/>
        <v>0</v>
      </c>
      <c r="F76" s="177">
        <f>'Averages Pivot Table'!AH177</f>
        <v>40761.67988784358</v>
      </c>
      <c r="G76" s="138">
        <f t="shared" ref="G76" si="127">IF(F76&gt;0,RANK(F76,(F$70:F$88)),0)</f>
        <v>4</v>
      </c>
      <c r="J76" s="133"/>
      <c r="O76" s="158"/>
      <c r="Q76" s="134">
        <v>1.106613368400686E-2</v>
      </c>
      <c r="R76" s="110" t="s">
        <v>200</v>
      </c>
      <c r="S76" s="135">
        <v>44076.473624050632</v>
      </c>
    </row>
    <row r="77" spans="1:19" ht="12.95" customHeight="1" x14ac:dyDescent="0.25">
      <c r="A77" s="136" t="s">
        <v>201</v>
      </c>
      <c r="B77" s="167">
        <f>'Averages Pivot Table'!AF206</f>
        <v>33502.643736213919</v>
      </c>
      <c r="C77" s="138">
        <f t="shared" si="122"/>
        <v>6</v>
      </c>
      <c r="D77" s="167">
        <f>'Averages Pivot Table'!AG206</f>
        <v>0</v>
      </c>
      <c r="E77" s="138">
        <f t="shared" si="122"/>
        <v>0</v>
      </c>
      <c r="F77" s="177">
        <f>'Averages Pivot Table'!AH206</f>
        <v>33502.643736213919</v>
      </c>
      <c r="G77" s="138">
        <f t="shared" ref="G77" si="128">IF(F77&gt;0,RANK(F77,(F$70:F$88)),0)</f>
        <v>6</v>
      </c>
      <c r="J77" s="133"/>
      <c r="Q77" s="134">
        <v>-2.7296668327212479E-2</v>
      </c>
      <c r="R77" s="110" t="s">
        <v>201</v>
      </c>
      <c r="S77" s="135">
        <v>39066.325418487395</v>
      </c>
    </row>
    <row r="78" spans="1:19" ht="12.95" customHeight="1" x14ac:dyDescent="0.25">
      <c r="A78" s="136" t="s">
        <v>202</v>
      </c>
      <c r="B78" s="167">
        <f>'Averages Pivot Table'!AF235</f>
        <v>0</v>
      </c>
      <c r="C78" s="138">
        <f t="shared" si="122"/>
        <v>0</v>
      </c>
      <c r="D78" s="167">
        <f>'Averages Pivot Table'!AG235</f>
        <v>0</v>
      </c>
      <c r="E78" s="138">
        <f t="shared" si="122"/>
        <v>0</v>
      </c>
      <c r="F78" s="177">
        <f>'Averages Pivot Table'!AH235</f>
        <v>0</v>
      </c>
      <c r="G78" s="138">
        <f t="shared" ref="G78" si="129">IF(F78&gt;0,RANK(F78,(F$70:F$88)),0)</f>
        <v>0</v>
      </c>
      <c r="J78" s="133"/>
      <c r="Q78" s="134" t="e">
        <v>#DIV/0!</v>
      </c>
      <c r="R78" s="110" t="s">
        <v>202</v>
      </c>
      <c r="S78" s="135">
        <v>0</v>
      </c>
    </row>
    <row r="79" spans="1:19" ht="12.95" customHeight="1" x14ac:dyDescent="0.25">
      <c r="A79" s="136"/>
      <c r="B79" s="167"/>
      <c r="C79" s="138"/>
      <c r="D79" s="167"/>
      <c r="E79" s="138"/>
      <c r="F79" s="177"/>
      <c r="G79" s="138"/>
      <c r="J79" s="133"/>
      <c r="Q79" s="134"/>
      <c r="S79" s="135"/>
    </row>
    <row r="80" spans="1:19" ht="12.95" customHeight="1" x14ac:dyDescent="0.25">
      <c r="A80" s="136" t="s">
        <v>203</v>
      </c>
      <c r="B80" s="167">
        <f>'Averages Pivot Table'!AF264</f>
        <v>0</v>
      </c>
      <c r="C80" s="138">
        <f t="shared" si="122"/>
        <v>0</v>
      </c>
      <c r="D80" s="167">
        <f>'Averages Pivot Table'!AG264</f>
        <v>0</v>
      </c>
      <c r="E80" s="138">
        <f t="shared" si="122"/>
        <v>0</v>
      </c>
      <c r="F80" s="177">
        <f>'Averages Pivot Table'!AH264</f>
        <v>0</v>
      </c>
      <c r="G80" s="138">
        <f t="shared" ref="G80" si="130">IF(F80&gt;0,RANK(F80,(F$70:F$88)),0)</f>
        <v>0</v>
      </c>
      <c r="J80" s="133"/>
      <c r="Q80" s="134" t="e">
        <v>#DIV/0!</v>
      </c>
      <c r="R80" s="110" t="s">
        <v>203</v>
      </c>
      <c r="S80" s="135">
        <v>0</v>
      </c>
    </row>
    <row r="81" spans="1:19" ht="12.95" customHeight="1" x14ac:dyDescent="0.25">
      <c r="A81" s="136" t="s">
        <v>204</v>
      </c>
      <c r="B81" s="167">
        <f>'Averages Pivot Table'!AF293</f>
        <v>0</v>
      </c>
      <c r="C81" s="138">
        <f t="shared" si="122"/>
        <v>0</v>
      </c>
      <c r="D81" s="167">
        <f>'Averages Pivot Table'!AG293</f>
        <v>0</v>
      </c>
      <c r="E81" s="138">
        <f t="shared" si="122"/>
        <v>0</v>
      </c>
      <c r="F81" s="177">
        <f>'Averages Pivot Table'!AH293</f>
        <v>0</v>
      </c>
      <c r="G81" s="138">
        <f t="shared" ref="G81" si="131">IF(F81&gt;0,RANK(F81,(F$70:F$88)),0)</f>
        <v>0</v>
      </c>
      <c r="J81" s="133"/>
      <c r="Q81" s="134" t="e">
        <v>#DIV/0!</v>
      </c>
      <c r="R81" s="110" t="s">
        <v>204</v>
      </c>
      <c r="S81" s="135">
        <v>0</v>
      </c>
    </row>
    <row r="82" spans="1:19" ht="12.95" customHeight="1" x14ac:dyDescent="0.25">
      <c r="A82" s="136" t="s">
        <v>205</v>
      </c>
      <c r="B82" s="167">
        <f>'Averages Pivot Table'!AF322</f>
        <v>51474.813342655325</v>
      </c>
      <c r="C82" s="138">
        <f t="shared" si="122"/>
        <v>2</v>
      </c>
      <c r="D82" s="167">
        <f>'Averages Pivot Table'!AG322</f>
        <v>45134.363017665106</v>
      </c>
      <c r="E82" s="138">
        <f t="shared" si="122"/>
        <v>2</v>
      </c>
      <c r="F82" s="177">
        <f>'Averages Pivot Table'!AH322</f>
        <v>46355.703218515751</v>
      </c>
      <c r="G82" s="138">
        <f t="shared" ref="G82" si="132">IF(F82&gt;0,RANK(F82,(F$70:F$88)),0)</f>
        <v>2</v>
      </c>
      <c r="J82" s="133"/>
      <c r="Q82" s="134">
        <v>2.0362407377653446E-2</v>
      </c>
      <c r="R82" s="110" t="s">
        <v>205</v>
      </c>
      <c r="S82" s="135">
        <v>48882.789532329494</v>
      </c>
    </row>
    <row r="83" spans="1:19" ht="12.95" customHeight="1" x14ac:dyDescent="0.25">
      <c r="A83" s="136" t="s">
        <v>206</v>
      </c>
      <c r="B83" s="167">
        <f>'Averages Pivot Table'!AF351</f>
        <v>0</v>
      </c>
      <c r="C83" s="138">
        <f t="shared" si="122"/>
        <v>0</v>
      </c>
      <c r="D83" s="167">
        <f>'Averages Pivot Table'!AG351</f>
        <v>0</v>
      </c>
      <c r="E83" s="138">
        <f t="shared" si="122"/>
        <v>0</v>
      </c>
      <c r="F83" s="177">
        <f>'Averages Pivot Table'!AH351</f>
        <v>0</v>
      </c>
      <c r="G83" s="138">
        <f t="shared" ref="G83" si="133">IF(F83&gt;0,RANK(F83,(F$70:F$88)),0)</f>
        <v>0</v>
      </c>
      <c r="J83" s="133"/>
      <c r="Q83" s="134" t="e">
        <v>#DIV/0!</v>
      </c>
      <c r="R83" s="110" t="s">
        <v>206</v>
      </c>
      <c r="S83" s="135">
        <v>0</v>
      </c>
    </row>
    <row r="84" spans="1:19" ht="12.95" customHeight="1" x14ac:dyDescent="0.25">
      <c r="A84" s="136"/>
      <c r="B84" s="167"/>
      <c r="C84" s="138"/>
      <c r="D84" s="167"/>
      <c r="E84" s="138"/>
      <c r="F84" s="177"/>
      <c r="G84" s="138"/>
      <c r="J84" s="133"/>
      <c r="Q84" s="134"/>
      <c r="S84" s="135"/>
    </row>
    <row r="85" spans="1:19" ht="12.95" customHeight="1" x14ac:dyDescent="0.25">
      <c r="A85" s="136" t="s">
        <v>207</v>
      </c>
      <c r="B85" s="137">
        <f>'Averages Pivot Table'!AF380</f>
        <v>38223.13461538461</v>
      </c>
      <c r="C85" s="138">
        <f t="shared" si="122"/>
        <v>5</v>
      </c>
      <c r="D85" s="137">
        <f>'Averages Pivot Table'!AG380</f>
        <v>36420.107678571425</v>
      </c>
      <c r="E85" s="138">
        <f t="shared" si="122"/>
        <v>3</v>
      </c>
      <c r="F85" s="177">
        <f>'Averages Pivot Table'!AH380</f>
        <v>36568.771633192388</v>
      </c>
      <c r="G85" s="138">
        <f t="shared" ref="G85" si="134">IF(F85&gt;0,RANK(F85,(F$70:F$88)),0)</f>
        <v>5</v>
      </c>
      <c r="J85" s="133"/>
      <c r="Q85" s="134">
        <v>4.0410447301512185E-2</v>
      </c>
      <c r="R85" s="110" t="s">
        <v>207</v>
      </c>
      <c r="S85" s="135">
        <v>36905.217244990548</v>
      </c>
    </row>
    <row r="86" spans="1:19" ht="12.95" customHeight="1" x14ac:dyDescent="0.25">
      <c r="A86" s="136" t="s">
        <v>208</v>
      </c>
      <c r="B86" s="137">
        <f>'Averages Pivot Table'!AF409</f>
        <v>0</v>
      </c>
      <c r="C86" s="138">
        <f t="shared" si="122"/>
        <v>0</v>
      </c>
      <c r="D86" s="137">
        <f>'Averages Pivot Table'!AG409</f>
        <v>0</v>
      </c>
      <c r="E86" s="138">
        <f t="shared" si="122"/>
        <v>0</v>
      </c>
      <c r="F86" s="177">
        <f>'Averages Pivot Table'!AH409</f>
        <v>0</v>
      </c>
      <c r="G86" s="138">
        <f t="shared" ref="G86" si="135">IF(F86&gt;0,RANK(F86,(F$70:F$88)),0)</f>
        <v>0</v>
      </c>
      <c r="J86" s="133"/>
      <c r="Q86" s="134" t="e">
        <v>#DIV/0!</v>
      </c>
      <c r="R86" s="110" t="s">
        <v>208</v>
      </c>
      <c r="S86" s="135">
        <v>0</v>
      </c>
    </row>
    <row r="87" spans="1:19" ht="12.95" customHeight="1" x14ac:dyDescent="0.25">
      <c r="A87" s="136" t="s">
        <v>209</v>
      </c>
      <c r="B87" s="137">
        <f>'Averages Pivot Table'!AF438</f>
        <v>0</v>
      </c>
      <c r="C87" s="138">
        <f t="shared" si="122"/>
        <v>0</v>
      </c>
      <c r="D87" s="137">
        <f>'Averages Pivot Table'!AG438</f>
        <v>0</v>
      </c>
      <c r="E87" s="138">
        <f t="shared" si="122"/>
        <v>0</v>
      </c>
      <c r="F87" s="177">
        <f>'Averages Pivot Table'!AH438</f>
        <v>0</v>
      </c>
      <c r="G87" s="138">
        <f t="shared" ref="G87" si="136">IF(F87&gt;0,RANK(F87,(F$70:F$88)),0)</f>
        <v>0</v>
      </c>
      <c r="J87" s="133"/>
      <c r="Q87" s="134" t="e">
        <v>#DIV/0!</v>
      </c>
      <c r="R87" s="110" t="s">
        <v>209</v>
      </c>
      <c r="S87" s="135">
        <v>0</v>
      </c>
    </row>
    <row r="88" spans="1:19" ht="12.95" customHeight="1" x14ac:dyDescent="0.25">
      <c r="A88" s="161" t="s">
        <v>210</v>
      </c>
      <c r="B88" s="140">
        <f>'Averages Pivot Table'!AF467</f>
        <v>0</v>
      </c>
      <c r="C88" s="141">
        <f t="shared" si="122"/>
        <v>0</v>
      </c>
      <c r="D88" s="140">
        <f>'Averages Pivot Table'!AG467</f>
        <v>0</v>
      </c>
      <c r="E88" s="141">
        <f t="shared" si="122"/>
        <v>0</v>
      </c>
      <c r="F88" s="178">
        <f>'Averages Pivot Table'!AH467</f>
        <v>0</v>
      </c>
      <c r="G88" s="141">
        <f t="shared" ref="G88" si="137">IF(F88&gt;0,RANK(F88,(F$70:F$88)),0)</f>
        <v>0</v>
      </c>
      <c r="J88" s="133"/>
      <c r="Q88" s="134" t="e">
        <v>#DIV/0!</v>
      </c>
      <c r="R88" s="110" t="s">
        <v>210</v>
      </c>
      <c r="S88" s="135">
        <v>0</v>
      </c>
    </row>
    <row r="89" spans="1:19" ht="38.25" customHeight="1" x14ac:dyDescent="0.25">
      <c r="A89" s="711" t="s">
        <v>1127</v>
      </c>
      <c r="B89" s="711"/>
      <c r="C89" s="711"/>
      <c r="D89" s="711"/>
      <c r="E89" s="711"/>
      <c r="F89" s="711"/>
      <c r="G89" s="711"/>
      <c r="H89" s="676"/>
      <c r="I89" s="676"/>
      <c r="J89" s="133"/>
    </row>
    <row r="90" spans="1:19" x14ac:dyDescent="0.25">
      <c r="G90" s="102" t="s">
        <v>1124</v>
      </c>
      <c r="I90" s="102" t="s">
        <v>7</v>
      </c>
    </row>
    <row r="91" spans="1:19" ht="18" x14ac:dyDescent="0.25">
      <c r="A91" s="710" t="s">
        <v>217</v>
      </c>
      <c r="B91" s="710"/>
      <c r="C91" s="710"/>
      <c r="D91" s="710"/>
      <c r="E91" s="710"/>
      <c r="F91" s="710"/>
      <c r="G91" s="710"/>
      <c r="H91" s="710"/>
      <c r="I91" s="710"/>
      <c r="J91" s="710"/>
      <c r="K91" s="710"/>
      <c r="L91" s="710"/>
      <c r="M91" s="710"/>
      <c r="N91" s="179"/>
      <c r="O91" s="179"/>
    </row>
    <row r="92" spans="1:19" x14ac:dyDescent="0.25">
      <c r="A92" s="180"/>
      <c r="B92" s="87"/>
      <c r="C92" s="87"/>
      <c r="D92" s="87"/>
      <c r="E92" s="87"/>
      <c r="F92" s="87"/>
      <c r="G92" s="87"/>
      <c r="H92" s="87"/>
      <c r="I92" s="87"/>
      <c r="J92" s="87"/>
      <c r="K92" s="87"/>
      <c r="L92" s="87"/>
      <c r="M92" s="87"/>
      <c r="N92" s="87"/>
      <c r="O92" s="87"/>
    </row>
    <row r="93" spans="1:19" x14ac:dyDescent="0.25">
      <c r="A93" s="707" t="s">
        <v>218</v>
      </c>
      <c r="B93" s="707"/>
      <c r="C93" s="707"/>
      <c r="D93" s="707"/>
      <c r="E93" s="707"/>
      <c r="F93" s="707"/>
      <c r="G93" s="707"/>
      <c r="H93" s="707"/>
      <c r="I93" s="707"/>
      <c r="J93" s="707"/>
      <c r="K93" s="707"/>
      <c r="L93" s="707"/>
      <c r="M93" s="707"/>
      <c r="N93" s="181"/>
      <c r="O93" s="181"/>
    </row>
    <row r="94" spans="1:19" x14ac:dyDescent="0.25">
      <c r="A94" s="707" t="s">
        <v>272</v>
      </c>
      <c r="B94" s="707"/>
      <c r="C94" s="707"/>
      <c r="D94" s="707"/>
      <c r="E94" s="707"/>
      <c r="F94" s="707"/>
      <c r="G94" s="707"/>
      <c r="H94" s="707"/>
      <c r="I94" s="707"/>
      <c r="J94" s="707"/>
      <c r="K94" s="707"/>
      <c r="L94" s="707"/>
      <c r="M94" s="707"/>
      <c r="N94" s="181"/>
      <c r="O94" s="181"/>
    </row>
    <row r="95" spans="1:19" x14ac:dyDescent="0.25">
      <c r="A95" s="136"/>
      <c r="B95" s="136"/>
      <c r="C95" s="136"/>
      <c r="D95" s="136"/>
      <c r="E95" s="136"/>
      <c r="F95" s="136"/>
      <c r="G95" s="136"/>
      <c r="H95" s="136"/>
      <c r="I95" s="136"/>
      <c r="J95" s="136"/>
      <c r="K95" s="136"/>
      <c r="L95" s="136"/>
      <c r="M95" s="136"/>
      <c r="N95" s="136"/>
      <c r="O95" s="136"/>
    </row>
    <row r="96" spans="1:19" ht="31.5" customHeight="1" x14ac:dyDescent="0.25">
      <c r="A96" s="114"/>
      <c r="B96" s="182" t="s">
        <v>3</v>
      </c>
      <c r="C96" s="183"/>
      <c r="D96" s="184" t="s">
        <v>4</v>
      </c>
      <c r="E96" s="185"/>
      <c r="F96" s="184" t="s">
        <v>5</v>
      </c>
      <c r="G96" s="185"/>
      <c r="H96" s="182" t="s">
        <v>6</v>
      </c>
      <c r="I96" s="183"/>
      <c r="J96" s="184" t="s">
        <v>219</v>
      </c>
      <c r="K96" s="185"/>
      <c r="L96" s="183" t="s">
        <v>220</v>
      </c>
      <c r="M96" s="183"/>
      <c r="N96" s="186" t="s">
        <v>7</v>
      </c>
      <c r="O96" s="186"/>
    </row>
    <row r="97" spans="1:19" x14ac:dyDescent="0.25">
      <c r="A97" s="120"/>
      <c r="B97" s="116" t="s">
        <v>193</v>
      </c>
      <c r="C97" s="115" t="s">
        <v>170</v>
      </c>
      <c r="D97" s="116" t="s">
        <v>193</v>
      </c>
      <c r="E97" s="115" t="s">
        <v>170</v>
      </c>
      <c r="F97" s="116" t="s">
        <v>193</v>
      </c>
      <c r="G97" s="115" t="s">
        <v>170</v>
      </c>
      <c r="H97" s="116" t="s">
        <v>193</v>
      </c>
      <c r="I97" s="115" t="s">
        <v>170</v>
      </c>
      <c r="J97" s="116" t="s">
        <v>193</v>
      </c>
      <c r="K97" s="115" t="s">
        <v>170</v>
      </c>
      <c r="L97" s="116" t="s">
        <v>193</v>
      </c>
      <c r="M97" s="115" t="s">
        <v>170</v>
      </c>
    </row>
    <row r="98" spans="1:19" s="127" customFormat="1" ht="18" customHeight="1" x14ac:dyDescent="0.25">
      <c r="A98" s="124" t="s">
        <v>194</v>
      </c>
      <c r="B98" s="151">
        <f>'Averages Pivot Table'!Y471</f>
        <v>104883.81223598598</v>
      </c>
      <c r="C98" s="151"/>
      <c r="D98" s="151">
        <f>'Averages Pivot Table'!Y475</f>
        <v>74822.171703807588</v>
      </c>
      <c r="E98" s="151"/>
      <c r="F98" s="151">
        <f>'Averages Pivot Table'!Y479</f>
        <v>64021.422919251476</v>
      </c>
      <c r="G98" s="151"/>
      <c r="H98" s="151">
        <f>'Averages Pivot Table'!Y483</f>
        <v>45031.221222968801</v>
      </c>
      <c r="I98" s="151"/>
      <c r="J98" s="151">
        <f>'Averages Pivot Table'!Y487</f>
        <v>49538.297696053123</v>
      </c>
      <c r="K98" s="151"/>
      <c r="L98" s="151">
        <f>'Averages Pivot Table'!Y495</f>
        <v>74682.273896093233</v>
      </c>
      <c r="M98" s="187"/>
      <c r="N98" s="151"/>
      <c r="O98" s="188"/>
      <c r="Q98" s="129"/>
      <c r="R98" s="129"/>
      <c r="S98" s="129"/>
    </row>
    <row r="99" spans="1:19" x14ac:dyDescent="0.25">
      <c r="A99" s="136"/>
      <c r="B99" s="131"/>
      <c r="C99" s="155"/>
      <c r="D99" s="131"/>
      <c r="E99" s="155"/>
      <c r="F99" s="131"/>
      <c r="G99" s="155"/>
      <c r="H99" s="131"/>
      <c r="I99" s="155"/>
      <c r="J99" s="131"/>
      <c r="K99" s="155"/>
      <c r="L99" s="131"/>
      <c r="M99" s="155"/>
      <c r="N99" s="131"/>
      <c r="O99" s="132"/>
      <c r="Q99" s="109"/>
      <c r="R99" s="109"/>
      <c r="S99" s="109"/>
    </row>
    <row r="100" spans="1:19" x14ac:dyDescent="0.25">
      <c r="A100" s="136" t="s">
        <v>195</v>
      </c>
      <c r="B100" s="189">
        <f>'Averages Pivot Table'!Y8</f>
        <v>103481.39028292647</v>
      </c>
      <c r="C100" s="138">
        <f>IF(B100&gt;0,RANK(B100,(B$100:B$118)),0)</f>
        <v>9</v>
      </c>
      <c r="D100" s="189">
        <f>'Averages Pivot Table'!Y12</f>
        <v>75062.437197547042</v>
      </c>
      <c r="E100" s="138">
        <f>IF(D100&gt;0,RANK(D100,(D$100:D$118)),0)</f>
        <v>8</v>
      </c>
      <c r="F100" s="189">
        <f>'Averages Pivot Table'!Y16</f>
        <v>60544.058687459445</v>
      </c>
      <c r="G100" s="138">
        <f>IF(F100&gt;0,RANK(F100,(F$100:F$118)),0)</f>
        <v>9</v>
      </c>
      <c r="H100" s="189">
        <f>'Averages Pivot Table'!Y20</f>
        <v>45459.633034989427</v>
      </c>
      <c r="I100" s="138">
        <f>IF(H100&gt;0,RANK(H100,(H$100:H$118)),0)</f>
        <v>8</v>
      </c>
      <c r="J100" s="189">
        <f>'Averages Pivot Table'!Y24</f>
        <v>46585.878281306716</v>
      </c>
      <c r="K100" s="138">
        <f>IF(J100&gt;0,RANK(J100,(J$100:J$118)),0)</f>
        <v>9</v>
      </c>
      <c r="L100" s="189">
        <f>'Averages Pivot Table'!Y32</f>
        <v>73960.181788217902</v>
      </c>
      <c r="M100" s="138">
        <f>IF(L100&gt;0,RANK(L100,(L$100:L$118)),0)</f>
        <v>8</v>
      </c>
      <c r="N100" s="189"/>
      <c r="O100" s="190"/>
      <c r="Q100" s="109"/>
      <c r="R100" s="109"/>
      <c r="S100" s="109"/>
    </row>
    <row r="101" spans="1:19" x14ac:dyDescent="0.25">
      <c r="A101" s="136" t="s">
        <v>196</v>
      </c>
      <c r="B101" s="189">
        <f>'Averages Pivot Table'!Y37</f>
        <v>87755.160272578738</v>
      </c>
      <c r="C101" s="138">
        <f t="shared" ref="C101:E118" si="138">IF(B101&gt;0,RANK(B101,(B$100:B$118)),0)</f>
        <v>15</v>
      </c>
      <c r="D101" s="189">
        <f>'Averages Pivot Table'!Y41</f>
        <v>64893.445707155959</v>
      </c>
      <c r="E101" s="138">
        <f t="shared" si="138"/>
        <v>16</v>
      </c>
      <c r="F101" s="189">
        <f>'Averages Pivot Table'!Y45</f>
        <v>57893.894095418713</v>
      </c>
      <c r="G101" s="138">
        <f t="shared" ref="G101" si="139">IF(F101&gt;0,RANK(F101,(F$100:F$118)),0)</f>
        <v>15</v>
      </c>
      <c r="H101" s="189">
        <f>'Averages Pivot Table'!Y49</f>
        <v>40609.324984608967</v>
      </c>
      <c r="I101" s="138">
        <f t="shared" ref="I101" si="140">IF(H101&gt;0,RANK(H101,(H$100:H$118)),0)</f>
        <v>15</v>
      </c>
      <c r="J101" s="189">
        <f>'Averages Pivot Table'!Y53</f>
        <v>35155.610473472654</v>
      </c>
      <c r="K101" s="138">
        <f t="shared" ref="K101" si="141">IF(J101&gt;0,RANK(J101,(J$100:J$118)),0)</f>
        <v>13</v>
      </c>
      <c r="L101" s="189">
        <f>'Averages Pivot Table'!Y61</f>
        <v>61825.661571843157</v>
      </c>
      <c r="M101" s="138">
        <f t="shared" ref="M101" si="142">IF(L101&gt;0,RANK(L101,(L$100:L$118)),0)</f>
        <v>16</v>
      </c>
      <c r="N101" s="189"/>
      <c r="O101" s="190"/>
      <c r="Q101" s="109"/>
      <c r="R101" s="109"/>
      <c r="S101" s="109"/>
    </row>
    <row r="102" spans="1:19" x14ac:dyDescent="0.25">
      <c r="A102" s="136" t="s">
        <v>197</v>
      </c>
      <c r="B102" s="189">
        <f>'Averages Pivot Table'!Y66</f>
        <v>136462.34034827602</v>
      </c>
      <c r="C102" s="138">
        <f t="shared" si="138"/>
        <v>1</v>
      </c>
      <c r="D102" s="189">
        <f>'Averages Pivot Table'!Y70</f>
        <v>94212.888762210248</v>
      </c>
      <c r="E102" s="138">
        <f t="shared" si="138"/>
        <v>1</v>
      </c>
      <c r="F102" s="189">
        <f>'Averages Pivot Table'!Y74</f>
        <v>78879.363594340612</v>
      </c>
      <c r="G102" s="138">
        <f t="shared" ref="G102" si="143">IF(F102&gt;0,RANK(F102,(F$100:F$118)),0)</f>
        <v>1</v>
      </c>
      <c r="H102" s="189">
        <f>'Averages Pivot Table'!Y78</f>
        <v>62999.896117523611</v>
      </c>
      <c r="I102" s="138">
        <f t="shared" ref="I102" si="144">IF(H102&gt;0,RANK(H102,(H$100:H$118)),0)</f>
        <v>1</v>
      </c>
      <c r="J102" s="189">
        <f>'Averages Pivot Table'!Y82</f>
        <v>0</v>
      </c>
      <c r="K102" s="138">
        <f t="shared" ref="K102" si="145">IF(J102&gt;0,RANK(J102,(J$100:J$118)),0)</f>
        <v>0</v>
      </c>
      <c r="L102" s="189">
        <f>'Averages Pivot Table'!Y90</f>
        <v>101358.83245746001</v>
      </c>
      <c r="M102" s="138">
        <f t="shared" ref="M102" si="146">IF(L102&gt;0,RANK(L102,(L$100:L$118)),0)</f>
        <v>1</v>
      </c>
      <c r="N102" s="189"/>
      <c r="O102" s="190"/>
      <c r="Q102" s="109"/>
      <c r="R102" s="109"/>
      <c r="S102" s="109"/>
    </row>
    <row r="103" spans="1:19" x14ac:dyDescent="0.25">
      <c r="A103" s="136" t="s">
        <v>198</v>
      </c>
      <c r="B103" s="189">
        <f>'Averages Pivot Table'!Y95</f>
        <v>109063.18664820837</v>
      </c>
      <c r="C103" s="138">
        <f t="shared" si="138"/>
        <v>5</v>
      </c>
      <c r="D103" s="189">
        <f>'Averages Pivot Table'!Y99</f>
        <v>77299.305530545273</v>
      </c>
      <c r="E103" s="138">
        <f t="shared" si="138"/>
        <v>3</v>
      </c>
      <c r="F103" s="189">
        <f>'Averages Pivot Table'!Y103</f>
        <v>67195.695803235329</v>
      </c>
      <c r="G103" s="138">
        <f t="shared" ref="G103" si="147">IF(F103&gt;0,RANK(F103,(F$100:F$118)),0)</f>
        <v>4</v>
      </c>
      <c r="H103" s="189">
        <f>'Averages Pivot Table'!Y107</f>
        <v>48111.754781399417</v>
      </c>
      <c r="I103" s="138">
        <f t="shared" ref="I103" si="148">IF(H103&gt;0,RANK(H103,(H$100:H$118)),0)</f>
        <v>6</v>
      </c>
      <c r="J103" s="189">
        <f>'Averages Pivot Table'!Y111</f>
        <v>57309.788685401552</v>
      </c>
      <c r="K103" s="138">
        <f t="shared" ref="K103" si="149">IF(J103&gt;0,RANK(J103,(J$100:J$118)),0)</f>
        <v>1</v>
      </c>
      <c r="L103" s="189">
        <f>'Averages Pivot Table'!Y119</f>
        <v>78326.239855557098</v>
      </c>
      <c r="M103" s="138">
        <f t="shared" ref="M103" si="150">IF(L103&gt;0,RANK(L103,(L$100:L$118)),0)</f>
        <v>4</v>
      </c>
      <c r="N103" s="189"/>
      <c r="O103" s="190"/>
      <c r="Q103" s="109"/>
      <c r="R103" s="109"/>
      <c r="S103" s="109"/>
    </row>
    <row r="104" spans="1:19" x14ac:dyDescent="0.25">
      <c r="A104" s="136"/>
      <c r="B104" s="189"/>
      <c r="C104" s="138"/>
      <c r="D104" s="189"/>
      <c r="E104" s="138"/>
      <c r="F104" s="189"/>
      <c r="G104" s="138"/>
      <c r="H104" s="189"/>
      <c r="I104" s="138"/>
      <c r="J104" s="189"/>
      <c r="K104" s="138"/>
      <c r="L104" s="189"/>
      <c r="M104" s="138"/>
      <c r="N104" s="189"/>
      <c r="O104" s="190"/>
      <c r="Q104" s="109"/>
      <c r="R104" s="109"/>
      <c r="S104" s="109"/>
    </row>
    <row r="105" spans="1:19" x14ac:dyDescent="0.25">
      <c r="A105" s="136" t="s">
        <v>199</v>
      </c>
      <c r="B105" s="189">
        <f>'Averages Pivot Table'!Y124</f>
        <v>104326.85326325412</v>
      </c>
      <c r="C105" s="138">
        <f t="shared" si="138"/>
        <v>7</v>
      </c>
      <c r="D105" s="189">
        <f>'Averages Pivot Table'!Y128</f>
        <v>73806.961783164777</v>
      </c>
      <c r="E105" s="138">
        <f t="shared" si="138"/>
        <v>9</v>
      </c>
      <c r="F105" s="189">
        <f>'Averages Pivot Table'!Y132</f>
        <v>62815.95302901823</v>
      </c>
      <c r="G105" s="138">
        <f t="shared" ref="G105" si="151">IF(F105&gt;0,RANK(F105,(F$100:F$118)),0)</f>
        <v>8</v>
      </c>
      <c r="H105" s="189">
        <f>'Averages Pivot Table'!Y136</f>
        <v>43315.328050728494</v>
      </c>
      <c r="I105" s="138">
        <f t="shared" ref="I105" si="152">IF(H105&gt;0,RANK(H105,(H$100:H$118)),0)</f>
        <v>10</v>
      </c>
      <c r="J105" s="189">
        <f>'Averages Pivot Table'!Y140</f>
        <v>50702.092774516081</v>
      </c>
      <c r="K105" s="138">
        <f t="shared" ref="K105" si="153">IF(J105&gt;0,RANK(J105,(J$100:J$118)),0)</f>
        <v>3</v>
      </c>
      <c r="L105" s="189">
        <f>'Averages Pivot Table'!Y148</f>
        <v>73793.67886588283</v>
      </c>
      <c r="M105" s="138">
        <f t="shared" ref="M105" si="154">IF(L105&gt;0,RANK(L105,(L$100:L$118)),0)</f>
        <v>9</v>
      </c>
      <c r="N105" s="189"/>
      <c r="O105" s="190"/>
      <c r="Q105" s="109"/>
      <c r="R105" s="109"/>
      <c r="S105" s="109"/>
    </row>
    <row r="106" spans="1:19" x14ac:dyDescent="0.25">
      <c r="A106" s="136" t="s">
        <v>200</v>
      </c>
      <c r="B106" s="189">
        <f>'Averages Pivot Table'!Y153</f>
        <v>96678.600958104318</v>
      </c>
      <c r="C106" s="138">
        <f t="shared" si="138"/>
        <v>10</v>
      </c>
      <c r="D106" s="189">
        <f>'Averages Pivot Table'!Y157</f>
        <v>69403.305043085362</v>
      </c>
      <c r="E106" s="138">
        <f t="shared" si="138"/>
        <v>12</v>
      </c>
      <c r="F106" s="189">
        <f>'Averages Pivot Table'!Y161</f>
        <v>59571.900410974609</v>
      </c>
      <c r="G106" s="138">
        <f t="shared" ref="G106" si="155">IF(F106&gt;0,RANK(F106,(F$100:F$118)),0)</f>
        <v>12</v>
      </c>
      <c r="H106" s="189">
        <f>'Averages Pivot Table'!Y165</f>
        <v>44049.621799744207</v>
      </c>
      <c r="I106" s="138">
        <f t="shared" ref="I106" si="156">IF(H106&gt;0,RANK(H106,(H$100:H$118)),0)</f>
        <v>9</v>
      </c>
      <c r="J106" s="189">
        <f>'Averages Pivot Table'!Y169</f>
        <v>45419.18721198303</v>
      </c>
      <c r="K106" s="138">
        <f t="shared" ref="K106" si="157">IF(J106&gt;0,RANK(J106,(J$100:J$118)),0)</f>
        <v>10</v>
      </c>
      <c r="L106" s="189">
        <f>'Averages Pivot Table'!Y177</f>
        <v>69885.585832844736</v>
      </c>
      <c r="M106" s="138">
        <f t="shared" ref="M106" si="158">IF(L106&gt;0,RANK(L106,(L$100:L$118)),0)</f>
        <v>11</v>
      </c>
      <c r="N106" s="189"/>
      <c r="O106" s="190"/>
      <c r="Q106" s="109"/>
      <c r="R106" s="109"/>
      <c r="S106" s="109"/>
    </row>
    <row r="107" spans="1:19" x14ac:dyDescent="0.25">
      <c r="A107" s="136" t="s">
        <v>201</v>
      </c>
      <c r="B107" s="189">
        <f>'Averages Pivot Table'!Y182</f>
        <v>88599.159389395922</v>
      </c>
      <c r="C107" s="138">
        <f t="shared" si="138"/>
        <v>13</v>
      </c>
      <c r="D107" s="189">
        <f>'Averages Pivot Table'!Y186</f>
        <v>66293.074236239278</v>
      </c>
      <c r="E107" s="138">
        <f t="shared" si="138"/>
        <v>15</v>
      </c>
      <c r="F107" s="189">
        <f>'Averages Pivot Table'!Y190</f>
        <v>56838.869110381238</v>
      </c>
      <c r="G107" s="138">
        <f t="shared" ref="G107" si="159">IF(F107&gt;0,RANK(F107,(F$100:F$118)),0)</f>
        <v>16</v>
      </c>
      <c r="H107" s="189">
        <f>'Averages Pivot Table'!Y194</f>
        <v>41604.555901919732</v>
      </c>
      <c r="I107" s="138">
        <f t="shared" ref="I107" si="160">IF(H107&gt;0,RANK(H107,(H$100:H$118)),0)</f>
        <v>14</v>
      </c>
      <c r="J107" s="189">
        <f>'Averages Pivot Table'!Y198</f>
        <v>44064.862243349045</v>
      </c>
      <c r="K107" s="138">
        <f t="shared" ref="K107" si="161">IF(J107&gt;0,RANK(J107,(J$100:J$118)),0)</f>
        <v>11</v>
      </c>
      <c r="L107" s="189">
        <f>'Averages Pivot Table'!Y206</f>
        <v>63589.127195937523</v>
      </c>
      <c r="M107" s="138">
        <f t="shared" ref="M107" si="162">IF(L107&gt;0,RANK(L107,(L$100:L$118)),0)</f>
        <v>15</v>
      </c>
      <c r="N107" s="189"/>
      <c r="O107" s="190"/>
      <c r="Q107" s="109"/>
      <c r="R107" s="109"/>
      <c r="S107" s="109"/>
    </row>
    <row r="108" spans="1:19" x14ac:dyDescent="0.25">
      <c r="A108" s="136" t="s">
        <v>202</v>
      </c>
      <c r="B108" s="189">
        <f>'Averages Pivot Table'!Y211</f>
        <v>108626.23245337936</v>
      </c>
      <c r="C108" s="138">
        <f t="shared" si="138"/>
        <v>6</v>
      </c>
      <c r="D108" s="189">
        <f>'Averages Pivot Table'!Y215</f>
        <v>77160.818155123721</v>
      </c>
      <c r="E108" s="138">
        <f t="shared" si="138"/>
        <v>5</v>
      </c>
      <c r="F108" s="189">
        <f>'Averages Pivot Table'!Y219</f>
        <v>65832.109158392152</v>
      </c>
      <c r="G108" s="138">
        <f t="shared" ref="G108" si="163">IF(F108&gt;0,RANK(F108,(F$100:F$118)),0)</f>
        <v>5</v>
      </c>
      <c r="H108" s="189">
        <f>'Averages Pivot Table'!Y223</f>
        <v>51908.935990127771</v>
      </c>
      <c r="I108" s="138">
        <f t="shared" ref="I108" si="164">IF(H108&gt;0,RANK(H108,(H$100:H$118)),0)</f>
        <v>3</v>
      </c>
      <c r="J108" s="189">
        <f>'Averages Pivot Table'!Y227</f>
        <v>47956.592338423332</v>
      </c>
      <c r="K108" s="138">
        <f t="shared" ref="K108" si="165">IF(J108&gt;0,RANK(J108,(J$100:J$118)),0)</f>
        <v>8</v>
      </c>
      <c r="L108" s="189">
        <f>'Averages Pivot Table'!Y235</f>
        <v>77349.397185301001</v>
      </c>
      <c r="M108" s="138">
        <f t="shared" ref="M108" si="166">IF(L108&gt;0,RANK(L108,(L$100:L$118)),0)</f>
        <v>6</v>
      </c>
      <c r="N108" s="189"/>
      <c r="O108" s="190"/>
      <c r="Q108" s="109"/>
      <c r="R108" s="109"/>
      <c r="S108" s="109"/>
    </row>
    <row r="109" spans="1:19" x14ac:dyDescent="0.25">
      <c r="A109" s="136"/>
      <c r="B109" s="189"/>
      <c r="C109" s="138"/>
      <c r="D109" s="189"/>
      <c r="E109" s="138"/>
      <c r="F109" s="189"/>
      <c r="G109" s="138"/>
      <c r="H109" s="189"/>
      <c r="I109" s="138"/>
      <c r="J109" s="189"/>
      <c r="K109" s="138"/>
      <c r="L109" s="189"/>
      <c r="M109" s="138"/>
      <c r="N109" s="189"/>
      <c r="O109" s="190"/>
      <c r="Q109" s="109"/>
      <c r="R109" s="109"/>
      <c r="S109" s="109"/>
    </row>
    <row r="110" spans="1:19" x14ac:dyDescent="0.25">
      <c r="A110" s="136" t="s">
        <v>203</v>
      </c>
      <c r="B110" s="189">
        <f>'Averages Pivot Table'!Y240</f>
        <v>88445.468810205159</v>
      </c>
      <c r="C110" s="138">
        <f t="shared" si="138"/>
        <v>14</v>
      </c>
      <c r="D110" s="189">
        <f>'Averages Pivot Table'!Y244</f>
        <v>68808.508000998816</v>
      </c>
      <c r="E110" s="138">
        <f t="shared" si="138"/>
        <v>13</v>
      </c>
      <c r="F110" s="189">
        <f>'Averages Pivot Table'!Y248</f>
        <v>60285.884940205979</v>
      </c>
      <c r="G110" s="138">
        <f t="shared" ref="G110" si="167">IF(F110&gt;0,RANK(F110,(F$100:F$118)),0)</f>
        <v>10</v>
      </c>
      <c r="H110" s="189">
        <f>'Averages Pivot Table'!Y252</f>
        <v>42415.114626338524</v>
      </c>
      <c r="I110" s="138">
        <f t="shared" ref="I110" si="168">IF(H110&gt;0,RANK(H110,(H$100:H$118)),0)</f>
        <v>12</v>
      </c>
      <c r="J110" s="189">
        <f>'Averages Pivot Table'!Y256</f>
        <v>35084.152594214444</v>
      </c>
      <c r="K110" s="138">
        <f t="shared" ref="K110" si="169">IF(J110&gt;0,RANK(J110,(J$100:J$118)),0)</f>
        <v>14</v>
      </c>
      <c r="L110" s="189">
        <f>'Averages Pivot Table'!Y264</f>
        <v>64368.731866132461</v>
      </c>
      <c r="M110" s="138">
        <f t="shared" ref="M110" si="170">IF(L110&gt;0,RANK(L110,(L$100:L$118)),0)</f>
        <v>14</v>
      </c>
      <c r="N110" s="189"/>
      <c r="O110" s="190"/>
      <c r="Q110" s="109"/>
      <c r="R110" s="109"/>
      <c r="S110" s="109"/>
    </row>
    <row r="111" spans="1:19" x14ac:dyDescent="0.25">
      <c r="A111" s="136" t="s">
        <v>204</v>
      </c>
      <c r="B111" s="189">
        <f>'Averages Pivot Table'!Y269</f>
        <v>109216.63888773015</v>
      </c>
      <c r="C111" s="138">
        <f t="shared" si="138"/>
        <v>4</v>
      </c>
      <c r="D111" s="189">
        <f>'Averages Pivot Table'!Y273</f>
        <v>77246.906301445328</v>
      </c>
      <c r="E111" s="138">
        <f t="shared" si="138"/>
        <v>4</v>
      </c>
      <c r="F111" s="189">
        <f>'Averages Pivot Table'!Y277</f>
        <v>68734.849675318983</v>
      </c>
      <c r="G111" s="138">
        <f t="shared" ref="G111" si="171">IF(F111&gt;0,RANK(F111,(F$100:F$118)),0)</f>
        <v>3</v>
      </c>
      <c r="H111" s="189">
        <f>'Averages Pivot Table'!Y281</f>
        <v>54230.869184511648</v>
      </c>
      <c r="I111" s="138">
        <f t="shared" ref="I111" si="172">IF(H111&gt;0,RANK(H111,(H$100:H$118)),0)</f>
        <v>2</v>
      </c>
      <c r="J111" s="189">
        <f>'Averages Pivot Table'!Y285</f>
        <v>52641.028803006535</v>
      </c>
      <c r="K111" s="138">
        <f t="shared" ref="K111" si="173">IF(J111&gt;0,RANK(J111,(J$100:J$118)),0)</f>
        <v>2</v>
      </c>
      <c r="L111" s="189">
        <f>'Averages Pivot Table'!Y293</f>
        <v>77556.272890930573</v>
      </c>
      <c r="M111" s="138">
        <f t="shared" ref="M111" si="174">IF(L111&gt;0,RANK(L111,(L$100:L$118)),0)</f>
        <v>5</v>
      </c>
      <c r="N111" s="189"/>
      <c r="O111" s="190"/>
      <c r="Q111" s="109"/>
      <c r="R111" s="109"/>
      <c r="S111" s="109"/>
    </row>
    <row r="112" spans="1:19" x14ac:dyDescent="0.25">
      <c r="A112" s="136" t="s">
        <v>205</v>
      </c>
      <c r="B112" s="189">
        <f>'Averages Pivot Table'!Y298</f>
        <v>96642.782321243954</v>
      </c>
      <c r="C112" s="138">
        <f t="shared" si="138"/>
        <v>11</v>
      </c>
      <c r="D112" s="189">
        <f>'Averages Pivot Table'!Y302</f>
        <v>68701.593661607054</v>
      </c>
      <c r="E112" s="138">
        <f t="shared" si="138"/>
        <v>14</v>
      </c>
      <c r="F112" s="189">
        <f>'Averages Pivot Table'!Y306</f>
        <v>58794.178688517852</v>
      </c>
      <c r="G112" s="138">
        <f t="shared" ref="G112" si="175">IF(F112&gt;0,RANK(F112,(F$100:F$118)),0)</f>
        <v>13</v>
      </c>
      <c r="H112" s="189">
        <f>'Averages Pivot Table'!Y310</f>
        <v>42686.878147632429</v>
      </c>
      <c r="I112" s="138">
        <f t="shared" ref="I112" si="176">IF(H112&gt;0,RANK(H112,(H$100:H$118)),0)</f>
        <v>11</v>
      </c>
      <c r="J112" s="189">
        <f>'Averages Pivot Table'!Y314</f>
        <v>0</v>
      </c>
      <c r="K112" s="138">
        <f t="shared" ref="K112" si="177">IF(J112&gt;0,RANK(J112,(J$100:J$118)),0)</f>
        <v>0</v>
      </c>
      <c r="L112" s="189">
        <f>'Averages Pivot Table'!Y322</f>
        <v>69337.956295025841</v>
      </c>
      <c r="M112" s="138">
        <f t="shared" ref="M112" si="178">IF(L112&gt;0,RANK(L112,(L$100:L$118)),0)</f>
        <v>12</v>
      </c>
      <c r="N112" s="189"/>
      <c r="O112" s="190"/>
      <c r="Q112" s="109"/>
      <c r="R112" s="109"/>
      <c r="S112" s="109"/>
    </row>
    <row r="113" spans="1:19" x14ac:dyDescent="0.25">
      <c r="A113" s="136" t="s">
        <v>206</v>
      </c>
      <c r="B113" s="189">
        <f>'Averages Pivot Table'!Y327</f>
        <v>103563.9939028904</v>
      </c>
      <c r="C113" s="138">
        <f t="shared" si="138"/>
        <v>8</v>
      </c>
      <c r="D113" s="189">
        <f>'Averages Pivot Table'!Y331</f>
        <v>75419.027804882338</v>
      </c>
      <c r="E113" s="138">
        <f t="shared" si="138"/>
        <v>7</v>
      </c>
      <c r="F113" s="189">
        <f>'Averages Pivot Table'!Y335</f>
        <v>65508.268100379391</v>
      </c>
      <c r="G113" s="138">
        <f t="shared" ref="G113" si="179">IF(F113&gt;0,RANK(F113,(F$100:F$118)),0)</f>
        <v>6</v>
      </c>
      <c r="H113" s="189">
        <f>'Averages Pivot Table'!Y339</f>
        <v>48175.328671759184</v>
      </c>
      <c r="I113" s="138">
        <f t="shared" ref="I113" si="180">IF(H113&gt;0,RANK(H113,(H$100:H$118)),0)</f>
        <v>5</v>
      </c>
      <c r="J113" s="189">
        <f>'Averages Pivot Table'!Y343</f>
        <v>49257.860898573708</v>
      </c>
      <c r="K113" s="138">
        <f t="shared" ref="K113" si="181">IF(J113&gt;0,RANK(J113,(J$100:J$118)),0)</f>
        <v>7</v>
      </c>
      <c r="L113" s="189">
        <f>'Averages Pivot Table'!Y351</f>
        <v>74782.340525064646</v>
      </c>
      <c r="M113" s="138">
        <f t="shared" ref="M113" si="182">IF(L113&gt;0,RANK(L113,(L$100:L$118)),0)</f>
        <v>7</v>
      </c>
      <c r="N113" s="189"/>
      <c r="O113" s="190"/>
      <c r="Q113" s="109"/>
      <c r="R113" s="109"/>
      <c r="S113" s="109"/>
    </row>
    <row r="114" spans="1:19" x14ac:dyDescent="0.25">
      <c r="A114" s="136"/>
      <c r="B114" s="189"/>
      <c r="C114" s="138"/>
      <c r="D114" s="189"/>
      <c r="E114" s="138"/>
      <c r="F114" s="189"/>
      <c r="G114" s="138"/>
      <c r="H114" s="189"/>
      <c r="I114" s="138"/>
      <c r="J114" s="189"/>
      <c r="K114" s="138"/>
      <c r="L114" s="189"/>
      <c r="M114" s="138"/>
      <c r="N114" s="189"/>
      <c r="O114" s="190"/>
      <c r="Q114" s="109"/>
      <c r="R114" s="109"/>
      <c r="S114" s="109"/>
    </row>
    <row r="115" spans="1:19" ht="12.95" customHeight="1" x14ac:dyDescent="0.25">
      <c r="A115" s="136" t="s">
        <v>207</v>
      </c>
      <c r="B115" s="191">
        <f>'Averages Pivot Table'!Y356</f>
        <v>94301.774177053958</v>
      </c>
      <c r="C115" s="138">
        <f t="shared" si="138"/>
        <v>12</v>
      </c>
      <c r="D115" s="191">
        <f>'Averages Pivot Table'!Y360</f>
        <v>72111.07565250383</v>
      </c>
      <c r="E115" s="138">
        <f t="shared" si="138"/>
        <v>10</v>
      </c>
      <c r="F115" s="191">
        <f>'Averages Pivot Table'!Y364</f>
        <v>59677.872141492189</v>
      </c>
      <c r="G115" s="138">
        <f t="shared" ref="G115" si="183">IF(F115&gt;0,RANK(F115,(F$100:F$118)),0)</f>
        <v>11</v>
      </c>
      <c r="H115" s="191">
        <f>'Averages Pivot Table'!Y368</f>
        <v>41996.342910966836</v>
      </c>
      <c r="I115" s="138">
        <f t="shared" ref="I115" si="184">IF(H115&gt;0,RANK(H115,(H$100:H$118)),0)</f>
        <v>13</v>
      </c>
      <c r="J115" s="191">
        <f>'Averages Pivot Table'!Y372</f>
        <v>41430.159927532492</v>
      </c>
      <c r="K115" s="138">
        <f t="shared" ref="K115" si="185">IF(J115&gt;0,RANK(J115,(J$100:J$118)),0)</f>
        <v>12</v>
      </c>
      <c r="L115" s="191">
        <f>'Averages Pivot Table'!Y380</f>
        <v>70562.404069923374</v>
      </c>
      <c r="M115" s="138">
        <f t="shared" ref="M115" si="186">IF(L115&gt;0,RANK(L115,(L$100:L$118)),0)</f>
        <v>10</v>
      </c>
      <c r="N115" s="189"/>
      <c r="O115" s="190"/>
    </row>
    <row r="116" spans="1:19" ht="12.95" customHeight="1" x14ac:dyDescent="0.25">
      <c r="A116" s="136" t="s">
        <v>208</v>
      </c>
      <c r="B116" s="191">
        <f>'Averages Pivot Table'!Y385</f>
        <v>114407.18598565849</v>
      </c>
      <c r="C116" s="138">
        <f t="shared" si="138"/>
        <v>2</v>
      </c>
      <c r="D116" s="191">
        <f>'Averages Pivot Table'!Y389</f>
        <v>78686.7184393637</v>
      </c>
      <c r="E116" s="138">
        <f t="shared" si="138"/>
        <v>2</v>
      </c>
      <c r="F116" s="191">
        <f>'Averages Pivot Table'!Y393</f>
        <v>68915.349009205325</v>
      </c>
      <c r="G116" s="138">
        <f t="shared" ref="G116" si="187">IF(F116&gt;0,RANK(F116,(F$100:F$118)),0)</f>
        <v>2</v>
      </c>
      <c r="H116" s="191">
        <f>'Averages Pivot Table'!Y397</f>
        <v>46808.205512187284</v>
      </c>
      <c r="I116" s="138">
        <f t="shared" ref="I116" si="188">IF(H116&gt;0,RANK(H116,(H$100:H$118)),0)</f>
        <v>7</v>
      </c>
      <c r="J116" s="191">
        <f>'Averages Pivot Table'!Y401</f>
        <v>50023.820871529933</v>
      </c>
      <c r="K116" s="138">
        <f t="shared" ref="K116" si="189">IF(J116&gt;0,RANK(J116,(J$100:J$118)),0)</f>
        <v>4</v>
      </c>
      <c r="L116" s="191">
        <f>'Averages Pivot Table'!Y409</f>
        <v>78644.835103040357</v>
      </c>
      <c r="M116" s="138">
        <f t="shared" ref="M116" si="190">IF(L116&gt;0,RANK(L116,(L$100:L$118)),0)</f>
        <v>3</v>
      </c>
      <c r="N116" s="189"/>
      <c r="O116" s="190"/>
    </row>
    <row r="117" spans="1:19" ht="12.95" customHeight="1" x14ac:dyDescent="0.25">
      <c r="A117" s="136" t="s">
        <v>209</v>
      </c>
      <c r="B117" s="191">
        <f>'Averages Pivot Table'!Y414</f>
        <v>110325.36890769118</v>
      </c>
      <c r="C117" s="138">
        <f t="shared" si="138"/>
        <v>3</v>
      </c>
      <c r="D117" s="191">
        <f>'Averages Pivot Table'!Y418</f>
        <v>75873.546454467025</v>
      </c>
      <c r="E117" s="138">
        <f t="shared" si="138"/>
        <v>6</v>
      </c>
      <c r="F117" s="191">
        <f>'Averages Pivot Table'!Y422</f>
        <v>65466.875723640151</v>
      </c>
      <c r="G117" s="138">
        <f t="shared" ref="G117" si="191">IF(F117&gt;0,RANK(F117,(F$100:F$118)),0)</f>
        <v>7</v>
      </c>
      <c r="H117" s="191">
        <f>'Averages Pivot Table'!Y426</f>
        <v>48571.65882198383</v>
      </c>
      <c r="I117" s="138">
        <f t="shared" ref="I117" si="192">IF(H117&gt;0,RANK(H117,(H$100:H$118)),0)</f>
        <v>4</v>
      </c>
      <c r="J117" s="191">
        <f>'Averages Pivot Table'!Y430</f>
        <v>49431.608637639278</v>
      </c>
      <c r="K117" s="138">
        <f t="shared" ref="K117" si="193">IF(J117&gt;0,RANK(J117,(J$100:J$118)),0)</f>
        <v>6</v>
      </c>
      <c r="L117" s="191">
        <f>'Averages Pivot Table'!Y438</f>
        <v>79874.97239367188</v>
      </c>
      <c r="M117" s="138">
        <f t="shared" ref="M117" si="194">IF(L117&gt;0,RANK(L117,(L$100:L$118)),0)</f>
        <v>2</v>
      </c>
      <c r="N117" s="189"/>
      <c r="O117" s="190"/>
    </row>
    <row r="118" spans="1:19" ht="12.95" customHeight="1" x14ac:dyDescent="0.25">
      <c r="A118" s="161" t="s">
        <v>210</v>
      </c>
      <c r="B118" s="192">
        <f>'Averages Pivot Table'!Y443</f>
        <v>86946.163332465483</v>
      </c>
      <c r="C118" s="141">
        <f t="shared" si="138"/>
        <v>16</v>
      </c>
      <c r="D118" s="192">
        <f>'Averages Pivot Table'!Y447</f>
        <v>70216.872792621347</v>
      </c>
      <c r="E118" s="141">
        <f t="shared" si="138"/>
        <v>11</v>
      </c>
      <c r="F118" s="192">
        <f>'Averages Pivot Table'!Y451</f>
        <v>58398.702772376404</v>
      </c>
      <c r="G118" s="141">
        <f t="shared" ref="G118" si="195">IF(F118&gt;0,RANK(F118,(F$100:F$118)),0)</f>
        <v>14</v>
      </c>
      <c r="H118" s="192">
        <f>'Averages Pivot Table'!Y455</f>
        <v>39874.661284841095</v>
      </c>
      <c r="I118" s="141">
        <f t="shared" ref="I118" si="196">IF(H118&gt;0,RANK(H118,(H$100:H$118)),0)</f>
        <v>16</v>
      </c>
      <c r="J118" s="192">
        <f>'Averages Pivot Table'!Y459</f>
        <v>49498.064301254228</v>
      </c>
      <c r="K118" s="141">
        <f t="shared" ref="K118" si="197">IF(J118&gt;0,RANK(J118,(J$100:J$118)),0)</f>
        <v>5</v>
      </c>
      <c r="L118" s="192">
        <f>'Averages Pivot Table'!Y467</f>
        <v>68035.328719392855</v>
      </c>
      <c r="M118" s="141">
        <f t="shared" ref="M118" si="198">IF(L118&gt;0,RANK(L118,(L$100:L$118)),0)</f>
        <v>13</v>
      </c>
      <c r="N118" s="189"/>
      <c r="O118" s="189"/>
    </row>
    <row r="119" spans="1:19" ht="30" customHeight="1" x14ac:dyDescent="0.25">
      <c r="A119" s="714" t="s">
        <v>1127</v>
      </c>
      <c r="B119" s="715"/>
      <c r="C119" s="715"/>
      <c r="D119" s="715"/>
      <c r="E119" s="715"/>
      <c r="F119" s="715"/>
      <c r="G119" s="715"/>
      <c r="H119" s="715"/>
      <c r="I119" s="715"/>
      <c r="J119" s="715"/>
      <c r="K119" s="715"/>
      <c r="L119" s="715"/>
      <c r="M119" s="715"/>
      <c r="N119" s="136"/>
      <c r="O119" s="136"/>
    </row>
    <row r="120" spans="1:19" x14ac:dyDescent="0.25">
      <c r="M120" s="102" t="s">
        <v>1128</v>
      </c>
      <c r="O120" s="193"/>
    </row>
    <row r="121" spans="1:19" ht="18" x14ac:dyDescent="0.25">
      <c r="A121" s="82" t="s">
        <v>221</v>
      </c>
      <c r="B121" s="82"/>
      <c r="C121" s="82"/>
      <c r="D121" s="82"/>
      <c r="E121" s="82"/>
      <c r="F121" s="82"/>
      <c r="G121" s="82"/>
      <c r="H121" s="82"/>
      <c r="I121" s="82"/>
      <c r="J121" s="82"/>
      <c r="K121" s="82"/>
      <c r="L121" s="82"/>
      <c r="M121" s="82"/>
      <c r="N121" s="179"/>
      <c r="O121" s="179"/>
    </row>
    <row r="122" spans="1:19" x14ac:dyDescent="0.25">
      <c r="A122" s="180"/>
      <c r="B122" s="87"/>
      <c r="C122" s="87"/>
      <c r="D122" s="87"/>
      <c r="E122" s="87"/>
      <c r="F122" s="87"/>
      <c r="G122" s="87"/>
      <c r="H122" s="87"/>
      <c r="I122" s="87"/>
      <c r="J122" s="87"/>
      <c r="K122" s="87"/>
      <c r="L122" s="87"/>
      <c r="M122" s="87"/>
      <c r="N122" s="87"/>
      <c r="O122" s="87"/>
    </row>
    <row r="123" spans="1:19" x14ac:dyDescent="0.25">
      <c r="A123" s="707" t="s">
        <v>218</v>
      </c>
      <c r="B123" s="707"/>
      <c r="C123" s="707"/>
      <c r="D123" s="707"/>
      <c r="E123" s="707"/>
      <c r="F123" s="707"/>
      <c r="G123" s="707"/>
      <c r="H123" s="707"/>
      <c r="I123" s="707"/>
      <c r="J123" s="707"/>
      <c r="K123" s="707"/>
      <c r="L123" s="707"/>
      <c r="M123" s="707"/>
      <c r="N123" s="181"/>
      <c r="O123" s="181"/>
    </row>
    <row r="124" spans="1:19" x14ac:dyDescent="0.25">
      <c r="A124" s="707" t="s">
        <v>275</v>
      </c>
      <c r="B124" s="707"/>
      <c r="C124" s="707"/>
      <c r="D124" s="707"/>
      <c r="E124" s="707"/>
      <c r="F124" s="707"/>
      <c r="G124" s="707"/>
      <c r="H124" s="707"/>
      <c r="I124" s="707"/>
      <c r="J124" s="707"/>
      <c r="K124" s="707"/>
      <c r="L124" s="707"/>
      <c r="M124" s="707"/>
      <c r="N124" s="181"/>
      <c r="O124" s="181"/>
    </row>
    <row r="125" spans="1:19" x14ac:dyDescent="0.25">
      <c r="A125" s="136"/>
      <c r="B125" s="136"/>
      <c r="C125" s="136"/>
      <c r="D125" s="136"/>
      <c r="E125" s="136"/>
      <c r="F125" s="136"/>
      <c r="G125" s="136"/>
      <c r="H125" s="136"/>
      <c r="I125" s="136"/>
      <c r="J125" s="136"/>
      <c r="K125" s="136"/>
      <c r="L125" s="136"/>
      <c r="M125" s="136"/>
      <c r="N125" s="136"/>
      <c r="O125" s="136"/>
    </row>
    <row r="126" spans="1:19" ht="31.5" customHeight="1" x14ac:dyDescent="0.25">
      <c r="A126" s="114"/>
      <c r="B126" s="182" t="s">
        <v>3</v>
      </c>
      <c r="C126" s="183"/>
      <c r="D126" s="184" t="s">
        <v>4</v>
      </c>
      <c r="E126" s="185"/>
      <c r="F126" s="184" t="s">
        <v>5</v>
      </c>
      <c r="G126" s="185"/>
      <c r="H126" s="182" t="s">
        <v>6</v>
      </c>
      <c r="I126" s="183"/>
      <c r="J126" s="184" t="s">
        <v>219</v>
      </c>
      <c r="K126" s="185"/>
      <c r="L126" s="183" t="s">
        <v>220</v>
      </c>
      <c r="M126" s="183"/>
      <c r="N126" s="186" t="s">
        <v>7</v>
      </c>
      <c r="O126" s="186"/>
    </row>
    <row r="127" spans="1:19" x14ac:dyDescent="0.25">
      <c r="A127" s="120"/>
      <c r="B127" s="116" t="s">
        <v>193</v>
      </c>
      <c r="C127" s="115" t="s">
        <v>170</v>
      </c>
      <c r="D127" s="116" t="s">
        <v>193</v>
      </c>
      <c r="E127" s="115" t="s">
        <v>170</v>
      </c>
      <c r="F127" s="116" t="s">
        <v>193</v>
      </c>
      <c r="G127" s="115" t="s">
        <v>170</v>
      </c>
      <c r="H127" s="116" t="s">
        <v>193</v>
      </c>
      <c r="I127" s="115" t="s">
        <v>170</v>
      </c>
      <c r="J127" s="116" t="s">
        <v>193</v>
      </c>
      <c r="K127" s="115" t="s">
        <v>170</v>
      </c>
      <c r="L127" s="116" t="s">
        <v>193</v>
      </c>
      <c r="M127" s="115" t="s">
        <v>170</v>
      </c>
    </row>
    <row r="128" spans="1:19" s="127" customFormat="1" ht="18" customHeight="1" x14ac:dyDescent="0.25">
      <c r="A128" s="124" t="s">
        <v>194</v>
      </c>
      <c r="B128" s="151">
        <f>'Averages Pivot Table'!S471</f>
        <v>119806.6123245973</v>
      </c>
      <c r="C128" s="151"/>
      <c r="D128" s="151">
        <f>'Averages Pivot Table'!S475</f>
        <v>82561.633435096126</v>
      </c>
      <c r="E128" s="151"/>
      <c r="F128" s="151">
        <f>'Averages Pivot Table'!S479</f>
        <v>72324.15592587585</v>
      </c>
      <c r="G128" s="151"/>
      <c r="H128" s="151">
        <f>'Averages Pivot Table'!S483</f>
        <v>46753.746653484945</v>
      </c>
      <c r="I128" s="151"/>
      <c r="J128" s="151">
        <f>'Averages Pivot Table'!S487</f>
        <v>54697.587832656078</v>
      </c>
      <c r="K128" s="151"/>
      <c r="L128" s="151">
        <f>'Averages Pivot Table'!S495</f>
        <v>86441.20788294985</v>
      </c>
      <c r="M128" s="187"/>
      <c r="N128" s="151"/>
      <c r="O128" s="188"/>
      <c r="Q128" s="129"/>
      <c r="R128" s="129"/>
      <c r="S128" s="129"/>
    </row>
    <row r="129" spans="1:15" ht="12.95" customHeight="1" x14ac:dyDescent="0.25">
      <c r="A129" s="136"/>
      <c r="B129" s="131"/>
      <c r="C129" s="155"/>
      <c r="D129" s="131"/>
      <c r="E129" s="155"/>
      <c r="F129" s="131"/>
      <c r="G129" s="155"/>
      <c r="H129" s="131"/>
      <c r="I129" s="155"/>
      <c r="J129" s="131"/>
      <c r="K129" s="155"/>
      <c r="L129" s="131"/>
      <c r="M129" s="155"/>
      <c r="N129" s="131"/>
      <c r="O129" s="132"/>
    </row>
    <row r="130" spans="1:15" ht="12.95" customHeight="1" x14ac:dyDescent="0.25">
      <c r="A130" s="136" t="s">
        <v>195</v>
      </c>
      <c r="B130" s="189">
        <f>'Averages Pivot Table'!S8</f>
        <v>116420.05337345686</v>
      </c>
      <c r="C130" s="138">
        <f>IF(B130&gt;0,RANK(B130,(B$130:B$148)),0)</f>
        <v>7</v>
      </c>
      <c r="D130" s="189">
        <f>'Averages Pivot Table'!S12</f>
        <v>80776.60452154123</v>
      </c>
      <c r="E130" s="138">
        <f>IF(D130&gt;0,RANK(D130,(D$130:D$148)),0)</f>
        <v>9</v>
      </c>
      <c r="F130" s="189">
        <f>'Averages Pivot Table'!S16</f>
        <v>66269.519128270345</v>
      </c>
      <c r="G130" s="138">
        <f>IF(F130&gt;0,RANK(F130,(F$130:F$148)),0)</f>
        <v>14</v>
      </c>
      <c r="H130" s="189">
        <f>'Averages Pivot Table'!S20</f>
        <v>43305.288939600454</v>
      </c>
      <c r="I130" s="138">
        <f>IF(H130&gt;0,RANK(H130,(H$130:H$148)),0)</f>
        <v>13</v>
      </c>
      <c r="J130" s="189">
        <f>'Averages Pivot Table'!S24</f>
        <v>66984.105263157893</v>
      </c>
      <c r="K130" s="138">
        <f>IF(J130&gt;0,RANK(J130,(J$130:J$148)),0)</f>
        <v>1</v>
      </c>
      <c r="L130" s="189">
        <f>'Averages Pivot Table'!S32</f>
        <v>83303.098039770543</v>
      </c>
      <c r="M130" s="138">
        <f>IF(L130&gt;0,RANK(L130,(L$130:L$148)),0)</f>
        <v>8</v>
      </c>
      <c r="N130" s="189"/>
      <c r="O130" s="190"/>
    </row>
    <row r="131" spans="1:15" ht="12.95" customHeight="1" x14ac:dyDescent="0.25">
      <c r="A131" s="136" t="s">
        <v>196</v>
      </c>
      <c r="B131" s="189">
        <f>'Averages Pivot Table'!S37</f>
        <v>106770.83492822967</v>
      </c>
      <c r="C131" s="138">
        <f t="shared" ref="C131:E148" si="199">IF(B131&gt;0,RANK(B131,(B$130:B$148)),0)</f>
        <v>15</v>
      </c>
      <c r="D131" s="189">
        <f>'Averages Pivot Table'!S41</f>
        <v>76573.730272596847</v>
      </c>
      <c r="E131" s="138">
        <f t="shared" si="199"/>
        <v>14</v>
      </c>
      <c r="F131" s="189">
        <f>'Averages Pivot Table'!S45</f>
        <v>74247.442052980128</v>
      </c>
      <c r="G131" s="138">
        <f t="shared" ref="G131" si="200">IF(F131&gt;0,RANK(F131,(F$130:F$148)),0)</f>
        <v>6</v>
      </c>
      <c r="H131" s="189">
        <f>'Averages Pivot Table'!S49</f>
        <v>44412.475043029255</v>
      </c>
      <c r="I131" s="138">
        <f t="shared" ref="I131" si="201">IF(H131&gt;0,RANK(H131,(H$130:H$148)),0)</f>
        <v>11</v>
      </c>
      <c r="J131" s="189">
        <f>'Averages Pivot Table'!S53</f>
        <v>46326.203773584901</v>
      </c>
      <c r="K131" s="138">
        <f t="shared" ref="K131" si="202">IF(J131&gt;0,RANK(J131,(J$130:J$148)),0)</f>
        <v>12</v>
      </c>
      <c r="L131" s="189">
        <f>'Averages Pivot Table'!S61</f>
        <v>78648.229771733924</v>
      </c>
      <c r="M131" s="138">
        <f t="shared" ref="M131" si="203">IF(L131&gt;0,RANK(L131,(L$130:L$148)),0)</f>
        <v>15</v>
      </c>
      <c r="N131" s="189"/>
      <c r="O131" s="190"/>
    </row>
    <row r="132" spans="1:15" ht="12.95" customHeight="1" x14ac:dyDescent="0.25">
      <c r="A132" s="136" t="s">
        <v>197</v>
      </c>
      <c r="B132" s="189">
        <f>'Averages Pivot Table'!S66</f>
        <v>141444.22274749723</v>
      </c>
      <c r="C132" s="138">
        <f t="shared" si="199"/>
        <v>1</v>
      </c>
      <c r="D132" s="189">
        <f>'Averages Pivot Table'!S70</f>
        <v>100699.96844816484</v>
      </c>
      <c r="E132" s="138">
        <f t="shared" si="199"/>
        <v>1</v>
      </c>
      <c r="F132" s="189">
        <f>'Averages Pivot Table'!S74</f>
        <v>82123.726877040259</v>
      </c>
      <c r="G132" s="138">
        <f t="shared" ref="G132" si="204">IF(F132&gt;0,RANK(F132,(F$130:F$148)),0)</f>
        <v>2</v>
      </c>
      <c r="H132" s="189">
        <f>'Averages Pivot Table'!S78</f>
        <v>62999.896117523611</v>
      </c>
      <c r="I132" s="138">
        <f t="shared" ref="I132" si="205">IF(H132&gt;0,RANK(H132,(H$130:H$148)),0)</f>
        <v>1</v>
      </c>
      <c r="J132" s="189">
        <f>'Averages Pivot Table'!S82</f>
        <v>0</v>
      </c>
      <c r="K132" s="138">
        <f t="shared" ref="K132" si="206">IF(J132&gt;0,RANK(J132,(J$130:J$148)),0)</f>
        <v>0</v>
      </c>
      <c r="L132" s="189">
        <f>'Averages Pivot Table'!S90</f>
        <v>106525.09111591688</v>
      </c>
      <c r="M132" s="138">
        <f t="shared" ref="M132" si="207">IF(L132&gt;0,RANK(L132,(L$130:L$148)),0)</f>
        <v>1</v>
      </c>
      <c r="N132" s="189"/>
      <c r="O132" s="190"/>
    </row>
    <row r="133" spans="1:15" ht="12.95" customHeight="1" x14ac:dyDescent="0.25">
      <c r="A133" s="136" t="s">
        <v>198</v>
      </c>
      <c r="B133" s="189">
        <f>'Averages Pivot Table'!S95</f>
        <v>113780.5038995979</v>
      </c>
      <c r="C133" s="138">
        <f t="shared" si="199"/>
        <v>9</v>
      </c>
      <c r="D133" s="189">
        <f>'Averages Pivot Table'!S99</f>
        <v>79846.570450343788</v>
      </c>
      <c r="E133" s="138">
        <f t="shared" si="199"/>
        <v>11</v>
      </c>
      <c r="F133" s="189">
        <f>'Averages Pivot Table'!S103</f>
        <v>70017.887444901469</v>
      </c>
      <c r="G133" s="138">
        <f t="shared" ref="G133" si="208">IF(F133&gt;0,RANK(F133,(F$130:F$148)),0)</f>
        <v>9</v>
      </c>
      <c r="H133" s="189">
        <f>'Averages Pivot Table'!S107</f>
        <v>48607.813938769708</v>
      </c>
      <c r="I133" s="138">
        <f t="shared" ref="I133" si="209">IF(H133&gt;0,RANK(H133,(H$130:H$148)),0)</f>
        <v>8</v>
      </c>
      <c r="J133" s="189">
        <f>'Averages Pivot Table'!S111</f>
        <v>57939.349774643939</v>
      </c>
      <c r="K133" s="138">
        <f t="shared" ref="K133" si="210">IF(J133&gt;0,RANK(J133,(J$130:J$148)),0)</f>
        <v>5</v>
      </c>
      <c r="L133" s="189">
        <f>'Averages Pivot Table'!S119</f>
        <v>81948.839929893089</v>
      </c>
      <c r="M133" s="138">
        <f t="shared" ref="M133" si="211">IF(L133&gt;0,RANK(L133,(L$130:L$148)),0)</f>
        <v>11</v>
      </c>
      <c r="N133" s="189"/>
      <c r="O133" s="190"/>
    </row>
    <row r="134" spans="1:15" ht="12.95" customHeight="1" x14ac:dyDescent="0.25">
      <c r="A134" s="136"/>
      <c r="B134" s="189"/>
      <c r="C134" s="138"/>
      <c r="D134" s="189"/>
      <c r="E134" s="138"/>
      <c r="F134" s="189"/>
      <c r="G134" s="138"/>
      <c r="H134" s="189"/>
      <c r="I134" s="138"/>
      <c r="J134" s="189"/>
      <c r="K134" s="138"/>
      <c r="L134" s="189"/>
      <c r="M134" s="138"/>
      <c r="N134" s="189"/>
      <c r="O134" s="190"/>
    </row>
    <row r="135" spans="1:15" ht="12.95" customHeight="1" x14ac:dyDescent="0.25">
      <c r="A135" s="136" t="s">
        <v>199</v>
      </c>
      <c r="B135" s="189">
        <f>'Averages Pivot Table'!S124</f>
        <v>111004.5613928644</v>
      </c>
      <c r="C135" s="138">
        <f t="shared" si="199"/>
        <v>11</v>
      </c>
      <c r="D135" s="189">
        <f>'Averages Pivot Table'!S128</f>
        <v>80052.003413312632</v>
      </c>
      <c r="E135" s="138">
        <f t="shared" si="199"/>
        <v>10</v>
      </c>
      <c r="F135" s="189">
        <f>'Averages Pivot Table'!S132</f>
        <v>74038.471155962296</v>
      </c>
      <c r="G135" s="138">
        <f t="shared" ref="G135" si="212">IF(F135&gt;0,RANK(F135,(F$130:F$148)),0)</f>
        <v>7</v>
      </c>
      <c r="H135" s="189">
        <f>'Averages Pivot Table'!S136</f>
        <v>52386.190799530101</v>
      </c>
      <c r="I135" s="138">
        <f t="shared" ref="I135" si="213">IF(H135&gt;0,RANK(H135,(H$130:H$148)),0)</f>
        <v>4</v>
      </c>
      <c r="J135" s="189">
        <f>'Averages Pivot Table'!S140</f>
        <v>52709.46377624134</v>
      </c>
      <c r="K135" s="138">
        <f t="shared" ref="K135" si="214">IF(J135&gt;0,RANK(J135,(J$130:J$148)),0)</f>
        <v>8</v>
      </c>
      <c r="L135" s="189">
        <f>'Averages Pivot Table'!S148</f>
        <v>84414.551160254807</v>
      </c>
      <c r="M135" s="138">
        <f t="shared" ref="M135" si="215">IF(L135&gt;0,RANK(L135,(L$130:L$148)),0)</f>
        <v>7</v>
      </c>
      <c r="N135" s="189"/>
      <c r="O135" s="190"/>
    </row>
    <row r="136" spans="1:15" ht="12.95" customHeight="1" x14ac:dyDescent="0.25">
      <c r="A136" s="136" t="s">
        <v>200</v>
      </c>
      <c r="B136" s="189">
        <f>'Averages Pivot Table'!S153</f>
        <v>109294.28923029556</v>
      </c>
      <c r="C136" s="138">
        <f t="shared" si="199"/>
        <v>12</v>
      </c>
      <c r="D136" s="189">
        <f>'Averages Pivot Table'!S157</f>
        <v>76947.657948302265</v>
      </c>
      <c r="E136" s="138">
        <f t="shared" si="199"/>
        <v>12</v>
      </c>
      <c r="F136" s="189">
        <f>'Averages Pivot Table'!S161</f>
        <v>66402.692570267493</v>
      </c>
      <c r="G136" s="138">
        <f t="shared" ref="G136" si="216">IF(F136&gt;0,RANK(F136,(F$130:F$148)),0)</f>
        <v>13</v>
      </c>
      <c r="H136" s="189">
        <f>'Averages Pivot Table'!S165</f>
        <v>50572.745958429558</v>
      </c>
      <c r="I136" s="138">
        <f t="shared" ref="I136" si="217">IF(H136&gt;0,RANK(H136,(H$130:H$148)),0)</f>
        <v>5</v>
      </c>
      <c r="J136" s="189">
        <f>'Averages Pivot Table'!S169</f>
        <v>47127.483484573502</v>
      </c>
      <c r="K136" s="138">
        <f t="shared" ref="K136" si="218">IF(J136&gt;0,RANK(J136,(J$130:J$148)),0)</f>
        <v>11</v>
      </c>
      <c r="L136" s="189">
        <f>'Averages Pivot Table'!S177</f>
        <v>82002.110449162996</v>
      </c>
      <c r="M136" s="138">
        <f t="shared" ref="M136" si="219">IF(L136&gt;0,RANK(L136,(L$130:L$148)),0)</f>
        <v>10</v>
      </c>
      <c r="N136" s="189"/>
      <c r="O136" s="190"/>
    </row>
    <row r="137" spans="1:15" ht="12.95" customHeight="1" x14ac:dyDescent="0.25">
      <c r="A137" s="136" t="s">
        <v>201</v>
      </c>
      <c r="B137" s="189">
        <f>'Averages Pivot Table'!S182</f>
        <v>107180.45121951219</v>
      </c>
      <c r="C137" s="138">
        <f t="shared" si="199"/>
        <v>14</v>
      </c>
      <c r="D137" s="189">
        <f>'Averages Pivot Table'!S186</f>
        <v>76708.069864442121</v>
      </c>
      <c r="E137" s="138">
        <f t="shared" si="199"/>
        <v>13</v>
      </c>
      <c r="F137" s="189">
        <f>'Averages Pivot Table'!S190</f>
        <v>69424.688405797104</v>
      </c>
      <c r="G137" s="138">
        <f t="shared" ref="G137" si="220">IF(F137&gt;0,RANK(F137,(F$130:F$148)),0)</f>
        <v>10</v>
      </c>
      <c r="H137" s="189">
        <f>'Averages Pivot Table'!S194</f>
        <v>42716.18968133536</v>
      </c>
      <c r="I137" s="138">
        <f t="shared" ref="I137" si="221">IF(H137&gt;0,RANK(H137,(H$130:H$148)),0)</f>
        <v>14</v>
      </c>
      <c r="J137" s="189">
        <f>'Averages Pivot Table'!S198</f>
        <v>62350.102941176468</v>
      </c>
      <c r="K137" s="138">
        <f t="shared" ref="K137" si="222">IF(J137&gt;0,RANK(J137,(J$130:J$148)),0)</f>
        <v>2</v>
      </c>
      <c r="L137" s="189">
        <f>'Averages Pivot Table'!S206</f>
        <v>79313.656170605114</v>
      </c>
      <c r="M137" s="138">
        <f t="shared" ref="M137" si="223">IF(L137&gt;0,RANK(L137,(L$130:L$148)),0)</f>
        <v>14</v>
      </c>
      <c r="N137" s="189"/>
      <c r="O137" s="190"/>
    </row>
    <row r="138" spans="1:15" ht="12.95" customHeight="1" x14ac:dyDescent="0.25">
      <c r="A138" s="136" t="s">
        <v>202</v>
      </c>
      <c r="B138" s="189">
        <f>'Averages Pivot Table'!S211</f>
        <v>132915.16512942576</v>
      </c>
      <c r="C138" s="138">
        <f t="shared" si="199"/>
        <v>2</v>
      </c>
      <c r="D138" s="189">
        <f>'Averages Pivot Table'!S215</f>
        <v>94614.900643316651</v>
      </c>
      <c r="E138" s="138">
        <f t="shared" si="199"/>
        <v>2</v>
      </c>
      <c r="F138" s="189">
        <f>'Averages Pivot Table'!S219</f>
        <v>84245.647058823524</v>
      </c>
      <c r="G138" s="138">
        <f t="shared" ref="G138" si="224">IF(F138&gt;0,RANK(F138,(F$130:F$148)),0)</f>
        <v>1</v>
      </c>
      <c r="H138" s="189">
        <f>'Averages Pivot Table'!S223</f>
        <v>58247.642857142862</v>
      </c>
      <c r="I138" s="138">
        <f t="shared" ref="I138" si="225">IF(H138&gt;0,RANK(H138,(H$130:H$148)),0)</f>
        <v>2</v>
      </c>
      <c r="J138" s="189">
        <f>'Averages Pivot Table'!S227</f>
        <v>60418.396181384247</v>
      </c>
      <c r="K138" s="138">
        <f t="shared" ref="K138" si="226">IF(J138&gt;0,RANK(J138,(J$130:J$148)),0)</f>
        <v>3</v>
      </c>
      <c r="L138" s="189">
        <f>'Averages Pivot Table'!S235</f>
        <v>101949.58534273348</v>
      </c>
      <c r="M138" s="138">
        <f t="shared" ref="M138" si="227">IF(L138&gt;0,RANK(L138,(L$130:L$148)),0)</f>
        <v>2</v>
      </c>
      <c r="N138" s="189"/>
      <c r="O138" s="190"/>
    </row>
    <row r="139" spans="1:15" ht="12.95" customHeight="1" x14ac:dyDescent="0.25">
      <c r="A139" s="136"/>
      <c r="B139" s="189"/>
      <c r="C139" s="138"/>
      <c r="D139" s="189"/>
      <c r="E139" s="138"/>
      <c r="F139" s="189"/>
      <c r="G139" s="138"/>
      <c r="H139" s="189"/>
      <c r="I139" s="138"/>
      <c r="J139" s="189"/>
      <c r="K139" s="138"/>
      <c r="L139" s="189"/>
      <c r="M139" s="138"/>
      <c r="N139" s="189"/>
      <c r="O139" s="190"/>
    </row>
    <row r="140" spans="1:15" ht="12.95" customHeight="1" x14ac:dyDescent="0.25">
      <c r="A140" s="136" t="s">
        <v>203</v>
      </c>
      <c r="B140" s="189">
        <f>'Averages Pivot Table'!S240</f>
        <v>90074.043658618393</v>
      </c>
      <c r="C140" s="138">
        <f t="shared" si="199"/>
        <v>16</v>
      </c>
      <c r="D140" s="189">
        <f>'Averages Pivot Table'!S244</f>
        <v>69387.374551295783</v>
      </c>
      <c r="E140" s="138">
        <f t="shared" si="199"/>
        <v>16</v>
      </c>
      <c r="F140" s="189">
        <f>'Averages Pivot Table'!S248</f>
        <v>61998.22363174583</v>
      </c>
      <c r="G140" s="138">
        <f t="shared" ref="G140" si="228">IF(F140&gt;0,RANK(F140,(F$130:F$148)),0)</f>
        <v>16</v>
      </c>
      <c r="H140" s="189">
        <f>'Averages Pivot Table'!S252</f>
        <v>43839.807425528517</v>
      </c>
      <c r="I140" s="138">
        <f t="shared" ref="I140" si="229">IF(H140&gt;0,RANK(H140,(H$130:H$148)),0)</f>
        <v>12</v>
      </c>
      <c r="J140" s="189">
        <f>'Averages Pivot Table'!S256</f>
        <v>31268.452471412082</v>
      </c>
      <c r="K140" s="138">
        <f t="shared" ref="K140" si="230">IF(J140&gt;0,RANK(J140,(J$130:J$148)),0)</f>
        <v>14</v>
      </c>
      <c r="L140" s="189">
        <f>'Averages Pivot Table'!S264</f>
        <v>65894.009756624742</v>
      </c>
      <c r="M140" s="138">
        <f t="shared" ref="M140" si="231">IF(L140&gt;0,RANK(L140,(L$130:L$148)),0)</f>
        <v>16</v>
      </c>
      <c r="N140" s="189"/>
      <c r="O140" s="190"/>
    </row>
    <row r="141" spans="1:15" ht="12.95" customHeight="1" x14ac:dyDescent="0.25">
      <c r="A141" s="136" t="s">
        <v>204</v>
      </c>
      <c r="B141" s="189">
        <f>'Averages Pivot Table'!S269</f>
        <v>127691.52102058743</v>
      </c>
      <c r="C141" s="138">
        <f t="shared" si="199"/>
        <v>4</v>
      </c>
      <c r="D141" s="189">
        <f>'Averages Pivot Table'!S273</f>
        <v>85303.893814490337</v>
      </c>
      <c r="E141" s="138">
        <f t="shared" si="199"/>
        <v>4</v>
      </c>
      <c r="F141" s="189">
        <f>'Averages Pivot Table'!S277</f>
        <v>77023.024496638056</v>
      </c>
      <c r="G141" s="138">
        <f t="shared" ref="G141" si="232">IF(F141&gt;0,RANK(F141,(F$130:F$148)),0)</f>
        <v>4</v>
      </c>
      <c r="H141" s="189">
        <f>'Averages Pivot Table'!S281</f>
        <v>55366.263008526803</v>
      </c>
      <c r="I141" s="138">
        <f t="shared" ref="I141" si="233">IF(H141&gt;0,RANK(H141,(H$130:H$148)),0)</f>
        <v>3</v>
      </c>
      <c r="J141" s="189">
        <f>'Averages Pivot Table'!S285</f>
        <v>57958.005065005367</v>
      </c>
      <c r="K141" s="138">
        <f t="shared" ref="K141" si="234">IF(J141&gt;0,RANK(J141,(J$130:J$148)),0)</f>
        <v>4</v>
      </c>
      <c r="L141" s="189">
        <f>'Averages Pivot Table'!S293</f>
        <v>90402.432321404049</v>
      </c>
      <c r="M141" s="138">
        <f t="shared" ref="M141" si="235">IF(L141&gt;0,RANK(L141,(L$130:L$148)),0)</f>
        <v>4</v>
      </c>
      <c r="N141" s="189"/>
      <c r="O141" s="190"/>
    </row>
    <row r="142" spans="1:15" ht="12.95" customHeight="1" x14ac:dyDescent="0.25">
      <c r="A142" s="136" t="s">
        <v>205</v>
      </c>
      <c r="B142" s="189">
        <f>'Averages Pivot Table'!S298</f>
        <v>111132.80251002769</v>
      </c>
      <c r="C142" s="138">
        <f t="shared" si="199"/>
        <v>10</v>
      </c>
      <c r="D142" s="189">
        <f>'Averages Pivot Table'!S302</f>
        <v>74005.872149837887</v>
      </c>
      <c r="E142" s="138">
        <f t="shared" si="199"/>
        <v>15</v>
      </c>
      <c r="F142" s="189">
        <f>'Averages Pivot Table'!S306</f>
        <v>66644.496748434933</v>
      </c>
      <c r="G142" s="138">
        <f t="shared" ref="G142" si="236">IF(F142&gt;0,RANK(F142,(F$130:F$148)),0)</f>
        <v>12</v>
      </c>
      <c r="H142" s="189">
        <f>'Averages Pivot Table'!S310</f>
        <v>42128.727755553336</v>
      </c>
      <c r="I142" s="138">
        <f t="shared" ref="I142" si="237">IF(H142&gt;0,RANK(H142,(H$130:H$148)),0)</f>
        <v>15</v>
      </c>
      <c r="J142" s="189">
        <f>'Averages Pivot Table'!S314</f>
        <v>0</v>
      </c>
      <c r="K142" s="138">
        <f t="shared" ref="K142" si="238">IF(J142&gt;0,RANK(J142,(J$130:J$148)),0)</f>
        <v>0</v>
      </c>
      <c r="L142" s="189">
        <f>'Averages Pivot Table'!S322</f>
        <v>80382.396851091471</v>
      </c>
      <c r="M142" s="138">
        <f t="shared" ref="M142" si="239">IF(L142&gt;0,RANK(L142,(L$130:L$148)),0)</f>
        <v>13</v>
      </c>
      <c r="N142" s="189"/>
      <c r="O142" s="190"/>
    </row>
    <row r="143" spans="1:15" ht="12.95" customHeight="1" x14ac:dyDescent="0.25">
      <c r="A143" s="136" t="s">
        <v>206</v>
      </c>
      <c r="B143" s="189">
        <f>'Averages Pivot Table'!S327</f>
        <v>120865.82782013441</v>
      </c>
      <c r="C143" s="138">
        <f t="shared" si="199"/>
        <v>6</v>
      </c>
      <c r="D143" s="189">
        <f>'Averages Pivot Table'!S331</f>
        <v>85295.079227345603</v>
      </c>
      <c r="E143" s="138">
        <f t="shared" si="199"/>
        <v>5</v>
      </c>
      <c r="F143" s="189">
        <f>'Averages Pivot Table'!S335</f>
        <v>75576.577675100489</v>
      </c>
      <c r="G143" s="138">
        <f t="shared" ref="G143" si="240">IF(F143&gt;0,RANK(F143,(F$130:F$148)),0)</f>
        <v>5</v>
      </c>
      <c r="H143" s="189">
        <f>'Averages Pivot Table'!S339</f>
        <v>49937.547300279271</v>
      </c>
      <c r="I143" s="138">
        <f t="shared" ref="I143" si="241">IF(H143&gt;0,RANK(H143,(H$130:H$148)),0)</f>
        <v>6</v>
      </c>
      <c r="J143" s="189">
        <f>'Averages Pivot Table'!S343</f>
        <v>52041.917643146684</v>
      </c>
      <c r="K143" s="138">
        <f t="shared" ref="K143" si="242">IF(J143&gt;0,RANK(J143,(J$130:J$148)),0)</f>
        <v>9</v>
      </c>
      <c r="L143" s="189">
        <f>'Averages Pivot Table'!S351</f>
        <v>86600.192050118145</v>
      </c>
      <c r="M143" s="138">
        <f t="shared" ref="M143" si="243">IF(L143&gt;0,RANK(L143,(L$130:L$148)),0)</f>
        <v>6</v>
      </c>
      <c r="N143" s="189"/>
      <c r="O143" s="190"/>
    </row>
    <row r="144" spans="1:15" ht="12.95" customHeight="1" x14ac:dyDescent="0.25">
      <c r="A144" s="136"/>
      <c r="B144" s="189"/>
      <c r="C144" s="138"/>
      <c r="D144" s="189"/>
      <c r="E144" s="138"/>
      <c r="F144" s="189"/>
      <c r="G144" s="138"/>
      <c r="H144" s="189"/>
      <c r="I144" s="138"/>
      <c r="J144" s="189"/>
      <c r="K144" s="138"/>
      <c r="L144" s="189"/>
      <c r="M144" s="138"/>
      <c r="N144" s="189"/>
      <c r="O144" s="190"/>
    </row>
    <row r="145" spans="1:19" ht="12.95" customHeight="1" x14ac:dyDescent="0.25">
      <c r="A145" s="136" t="s">
        <v>207</v>
      </c>
      <c r="B145" s="191">
        <f>'Averages Pivot Table'!S356</f>
        <v>114448.91150183289</v>
      </c>
      <c r="C145" s="138">
        <f t="shared" si="199"/>
        <v>8</v>
      </c>
      <c r="D145" s="191">
        <f>'Averages Pivot Table'!S360</f>
        <v>81851.804993748272</v>
      </c>
      <c r="E145" s="138">
        <f t="shared" si="199"/>
        <v>8</v>
      </c>
      <c r="F145" s="191">
        <f>'Averages Pivot Table'!S364</f>
        <v>68769.789475999569</v>
      </c>
      <c r="G145" s="138">
        <f t="shared" ref="G145" si="244">IF(F145&gt;0,RANK(F145,(F$130:F$148)),0)</f>
        <v>11</v>
      </c>
      <c r="H145" s="191">
        <f>'Averages Pivot Table'!S368</f>
        <v>45118.748350316382</v>
      </c>
      <c r="I145" s="138">
        <f t="shared" ref="I145" si="245">IF(H145&gt;0,RANK(H145,(H$130:H$148)),0)</f>
        <v>10</v>
      </c>
      <c r="J145" s="191">
        <f>'Averages Pivot Table'!S372</f>
        <v>45272.135565857148</v>
      </c>
      <c r="K145" s="138">
        <f t="shared" ref="K145" si="246">IF(J145&gt;0,RANK(J145,(J$130:J$148)),0)</f>
        <v>13</v>
      </c>
      <c r="L145" s="191">
        <f>'Averages Pivot Table'!S380</f>
        <v>82375.093674370757</v>
      </c>
      <c r="M145" s="138">
        <f t="shared" ref="M145" si="247">IF(L145&gt;0,RANK(L145,(L$130:L$148)),0)</f>
        <v>9</v>
      </c>
      <c r="N145" s="189"/>
      <c r="O145" s="190"/>
    </row>
    <row r="146" spans="1:19" ht="12.95" customHeight="1" x14ac:dyDescent="0.25">
      <c r="A146" s="136" t="s">
        <v>208</v>
      </c>
      <c r="B146" s="191">
        <f>'Averages Pivot Table'!S385</f>
        <v>130135.51595460445</v>
      </c>
      <c r="C146" s="138">
        <f t="shared" si="199"/>
        <v>3</v>
      </c>
      <c r="D146" s="191">
        <f>'Averages Pivot Table'!S389</f>
        <v>86774.637741641578</v>
      </c>
      <c r="E146" s="138">
        <f t="shared" si="199"/>
        <v>3</v>
      </c>
      <c r="F146" s="191">
        <f>'Averages Pivot Table'!S393</f>
        <v>78109.928206175784</v>
      </c>
      <c r="G146" s="138">
        <f t="shared" ref="G146" si="248">IF(F146&gt;0,RANK(F146,(F$130:F$148)),0)</f>
        <v>3</v>
      </c>
      <c r="H146" s="191">
        <f>'Averages Pivot Table'!S397</f>
        <v>45245.126827219254</v>
      </c>
      <c r="I146" s="138">
        <f t="shared" ref="I146" si="249">IF(H146&gt;0,RANK(H146,(H$130:H$148)),0)</f>
        <v>9</v>
      </c>
      <c r="J146" s="191">
        <f>'Averages Pivot Table'!S401</f>
        <v>55875.352950135079</v>
      </c>
      <c r="K146" s="138">
        <f t="shared" ref="K146" si="250">IF(J146&gt;0,RANK(J146,(J$130:J$148)),0)</f>
        <v>6</v>
      </c>
      <c r="L146" s="191">
        <f>'Averages Pivot Table'!S409</f>
        <v>91638.825877971263</v>
      </c>
      <c r="M146" s="138">
        <f t="shared" ref="M146" si="251">IF(L146&gt;0,RANK(L146,(L$130:L$148)),0)</f>
        <v>3</v>
      </c>
      <c r="N146" s="189"/>
      <c r="O146" s="190"/>
    </row>
    <row r="147" spans="1:19" ht="12.95" customHeight="1" x14ac:dyDescent="0.25">
      <c r="A147" s="136" t="s">
        <v>209</v>
      </c>
      <c r="B147" s="191">
        <f>'Averages Pivot Table'!S414</f>
        <v>123263.72102947222</v>
      </c>
      <c r="C147" s="138">
        <f t="shared" si="199"/>
        <v>5</v>
      </c>
      <c r="D147" s="191">
        <f>'Averages Pivot Table'!S418</f>
        <v>82987.656642438364</v>
      </c>
      <c r="E147" s="138">
        <f t="shared" si="199"/>
        <v>6</v>
      </c>
      <c r="F147" s="191">
        <f>'Averages Pivot Table'!S422</f>
        <v>71848.664634327084</v>
      </c>
      <c r="G147" s="138">
        <f t="shared" ref="G147" si="252">IF(F147&gt;0,RANK(F147,(F$130:F$148)),0)</f>
        <v>8</v>
      </c>
      <c r="H147" s="191">
        <f>'Averages Pivot Table'!S426</f>
        <v>48927.668372403627</v>
      </c>
      <c r="I147" s="138">
        <f t="shared" ref="I147" si="253">IF(H147&gt;0,RANK(H147,(H$130:H$148)),0)</f>
        <v>7</v>
      </c>
      <c r="J147" s="191">
        <f>'Averages Pivot Table'!S430</f>
        <v>49018.246316361758</v>
      </c>
      <c r="K147" s="138">
        <f t="shared" ref="K147" si="254">IF(J147&gt;0,RANK(J147,(J$130:J$148)),0)</f>
        <v>10</v>
      </c>
      <c r="L147" s="191">
        <f>'Averages Pivot Table'!S438</f>
        <v>90208.645828011038</v>
      </c>
      <c r="M147" s="138">
        <f t="shared" ref="M147" si="255">IF(L147&gt;0,RANK(L147,(L$130:L$148)),0)</f>
        <v>5</v>
      </c>
      <c r="N147" s="189"/>
      <c r="O147" s="190"/>
    </row>
    <row r="148" spans="1:19" ht="12.95" customHeight="1" x14ac:dyDescent="0.25">
      <c r="A148" s="161" t="s">
        <v>210</v>
      </c>
      <c r="B148" s="192">
        <f>'Averages Pivot Table'!S443</f>
        <v>107593.33239929948</v>
      </c>
      <c r="C148" s="141">
        <f t="shared" si="199"/>
        <v>13</v>
      </c>
      <c r="D148" s="192">
        <f>'Averages Pivot Table'!S447</f>
        <v>81915.896526772791</v>
      </c>
      <c r="E148" s="141">
        <f t="shared" si="199"/>
        <v>7</v>
      </c>
      <c r="F148" s="192">
        <f>'Averages Pivot Table'!S451</f>
        <v>65216.414504716995</v>
      </c>
      <c r="G148" s="141">
        <f t="shared" ref="G148" si="256">IF(F148&gt;0,RANK(F148,(F$130:F$148)),0)</f>
        <v>15</v>
      </c>
      <c r="H148" s="192">
        <f>'Averages Pivot Table'!S455</f>
        <v>42058.976987447699</v>
      </c>
      <c r="I148" s="141">
        <f t="shared" ref="I148" si="257">IF(H148&gt;0,RANK(H148,(H$130:H$148)),0)</f>
        <v>16</v>
      </c>
      <c r="J148" s="192">
        <f>'Averages Pivot Table'!S459</f>
        <v>55184.742857142846</v>
      </c>
      <c r="K148" s="141">
        <f t="shared" ref="K148" si="258">IF(J148&gt;0,RANK(J148,(J$130:J$148)),0)</f>
        <v>7</v>
      </c>
      <c r="L148" s="192">
        <f>'Averages Pivot Table'!S467</f>
        <v>80649.686683704873</v>
      </c>
      <c r="M148" s="141">
        <f t="shared" ref="M148" si="259">IF(L148&gt;0,RANK(L148,(L$130:L$148)),0)</f>
        <v>12</v>
      </c>
      <c r="N148" s="189"/>
      <c r="O148" s="189"/>
    </row>
    <row r="149" spans="1:19" ht="30" customHeight="1" x14ac:dyDescent="0.25">
      <c r="A149" s="714" t="s">
        <v>1127</v>
      </c>
      <c r="B149" s="715"/>
      <c r="C149" s="715"/>
      <c r="D149" s="715"/>
      <c r="E149" s="715"/>
      <c r="F149" s="715"/>
      <c r="G149" s="715"/>
      <c r="H149" s="715"/>
      <c r="I149" s="715"/>
      <c r="J149" s="715"/>
      <c r="K149" s="715"/>
      <c r="L149" s="715"/>
      <c r="M149" s="715"/>
      <c r="N149" s="136"/>
      <c r="O149" s="136"/>
    </row>
    <row r="150" spans="1:19" x14ac:dyDescent="0.25">
      <c r="M150" s="102" t="s">
        <v>1128</v>
      </c>
      <c r="O150" s="193"/>
    </row>
    <row r="151" spans="1:19" ht="18" x14ac:dyDescent="0.25">
      <c r="A151" s="82" t="s">
        <v>223</v>
      </c>
      <c r="B151" s="82"/>
      <c r="C151" s="82"/>
      <c r="D151" s="82"/>
      <c r="E151" s="82"/>
      <c r="F151" s="82"/>
      <c r="G151" s="82"/>
      <c r="H151" s="82"/>
      <c r="I151" s="82"/>
      <c r="J151" s="82"/>
      <c r="K151" s="82"/>
      <c r="L151" s="82"/>
      <c r="M151" s="82"/>
      <c r="N151" s="179"/>
      <c r="O151" s="179"/>
    </row>
    <row r="152" spans="1:19" x14ac:dyDescent="0.25">
      <c r="A152" s="136"/>
      <c r="B152" s="87"/>
      <c r="C152" s="87"/>
      <c r="D152" s="87"/>
      <c r="E152" s="87"/>
      <c r="F152" s="87"/>
      <c r="G152" s="87"/>
      <c r="H152" s="87"/>
      <c r="I152" s="87"/>
      <c r="J152" s="87"/>
      <c r="K152" s="87"/>
      <c r="L152" s="87"/>
      <c r="M152" s="87"/>
      <c r="N152" s="87"/>
      <c r="O152" s="87"/>
    </row>
    <row r="153" spans="1:19" x14ac:dyDescent="0.25">
      <c r="A153" s="707" t="s">
        <v>218</v>
      </c>
      <c r="B153" s="707"/>
      <c r="C153" s="707"/>
      <c r="D153" s="707"/>
      <c r="E153" s="707"/>
      <c r="F153" s="707"/>
      <c r="G153" s="707"/>
      <c r="H153" s="707"/>
      <c r="I153" s="707"/>
      <c r="J153" s="707"/>
      <c r="K153" s="707"/>
      <c r="L153" s="707"/>
      <c r="M153" s="707"/>
      <c r="N153" s="181"/>
      <c r="O153" s="181"/>
    </row>
    <row r="154" spans="1:19" x14ac:dyDescent="0.25">
      <c r="A154" s="707" t="s">
        <v>276</v>
      </c>
      <c r="B154" s="707"/>
      <c r="C154" s="707"/>
      <c r="D154" s="707"/>
      <c r="E154" s="707"/>
      <c r="F154" s="707"/>
      <c r="G154" s="707"/>
      <c r="H154" s="707"/>
      <c r="I154" s="707"/>
      <c r="J154" s="707"/>
      <c r="K154" s="707"/>
      <c r="L154" s="707"/>
      <c r="M154" s="707"/>
      <c r="N154" s="181"/>
      <c r="O154" s="181"/>
    </row>
    <row r="155" spans="1:19" x14ac:dyDescent="0.25">
      <c r="A155" s="136"/>
      <c r="B155" s="136"/>
      <c r="C155" s="136"/>
      <c r="D155" s="136"/>
      <c r="E155" s="136"/>
      <c r="F155" s="136"/>
      <c r="G155" s="136"/>
      <c r="H155" s="136"/>
      <c r="I155" s="136"/>
      <c r="J155" s="136"/>
      <c r="K155" s="136"/>
      <c r="L155" s="136"/>
      <c r="M155" s="136"/>
      <c r="N155" s="136"/>
      <c r="O155" s="136"/>
    </row>
    <row r="156" spans="1:19" ht="30.75" customHeight="1" x14ac:dyDescent="0.25">
      <c r="A156" s="114"/>
      <c r="B156" s="182" t="s">
        <v>3</v>
      </c>
      <c r="C156" s="183"/>
      <c r="D156" s="184" t="s">
        <v>4</v>
      </c>
      <c r="E156" s="185"/>
      <c r="F156" s="184" t="s">
        <v>5</v>
      </c>
      <c r="G156" s="185"/>
      <c r="H156" s="182" t="s">
        <v>6</v>
      </c>
      <c r="I156" s="183"/>
      <c r="J156" s="184" t="s">
        <v>219</v>
      </c>
      <c r="K156" s="185"/>
      <c r="L156" s="183" t="s">
        <v>220</v>
      </c>
      <c r="M156" s="183"/>
      <c r="N156" s="186" t="s">
        <v>7</v>
      </c>
      <c r="O156" s="186"/>
    </row>
    <row r="157" spans="1:19" x14ac:dyDescent="0.25">
      <c r="A157" s="120"/>
      <c r="B157" s="116" t="s">
        <v>193</v>
      </c>
      <c r="C157" s="115" t="s">
        <v>170</v>
      </c>
      <c r="D157" s="116" t="s">
        <v>193</v>
      </c>
      <c r="E157" s="115" t="s">
        <v>170</v>
      </c>
      <c r="F157" s="116" t="s">
        <v>193</v>
      </c>
      <c r="G157" s="115" t="s">
        <v>170</v>
      </c>
      <c r="H157" s="116" t="s">
        <v>193</v>
      </c>
      <c r="I157" s="115" t="s">
        <v>170</v>
      </c>
      <c r="J157" s="116" t="s">
        <v>193</v>
      </c>
      <c r="K157" s="115" t="s">
        <v>170</v>
      </c>
      <c r="L157" s="116" t="s">
        <v>193</v>
      </c>
      <c r="M157" s="115" t="s">
        <v>170</v>
      </c>
    </row>
    <row r="158" spans="1:19" s="127" customFormat="1" ht="18" customHeight="1" x14ac:dyDescent="0.25">
      <c r="A158" s="124" t="s">
        <v>194</v>
      </c>
      <c r="B158" s="151">
        <f>'Averages Pivot Table'!T$471</f>
        <v>108981.64644137709</v>
      </c>
      <c r="C158" s="151"/>
      <c r="D158" s="151">
        <f>'Averages Pivot Table'!T$475</f>
        <v>76560.300698519699</v>
      </c>
      <c r="E158" s="151"/>
      <c r="F158" s="151">
        <f>'Averages Pivot Table'!T$479</f>
        <v>66715.226904270457</v>
      </c>
      <c r="G158" s="151"/>
      <c r="H158" s="151">
        <f>'Averages Pivot Table'!T$483</f>
        <v>44620.017357177087</v>
      </c>
      <c r="I158" s="151"/>
      <c r="J158" s="151">
        <f>'Averages Pivot Table'!T$487</f>
        <v>50693.854825762792</v>
      </c>
      <c r="K158" s="151"/>
      <c r="L158" s="151">
        <f>'Averages Pivot Table'!T$495</f>
        <v>75941.651486007569</v>
      </c>
      <c r="M158" s="187"/>
      <c r="N158" s="151"/>
      <c r="O158" s="188"/>
      <c r="Q158" s="129"/>
      <c r="R158" s="129"/>
      <c r="S158" s="129"/>
    </row>
    <row r="159" spans="1:19" ht="12.95" customHeight="1" x14ac:dyDescent="0.25">
      <c r="A159" s="136"/>
      <c r="B159" s="131"/>
      <c r="C159" s="155"/>
      <c r="D159" s="131"/>
      <c r="E159" s="155"/>
      <c r="F159" s="131"/>
      <c r="G159" s="155"/>
      <c r="H159" s="131"/>
      <c r="I159" s="155"/>
      <c r="J159" s="131"/>
      <c r="K159" s="155"/>
      <c r="L159" s="131"/>
      <c r="M159" s="155"/>
      <c r="N159" s="131"/>
      <c r="O159" s="132"/>
    </row>
    <row r="160" spans="1:19" ht="12.95" customHeight="1" x14ac:dyDescent="0.25">
      <c r="A160" s="136" t="s">
        <v>195</v>
      </c>
      <c r="B160" s="167">
        <f>'Averages Pivot Table'!T$8</f>
        <v>121973.45491044135</v>
      </c>
      <c r="C160" s="138">
        <f>IF(B160&gt;0,RANK(B160,(B$160:B$178)),0)</f>
        <v>2</v>
      </c>
      <c r="D160" s="167">
        <f>'Averages Pivot Table'!T$12</f>
        <v>83690.558962444382</v>
      </c>
      <c r="E160" s="138">
        <f>IF(D160&gt;0,RANK(D160,(D$160:D$178)),0)</f>
        <v>2</v>
      </c>
      <c r="F160" s="167">
        <f>'Averages Pivot Table'!T$16</f>
        <v>68041.648370547889</v>
      </c>
      <c r="G160" s="138">
        <f>IF(F160&gt;0,RANK(F160,(F$160:F$178)),0)</f>
        <v>4</v>
      </c>
      <c r="H160" s="167">
        <f>'Averages Pivot Table'!T$20</f>
        <v>58555.112928148345</v>
      </c>
      <c r="I160" s="138">
        <f>IF(H160&gt;0,RANK(H160,(H$160:H$178)),0)</f>
        <v>2</v>
      </c>
      <c r="J160" s="167">
        <f>'Averages Pivot Table'!T$24</f>
        <v>48138.676691729328</v>
      </c>
      <c r="K160" s="138">
        <f>IF(J160&gt;0,RANK(J160,(J$160:J$178)),0)</f>
        <v>7</v>
      </c>
      <c r="L160" s="167">
        <f>'Averages Pivot Table'!T$32</f>
        <v>84984.927878017232</v>
      </c>
      <c r="M160" s="138">
        <f>IF(L160&gt;0,RANK(L160,(L$160:L$178)),0)</f>
        <v>2</v>
      </c>
      <c r="N160" s="167"/>
      <c r="O160" s="186"/>
    </row>
    <row r="161" spans="1:19" x14ac:dyDescent="0.25">
      <c r="A161" s="136" t="s">
        <v>196</v>
      </c>
      <c r="B161" s="167">
        <f>'Averages Pivot Table'!T$37</f>
        <v>0</v>
      </c>
      <c r="C161" s="138">
        <f t="shared" ref="C161" si="260">IF(B161&gt;0,RANK(B161,(B$160:B$178)),0)</f>
        <v>0</v>
      </c>
      <c r="D161" s="167">
        <f>'Averages Pivot Table'!T$41</f>
        <v>0</v>
      </c>
      <c r="E161" s="138">
        <f t="shared" ref="E161" si="261">IF(D161&gt;0,RANK(D161,(D$160:D$178)),0)</f>
        <v>0</v>
      </c>
      <c r="F161" s="167">
        <f>'Averages Pivot Table'!T$45</f>
        <v>0</v>
      </c>
      <c r="G161" s="138">
        <f t="shared" ref="G161" si="262">IF(F161&gt;0,RANK(F161,(F$160:F$178)),0)</f>
        <v>0</v>
      </c>
      <c r="H161" s="167">
        <f>'Averages Pivot Table'!T$49</f>
        <v>0</v>
      </c>
      <c r="I161" s="138">
        <f t="shared" ref="I161" si="263">IF(H161&gt;0,RANK(H161,(H$160:H$178)),0)</f>
        <v>0</v>
      </c>
      <c r="J161" s="167">
        <f>'Averages Pivot Table'!T$53</f>
        <v>0</v>
      </c>
      <c r="K161" s="138">
        <f t="shared" ref="K161:M178" si="264">IF(J161&gt;0,RANK(J161,(J$160:J$178)),0)</f>
        <v>0</v>
      </c>
      <c r="L161" s="167">
        <f>'Averages Pivot Table'!T$61</f>
        <v>0</v>
      </c>
      <c r="M161" s="138">
        <f t="shared" si="264"/>
        <v>0</v>
      </c>
      <c r="N161" s="167"/>
      <c r="O161" s="186"/>
      <c r="Q161" s="109"/>
      <c r="R161" s="109"/>
      <c r="S161" s="109"/>
    </row>
    <row r="162" spans="1:19" x14ac:dyDescent="0.25">
      <c r="A162" s="136" t="s">
        <v>197</v>
      </c>
      <c r="B162" s="167">
        <f>'Averages Pivot Table'!T$66</f>
        <v>0</v>
      </c>
      <c r="C162" s="138">
        <f t="shared" ref="C162" si="265">IF(B162&gt;0,RANK(B162,(B$160:B$178)),0)</f>
        <v>0</v>
      </c>
      <c r="D162" s="167">
        <f>'Averages Pivot Table'!T$70</f>
        <v>0</v>
      </c>
      <c r="E162" s="138">
        <f t="shared" ref="E162" si="266">IF(D162&gt;0,RANK(D162,(D$160:D$178)),0)</f>
        <v>0</v>
      </c>
      <c r="F162" s="167">
        <f>'Averages Pivot Table'!T$74</f>
        <v>0</v>
      </c>
      <c r="G162" s="138">
        <f t="shared" ref="G162" si="267">IF(F162&gt;0,RANK(F162,(F$160:F$178)),0)</f>
        <v>0</v>
      </c>
      <c r="H162" s="167">
        <f>'Averages Pivot Table'!T$78</f>
        <v>0</v>
      </c>
      <c r="I162" s="138">
        <f t="shared" ref="I162" si="268">IF(H162&gt;0,RANK(H162,(H$160:H$178)),0)</f>
        <v>0</v>
      </c>
      <c r="J162" s="167">
        <f>'Averages Pivot Table'!T$82</f>
        <v>0</v>
      </c>
      <c r="K162" s="138">
        <f t="shared" si="264"/>
        <v>0</v>
      </c>
      <c r="L162" s="167">
        <f>'Averages Pivot Table'!T$90</f>
        <v>0</v>
      </c>
      <c r="M162" s="138">
        <f t="shared" si="264"/>
        <v>0</v>
      </c>
      <c r="N162" s="167"/>
      <c r="O162" s="186"/>
      <c r="Q162" s="109"/>
      <c r="R162" s="109"/>
      <c r="S162" s="109"/>
    </row>
    <row r="163" spans="1:19" x14ac:dyDescent="0.25">
      <c r="A163" s="136" t="s">
        <v>198</v>
      </c>
      <c r="B163" s="167">
        <f>'Averages Pivot Table'!T$95</f>
        <v>96656.131175468487</v>
      </c>
      <c r="C163" s="138">
        <f t="shared" ref="C163" si="269">IF(B163&gt;0,RANK(B163,(B$160:B$178)),0)</f>
        <v>8</v>
      </c>
      <c r="D163" s="167">
        <f>'Averages Pivot Table'!T$99</f>
        <v>71843.268188302434</v>
      </c>
      <c r="E163" s="138">
        <f t="shared" ref="E163" si="270">IF(D163&gt;0,RANK(D163,(D$160:D$178)),0)</f>
        <v>8</v>
      </c>
      <c r="F163" s="167">
        <f>'Averages Pivot Table'!T$103</f>
        <v>66088.165803108801</v>
      </c>
      <c r="G163" s="138">
        <f t="shared" ref="G163" si="271">IF(F163&gt;0,RANK(F163,(F$160:F$178)),0)</f>
        <v>6</v>
      </c>
      <c r="H163" s="167">
        <f>'Averages Pivot Table'!T$107</f>
        <v>47619.186471663619</v>
      </c>
      <c r="I163" s="138">
        <f t="shared" ref="I163" si="272">IF(H163&gt;0,RANK(H163,(H$160:H$178)),0)</f>
        <v>5</v>
      </c>
      <c r="J163" s="167">
        <f>'Averages Pivot Table'!T$111</f>
        <v>50777.142857142855</v>
      </c>
      <c r="K163" s="138">
        <f t="shared" si="264"/>
        <v>4</v>
      </c>
      <c r="L163" s="167">
        <f>'Averages Pivot Table'!T$119</f>
        <v>71663.756941113053</v>
      </c>
      <c r="M163" s="138">
        <f t="shared" si="264"/>
        <v>7</v>
      </c>
      <c r="N163" s="167"/>
      <c r="O163" s="186"/>
      <c r="Q163" s="109"/>
      <c r="R163" s="109"/>
      <c r="S163" s="109"/>
    </row>
    <row r="164" spans="1:19" x14ac:dyDescent="0.25">
      <c r="A164" s="136"/>
      <c r="B164" s="167"/>
      <c r="C164" s="138"/>
      <c r="D164" s="167"/>
      <c r="E164" s="138"/>
      <c r="F164" s="167"/>
      <c r="G164" s="138"/>
      <c r="H164" s="167"/>
      <c r="I164" s="138"/>
      <c r="J164" s="167"/>
      <c r="K164" s="138"/>
      <c r="L164" s="167"/>
      <c r="M164" s="138"/>
      <c r="N164" s="167"/>
      <c r="O164" s="186"/>
      <c r="Q164" s="109"/>
      <c r="R164" s="109"/>
      <c r="S164" s="109"/>
    </row>
    <row r="165" spans="1:19" x14ac:dyDescent="0.25">
      <c r="A165" s="136" t="s">
        <v>225</v>
      </c>
      <c r="B165" s="167">
        <f>'Averages Pivot Table'!T$124</f>
        <v>143768.20157001773</v>
      </c>
      <c r="C165" s="138">
        <f t="shared" ref="C165" si="273">IF(B165&gt;0,RANK(B165,(B$160:B$178)),0)</f>
        <v>1</v>
      </c>
      <c r="D165" s="167">
        <f>'Averages Pivot Table'!T$128</f>
        <v>95918.534373681992</v>
      </c>
      <c r="E165" s="138">
        <f t="shared" ref="E165" si="274">IF(D165&gt;0,RANK(D165,(D$160:D$178)),0)</f>
        <v>1</v>
      </c>
      <c r="F165" s="167">
        <f>'Averages Pivot Table'!T$132</f>
        <v>89535.421296296307</v>
      </c>
      <c r="G165" s="138">
        <f t="shared" ref="G165" si="275">IF(F165&gt;0,RANK(F165,(F$160:F$178)),0)</f>
        <v>1</v>
      </c>
      <c r="H165" s="167">
        <f>'Averages Pivot Table'!T$136</f>
        <v>36334.041666666672</v>
      </c>
      <c r="I165" s="138">
        <f t="shared" ref="I165" si="276">IF(H165&gt;0,RANK(H165,(H$160:H$178)),0)</f>
        <v>10</v>
      </c>
      <c r="J165" s="167">
        <f>'Averages Pivot Table'!T$140</f>
        <v>68348.269372693729</v>
      </c>
      <c r="K165" s="138">
        <f t="shared" si="264"/>
        <v>1</v>
      </c>
      <c r="L165" s="167">
        <f>'Averages Pivot Table'!T$148</f>
        <v>109235.9707087635</v>
      </c>
      <c r="M165" s="138">
        <f t="shared" si="264"/>
        <v>1</v>
      </c>
      <c r="N165" s="167"/>
      <c r="O165" s="186"/>
      <c r="Q165" s="109"/>
      <c r="R165" s="109"/>
      <c r="S165" s="109"/>
    </row>
    <row r="166" spans="1:19" x14ac:dyDescent="0.25">
      <c r="A166" s="136" t="s">
        <v>200</v>
      </c>
      <c r="B166" s="167">
        <f>'Averages Pivot Table'!T$153</f>
        <v>0</v>
      </c>
      <c r="C166" s="138">
        <f t="shared" ref="C166" si="277">IF(B166&gt;0,RANK(B166,(B$160:B$178)),0)</f>
        <v>0</v>
      </c>
      <c r="D166" s="167">
        <f>'Averages Pivot Table'!T$157</f>
        <v>0</v>
      </c>
      <c r="E166" s="138">
        <f t="shared" ref="E166" si="278">IF(D166&gt;0,RANK(D166,(D$160:D$178)),0)</f>
        <v>0</v>
      </c>
      <c r="F166" s="167">
        <f>'Averages Pivot Table'!T$161</f>
        <v>0</v>
      </c>
      <c r="G166" s="138">
        <f t="shared" ref="G166" si="279">IF(F166&gt;0,RANK(F166,(F$160:F$178)),0)</f>
        <v>0</v>
      </c>
      <c r="H166" s="167">
        <f>'Averages Pivot Table'!T$165</f>
        <v>0</v>
      </c>
      <c r="I166" s="138">
        <f t="shared" ref="I166" si="280">IF(H166&gt;0,RANK(H166,(H$160:H$178)),0)</f>
        <v>0</v>
      </c>
      <c r="J166" s="167">
        <f>'Averages Pivot Table'!T$169</f>
        <v>0</v>
      </c>
      <c r="K166" s="138">
        <f t="shared" si="264"/>
        <v>0</v>
      </c>
      <c r="L166" s="167">
        <f>'Averages Pivot Table'!T$177</f>
        <v>0</v>
      </c>
      <c r="M166" s="138">
        <f t="shared" si="264"/>
        <v>0</v>
      </c>
      <c r="N166" s="167"/>
      <c r="O166" s="186"/>
      <c r="Q166" s="109"/>
      <c r="R166" s="109"/>
      <c r="S166" s="109"/>
    </row>
    <row r="167" spans="1:19" x14ac:dyDescent="0.25">
      <c r="A167" s="136" t="s">
        <v>201</v>
      </c>
      <c r="B167" s="167">
        <f>'Averages Pivot Table'!T$182</f>
        <v>91568.518584242891</v>
      </c>
      <c r="C167" s="138">
        <f t="shared" ref="C167" si="281">IF(B167&gt;0,RANK(B167,(B$160:B$178)),0)</f>
        <v>9</v>
      </c>
      <c r="D167" s="167">
        <f>'Averages Pivot Table'!T$186</f>
        <v>69130.897080311217</v>
      </c>
      <c r="E167" s="138">
        <f t="shared" ref="E167" si="282">IF(D167&gt;0,RANK(D167,(D$160:D$178)),0)</f>
        <v>9</v>
      </c>
      <c r="F167" s="167">
        <f>'Averages Pivot Table'!T$190</f>
        <v>60341.210736144851</v>
      </c>
      <c r="G167" s="138">
        <f t="shared" ref="G167" si="283">IF(F167&gt;0,RANK(F167,(F$160:F$178)),0)</f>
        <v>9</v>
      </c>
      <c r="H167" s="167">
        <f>'Averages Pivot Table'!T$194</f>
        <v>39991.203557967689</v>
      </c>
      <c r="I167" s="138">
        <f t="shared" ref="I167" si="284">IF(H167&gt;0,RANK(H167,(H$160:H$178)),0)</f>
        <v>7</v>
      </c>
      <c r="J167" s="167">
        <f>'Averages Pivot Table'!T$198</f>
        <v>59660.480769230766</v>
      </c>
      <c r="K167" s="138">
        <f t="shared" si="264"/>
        <v>3</v>
      </c>
      <c r="L167" s="167">
        <f>'Averages Pivot Table'!T$206</f>
        <v>65840.633444674837</v>
      </c>
      <c r="M167" s="138">
        <f t="shared" si="264"/>
        <v>9</v>
      </c>
      <c r="N167" s="167"/>
      <c r="O167" s="186"/>
      <c r="Q167" s="109"/>
      <c r="R167" s="109"/>
      <c r="S167" s="109"/>
    </row>
    <row r="168" spans="1:19" x14ac:dyDescent="0.25">
      <c r="A168" s="136" t="s">
        <v>202</v>
      </c>
      <c r="B168" s="167">
        <f>'Averages Pivot Table'!T$211</f>
        <v>106013.23930524426</v>
      </c>
      <c r="C168" s="138">
        <f t="shared" ref="C168" si="285">IF(B168&gt;0,RANK(B168,(B$160:B$178)),0)</f>
        <v>5</v>
      </c>
      <c r="D168" s="167">
        <f>'Averages Pivot Table'!T$215</f>
        <v>76268.690246674654</v>
      </c>
      <c r="E168" s="138">
        <f t="shared" ref="E168" si="286">IF(D168&gt;0,RANK(D168,(D$160:D$178)),0)</f>
        <v>5</v>
      </c>
      <c r="F168" s="167">
        <f>'Averages Pivot Table'!T$219</f>
        <v>67877.397485278751</v>
      </c>
      <c r="G168" s="138">
        <f t="shared" ref="G168" si="287">IF(F168&gt;0,RANK(F168,(F$160:F$178)),0)</f>
        <v>5</v>
      </c>
      <c r="H168" s="167">
        <f>'Averages Pivot Table'!T$223</f>
        <v>49045.216463414639</v>
      </c>
      <c r="I168" s="138">
        <f t="shared" ref="I168" si="288">IF(H168&gt;0,RANK(H168,(H$160:H$178)),0)</f>
        <v>4</v>
      </c>
      <c r="J168" s="167">
        <f>'Averages Pivot Table'!T$227</f>
        <v>46824.835453878157</v>
      </c>
      <c r="K168" s="138">
        <f t="shared" si="264"/>
        <v>8</v>
      </c>
      <c r="L168" s="167">
        <f>'Averages Pivot Table'!T$235</f>
        <v>72978.025032120335</v>
      </c>
      <c r="M168" s="138">
        <f t="shared" si="264"/>
        <v>5</v>
      </c>
      <c r="N168" s="167"/>
      <c r="O168" s="186"/>
      <c r="Q168" s="109"/>
      <c r="R168" s="109"/>
      <c r="S168" s="109"/>
    </row>
    <row r="169" spans="1:19" x14ac:dyDescent="0.25">
      <c r="A169" s="136"/>
      <c r="B169" s="167"/>
      <c r="C169" s="138"/>
      <c r="D169" s="167"/>
      <c r="E169" s="138"/>
      <c r="F169" s="167"/>
      <c r="G169" s="138"/>
      <c r="H169" s="167"/>
      <c r="I169" s="138"/>
      <c r="J169" s="167"/>
      <c r="K169" s="138"/>
      <c r="L169" s="167"/>
      <c r="M169" s="138"/>
      <c r="N169" s="167"/>
      <c r="O169" s="186"/>
      <c r="Q169" s="109"/>
      <c r="R169" s="109"/>
      <c r="S169" s="109"/>
    </row>
    <row r="170" spans="1:19" x14ac:dyDescent="0.25">
      <c r="A170" s="136" t="s">
        <v>203</v>
      </c>
      <c r="B170" s="167">
        <f>'Averages Pivot Table'!T$240</f>
        <v>97408.010099497566</v>
      </c>
      <c r="C170" s="138">
        <f t="shared" ref="C170" si="289">IF(B170&gt;0,RANK(B170,(B$160:B$178)),0)</f>
        <v>7</v>
      </c>
      <c r="D170" s="167">
        <f>'Averages Pivot Table'!T$244</f>
        <v>73936.671691045951</v>
      </c>
      <c r="E170" s="138">
        <f t="shared" ref="E170" si="290">IF(D170&gt;0,RANK(D170,(D$160:D$178)),0)</f>
        <v>6</v>
      </c>
      <c r="F170" s="167">
        <f>'Averages Pivot Table'!T$248</f>
        <v>62737.364675655503</v>
      </c>
      <c r="G170" s="138">
        <f t="shared" ref="G170" si="291">IF(F170&gt;0,RANK(F170,(F$160:F$178)),0)</f>
        <v>8</v>
      </c>
      <c r="H170" s="167">
        <f>'Averages Pivot Table'!T$252</f>
        <v>39856.705036320694</v>
      </c>
      <c r="I170" s="138">
        <f t="shared" ref="I170" si="292">IF(H170&gt;0,RANK(H170,(H$160:H$178)),0)</f>
        <v>9</v>
      </c>
      <c r="J170" s="167">
        <f>'Averages Pivot Table'!T$256</f>
        <v>44540.452898550728</v>
      </c>
      <c r="K170" s="138">
        <f t="shared" si="264"/>
        <v>9</v>
      </c>
      <c r="L170" s="167">
        <f>'Averages Pivot Table'!T$264</f>
        <v>68580.388851281459</v>
      </c>
      <c r="M170" s="138">
        <f t="shared" si="264"/>
        <v>8</v>
      </c>
      <c r="N170" s="167"/>
      <c r="O170" s="186"/>
      <c r="Q170" s="109"/>
      <c r="R170" s="109"/>
      <c r="S170" s="109"/>
    </row>
    <row r="171" spans="1:19" x14ac:dyDescent="0.25">
      <c r="A171" s="136" t="s">
        <v>204</v>
      </c>
      <c r="B171" s="167">
        <f>'Averages Pivot Table'!T$269</f>
        <v>102699.70472758931</v>
      </c>
      <c r="C171" s="138">
        <f t="shared" ref="C171" si="293">IF(B171&gt;0,RANK(B171,(B$160:B$178)),0)</f>
        <v>6</v>
      </c>
      <c r="D171" s="167">
        <f>'Averages Pivot Table'!T$273</f>
        <v>76308.521407359163</v>
      </c>
      <c r="E171" s="138">
        <f t="shared" ref="E171" si="294">IF(D171&gt;0,RANK(D171,(D$160:D$178)),0)</f>
        <v>4</v>
      </c>
      <c r="F171" s="167">
        <f>'Averages Pivot Table'!T$277</f>
        <v>68267.008851841223</v>
      </c>
      <c r="G171" s="138">
        <f t="shared" ref="G171" si="295">IF(F171&gt;0,RANK(F171,(F$160:F$178)),0)</f>
        <v>3</v>
      </c>
      <c r="H171" s="167">
        <f>'Averages Pivot Table'!T$281</f>
        <v>61797.637167567569</v>
      </c>
      <c r="I171" s="138">
        <f t="shared" ref="I171" si="296">IF(H171&gt;0,RANK(H171,(H$160:H$178)),0)</f>
        <v>1</v>
      </c>
      <c r="J171" s="167">
        <f>'Averages Pivot Table'!T$285</f>
        <v>49858.195102730388</v>
      </c>
      <c r="K171" s="138">
        <f t="shared" si="264"/>
        <v>6</v>
      </c>
      <c r="L171" s="167">
        <f>'Averages Pivot Table'!T$293</f>
        <v>72543.754729264343</v>
      </c>
      <c r="M171" s="138">
        <f t="shared" si="264"/>
        <v>6</v>
      </c>
      <c r="N171" s="167"/>
      <c r="O171" s="186"/>
      <c r="Q171" s="109"/>
      <c r="R171" s="109"/>
      <c r="S171" s="109"/>
    </row>
    <row r="172" spans="1:19" x14ac:dyDescent="0.25">
      <c r="A172" s="136" t="s">
        <v>205</v>
      </c>
      <c r="B172" s="167">
        <f>'Averages Pivot Table'!T$298</f>
        <v>0</v>
      </c>
      <c r="C172" s="138">
        <f t="shared" ref="C172" si="297">IF(B172&gt;0,RANK(B172,(B$160:B$178)),0)</f>
        <v>0</v>
      </c>
      <c r="D172" s="167">
        <f>'Averages Pivot Table'!T$302</f>
        <v>0</v>
      </c>
      <c r="E172" s="138">
        <f t="shared" ref="E172" si="298">IF(D172&gt;0,RANK(D172,(D$160:D$178)),0)</f>
        <v>0</v>
      </c>
      <c r="F172" s="167">
        <f>'Averages Pivot Table'!T$306</f>
        <v>0</v>
      </c>
      <c r="G172" s="138">
        <f t="shared" ref="G172" si="299">IF(F172&gt;0,RANK(F172,(F$160:F$178)),0)</f>
        <v>0</v>
      </c>
      <c r="H172" s="167">
        <f>'Averages Pivot Table'!T$310</f>
        <v>0</v>
      </c>
      <c r="I172" s="138">
        <f t="shared" ref="I172" si="300">IF(H172&gt;0,RANK(H172,(H$160:H$178)),0)</f>
        <v>0</v>
      </c>
      <c r="J172" s="167">
        <f>'Averages Pivot Table'!T$314</f>
        <v>0</v>
      </c>
      <c r="K172" s="138">
        <f t="shared" si="264"/>
        <v>0</v>
      </c>
      <c r="L172" s="167">
        <f>'Averages Pivot Table'!T$322</f>
        <v>0</v>
      </c>
      <c r="M172" s="138">
        <f t="shared" si="264"/>
        <v>0</v>
      </c>
      <c r="N172" s="167"/>
      <c r="O172" s="186"/>
      <c r="Q172" s="109"/>
      <c r="R172" s="109"/>
      <c r="S172" s="109"/>
    </row>
    <row r="173" spans="1:19" x14ac:dyDescent="0.25">
      <c r="A173" s="136" t="s">
        <v>206</v>
      </c>
      <c r="B173" s="167">
        <f>'Averages Pivot Table'!T$327</f>
        <v>0</v>
      </c>
      <c r="C173" s="138">
        <f t="shared" ref="C173" si="301">IF(B173&gt;0,RANK(B173,(B$160:B$178)),0)</f>
        <v>0</v>
      </c>
      <c r="D173" s="167">
        <f>'Averages Pivot Table'!T$331</f>
        <v>0</v>
      </c>
      <c r="E173" s="138">
        <f t="shared" ref="E173" si="302">IF(D173&gt;0,RANK(D173,(D$160:D$178)),0)</f>
        <v>0</v>
      </c>
      <c r="F173" s="167">
        <f>'Averages Pivot Table'!T$335</f>
        <v>0</v>
      </c>
      <c r="G173" s="138">
        <f t="shared" ref="G173" si="303">IF(F173&gt;0,RANK(F173,(F$160:F$178)),0)</f>
        <v>0</v>
      </c>
      <c r="H173" s="167">
        <f>'Averages Pivot Table'!T$339</f>
        <v>0</v>
      </c>
      <c r="I173" s="138">
        <f t="shared" ref="I173" si="304">IF(H173&gt;0,RANK(H173,(H$160:H$178)),0)</f>
        <v>0</v>
      </c>
      <c r="J173" s="167">
        <f>'Averages Pivot Table'!T$343</f>
        <v>0</v>
      </c>
      <c r="K173" s="138">
        <f t="shared" si="264"/>
        <v>0</v>
      </c>
      <c r="L173" s="167">
        <f>'Averages Pivot Table'!T$351</f>
        <v>0</v>
      </c>
      <c r="M173" s="138">
        <f t="shared" si="264"/>
        <v>0</v>
      </c>
      <c r="N173" s="167"/>
      <c r="O173" s="186"/>
      <c r="Q173" s="109"/>
      <c r="R173" s="109"/>
      <c r="S173" s="109"/>
    </row>
    <row r="174" spans="1:19" x14ac:dyDescent="0.25">
      <c r="A174" s="136"/>
      <c r="B174" s="167"/>
      <c r="C174" s="138"/>
      <c r="D174" s="167"/>
      <c r="E174" s="138"/>
      <c r="F174" s="167"/>
      <c r="G174" s="138"/>
      <c r="H174" s="167"/>
      <c r="I174" s="138"/>
      <c r="J174" s="167"/>
      <c r="K174" s="138"/>
      <c r="L174" s="167"/>
      <c r="M174" s="138"/>
      <c r="N174" s="167"/>
      <c r="O174" s="186"/>
      <c r="Q174" s="109"/>
      <c r="R174" s="109"/>
      <c r="S174" s="109"/>
    </row>
    <row r="175" spans="1:19" x14ac:dyDescent="0.25">
      <c r="A175" s="136" t="s">
        <v>207</v>
      </c>
      <c r="B175" s="137">
        <f>'Averages Pivot Table'!T$356</f>
        <v>79685.276470588244</v>
      </c>
      <c r="C175" s="138">
        <f t="shared" ref="C175" si="305">IF(B175&gt;0,RANK(B175,(B$160:B$178)),0)</f>
        <v>10</v>
      </c>
      <c r="D175" s="137">
        <f>'Averages Pivot Table'!T$360</f>
        <v>61134.756521739124</v>
      </c>
      <c r="E175" s="138">
        <f t="shared" ref="E175" si="306">IF(D175&gt;0,RANK(D175,(D$160:D$178)),0)</f>
        <v>10</v>
      </c>
      <c r="F175" s="137">
        <f>'Averages Pivot Table'!T$364</f>
        <v>50702.865789473683</v>
      </c>
      <c r="G175" s="138">
        <f t="shared" ref="G175" si="307">IF(F175&gt;0,RANK(F175,(F$160:F$178)),0)</f>
        <v>10</v>
      </c>
      <c r="H175" s="137">
        <f>'Averages Pivot Table'!T$368</f>
        <v>39922.971428571429</v>
      </c>
      <c r="I175" s="138">
        <f t="shared" ref="I175" si="308">IF(H175&gt;0,RANK(H175,(H$160:H$178)),0)</f>
        <v>8</v>
      </c>
      <c r="J175" s="137">
        <f>'Averages Pivot Table'!T$372</f>
        <v>43481.36</v>
      </c>
      <c r="K175" s="138">
        <f t="shared" si="264"/>
        <v>10</v>
      </c>
      <c r="L175" s="137">
        <f>'Averages Pivot Table'!T$380</f>
        <v>60895.829187407959</v>
      </c>
      <c r="M175" s="138">
        <f t="shared" si="264"/>
        <v>10</v>
      </c>
      <c r="N175" s="167"/>
      <c r="O175" s="186"/>
      <c r="Q175" s="109"/>
      <c r="R175" s="109"/>
      <c r="S175" s="109"/>
    </row>
    <row r="176" spans="1:19" x14ac:dyDescent="0.25">
      <c r="A176" s="136" t="s">
        <v>208</v>
      </c>
      <c r="B176" s="137">
        <f>'Averages Pivot Table'!T$385</f>
        <v>108069.25634517767</v>
      </c>
      <c r="C176" s="138">
        <f t="shared" ref="C176" si="309">IF(B176&gt;0,RANK(B176,(B$160:B$178)),0)</f>
        <v>3</v>
      </c>
      <c r="D176" s="137">
        <f>'Averages Pivot Table'!T$389</f>
        <v>77838.629237288129</v>
      </c>
      <c r="E176" s="138">
        <f t="shared" ref="E176" si="310">IF(D176&gt;0,RANK(D176,(D$160:D$178)),0)</f>
        <v>3</v>
      </c>
      <c r="F176" s="137">
        <f>'Averages Pivot Table'!T$393</f>
        <v>70318.767441860458</v>
      </c>
      <c r="G176" s="138">
        <f t="shared" ref="G176" si="311">IF(F176&gt;0,RANK(F176,(F$160:F$178)),0)</f>
        <v>2</v>
      </c>
      <c r="H176" s="137">
        <f>'Averages Pivot Table'!T$397</f>
        <v>50970.36363636364</v>
      </c>
      <c r="I176" s="138">
        <f t="shared" ref="I176" si="312">IF(H176&gt;0,RANK(H176,(H$160:H$178)),0)</f>
        <v>3</v>
      </c>
      <c r="J176" s="137">
        <f>'Averages Pivot Table'!T$401</f>
        <v>50702.564547206166</v>
      </c>
      <c r="K176" s="138">
        <f t="shared" si="264"/>
        <v>5</v>
      </c>
      <c r="L176" s="137">
        <f>'Averages Pivot Table'!T$409</f>
        <v>74822.090858104333</v>
      </c>
      <c r="M176" s="138">
        <f t="shared" si="264"/>
        <v>3</v>
      </c>
      <c r="N176" s="167"/>
      <c r="O176" s="186"/>
      <c r="Q176" s="109"/>
      <c r="R176" s="109"/>
      <c r="S176" s="109"/>
    </row>
    <row r="177" spans="1:19" ht="12.95" customHeight="1" x14ac:dyDescent="0.25">
      <c r="A177" s="136" t="s">
        <v>209</v>
      </c>
      <c r="B177" s="137">
        <f>'Averages Pivot Table'!T$414</f>
        <v>106601.8305922627</v>
      </c>
      <c r="C177" s="138">
        <f t="shared" ref="C177" si="313">IF(B177&gt;0,RANK(B177,(B$160:B$178)),0)</f>
        <v>4</v>
      </c>
      <c r="D177" s="137">
        <f>'Averages Pivot Table'!T$418</f>
        <v>72895.351157463534</v>
      </c>
      <c r="E177" s="138">
        <f t="shared" ref="E177" si="314">IF(D177&gt;0,RANK(D177,(D$160:D$178)),0)</f>
        <v>7</v>
      </c>
      <c r="F177" s="137">
        <f>'Averages Pivot Table'!T$422</f>
        <v>62909.973614268223</v>
      </c>
      <c r="G177" s="138">
        <f t="shared" ref="G177" si="315">IF(F177&gt;0,RANK(F177,(F$160:F$178)),0)</f>
        <v>7</v>
      </c>
      <c r="H177" s="137">
        <f>'Averages Pivot Table'!T$426</f>
        <v>46843.100625170104</v>
      </c>
      <c r="I177" s="138">
        <f t="shared" ref="I177" si="316">IF(H177&gt;0,RANK(H177,(H$160:H$178)),0)</f>
        <v>6</v>
      </c>
      <c r="J177" s="137">
        <f>'Averages Pivot Table'!T$430</f>
        <v>64534.28571428571</v>
      </c>
      <c r="K177" s="138">
        <f t="shared" si="264"/>
        <v>2</v>
      </c>
      <c r="L177" s="137">
        <f>'Averages Pivot Table'!T$438</f>
        <v>74552.878896825481</v>
      </c>
      <c r="M177" s="138">
        <f t="shared" si="264"/>
        <v>4</v>
      </c>
      <c r="N177" s="167"/>
      <c r="O177" s="186"/>
    </row>
    <row r="178" spans="1:19" ht="12.95" customHeight="1" x14ac:dyDescent="0.25">
      <c r="A178" s="161" t="s">
        <v>210</v>
      </c>
      <c r="B178" s="140">
        <f>'Averages Pivot Table'!T$443</f>
        <v>0</v>
      </c>
      <c r="C178" s="141">
        <f t="shared" ref="C178" si="317">IF(B178&gt;0,RANK(B178,(B$160:B$178)),0)</f>
        <v>0</v>
      </c>
      <c r="D178" s="140">
        <f>'Averages Pivot Table'!T$447</f>
        <v>0</v>
      </c>
      <c r="E178" s="141">
        <f t="shared" ref="E178" si="318">IF(D178&gt;0,RANK(D178,(D$160:D$178)),0)</f>
        <v>0</v>
      </c>
      <c r="F178" s="140">
        <f>'Averages Pivot Table'!T$451</f>
        <v>0</v>
      </c>
      <c r="G178" s="141">
        <f t="shared" ref="G178" si="319">IF(F178&gt;0,RANK(F178,(F$160:F$178)),0)</f>
        <v>0</v>
      </c>
      <c r="H178" s="140">
        <f>'Averages Pivot Table'!T$455</f>
        <v>0</v>
      </c>
      <c r="I178" s="141">
        <f t="shared" ref="I178" si="320">IF(H178&gt;0,RANK(H178,(H$160:H$178)),0)</f>
        <v>0</v>
      </c>
      <c r="J178" s="140">
        <f>'Averages Pivot Table'!T$459</f>
        <v>0</v>
      </c>
      <c r="K178" s="141">
        <f t="shared" si="264"/>
        <v>0</v>
      </c>
      <c r="L178" s="140">
        <f>'Averages Pivot Table'!T$467</f>
        <v>0</v>
      </c>
      <c r="M178" s="141">
        <f t="shared" si="264"/>
        <v>0</v>
      </c>
      <c r="N178" s="167"/>
      <c r="O178" s="167"/>
    </row>
    <row r="179" spans="1:19" ht="30" customHeight="1" x14ac:dyDescent="0.25">
      <c r="A179" s="714" t="s">
        <v>1127</v>
      </c>
      <c r="B179" s="715"/>
      <c r="C179" s="715"/>
      <c r="D179" s="715"/>
      <c r="E179" s="715"/>
      <c r="F179" s="715"/>
      <c r="G179" s="715"/>
      <c r="H179" s="715"/>
      <c r="I179" s="715"/>
      <c r="J179" s="715"/>
      <c r="K179" s="715"/>
      <c r="L179" s="715"/>
      <c r="M179" s="715"/>
      <c r="N179" s="136"/>
      <c r="O179" s="136"/>
    </row>
    <row r="180" spans="1:19" x14ac:dyDescent="0.25">
      <c r="M180" s="102" t="s">
        <v>1124</v>
      </c>
      <c r="O180" s="193"/>
    </row>
    <row r="181" spans="1:19" ht="18" x14ac:dyDescent="0.25">
      <c r="A181" s="82" t="s">
        <v>226</v>
      </c>
      <c r="B181" s="82"/>
      <c r="C181" s="82"/>
      <c r="D181" s="82"/>
      <c r="E181" s="82"/>
      <c r="F181" s="82"/>
      <c r="G181" s="82"/>
      <c r="H181" s="82"/>
      <c r="I181" s="82"/>
      <c r="J181" s="82"/>
      <c r="K181" s="82"/>
      <c r="L181" s="82"/>
      <c r="M181" s="82"/>
      <c r="N181" s="179"/>
      <c r="O181" s="179"/>
    </row>
    <row r="182" spans="1:19" x14ac:dyDescent="0.25">
      <c r="A182" s="136"/>
      <c r="B182" s="87"/>
      <c r="C182" s="87"/>
      <c r="D182" s="87"/>
      <c r="E182" s="87"/>
      <c r="F182" s="87"/>
      <c r="G182" s="87"/>
      <c r="H182" s="87"/>
      <c r="I182" s="87"/>
      <c r="J182" s="87"/>
      <c r="K182" s="87"/>
      <c r="L182" s="87"/>
      <c r="M182" s="87"/>
      <c r="N182" s="87"/>
      <c r="O182" s="87"/>
    </row>
    <row r="183" spans="1:19" x14ac:dyDescent="0.25">
      <c r="A183" s="707" t="s">
        <v>218</v>
      </c>
      <c r="B183" s="707"/>
      <c r="C183" s="707"/>
      <c r="D183" s="707"/>
      <c r="E183" s="707"/>
      <c r="F183" s="707"/>
      <c r="G183" s="707"/>
      <c r="H183" s="707"/>
      <c r="I183" s="707"/>
      <c r="J183" s="707"/>
      <c r="K183" s="707"/>
      <c r="L183" s="707"/>
      <c r="M183" s="707"/>
      <c r="N183" s="181"/>
      <c r="O183" s="181"/>
    </row>
    <row r="184" spans="1:19" x14ac:dyDescent="0.25">
      <c r="A184" s="707" t="s">
        <v>277</v>
      </c>
      <c r="B184" s="707"/>
      <c r="C184" s="707"/>
      <c r="D184" s="707"/>
      <c r="E184" s="707"/>
      <c r="F184" s="707"/>
      <c r="G184" s="707"/>
      <c r="H184" s="707"/>
      <c r="I184" s="707"/>
      <c r="J184" s="707"/>
      <c r="K184" s="707"/>
      <c r="L184" s="707"/>
      <c r="M184" s="707"/>
      <c r="N184" s="181"/>
      <c r="O184" s="181"/>
    </row>
    <row r="185" spans="1:19" x14ac:dyDescent="0.25">
      <c r="A185" s="87"/>
      <c r="B185" s="87"/>
      <c r="C185" s="87"/>
      <c r="D185" s="87"/>
      <c r="E185" s="87"/>
      <c r="F185" s="87"/>
      <c r="G185" s="87"/>
      <c r="H185" s="87"/>
      <c r="I185" s="87"/>
      <c r="J185" s="87"/>
      <c r="K185" s="87"/>
      <c r="L185" s="87"/>
      <c r="M185" s="87"/>
      <c r="N185" s="194"/>
      <c r="O185" s="194"/>
    </row>
    <row r="186" spans="1:19" ht="31.5" customHeight="1" x14ac:dyDescent="0.25">
      <c r="A186" s="114"/>
      <c r="B186" s="182" t="s">
        <v>3</v>
      </c>
      <c r="C186" s="183"/>
      <c r="D186" s="184" t="s">
        <v>4</v>
      </c>
      <c r="E186" s="185"/>
      <c r="F186" s="184" t="s">
        <v>5</v>
      </c>
      <c r="G186" s="185"/>
      <c r="H186" s="182" t="s">
        <v>6</v>
      </c>
      <c r="I186" s="183"/>
      <c r="J186" s="184" t="s">
        <v>219</v>
      </c>
      <c r="K186" s="185"/>
      <c r="L186" s="183" t="s">
        <v>220</v>
      </c>
      <c r="M186" s="183"/>
      <c r="N186" s="186" t="s">
        <v>7</v>
      </c>
      <c r="O186" s="186"/>
    </row>
    <row r="187" spans="1:19" x14ac:dyDescent="0.25">
      <c r="A187" s="120"/>
      <c r="B187" s="116" t="s">
        <v>193</v>
      </c>
      <c r="C187" s="115" t="s">
        <v>170</v>
      </c>
      <c r="D187" s="116" t="s">
        <v>193</v>
      </c>
      <c r="E187" s="115" t="s">
        <v>170</v>
      </c>
      <c r="F187" s="116" t="s">
        <v>193</v>
      </c>
      <c r="G187" s="115" t="s">
        <v>170</v>
      </c>
      <c r="H187" s="116" t="s">
        <v>193</v>
      </c>
      <c r="I187" s="115" t="s">
        <v>170</v>
      </c>
      <c r="J187" s="116" t="s">
        <v>193</v>
      </c>
      <c r="K187" s="115" t="s">
        <v>170</v>
      </c>
      <c r="L187" s="116" t="s">
        <v>193</v>
      </c>
      <c r="M187" s="115" t="s">
        <v>170</v>
      </c>
      <c r="N187" s="145" t="s">
        <v>7</v>
      </c>
      <c r="O187" s="144"/>
    </row>
    <row r="188" spans="1:19" s="127" customFormat="1" ht="18" customHeight="1" x14ac:dyDescent="0.25">
      <c r="A188" s="124" t="s">
        <v>194</v>
      </c>
      <c r="B188" s="151">
        <f>'Averages Pivot Table'!U$471</f>
        <v>83065.938722848732</v>
      </c>
      <c r="C188" s="151"/>
      <c r="D188" s="151">
        <f>'Averages Pivot Table'!U$475</f>
        <v>66820.688568500162</v>
      </c>
      <c r="E188" s="151"/>
      <c r="F188" s="151">
        <f>'Averages Pivot Table'!U$479</f>
        <v>57908.86091229201</v>
      </c>
      <c r="G188" s="151"/>
      <c r="H188" s="151">
        <f>'Averages Pivot Table'!U$483</f>
        <v>44188.708019071848</v>
      </c>
      <c r="I188" s="151"/>
      <c r="J188" s="151">
        <f>'Averages Pivot Table'!U$487</f>
        <v>42438.261736543107</v>
      </c>
      <c r="K188" s="151"/>
      <c r="L188" s="151">
        <f>'Averages Pivot Table'!U$495</f>
        <v>62990.29365355098</v>
      </c>
      <c r="M188" s="187"/>
      <c r="N188" s="125"/>
      <c r="O188" s="195"/>
      <c r="Q188" s="129"/>
      <c r="R188" s="129"/>
      <c r="S188" s="129"/>
    </row>
    <row r="189" spans="1:19" ht="12.95" customHeight="1" x14ac:dyDescent="0.25">
      <c r="A189" s="136"/>
      <c r="B189" s="131"/>
      <c r="C189" s="155"/>
      <c r="D189" s="131"/>
      <c r="E189" s="155"/>
      <c r="F189" s="131"/>
      <c r="G189" s="155"/>
      <c r="H189" s="131"/>
      <c r="I189" s="155"/>
      <c r="J189" s="131"/>
      <c r="K189" s="155"/>
      <c r="L189" s="131"/>
      <c r="M189" s="155"/>
      <c r="N189" s="196"/>
      <c r="O189" s="197"/>
    </row>
    <row r="190" spans="1:19" ht="12.95" customHeight="1" x14ac:dyDescent="0.25">
      <c r="A190" s="136" t="s">
        <v>195</v>
      </c>
      <c r="B190" s="167">
        <f>'Averages Pivot Table'!U$8</f>
        <v>79445.559343351822</v>
      </c>
      <c r="C190" s="138">
        <f>IF(B190&gt;0,RANK(B190,(B$190:B$208)),0)</f>
        <v>11</v>
      </c>
      <c r="D190" s="167">
        <f>'Averages Pivot Table'!U$12</f>
        <v>64648.832414392789</v>
      </c>
      <c r="E190" s="138">
        <f>IF(D190&gt;0,RANK(D190,(D$190:D$208)),0)</f>
        <v>6</v>
      </c>
      <c r="F190" s="167">
        <f>'Averages Pivot Table'!U$16</f>
        <v>55132.686759597636</v>
      </c>
      <c r="G190" s="138">
        <f>IF(F190&gt;0,RANK(F190,(F$190:F$208)),0)</f>
        <v>12</v>
      </c>
      <c r="H190" s="167">
        <f>'Averages Pivot Table'!U$20</f>
        <v>44936.035737820865</v>
      </c>
      <c r="I190" s="138">
        <f>IF(H190&gt;0,RANK(H190,(H$190:H$208)),0)</f>
        <v>7</v>
      </c>
      <c r="J190" s="167">
        <f>'Averages Pivot Table'!U$24</f>
        <v>40761.493961038956</v>
      </c>
      <c r="K190" s="138">
        <f>IF(J190&gt;0,RANK(J190,(J$190:J$208)),0)</f>
        <v>7</v>
      </c>
      <c r="L190" s="167">
        <f>'Averages Pivot Table'!U$32</f>
        <v>60592.178399969809</v>
      </c>
      <c r="M190" s="138">
        <f>IF(L190&gt;0,RANK(L190,(L$190:L$208)),0)</f>
        <v>12</v>
      </c>
      <c r="N190" s="137"/>
      <c r="O190" s="138"/>
    </row>
    <row r="191" spans="1:19" ht="12.95" customHeight="1" x14ac:dyDescent="0.25">
      <c r="A191" s="136" t="s">
        <v>196</v>
      </c>
      <c r="B191" s="167">
        <f>'Averages Pivot Table'!U$37</f>
        <v>79452.881534465196</v>
      </c>
      <c r="C191" s="138">
        <f t="shared" ref="C191:E208" si="321">IF(B191&gt;0,RANK(B191,(B$190:B$208)),0)</f>
        <v>10</v>
      </c>
      <c r="D191" s="167">
        <f>'Averages Pivot Table'!U$41</f>
        <v>63678.093898320272</v>
      </c>
      <c r="E191" s="138">
        <f t="shared" si="321"/>
        <v>12</v>
      </c>
      <c r="F191" s="167">
        <f>'Averages Pivot Table'!U$45</f>
        <v>55562.764141002815</v>
      </c>
      <c r="G191" s="138">
        <f t="shared" ref="G191" si="322">IF(F191&gt;0,RANK(F191,(F$190:F$208)),0)</f>
        <v>10</v>
      </c>
      <c r="H191" s="167">
        <f>'Averages Pivot Table'!U$49</f>
        <v>39973.672128329345</v>
      </c>
      <c r="I191" s="138">
        <f t="shared" ref="I191" si="323">IF(H191&gt;0,RANK(H191,(H$190:H$208)),0)</f>
        <v>13</v>
      </c>
      <c r="J191" s="167">
        <f>'Averages Pivot Table'!U$53</f>
        <v>28746.41294589363</v>
      </c>
      <c r="K191" s="138">
        <f t="shared" ref="K191" si="324">IF(J191&gt;0,RANK(J191,(J$190:J$208)),0)</f>
        <v>11</v>
      </c>
      <c r="L191" s="167">
        <f>'Averages Pivot Table'!U$61</f>
        <v>57857.70059108697</v>
      </c>
      <c r="M191" s="138">
        <f t="shared" ref="M191" si="325">IF(L191&gt;0,RANK(L191,(L$190:L$208)),0)</f>
        <v>14</v>
      </c>
      <c r="N191" s="137"/>
      <c r="O191" s="138"/>
    </row>
    <row r="192" spans="1:19" ht="12.95" customHeight="1" x14ac:dyDescent="0.25">
      <c r="A192" s="136" t="s">
        <v>197</v>
      </c>
      <c r="B192" s="167">
        <f>'Averages Pivot Table'!U$66</f>
        <v>84623.834302325587</v>
      </c>
      <c r="C192" s="138">
        <f t="shared" si="321"/>
        <v>4</v>
      </c>
      <c r="D192" s="167">
        <f>'Averages Pivot Table'!U$70</f>
        <v>68032.888601036277</v>
      </c>
      <c r="E192" s="138">
        <f t="shared" si="321"/>
        <v>4</v>
      </c>
      <c r="F192" s="167">
        <f>'Averages Pivot Table'!U$74</f>
        <v>63337.816901408449</v>
      </c>
      <c r="G192" s="138">
        <f t="shared" ref="G192" si="326">IF(F192&gt;0,RANK(F192,(F$190:F$208)),0)</f>
        <v>2</v>
      </c>
      <c r="H192" s="167">
        <f>'Averages Pivot Table'!U$78</f>
        <v>0</v>
      </c>
      <c r="I192" s="138">
        <f t="shared" ref="I192" si="327">IF(H192&gt;0,RANK(H192,(H$190:H$208)),0)</f>
        <v>0</v>
      </c>
      <c r="J192" s="167">
        <f>'Averages Pivot Table'!U$82</f>
        <v>0</v>
      </c>
      <c r="K192" s="138">
        <f t="shared" ref="K192" si="328">IF(J192&gt;0,RANK(J192,(J$190:J$208)),0)</f>
        <v>0</v>
      </c>
      <c r="L192" s="167">
        <f>'Averages Pivot Table'!U$90</f>
        <v>69796.662074100634</v>
      </c>
      <c r="M192" s="138">
        <f t="shared" ref="M192" si="329">IF(L192&gt;0,RANK(L192,(L$190:L$208)),0)</f>
        <v>1</v>
      </c>
      <c r="N192" s="137"/>
      <c r="O192" s="138"/>
    </row>
    <row r="193" spans="1:19" x14ac:dyDescent="0.25">
      <c r="A193" s="136" t="s">
        <v>198</v>
      </c>
      <c r="B193" s="167">
        <f>'Averages Pivot Table'!U$95</f>
        <v>91860.799211098332</v>
      </c>
      <c r="C193" s="138">
        <f t="shared" si="321"/>
        <v>1</v>
      </c>
      <c r="D193" s="167">
        <f>'Averages Pivot Table'!U$99</f>
        <v>70630.893279792566</v>
      </c>
      <c r="E193" s="138">
        <f t="shared" si="321"/>
        <v>2</v>
      </c>
      <c r="F193" s="167">
        <f>'Averages Pivot Table'!U$103</f>
        <v>59378.998887634712</v>
      </c>
      <c r="G193" s="138">
        <f t="shared" ref="G193" si="330">IF(F193&gt;0,RANK(F193,(F$190:F$208)),0)</f>
        <v>4</v>
      </c>
      <c r="H193" s="167">
        <f>'Averages Pivot Table'!U$107</f>
        <v>48684.069002230091</v>
      </c>
      <c r="I193" s="138">
        <f t="shared" ref="I193" si="331">IF(H193&gt;0,RANK(H193,(H$190:H$208)),0)</f>
        <v>4</v>
      </c>
      <c r="J193" s="167">
        <f>'Averages Pivot Table'!U$111</f>
        <v>45772.460166177909</v>
      </c>
      <c r="K193" s="138">
        <f t="shared" ref="K193" si="332">IF(J193&gt;0,RANK(J193,(J$190:J$208)),0)</f>
        <v>4</v>
      </c>
      <c r="L193" s="167">
        <f>'Averages Pivot Table'!U$119</f>
        <v>68063.064339527598</v>
      </c>
      <c r="M193" s="138">
        <f t="shared" ref="M193" si="333">IF(L193&gt;0,RANK(L193,(L$190:L$208)),0)</f>
        <v>3</v>
      </c>
      <c r="N193" s="137"/>
      <c r="O193" s="138"/>
      <c r="Q193" s="109"/>
      <c r="R193" s="109"/>
      <c r="S193" s="109"/>
    </row>
    <row r="194" spans="1:19" x14ac:dyDescent="0.25">
      <c r="A194" s="136"/>
      <c r="B194" s="167"/>
      <c r="C194" s="138"/>
      <c r="D194" s="167"/>
      <c r="E194" s="138"/>
      <c r="F194" s="167"/>
      <c r="G194" s="138"/>
      <c r="H194" s="167"/>
      <c r="I194" s="138"/>
      <c r="J194" s="167"/>
      <c r="K194" s="138"/>
      <c r="L194" s="167"/>
      <c r="M194" s="138"/>
      <c r="N194" s="137"/>
      <c r="O194" s="138"/>
      <c r="Q194" s="109"/>
      <c r="R194" s="109"/>
      <c r="S194" s="109"/>
    </row>
    <row r="195" spans="1:19" x14ac:dyDescent="0.25">
      <c r="A195" s="136" t="s">
        <v>199</v>
      </c>
      <c r="B195" s="167">
        <f>'Averages Pivot Table'!U$124</f>
        <v>81776.216144520338</v>
      </c>
      <c r="C195" s="138">
        <f t="shared" si="321"/>
        <v>6</v>
      </c>
      <c r="D195" s="167">
        <f>'Averages Pivot Table'!U$128</f>
        <v>64510.601934707774</v>
      </c>
      <c r="E195" s="138">
        <f t="shared" si="321"/>
        <v>7</v>
      </c>
      <c r="F195" s="167">
        <f>'Averages Pivot Table'!U$132</f>
        <v>57129.430840094297</v>
      </c>
      <c r="G195" s="138">
        <f t="shared" ref="G195" si="334">IF(F195&gt;0,RANK(F195,(F$190:F$208)),0)</f>
        <v>6</v>
      </c>
      <c r="H195" s="167">
        <f>'Averages Pivot Table'!U$136</f>
        <v>43033.32796960578</v>
      </c>
      <c r="I195" s="138">
        <f t="shared" ref="I195" si="335">IF(H195&gt;0,RANK(H195,(H$190:H$208)),0)</f>
        <v>10</v>
      </c>
      <c r="J195" s="167">
        <f>'Averages Pivot Table'!U$140</f>
        <v>45402.749790957707</v>
      </c>
      <c r="K195" s="138">
        <f t="shared" ref="K195" si="336">IF(J195&gt;0,RANK(J195,(J$190:J$208)),0)</f>
        <v>5</v>
      </c>
      <c r="L195" s="167">
        <f>'Averages Pivot Table'!U$148</f>
        <v>61615.98558444572</v>
      </c>
      <c r="M195" s="138">
        <f t="shared" ref="M195" si="337">IF(L195&gt;0,RANK(L195,(L$190:L$208)),0)</f>
        <v>8</v>
      </c>
      <c r="N195" s="137"/>
      <c r="O195" s="138"/>
      <c r="Q195" s="109"/>
      <c r="R195" s="109"/>
      <c r="S195" s="109"/>
    </row>
    <row r="196" spans="1:19" x14ac:dyDescent="0.25">
      <c r="A196" s="136" t="s">
        <v>200</v>
      </c>
      <c r="B196" s="167">
        <f>'Averages Pivot Table'!U$153</f>
        <v>79608.091017742845</v>
      </c>
      <c r="C196" s="138">
        <f t="shared" si="321"/>
        <v>9</v>
      </c>
      <c r="D196" s="167">
        <f>'Averages Pivot Table'!U$157</f>
        <v>63830.171808283783</v>
      </c>
      <c r="E196" s="138">
        <f t="shared" si="321"/>
        <v>9</v>
      </c>
      <c r="F196" s="167">
        <f>'Averages Pivot Table'!U$161</f>
        <v>54135.534865092355</v>
      </c>
      <c r="G196" s="138">
        <f t="shared" ref="G196" si="338">IF(F196&gt;0,RANK(F196,(F$190:F$208)),0)</f>
        <v>13</v>
      </c>
      <c r="H196" s="167">
        <f>'Averages Pivot Table'!U$165</f>
        <v>41836.382568612629</v>
      </c>
      <c r="I196" s="138">
        <f t="shared" ref="I196" si="339">IF(H196&gt;0,RANK(H196,(H$190:H$208)),0)</f>
        <v>11</v>
      </c>
      <c r="J196" s="167">
        <f>'Averages Pivot Table'!U$169</f>
        <v>47444.457303359908</v>
      </c>
      <c r="K196" s="138">
        <f t="shared" ref="K196" si="340">IF(J196&gt;0,RANK(J196,(J$190:J$208)),0)</f>
        <v>2</v>
      </c>
      <c r="L196" s="167">
        <f>'Averages Pivot Table'!U$177</f>
        <v>60705.285861168348</v>
      </c>
      <c r="M196" s="138">
        <f t="shared" ref="M196" si="341">IF(L196&gt;0,RANK(L196,(L$190:L$208)),0)</f>
        <v>11</v>
      </c>
      <c r="N196" s="137"/>
      <c r="O196" s="138"/>
      <c r="Q196" s="109"/>
      <c r="R196" s="109"/>
      <c r="S196" s="109"/>
    </row>
    <row r="197" spans="1:19" x14ac:dyDescent="0.25">
      <c r="A197" s="136" t="s">
        <v>201</v>
      </c>
      <c r="B197" s="167">
        <f>'Averages Pivot Table'!U$182</f>
        <v>73444.228901766182</v>
      </c>
      <c r="C197" s="138">
        <f t="shared" si="321"/>
        <v>15</v>
      </c>
      <c r="D197" s="167">
        <f>'Averages Pivot Table'!U$186</f>
        <v>62777.162294980415</v>
      </c>
      <c r="E197" s="138">
        <f t="shared" si="321"/>
        <v>13</v>
      </c>
      <c r="F197" s="167">
        <f>'Averages Pivot Table'!U$190</f>
        <v>55482.77751991235</v>
      </c>
      <c r="G197" s="138">
        <f t="shared" ref="G197" si="342">IF(F197&gt;0,RANK(F197,(F$190:F$208)),0)</f>
        <v>11</v>
      </c>
      <c r="H197" s="167">
        <f>'Averages Pivot Table'!U$194</f>
        <v>43192.266262599223</v>
      </c>
      <c r="I197" s="138">
        <f t="shared" ref="I197" si="343">IF(H197&gt;0,RANK(H197,(H$190:H$208)),0)</f>
        <v>9</v>
      </c>
      <c r="J197" s="167">
        <f>'Averages Pivot Table'!U$198</f>
        <v>39845.357965451054</v>
      </c>
      <c r="K197" s="138">
        <f t="shared" ref="K197" si="344">IF(J197&gt;0,RANK(J197,(J$190:J$208)),0)</f>
        <v>8</v>
      </c>
      <c r="L197" s="167">
        <f>'Averages Pivot Table'!U$206</f>
        <v>56824.224102274595</v>
      </c>
      <c r="M197" s="138">
        <f t="shared" ref="M197" si="345">IF(L197&gt;0,RANK(L197,(L$190:L$208)),0)</f>
        <v>15</v>
      </c>
      <c r="N197" s="137"/>
      <c r="O197" s="138"/>
      <c r="Q197" s="109"/>
      <c r="R197" s="109"/>
      <c r="S197" s="109"/>
    </row>
    <row r="198" spans="1:19" x14ac:dyDescent="0.25">
      <c r="A198" s="136" t="s">
        <v>202</v>
      </c>
      <c r="B198" s="167">
        <f>'Averages Pivot Table'!U$211</f>
        <v>79342.810396039597</v>
      </c>
      <c r="C198" s="138">
        <f t="shared" si="321"/>
        <v>12</v>
      </c>
      <c r="D198" s="167">
        <f>'Averages Pivot Table'!U$215</f>
        <v>64004.5380794702</v>
      </c>
      <c r="E198" s="138">
        <f t="shared" si="321"/>
        <v>8</v>
      </c>
      <c r="F198" s="167">
        <f>'Averages Pivot Table'!U$219</f>
        <v>56178.688273852873</v>
      </c>
      <c r="G198" s="138">
        <f t="shared" ref="G198" si="346">IF(F198&gt;0,RANK(F198,(F$190:F$208)),0)</f>
        <v>7</v>
      </c>
      <c r="H198" s="167">
        <f>'Averages Pivot Table'!U$223</f>
        <v>47877.552000000003</v>
      </c>
      <c r="I198" s="138">
        <f t="shared" ref="I198" si="347">IF(H198&gt;0,RANK(H198,(H$190:H$208)),0)</f>
        <v>5</v>
      </c>
      <c r="J198" s="167">
        <f>'Averages Pivot Table'!U$227</f>
        <v>35787.837931034483</v>
      </c>
      <c r="K198" s="138">
        <f t="shared" ref="K198" si="348">IF(J198&gt;0,RANK(J198,(J$190:J$208)),0)</f>
        <v>10</v>
      </c>
      <c r="L198" s="167">
        <f>'Averages Pivot Table'!U$235</f>
        <v>58773.967704246672</v>
      </c>
      <c r="M198" s="138">
        <f t="shared" ref="M198" si="349">IF(L198&gt;0,RANK(L198,(L$190:L$208)),0)</f>
        <v>13</v>
      </c>
      <c r="N198" s="137"/>
      <c r="O198" s="138"/>
      <c r="Q198" s="109"/>
      <c r="R198" s="109"/>
      <c r="S198" s="109"/>
    </row>
    <row r="199" spans="1:19" x14ac:dyDescent="0.25">
      <c r="A199" s="136"/>
      <c r="B199" s="167"/>
      <c r="C199" s="138"/>
      <c r="D199" s="167"/>
      <c r="E199" s="138"/>
      <c r="F199" s="167"/>
      <c r="G199" s="138"/>
      <c r="H199" s="167"/>
      <c r="I199" s="138"/>
      <c r="J199" s="167"/>
      <c r="K199" s="138"/>
      <c r="L199" s="167"/>
      <c r="M199" s="138"/>
      <c r="N199" s="137"/>
      <c r="O199" s="138"/>
      <c r="Q199" s="109"/>
      <c r="R199" s="109"/>
      <c r="S199" s="109"/>
    </row>
    <row r="200" spans="1:19" x14ac:dyDescent="0.25">
      <c r="A200" s="136" t="s">
        <v>203</v>
      </c>
      <c r="B200" s="167">
        <f>'Averages Pivot Table'!U$240</f>
        <v>0</v>
      </c>
      <c r="C200" s="138">
        <f t="shared" si="321"/>
        <v>0</v>
      </c>
      <c r="D200" s="167">
        <f>'Averages Pivot Table'!U$244</f>
        <v>0</v>
      </c>
      <c r="E200" s="138">
        <f t="shared" si="321"/>
        <v>0</v>
      </c>
      <c r="F200" s="167">
        <f>'Averages Pivot Table'!U$248</f>
        <v>0</v>
      </c>
      <c r="G200" s="138">
        <f t="shared" ref="G200" si="350">IF(F200&gt;0,RANK(F200,(F$190:F$208)),0)</f>
        <v>0</v>
      </c>
      <c r="H200" s="167">
        <f>'Averages Pivot Table'!U$252</f>
        <v>0</v>
      </c>
      <c r="I200" s="138">
        <f t="shared" ref="I200" si="351">IF(H200&gt;0,RANK(H200,(H$190:H$208)),0)</f>
        <v>0</v>
      </c>
      <c r="J200" s="167">
        <f>'Averages Pivot Table'!U$256</f>
        <v>0</v>
      </c>
      <c r="K200" s="138">
        <f t="shared" ref="K200" si="352">IF(J200&gt;0,RANK(J200,(J$190:J$208)),0)</f>
        <v>0</v>
      </c>
      <c r="L200" s="167">
        <f>'Averages Pivot Table'!U$264</f>
        <v>0</v>
      </c>
      <c r="M200" s="138">
        <f t="shared" ref="M200" si="353">IF(L200&gt;0,RANK(L200,(L$190:L$208)),0)</f>
        <v>0</v>
      </c>
      <c r="N200" s="137"/>
      <c r="O200" s="138"/>
      <c r="Q200" s="109"/>
      <c r="R200" s="109"/>
      <c r="S200" s="109"/>
    </row>
    <row r="201" spans="1:19" x14ac:dyDescent="0.25">
      <c r="A201" s="136" t="s">
        <v>204</v>
      </c>
      <c r="B201" s="167">
        <f>'Averages Pivot Table'!U$269</f>
        <v>91413.388020567552</v>
      </c>
      <c r="C201" s="138">
        <f t="shared" si="321"/>
        <v>2</v>
      </c>
      <c r="D201" s="167">
        <f>'Averages Pivot Table'!U$273</f>
        <v>72456.438468594526</v>
      </c>
      <c r="E201" s="138">
        <f t="shared" si="321"/>
        <v>1</v>
      </c>
      <c r="F201" s="167">
        <f>'Averages Pivot Table'!U$277</f>
        <v>63703.310572548915</v>
      </c>
      <c r="G201" s="138">
        <f t="shared" ref="G201" si="354">IF(F201&gt;0,RANK(F201,(F$190:F$208)),0)</f>
        <v>1</v>
      </c>
      <c r="H201" s="167">
        <f>'Averages Pivot Table'!U$281</f>
        <v>49303.31644236538</v>
      </c>
      <c r="I201" s="138">
        <f t="shared" ref="I201" si="355">IF(H201&gt;0,RANK(H201,(H$190:H$208)),0)</f>
        <v>2</v>
      </c>
      <c r="J201" s="167">
        <f>'Averages Pivot Table'!U$285</f>
        <v>48561.104939287674</v>
      </c>
      <c r="K201" s="138">
        <f t="shared" ref="K201" si="356">IF(J201&gt;0,RANK(J201,(J$190:J$208)),0)</f>
        <v>1</v>
      </c>
      <c r="L201" s="167">
        <f>'Averages Pivot Table'!U$293</f>
        <v>69362.94186135933</v>
      </c>
      <c r="M201" s="138">
        <f t="shared" ref="M201" si="357">IF(L201&gt;0,RANK(L201,(L$190:L$208)),0)</f>
        <v>2</v>
      </c>
      <c r="N201" s="137"/>
      <c r="O201" s="138"/>
      <c r="Q201" s="109"/>
      <c r="R201" s="109"/>
      <c r="S201" s="109"/>
    </row>
    <row r="202" spans="1:19" x14ac:dyDescent="0.25">
      <c r="A202" s="136" t="s">
        <v>205</v>
      </c>
      <c r="B202" s="167">
        <f>'Averages Pivot Table'!U$298</f>
        <v>77963.966553654085</v>
      </c>
      <c r="C202" s="138">
        <f t="shared" si="321"/>
        <v>13</v>
      </c>
      <c r="D202" s="167">
        <f>'Averages Pivot Table'!U$302</f>
        <v>63824.238864454215</v>
      </c>
      <c r="E202" s="138">
        <f t="shared" si="321"/>
        <v>10</v>
      </c>
      <c r="F202" s="167">
        <f>'Averages Pivot Table'!U$306</f>
        <v>55858.171658563035</v>
      </c>
      <c r="G202" s="138">
        <f t="shared" ref="G202" si="358">IF(F202&gt;0,RANK(F202,(F$190:F$208)),0)</f>
        <v>9</v>
      </c>
      <c r="H202" s="167">
        <f>'Averages Pivot Table'!U$310</f>
        <v>43857.396863459384</v>
      </c>
      <c r="I202" s="138">
        <f t="shared" ref="I202" si="359">IF(H202&gt;0,RANK(H202,(H$190:H$208)),0)</f>
        <v>8</v>
      </c>
      <c r="J202" s="167">
        <f>'Averages Pivot Table'!U$314</f>
        <v>0</v>
      </c>
      <c r="K202" s="138">
        <f t="shared" ref="K202" si="360">IF(J202&gt;0,RANK(J202,(J$190:J$208)),0)</f>
        <v>0</v>
      </c>
      <c r="L202" s="167">
        <f>'Averages Pivot Table'!U$322</f>
        <v>61426.493451222508</v>
      </c>
      <c r="M202" s="138">
        <f t="shared" ref="M202" si="361">IF(L202&gt;0,RANK(L202,(L$190:L$208)),0)</f>
        <v>10</v>
      </c>
      <c r="N202" s="137"/>
      <c r="O202" s="138"/>
      <c r="Q202" s="109"/>
      <c r="R202" s="109"/>
      <c r="S202" s="109"/>
    </row>
    <row r="203" spans="1:19" x14ac:dyDescent="0.25">
      <c r="A203" s="136" t="s">
        <v>206</v>
      </c>
      <c r="B203" s="167">
        <f>'Averages Pivot Table'!U$327</f>
        <v>83683.245142461979</v>
      </c>
      <c r="C203" s="138">
        <f t="shared" si="321"/>
        <v>5</v>
      </c>
      <c r="D203" s="167">
        <f>'Averages Pivot Table'!U$331</f>
        <v>67392.118686661328</v>
      </c>
      <c r="E203" s="138">
        <f t="shared" si="321"/>
        <v>5</v>
      </c>
      <c r="F203" s="167">
        <f>'Averages Pivot Table'!U$335</f>
        <v>59213.973506546645</v>
      </c>
      <c r="G203" s="138">
        <f t="shared" ref="G203" si="362">IF(F203&gt;0,RANK(F203,(F$190:F$208)),0)</f>
        <v>5</v>
      </c>
      <c r="H203" s="167">
        <f>'Averages Pivot Table'!U$339</f>
        <v>49273.584627655109</v>
      </c>
      <c r="I203" s="138">
        <f t="shared" ref="I203" si="363">IF(H203&gt;0,RANK(H203,(H$190:H$208)),0)</f>
        <v>3</v>
      </c>
      <c r="J203" s="167">
        <f>'Averages Pivot Table'!U$343</f>
        <v>25750</v>
      </c>
      <c r="K203" s="138">
        <f t="shared" ref="K203" si="364">IF(J203&gt;0,RANK(J203,(J$190:J$208)),0)</f>
        <v>12</v>
      </c>
      <c r="L203" s="167">
        <f>'Averages Pivot Table'!U$351</f>
        <v>67388.610778024711</v>
      </c>
      <c r="M203" s="138">
        <f t="shared" ref="M203" si="365">IF(L203&gt;0,RANK(L203,(L$190:L$208)),0)</f>
        <v>4</v>
      </c>
      <c r="N203" s="137"/>
      <c r="O203" s="138"/>
      <c r="Q203" s="109"/>
      <c r="R203" s="109"/>
      <c r="S203" s="109"/>
    </row>
    <row r="204" spans="1:19" x14ac:dyDescent="0.25">
      <c r="A204" s="136"/>
      <c r="B204" s="167"/>
      <c r="C204" s="138"/>
      <c r="D204" s="167"/>
      <c r="E204" s="138"/>
      <c r="F204" s="167"/>
      <c r="G204" s="138"/>
      <c r="H204" s="167"/>
      <c r="I204" s="138"/>
      <c r="J204" s="167"/>
      <c r="K204" s="138"/>
      <c r="L204" s="167"/>
      <c r="M204" s="138"/>
      <c r="N204" s="137"/>
      <c r="O204" s="138"/>
      <c r="Q204" s="109"/>
      <c r="R204" s="109"/>
      <c r="S204" s="109"/>
    </row>
    <row r="205" spans="1:19" x14ac:dyDescent="0.25">
      <c r="A205" s="136" t="s">
        <v>207</v>
      </c>
      <c r="B205" s="137">
        <f>'Averages Pivot Table'!U$356</f>
        <v>80587.507070119202</v>
      </c>
      <c r="C205" s="138">
        <f t="shared" si="321"/>
        <v>7</v>
      </c>
      <c r="D205" s="137">
        <f>'Averages Pivot Table'!U$360</f>
        <v>63724.784492689381</v>
      </c>
      <c r="E205" s="138">
        <f t="shared" si="321"/>
        <v>11</v>
      </c>
      <c r="F205" s="137">
        <f>'Averages Pivot Table'!U$364</f>
        <v>53971.415645186724</v>
      </c>
      <c r="G205" s="138">
        <f t="shared" ref="G205" si="366">IF(F205&gt;0,RANK(F205,(F$190:F$208)),0)</f>
        <v>14</v>
      </c>
      <c r="H205" s="137">
        <f>'Averages Pivot Table'!U$368</f>
        <v>40177.20138144512</v>
      </c>
      <c r="I205" s="138">
        <f t="shared" ref="I205" si="367">IF(H205&gt;0,RANK(H205,(H$190:H$208)),0)</f>
        <v>12</v>
      </c>
      <c r="J205" s="137">
        <f>'Averages Pivot Table'!U$372</f>
        <v>36615.142725185164</v>
      </c>
      <c r="K205" s="138">
        <f t="shared" ref="K205" si="368">IF(J205&gt;0,RANK(J205,(J$190:J$208)),0)</f>
        <v>9</v>
      </c>
      <c r="L205" s="137">
        <f>'Averages Pivot Table'!U$380</f>
        <v>62153.619262800952</v>
      </c>
      <c r="M205" s="138">
        <f t="shared" ref="M205" si="369">IF(L205&gt;0,RANK(L205,(L$190:L$208)),0)</f>
        <v>7</v>
      </c>
      <c r="N205" s="137"/>
      <c r="O205" s="138"/>
      <c r="Q205" s="109"/>
      <c r="R205" s="109"/>
      <c r="S205" s="109"/>
    </row>
    <row r="206" spans="1:19" x14ac:dyDescent="0.25">
      <c r="A206" s="136" t="s">
        <v>208</v>
      </c>
      <c r="B206" s="137">
        <f>'Averages Pivot Table'!U$385</f>
        <v>86641.085289938987</v>
      </c>
      <c r="C206" s="138">
        <f t="shared" si="321"/>
        <v>3</v>
      </c>
      <c r="D206" s="137">
        <f>'Averages Pivot Table'!U$389</f>
        <v>69287.695323337291</v>
      </c>
      <c r="E206" s="138">
        <f t="shared" si="321"/>
        <v>3</v>
      </c>
      <c r="F206" s="137">
        <f>'Averages Pivot Table'!U$393</f>
        <v>60788.025726996253</v>
      </c>
      <c r="G206" s="138">
        <f t="shared" ref="G206" si="370">IF(F206&gt;0,RANK(F206,(F$190:F$208)),0)</f>
        <v>3</v>
      </c>
      <c r="H206" s="137">
        <f>'Averages Pivot Table'!U$397</f>
        <v>46973.789262786006</v>
      </c>
      <c r="I206" s="138">
        <f t="shared" ref="I206" si="371">IF(H206&gt;0,RANK(H206,(H$190:H$208)),0)</f>
        <v>6</v>
      </c>
      <c r="J206" s="137">
        <f>'Averages Pivot Table'!U$401</f>
        <v>42286.530860252271</v>
      </c>
      <c r="K206" s="138">
        <f t="shared" ref="K206" si="372">IF(J206&gt;0,RANK(J206,(J$190:J$208)),0)</f>
        <v>6</v>
      </c>
      <c r="L206" s="137">
        <f>'Averages Pivot Table'!U$409</f>
        <v>63748.167762035577</v>
      </c>
      <c r="M206" s="138">
        <f t="shared" ref="M206" si="373">IF(L206&gt;0,RANK(L206,(L$190:L$208)),0)</f>
        <v>5</v>
      </c>
      <c r="N206" s="137"/>
      <c r="O206" s="138"/>
      <c r="Q206" s="109"/>
      <c r="R206" s="109"/>
      <c r="S206" s="109"/>
    </row>
    <row r="207" spans="1:19" x14ac:dyDescent="0.25">
      <c r="A207" s="136" t="s">
        <v>209</v>
      </c>
      <c r="B207" s="137">
        <f>'Averages Pivot Table'!U$414</f>
        <v>80292.702212417265</v>
      </c>
      <c r="C207" s="138">
        <f t="shared" si="321"/>
        <v>8</v>
      </c>
      <c r="D207" s="137">
        <f>'Averages Pivot Table'!U$418</f>
        <v>62610.135315844498</v>
      </c>
      <c r="E207" s="138">
        <f t="shared" si="321"/>
        <v>14</v>
      </c>
      <c r="F207" s="137">
        <f>'Averages Pivot Table'!U$422</f>
        <v>56033.699914280063</v>
      </c>
      <c r="G207" s="138">
        <f t="shared" ref="G207" si="374">IF(F207&gt;0,RANK(F207,(F$190:F$208)),0)</f>
        <v>8</v>
      </c>
      <c r="H207" s="137">
        <f>'Averages Pivot Table'!U$426</f>
        <v>49996.055108730419</v>
      </c>
      <c r="I207" s="138">
        <f t="shared" ref="I207" si="375">IF(H207&gt;0,RANK(H207,(H$190:H$208)),0)</f>
        <v>1</v>
      </c>
      <c r="J207" s="137">
        <f>'Averages Pivot Table'!U$430</f>
        <v>46651.06148604802</v>
      </c>
      <c r="K207" s="138">
        <f t="shared" ref="K207" si="376">IF(J207&gt;0,RANK(J207,(J$190:J$208)),0)</f>
        <v>3</v>
      </c>
      <c r="L207" s="137">
        <f>'Averages Pivot Table'!U$438</f>
        <v>63416.053619656348</v>
      </c>
      <c r="M207" s="138">
        <f t="shared" ref="M207" si="377">IF(L207&gt;0,RANK(L207,(L$190:L$208)),0)</f>
        <v>6</v>
      </c>
      <c r="N207" s="137"/>
      <c r="O207" s="138"/>
      <c r="Q207" s="109"/>
      <c r="R207" s="109"/>
      <c r="S207" s="109"/>
    </row>
    <row r="208" spans="1:19" x14ac:dyDescent="0.25">
      <c r="A208" s="161" t="s">
        <v>210</v>
      </c>
      <c r="B208" s="140">
        <f>'Averages Pivot Table'!U$443</f>
        <v>74291.121791370839</v>
      </c>
      <c r="C208" s="141">
        <f t="shared" si="321"/>
        <v>14</v>
      </c>
      <c r="D208" s="140">
        <f>'Averages Pivot Table'!U$447</f>
        <v>62405.154046997384</v>
      </c>
      <c r="E208" s="141">
        <f t="shared" si="321"/>
        <v>15</v>
      </c>
      <c r="F208" s="140">
        <f>'Averages Pivot Table'!U$451</f>
        <v>53212.605744125322</v>
      </c>
      <c r="G208" s="141">
        <f t="shared" ref="G208" si="378">IF(F208&gt;0,RANK(F208,(F$190:F$208)),0)</f>
        <v>15</v>
      </c>
      <c r="H208" s="140">
        <f>'Averages Pivot Table'!U$455</f>
        <v>34937.049180327871</v>
      </c>
      <c r="I208" s="141">
        <f t="shared" ref="I208" si="379">IF(H208&gt;0,RANK(H208,(H$190:H$208)),0)</f>
        <v>14</v>
      </c>
      <c r="J208" s="140">
        <f>'Averages Pivot Table'!U$459</f>
        <v>0</v>
      </c>
      <c r="K208" s="141">
        <f t="shared" ref="K208" si="380">IF(J208&gt;0,RANK(J208,(J$190:J$208)),0)</f>
        <v>0</v>
      </c>
      <c r="L208" s="140">
        <f>'Averages Pivot Table'!U$467</f>
        <v>61430.797242216577</v>
      </c>
      <c r="M208" s="141">
        <f t="shared" ref="M208" si="381">IF(L208&gt;0,RANK(L208,(L$190:L$208)),0)</f>
        <v>9</v>
      </c>
      <c r="N208" s="137"/>
      <c r="O208" s="138"/>
      <c r="Q208" s="109"/>
      <c r="R208" s="109"/>
      <c r="S208" s="109"/>
    </row>
    <row r="209" spans="1:19" ht="30" customHeight="1" x14ac:dyDescent="0.25">
      <c r="A209" s="714" t="s">
        <v>1127</v>
      </c>
      <c r="B209" s="715"/>
      <c r="C209" s="715"/>
      <c r="D209" s="715"/>
      <c r="E209" s="715"/>
      <c r="F209" s="715"/>
      <c r="G209" s="715"/>
      <c r="H209" s="715"/>
      <c r="I209" s="715"/>
      <c r="J209" s="715"/>
      <c r="K209" s="715"/>
      <c r="L209" s="715"/>
      <c r="M209" s="715"/>
      <c r="N209" s="136"/>
      <c r="O209" s="136"/>
    </row>
    <row r="210" spans="1:19" x14ac:dyDescent="0.25">
      <c r="M210" s="102" t="s">
        <v>1124</v>
      </c>
      <c r="O210" s="193"/>
    </row>
    <row r="211" spans="1:19" ht="18" x14ac:dyDescent="0.25">
      <c r="A211" s="82" t="s">
        <v>228</v>
      </c>
      <c r="B211" s="82"/>
      <c r="C211" s="82"/>
      <c r="D211" s="82"/>
      <c r="E211" s="82"/>
      <c r="F211" s="82"/>
      <c r="G211" s="82"/>
      <c r="H211" s="82"/>
      <c r="I211" s="82"/>
      <c r="J211" s="82"/>
      <c r="K211" s="82"/>
      <c r="L211" s="82"/>
      <c r="M211" s="82"/>
      <c r="N211" s="179"/>
      <c r="O211" s="179"/>
    </row>
    <row r="212" spans="1:19" x14ac:dyDescent="0.25">
      <c r="A212" s="136"/>
      <c r="B212" s="87"/>
      <c r="C212" s="87"/>
      <c r="D212" s="87"/>
      <c r="E212" s="87"/>
      <c r="F212" s="87"/>
      <c r="G212" s="87"/>
      <c r="H212" s="87"/>
      <c r="I212" s="87"/>
      <c r="J212" s="87"/>
      <c r="K212" s="87"/>
      <c r="L212" s="87"/>
      <c r="M212" s="87"/>
      <c r="N212" s="87"/>
      <c r="O212" s="87"/>
    </row>
    <row r="213" spans="1:19" x14ac:dyDescent="0.25">
      <c r="A213" s="707" t="s">
        <v>218</v>
      </c>
      <c r="B213" s="707"/>
      <c r="C213" s="707"/>
      <c r="D213" s="707"/>
      <c r="E213" s="707"/>
      <c r="F213" s="707"/>
      <c r="G213" s="707"/>
      <c r="H213" s="707"/>
      <c r="I213" s="707"/>
      <c r="J213" s="707"/>
      <c r="K213" s="707"/>
      <c r="L213" s="707"/>
      <c r="M213" s="707"/>
      <c r="N213" s="181"/>
      <c r="O213" s="181"/>
    </row>
    <row r="214" spans="1:19" x14ac:dyDescent="0.25">
      <c r="A214" s="707" t="s">
        <v>278</v>
      </c>
      <c r="B214" s="707"/>
      <c r="C214" s="707"/>
      <c r="D214" s="707"/>
      <c r="E214" s="707"/>
      <c r="F214" s="707"/>
      <c r="G214" s="707"/>
      <c r="H214" s="707"/>
      <c r="I214" s="707"/>
      <c r="J214" s="707"/>
      <c r="K214" s="707"/>
      <c r="L214" s="707"/>
      <c r="M214" s="707"/>
      <c r="N214" s="181"/>
      <c r="O214" s="181"/>
    </row>
    <row r="215" spans="1:19" x14ac:dyDescent="0.25">
      <c r="A215" s="87"/>
      <c r="B215" s="87"/>
      <c r="C215" s="87"/>
      <c r="D215" s="87"/>
      <c r="E215" s="87"/>
      <c r="F215" s="87"/>
      <c r="G215" s="87"/>
      <c r="H215" s="87"/>
      <c r="I215" s="87"/>
      <c r="J215" s="87"/>
      <c r="K215" s="87"/>
      <c r="L215" s="87"/>
      <c r="M215" s="87"/>
      <c r="N215" s="167"/>
      <c r="O215" s="167"/>
    </row>
    <row r="216" spans="1:19" ht="31.5" customHeight="1" x14ac:dyDescent="0.25">
      <c r="A216" s="114"/>
      <c r="B216" s="182" t="s">
        <v>3</v>
      </c>
      <c r="C216" s="183"/>
      <c r="D216" s="184" t="s">
        <v>4</v>
      </c>
      <c r="E216" s="185"/>
      <c r="F216" s="184" t="s">
        <v>5</v>
      </c>
      <c r="G216" s="185"/>
      <c r="H216" s="182" t="s">
        <v>6</v>
      </c>
      <c r="I216" s="183"/>
      <c r="J216" s="184" t="s">
        <v>219</v>
      </c>
      <c r="K216" s="185"/>
      <c r="L216" s="183" t="s">
        <v>220</v>
      </c>
      <c r="M216" s="183"/>
      <c r="N216" s="186" t="s">
        <v>7</v>
      </c>
      <c r="O216" s="186"/>
    </row>
    <row r="217" spans="1:19" x14ac:dyDescent="0.25">
      <c r="A217" s="120"/>
      <c r="B217" s="116" t="s">
        <v>193</v>
      </c>
      <c r="C217" s="115" t="s">
        <v>170</v>
      </c>
      <c r="D217" s="116" t="s">
        <v>193</v>
      </c>
      <c r="E217" s="115" t="s">
        <v>170</v>
      </c>
      <c r="F217" s="116" t="s">
        <v>193</v>
      </c>
      <c r="G217" s="115" t="s">
        <v>170</v>
      </c>
      <c r="H217" s="116" t="s">
        <v>193</v>
      </c>
      <c r="I217" s="115" t="s">
        <v>170</v>
      </c>
      <c r="J217" s="116" t="s">
        <v>193</v>
      </c>
      <c r="K217" s="115" t="s">
        <v>170</v>
      </c>
      <c r="L217" s="116" t="s">
        <v>193</v>
      </c>
      <c r="M217" s="115" t="s">
        <v>170</v>
      </c>
      <c r="N217" s="167" t="s">
        <v>7</v>
      </c>
      <c r="O217" s="167"/>
    </row>
    <row r="218" spans="1:19" s="127" customFormat="1" ht="18" customHeight="1" x14ac:dyDescent="0.25">
      <c r="A218" s="124" t="s">
        <v>194</v>
      </c>
      <c r="B218" s="151">
        <f>'Averages Pivot Table'!V$471</f>
        <v>78614.251612713735</v>
      </c>
      <c r="C218" s="151"/>
      <c r="D218" s="151">
        <f>'Averages Pivot Table'!V$475</f>
        <v>64745.119300569917</v>
      </c>
      <c r="E218" s="151"/>
      <c r="F218" s="151">
        <f>'Averages Pivot Table'!V$479</f>
        <v>55451.235195369198</v>
      </c>
      <c r="G218" s="151"/>
      <c r="H218" s="151">
        <f>'Averages Pivot Table'!V$483</f>
        <v>43424.975868397414</v>
      </c>
      <c r="I218" s="151"/>
      <c r="J218" s="151">
        <f>'Averages Pivot Table'!V$487</f>
        <v>44529.288385895365</v>
      </c>
      <c r="K218" s="151"/>
      <c r="L218" s="151">
        <f>'Averages Pivot Table'!V$495</f>
        <v>60656.306040924981</v>
      </c>
      <c r="M218" s="187"/>
      <c r="N218" s="198"/>
      <c r="O218" s="198"/>
      <c r="Q218" s="129"/>
      <c r="R218" s="129"/>
      <c r="S218" s="129"/>
    </row>
    <row r="219" spans="1:19" ht="12.95" customHeight="1" x14ac:dyDescent="0.25">
      <c r="A219" s="136"/>
      <c r="B219" s="131"/>
      <c r="C219" s="155"/>
      <c r="D219" s="131"/>
      <c r="E219" s="155"/>
      <c r="F219" s="131"/>
      <c r="G219" s="155"/>
      <c r="H219" s="131"/>
      <c r="I219" s="155"/>
      <c r="J219" s="131"/>
      <c r="K219" s="155"/>
      <c r="L219" s="131"/>
      <c r="M219" s="155"/>
      <c r="N219" s="167"/>
      <c r="O219" s="167"/>
    </row>
    <row r="220" spans="1:19" ht="12.95" customHeight="1" x14ac:dyDescent="0.25">
      <c r="A220" s="136" t="s">
        <v>195</v>
      </c>
      <c r="B220" s="167">
        <f>'Averages Pivot Table'!V$8</f>
        <v>78127.751131956495</v>
      </c>
      <c r="C220" s="138">
        <f>IF(B220&gt;0,RANK(B220,(B$220:B$238)),0)</f>
        <v>8</v>
      </c>
      <c r="D220" s="167">
        <f>'Averages Pivot Table'!V$12</f>
        <v>65832.692599553586</v>
      </c>
      <c r="E220" s="138">
        <f>IF(D220&gt;0,RANK(D220,(D$220:D$238)),0)</f>
        <v>7</v>
      </c>
      <c r="F220" s="167">
        <f>'Averages Pivot Table'!V$16</f>
        <v>53704.488552737115</v>
      </c>
      <c r="G220" s="138">
        <f>IF(F220&gt;0,RANK(F220,(F$220:F$238)),0)</f>
        <v>9</v>
      </c>
      <c r="H220" s="167">
        <f>'Averages Pivot Table'!V$20</f>
        <v>42219.47372753542</v>
      </c>
      <c r="I220" s="138">
        <f>IF(H220&gt;0,RANK(H220,(H$220:H$238)),0)</f>
        <v>9</v>
      </c>
      <c r="J220" s="167">
        <f>'Averages Pivot Table'!V$24</f>
        <v>60959.142857142855</v>
      </c>
      <c r="K220" s="138">
        <f>IF(J220&gt;0,RANK(J220,(J$220:J$238)),0)</f>
        <v>1</v>
      </c>
      <c r="L220" s="167">
        <f>'Averages Pivot Table'!V$32</f>
        <v>61695.646723505648</v>
      </c>
      <c r="M220" s="138">
        <f>IF(L220&gt;0,RANK(L220,(L$220:L$238)),0)</f>
        <v>8</v>
      </c>
      <c r="N220" s="167"/>
      <c r="O220" s="167"/>
    </row>
    <row r="221" spans="1:19" ht="12.95" customHeight="1" x14ac:dyDescent="0.25">
      <c r="A221" s="136" t="s">
        <v>196</v>
      </c>
      <c r="B221" s="167">
        <f>'Averages Pivot Table'!V$37</f>
        <v>63425.664190992487</v>
      </c>
      <c r="C221" s="138">
        <f t="shared" ref="C221:E238" si="382">IF(B221&gt;0,RANK(B221,(B$220:B$238)),0)</f>
        <v>13</v>
      </c>
      <c r="D221" s="167">
        <f>'Averages Pivot Table'!V$41</f>
        <v>54119.921495299102</v>
      </c>
      <c r="E221" s="138">
        <f t="shared" si="382"/>
        <v>13</v>
      </c>
      <c r="F221" s="167">
        <f>'Averages Pivot Table'!V$45</f>
        <v>50439.414945205484</v>
      </c>
      <c r="G221" s="138">
        <f t="shared" ref="G221" si="383">IF(F221&gt;0,RANK(F221,(F$220:F$238)),0)</f>
        <v>12</v>
      </c>
      <c r="H221" s="167">
        <f>'Averages Pivot Table'!V$49</f>
        <v>38076.896413240851</v>
      </c>
      <c r="I221" s="138">
        <f t="shared" ref="I221" si="384">IF(H221&gt;0,RANK(H221,(H$220:H$238)),0)</f>
        <v>12</v>
      </c>
      <c r="J221" s="167">
        <f>'Averages Pivot Table'!V$53</f>
        <v>38047.5</v>
      </c>
      <c r="K221" s="138">
        <f t="shared" ref="K221" si="385">IF(J221&gt;0,RANK(J221,(J$220:J$238)),0)</f>
        <v>10</v>
      </c>
      <c r="L221" s="167">
        <f>'Averages Pivot Table'!V$61</f>
        <v>51880.543603128885</v>
      </c>
      <c r="M221" s="138">
        <f t="shared" ref="M221" si="386">IF(L221&gt;0,RANK(L221,(L$220:L$238)),0)</f>
        <v>13</v>
      </c>
      <c r="N221" s="167"/>
      <c r="O221" s="167"/>
    </row>
    <row r="222" spans="1:19" ht="12.95" customHeight="1" x14ac:dyDescent="0.25">
      <c r="A222" s="136" t="s">
        <v>197</v>
      </c>
      <c r="B222" s="167">
        <f>'Averages Pivot Table'!V$66</f>
        <v>0</v>
      </c>
      <c r="C222" s="138">
        <f t="shared" si="382"/>
        <v>0</v>
      </c>
      <c r="D222" s="167">
        <f>'Averages Pivot Table'!V$70</f>
        <v>0</v>
      </c>
      <c r="E222" s="138">
        <f t="shared" si="382"/>
        <v>0</v>
      </c>
      <c r="F222" s="167">
        <f>'Averages Pivot Table'!V$74</f>
        <v>0</v>
      </c>
      <c r="G222" s="138">
        <f t="shared" ref="G222" si="387">IF(F222&gt;0,RANK(F222,(F$220:F$238)),0)</f>
        <v>0</v>
      </c>
      <c r="H222" s="167">
        <f>'Averages Pivot Table'!V$78</f>
        <v>0</v>
      </c>
      <c r="I222" s="138">
        <f t="shared" ref="I222" si="388">IF(H222&gt;0,RANK(H222,(H$220:H$238)),0)</f>
        <v>0</v>
      </c>
      <c r="J222" s="167">
        <f>'Averages Pivot Table'!V$82</f>
        <v>0</v>
      </c>
      <c r="K222" s="138">
        <f t="shared" ref="K222" si="389">IF(J222&gt;0,RANK(J222,(J$220:J$238)),0)</f>
        <v>0</v>
      </c>
      <c r="L222" s="167">
        <f>'Averages Pivot Table'!V$90</f>
        <v>0</v>
      </c>
      <c r="M222" s="138">
        <f t="shared" ref="M222" si="390">IF(L222&gt;0,RANK(L222,(L$220:L$238)),0)</f>
        <v>0</v>
      </c>
      <c r="N222" s="167"/>
      <c r="O222" s="167"/>
    </row>
    <row r="223" spans="1:19" ht="12.95" customHeight="1" x14ac:dyDescent="0.25">
      <c r="A223" s="136" t="s">
        <v>198</v>
      </c>
      <c r="B223" s="167">
        <f>'Averages Pivot Table'!V$95</f>
        <v>93303.73493975903</v>
      </c>
      <c r="C223" s="138">
        <f t="shared" si="382"/>
        <v>1</v>
      </c>
      <c r="D223" s="167">
        <f>'Averages Pivot Table'!V$99</f>
        <v>69410.753943217671</v>
      </c>
      <c r="E223" s="138">
        <f t="shared" si="382"/>
        <v>4</v>
      </c>
      <c r="F223" s="167">
        <f>'Averages Pivot Table'!V$103</f>
        <v>60679.05803571429</v>
      </c>
      <c r="G223" s="138">
        <f t="shared" ref="G223" si="391">IF(F223&gt;0,RANK(F223,(F$220:F$238)),0)</f>
        <v>4</v>
      </c>
      <c r="H223" s="167">
        <f>'Averages Pivot Table'!V$107</f>
        <v>44366.626086956516</v>
      </c>
      <c r="I223" s="138">
        <f t="shared" ref="I223" si="392">IF(H223&gt;0,RANK(H223,(H$220:H$238)),0)</f>
        <v>6</v>
      </c>
      <c r="J223" s="167">
        <f>'Averages Pivot Table'!V$111</f>
        <v>44000</v>
      </c>
      <c r="K223" s="138">
        <f t="shared" ref="K223" si="393">IF(J223&gt;0,RANK(J223,(J$220:J$238)),0)</f>
        <v>7</v>
      </c>
      <c r="L223" s="167">
        <f>'Averages Pivot Table'!V$119</f>
        <v>64433.206990673069</v>
      </c>
      <c r="M223" s="138">
        <f t="shared" ref="M223" si="394">IF(L223&gt;0,RANK(L223,(L$220:L$238)),0)</f>
        <v>6</v>
      </c>
      <c r="N223" s="167"/>
      <c r="O223" s="167"/>
    </row>
    <row r="224" spans="1:19" ht="12.95" customHeight="1" x14ac:dyDescent="0.25">
      <c r="A224" s="136"/>
      <c r="B224" s="167"/>
      <c r="C224" s="138"/>
      <c r="D224" s="167"/>
      <c r="E224" s="138"/>
      <c r="F224" s="167"/>
      <c r="G224" s="138"/>
      <c r="H224" s="167"/>
      <c r="I224" s="138"/>
      <c r="J224" s="167"/>
      <c r="K224" s="138"/>
      <c r="L224" s="167"/>
      <c r="M224" s="138"/>
      <c r="N224" s="167"/>
      <c r="O224" s="167"/>
    </row>
    <row r="225" spans="1:19" x14ac:dyDescent="0.25">
      <c r="A225" s="136" t="s">
        <v>199</v>
      </c>
      <c r="B225" s="167">
        <f>'Averages Pivot Table'!V$124</f>
        <v>77305.736581416175</v>
      </c>
      <c r="C225" s="138">
        <f t="shared" si="382"/>
        <v>9</v>
      </c>
      <c r="D225" s="167">
        <f>'Averages Pivot Table'!V$128</f>
        <v>65308.022175344551</v>
      </c>
      <c r="E225" s="138">
        <f t="shared" si="382"/>
        <v>8</v>
      </c>
      <c r="F225" s="167">
        <f>'Averages Pivot Table'!V$132</f>
        <v>54492.957142759435</v>
      </c>
      <c r="G225" s="138">
        <f t="shared" ref="G225" si="395">IF(F225&gt;0,RANK(F225,(F$220:F$238)),0)</f>
        <v>8</v>
      </c>
      <c r="H225" s="167">
        <f>'Averages Pivot Table'!V$136</f>
        <v>44334.012559168565</v>
      </c>
      <c r="I225" s="138">
        <f t="shared" ref="I225" si="396">IF(H225&gt;0,RANK(H225,(H$220:H$238)),0)</f>
        <v>7</v>
      </c>
      <c r="J225" s="167">
        <f>'Averages Pivot Table'!V$140</f>
        <v>45102.17513253371</v>
      </c>
      <c r="K225" s="138">
        <f t="shared" ref="K225" si="397">IF(J225&gt;0,RANK(J225,(J$220:J$238)),0)</f>
        <v>5</v>
      </c>
      <c r="L225" s="167">
        <f>'Averages Pivot Table'!V$148</f>
        <v>59752.342855670831</v>
      </c>
      <c r="M225" s="138">
        <f t="shared" ref="M225" si="398">IF(L225&gt;0,RANK(L225,(L$220:L$238)),0)</f>
        <v>9</v>
      </c>
      <c r="N225" s="167"/>
      <c r="O225" s="167"/>
      <c r="Q225" s="109"/>
      <c r="R225" s="109"/>
      <c r="S225" s="109"/>
    </row>
    <row r="226" spans="1:19" x14ac:dyDescent="0.25">
      <c r="A226" s="136" t="s">
        <v>200</v>
      </c>
      <c r="B226" s="167">
        <f>'Averages Pivot Table'!V$153</f>
        <v>83297.74703877719</v>
      </c>
      <c r="C226" s="138">
        <f t="shared" si="382"/>
        <v>5</v>
      </c>
      <c r="D226" s="167">
        <f>'Averages Pivot Table'!V$157</f>
        <v>64226.63975820176</v>
      </c>
      <c r="E226" s="138">
        <f t="shared" si="382"/>
        <v>9</v>
      </c>
      <c r="F226" s="167">
        <f>'Averages Pivot Table'!V$161</f>
        <v>56760.107225239874</v>
      </c>
      <c r="G226" s="138">
        <f t="shared" ref="G226" si="399">IF(F226&gt;0,RANK(F226,(F$220:F$238)),0)</f>
        <v>7</v>
      </c>
      <c r="H226" s="167">
        <f>'Averages Pivot Table'!V$165</f>
        <v>43695.065476190473</v>
      </c>
      <c r="I226" s="138">
        <f t="shared" ref="I226" si="400">IF(H226&gt;0,RANK(H226,(H$220:H$238)),0)</f>
        <v>8</v>
      </c>
      <c r="J226" s="167">
        <f>'Averages Pivot Table'!V$169</f>
        <v>41086.840659340654</v>
      </c>
      <c r="K226" s="138">
        <f t="shared" ref="K226" si="401">IF(J226&gt;0,RANK(J226,(J$220:J$238)),0)</f>
        <v>8</v>
      </c>
      <c r="L226" s="167">
        <f>'Averages Pivot Table'!V$177</f>
        <v>59352.546306713157</v>
      </c>
      <c r="M226" s="138">
        <f t="shared" ref="M226" si="402">IF(L226&gt;0,RANK(L226,(L$220:L$238)),0)</f>
        <v>10</v>
      </c>
      <c r="N226" s="167"/>
      <c r="O226" s="167"/>
      <c r="Q226" s="109"/>
      <c r="R226" s="109"/>
      <c r="S226" s="109"/>
    </row>
    <row r="227" spans="1:19" x14ac:dyDescent="0.25">
      <c r="A227" s="136" t="s">
        <v>201</v>
      </c>
      <c r="B227" s="167">
        <f>'Averages Pivot Table'!V$182</f>
        <v>69819.562065044229</v>
      </c>
      <c r="C227" s="138">
        <f t="shared" si="382"/>
        <v>11</v>
      </c>
      <c r="D227" s="167">
        <f>'Averages Pivot Table'!V$186</f>
        <v>57404.879362793152</v>
      </c>
      <c r="E227" s="138">
        <f t="shared" si="382"/>
        <v>11</v>
      </c>
      <c r="F227" s="167">
        <f>'Averages Pivot Table'!V$190</f>
        <v>48135.153217682193</v>
      </c>
      <c r="G227" s="138">
        <f t="shared" ref="G227" si="403">IF(F227&gt;0,RANK(F227,(F$220:F$238)),0)</f>
        <v>13</v>
      </c>
      <c r="H227" s="167">
        <f>'Averages Pivot Table'!V$194</f>
        <v>40667.389578280534</v>
      </c>
      <c r="I227" s="138">
        <f t="shared" ref="I227" si="404">IF(H227&gt;0,RANK(H227,(H$220:H$238)),0)</f>
        <v>11</v>
      </c>
      <c r="J227" s="167">
        <f>'Averages Pivot Table'!V$198</f>
        <v>38667.84782608696</v>
      </c>
      <c r="K227" s="138">
        <f t="shared" ref="K227" si="405">IF(J227&gt;0,RANK(J227,(J$220:J$238)),0)</f>
        <v>9</v>
      </c>
      <c r="L227" s="167">
        <f>'Averages Pivot Table'!V$206</f>
        <v>52901.883457966753</v>
      </c>
      <c r="M227" s="138">
        <f t="shared" ref="M227" si="406">IF(L227&gt;0,RANK(L227,(L$220:L$238)),0)</f>
        <v>11</v>
      </c>
      <c r="N227" s="167"/>
      <c r="O227" s="167"/>
      <c r="Q227" s="109"/>
      <c r="R227" s="109"/>
      <c r="S227" s="109"/>
    </row>
    <row r="228" spans="1:19" x14ac:dyDescent="0.25">
      <c r="A228" s="136" t="s">
        <v>202</v>
      </c>
      <c r="B228" s="167">
        <f>'Averages Pivot Table'!V$211</f>
        <v>85478.486065979188</v>
      </c>
      <c r="C228" s="138">
        <f t="shared" si="382"/>
        <v>4</v>
      </c>
      <c r="D228" s="167">
        <f>'Averages Pivot Table'!V$215</f>
        <v>67298.314498339896</v>
      </c>
      <c r="E228" s="138">
        <f t="shared" si="382"/>
        <v>5</v>
      </c>
      <c r="F228" s="167">
        <f>'Averages Pivot Table'!V$219</f>
        <v>59967.146921634165</v>
      </c>
      <c r="G228" s="138">
        <f t="shared" ref="G228" si="407">IF(F228&gt;0,RANK(F228,(F$220:F$238)),0)</f>
        <v>6</v>
      </c>
      <c r="H228" s="167">
        <f>'Averages Pivot Table'!V$223</f>
        <v>56746.336363636357</v>
      </c>
      <c r="I228" s="138">
        <f t="shared" ref="I228" si="408">IF(H228&gt;0,RANK(H228,(H$220:H$238)),0)</f>
        <v>2</v>
      </c>
      <c r="J228" s="167">
        <f>'Averages Pivot Table'!V$227</f>
        <v>45367.786296369864</v>
      </c>
      <c r="K228" s="138">
        <f t="shared" ref="K228" si="409">IF(J228&gt;0,RANK(J228,(J$220:J$238)),0)</f>
        <v>4</v>
      </c>
      <c r="L228" s="167">
        <f>'Averages Pivot Table'!V$235</f>
        <v>65139.248593420336</v>
      </c>
      <c r="M228" s="138">
        <f t="shared" ref="M228" si="410">IF(L228&gt;0,RANK(L228,(L$220:L$238)),0)</f>
        <v>5</v>
      </c>
      <c r="N228" s="167"/>
      <c r="O228" s="167"/>
      <c r="Q228" s="109"/>
      <c r="R228" s="109"/>
      <c r="S228" s="109"/>
    </row>
    <row r="229" spans="1:19" x14ac:dyDescent="0.25">
      <c r="A229" s="136"/>
      <c r="B229" s="167"/>
      <c r="C229" s="138"/>
      <c r="D229" s="167"/>
      <c r="E229" s="138"/>
      <c r="F229" s="167"/>
      <c r="G229" s="138"/>
      <c r="H229" s="167"/>
      <c r="I229" s="138"/>
      <c r="J229" s="167"/>
      <c r="K229" s="138"/>
      <c r="L229" s="167"/>
      <c r="M229" s="138"/>
      <c r="N229" s="167"/>
      <c r="O229" s="167"/>
      <c r="Q229" s="109"/>
      <c r="R229" s="109"/>
      <c r="S229" s="109"/>
    </row>
    <row r="230" spans="1:19" x14ac:dyDescent="0.25">
      <c r="A230" s="136" t="s">
        <v>203</v>
      </c>
      <c r="B230" s="167">
        <f>'Averages Pivot Table'!V$240</f>
        <v>66661.51194161865</v>
      </c>
      <c r="C230" s="138">
        <f t="shared" si="382"/>
        <v>12</v>
      </c>
      <c r="D230" s="167">
        <f>'Averages Pivot Table'!V$244</f>
        <v>55135.987648316637</v>
      </c>
      <c r="E230" s="138">
        <f t="shared" si="382"/>
        <v>12</v>
      </c>
      <c r="F230" s="167">
        <f>'Averages Pivot Table'!V$248</f>
        <v>51951.346028397398</v>
      </c>
      <c r="G230" s="138">
        <f t="shared" ref="G230" si="411">IF(F230&gt;0,RANK(F230,(F$220:F$238)),0)</f>
        <v>11</v>
      </c>
      <c r="H230" s="167">
        <f>'Averages Pivot Table'!V$252</f>
        <v>41495.56396629761</v>
      </c>
      <c r="I230" s="138">
        <f t="shared" ref="I230" si="412">IF(H230&gt;0,RANK(H230,(H$220:H$238)),0)</f>
        <v>10</v>
      </c>
      <c r="J230" s="167">
        <f>'Averages Pivot Table'!V$256</f>
        <v>0</v>
      </c>
      <c r="K230" s="138">
        <f t="shared" ref="K230" si="413">IF(J230&gt;0,RANK(J230,(J$220:J$238)),0)</f>
        <v>0</v>
      </c>
      <c r="L230" s="167">
        <f>'Averages Pivot Table'!V$264</f>
        <v>52628.107524861276</v>
      </c>
      <c r="M230" s="138">
        <f t="shared" ref="M230" si="414">IF(L230&gt;0,RANK(L230,(L$220:L$238)),0)</f>
        <v>12</v>
      </c>
      <c r="N230" s="167"/>
      <c r="O230" s="167"/>
      <c r="Q230" s="109"/>
      <c r="R230" s="109"/>
      <c r="S230" s="109"/>
    </row>
    <row r="231" spans="1:19" x14ac:dyDescent="0.25">
      <c r="A231" s="136" t="s">
        <v>204</v>
      </c>
      <c r="B231" s="167">
        <f>'Averages Pivot Table'!V$269</f>
        <v>82003.439253333345</v>
      </c>
      <c r="C231" s="138">
        <f t="shared" si="382"/>
        <v>6</v>
      </c>
      <c r="D231" s="167">
        <f>'Averages Pivot Table'!V$273</f>
        <v>71690.924268546645</v>
      </c>
      <c r="E231" s="138">
        <f t="shared" si="382"/>
        <v>3</v>
      </c>
      <c r="F231" s="167">
        <f>'Averages Pivot Table'!V$277</f>
        <v>62877.817906683485</v>
      </c>
      <c r="G231" s="138">
        <f t="shared" ref="G231" si="415">IF(F231&gt;0,RANK(F231,(F$220:F$238)),0)</f>
        <v>2</v>
      </c>
      <c r="H231" s="167">
        <f>'Averages Pivot Table'!V$281</f>
        <v>59504</v>
      </c>
      <c r="I231" s="138">
        <f t="shared" ref="I231" si="416">IF(H231&gt;0,RANK(H231,(H$220:H$238)),0)</f>
        <v>1</v>
      </c>
      <c r="J231" s="167">
        <f>'Averages Pivot Table'!V$285</f>
        <v>51114.441194366198</v>
      </c>
      <c r="K231" s="138">
        <f t="shared" ref="K231" si="417">IF(J231&gt;0,RANK(J231,(J$220:J$238)),0)</f>
        <v>3</v>
      </c>
      <c r="L231" s="167">
        <f>'Averages Pivot Table'!V$293</f>
        <v>68603.265049652633</v>
      </c>
      <c r="M231" s="138">
        <f t="shared" ref="M231" si="418">IF(L231&gt;0,RANK(L231,(L$220:L$238)),0)</f>
        <v>3</v>
      </c>
      <c r="N231" s="167"/>
      <c r="O231" s="167"/>
      <c r="Q231" s="109"/>
      <c r="R231" s="109"/>
      <c r="S231" s="109"/>
    </row>
    <row r="232" spans="1:19" x14ac:dyDescent="0.25">
      <c r="A232" s="136" t="s">
        <v>205</v>
      </c>
      <c r="B232" s="167">
        <f>'Averages Pivot Table'!V$298</f>
        <v>74470.250513347026</v>
      </c>
      <c r="C232" s="138">
        <f t="shared" si="382"/>
        <v>10</v>
      </c>
      <c r="D232" s="167">
        <f>'Averages Pivot Table'!V$302</f>
        <v>60600.766519823788</v>
      </c>
      <c r="E232" s="138">
        <f t="shared" si="382"/>
        <v>10</v>
      </c>
      <c r="F232" s="167">
        <f>'Averages Pivot Table'!V$306</f>
        <v>53374.925081433226</v>
      </c>
      <c r="G232" s="138">
        <f t="shared" ref="G232" si="419">IF(F232&gt;0,RANK(F232,(F$220:F$238)),0)</f>
        <v>10</v>
      </c>
      <c r="H232" s="167">
        <f>'Averages Pivot Table'!V$310</f>
        <v>35181.65217391304</v>
      </c>
      <c r="I232" s="138">
        <f t="shared" ref="I232" si="420">IF(H232&gt;0,RANK(H232,(H$220:H$238)),0)</f>
        <v>13</v>
      </c>
      <c r="J232" s="167">
        <f>'Averages Pivot Table'!V$314</f>
        <v>0</v>
      </c>
      <c r="K232" s="138">
        <f t="shared" ref="K232" si="421">IF(J232&gt;0,RANK(J232,(J$220:J$238)),0)</f>
        <v>0</v>
      </c>
      <c r="L232" s="167">
        <f>'Averages Pivot Table'!V$322</f>
        <v>61726.864786600519</v>
      </c>
      <c r="M232" s="138">
        <f t="shared" ref="M232" si="422">IF(L232&gt;0,RANK(L232,(L$220:L$238)),0)</f>
        <v>7</v>
      </c>
      <c r="N232" s="167"/>
      <c r="O232" s="167"/>
      <c r="Q232" s="109"/>
      <c r="R232" s="109"/>
      <c r="S232" s="109"/>
    </row>
    <row r="233" spans="1:19" x14ac:dyDescent="0.25">
      <c r="A233" s="136" t="s">
        <v>206</v>
      </c>
      <c r="B233" s="167">
        <f>'Averages Pivot Table'!V$327</f>
        <v>88774.636363636353</v>
      </c>
      <c r="C233" s="138">
        <f t="shared" si="382"/>
        <v>2</v>
      </c>
      <c r="D233" s="167">
        <f>'Averages Pivot Table'!V$331</f>
        <v>71869.934426229505</v>
      </c>
      <c r="E233" s="138">
        <f t="shared" si="382"/>
        <v>2</v>
      </c>
      <c r="F233" s="167">
        <f>'Averages Pivot Table'!V$335</f>
        <v>61205.04</v>
      </c>
      <c r="G233" s="138">
        <f t="shared" ref="G233" si="423">IF(F233&gt;0,RANK(F233,(F$220:F$238)),0)</f>
        <v>3</v>
      </c>
      <c r="H233" s="167">
        <f>'Averages Pivot Table'!V$339</f>
        <v>52388</v>
      </c>
      <c r="I233" s="138">
        <f t="shared" ref="I233" si="424">IF(H233&gt;0,RANK(H233,(H$220:H$238)),0)</f>
        <v>3</v>
      </c>
      <c r="J233" s="167">
        <f>'Averages Pivot Table'!V$343</f>
        <v>0</v>
      </c>
      <c r="K233" s="138">
        <f t="shared" ref="K233" si="425">IF(J233&gt;0,RANK(J233,(J$220:J$238)),0)</f>
        <v>0</v>
      </c>
      <c r="L233" s="167">
        <f>'Averages Pivot Table'!V$351</f>
        <v>72335.88461538461</v>
      </c>
      <c r="M233" s="138">
        <f t="shared" ref="M233" si="426">IF(L233&gt;0,RANK(L233,(L$220:L$238)),0)</f>
        <v>1</v>
      </c>
      <c r="N233" s="167"/>
      <c r="O233" s="167"/>
      <c r="Q233" s="109"/>
      <c r="R233" s="109"/>
      <c r="S233" s="109"/>
    </row>
    <row r="234" spans="1:19" x14ac:dyDescent="0.25">
      <c r="A234" s="136"/>
      <c r="B234" s="167"/>
      <c r="C234" s="138"/>
      <c r="D234" s="167"/>
      <c r="E234" s="138"/>
      <c r="F234" s="167"/>
      <c r="G234" s="138"/>
      <c r="H234" s="167"/>
      <c r="I234" s="138"/>
      <c r="J234" s="167"/>
      <c r="K234" s="138"/>
      <c r="L234" s="167"/>
      <c r="M234" s="138"/>
      <c r="N234" s="167"/>
      <c r="O234" s="167"/>
      <c r="Q234" s="109"/>
      <c r="R234" s="109"/>
      <c r="S234" s="109"/>
    </row>
    <row r="235" spans="1:19" x14ac:dyDescent="0.25">
      <c r="A235" s="136" t="s">
        <v>207</v>
      </c>
      <c r="B235" s="137">
        <f>'Averages Pivot Table'!V$356</f>
        <v>0</v>
      </c>
      <c r="C235" s="138">
        <f t="shared" si="382"/>
        <v>0</v>
      </c>
      <c r="D235" s="137">
        <f>'Averages Pivot Table'!V$360</f>
        <v>0</v>
      </c>
      <c r="E235" s="138">
        <f t="shared" si="382"/>
        <v>0</v>
      </c>
      <c r="F235" s="137">
        <f>'Averages Pivot Table'!V$364</f>
        <v>0</v>
      </c>
      <c r="G235" s="138">
        <f t="shared" ref="G235" si="427">IF(F235&gt;0,RANK(F235,(F$220:F$238)),0)</f>
        <v>0</v>
      </c>
      <c r="H235" s="137">
        <f>'Averages Pivot Table'!V$368</f>
        <v>0</v>
      </c>
      <c r="I235" s="138">
        <f t="shared" ref="I235" si="428">IF(H235&gt;0,RANK(H235,(H$220:H$238)),0)</f>
        <v>0</v>
      </c>
      <c r="J235" s="137">
        <f>'Averages Pivot Table'!V$372</f>
        <v>0</v>
      </c>
      <c r="K235" s="138">
        <f t="shared" ref="K235" si="429">IF(J235&gt;0,RANK(J235,(J$220:J$238)),0)</f>
        <v>0</v>
      </c>
      <c r="L235" s="137">
        <f>'Averages Pivot Table'!V$380</f>
        <v>0</v>
      </c>
      <c r="M235" s="138">
        <f t="shared" ref="M235" si="430">IF(L235&gt;0,RANK(L235,(L$220:L$238)),0)</f>
        <v>0</v>
      </c>
      <c r="N235" s="167"/>
      <c r="O235" s="167"/>
      <c r="Q235" s="109"/>
      <c r="R235" s="109"/>
      <c r="S235" s="109"/>
    </row>
    <row r="236" spans="1:19" x14ac:dyDescent="0.25">
      <c r="A236" s="136" t="s">
        <v>208</v>
      </c>
      <c r="B236" s="137">
        <f>'Averages Pivot Table'!V$385</f>
        <v>87802.589268292693</v>
      </c>
      <c r="C236" s="138">
        <f t="shared" si="382"/>
        <v>3</v>
      </c>
      <c r="D236" s="137">
        <f>'Averages Pivot Table'!V$389</f>
        <v>76478.28527175443</v>
      </c>
      <c r="E236" s="138">
        <f t="shared" si="382"/>
        <v>1</v>
      </c>
      <c r="F236" s="137">
        <f>'Averages Pivot Table'!V$393</f>
        <v>68385.647136709696</v>
      </c>
      <c r="G236" s="138">
        <f t="shared" ref="G236" si="431">IF(F236&gt;0,RANK(F236,(F$220:F$238)),0)</f>
        <v>1</v>
      </c>
      <c r="H236" s="137">
        <f>'Averages Pivot Table'!V$397</f>
        <v>48801.375</v>
      </c>
      <c r="I236" s="138">
        <f t="shared" ref="I236" si="432">IF(H236&gt;0,RANK(H236,(H$220:H$238)),0)</f>
        <v>5</v>
      </c>
      <c r="J236" s="137">
        <f>'Averages Pivot Table'!V$401</f>
        <v>56710.95</v>
      </c>
      <c r="K236" s="138">
        <f t="shared" ref="K236" si="433">IF(J236&gt;0,RANK(J236,(J$220:J$238)),0)</f>
        <v>2</v>
      </c>
      <c r="L236" s="137">
        <f>'Averages Pivot Table'!V$409</f>
        <v>72012.182706927473</v>
      </c>
      <c r="M236" s="138">
        <f t="shared" ref="M236" si="434">IF(L236&gt;0,RANK(L236,(L$220:L$238)),0)</f>
        <v>2</v>
      </c>
      <c r="N236" s="167"/>
      <c r="O236" s="167"/>
      <c r="Q236" s="109"/>
      <c r="R236" s="109"/>
      <c r="S236" s="109"/>
    </row>
    <row r="237" spans="1:19" x14ac:dyDescent="0.25">
      <c r="A237" s="136" t="s">
        <v>209</v>
      </c>
      <c r="B237" s="137">
        <f>'Averages Pivot Table'!V$414</f>
        <v>80583.323783610162</v>
      </c>
      <c r="C237" s="138">
        <f t="shared" si="382"/>
        <v>7</v>
      </c>
      <c r="D237" s="137">
        <f>'Averages Pivot Table'!V$418</f>
        <v>67119.217981422815</v>
      </c>
      <c r="E237" s="138">
        <f t="shared" si="382"/>
        <v>6</v>
      </c>
      <c r="F237" s="137">
        <f>'Averages Pivot Table'!V$422</f>
        <v>60067.281189338239</v>
      </c>
      <c r="G237" s="138">
        <f t="shared" ref="G237" si="435">IF(F237&gt;0,RANK(F237,(F$220:F$238)),0)</f>
        <v>5</v>
      </c>
      <c r="H237" s="137">
        <f>'Averages Pivot Table'!V$426</f>
        <v>50224.480208427551</v>
      </c>
      <c r="I237" s="138">
        <f t="shared" ref="I237" si="436">IF(H237&gt;0,RANK(H237,(H$220:H$238)),0)</f>
        <v>4</v>
      </c>
      <c r="J237" s="137">
        <f>'Averages Pivot Table'!V$430</f>
        <v>44203.567164179105</v>
      </c>
      <c r="K237" s="138">
        <f t="shared" ref="K237" si="437">IF(J237&gt;0,RANK(J237,(J$220:J$238)),0)</f>
        <v>6</v>
      </c>
      <c r="L237" s="137">
        <f>'Averages Pivot Table'!V$438</f>
        <v>65786.282608318739</v>
      </c>
      <c r="M237" s="138">
        <f t="shared" ref="M237" si="438">IF(L237&gt;0,RANK(L237,(L$220:L$238)),0)</f>
        <v>4</v>
      </c>
      <c r="N237" s="167"/>
      <c r="O237" s="167"/>
      <c r="Q237" s="109"/>
      <c r="R237" s="109"/>
      <c r="S237" s="109"/>
    </row>
    <row r="238" spans="1:19" x14ac:dyDescent="0.25">
      <c r="A238" s="161" t="s">
        <v>210</v>
      </c>
      <c r="B238" s="140">
        <f>'Averages Pivot Table'!V$443</f>
        <v>0</v>
      </c>
      <c r="C238" s="141">
        <f t="shared" si="382"/>
        <v>0</v>
      </c>
      <c r="D238" s="140">
        <f>'Averages Pivot Table'!V$447</f>
        <v>0</v>
      </c>
      <c r="E238" s="141">
        <f t="shared" si="382"/>
        <v>0</v>
      </c>
      <c r="F238" s="140">
        <f>'Averages Pivot Table'!V$451</f>
        <v>0</v>
      </c>
      <c r="G238" s="141">
        <f t="shared" ref="G238" si="439">IF(F238&gt;0,RANK(F238,(F$220:F$238)),0)</f>
        <v>0</v>
      </c>
      <c r="H238" s="140">
        <f>'Averages Pivot Table'!V$455</f>
        <v>0</v>
      </c>
      <c r="I238" s="141">
        <f t="shared" ref="I238" si="440">IF(H238&gt;0,RANK(H238,(H$220:H$238)),0)</f>
        <v>0</v>
      </c>
      <c r="J238" s="140">
        <f>'Averages Pivot Table'!V$459</f>
        <v>0</v>
      </c>
      <c r="K238" s="141">
        <f t="shared" ref="K238" si="441">IF(J238&gt;0,RANK(J238,(J$220:J$238)),0)</f>
        <v>0</v>
      </c>
      <c r="L238" s="140">
        <f>'Averages Pivot Table'!V$467</f>
        <v>0</v>
      </c>
      <c r="M238" s="141">
        <f t="shared" ref="M238" si="442">IF(L238&gt;0,RANK(L238,(L$220:L$238)),0)</f>
        <v>0</v>
      </c>
      <c r="N238" s="167"/>
      <c r="O238" s="167"/>
      <c r="Q238" s="109"/>
      <c r="R238" s="109"/>
      <c r="S238" s="109"/>
    </row>
    <row r="239" spans="1:19" ht="24" customHeight="1" x14ac:dyDescent="0.25">
      <c r="A239" s="714" t="s">
        <v>1127</v>
      </c>
      <c r="B239" s="715"/>
      <c r="C239" s="715"/>
      <c r="D239" s="715"/>
      <c r="E239" s="715"/>
      <c r="F239" s="715"/>
      <c r="G239" s="715"/>
      <c r="H239" s="715"/>
      <c r="I239" s="715"/>
      <c r="J239" s="715"/>
      <c r="K239" s="715"/>
      <c r="L239" s="715"/>
      <c r="M239" s="715"/>
      <c r="N239" s="136"/>
      <c r="O239" s="136"/>
      <c r="Q239" s="109"/>
      <c r="R239" s="109"/>
      <c r="S239" s="109"/>
    </row>
    <row r="240" spans="1:19" x14ac:dyDescent="0.25">
      <c r="M240" s="102" t="s">
        <v>1124</v>
      </c>
      <c r="O240" s="193"/>
      <c r="Q240" s="109"/>
      <c r="R240" s="109"/>
      <c r="S240" s="109"/>
    </row>
    <row r="241" spans="1:19" ht="18" x14ac:dyDescent="0.25">
      <c r="A241" s="82" t="s">
        <v>230</v>
      </c>
      <c r="B241" s="82"/>
      <c r="C241" s="82"/>
      <c r="D241" s="82"/>
      <c r="E241" s="82"/>
      <c r="F241" s="82"/>
      <c r="G241" s="82"/>
      <c r="H241" s="82"/>
      <c r="I241" s="82"/>
      <c r="J241" s="82"/>
      <c r="K241" s="82"/>
      <c r="L241" s="82"/>
      <c r="M241" s="82"/>
      <c r="N241" s="179"/>
      <c r="O241" s="179"/>
    </row>
    <row r="242" spans="1:19" x14ac:dyDescent="0.25">
      <c r="A242" s="180"/>
      <c r="B242" s="87"/>
      <c r="C242" s="87"/>
      <c r="D242" s="87"/>
      <c r="E242" s="87"/>
      <c r="F242" s="87"/>
      <c r="G242" s="87"/>
      <c r="H242" s="87"/>
      <c r="I242" s="87"/>
      <c r="J242" s="87"/>
      <c r="K242" s="87"/>
      <c r="L242" s="87"/>
      <c r="M242" s="87"/>
      <c r="N242" s="87"/>
      <c r="O242" s="87"/>
    </row>
    <row r="243" spans="1:19" x14ac:dyDescent="0.25">
      <c r="A243" s="707" t="s">
        <v>218</v>
      </c>
      <c r="B243" s="707"/>
      <c r="C243" s="707"/>
      <c r="D243" s="707"/>
      <c r="E243" s="707"/>
      <c r="F243" s="707"/>
      <c r="G243" s="707"/>
      <c r="H243" s="707"/>
      <c r="I243" s="707"/>
      <c r="J243" s="707"/>
      <c r="K243" s="707"/>
      <c r="L243" s="707"/>
      <c r="M243" s="707"/>
      <c r="N243" s="181"/>
      <c r="O243" s="181"/>
    </row>
    <row r="244" spans="1:19" x14ac:dyDescent="0.25">
      <c r="A244" s="707" t="s">
        <v>279</v>
      </c>
      <c r="B244" s="707"/>
      <c r="C244" s="707"/>
      <c r="D244" s="707"/>
      <c r="E244" s="707"/>
      <c r="F244" s="707"/>
      <c r="G244" s="707"/>
      <c r="H244" s="707"/>
      <c r="I244" s="707"/>
      <c r="J244" s="707"/>
      <c r="K244" s="707"/>
      <c r="L244" s="707"/>
      <c r="M244" s="707"/>
      <c r="N244" s="181"/>
      <c r="O244" s="181"/>
    </row>
    <row r="245" spans="1:19" x14ac:dyDescent="0.25">
      <c r="A245" s="87"/>
      <c r="B245" s="87"/>
      <c r="C245" s="87"/>
      <c r="D245" s="87"/>
      <c r="E245" s="87"/>
      <c r="F245" s="87"/>
      <c r="G245" s="87"/>
      <c r="H245" s="87"/>
      <c r="I245" s="87"/>
      <c r="J245" s="87"/>
      <c r="K245" s="87"/>
      <c r="L245" s="87"/>
      <c r="M245" s="87"/>
      <c r="N245" s="186" t="s">
        <v>7</v>
      </c>
      <c r="O245" s="186"/>
    </row>
    <row r="246" spans="1:19" ht="31.5" customHeight="1" x14ac:dyDescent="0.25">
      <c r="A246" s="114"/>
      <c r="B246" s="182" t="s">
        <v>3</v>
      </c>
      <c r="C246" s="183"/>
      <c r="D246" s="184" t="s">
        <v>4</v>
      </c>
      <c r="E246" s="185"/>
      <c r="F246" s="184" t="s">
        <v>5</v>
      </c>
      <c r="G246" s="185"/>
      <c r="H246" s="182" t="s">
        <v>6</v>
      </c>
      <c r="I246" s="183"/>
      <c r="J246" s="184" t="s">
        <v>219</v>
      </c>
      <c r="K246" s="185"/>
      <c r="L246" s="183" t="s">
        <v>220</v>
      </c>
      <c r="M246" s="183"/>
      <c r="N246" s="186" t="s">
        <v>7</v>
      </c>
      <c r="O246" s="186"/>
    </row>
    <row r="247" spans="1:19" x14ac:dyDescent="0.25">
      <c r="A247" s="120"/>
      <c r="B247" s="116" t="s">
        <v>193</v>
      </c>
      <c r="C247" s="115" t="s">
        <v>170</v>
      </c>
      <c r="D247" s="116" t="s">
        <v>193</v>
      </c>
      <c r="E247" s="115" t="s">
        <v>170</v>
      </c>
      <c r="F247" s="116" t="s">
        <v>193</v>
      </c>
      <c r="G247" s="115" t="s">
        <v>170</v>
      </c>
      <c r="H247" s="116" t="s">
        <v>193</v>
      </c>
      <c r="I247" s="115" t="s">
        <v>170</v>
      </c>
      <c r="J247" s="116" t="s">
        <v>193</v>
      </c>
      <c r="K247" s="115" t="s">
        <v>170</v>
      </c>
      <c r="L247" s="116" t="s">
        <v>193</v>
      </c>
      <c r="M247" s="115" t="s">
        <v>170</v>
      </c>
      <c r="N247" s="186" t="s">
        <v>7</v>
      </c>
      <c r="O247" s="186"/>
    </row>
    <row r="248" spans="1:19" s="127" customFormat="1" ht="18" customHeight="1" x14ac:dyDescent="0.25">
      <c r="A248" s="124" t="s">
        <v>194</v>
      </c>
      <c r="B248" s="151">
        <f>'Averages Pivot Table'!W$471</f>
        <v>75488.757468048498</v>
      </c>
      <c r="C248" s="151"/>
      <c r="D248" s="151">
        <f>'Averages Pivot Table'!W$475</f>
        <v>63430.170333518545</v>
      </c>
      <c r="E248" s="151"/>
      <c r="F248" s="151">
        <f>'Averages Pivot Table'!W$479</f>
        <v>54952.841348757393</v>
      </c>
      <c r="G248" s="151"/>
      <c r="H248" s="151">
        <f>'Averages Pivot Table'!W$483</f>
        <v>42625.76103663192</v>
      </c>
      <c r="I248" s="151"/>
      <c r="J248" s="151">
        <f>'Averages Pivot Table'!W$487</f>
        <v>45988.799643153732</v>
      </c>
      <c r="K248" s="151"/>
      <c r="L248" s="151">
        <f>'Averages Pivot Table'!W$495</f>
        <v>58816.312208015683</v>
      </c>
      <c r="M248" s="187"/>
      <c r="N248" s="199"/>
      <c r="O248" s="199"/>
      <c r="Q248" s="129"/>
      <c r="R248" s="129"/>
      <c r="S248" s="129"/>
    </row>
    <row r="249" spans="1:19" ht="12.95" customHeight="1" x14ac:dyDescent="0.25">
      <c r="A249" s="136"/>
      <c r="B249" s="131"/>
      <c r="C249" s="155"/>
      <c r="D249" s="131"/>
      <c r="E249" s="155"/>
      <c r="F249" s="131"/>
      <c r="G249" s="155"/>
      <c r="H249" s="131"/>
      <c r="I249" s="155"/>
      <c r="J249" s="131"/>
      <c r="K249" s="155"/>
      <c r="L249" s="131"/>
      <c r="M249" s="155"/>
      <c r="N249" s="131"/>
      <c r="O249" s="132"/>
    </row>
    <row r="250" spans="1:19" ht="12.95" customHeight="1" x14ac:dyDescent="0.25">
      <c r="A250" s="136" t="s">
        <v>195</v>
      </c>
      <c r="B250" s="167">
        <f>'Averages Pivot Table'!W$8</f>
        <v>68698.640151515152</v>
      </c>
      <c r="C250" s="138">
        <f>IF(B250&gt;0,RANK(B250,(B$250:B$268)),0)</f>
        <v>9</v>
      </c>
      <c r="D250" s="167">
        <f>'Averages Pivot Table'!W$12</f>
        <v>55406.333284799068</v>
      </c>
      <c r="E250" s="138">
        <f>IF(D250&gt;0,RANK(D250,(D$250:D$268)),0)</f>
        <v>10</v>
      </c>
      <c r="F250" s="167">
        <f>'Averages Pivot Table'!W$16</f>
        <v>43299.765289518597</v>
      </c>
      <c r="G250" s="138">
        <f>IF(F250&gt;0,RANK(F250,(F$250:F$268)),0)</f>
        <v>11</v>
      </c>
      <c r="H250" s="167">
        <f>'Averages Pivot Table'!W$20</f>
        <v>35156.894117647062</v>
      </c>
      <c r="I250" s="138">
        <f>IF(H250&gt;0,RANK(H250,(H$250:H$268)),0)</f>
        <v>10</v>
      </c>
      <c r="J250" s="167">
        <f>'Averages Pivot Table'!W$24</f>
        <v>31524.25</v>
      </c>
      <c r="K250" s="138">
        <f>IF(J250&gt;0,RANK(J250,(J$250:J$268)),0)</f>
        <v>9</v>
      </c>
      <c r="L250" s="167">
        <f>'Averages Pivot Table'!W$32</f>
        <v>51426.075672801329</v>
      </c>
      <c r="M250" s="138">
        <f>IF(L250&gt;0,RANK(L250,(L$250:L$268)),0)</f>
        <v>10</v>
      </c>
      <c r="N250" s="167"/>
      <c r="O250" s="186"/>
    </row>
    <row r="251" spans="1:19" ht="12.95" customHeight="1" x14ac:dyDescent="0.25">
      <c r="A251" s="136" t="s">
        <v>196</v>
      </c>
      <c r="B251" s="167">
        <f>'Averages Pivot Table'!W$37</f>
        <v>49812.899999999994</v>
      </c>
      <c r="C251" s="138">
        <f t="shared" ref="C251:E268" si="443">IF(B251&gt;0,RANK(B251,(B$250:B$268)),0)</f>
        <v>12</v>
      </c>
      <c r="D251" s="167">
        <f>'Averages Pivot Table'!W$41</f>
        <v>41604.29605263158</v>
      </c>
      <c r="E251" s="138">
        <f t="shared" si="443"/>
        <v>12</v>
      </c>
      <c r="F251" s="167">
        <f>'Averages Pivot Table'!W$45</f>
        <v>32496.761194029852</v>
      </c>
      <c r="G251" s="138">
        <f t="shared" ref="G251" si="444">IF(F251&gt;0,RANK(F251,(F$250:F$268)),0)</f>
        <v>12</v>
      </c>
      <c r="H251" s="167">
        <f>'Averages Pivot Table'!W$49</f>
        <v>28984.683385579938</v>
      </c>
      <c r="I251" s="138">
        <f t="shared" ref="I251" si="445">IF(H251&gt;0,RANK(H251,(H$250:H$268)),0)</f>
        <v>12</v>
      </c>
      <c r="J251" s="167">
        <f>'Averages Pivot Table'!W$53</f>
        <v>0</v>
      </c>
      <c r="K251" s="138">
        <f t="shared" ref="K251" si="446">IF(J251&gt;0,RANK(J251,(J$250:J$268)),0)</f>
        <v>0</v>
      </c>
      <c r="L251" s="167">
        <f>'Averages Pivot Table'!W$61</f>
        <v>36188.993122910797</v>
      </c>
      <c r="M251" s="138">
        <f t="shared" ref="M251" si="447">IF(L251&gt;0,RANK(L251,(L$250:L$268)),0)</f>
        <v>12</v>
      </c>
      <c r="N251" s="167"/>
      <c r="O251" s="186"/>
    </row>
    <row r="252" spans="1:19" ht="12.95" customHeight="1" x14ac:dyDescent="0.25">
      <c r="A252" s="136" t="s">
        <v>197</v>
      </c>
      <c r="B252" s="167">
        <f>'Averages Pivot Table'!W$66</f>
        <v>0</v>
      </c>
      <c r="C252" s="138">
        <f t="shared" si="443"/>
        <v>0</v>
      </c>
      <c r="D252" s="167">
        <f>'Averages Pivot Table'!W$70</f>
        <v>0</v>
      </c>
      <c r="E252" s="138">
        <f t="shared" si="443"/>
        <v>0</v>
      </c>
      <c r="F252" s="167">
        <f>'Averages Pivot Table'!W$74</f>
        <v>0</v>
      </c>
      <c r="G252" s="138">
        <f t="shared" ref="G252" si="448">IF(F252&gt;0,RANK(F252,(F$250:F$268)),0)</f>
        <v>0</v>
      </c>
      <c r="H252" s="167">
        <f>'Averages Pivot Table'!W$78</f>
        <v>0</v>
      </c>
      <c r="I252" s="138">
        <f t="shared" ref="I252" si="449">IF(H252&gt;0,RANK(H252,(H$250:H$268)),0)</f>
        <v>0</v>
      </c>
      <c r="J252" s="167">
        <f>'Averages Pivot Table'!W$82</f>
        <v>0</v>
      </c>
      <c r="K252" s="138">
        <f t="shared" ref="K252" si="450">IF(J252&gt;0,RANK(J252,(J$250:J$268)),0)</f>
        <v>0</v>
      </c>
      <c r="L252" s="167">
        <f>'Averages Pivot Table'!W$90</f>
        <v>0</v>
      </c>
      <c r="M252" s="138">
        <f t="shared" ref="M252" si="451">IF(L252&gt;0,RANK(L252,(L$250:L$268)),0)</f>
        <v>0</v>
      </c>
      <c r="N252" s="167"/>
      <c r="O252" s="186"/>
    </row>
    <row r="253" spans="1:19" ht="12.95" customHeight="1" x14ac:dyDescent="0.25">
      <c r="A253" s="136" t="s">
        <v>198</v>
      </c>
      <c r="B253" s="167">
        <f>'Averages Pivot Table'!W$95</f>
        <v>0</v>
      </c>
      <c r="C253" s="138">
        <f t="shared" si="443"/>
        <v>0</v>
      </c>
      <c r="D253" s="167">
        <f>'Averages Pivot Table'!W$99</f>
        <v>0</v>
      </c>
      <c r="E253" s="138">
        <f t="shared" si="443"/>
        <v>0</v>
      </c>
      <c r="F253" s="167">
        <f>'Averages Pivot Table'!W$103</f>
        <v>0</v>
      </c>
      <c r="G253" s="138">
        <f t="shared" ref="G253" si="452">IF(F253&gt;0,RANK(F253,(F$250:F$268)),0)</f>
        <v>0</v>
      </c>
      <c r="H253" s="167">
        <f>'Averages Pivot Table'!W$107</f>
        <v>0</v>
      </c>
      <c r="I253" s="138">
        <f t="shared" ref="I253" si="453">IF(H253&gt;0,RANK(H253,(H$250:H$268)),0)</f>
        <v>0</v>
      </c>
      <c r="J253" s="167">
        <f>'Averages Pivot Table'!W$111</f>
        <v>0</v>
      </c>
      <c r="K253" s="138">
        <f t="shared" ref="K253" si="454">IF(J253&gt;0,RANK(J253,(J$250:J$268)),0)</f>
        <v>0</v>
      </c>
      <c r="L253" s="167">
        <f>'Averages Pivot Table'!W$119</f>
        <v>0</v>
      </c>
      <c r="M253" s="138">
        <f t="shared" ref="M253" si="455">IF(L253&gt;0,RANK(L253,(L$250:L$268)),0)</f>
        <v>0</v>
      </c>
      <c r="N253" s="167"/>
      <c r="O253" s="186"/>
    </row>
    <row r="254" spans="1:19" ht="12.95" customHeight="1" x14ac:dyDescent="0.25">
      <c r="A254" s="136"/>
      <c r="B254" s="167"/>
      <c r="C254" s="138"/>
      <c r="D254" s="167"/>
      <c r="E254" s="138"/>
      <c r="F254" s="167"/>
      <c r="G254" s="138"/>
      <c r="H254" s="167"/>
      <c r="I254" s="138"/>
      <c r="J254" s="167"/>
      <c r="K254" s="138"/>
      <c r="L254" s="167"/>
      <c r="M254" s="138"/>
      <c r="N254" s="167"/>
      <c r="O254" s="186"/>
    </row>
    <row r="255" spans="1:19" ht="12.95" customHeight="1" x14ac:dyDescent="0.25">
      <c r="A255" s="136" t="s">
        <v>199</v>
      </c>
      <c r="B255" s="167">
        <f>'Averages Pivot Table'!W$124</f>
        <v>72241.186317449799</v>
      </c>
      <c r="C255" s="138">
        <f t="shared" si="443"/>
        <v>7</v>
      </c>
      <c r="D255" s="167">
        <f>'Averages Pivot Table'!W$128</f>
        <v>62589.060713988416</v>
      </c>
      <c r="E255" s="138">
        <f t="shared" si="443"/>
        <v>7</v>
      </c>
      <c r="F255" s="167">
        <f>'Averages Pivot Table'!W$132</f>
        <v>53807.330810762876</v>
      </c>
      <c r="G255" s="138">
        <f t="shared" ref="G255" si="456">IF(F255&gt;0,RANK(F255,(F$250:F$268)),0)</f>
        <v>6</v>
      </c>
      <c r="H255" s="167">
        <f>'Averages Pivot Table'!W$136</f>
        <v>32142.485387684679</v>
      </c>
      <c r="I255" s="138">
        <f t="shared" ref="I255" si="457">IF(H255&gt;0,RANK(H255,(H$250:H$268)),0)</f>
        <v>11</v>
      </c>
      <c r="J255" s="167">
        <f>'Averages Pivot Table'!W$140</f>
        <v>46742.54</v>
      </c>
      <c r="K255" s="138">
        <f t="shared" ref="K255" si="458">IF(J255&gt;0,RANK(J255,(J$250:J$268)),0)</f>
        <v>4</v>
      </c>
      <c r="L255" s="167">
        <f>'Averages Pivot Table'!W$148</f>
        <v>55560.08661007398</v>
      </c>
      <c r="M255" s="138">
        <f t="shared" ref="M255" si="459">IF(L255&gt;0,RANK(L255,(L$250:L$268)),0)</f>
        <v>8</v>
      </c>
      <c r="N255" s="167"/>
      <c r="O255" s="186"/>
    </row>
    <row r="256" spans="1:19" ht="12.95" customHeight="1" x14ac:dyDescent="0.25">
      <c r="A256" s="136" t="s">
        <v>200</v>
      </c>
      <c r="B256" s="167">
        <f>'Averages Pivot Table'!W$153</f>
        <v>0</v>
      </c>
      <c r="C256" s="138">
        <f t="shared" si="443"/>
        <v>0</v>
      </c>
      <c r="D256" s="167">
        <f>'Averages Pivot Table'!W$157</f>
        <v>0</v>
      </c>
      <c r="E256" s="138">
        <f t="shared" si="443"/>
        <v>0</v>
      </c>
      <c r="F256" s="167">
        <f>'Averages Pivot Table'!W$161</f>
        <v>0</v>
      </c>
      <c r="G256" s="138">
        <f t="shared" ref="G256" si="460">IF(F256&gt;0,RANK(F256,(F$250:F$268)),0)</f>
        <v>0</v>
      </c>
      <c r="H256" s="167">
        <f>'Averages Pivot Table'!W$165</f>
        <v>0</v>
      </c>
      <c r="I256" s="138">
        <f t="shared" ref="I256" si="461">IF(H256&gt;0,RANK(H256,(H$250:H$268)),0)</f>
        <v>0</v>
      </c>
      <c r="J256" s="167">
        <f>'Averages Pivot Table'!W$169</f>
        <v>0</v>
      </c>
      <c r="K256" s="138">
        <f t="shared" ref="K256" si="462">IF(J256&gt;0,RANK(J256,(J$250:J$268)),0)</f>
        <v>0</v>
      </c>
      <c r="L256" s="167">
        <f>'Averages Pivot Table'!W$177</f>
        <v>0</v>
      </c>
      <c r="M256" s="138">
        <f t="shared" ref="M256" si="463">IF(L256&gt;0,RANK(L256,(L$250:L$268)),0)</f>
        <v>0</v>
      </c>
      <c r="N256" s="167"/>
      <c r="O256" s="186"/>
    </row>
    <row r="257" spans="1:19" x14ac:dyDescent="0.25">
      <c r="A257" s="136" t="s">
        <v>201</v>
      </c>
      <c r="B257" s="167">
        <f>'Averages Pivot Table'!W$182</f>
        <v>0</v>
      </c>
      <c r="C257" s="138">
        <f t="shared" si="443"/>
        <v>0</v>
      </c>
      <c r="D257" s="167">
        <f>'Averages Pivot Table'!W$186</f>
        <v>0</v>
      </c>
      <c r="E257" s="138">
        <f t="shared" si="443"/>
        <v>0</v>
      </c>
      <c r="F257" s="167">
        <f>'Averages Pivot Table'!W$190</f>
        <v>0</v>
      </c>
      <c r="G257" s="138">
        <f t="shared" ref="G257" si="464">IF(F257&gt;0,RANK(F257,(F$250:F$268)),0)</f>
        <v>0</v>
      </c>
      <c r="H257" s="167">
        <f>'Averages Pivot Table'!W$194</f>
        <v>0</v>
      </c>
      <c r="I257" s="138">
        <f t="shared" ref="I257" si="465">IF(H257&gt;0,RANK(H257,(H$250:H$268)),0)</f>
        <v>0</v>
      </c>
      <c r="J257" s="167">
        <f>'Averages Pivot Table'!W$198</f>
        <v>0</v>
      </c>
      <c r="K257" s="138">
        <f t="shared" ref="K257" si="466">IF(J257&gt;0,RANK(J257,(J$250:J$268)),0)</f>
        <v>0</v>
      </c>
      <c r="L257" s="167">
        <f>'Averages Pivot Table'!W$206</f>
        <v>0</v>
      </c>
      <c r="M257" s="138">
        <f t="shared" ref="M257" si="467">IF(L257&gt;0,RANK(L257,(L$250:L$268)),0)</f>
        <v>0</v>
      </c>
      <c r="N257" s="167"/>
      <c r="O257" s="186"/>
      <c r="Q257" s="109"/>
      <c r="R257" s="109"/>
      <c r="S257" s="109"/>
    </row>
    <row r="258" spans="1:19" x14ac:dyDescent="0.25">
      <c r="A258" s="136" t="s">
        <v>202</v>
      </c>
      <c r="B258" s="167">
        <f>'Averages Pivot Table'!W$211</f>
        <v>78023.471311475398</v>
      </c>
      <c r="C258" s="138">
        <f t="shared" si="443"/>
        <v>5</v>
      </c>
      <c r="D258" s="167">
        <f>'Averages Pivot Table'!W$215</f>
        <v>59419.6875</v>
      </c>
      <c r="E258" s="138">
        <f t="shared" si="443"/>
        <v>9</v>
      </c>
      <c r="F258" s="167">
        <f>'Averages Pivot Table'!W$219</f>
        <v>56407.908031088082</v>
      </c>
      <c r="G258" s="138">
        <f t="shared" ref="G258" si="468">IF(F258&gt;0,RANK(F258,(F$250:F$268)),0)</f>
        <v>5</v>
      </c>
      <c r="H258" s="167">
        <f>'Averages Pivot Table'!W$223</f>
        <v>51356.8125</v>
      </c>
      <c r="I258" s="138">
        <f t="shared" ref="I258" si="469">IF(H258&gt;0,RANK(H258,(H$250:H$268)),0)</f>
        <v>3</v>
      </c>
      <c r="J258" s="167">
        <f>'Averages Pivot Table'!W$227</f>
        <v>35756.217391304352</v>
      </c>
      <c r="K258" s="138">
        <f t="shared" ref="K258" si="470">IF(J258&gt;0,RANK(J258,(J$250:J$268)),0)</f>
        <v>8</v>
      </c>
      <c r="L258" s="167">
        <f>'Averages Pivot Table'!W$235</f>
        <v>57909.716622607673</v>
      </c>
      <c r="M258" s="138">
        <f t="shared" ref="M258" si="471">IF(L258&gt;0,RANK(L258,(L$250:L$268)),0)</f>
        <v>6</v>
      </c>
      <c r="N258" s="167"/>
      <c r="O258" s="186"/>
      <c r="Q258" s="109"/>
      <c r="R258" s="109"/>
      <c r="S258" s="109"/>
    </row>
    <row r="259" spans="1:19" x14ac:dyDescent="0.25">
      <c r="A259" s="136"/>
      <c r="B259" s="167"/>
      <c r="C259" s="138"/>
      <c r="D259" s="167"/>
      <c r="E259" s="138"/>
      <c r="F259" s="167"/>
      <c r="G259" s="138"/>
      <c r="H259" s="167"/>
      <c r="I259" s="138"/>
      <c r="J259" s="167"/>
      <c r="K259" s="138"/>
      <c r="L259" s="167"/>
      <c r="M259" s="138"/>
      <c r="N259" s="167"/>
      <c r="O259" s="186"/>
      <c r="Q259" s="109"/>
      <c r="R259" s="109"/>
      <c r="S259" s="109"/>
    </row>
    <row r="260" spans="1:19" x14ac:dyDescent="0.25">
      <c r="A260" s="136" t="s">
        <v>203</v>
      </c>
      <c r="B260" s="167">
        <f>'Averages Pivot Table'!W$240</f>
        <v>57528.363354037268</v>
      </c>
      <c r="C260" s="138">
        <f t="shared" si="443"/>
        <v>11</v>
      </c>
      <c r="D260" s="167">
        <f>'Averages Pivot Table'!W$244</f>
        <v>49676.079754601225</v>
      </c>
      <c r="E260" s="138">
        <f t="shared" si="443"/>
        <v>11</v>
      </c>
      <c r="F260" s="167">
        <f>'Averages Pivot Table'!W$248</f>
        <v>50897.103896103894</v>
      </c>
      <c r="G260" s="138">
        <f t="shared" ref="G260" si="472">IF(F260&gt;0,RANK(F260,(F$250:F$268)),0)</f>
        <v>10</v>
      </c>
      <c r="H260" s="167">
        <f>'Averages Pivot Table'!W$252</f>
        <v>47398.452431289632</v>
      </c>
      <c r="I260" s="138">
        <f t="shared" ref="I260" si="473">IF(H260&gt;0,RANK(H260,(H$250:H$268)),0)</f>
        <v>6</v>
      </c>
      <c r="J260" s="167">
        <f>'Averages Pivot Table'!W$256</f>
        <v>0</v>
      </c>
      <c r="K260" s="138">
        <f t="shared" ref="K260" si="474">IF(J260&gt;0,RANK(J260,(J$250:J$268)),0)</f>
        <v>0</v>
      </c>
      <c r="L260" s="167">
        <f>'Averages Pivot Table'!W$264</f>
        <v>51119.548951901343</v>
      </c>
      <c r="M260" s="138">
        <f t="shared" ref="M260" si="475">IF(L260&gt;0,RANK(L260,(L$250:L$268)),0)</f>
        <v>11</v>
      </c>
      <c r="N260" s="167"/>
      <c r="O260" s="186"/>
      <c r="Q260" s="109"/>
      <c r="R260" s="109"/>
      <c r="S260" s="109"/>
    </row>
    <row r="261" spans="1:19" x14ac:dyDescent="0.25">
      <c r="A261" s="136" t="s">
        <v>204</v>
      </c>
      <c r="B261" s="167">
        <f>'Averages Pivot Table'!W$269</f>
        <v>80913.539841117366</v>
      </c>
      <c r="C261" s="138">
        <f t="shared" si="443"/>
        <v>3</v>
      </c>
      <c r="D261" s="167">
        <f>'Averages Pivot Table'!W$273</f>
        <v>68263.236705155738</v>
      </c>
      <c r="E261" s="138">
        <f t="shared" si="443"/>
        <v>2</v>
      </c>
      <c r="F261" s="167">
        <f>'Averages Pivot Table'!W$277</f>
        <v>62916.493878162932</v>
      </c>
      <c r="G261" s="138">
        <f t="shared" ref="G261" si="476">IF(F261&gt;0,RANK(F261,(F$250:F$268)),0)</f>
        <v>1</v>
      </c>
      <c r="H261" s="167">
        <f>'Averages Pivot Table'!W$281</f>
        <v>54265.578397899975</v>
      </c>
      <c r="I261" s="138">
        <f t="shared" ref="I261" si="477">IF(H261&gt;0,RANK(H261,(H$250:H$268)),0)</f>
        <v>2</v>
      </c>
      <c r="J261" s="167">
        <f>'Averages Pivot Table'!W$285</f>
        <v>47852.555192274704</v>
      </c>
      <c r="K261" s="138">
        <f t="shared" ref="K261" si="478">IF(J261&gt;0,RANK(J261,(J$250:J$268)),0)</f>
        <v>2</v>
      </c>
      <c r="L261" s="167">
        <f>'Averages Pivot Table'!W$293</f>
        <v>64209.316218832966</v>
      </c>
      <c r="M261" s="138">
        <f t="shared" ref="M261" si="479">IF(L261&gt;0,RANK(L261,(L$250:L$268)),0)</f>
        <v>2</v>
      </c>
      <c r="N261" s="167"/>
      <c r="O261" s="186"/>
      <c r="Q261" s="109"/>
      <c r="R261" s="109"/>
      <c r="S261" s="109"/>
    </row>
    <row r="262" spans="1:19" x14ac:dyDescent="0.25">
      <c r="A262" s="136" t="s">
        <v>205</v>
      </c>
      <c r="B262" s="167">
        <f>'Averages Pivot Table'!W$298</f>
        <v>72007.573013537403</v>
      </c>
      <c r="C262" s="138">
        <f t="shared" si="443"/>
        <v>8</v>
      </c>
      <c r="D262" s="167">
        <f>'Averages Pivot Table'!W$302</f>
        <v>60573.246476150067</v>
      </c>
      <c r="E262" s="138">
        <f t="shared" si="443"/>
        <v>8</v>
      </c>
      <c r="F262" s="167">
        <f>'Averages Pivot Table'!W$306</f>
        <v>51168.562413095846</v>
      </c>
      <c r="G262" s="138">
        <f t="shared" ref="G262" si="480">IF(F262&gt;0,RANK(F262,(F$250:F$268)),0)</f>
        <v>9</v>
      </c>
      <c r="H262" s="167">
        <f>'Averages Pivot Table'!W$310</f>
        <v>43670.736157279272</v>
      </c>
      <c r="I262" s="138">
        <f t="shared" ref="I262" si="481">IF(H262&gt;0,RANK(H262,(H$250:H$268)),0)</f>
        <v>7</v>
      </c>
      <c r="J262" s="167">
        <f>'Averages Pivot Table'!W$314</f>
        <v>0</v>
      </c>
      <c r="K262" s="138">
        <f t="shared" ref="K262" si="482">IF(J262&gt;0,RANK(J262,(J$250:J$268)),0)</f>
        <v>0</v>
      </c>
      <c r="L262" s="167">
        <f>'Averages Pivot Table'!W$322</f>
        <v>54581.887588950973</v>
      </c>
      <c r="M262" s="138">
        <f t="shared" ref="M262" si="483">IF(L262&gt;0,RANK(L262,(L$250:L$268)),0)</f>
        <v>9</v>
      </c>
      <c r="N262" s="167"/>
      <c r="O262" s="186"/>
      <c r="Q262" s="109"/>
      <c r="R262" s="109"/>
      <c r="S262" s="109"/>
    </row>
    <row r="263" spans="1:19" x14ac:dyDescent="0.25">
      <c r="A263" s="136" t="s">
        <v>206</v>
      </c>
      <c r="B263" s="167">
        <f>'Averages Pivot Table'!W$327</f>
        <v>80279.653195703126</v>
      </c>
      <c r="C263" s="138">
        <f t="shared" si="443"/>
        <v>4</v>
      </c>
      <c r="D263" s="167">
        <f>'Averages Pivot Table'!W$331</f>
        <v>66619.442192406394</v>
      </c>
      <c r="E263" s="138">
        <f t="shared" si="443"/>
        <v>3</v>
      </c>
      <c r="F263" s="167">
        <f>'Averages Pivot Table'!W$335</f>
        <v>58089.93274429407</v>
      </c>
      <c r="G263" s="138">
        <f t="shared" ref="G263" si="484">IF(F263&gt;0,RANK(F263,(F$250:F$268)),0)</f>
        <v>4</v>
      </c>
      <c r="H263" s="167">
        <f>'Averages Pivot Table'!W$339</f>
        <v>47902.09573934837</v>
      </c>
      <c r="I263" s="138">
        <f t="shared" ref="I263" si="485">IF(H263&gt;0,RANK(H263,(H$250:H$268)),0)</f>
        <v>5</v>
      </c>
      <c r="J263" s="167">
        <f>'Averages Pivot Table'!W$343</f>
        <v>42785.731182795702</v>
      </c>
      <c r="K263" s="138">
        <f t="shared" ref="K263" si="486">IF(J263&gt;0,RANK(J263,(J$250:J$268)),0)</f>
        <v>6</v>
      </c>
      <c r="L263" s="167">
        <f>'Averages Pivot Table'!W$351</f>
        <v>62603.945264510396</v>
      </c>
      <c r="M263" s="138">
        <f t="shared" ref="M263" si="487">IF(L263&gt;0,RANK(L263,(L$250:L$268)),0)</f>
        <v>3</v>
      </c>
      <c r="N263" s="167"/>
      <c r="O263" s="186"/>
      <c r="Q263" s="109"/>
      <c r="R263" s="109"/>
      <c r="S263" s="109"/>
    </row>
    <row r="264" spans="1:19" x14ac:dyDescent="0.25">
      <c r="A264" s="136"/>
      <c r="B264" s="167"/>
      <c r="C264" s="138"/>
      <c r="D264" s="167"/>
      <c r="E264" s="138"/>
      <c r="F264" s="167"/>
      <c r="G264" s="138"/>
      <c r="H264" s="167"/>
      <c r="I264" s="138"/>
      <c r="J264" s="167"/>
      <c r="K264" s="138"/>
      <c r="L264" s="167"/>
      <c r="M264" s="138"/>
      <c r="N264" s="167"/>
      <c r="O264" s="186"/>
      <c r="Q264" s="109"/>
      <c r="R264" s="109"/>
      <c r="S264" s="109"/>
    </row>
    <row r="265" spans="1:19" x14ac:dyDescent="0.25">
      <c r="A265" s="136" t="s">
        <v>207</v>
      </c>
      <c r="B265" s="137">
        <f>'Averages Pivot Table'!W$356</f>
        <v>59878.485849056604</v>
      </c>
      <c r="C265" s="138">
        <f t="shared" si="443"/>
        <v>10</v>
      </c>
      <c r="D265" s="137">
        <f>'Averages Pivot Table'!W$360</f>
        <v>68347.703125</v>
      </c>
      <c r="E265" s="138">
        <f t="shared" si="443"/>
        <v>1</v>
      </c>
      <c r="F265" s="137">
        <f>'Averages Pivot Table'!W$364</f>
        <v>53223.820512820515</v>
      </c>
      <c r="G265" s="138">
        <f t="shared" ref="G265" si="488">IF(F265&gt;0,RANK(F265,(F$250:F$268)),0)</f>
        <v>7</v>
      </c>
      <c r="H265" s="137">
        <f>'Averages Pivot Table'!W$368</f>
        <v>39641.588235294112</v>
      </c>
      <c r="I265" s="138">
        <f t="shared" ref="I265" si="489">IF(H265&gt;0,RANK(H265,(H$250:H$268)),0)</f>
        <v>8</v>
      </c>
      <c r="J265" s="137">
        <f>'Averages Pivot Table'!W$372</f>
        <v>42291.644628099173</v>
      </c>
      <c r="K265" s="138">
        <f t="shared" ref="K265" si="490">IF(J265&gt;0,RANK(J265,(J$250:J$268)),0)</f>
        <v>7</v>
      </c>
      <c r="L265" s="137">
        <f>'Averages Pivot Table'!W$380</f>
        <v>55988.558139109344</v>
      </c>
      <c r="M265" s="138">
        <f t="shared" ref="M265" si="491">IF(L265&gt;0,RANK(L265,(L$250:L$268)),0)</f>
        <v>7</v>
      </c>
      <c r="N265" s="167"/>
      <c r="O265" s="186"/>
      <c r="Q265" s="109"/>
      <c r="R265" s="109"/>
      <c r="S265" s="109"/>
    </row>
    <row r="266" spans="1:19" x14ac:dyDescent="0.25">
      <c r="A266" s="136" t="s">
        <v>208</v>
      </c>
      <c r="B266" s="137">
        <f>'Averages Pivot Table'!W$385</f>
        <v>86297.534482758609</v>
      </c>
      <c r="C266" s="138">
        <f t="shared" si="443"/>
        <v>1</v>
      </c>
      <c r="D266" s="137">
        <f>'Averages Pivot Table'!W$389</f>
        <v>66300.05438066466</v>
      </c>
      <c r="E266" s="138">
        <f t="shared" si="443"/>
        <v>4</v>
      </c>
      <c r="F266" s="137">
        <f>'Averages Pivot Table'!W$393</f>
        <v>59545.691358024691</v>
      </c>
      <c r="G266" s="138">
        <f t="shared" ref="G266" si="492">IF(F266&gt;0,RANK(F266,(F$250:F$268)),0)</f>
        <v>2</v>
      </c>
      <c r="H266" s="137">
        <f>'Averages Pivot Table'!W$397</f>
        <v>55000</v>
      </c>
      <c r="I266" s="138">
        <f t="shared" ref="I266" si="493">IF(H266&gt;0,RANK(H266,(H$250:H$268)),0)</f>
        <v>1</v>
      </c>
      <c r="J266" s="137">
        <f>'Averages Pivot Table'!W$401</f>
        <v>44161.857142857145</v>
      </c>
      <c r="K266" s="138">
        <f t="shared" ref="K266" si="494">IF(J266&gt;0,RANK(J266,(J$250:J$268)),0)</f>
        <v>5</v>
      </c>
      <c r="L266" s="137">
        <f>'Averages Pivot Table'!W$409</f>
        <v>62544.753924080367</v>
      </c>
      <c r="M266" s="138">
        <f t="shared" ref="M266" si="495">IF(L266&gt;0,RANK(L266,(L$250:L$268)),0)</f>
        <v>4</v>
      </c>
      <c r="N266" s="167"/>
      <c r="O266" s="186"/>
      <c r="Q266" s="109"/>
      <c r="R266" s="109"/>
      <c r="S266" s="109"/>
    </row>
    <row r="267" spans="1:19" x14ac:dyDescent="0.25">
      <c r="A267" s="136" t="s">
        <v>209</v>
      </c>
      <c r="B267" s="137">
        <f>'Averages Pivot Table'!W$414</f>
        <v>85769.396165289247</v>
      </c>
      <c r="C267" s="138">
        <f t="shared" si="443"/>
        <v>2</v>
      </c>
      <c r="D267" s="137">
        <f>'Averages Pivot Table'!W$418</f>
        <v>66153.978804957122</v>
      </c>
      <c r="E267" s="138">
        <f t="shared" si="443"/>
        <v>5</v>
      </c>
      <c r="F267" s="137">
        <f>'Averages Pivot Table'!W$422</f>
        <v>58348.762330354191</v>
      </c>
      <c r="G267" s="138">
        <f t="shared" ref="G267" si="496">IF(F267&gt;0,RANK(F267,(F$250:F$268)),0)</f>
        <v>3</v>
      </c>
      <c r="H267" s="137">
        <f>'Averages Pivot Table'!W$426</f>
        <v>50349.184210526313</v>
      </c>
      <c r="I267" s="138">
        <f t="shared" ref="I267" si="497">IF(H267&gt;0,RANK(H267,(H$250:H$268)),0)</f>
        <v>4</v>
      </c>
      <c r="J267" s="137">
        <f>'Averages Pivot Table'!W$430</f>
        <v>54424.541666666664</v>
      </c>
      <c r="K267" s="138">
        <f t="shared" ref="K267" si="498">IF(J267&gt;0,RANK(J267,(J$250:J$268)),0)</f>
        <v>1</v>
      </c>
      <c r="L267" s="137">
        <f>'Averages Pivot Table'!W$438</f>
        <v>66495.388184592055</v>
      </c>
      <c r="M267" s="138">
        <f t="shared" ref="M267" si="499">IF(L267&gt;0,RANK(L267,(L$250:L$268)),0)</f>
        <v>1</v>
      </c>
      <c r="N267" s="167"/>
      <c r="O267" s="167"/>
      <c r="Q267" s="109"/>
      <c r="R267" s="109"/>
      <c r="S267" s="109"/>
    </row>
    <row r="268" spans="1:19" x14ac:dyDescent="0.25">
      <c r="A268" s="161" t="s">
        <v>210</v>
      </c>
      <c r="B268" s="140">
        <f>'Averages Pivot Table'!W$443</f>
        <v>75149.305972525544</v>
      </c>
      <c r="C268" s="141">
        <f t="shared" si="443"/>
        <v>6</v>
      </c>
      <c r="D268" s="140">
        <f>'Averages Pivot Table'!W$447</f>
        <v>62662.307729854401</v>
      </c>
      <c r="E268" s="141">
        <f t="shared" si="443"/>
        <v>6</v>
      </c>
      <c r="F268" s="140">
        <f>'Averages Pivot Table'!W$451</f>
        <v>53138.717419790002</v>
      </c>
      <c r="G268" s="141">
        <f t="shared" ref="G268" si="500">IF(F268&gt;0,RANK(F268,(F$250:F$268)),0)</f>
        <v>8</v>
      </c>
      <c r="H268" s="140">
        <f>'Averages Pivot Table'!W$455</f>
        <v>36985.5703125</v>
      </c>
      <c r="I268" s="141">
        <f t="shared" ref="I268" si="501">IF(H268&gt;0,RANK(H268,(H$250:H$268)),0)</f>
        <v>9</v>
      </c>
      <c r="J268" s="140">
        <f>'Averages Pivot Table'!W$459</f>
        <v>47205.903827146307</v>
      </c>
      <c r="K268" s="141">
        <f t="shared" ref="K268" si="502">IF(J268&gt;0,RANK(J268,(J$250:J$268)),0)</f>
        <v>3</v>
      </c>
      <c r="L268" s="140">
        <f>'Averages Pivot Table'!W$467</f>
        <v>60667.717389983809</v>
      </c>
      <c r="M268" s="141">
        <f t="shared" ref="M268" si="503">IF(L268&gt;0,RANK(L268,(L$250:L$268)),0)</f>
        <v>5</v>
      </c>
      <c r="N268" s="167"/>
      <c r="O268" s="167"/>
      <c r="Q268" s="109"/>
      <c r="R268" s="109"/>
      <c r="S268" s="109"/>
    </row>
    <row r="269" spans="1:19" ht="24.75" customHeight="1" x14ac:dyDescent="0.25">
      <c r="A269" s="714" t="s">
        <v>1127</v>
      </c>
      <c r="B269" s="715"/>
      <c r="C269" s="715"/>
      <c r="D269" s="715"/>
      <c r="E269" s="715"/>
      <c r="F269" s="715"/>
      <c r="G269" s="715"/>
      <c r="H269" s="715"/>
      <c r="I269" s="715"/>
      <c r="J269" s="715"/>
      <c r="K269" s="715"/>
      <c r="L269" s="715"/>
      <c r="M269" s="715"/>
      <c r="N269" s="136"/>
      <c r="O269" s="136"/>
      <c r="Q269" s="109"/>
      <c r="R269" s="109"/>
      <c r="S269" s="109"/>
    </row>
    <row r="270" spans="1:19" x14ac:dyDescent="0.25">
      <c r="M270" s="102" t="s">
        <v>1124</v>
      </c>
      <c r="O270" s="193"/>
      <c r="Q270" s="109"/>
      <c r="R270" s="109"/>
      <c r="S270" s="109"/>
    </row>
    <row r="271" spans="1:19" ht="18" x14ac:dyDescent="0.25">
      <c r="A271" s="82" t="s">
        <v>232</v>
      </c>
      <c r="B271" s="82"/>
      <c r="C271" s="82"/>
      <c r="D271" s="82"/>
      <c r="E271" s="82"/>
      <c r="F271" s="82"/>
      <c r="G271" s="82"/>
      <c r="H271" s="82"/>
      <c r="I271" s="82"/>
      <c r="J271" s="82"/>
      <c r="K271" s="82"/>
      <c r="L271" s="82"/>
      <c r="M271" s="82"/>
      <c r="N271" s="179"/>
      <c r="O271" s="179"/>
      <c r="Q271" s="109"/>
      <c r="R271" s="109"/>
      <c r="S271" s="109"/>
    </row>
    <row r="272" spans="1:19" x14ac:dyDescent="0.25">
      <c r="A272" s="180"/>
      <c r="B272" s="87"/>
      <c r="C272" s="87"/>
      <c r="D272" s="87"/>
      <c r="E272" s="87"/>
      <c r="F272" s="87"/>
      <c r="G272" s="87"/>
      <c r="H272" s="87"/>
      <c r="I272" s="87"/>
      <c r="J272" s="87"/>
      <c r="K272" s="87"/>
      <c r="L272" s="87"/>
      <c r="M272" s="87"/>
      <c r="N272" s="87"/>
      <c r="O272" s="87"/>
      <c r="Q272" s="109"/>
      <c r="R272" s="109"/>
      <c r="S272" s="109"/>
    </row>
    <row r="273" spans="1:19" x14ac:dyDescent="0.25">
      <c r="A273" s="707" t="s">
        <v>218</v>
      </c>
      <c r="B273" s="707"/>
      <c r="C273" s="707"/>
      <c r="D273" s="707"/>
      <c r="E273" s="707"/>
      <c r="F273" s="707"/>
      <c r="G273" s="707"/>
      <c r="H273" s="707"/>
      <c r="I273" s="707"/>
      <c r="J273" s="707"/>
      <c r="K273" s="707"/>
      <c r="L273" s="707"/>
      <c r="M273" s="707"/>
      <c r="N273" s="181"/>
      <c r="O273" s="181"/>
    </row>
    <row r="274" spans="1:19" x14ac:dyDescent="0.25">
      <c r="A274" s="707" t="s">
        <v>280</v>
      </c>
      <c r="B274" s="707"/>
      <c r="C274" s="707"/>
      <c r="D274" s="707"/>
      <c r="E274" s="707"/>
      <c r="F274" s="707"/>
      <c r="G274" s="707"/>
      <c r="H274" s="707"/>
      <c r="I274" s="707"/>
      <c r="J274" s="707"/>
      <c r="K274" s="707"/>
      <c r="L274" s="707"/>
      <c r="M274" s="707"/>
      <c r="N274" s="181"/>
      <c r="O274" s="181"/>
    </row>
    <row r="275" spans="1:19" x14ac:dyDescent="0.25">
      <c r="A275" s="136"/>
      <c r="B275" s="136"/>
      <c r="C275" s="136"/>
      <c r="D275" s="136"/>
      <c r="E275" s="136"/>
      <c r="F275" s="136"/>
      <c r="G275" s="136"/>
      <c r="H275" s="136"/>
      <c r="I275" s="136"/>
      <c r="J275" s="136"/>
      <c r="K275" s="136"/>
      <c r="L275" s="136"/>
      <c r="M275" s="136"/>
      <c r="N275" s="136"/>
      <c r="O275" s="136"/>
    </row>
    <row r="276" spans="1:19" ht="36" customHeight="1" x14ac:dyDescent="0.25">
      <c r="A276" s="114"/>
      <c r="B276" s="182" t="s">
        <v>3</v>
      </c>
      <c r="C276" s="183"/>
      <c r="D276" s="184" t="s">
        <v>4</v>
      </c>
      <c r="E276" s="185"/>
      <c r="F276" s="184" t="s">
        <v>5</v>
      </c>
      <c r="G276" s="185"/>
      <c r="H276" s="182" t="s">
        <v>6</v>
      </c>
      <c r="I276" s="183"/>
      <c r="J276" s="184" t="s">
        <v>219</v>
      </c>
      <c r="K276" s="185"/>
      <c r="L276" s="183" t="s">
        <v>220</v>
      </c>
      <c r="M276" s="183"/>
      <c r="N276" s="186" t="s">
        <v>7</v>
      </c>
      <c r="O276" s="186"/>
    </row>
    <row r="277" spans="1:19" x14ac:dyDescent="0.25">
      <c r="A277" s="120"/>
      <c r="B277" s="116" t="s">
        <v>193</v>
      </c>
      <c r="C277" s="115" t="s">
        <v>170</v>
      </c>
      <c r="D277" s="116" t="s">
        <v>193</v>
      </c>
      <c r="E277" s="115" t="s">
        <v>170</v>
      </c>
      <c r="F277" s="116" t="s">
        <v>193</v>
      </c>
      <c r="G277" s="115" t="s">
        <v>170</v>
      </c>
      <c r="H277" s="116" t="s">
        <v>193</v>
      </c>
      <c r="I277" s="115" t="s">
        <v>170</v>
      </c>
      <c r="J277" s="116" t="s">
        <v>193</v>
      </c>
      <c r="K277" s="115" t="s">
        <v>170</v>
      </c>
      <c r="L277" s="116" t="s">
        <v>193</v>
      </c>
      <c r="M277" s="115" t="s">
        <v>170</v>
      </c>
      <c r="N277" s="186" t="s">
        <v>7</v>
      </c>
      <c r="O277" s="186"/>
    </row>
    <row r="278" spans="1:19" s="127" customFormat="1" ht="18" customHeight="1" x14ac:dyDescent="0.25">
      <c r="A278" s="124" t="s">
        <v>194</v>
      </c>
      <c r="B278" s="151">
        <f>'Averages Pivot Table'!X$471</f>
        <v>75834.446953341161</v>
      </c>
      <c r="C278" s="151"/>
      <c r="D278" s="151">
        <f>'Averages Pivot Table'!X$475</f>
        <v>61117.652536902046</v>
      </c>
      <c r="E278" s="151"/>
      <c r="F278" s="151">
        <f>'Averages Pivot Table'!X$479</f>
        <v>53657.470893885555</v>
      </c>
      <c r="G278" s="151"/>
      <c r="H278" s="151">
        <f>'Averages Pivot Table'!X$483</f>
        <v>44778.742759036009</v>
      </c>
      <c r="I278" s="151"/>
      <c r="J278" s="151">
        <f>'Averages Pivot Table'!X$487</f>
        <v>48479.697089908841</v>
      </c>
      <c r="K278" s="151"/>
      <c r="L278" s="151">
        <f>'Averages Pivot Table'!X$495</f>
        <v>57992.118919753768</v>
      </c>
      <c r="M278" s="187"/>
      <c r="N278" s="199"/>
      <c r="O278" s="199"/>
      <c r="Q278" s="129"/>
      <c r="R278" s="129"/>
      <c r="S278" s="129"/>
    </row>
    <row r="279" spans="1:19" ht="12.95" customHeight="1" x14ac:dyDescent="0.25">
      <c r="A279" s="136"/>
      <c r="B279" s="131"/>
      <c r="C279" s="155"/>
      <c r="D279" s="131"/>
      <c r="E279" s="155"/>
      <c r="F279" s="131"/>
      <c r="G279" s="155"/>
      <c r="H279" s="131"/>
      <c r="I279" s="155"/>
      <c r="J279" s="131"/>
      <c r="K279" s="155"/>
      <c r="L279" s="131"/>
      <c r="M279" s="155"/>
      <c r="N279" s="131"/>
      <c r="O279" s="132"/>
    </row>
    <row r="280" spans="1:19" ht="12.95" customHeight="1" x14ac:dyDescent="0.25">
      <c r="A280" s="136" t="s">
        <v>195</v>
      </c>
      <c r="B280" s="167">
        <f>'Averages Pivot Table'!X$8</f>
        <v>83220.523809523816</v>
      </c>
      <c r="C280" s="138">
        <f>IF(B280&gt;0,RANK(B280,(B$280:B$298)),0)</f>
        <v>4</v>
      </c>
      <c r="D280" s="167">
        <f>'Averages Pivot Table'!X$12</f>
        <v>71533.91860465116</v>
      </c>
      <c r="E280" s="138">
        <f>IF(D280&gt;0,RANK(D280,(D$280:D$298)),0)</f>
        <v>1</v>
      </c>
      <c r="F280" s="167">
        <f>'Averages Pivot Table'!X$16</f>
        <v>59409</v>
      </c>
      <c r="G280" s="138">
        <f>IF(F280&gt;0,RANK(F280,(F$280:F$298)),0)</f>
        <v>3</v>
      </c>
      <c r="H280" s="167">
        <f>'Averages Pivot Table'!X$20</f>
        <v>41604.818181818184</v>
      </c>
      <c r="I280" s="138">
        <f>IF(H280&gt;0,RANK(H280,(H$280:H$298)),0)</f>
        <v>10</v>
      </c>
      <c r="J280" s="167">
        <f>'Averages Pivot Table'!X$24</f>
        <v>0</v>
      </c>
      <c r="K280" s="138">
        <f>IF(J280&gt;0,RANK(J280,(J$280:J$298)),0)</f>
        <v>0</v>
      </c>
      <c r="L280" s="167">
        <f>'Averages Pivot Table'!X$32</f>
        <v>67796.111527918867</v>
      </c>
      <c r="M280" s="138">
        <f>IF(L280&gt;0,RANK(L280,(L$280:L$298)),0)</f>
        <v>4</v>
      </c>
      <c r="N280" s="167"/>
      <c r="O280" s="186"/>
    </row>
    <row r="281" spans="1:19" ht="12.95" customHeight="1" x14ac:dyDescent="0.25">
      <c r="A281" s="136" t="s">
        <v>196</v>
      </c>
      <c r="B281" s="167">
        <f>'Averages Pivot Table'!X$37</f>
        <v>70385.534722222219</v>
      </c>
      <c r="C281" s="138">
        <f t="shared" ref="C281:E298" si="504">IF(B281&gt;0,RANK(B281,(B$280:B$298)),0)</f>
        <v>9</v>
      </c>
      <c r="D281" s="167">
        <f>'Averages Pivot Table'!X$41</f>
        <v>64440.364033318212</v>
      </c>
      <c r="E281" s="138">
        <f t="shared" si="504"/>
        <v>5</v>
      </c>
      <c r="F281" s="167">
        <f>'Averages Pivot Table'!X$45</f>
        <v>53225.19987043013</v>
      </c>
      <c r="G281" s="138">
        <f t="shared" ref="G281" si="505">IF(F281&gt;0,RANK(F281,(F$280:F$298)),0)</f>
        <v>7</v>
      </c>
      <c r="H281" s="167">
        <f>'Averages Pivot Table'!X$49</f>
        <v>44191.733282144356</v>
      </c>
      <c r="I281" s="138">
        <f t="shared" ref="I281" si="506">IF(H281&gt;0,RANK(H281,(H$280:H$298)),0)</f>
        <v>5</v>
      </c>
      <c r="J281" s="167">
        <f>'Averages Pivot Table'!X$53</f>
        <v>41103.428571428572</v>
      </c>
      <c r="K281" s="138">
        <f t="shared" ref="K281" si="507">IF(J281&gt;0,RANK(J281,(J$280:J$298)),0)</f>
        <v>5</v>
      </c>
      <c r="L281" s="167">
        <f>'Averages Pivot Table'!X$61</f>
        <v>54666.311245567464</v>
      </c>
      <c r="M281" s="138">
        <f t="shared" ref="M281" si="508">IF(L281&gt;0,RANK(L281,(L$280:L$298)),0)</f>
        <v>10</v>
      </c>
      <c r="N281" s="167"/>
      <c r="O281" s="186"/>
    </row>
    <row r="282" spans="1:19" ht="12.95" customHeight="1" x14ac:dyDescent="0.25">
      <c r="A282" s="136" t="s">
        <v>197</v>
      </c>
      <c r="B282" s="167">
        <f>'Averages Pivot Table'!X$66</f>
        <v>0</v>
      </c>
      <c r="C282" s="138">
        <f t="shared" si="504"/>
        <v>0</v>
      </c>
      <c r="D282" s="167">
        <f>'Averages Pivot Table'!X$70</f>
        <v>0</v>
      </c>
      <c r="E282" s="138">
        <f t="shared" si="504"/>
        <v>0</v>
      </c>
      <c r="F282" s="167">
        <f>'Averages Pivot Table'!X$74</f>
        <v>0</v>
      </c>
      <c r="G282" s="138">
        <f t="shared" ref="G282" si="509">IF(F282&gt;0,RANK(F282,(F$280:F$298)),0)</f>
        <v>0</v>
      </c>
      <c r="H282" s="167">
        <f>'Averages Pivot Table'!X$78</f>
        <v>0</v>
      </c>
      <c r="I282" s="138">
        <f t="shared" ref="I282" si="510">IF(H282&gt;0,RANK(H282,(H$280:H$298)),0)</f>
        <v>0</v>
      </c>
      <c r="J282" s="167">
        <f>'Averages Pivot Table'!X$82</f>
        <v>0</v>
      </c>
      <c r="K282" s="138">
        <f t="shared" ref="K282" si="511">IF(J282&gt;0,RANK(J282,(J$280:J$298)),0)</f>
        <v>0</v>
      </c>
      <c r="L282" s="167">
        <f>'Averages Pivot Table'!X$90</f>
        <v>0</v>
      </c>
      <c r="M282" s="138">
        <f t="shared" ref="M282" si="512">IF(L282&gt;0,RANK(L282,(L$280:L$298)),0)</f>
        <v>0</v>
      </c>
      <c r="N282" s="167"/>
      <c r="O282" s="186"/>
    </row>
    <row r="283" spans="1:19" ht="12.95" customHeight="1" x14ac:dyDescent="0.25">
      <c r="A283" s="136" t="s">
        <v>198</v>
      </c>
      <c r="B283" s="167">
        <f>'Averages Pivot Table'!X$95</f>
        <v>84568.413793103449</v>
      </c>
      <c r="C283" s="138">
        <f t="shared" si="504"/>
        <v>3</v>
      </c>
      <c r="D283" s="167">
        <f>'Averages Pivot Table'!X$99</f>
        <v>67189.5</v>
      </c>
      <c r="E283" s="138">
        <f t="shared" si="504"/>
        <v>4</v>
      </c>
      <c r="F283" s="167">
        <f>'Averages Pivot Table'!X$103</f>
        <v>54736.777777777774</v>
      </c>
      <c r="G283" s="138">
        <f t="shared" ref="G283" si="513">IF(F283&gt;0,RANK(F283,(F$280:F$298)),0)</f>
        <v>4</v>
      </c>
      <c r="H283" s="167">
        <f>'Averages Pivot Table'!X$107</f>
        <v>42396</v>
      </c>
      <c r="I283" s="138">
        <f t="shared" ref="I283" si="514">IF(H283&gt;0,RANK(H283,(H$280:H$298)),0)</f>
        <v>9</v>
      </c>
      <c r="J283" s="167">
        <f>'Averages Pivot Table'!X$111</f>
        <v>0</v>
      </c>
      <c r="K283" s="138">
        <f t="shared" ref="K283" si="515">IF(J283&gt;0,RANK(J283,(J$280:J$298)),0)</f>
        <v>0</v>
      </c>
      <c r="L283" s="167">
        <f>'Averages Pivot Table'!X$119</f>
        <v>70940.176470588238</v>
      </c>
      <c r="M283" s="138">
        <f t="shared" ref="M283" si="516">IF(L283&gt;0,RANK(L283,(L$280:L$298)),0)</f>
        <v>2</v>
      </c>
      <c r="N283" s="167"/>
      <c r="O283" s="186"/>
    </row>
    <row r="284" spans="1:19" ht="12.95" customHeight="1" x14ac:dyDescent="0.25">
      <c r="A284" s="136"/>
      <c r="B284" s="167"/>
      <c r="C284" s="138"/>
      <c r="D284" s="167"/>
      <c r="E284" s="138"/>
      <c r="F284" s="167"/>
      <c r="G284" s="138"/>
      <c r="H284" s="167"/>
      <c r="I284" s="138"/>
      <c r="J284" s="167"/>
      <c r="K284" s="138"/>
      <c r="L284" s="167"/>
      <c r="M284" s="138"/>
      <c r="N284" s="167"/>
      <c r="O284" s="186"/>
    </row>
    <row r="285" spans="1:19" ht="12.95" customHeight="1" x14ac:dyDescent="0.25">
      <c r="A285" s="136" t="s">
        <v>199</v>
      </c>
      <c r="B285" s="167">
        <f>'Averages Pivot Table'!X$124</f>
        <v>91431.75</v>
      </c>
      <c r="C285" s="138">
        <f t="shared" si="504"/>
        <v>2</v>
      </c>
      <c r="D285" s="167">
        <f>'Averages Pivot Table'!X$128</f>
        <v>63489.752345799192</v>
      </c>
      <c r="E285" s="138">
        <f t="shared" si="504"/>
        <v>6</v>
      </c>
      <c r="F285" s="167">
        <f>'Averages Pivot Table'!X$132</f>
        <v>54075.67887779876</v>
      </c>
      <c r="G285" s="138">
        <f t="shared" ref="G285" si="517">IF(F285&gt;0,RANK(F285,(F$280:F$298)),0)</f>
        <v>6</v>
      </c>
      <c r="H285" s="167">
        <f>'Averages Pivot Table'!X$136</f>
        <v>44127.25</v>
      </c>
      <c r="I285" s="138">
        <f t="shared" ref="I285" si="518">IF(H285&gt;0,RANK(H285,(H$280:H$298)),0)</f>
        <v>6</v>
      </c>
      <c r="J285" s="167">
        <f>'Averages Pivot Table'!X$140</f>
        <v>44718.68421052632</v>
      </c>
      <c r="K285" s="138">
        <f t="shared" ref="K285" si="519">IF(J285&gt;0,RANK(J285,(J$280:J$298)),0)</f>
        <v>4</v>
      </c>
      <c r="L285" s="167">
        <f>'Averages Pivot Table'!X$148</f>
        <v>58253.267523916751</v>
      </c>
      <c r="M285" s="138">
        <f t="shared" ref="M285" si="520">IF(L285&gt;0,RANK(L285,(L$280:L$298)),0)</f>
        <v>7</v>
      </c>
      <c r="N285" s="167"/>
      <c r="O285" s="186"/>
    </row>
    <row r="286" spans="1:19" ht="12.95" customHeight="1" x14ac:dyDescent="0.25">
      <c r="A286" s="136" t="s">
        <v>200</v>
      </c>
      <c r="B286" s="167">
        <f>'Averages Pivot Table'!X$153</f>
        <v>0</v>
      </c>
      <c r="C286" s="138">
        <f t="shared" si="504"/>
        <v>0</v>
      </c>
      <c r="D286" s="167">
        <f>'Averages Pivot Table'!X$157</f>
        <v>0</v>
      </c>
      <c r="E286" s="138">
        <f t="shared" si="504"/>
        <v>0</v>
      </c>
      <c r="F286" s="167">
        <f>'Averages Pivot Table'!X$161</f>
        <v>0</v>
      </c>
      <c r="G286" s="138">
        <f t="shared" ref="G286" si="521">IF(F286&gt;0,RANK(F286,(F$280:F$298)),0)</f>
        <v>0</v>
      </c>
      <c r="H286" s="167">
        <f>'Averages Pivot Table'!X$165</f>
        <v>0</v>
      </c>
      <c r="I286" s="138">
        <f t="shared" ref="I286" si="522">IF(H286&gt;0,RANK(H286,(H$280:H$298)),0)</f>
        <v>0</v>
      </c>
      <c r="J286" s="167">
        <f>'Averages Pivot Table'!X$169</f>
        <v>0</v>
      </c>
      <c r="K286" s="138">
        <f t="shared" ref="K286" si="523">IF(J286&gt;0,RANK(J286,(J$280:J$298)),0)</f>
        <v>0</v>
      </c>
      <c r="L286" s="167">
        <f>'Averages Pivot Table'!X$177</f>
        <v>0</v>
      </c>
      <c r="M286" s="138">
        <f t="shared" ref="M286" si="524">IF(L286&gt;0,RANK(L286,(L$280:L$298)),0)</f>
        <v>0</v>
      </c>
      <c r="N286" s="167"/>
      <c r="O286" s="186"/>
    </row>
    <row r="287" spans="1:19" ht="12.95" customHeight="1" x14ac:dyDescent="0.25">
      <c r="A287" s="136" t="s">
        <v>201</v>
      </c>
      <c r="B287" s="167">
        <f>'Averages Pivot Table'!X$182</f>
        <v>60780.735849056604</v>
      </c>
      <c r="C287" s="138">
        <f t="shared" si="504"/>
        <v>12</v>
      </c>
      <c r="D287" s="167">
        <f>'Averages Pivot Table'!X$186</f>
        <v>47176.336633663363</v>
      </c>
      <c r="E287" s="138">
        <f t="shared" si="504"/>
        <v>12</v>
      </c>
      <c r="F287" s="167">
        <f>'Averages Pivot Table'!X$190</f>
        <v>44336.92682926829</v>
      </c>
      <c r="G287" s="138">
        <f t="shared" ref="G287" si="525">IF(F287&gt;0,RANK(F287,(F$280:F$298)),0)</f>
        <v>11</v>
      </c>
      <c r="H287" s="167">
        <f>'Averages Pivot Table'!X$194</f>
        <v>42931</v>
      </c>
      <c r="I287" s="138">
        <f t="shared" ref="I287" si="526">IF(H287&gt;0,RANK(H287,(H$280:H$298)),0)</f>
        <v>7</v>
      </c>
      <c r="J287" s="167">
        <f>'Averages Pivot Table'!X$198</f>
        <v>0</v>
      </c>
      <c r="K287" s="138">
        <f t="shared" ref="K287" si="527">IF(J287&gt;0,RANK(J287,(J$280:J$298)),0)</f>
        <v>0</v>
      </c>
      <c r="L287" s="167">
        <f>'Averages Pivot Table'!X$206</f>
        <v>48272.936863399736</v>
      </c>
      <c r="M287" s="138">
        <f t="shared" ref="M287" si="528">IF(L287&gt;0,RANK(L287,(L$280:L$298)),0)</f>
        <v>12</v>
      </c>
      <c r="N287" s="167"/>
      <c r="O287" s="186"/>
    </row>
    <row r="288" spans="1:19" ht="12.95" customHeight="1" x14ac:dyDescent="0.25">
      <c r="A288" s="136" t="s">
        <v>202</v>
      </c>
      <c r="B288" s="167">
        <f>'Averages Pivot Table'!X$211</f>
        <v>72271.410714285725</v>
      </c>
      <c r="C288" s="138">
        <f t="shared" si="504"/>
        <v>8</v>
      </c>
      <c r="D288" s="167">
        <f>'Averages Pivot Table'!X$215</f>
        <v>56375.01760563381</v>
      </c>
      <c r="E288" s="138">
        <f t="shared" si="504"/>
        <v>10</v>
      </c>
      <c r="F288" s="167">
        <f>'Averages Pivot Table'!X$219</f>
        <v>50717.882956878842</v>
      </c>
      <c r="G288" s="138">
        <f t="shared" ref="G288" si="529">IF(F288&gt;0,RANK(F288,(F$280:F$298)),0)</f>
        <v>10</v>
      </c>
      <c r="H288" s="167">
        <f>'Averages Pivot Table'!X$223</f>
        <v>40500</v>
      </c>
      <c r="I288" s="138">
        <f t="shared" ref="I288" si="530">IF(H288&gt;0,RANK(H288,(H$280:H$298)),0)</f>
        <v>11</v>
      </c>
      <c r="J288" s="167">
        <f>'Averages Pivot Table'!X$227</f>
        <v>36000</v>
      </c>
      <c r="K288" s="138">
        <f t="shared" ref="K288" si="531">IF(J288&gt;0,RANK(J288,(J$280:J$298)),0)</f>
        <v>7</v>
      </c>
      <c r="L288" s="167">
        <f>'Averages Pivot Table'!X$235</f>
        <v>58774.34269375322</v>
      </c>
      <c r="M288" s="138">
        <f t="shared" ref="M288" si="532">IF(L288&gt;0,RANK(L288,(L$280:L$298)),0)</f>
        <v>5</v>
      </c>
      <c r="N288" s="167"/>
      <c r="O288" s="186"/>
    </row>
    <row r="289" spans="1:19" x14ac:dyDescent="0.25">
      <c r="A289" s="136"/>
      <c r="B289" s="167"/>
      <c r="C289" s="138"/>
      <c r="D289" s="167"/>
      <c r="E289" s="138"/>
      <c r="F289" s="167"/>
      <c r="G289" s="138"/>
      <c r="H289" s="167"/>
      <c r="I289" s="138"/>
      <c r="J289" s="167"/>
      <c r="K289" s="138"/>
      <c r="L289" s="167"/>
      <c r="M289" s="138"/>
      <c r="N289" s="167"/>
      <c r="O289" s="186"/>
      <c r="Q289" s="109"/>
      <c r="R289" s="109"/>
      <c r="S289" s="109"/>
    </row>
    <row r="290" spans="1:19" x14ac:dyDescent="0.25">
      <c r="A290" s="136" t="s">
        <v>203</v>
      </c>
      <c r="B290" s="167">
        <f>'Averages Pivot Table'!X$240</f>
        <v>0</v>
      </c>
      <c r="C290" s="138">
        <f t="shared" si="504"/>
        <v>0</v>
      </c>
      <c r="D290" s="167">
        <f>'Averages Pivot Table'!X$244</f>
        <v>0</v>
      </c>
      <c r="E290" s="138">
        <f t="shared" si="504"/>
        <v>0</v>
      </c>
      <c r="F290" s="167">
        <f>'Averages Pivot Table'!X$248</f>
        <v>0</v>
      </c>
      <c r="G290" s="138">
        <f t="shared" ref="G290" si="533">IF(F290&gt;0,RANK(F290,(F$280:F$298)),0)</f>
        <v>0</v>
      </c>
      <c r="H290" s="167">
        <f>'Averages Pivot Table'!X$252</f>
        <v>0</v>
      </c>
      <c r="I290" s="138">
        <f t="shared" ref="I290" si="534">IF(H290&gt;0,RANK(H290,(H$280:H$298)),0)</f>
        <v>0</v>
      </c>
      <c r="J290" s="167">
        <f>'Averages Pivot Table'!X$256</f>
        <v>0</v>
      </c>
      <c r="K290" s="138">
        <f t="shared" ref="K290" si="535">IF(J290&gt;0,RANK(J290,(J$280:J$298)),0)</f>
        <v>0</v>
      </c>
      <c r="L290" s="167">
        <f>'Averages Pivot Table'!X$264</f>
        <v>0</v>
      </c>
      <c r="M290" s="138">
        <f t="shared" ref="M290" si="536">IF(L290&gt;0,RANK(L290,(L$280:L$298)),0)</f>
        <v>0</v>
      </c>
      <c r="N290" s="167"/>
      <c r="O290" s="186"/>
      <c r="Q290" s="109"/>
      <c r="R290" s="109"/>
      <c r="S290" s="109"/>
    </row>
    <row r="291" spans="1:19" x14ac:dyDescent="0.25">
      <c r="A291" s="136" t="s">
        <v>204</v>
      </c>
      <c r="B291" s="167">
        <f>'Averages Pivot Table'!X$269</f>
        <v>82179.463202153114</v>
      </c>
      <c r="C291" s="138">
        <f t="shared" si="504"/>
        <v>5</v>
      </c>
      <c r="D291" s="167">
        <f>'Averages Pivot Table'!X$273</f>
        <v>68316.784313725497</v>
      </c>
      <c r="E291" s="138">
        <f t="shared" si="504"/>
        <v>3</v>
      </c>
      <c r="F291" s="167">
        <f>'Averages Pivot Table'!X$277</f>
        <v>64359.342465753427</v>
      </c>
      <c r="G291" s="138">
        <f t="shared" ref="G291" si="537">IF(F291&gt;0,RANK(F291,(F$280:F$298)),0)</f>
        <v>2</v>
      </c>
      <c r="H291" s="167">
        <f>'Averages Pivot Table'!X$281</f>
        <v>50000</v>
      </c>
      <c r="I291" s="138">
        <f t="shared" ref="I291" si="538">IF(H291&gt;0,RANK(H291,(H$280:H$298)),0)</f>
        <v>2</v>
      </c>
      <c r="J291" s="167">
        <f>'Averages Pivot Table'!X$285</f>
        <v>52531.087865463924</v>
      </c>
      <c r="K291" s="138">
        <f t="shared" ref="K291" si="539">IF(J291&gt;0,RANK(J291,(J$280:J$298)),0)</f>
        <v>1</v>
      </c>
      <c r="L291" s="167">
        <f>'Averages Pivot Table'!X$293</f>
        <v>68193.366069600976</v>
      </c>
      <c r="M291" s="138">
        <f t="shared" ref="M291" si="540">IF(L291&gt;0,RANK(L291,(L$280:L$298)),0)</f>
        <v>3</v>
      </c>
      <c r="N291" s="167"/>
      <c r="O291" s="186"/>
      <c r="Q291" s="109"/>
      <c r="R291" s="109"/>
      <c r="S291" s="109"/>
    </row>
    <row r="292" spans="1:19" x14ac:dyDescent="0.25">
      <c r="A292" s="136" t="s">
        <v>205</v>
      </c>
      <c r="B292" s="167">
        <f>'Averages Pivot Table'!X$298</f>
        <v>62820.547882376552</v>
      </c>
      <c r="C292" s="138">
        <f t="shared" si="504"/>
        <v>11</v>
      </c>
      <c r="D292" s="167">
        <f>'Averages Pivot Table'!X$302</f>
        <v>51427.081629987202</v>
      </c>
      <c r="E292" s="138">
        <f t="shared" si="504"/>
        <v>11</v>
      </c>
      <c r="F292" s="167">
        <f>'Averages Pivot Table'!X$306</f>
        <v>44050.449773222063</v>
      </c>
      <c r="G292" s="138">
        <f t="shared" ref="G292" si="541">IF(F292&gt;0,RANK(F292,(F$280:F$298)),0)</f>
        <v>12</v>
      </c>
      <c r="H292" s="167">
        <f>'Averages Pivot Table'!X$310</f>
        <v>39660.832279411763</v>
      </c>
      <c r="I292" s="138">
        <f t="shared" ref="I292" si="542">IF(H292&gt;0,RANK(H292,(H$280:H$298)),0)</f>
        <v>12</v>
      </c>
      <c r="J292" s="167">
        <f>'Averages Pivot Table'!X$314</f>
        <v>0</v>
      </c>
      <c r="K292" s="138">
        <f t="shared" ref="K292" si="543">IF(J292&gt;0,RANK(J292,(J$280:J$298)),0)</f>
        <v>0</v>
      </c>
      <c r="L292" s="167">
        <f>'Averages Pivot Table'!X$322</f>
        <v>48434.632573595256</v>
      </c>
      <c r="M292" s="138">
        <f t="shared" ref="M292" si="544">IF(L292&gt;0,RANK(L292,(L$280:L$298)),0)</f>
        <v>11</v>
      </c>
      <c r="N292" s="167"/>
      <c r="O292" s="186"/>
      <c r="Q292" s="109"/>
      <c r="R292" s="109"/>
      <c r="S292" s="109"/>
    </row>
    <row r="293" spans="1:19" x14ac:dyDescent="0.25">
      <c r="A293" s="136" t="s">
        <v>206</v>
      </c>
      <c r="B293" s="167">
        <f>'Averages Pivot Table'!X$327</f>
        <v>75226.691176063265</v>
      </c>
      <c r="C293" s="138">
        <f t="shared" si="504"/>
        <v>6</v>
      </c>
      <c r="D293" s="167">
        <f>'Averages Pivot Table'!X$331</f>
        <v>58396.346498410734</v>
      </c>
      <c r="E293" s="138">
        <f t="shared" si="504"/>
        <v>9</v>
      </c>
      <c r="F293" s="167">
        <f>'Averages Pivot Table'!X$335</f>
        <v>53105.828373805656</v>
      </c>
      <c r="G293" s="138">
        <f t="shared" ref="G293" si="545">IF(F293&gt;0,RANK(F293,(F$280:F$298)),0)</f>
        <v>8</v>
      </c>
      <c r="H293" s="167">
        <f>'Averages Pivot Table'!X$339</f>
        <v>45464.212988792387</v>
      </c>
      <c r="I293" s="138">
        <f t="shared" ref="I293" si="546">IF(H293&gt;0,RANK(H293,(H$280:H$298)),0)</f>
        <v>3</v>
      </c>
      <c r="J293" s="167">
        <f>'Averages Pivot Table'!X$343</f>
        <v>38738</v>
      </c>
      <c r="K293" s="138">
        <f t="shared" ref="K293" si="547">IF(J293&gt;0,RANK(J293,(J$280:J$298)),0)</f>
        <v>6</v>
      </c>
      <c r="L293" s="167">
        <f>'Averages Pivot Table'!X$351</f>
        <v>54720.885198312099</v>
      </c>
      <c r="M293" s="138">
        <f t="shared" ref="M293" si="548">IF(L293&gt;0,RANK(L293,(L$280:L$298)),0)</f>
        <v>9</v>
      </c>
      <c r="N293" s="167"/>
      <c r="O293" s="186"/>
      <c r="Q293" s="109"/>
      <c r="R293" s="109"/>
      <c r="S293" s="109"/>
    </row>
    <row r="294" spans="1:19" x14ac:dyDescent="0.25">
      <c r="A294" s="136"/>
      <c r="B294" s="167"/>
      <c r="C294" s="138"/>
      <c r="D294" s="167"/>
      <c r="E294" s="138"/>
      <c r="F294" s="167"/>
      <c r="G294" s="138"/>
      <c r="H294" s="167"/>
      <c r="I294" s="138"/>
      <c r="J294" s="167"/>
      <c r="K294" s="138"/>
      <c r="L294" s="167"/>
      <c r="M294" s="138"/>
      <c r="N294" s="167"/>
      <c r="O294" s="186"/>
      <c r="Q294" s="109"/>
      <c r="R294" s="109"/>
      <c r="S294" s="109"/>
    </row>
    <row r="295" spans="1:19" x14ac:dyDescent="0.25">
      <c r="A295" s="136" t="s">
        <v>207</v>
      </c>
      <c r="B295" s="137">
        <f>'Averages Pivot Table'!X$356</f>
        <v>0</v>
      </c>
      <c r="C295" s="138">
        <f t="shared" si="504"/>
        <v>0</v>
      </c>
      <c r="D295" s="137">
        <f>'Averages Pivot Table'!X$360</f>
        <v>0</v>
      </c>
      <c r="E295" s="138">
        <f t="shared" si="504"/>
        <v>0</v>
      </c>
      <c r="F295" s="137">
        <f>'Averages Pivot Table'!X$364</f>
        <v>0</v>
      </c>
      <c r="G295" s="138">
        <f t="shared" ref="G295" si="549">IF(F295&gt;0,RANK(F295,(F$280:F$298)),0)</f>
        <v>0</v>
      </c>
      <c r="H295" s="137">
        <f>'Averages Pivot Table'!X$368</f>
        <v>0</v>
      </c>
      <c r="I295" s="138">
        <f t="shared" ref="I295" si="550">IF(H295&gt;0,RANK(H295,(H$280:H$298)),0)</f>
        <v>0</v>
      </c>
      <c r="J295" s="137">
        <f>'Averages Pivot Table'!X$372</f>
        <v>0</v>
      </c>
      <c r="K295" s="138">
        <f t="shared" ref="K295" si="551">IF(J295&gt;0,RANK(J295,(J$280:J$298)),0)</f>
        <v>0</v>
      </c>
      <c r="L295" s="137">
        <f>'Averages Pivot Table'!X$380</f>
        <v>0</v>
      </c>
      <c r="M295" s="138">
        <f t="shared" ref="M295" si="552">IF(L295&gt;0,RANK(L295,(L$280:L$298)),0)</f>
        <v>0</v>
      </c>
      <c r="N295" s="167"/>
      <c r="O295" s="186"/>
      <c r="Q295" s="109"/>
      <c r="R295" s="109"/>
      <c r="S295" s="109"/>
    </row>
    <row r="296" spans="1:19" x14ac:dyDescent="0.25">
      <c r="A296" s="136" t="s">
        <v>208</v>
      </c>
      <c r="B296" s="137">
        <f>'Averages Pivot Table'!X$385</f>
        <v>105892.10958904109</v>
      </c>
      <c r="C296" s="138">
        <f t="shared" si="504"/>
        <v>1</v>
      </c>
      <c r="D296" s="137">
        <f>'Averages Pivot Table'!X$389</f>
        <v>70662.391304347824</v>
      </c>
      <c r="E296" s="138">
        <f t="shared" si="504"/>
        <v>2</v>
      </c>
      <c r="F296" s="137">
        <f>'Averages Pivot Table'!X$393</f>
        <v>67370.117647058825</v>
      </c>
      <c r="G296" s="138">
        <f t="shared" ref="G296" si="553">IF(F296&gt;0,RANK(F296,(F$280:F$298)),0)</f>
        <v>1</v>
      </c>
      <c r="H296" s="137">
        <f>'Averages Pivot Table'!X$397</f>
        <v>58630.701923076922</v>
      </c>
      <c r="I296" s="138">
        <f t="shared" ref="I296" si="554">IF(H296&gt;0,RANK(H296,(H$280:H$298)),0)</f>
        <v>1</v>
      </c>
      <c r="J296" s="137">
        <f>'Averages Pivot Table'!X$401</f>
        <v>47442.767441860466</v>
      </c>
      <c r="K296" s="138">
        <f t="shared" ref="K296" si="555">IF(J296&gt;0,RANK(J296,(J$280:J$298)),0)</f>
        <v>2</v>
      </c>
      <c r="L296" s="137">
        <f>'Averages Pivot Table'!X$409</f>
        <v>71465.193196694265</v>
      </c>
      <c r="M296" s="138">
        <f t="shared" ref="M296" si="556">IF(L296&gt;0,RANK(L296,(L$280:L$298)),0)</f>
        <v>1</v>
      </c>
      <c r="N296" s="167"/>
      <c r="O296" s="186"/>
      <c r="Q296" s="109"/>
      <c r="R296" s="109"/>
      <c r="S296" s="109"/>
    </row>
    <row r="297" spans="1:19" x14ac:dyDescent="0.25">
      <c r="A297" s="136" t="s">
        <v>209</v>
      </c>
      <c r="B297" s="137">
        <f>'Averages Pivot Table'!X$414</f>
        <v>73579.76470588235</v>
      </c>
      <c r="C297" s="138">
        <f t="shared" si="504"/>
        <v>7</v>
      </c>
      <c r="D297" s="137">
        <f>'Averages Pivot Table'!X$418</f>
        <v>60973.917525773199</v>
      </c>
      <c r="E297" s="138">
        <f t="shared" si="504"/>
        <v>7</v>
      </c>
      <c r="F297" s="137">
        <f>'Averages Pivot Table'!X$422</f>
        <v>54384.090909090912</v>
      </c>
      <c r="G297" s="138">
        <f t="shared" ref="G297" si="557">IF(F297&gt;0,RANK(F297,(F$280:F$298)),0)</f>
        <v>5</v>
      </c>
      <c r="H297" s="137">
        <f>'Averages Pivot Table'!X$426</f>
        <v>44467.241379310348</v>
      </c>
      <c r="I297" s="138">
        <f t="shared" ref="I297" si="558">IF(H297&gt;0,RANK(H297,(H$280:H$298)),0)</f>
        <v>4</v>
      </c>
      <c r="J297" s="137">
        <f>'Averages Pivot Table'!X$430</f>
        <v>0</v>
      </c>
      <c r="K297" s="138">
        <f t="shared" ref="K297" si="559">IF(J297&gt;0,RANK(J297,(J$280:J$298)),0)</f>
        <v>0</v>
      </c>
      <c r="L297" s="137">
        <f>'Averages Pivot Table'!X$438</f>
        <v>58259.432744795988</v>
      </c>
      <c r="M297" s="138">
        <f t="shared" ref="M297" si="560">IF(L297&gt;0,RANK(L297,(L$280:L$298)),0)</f>
        <v>6</v>
      </c>
      <c r="N297" s="167"/>
      <c r="O297" s="167"/>
      <c r="Q297" s="109"/>
      <c r="R297" s="109"/>
      <c r="S297" s="109"/>
    </row>
    <row r="298" spans="1:19" x14ac:dyDescent="0.25">
      <c r="A298" s="161" t="s">
        <v>210</v>
      </c>
      <c r="B298" s="140">
        <f>'Averages Pivot Table'!X$443</f>
        <v>67848.805559441142</v>
      </c>
      <c r="C298" s="141">
        <f t="shared" si="504"/>
        <v>10</v>
      </c>
      <c r="D298" s="140">
        <f>'Averages Pivot Table'!X$447</f>
        <v>59074.979645044965</v>
      </c>
      <c r="E298" s="141">
        <f t="shared" si="504"/>
        <v>8</v>
      </c>
      <c r="F298" s="140">
        <f>'Averages Pivot Table'!X$451</f>
        <v>52516.450414441992</v>
      </c>
      <c r="G298" s="141">
        <f t="shared" ref="G298" si="561">IF(F298&gt;0,RANK(F298,(F$280:F$298)),0)</f>
        <v>9</v>
      </c>
      <c r="H298" s="140">
        <f>'Averages Pivot Table'!X$455</f>
        <v>42724.392227249504</v>
      </c>
      <c r="I298" s="141">
        <f t="shared" ref="I298" si="562">IF(H298&gt;0,RANK(H298,(H$280:H$298)),0)</f>
        <v>8</v>
      </c>
      <c r="J298" s="140">
        <f>'Averages Pivot Table'!X$459</f>
        <v>45723.601503759404</v>
      </c>
      <c r="K298" s="141">
        <f t="shared" ref="K298" si="563">IF(J298&gt;0,RANK(J298,(J$280:J$298)),0)</f>
        <v>3</v>
      </c>
      <c r="L298" s="140">
        <f>'Averages Pivot Table'!X$467</f>
        <v>56110.368435273871</v>
      </c>
      <c r="M298" s="141">
        <f t="shared" ref="M298" si="564">IF(L298&gt;0,RANK(L298,(L$280:L$298)),0)</f>
        <v>8</v>
      </c>
      <c r="N298" s="167"/>
      <c r="O298" s="167"/>
      <c r="Q298" s="109"/>
      <c r="R298" s="109"/>
      <c r="S298" s="109"/>
    </row>
    <row r="299" spans="1:19" ht="24.75" customHeight="1" x14ac:dyDescent="0.25">
      <c r="A299" s="714" t="s">
        <v>1127</v>
      </c>
      <c r="B299" s="715"/>
      <c r="C299" s="715"/>
      <c r="D299" s="715"/>
      <c r="E299" s="715"/>
      <c r="F299" s="715"/>
      <c r="G299" s="715"/>
      <c r="H299" s="715"/>
      <c r="I299" s="715"/>
      <c r="J299" s="715"/>
      <c r="K299" s="715"/>
      <c r="L299" s="715"/>
      <c r="M299" s="715"/>
      <c r="N299" s="136"/>
      <c r="O299" s="136"/>
      <c r="Q299" s="109"/>
      <c r="R299" s="109"/>
      <c r="S299" s="109"/>
    </row>
    <row r="300" spans="1:19" x14ac:dyDescent="0.25">
      <c r="M300" s="102" t="s">
        <v>1124</v>
      </c>
      <c r="O300" s="193"/>
      <c r="Q300" s="109"/>
      <c r="R300" s="109"/>
      <c r="S300" s="109"/>
    </row>
    <row r="301" spans="1:19" ht="18" x14ac:dyDescent="0.25">
      <c r="A301" s="82" t="s">
        <v>234</v>
      </c>
      <c r="B301" s="82"/>
      <c r="C301" s="82"/>
      <c r="D301" s="82"/>
      <c r="E301" s="82"/>
      <c r="F301" s="82"/>
      <c r="G301" s="82"/>
      <c r="H301" s="82"/>
      <c r="I301" s="82"/>
      <c r="J301" s="82"/>
      <c r="K301" s="82"/>
      <c r="L301" s="82"/>
      <c r="M301" s="82"/>
      <c r="N301" s="82"/>
      <c r="O301" s="82"/>
      <c r="Q301" s="109"/>
      <c r="R301" s="109"/>
      <c r="S301" s="109"/>
    </row>
    <row r="302" spans="1:19" x14ac:dyDescent="0.25">
      <c r="A302" s="180"/>
      <c r="B302" s="87"/>
      <c r="C302" s="87"/>
      <c r="D302" s="87"/>
      <c r="E302" s="87"/>
      <c r="F302" s="87"/>
      <c r="G302" s="87"/>
      <c r="H302" s="87"/>
      <c r="I302" s="87"/>
      <c r="J302" s="87"/>
      <c r="K302" s="87"/>
      <c r="L302" s="87"/>
      <c r="M302" s="87"/>
      <c r="N302" s="87"/>
      <c r="O302" s="87"/>
      <c r="Q302" s="109"/>
      <c r="R302" s="109"/>
      <c r="S302" s="109"/>
    </row>
    <row r="303" spans="1:19" x14ac:dyDescent="0.25">
      <c r="A303" s="707" t="s">
        <v>218</v>
      </c>
      <c r="B303" s="707"/>
      <c r="C303" s="707"/>
      <c r="D303" s="707"/>
      <c r="E303" s="707"/>
      <c r="F303" s="707"/>
      <c r="G303" s="707"/>
      <c r="H303" s="707"/>
      <c r="I303" s="707"/>
      <c r="J303" s="707"/>
      <c r="K303" s="707"/>
      <c r="L303" s="707"/>
      <c r="M303" s="707"/>
      <c r="N303" s="707"/>
      <c r="O303" s="707"/>
      <c r="Q303" s="109"/>
      <c r="R303" s="109"/>
      <c r="S303" s="109"/>
    </row>
    <row r="304" spans="1:19" x14ac:dyDescent="0.25">
      <c r="A304" s="707" t="s">
        <v>281</v>
      </c>
      <c r="B304" s="707"/>
      <c r="C304" s="707"/>
      <c r="D304" s="707"/>
      <c r="E304" s="707"/>
      <c r="F304" s="707"/>
      <c r="G304" s="707"/>
      <c r="H304" s="707"/>
      <c r="I304" s="707"/>
      <c r="J304" s="707"/>
      <c r="K304" s="707"/>
      <c r="L304" s="707"/>
      <c r="M304" s="707"/>
      <c r="N304" s="707"/>
      <c r="O304" s="707"/>
      <c r="Q304" s="109"/>
      <c r="R304" s="109"/>
      <c r="S304" s="109"/>
    </row>
    <row r="305" spans="1:19" x14ac:dyDescent="0.25">
      <c r="A305" s="136"/>
      <c r="B305" s="136"/>
      <c r="C305" s="136"/>
      <c r="D305" s="136"/>
      <c r="E305" s="136"/>
      <c r="F305" s="136"/>
      <c r="G305" s="136"/>
      <c r="H305" s="136"/>
      <c r="I305" s="136"/>
      <c r="J305" s="136"/>
      <c r="K305" s="136"/>
      <c r="L305" s="136"/>
      <c r="M305" s="136"/>
      <c r="N305" s="136"/>
      <c r="O305" s="136"/>
    </row>
    <row r="306" spans="1:19" ht="33" customHeight="1" x14ac:dyDescent="0.25">
      <c r="A306" s="114"/>
      <c r="B306" s="182" t="s">
        <v>3</v>
      </c>
      <c r="C306" s="183"/>
      <c r="D306" s="184" t="s">
        <v>4</v>
      </c>
      <c r="E306" s="185"/>
      <c r="F306" s="184" t="s">
        <v>5</v>
      </c>
      <c r="G306" s="185"/>
      <c r="H306" s="182" t="s">
        <v>6</v>
      </c>
      <c r="I306" s="183"/>
      <c r="J306" s="184" t="s">
        <v>219</v>
      </c>
      <c r="K306" s="185"/>
      <c r="L306" s="183" t="s">
        <v>23</v>
      </c>
      <c r="M306" s="183"/>
      <c r="N306" s="183" t="s">
        <v>220</v>
      </c>
      <c r="O306" s="183"/>
    </row>
    <row r="307" spans="1:19" x14ac:dyDescent="0.25">
      <c r="A307" s="120"/>
      <c r="B307" s="116" t="s">
        <v>193</v>
      </c>
      <c r="C307" s="115" t="s">
        <v>170</v>
      </c>
      <c r="D307" s="116" t="s">
        <v>193</v>
      </c>
      <c r="E307" s="115" t="s">
        <v>170</v>
      </c>
      <c r="F307" s="116" t="s">
        <v>193</v>
      </c>
      <c r="G307" s="115" t="s">
        <v>170</v>
      </c>
      <c r="H307" s="116" t="s">
        <v>193</v>
      </c>
      <c r="I307" s="115" t="s">
        <v>170</v>
      </c>
      <c r="J307" s="116" t="s">
        <v>193</v>
      </c>
      <c r="K307" s="115" t="s">
        <v>170</v>
      </c>
      <c r="L307" s="116" t="s">
        <v>193</v>
      </c>
      <c r="M307" s="115" t="s">
        <v>170</v>
      </c>
      <c r="N307" s="116" t="s">
        <v>193</v>
      </c>
      <c r="O307" s="115" t="s">
        <v>170</v>
      </c>
    </row>
    <row r="308" spans="1:19" s="127" customFormat="1" ht="18" customHeight="1" x14ac:dyDescent="0.25">
      <c r="A308" s="124" t="s">
        <v>194</v>
      </c>
      <c r="B308" s="151">
        <f>'Averages Pivot Table'!AE$471</f>
        <v>61682.788214439352</v>
      </c>
      <c r="C308" s="151"/>
      <c r="D308" s="151">
        <f>'Averages Pivot Table'!AE$475</f>
        <v>53933.445145508405</v>
      </c>
      <c r="E308" s="151"/>
      <c r="F308" s="151">
        <f>'Averages Pivot Table'!AE$479</f>
        <v>49336.964617500271</v>
      </c>
      <c r="G308" s="151"/>
      <c r="H308" s="151">
        <f>'Averages Pivot Table'!AE$483</f>
        <v>45464.473662657983</v>
      </c>
      <c r="I308" s="151"/>
      <c r="J308" s="151">
        <f>'Averages Pivot Table'!AE$487</f>
        <v>47610.641117655316</v>
      </c>
      <c r="K308" s="151"/>
      <c r="L308" s="151">
        <f>'Averages Pivot Table'!AE$491</f>
        <v>50992.219937961243</v>
      </c>
      <c r="M308" s="187"/>
      <c r="N308" s="151">
        <f>'Averages Pivot Table'!AE$495</f>
        <v>50893.399518102859</v>
      </c>
      <c r="O308" s="188"/>
      <c r="Q308" s="129"/>
      <c r="R308" s="129"/>
      <c r="S308" s="129"/>
    </row>
    <row r="309" spans="1:19" ht="12.95" customHeight="1" x14ac:dyDescent="0.25">
      <c r="A309" s="136"/>
      <c r="B309" s="131"/>
      <c r="C309" s="155"/>
      <c r="D309" s="131"/>
      <c r="E309" s="155"/>
      <c r="F309" s="131"/>
      <c r="G309" s="155"/>
      <c r="H309" s="131"/>
      <c r="I309" s="155"/>
      <c r="J309" s="131"/>
      <c r="K309" s="155"/>
      <c r="L309" s="131"/>
      <c r="M309" s="155"/>
      <c r="N309" s="131"/>
      <c r="O309" s="132"/>
    </row>
    <row r="310" spans="1:19" ht="12.95" customHeight="1" x14ac:dyDescent="0.25">
      <c r="A310" s="136" t="s">
        <v>195</v>
      </c>
      <c r="B310" s="167">
        <f>'Averages Pivot Table'!AE$8</f>
        <v>0</v>
      </c>
      <c r="C310" s="138">
        <f>IF(B310&gt;0,RANK(B310,(B$310:B$328)),0)</f>
        <v>0</v>
      </c>
      <c r="D310" s="167">
        <f>'Averages Pivot Table'!AE$12</f>
        <v>0</v>
      </c>
      <c r="E310" s="138">
        <f>IF(D310&gt;0,RANK(D310,(D$310:D$328)),0)</f>
        <v>0</v>
      </c>
      <c r="F310" s="167">
        <f>'Averages Pivot Table'!AE$16</f>
        <v>0</v>
      </c>
      <c r="G310" s="138">
        <f>IF(F310&gt;0,RANK(F310,(F$310:F$328)),0)</f>
        <v>0</v>
      </c>
      <c r="H310" s="167">
        <f>'Averages Pivot Table'!AE$20</f>
        <v>0</v>
      </c>
      <c r="I310" s="138">
        <f>IF(H310&gt;0,RANK(H310,(H$310:H$328)),0)</f>
        <v>0</v>
      </c>
      <c r="J310" s="167">
        <f>'Averages Pivot Table'!AE$24</f>
        <v>0</v>
      </c>
      <c r="K310" s="138">
        <f>IF(J310&gt;0,RANK(J310,(J$310:J$328)),0)</f>
        <v>0</v>
      </c>
      <c r="L310" s="167">
        <f>'Averages Pivot Table'!AE$28</f>
        <v>53890.58005049418</v>
      </c>
      <c r="M310" s="138">
        <f>IF(L310&gt;0,RANK(L310,(L$310:L$328)),0)</f>
        <v>4</v>
      </c>
      <c r="N310" s="167">
        <f>'Averages Pivot Table'!AE$32</f>
        <v>53890.58005049418</v>
      </c>
      <c r="O310" s="138">
        <f>IF(N310&gt;0,RANK(N310,(N$310:N$328)),0)</f>
        <v>5</v>
      </c>
    </row>
    <row r="311" spans="1:19" ht="12.95" customHeight="1" x14ac:dyDescent="0.25">
      <c r="A311" s="136" t="s">
        <v>196</v>
      </c>
      <c r="B311" s="167">
        <f>'Averages Pivot Table'!AE$37</f>
        <v>51112.331249999996</v>
      </c>
      <c r="C311" s="138">
        <f t="shared" ref="C311:E328" si="565">IF(B311&gt;0,RANK(B311,(B$310:B$328)),0)</f>
        <v>10</v>
      </c>
      <c r="D311" s="167">
        <f>'Averages Pivot Table'!AE$41</f>
        <v>55624.557743227648</v>
      </c>
      <c r="E311" s="138">
        <f t="shared" si="565"/>
        <v>4</v>
      </c>
      <c r="F311" s="167">
        <f>'Averages Pivot Table'!AE$45</f>
        <v>44490.138015221157</v>
      </c>
      <c r="G311" s="138">
        <f t="shared" ref="G311" si="566">IF(F311&gt;0,RANK(F311,(F$310:F$328)),0)</f>
        <v>8</v>
      </c>
      <c r="H311" s="167">
        <f>'Averages Pivot Table'!AE$49</f>
        <v>39883.560376128662</v>
      </c>
      <c r="I311" s="138">
        <f t="shared" ref="I311" si="567">IF(H311&gt;0,RANK(H311,(H$310:H$328)),0)</f>
        <v>7</v>
      </c>
      <c r="J311" s="167">
        <f>'Averages Pivot Table'!AE$53</f>
        <v>0</v>
      </c>
      <c r="K311" s="138">
        <f t="shared" ref="K311" si="568">IF(J311&gt;0,RANK(J311,(J$310:J$328)),0)</f>
        <v>0</v>
      </c>
      <c r="L311" s="167">
        <f>'Averages Pivot Table'!AE$57</f>
        <v>43817.690639527929</v>
      </c>
      <c r="M311" s="138">
        <f t="shared" ref="M311" si="569">IF(L311&gt;0,RANK(L311,(L$310:L$328)),0)</f>
        <v>7</v>
      </c>
      <c r="N311" s="167">
        <f>'Averages Pivot Table'!AE$61</f>
        <v>43546.377554553517</v>
      </c>
      <c r="O311" s="138">
        <f t="shared" ref="O311" si="570">IF(N311&gt;0,RANK(N311,(N$310:N$328)),0)</f>
        <v>16</v>
      </c>
    </row>
    <row r="312" spans="1:19" ht="12.95" customHeight="1" x14ac:dyDescent="0.25">
      <c r="A312" s="136" t="s">
        <v>197</v>
      </c>
      <c r="B312" s="167">
        <f>'Averages Pivot Table'!AE$66</f>
        <v>0</v>
      </c>
      <c r="C312" s="138">
        <f t="shared" si="565"/>
        <v>0</v>
      </c>
      <c r="D312" s="167">
        <f>'Averages Pivot Table'!AE$70</f>
        <v>0</v>
      </c>
      <c r="E312" s="138">
        <f t="shared" si="565"/>
        <v>0</v>
      </c>
      <c r="F312" s="167">
        <f>'Averages Pivot Table'!AE$74</f>
        <v>0</v>
      </c>
      <c r="G312" s="138">
        <f t="shared" ref="G312" si="571">IF(F312&gt;0,RANK(F312,(F$310:F$328)),0)</f>
        <v>0</v>
      </c>
      <c r="H312" s="167">
        <f>'Averages Pivot Table'!AE$78</f>
        <v>0</v>
      </c>
      <c r="I312" s="138">
        <f t="shared" ref="I312" si="572">IF(H312&gt;0,RANK(H312,(H$310:H$328)),0)</f>
        <v>0</v>
      </c>
      <c r="J312" s="167">
        <f>'Averages Pivot Table'!AE$82</f>
        <v>0</v>
      </c>
      <c r="K312" s="138">
        <f t="shared" ref="K312" si="573">IF(J312&gt;0,RANK(J312,(J$310:J$328)),0)</f>
        <v>0</v>
      </c>
      <c r="L312" s="167">
        <f>'Averages Pivot Table'!AE$86</f>
        <v>68958.386479777721</v>
      </c>
      <c r="M312" s="138">
        <f t="shared" ref="M312" si="574">IF(L312&gt;0,RANK(L312,(L$310:L$328)),0)</f>
        <v>1</v>
      </c>
      <c r="N312" s="167">
        <f>'Averages Pivot Table'!AE$90</f>
        <v>68958.386479777721</v>
      </c>
      <c r="O312" s="138">
        <f t="shared" ref="O312" si="575">IF(N312&gt;0,RANK(N312,(N$310:N$328)),0)</f>
        <v>1</v>
      </c>
    </row>
    <row r="313" spans="1:19" ht="12.95" customHeight="1" x14ac:dyDescent="0.25">
      <c r="A313" s="136" t="s">
        <v>198</v>
      </c>
      <c r="B313" s="167">
        <f>'Averages Pivot Table'!AE$95</f>
        <v>0</v>
      </c>
      <c r="C313" s="138">
        <f t="shared" si="565"/>
        <v>0</v>
      </c>
      <c r="D313" s="167">
        <f>'Averages Pivot Table'!AE$99</f>
        <v>0</v>
      </c>
      <c r="E313" s="138">
        <f t="shared" si="565"/>
        <v>0</v>
      </c>
      <c r="F313" s="167">
        <f>'Averages Pivot Table'!AE$103</f>
        <v>0</v>
      </c>
      <c r="G313" s="138">
        <f t="shared" ref="G313" si="576">IF(F313&gt;0,RANK(F313,(F$310:F$328)),0)</f>
        <v>0</v>
      </c>
      <c r="H313" s="167">
        <f>'Averages Pivot Table'!AE$107</f>
        <v>0</v>
      </c>
      <c r="I313" s="138">
        <f t="shared" ref="I313" si="577">IF(H313&gt;0,RANK(H313,(H$310:H$328)),0)</f>
        <v>0</v>
      </c>
      <c r="J313" s="167">
        <f>'Averages Pivot Table'!AE$111</f>
        <v>0</v>
      </c>
      <c r="K313" s="138">
        <f t="shared" ref="K313" si="578">IF(J313&gt;0,RANK(J313,(J$310:J$328)),0)</f>
        <v>0</v>
      </c>
      <c r="L313" s="167">
        <f>'Averages Pivot Table'!AE$115</f>
        <v>55270.779039301313</v>
      </c>
      <c r="M313" s="138">
        <f t="shared" ref="M313" si="579">IF(L313&gt;0,RANK(L313,(L$310:L$328)),0)</f>
        <v>3</v>
      </c>
      <c r="N313" s="167">
        <f>'Averages Pivot Table'!AE$119</f>
        <v>55270.779039301313</v>
      </c>
      <c r="O313" s="138">
        <f t="shared" ref="O313" si="580">IF(N313&gt;0,RANK(N313,(N$310:N$328)),0)</f>
        <v>4</v>
      </c>
    </row>
    <row r="314" spans="1:19" ht="12.95" customHeight="1" x14ac:dyDescent="0.25">
      <c r="A314" s="136"/>
      <c r="B314" s="167"/>
      <c r="C314" s="138"/>
      <c r="D314" s="167"/>
      <c r="E314" s="138"/>
      <c r="F314" s="167"/>
      <c r="G314" s="138"/>
      <c r="H314" s="167"/>
      <c r="I314" s="138"/>
      <c r="J314" s="167"/>
      <c r="K314" s="138"/>
      <c r="L314" s="167"/>
      <c r="M314" s="138"/>
      <c r="N314" s="167"/>
      <c r="O314" s="138"/>
    </row>
    <row r="315" spans="1:19" ht="12.95" customHeight="1" x14ac:dyDescent="0.25">
      <c r="A315" s="136" t="s">
        <v>199</v>
      </c>
      <c r="B315" s="167">
        <f>'Averages Pivot Table'!AE$124</f>
        <v>62942.764568764571</v>
      </c>
      <c r="C315" s="138">
        <f t="shared" si="565"/>
        <v>5</v>
      </c>
      <c r="D315" s="167">
        <f>'Averages Pivot Table'!AE$128</f>
        <v>52895.646098149497</v>
      </c>
      <c r="E315" s="138">
        <f t="shared" si="565"/>
        <v>7</v>
      </c>
      <c r="F315" s="167">
        <f>'Averages Pivot Table'!AE$132</f>
        <v>45298.610708787804</v>
      </c>
      <c r="G315" s="138">
        <f t="shared" ref="G315" si="581">IF(F315&gt;0,RANK(F315,(F$310:F$328)),0)</f>
        <v>6</v>
      </c>
      <c r="H315" s="167">
        <f>'Averages Pivot Table'!AE$136</f>
        <v>40586.134662653625</v>
      </c>
      <c r="I315" s="138">
        <f t="shared" ref="I315" si="582">IF(H315&gt;0,RANK(H315,(H$310:H$328)),0)</f>
        <v>6</v>
      </c>
      <c r="J315" s="167">
        <f>'Averages Pivot Table'!AE$140</f>
        <v>36762.014084507042</v>
      </c>
      <c r="K315" s="138">
        <f t="shared" ref="K315" si="583">IF(J315&gt;0,RANK(J315,(J$310:J$328)),0)</f>
        <v>7</v>
      </c>
      <c r="L315" s="167">
        <f>'Averages Pivot Table'!AE$144</f>
        <v>0</v>
      </c>
      <c r="M315" s="138">
        <f t="shared" ref="M315" si="584">IF(L315&gt;0,RANK(L315,(L$310:L$328)),0)</f>
        <v>0</v>
      </c>
      <c r="N315" s="167">
        <f>'Averages Pivot Table'!AE$148</f>
        <v>47337.673804285143</v>
      </c>
      <c r="O315" s="138">
        <f t="shared" ref="O315" si="585">IF(N315&gt;0,RANK(N315,(N$310:N$328)),0)</f>
        <v>10</v>
      </c>
    </row>
    <row r="316" spans="1:19" ht="12.95" customHeight="1" x14ac:dyDescent="0.25">
      <c r="A316" s="136" t="s">
        <v>200</v>
      </c>
      <c r="B316" s="167">
        <f>'Averages Pivot Table'!AE$153</f>
        <v>54642.541660352384</v>
      </c>
      <c r="C316" s="138">
        <f t="shared" si="565"/>
        <v>9</v>
      </c>
      <c r="D316" s="167">
        <f>'Averages Pivot Table'!AE$157</f>
        <v>44543.004861962523</v>
      </c>
      <c r="E316" s="138">
        <f t="shared" si="565"/>
        <v>10</v>
      </c>
      <c r="F316" s="167">
        <f>'Averages Pivot Table'!AE$161</f>
        <v>38483.101375933446</v>
      </c>
      <c r="G316" s="138">
        <f t="shared" ref="G316" si="586">IF(F316&gt;0,RANK(F316,(F$310:F$328)),0)</f>
        <v>10</v>
      </c>
      <c r="H316" s="167">
        <f>'Averages Pivot Table'!AE$165</f>
        <v>34620.179707117713</v>
      </c>
      <c r="I316" s="138">
        <f t="shared" ref="I316" si="587">IF(H316&gt;0,RANK(H316,(H$310:H$328)),0)</f>
        <v>11</v>
      </c>
      <c r="J316" s="167">
        <f>'Averages Pivot Table'!AE$169</f>
        <v>11282.010638297872</v>
      </c>
      <c r="K316" s="138">
        <f t="shared" ref="K316" si="588">IF(J316&gt;0,RANK(J316,(J$310:J$328)),0)</f>
        <v>9</v>
      </c>
      <c r="L316" s="167">
        <f>'Averages Pivot Table'!AE$173</f>
        <v>0</v>
      </c>
      <c r="M316" s="138">
        <f t="shared" ref="M316" si="589">IF(L316&gt;0,RANK(L316,(L$310:L$328)),0)</f>
        <v>0</v>
      </c>
      <c r="N316" s="167">
        <f>'Averages Pivot Table'!AE$177</f>
        <v>43988.414879869008</v>
      </c>
      <c r="O316" s="138">
        <f t="shared" ref="O316" si="590">IF(N316&gt;0,RANK(N316,(N$310:N$328)),0)</f>
        <v>14</v>
      </c>
    </row>
    <row r="317" spans="1:19" ht="12.95" customHeight="1" x14ac:dyDescent="0.25">
      <c r="A317" s="136" t="s">
        <v>201</v>
      </c>
      <c r="B317" s="167">
        <f>'Averages Pivot Table'!AE$182</f>
        <v>62283.993622448957</v>
      </c>
      <c r="C317" s="138">
        <f t="shared" si="565"/>
        <v>6</v>
      </c>
      <c r="D317" s="167">
        <f>'Averages Pivot Table'!AE$186</f>
        <v>51010.841362407024</v>
      </c>
      <c r="E317" s="138">
        <f t="shared" si="565"/>
        <v>8</v>
      </c>
      <c r="F317" s="167">
        <f>'Averages Pivot Table'!AE$190</f>
        <v>53065.945493066254</v>
      </c>
      <c r="G317" s="138">
        <f t="shared" ref="G317" si="591">IF(F317&gt;0,RANK(F317,(F$310:F$328)),0)</f>
        <v>2</v>
      </c>
      <c r="H317" s="167">
        <f>'Averages Pivot Table'!AE$194</f>
        <v>37321.802720047664</v>
      </c>
      <c r="I317" s="138">
        <f t="shared" ref="I317" si="592">IF(H317&gt;0,RANK(H317,(H$310:H$328)),0)</f>
        <v>10</v>
      </c>
      <c r="J317" s="167">
        <f>'Averages Pivot Table'!AE$198</f>
        <v>43580.805555555555</v>
      </c>
      <c r="K317" s="138">
        <f t="shared" ref="K317" si="593">IF(J317&gt;0,RANK(J317,(J$310:J$328)),0)</f>
        <v>3</v>
      </c>
      <c r="L317" s="167">
        <f>'Averages Pivot Table'!AE$202</f>
        <v>0</v>
      </c>
      <c r="M317" s="138">
        <f t="shared" ref="M317" si="594">IF(L317&gt;0,RANK(L317,(L$310:L$328)),0)</f>
        <v>0</v>
      </c>
      <c r="N317" s="167">
        <f>'Averages Pivot Table'!AE$206</f>
        <v>45212.898886339921</v>
      </c>
      <c r="O317" s="138">
        <f t="shared" ref="O317" si="595">IF(N317&gt;0,RANK(N317,(N$310:N$328)),0)</f>
        <v>13</v>
      </c>
    </row>
    <row r="318" spans="1:19" ht="12.95" customHeight="1" x14ac:dyDescent="0.25">
      <c r="A318" s="136" t="s">
        <v>202</v>
      </c>
      <c r="B318" s="167">
        <f>'Averages Pivot Table'!AE$211</f>
        <v>75737.684953822871</v>
      </c>
      <c r="C318" s="138">
        <f t="shared" si="565"/>
        <v>1</v>
      </c>
      <c r="D318" s="167">
        <f>'Averages Pivot Table'!AE$215</f>
        <v>59482.52724158005</v>
      </c>
      <c r="E318" s="138">
        <f t="shared" si="565"/>
        <v>2</v>
      </c>
      <c r="F318" s="167">
        <f>'Averages Pivot Table'!AE$219</f>
        <v>52181.405365582585</v>
      </c>
      <c r="G318" s="138">
        <f t="shared" ref="G318" si="596">IF(F318&gt;0,RANK(F318,(F$310:F$328)),0)</f>
        <v>3</v>
      </c>
      <c r="H318" s="167">
        <f>'Averages Pivot Table'!AE$223</f>
        <v>45929.825933594693</v>
      </c>
      <c r="I318" s="138">
        <f t="shared" ref="I318" si="597">IF(H318&gt;0,RANK(H318,(H$310:H$328)),0)</f>
        <v>3</v>
      </c>
      <c r="J318" s="167">
        <f>'Averages Pivot Table'!AE$227</f>
        <v>38084.84151884701</v>
      </c>
      <c r="K318" s="138">
        <f t="shared" ref="K318" si="598">IF(J318&gt;0,RANK(J318,(J$310:J$328)),0)</f>
        <v>5</v>
      </c>
      <c r="L318" s="167">
        <f>'Averages Pivot Table'!AE$231</f>
        <v>0</v>
      </c>
      <c r="M318" s="138">
        <f t="shared" ref="M318" si="599">IF(L318&gt;0,RANK(L318,(L$310:L$328)),0)</f>
        <v>0</v>
      </c>
      <c r="N318" s="167">
        <f>'Averages Pivot Table'!AE$235</f>
        <v>61152.914473355762</v>
      </c>
      <c r="O318" s="138">
        <f t="shared" ref="O318" si="600">IF(N318&gt;0,RANK(N318,(N$310:N$328)),0)</f>
        <v>2</v>
      </c>
    </row>
    <row r="319" spans="1:19" ht="12.95" customHeight="1" x14ac:dyDescent="0.25">
      <c r="A319" s="136"/>
      <c r="B319" s="167"/>
      <c r="C319" s="138"/>
      <c r="D319" s="167"/>
      <c r="E319" s="138"/>
      <c r="F319" s="167"/>
      <c r="G319" s="138"/>
      <c r="H319" s="167"/>
      <c r="I319" s="138"/>
      <c r="J319" s="167"/>
      <c r="K319" s="138"/>
      <c r="L319" s="167"/>
      <c r="M319" s="138"/>
      <c r="N319" s="167"/>
      <c r="O319" s="138"/>
    </row>
    <row r="320" spans="1:19" ht="12.95" customHeight="1" x14ac:dyDescent="0.25">
      <c r="A320" s="136" t="s">
        <v>203</v>
      </c>
      <c r="B320" s="167">
        <f>'Averages Pivot Table'!AE$240</f>
        <v>0</v>
      </c>
      <c r="C320" s="138">
        <f t="shared" si="565"/>
        <v>0</v>
      </c>
      <c r="D320" s="167">
        <f>'Averages Pivot Table'!AE$244</f>
        <v>0</v>
      </c>
      <c r="E320" s="138">
        <f t="shared" si="565"/>
        <v>0</v>
      </c>
      <c r="F320" s="167">
        <f>'Averages Pivot Table'!AE$248</f>
        <v>0</v>
      </c>
      <c r="G320" s="138">
        <f t="shared" ref="G320" si="601">IF(F320&gt;0,RANK(F320,(F$310:F$328)),0)</f>
        <v>0</v>
      </c>
      <c r="H320" s="167">
        <f>'Averages Pivot Table'!AE$252</f>
        <v>0</v>
      </c>
      <c r="I320" s="138">
        <f t="shared" ref="I320" si="602">IF(H320&gt;0,RANK(H320,(H$310:H$328)),0)</f>
        <v>0</v>
      </c>
      <c r="J320" s="167">
        <f>'Averages Pivot Table'!AE$256</f>
        <v>0</v>
      </c>
      <c r="K320" s="138">
        <f t="shared" ref="K320" si="603">IF(J320&gt;0,RANK(J320,(J$310:J$328)),0)</f>
        <v>0</v>
      </c>
      <c r="L320" s="167">
        <f>'Averages Pivot Table'!AE$260</f>
        <v>48660.618914969164</v>
      </c>
      <c r="M320" s="138">
        <f t="shared" ref="M320" si="604">IF(L320&gt;0,RANK(L320,(L$310:L$328)),0)</f>
        <v>6</v>
      </c>
      <c r="N320" s="167">
        <f>'Averages Pivot Table'!AE$264</f>
        <v>48660.618914969164</v>
      </c>
      <c r="O320" s="138">
        <f t="shared" ref="O320" si="605">IF(N320&gt;0,RANK(N320,(N$310:N$328)),0)</f>
        <v>8</v>
      </c>
    </row>
    <row r="321" spans="1:19" x14ac:dyDescent="0.25">
      <c r="A321" s="136" t="s">
        <v>204</v>
      </c>
      <c r="B321" s="167">
        <f>'Averages Pivot Table'!AE$269</f>
        <v>0</v>
      </c>
      <c r="C321" s="138">
        <f t="shared" si="565"/>
        <v>0</v>
      </c>
      <c r="D321" s="167">
        <f>'Averages Pivot Table'!AE$273</f>
        <v>0</v>
      </c>
      <c r="E321" s="138">
        <f t="shared" si="565"/>
        <v>0</v>
      </c>
      <c r="F321" s="167">
        <f>'Averages Pivot Table'!AE$277</f>
        <v>0</v>
      </c>
      <c r="G321" s="138">
        <f t="shared" ref="G321" si="606">IF(F321&gt;0,RANK(F321,(F$310:F$328)),0)</f>
        <v>0</v>
      </c>
      <c r="H321" s="167">
        <f>'Averages Pivot Table'!AE$281</f>
        <v>44112.669342424429</v>
      </c>
      <c r="I321" s="138">
        <f t="shared" ref="I321" si="607">IF(H321&gt;0,RANK(H321,(H$310:H$328)),0)</f>
        <v>5</v>
      </c>
      <c r="J321" s="167">
        <f>'Averages Pivot Table'!AE$285</f>
        <v>48545.517560358858</v>
      </c>
      <c r="K321" s="138">
        <f t="shared" ref="K321" si="608">IF(J321&gt;0,RANK(J321,(J$310:J$328)),0)</f>
        <v>1</v>
      </c>
      <c r="L321" s="167">
        <f>'Averages Pivot Table'!AE$289</f>
        <v>0</v>
      </c>
      <c r="M321" s="138">
        <f t="shared" ref="M321" si="609">IF(L321&gt;0,RANK(L321,(L$310:L$328)),0)</f>
        <v>0</v>
      </c>
      <c r="N321" s="167">
        <f>'Averages Pivot Table'!AE$293</f>
        <v>43620.031499013669</v>
      </c>
      <c r="O321" s="138">
        <f t="shared" ref="O321" si="610">IF(N321&gt;0,RANK(N321,(N$310:N$328)),0)</f>
        <v>15</v>
      </c>
      <c r="Q321" s="109"/>
      <c r="R321" s="109"/>
      <c r="S321" s="109"/>
    </row>
    <row r="322" spans="1:19" x14ac:dyDescent="0.25">
      <c r="A322" s="136" t="s">
        <v>205</v>
      </c>
      <c r="B322" s="167">
        <f>'Averages Pivot Table'!AE$298</f>
        <v>0</v>
      </c>
      <c r="C322" s="138">
        <f t="shared" si="565"/>
        <v>0</v>
      </c>
      <c r="D322" s="167">
        <f>'Averages Pivot Table'!AE$302</f>
        <v>0</v>
      </c>
      <c r="E322" s="138">
        <f t="shared" si="565"/>
        <v>0</v>
      </c>
      <c r="F322" s="167">
        <f>'Averages Pivot Table'!AE$306</f>
        <v>0</v>
      </c>
      <c r="G322" s="138">
        <f t="shared" ref="G322" si="611">IF(F322&gt;0,RANK(F322,(F$310:F$328)),0)</f>
        <v>0</v>
      </c>
      <c r="H322" s="167">
        <f>'Averages Pivot Table'!AE$310</f>
        <v>0</v>
      </c>
      <c r="I322" s="138">
        <f t="shared" ref="I322" si="612">IF(H322&gt;0,RANK(H322,(H$310:H$328)),0)</f>
        <v>0</v>
      </c>
      <c r="J322" s="167">
        <f>'Averages Pivot Table'!AE$314</f>
        <v>0</v>
      </c>
      <c r="K322" s="138">
        <f t="shared" ref="K322" si="613">IF(J322&gt;0,RANK(J322,(J$310:J$328)),0)</f>
        <v>0</v>
      </c>
      <c r="L322" s="167">
        <f>'Averages Pivot Table'!AE$318</f>
        <v>49605.965819783218</v>
      </c>
      <c r="M322" s="138">
        <f t="shared" ref="M322" si="614">IF(L322&gt;0,RANK(L322,(L$310:L$328)),0)</f>
        <v>5</v>
      </c>
      <c r="N322" s="167">
        <f>'Averages Pivot Table'!AE$322</f>
        <v>49605.965819783218</v>
      </c>
      <c r="O322" s="138">
        <f t="shared" ref="O322" si="615">IF(N322&gt;0,RANK(N322,(N$310:N$328)),0)</f>
        <v>7</v>
      </c>
      <c r="Q322" s="109"/>
      <c r="R322" s="109"/>
      <c r="S322" s="109"/>
    </row>
    <row r="323" spans="1:19" x14ac:dyDescent="0.25">
      <c r="A323" s="136" t="s">
        <v>206</v>
      </c>
      <c r="B323" s="167">
        <f>'Averages Pivot Table'!AE$327</f>
        <v>67528.133333333346</v>
      </c>
      <c r="C323" s="138">
        <f t="shared" si="565"/>
        <v>3</v>
      </c>
      <c r="D323" s="167">
        <f>'Averages Pivot Table'!AE$331</f>
        <v>57327.765567765571</v>
      </c>
      <c r="E323" s="138">
        <f t="shared" si="565"/>
        <v>3</v>
      </c>
      <c r="F323" s="167">
        <f>'Averages Pivot Table'!AE$335</f>
        <v>46272.894214876032</v>
      </c>
      <c r="G323" s="138">
        <f t="shared" ref="G323" si="616">IF(F323&gt;0,RANK(F323,(F$310:F$328)),0)</f>
        <v>5</v>
      </c>
      <c r="H323" s="167">
        <f>'Averages Pivot Table'!AE$339</f>
        <v>44468.906078942608</v>
      </c>
      <c r="I323" s="138">
        <f t="shared" ref="I323" si="617">IF(H323&gt;0,RANK(H323,(H$310:H$328)),0)</f>
        <v>4</v>
      </c>
      <c r="J323" s="167">
        <f>'Averages Pivot Table'!AE$343</f>
        <v>47943.152994464013</v>
      </c>
      <c r="K323" s="138">
        <f t="shared" ref="K323" si="618">IF(J323&gt;0,RANK(J323,(J$310:J$328)),0)</f>
        <v>2</v>
      </c>
      <c r="L323" s="167">
        <f>'Averages Pivot Table'!AE$347</f>
        <v>0</v>
      </c>
      <c r="M323" s="138">
        <f t="shared" ref="M323" si="619">IF(L323&gt;0,RANK(L323,(L$310:L$328)),0)</f>
        <v>0</v>
      </c>
      <c r="N323" s="167">
        <f>'Averages Pivot Table'!AE$351</f>
        <v>48077.851168327361</v>
      </c>
      <c r="O323" s="138">
        <f t="shared" ref="O323" si="620">IF(N323&gt;0,RANK(N323,(N$310:N$328)),0)</f>
        <v>9</v>
      </c>
      <c r="Q323" s="109"/>
      <c r="R323" s="109"/>
      <c r="S323" s="109"/>
    </row>
    <row r="324" spans="1:19" x14ac:dyDescent="0.25">
      <c r="A324" s="136"/>
      <c r="B324" s="167"/>
      <c r="C324" s="138"/>
      <c r="D324" s="167"/>
      <c r="E324" s="138"/>
      <c r="F324" s="167"/>
      <c r="G324" s="138"/>
      <c r="H324" s="167"/>
      <c r="I324" s="138"/>
      <c r="J324" s="167"/>
      <c r="K324" s="138"/>
      <c r="L324" s="167"/>
      <c r="M324" s="138"/>
      <c r="N324" s="167"/>
      <c r="O324" s="138"/>
      <c r="Q324" s="109"/>
      <c r="R324" s="109"/>
      <c r="S324" s="109"/>
    </row>
    <row r="325" spans="1:19" x14ac:dyDescent="0.25">
      <c r="A325" s="136" t="s">
        <v>207</v>
      </c>
      <c r="B325" s="137">
        <f>'Averages Pivot Table'!AE$356</f>
        <v>57536.804976749532</v>
      </c>
      <c r="C325" s="138">
        <f t="shared" si="565"/>
        <v>8</v>
      </c>
      <c r="D325" s="137">
        <f>'Averages Pivot Table'!AE$360</f>
        <v>49125.146226327597</v>
      </c>
      <c r="E325" s="138">
        <f t="shared" si="565"/>
        <v>9</v>
      </c>
      <c r="F325" s="137">
        <f>'Averages Pivot Table'!AE$364</f>
        <v>43934.685527647154</v>
      </c>
      <c r="G325" s="138">
        <f t="shared" ref="G325" si="621">IF(F325&gt;0,RANK(F325,(F$310:F$328)),0)</f>
        <v>9</v>
      </c>
      <c r="H325" s="137">
        <f>'Averages Pivot Table'!AE$368</f>
        <v>37665.901612543108</v>
      </c>
      <c r="I325" s="138">
        <f t="shared" ref="I325" si="622">IF(H325&gt;0,RANK(H325,(H$310:H$328)),0)</f>
        <v>9</v>
      </c>
      <c r="J325" s="137">
        <f>'Averages Pivot Table'!AE$372</f>
        <v>0</v>
      </c>
      <c r="K325" s="138">
        <f t="shared" ref="K325" si="623">IF(J325&gt;0,RANK(J325,(J$310:J$328)),0)</f>
        <v>0</v>
      </c>
      <c r="L325" s="137">
        <f>'Averages Pivot Table'!AE$376</f>
        <v>0</v>
      </c>
      <c r="M325" s="138">
        <f t="shared" ref="M325" si="624">IF(L325&gt;0,RANK(L325,(L$310:L$328)),0)</f>
        <v>0</v>
      </c>
      <c r="N325" s="137">
        <f>'Averages Pivot Table'!AE$380</f>
        <v>46048.007578168879</v>
      </c>
      <c r="O325" s="138">
        <f t="shared" ref="O325" si="625">IF(N325&gt;0,RANK(N325,(N$310:N$328)),0)</f>
        <v>12</v>
      </c>
      <c r="Q325" s="109"/>
      <c r="R325" s="109"/>
      <c r="S325" s="109"/>
    </row>
    <row r="326" spans="1:19" x14ac:dyDescent="0.25">
      <c r="A326" s="136" t="s">
        <v>208</v>
      </c>
      <c r="B326" s="137">
        <f>'Averages Pivot Table'!AE$385</f>
        <v>58167.58767698607</v>
      </c>
      <c r="C326" s="138">
        <f t="shared" si="565"/>
        <v>7</v>
      </c>
      <c r="D326" s="137">
        <f>'Averages Pivot Table'!AE$389</f>
        <v>53972.716766425539</v>
      </c>
      <c r="E326" s="138">
        <f t="shared" si="565"/>
        <v>6</v>
      </c>
      <c r="F326" s="137">
        <f>'Averages Pivot Table'!AE$393</f>
        <v>50013.357996702114</v>
      </c>
      <c r="G326" s="138">
        <f t="shared" ref="G326" si="626">IF(F326&gt;0,RANK(F326,(F$310:F$328)),0)</f>
        <v>4</v>
      </c>
      <c r="H326" s="137">
        <f>'Averages Pivot Table'!AE$397</f>
        <v>49640.618333671177</v>
      </c>
      <c r="I326" s="138">
        <f t="shared" ref="I326" si="627">IF(H326&gt;0,RANK(H326,(H$310:H$328)),0)</f>
        <v>2</v>
      </c>
      <c r="J326" s="137">
        <f>'Averages Pivot Table'!AE$401</f>
        <v>28139.192825112106</v>
      </c>
      <c r="K326" s="138">
        <f t="shared" ref="K326" si="628">IF(J326&gt;0,RANK(J326,(J$310:J$328)),0)</f>
        <v>8</v>
      </c>
      <c r="L326" s="137">
        <f>'Averages Pivot Table'!AE$405</f>
        <v>55310.322519082576</v>
      </c>
      <c r="M326" s="138">
        <f t="shared" ref="M326" si="629">IF(L326&gt;0,RANK(L326,(L$310:L$328)),0)</f>
        <v>2</v>
      </c>
      <c r="N326" s="137">
        <f>'Averages Pivot Table'!AE$409</f>
        <v>53185.035763505351</v>
      </c>
      <c r="O326" s="138">
        <f t="shared" ref="O326" si="630">IF(N326&gt;0,RANK(N326,(N$310:N$328)),0)</f>
        <v>6</v>
      </c>
      <c r="Q326" s="109"/>
      <c r="R326" s="109"/>
      <c r="S326" s="109"/>
    </row>
    <row r="327" spans="1:19" x14ac:dyDescent="0.25">
      <c r="A327" s="136" t="s">
        <v>209</v>
      </c>
      <c r="B327" s="137">
        <f>'Averages Pivot Table'!AE$414</f>
        <v>69037.021509583428</v>
      </c>
      <c r="C327" s="138">
        <f t="shared" si="565"/>
        <v>2</v>
      </c>
      <c r="D327" s="137">
        <f>'Averages Pivot Table'!AE$418</f>
        <v>61898.033708445684</v>
      </c>
      <c r="E327" s="138">
        <f t="shared" si="565"/>
        <v>1</v>
      </c>
      <c r="F327" s="137">
        <f>'Averages Pivot Table'!AE$422</f>
        <v>55698.179595782887</v>
      </c>
      <c r="G327" s="138">
        <f t="shared" ref="G327" si="631">IF(F327&gt;0,RANK(F327,(F$310:F$328)),0)</f>
        <v>1</v>
      </c>
      <c r="H327" s="137">
        <f>'Averages Pivot Table'!AE$426</f>
        <v>49695.849800114222</v>
      </c>
      <c r="I327" s="138">
        <f t="shared" ref="I327" si="632">IF(H327&gt;0,RANK(H327,(H$310:H$328)),0)</f>
        <v>1</v>
      </c>
      <c r="J327" s="137">
        <f>'Averages Pivot Table'!AE$430</f>
        <v>38980.617977528091</v>
      </c>
      <c r="K327" s="138">
        <f t="shared" ref="K327" si="633">IF(J327&gt;0,RANK(J327,(J$310:J$328)),0)</f>
        <v>4</v>
      </c>
      <c r="L327" s="137">
        <f>'Averages Pivot Table'!AE$434</f>
        <v>0</v>
      </c>
      <c r="M327" s="138">
        <f t="shared" ref="M327" si="634">IF(L327&gt;0,RANK(L327,(L$310:L$328)),0)</f>
        <v>0</v>
      </c>
      <c r="N327" s="137">
        <f>'Averages Pivot Table'!AE$438</f>
        <v>58423.364014631297</v>
      </c>
      <c r="O327" s="138">
        <f t="shared" ref="O327" si="635">IF(N327&gt;0,RANK(N327,(N$310:N$328)),0)</f>
        <v>3</v>
      </c>
      <c r="Q327" s="109"/>
      <c r="R327" s="109"/>
      <c r="S327" s="109"/>
    </row>
    <row r="328" spans="1:19" x14ac:dyDescent="0.25">
      <c r="A328" s="161" t="s">
        <v>210</v>
      </c>
      <c r="B328" s="140">
        <f>'Averages Pivot Table'!AE$443</f>
        <v>64024.994748161575</v>
      </c>
      <c r="C328" s="141">
        <f t="shared" si="565"/>
        <v>4</v>
      </c>
      <c r="D328" s="140">
        <f>'Averages Pivot Table'!AE$447</f>
        <v>54482.931490370349</v>
      </c>
      <c r="E328" s="141">
        <f t="shared" si="565"/>
        <v>5</v>
      </c>
      <c r="F328" s="140">
        <f>'Averages Pivot Table'!AE$451</f>
        <v>44971.93720077513</v>
      </c>
      <c r="G328" s="141">
        <f t="shared" ref="G328" si="636">IF(F328&gt;0,RANK(F328,(F$310:F$328)),0)</f>
        <v>7</v>
      </c>
      <c r="H328" s="140">
        <f>'Averages Pivot Table'!AE$455</f>
        <v>38186.927151884978</v>
      </c>
      <c r="I328" s="141">
        <f t="shared" ref="I328" si="637">IF(H328&gt;0,RANK(H328,(H$310:H$328)),0)</f>
        <v>8</v>
      </c>
      <c r="J328" s="140">
        <f>'Averages Pivot Table'!AE$459</f>
        <v>37705.708981902921</v>
      </c>
      <c r="K328" s="141">
        <f t="shared" ref="K328" si="638">IF(J328&gt;0,RANK(J328,(J$310:J$328)),0)</f>
        <v>6</v>
      </c>
      <c r="L328" s="140">
        <f>'Averages Pivot Table'!AE$463</f>
        <v>0</v>
      </c>
      <c r="M328" s="141">
        <f t="shared" ref="M328" si="639">IF(L328&gt;0,RANK(L328,(L$310:L$328)),0)</f>
        <v>0</v>
      </c>
      <c r="N328" s="140">
        <f>'Averages Pivot Table'!AE$467</f>
        <v>47212.803862310015</v>
      </c>
      <c r="O328" s="141">
        <f t="shared" ref="O328" si="640">IF(N328&gt;0,RANK(N328,(N$310:N$328)),0)</f>
        <v>11</v>
      </c>
      <c r="Q328" s="109"/>
      <c r="R328" s="109"/>
      <c r="S328" s="109"/>
    </row>
    <row r="329" spans="1:19" ht="25.5" customHeight="1" x14ac:dyDescent="0.25">
      <c r="A329" s="711" t="s">
        <v>1127</v>
      </c>
      <c r="B329" s="711"/>
      <c r="C329" s="711"/>
      <c r="D329" s="711"/>
      <c r="E329" s="711"/>
      <c r="F329" s="711"/>
      <c r="G329" s="711"/>
      <c r="H329" s="711"/>
      <c r="I329" s="711"/>
      <c r="J329" s="711"/>
      <c r="K329" s="711"/>
      <c r="L329" s="711"/>
      <c r="M329" s="711"/>
      <c r="N329" s="711"/>
      <c r="O329" s="711"/>
      <c r="Q329" s="109"/>
      <c r="R329" s="109"/>
      <c r="S329" s="109"/>
    </row>
    <row r="330" spans="1:19" x14ac:dyDescent="0.25">
      <c r="O330" s="102" t="s">
        <v>1124</v>
      </c>
      <c r="Q330" s="109"/>
      <c r="R330" s="109"/>
      <c r="S330" s="109"/>
    </row>
    <row r="331" spans="1:19" ht="18" x14ac:dyDescent="0.25">
      <c r="A331" s="82" t="s">
        <v>236</v>
      </c>
      <c r="B331" s="82"/>
      <c r="C331" s="82"/>
      <c r="D331" s="82"/>
      <c r="E331" s="82"/>
      <c r="F331" s="82"/>
      <c r="G331" s="82"/>
      <c r="H331" s="82"/>
      <c r="I331" s="82"/>
      <c r="J331" s="82"/>
      <c r="K331" s="82"/>
      <c r="L331" s="82"/>
      <c r="M331" s="82"/>
      <c r="N331" s="82"/>
      <c r="O331" s="82"/>
      <c r="P331" s="200" t="s">
        <v>7</v>
      </c>
      <c r="Q331" s="109"/>
      <c r="R331" s="109"/>
      <c r="S331" s="109"/>
    </row>
    <row r="332" spans="1:19" x14ac:dyDescent="0.25">
      <c r="A332" s="180"/>
      <c r="B332" s="87"/>
      <c r="C332" s="87"/>
      <c r="D332" s="87"/>
      <c r="E332" s="87"/>
      <c r="F332" s="87"/>
      <c r="G332" s="87"/>
      <c r="H332" s="87"/>
      <c r="I332" s="87"/>
      <c r="J332" s="87"/>
      <c r="K332" s="87"/>
      <c r="L332" s="87"/>
      <c r="M332" s="87"/>
      <c r="N332" s="87"/>
      <c r="O332" s="87"/>
      <c r="Q332" s="109"/>
      <c r="R332" s="109"/>
      <c r="S332" s="109"/>
    </row>
    <row r="333" spans="1:19" x14ac:dyDescent="0.25">
      <c r="A333" s="707" t="s">
        <v>218</v>
      </c>
      <c r="B333" s="707"/>
      <c r="C333" s="707"/>
      <c r="D333" s="707"/>
      <c r="E333" s="707"/>
      <c r="F333" s="707"/>
      <c r="G333" s="707"/>
      <c r="H333" s="707"/>
      <c r="I333" s="707"/>
      <c r="J333" s="707"/>
      <c r="K333" s="707"/>
      <c r="L333" s="707"/>
      <c r="M333" s="707"/>
      <c r="N333" s="707"/>
      <c r="O333" s="707"/>
      <c r="Q333" s="109"/>
      <c r="R333" s="109"/>
      <c r="S333" s="109"/>
    </row>
    <row r="334" spans="1:19" x14ac:dyDescent="0.25">
      <c r="A334" s="707" t="s">
        <v>282</v>
      </c>
      <c r="B334" s="707"/>
      <c r="C334" s="707"/>
      <c r="D334" s="707"/>
      <c r="E334" s="707"/>
      <c r="F334" s="707"/>
      <c r="G334" s="707"/>
      <c r="H334" s="707"/>
      <c r="I334" s="707"/>
      <c r="J334" s="707"/>
      <c r="K334" s="707"/>
      <c r="L334" s="707"/>
      <c r="M334" s="707"/>
      <c r="N334" s="707"/>
      <c r="O334" s="707"/>
      <c r="Q334" s="109"/>
      <c r="R334" s="109"/>
      <c r="S334" s="109"/>
    </row>
    <row r="335" spans="1:19" x14ac:dyDescent="0.25">
      <c r="A335" s="136"/>
      <c r="B335" s="136"/>
      <c r="C335" s="136"/>
      <c r="D335" s="136"/>
      <c r="E335" s="136"/>
      <c r="F335" s="136"/>
      <c r="G335" s="136"/>
      <c r="H335" s="136"/>
      <c r="I335" s="136"/>
      <c r="J335" s="136"/>
      <c r="K335" s="136"/>
      <c r="L335" s="136"/>
      <c r="M335" s="136"/>
      <c r="N335" s="136"/>
      <c r="O335" s="136"/>
      <c r="Q335" s="109"/>
      <c r="R335" s="109"/>
      <c r="S335" s="109"/>
    </row>
    <row r="336" spans="1:19" ht="24.75" x14ac:dyDescent="0.25">
      <c r="A336" s="114"/>
      <c r="B336" s="182" t="s">
        <v>3</v>
      </c>
      <c r="C336" s="183"/>
      <c r="D336" s="184" t="s">
        <v>4</v>
      </c>
      <c r="E336" s="185"/>
      <c r="F336" s="184" t="s">
        <v>5</v>
      </c>
      <c r="G336" s="185"/>
      <c r="H336" s="182" t="s">
        <v>6</v>
      </c>
      <c r="I336" s="183"/>
      <c r="J336" s="184" t="s">
        <v>219</v>
      </c>
      <c r="K336" s="185"/>
      <c r="L336" s="183" t="s">
        <v>23</v>
      </c>
      <c r="M336" s="183"/>
      <c r="N336" s="183" t="s">
        <v>220</v>
      </c>
      <c r="O336" s="183"/>
      <c r="Q336" s="109"/>
      <c r="R336" s="109"/>
      <c r="S336" s="109"/>
    </row>
    <row r="337" spans="1:19" x14ac:dyDescent="0.25">
      <c r="A337" s="120"/>
      <c r="B337" s="116" t="s">
        <v>193</v>
      </c>
      <c r="C337" s="115" t="s">
        <v>170</v>
      </c>
      <c r="D337" s="116" t="s">
        <v>193</v>
      </c>
      <c r="E337" s="115" t="s">
        <v>170</v>
      </c>
      <c r="F337" s="116" t="s">
        <v>193</v>
      </c>
      <c r="G337" s="115" t="s">
        <v>170</v>
      </c>
      <c r="H337" s="116" t="s">
        <v>193</v>
      </c>
      <c r="I337" s="115" t="s">
        <v>170</v>
      </c>
      <c r="J337" s="116" t="s">
        <v>193</v>
      </c>
      <c r="K337" s="115" t="s">
        <v>170</v>
      </c>
      <c r="L337" s="116" t="s">
        <v>193</v>
      </c>
      <c r="M337" s="115" t="s">
        <v>170</v>
      </c>
      <c r="N337" s="116" t="s">
        <v>193</v>
      </c>
      <c r="O337" s="115" t="s">
        <v>170</v>
      </c>
    </row>
    <row r="338" spans="1:19" s="127" customFormat="1" ht="18" customHeight="1" x14ac:dyDescent="0.25">
      <c r="A338" s="124" t="s">
        <v>194</v>
      </c>
      <c r="B338" s="151">
        <f>'Averages Pivot Table'!Z$471</f>
        <v>64821.385468806162</v>
      </c>
      <c r="C338" s="151"/>
      <c r="D338" s="151">
        <f>'Averages Pivot Table'!Z$475</f>
        <v>53028.339161896372</v>
      </c>
      <c r="E338" s="151"/>
      <c r="F338" s="151">
        <f>'Averages Pivot Table'!Z$479</f>
        <v>47241.440416295663</v>
      </c>
      <c r="G338" s="151"/>
      <c r="H338" s="151">
        <f>'Averages Pivot Table'!Z$483</f>
        <v>48409.774413096617</v>
      </c>
      <c r="I338" s="151"/>
      <c r="J338" s="151">
        <f>'Averages Pivot Table'!Z$487</f>
        <v>33117.789473684206</v>
      </c>
      <c r="K338" s="151"/>
      <c r="L338" s="151">
        <f>'Averages Pivot Table'!Z$491</f>
        <v>58793.263758166315</v>
      </c>
      <c r="M338" s="187"/>
      <c r="N338" s="151">
        <f>'Averages Pivot Table'!Z$495</f>
        <v>56065.111958396803</v>
      </c>
      <c r="O338" s="188"/>
      <c r="Q338" s="129"/>
      <c r="R338" s="129"/>
      <c r="S338" s="129"/>
    </row>
    <row r="339" spans="1:19" ht="12.95" customHeight="1" x14ac:dyDescent="0.25">
      <c r="A339" s="136"/>
      <c r="B339" s="131"/>
      <c r="C339" s="155"/>
      <c r="D339" s="131"/>
      <c r="E339" s="155"/>
      <c r="F339" s="131"/>
      <c r="G339" s="155"/>
      <c r="H339" s="131"/>
      <c r="I339" s="155"/>
      <c r="J339" s="131"/>
      <c r="K339" s="155"/>
      <c r="L339" s="131"/>
      <c r="M339" s="155"/>
      <c r="N339" s="131"/>
      <c r="O339" s="132"/>
    </row>
    <row r="340" spans="1:19" ht="12.95" customHeight="1" x14ac:dyDescent="0.25">
      <c r="A340" s="136" t="s">
        <v>195</v>
      </c>
      <c r="B340" s="167">
        <f>'Averages Pivot Table'!Z$8</f>
        <v>0</v>
      </c>
      <c r="C340" s="138">
        <f>IF(B340&gt;0,RANK(B340,(B$340:B$358)),0)</f>
        <v>0</v>
      </c>
      <c r="D340" s="167">
        <f>'Averages Pivot Table'!Z$12</f>
        <v>0</v>
      </c>
      <c r="E340" s="138">
        <f>IF(D340&gt;0,RANK(D340,(D$340:D$358)),0)</f>
        <v>0</v>
      </c>
      <c r="F340" s="167">
        <f>'Averages Pivot Table'!Z$16</f>
        <v>0</v>
      </c>
      <c r="G340" s="138">
        <f>IF(F340&gt;0,RANK(F340,(F$340:F$358)),0)</f>
        <v>0</v>
      </c>
      <c r="H340" s="167">
        <f>'Averages Pivot Table'!Z$20</f>
        <v>0</v>
      </c>
      <c r="I340" s="138">
        <f>IF(H340&gt;0,RANK(H340,(H$340:H$358)),0)</f>
        <v>0</v>
      </c>
      <c r="J340" s="167">
        <f>'Averages Pivot Table'!Z$24</f>
        <v>0</v>
      </c>
      <c r="K340" s="138">
        <f>IF(J340&gt;0,RANK(J340,(J$340:J$358)),0)</f>
        <v>0</v>
      </c>
      <c r="L340" s="167">
        <f>'Averages Pivot Table'!Z$28</f>
        <v>0</v>
      </c>
      <c r="M340" s="138">
        <f>IF(L340&gt;0,RANK(L340,(L$340:L$358)),0)</f>
        <v>0</v>
      </c>
      <c r="N340" s="167">
        <f>'Averages Pivot Table'!Z$32</f>
        <v>0</v>
      </c>
      <c r="O340" s="138">
        <f>IF(N340&gt;0,RANK(N340,(N$340:N$358)),0)</f>
        <v>0</v>
      </c>
    </row>
    <row r="341" spans="1:19" ht="12.95" customHeight="1" x14ac:dyDescent="0.25">
      <c r="A341" s="136" t="s">
        <v>196</v>
      </c>
      <c r="B341" s="167">
        <f>'Averages Pivot Table'!Z$37</f>
        <v>0</v>
      </c>
      <c r="C341" s="138">
        <f t="shared" ref="C341:E358" si="641">IF(B341&gt;0,RANK(B341,(B$340:B$358)),0)</f>
        <v>0</v>
      </c>
      <c r="D341" s="167">
        <f>'Averages Pivot Table'!Z$41</f>
        <v>0</v>
      </c>
      <c r="E341" s="138">
        <f t="shared" si="641"/>
        <v>0</v>
      </c>
      <c r="F341" s="167">
        <f>'Averages Pivot Table'!Z$45</f>
        <v>0</v>
      </c>
      <c r="G341" s="138">
        <f t="shared" ref="G341" si="642">IF(F341&gt;0,RANK(F341,(F$340:F$358)),0)</f>
        <v>0</v>
      </c>
      <c r="H341" s="167">
        <f>'Averages Pivot Table'!Z$49</f>
        <v>0</v>
      </c>
      <c r="I341" s="138">
        <f t="shared" ref="I341" si="643">IF(H341&gt;0,RANK(H341,(H$340:H$358)),0)</f>
        <v>0</v>
      </c>
      <c r="J341" s="167">
        <f>'Averages Pivot Table'!Z$53</f>
        <v>0</v>
      </c>
      <c r="K341" s="138">
        <f t="shared" ref="K341" si="644">IF(J341&gt;0,RANK(J341,(J$340:J$358)),0)</f>
        <v>0</v>
      </c>
      <c r="L341" s="167">
        <f>'Averages Pivot Table'!Z$57</f>
        <v>0</v>
      </c>
      <c r="M341" s="138">
        <f t="shared" ref="M341" si="645">IF(L341&gt;0,RANK(L341,(L$340:L$358)),0)</f>
        <v>0</v>
      </c>
      <c r="N341" s="167">
        <f>'Averages Pivot Table'!Z$61</f>
        <v>0</v>
      </c>
      <c r="O341" s="138">
        <f t="shared" ref="O341" si="646">IF(N341&gt;0,RANK(N341,(N$340:N$358)),0)</f>
        <v>0</v>
      </c>
    </row>
    <row r="342" spans="1:19" ht="12.95" customHeight="1" x14ac:dyDescent="0.25">
      <c r="A342" s="136" t="s">
        <v>197</v>
      </c>
      <c r="B342" s="167">
        <f>'Averages Pivot Table'!Z$66</f>
        <v>0</v>
      </c>
      <c r="C342" s="138">
        <f t="shared" si="641"/>
        <v>0</v>
      </c>
      <c r="D342" s="167">
        <f>'Averages Pivot Table'!Z$70</f>
        <v>0</v>
      </c>
      <c r="E342" s="138">
        <f t="shared" si="641"/>
        <v>0</v>
      </c>
      <c r="F342" s="167">
        <f>'Averages Pivot Table'!Z$74</f>
        <v>0</v>
      </c>
      <c r="G342" s="138">
        <f t="shared" ref="G342" si="647">IF(F342&gt;0,RANK(F342,(F$340:F$358)),0)</f>
        <v>0</v>
      </c>
      <c r="H342" s="167">
        <f>'Averages Pivot Table'!Z$78</f>
        <v>0</v>
      </c>
      <c r="I342" s="138">
        <f t="shared" ref="I342" si="648">IF(H342&gt;0,RANK(H342,(H$340:H$358)),0)</f>
        <v>0</v>
      </c>
      <c r="J342" s="167">
        <f>'Averages Pivot Table'!Z$82</f>
        <v>0</v>
      </c>
      <c r="K342" s="138">
        <f t="shared" ref="K342" si="649">IF(J342&gt;0,RANK(J342,(J$340:J$358)),0)</f>
        <v>0</v>
      </c>
      <c r="L342" s="167">
        <f>'Averages Pivot Table'!Z$86</f>
        <v>0</v>
      </c>
      <c r="M342" s="138">
        <f t="shared" ref="M342" si="650">IF(L342&gt;0,RANK(L342,(L$340:L$358)),0)</f>
        <v>0</v>
      </c>
      <c r="N342" s="167">
        <f>'Averages Pivot Table'!Z$90</f>
        <v>0</v>
      </c>
      <c r="O342" s="138">
        <f t="shared" ref="O342" si="651">IF(N342&gt;0,RANK(N342,(N$340:N$358)),0)</f>
        <v>0</v>
      </c>
    </row>
    <row r="343" spans="1:19" ht="12.95" customHeight="1" x14ac:dyDescent="0.25">
      <c r="A343" s="136" t="s">
        <v>198</v>
      </c>
      <c r="B343" s="167">
        <f>'Averages Pivot Table'!Z$95</f>
        <v>0</v>
      </c>
      <c r="C343" s="138">
        <f t="shared" si="641"/>
        <v>0</v>
      </c>
      <c r="D343" s="167">
        <f>'Averages Pivot Table'!Z$99</f>
        <v>0</v>
      </c>
      <c r="E343" s="138">
        <f t="shared" si="641"/>
        <v>0</v>
      </c>
      <c r="F343" s="167">
        <f>'Averages Pivot Table'!Z$103</f>
        <v>0</v>
      </c>
      <c r="G343" s="138">
        <f t="shared" ref="G343" si="652">IF(F343&gt;0,RANK(F343,(F$340:F$358)),0)</f>
        <v>0</v>
      </c>
      <c r="H343" s="167">
        <f>'Averages Pivot Table'!Z$107</f>
        <v>0</v>
      </c>
      <c r="I343" s="138">
        <f t="shared" ref="I343" si="653">IF(H343&gt;0,RANK(H343,(H$340:H$358)),0)</f>
        <v>0</v>
      </c>
      <c r="J343" s="167">
        <f>'Averages Pivot Table'!Z$111</f>
        <v>0</v>
      </c>
      <c r="K343" s="138">
        <f t="shared" ref="K343" si="654">IF(J343&gt;0,RANK(J343,(J$340:J$358)),0)</f>
        <v>0</v>
      </c>
      <c r="L343" s="167">
        <f>'Averages Pivot Table'!Z$115</f>
        <v>59204.074156305505</v>
      </c>
      <c r="M343" s="138">
        <f t="shared" ref="M343" si="655">IF(L343&gt;0,RANK(L343,(L$340:L$358)),0)</f>
        <v>2</v>
      </c>
      <c r="N343" s="167">
        <f>'Averages Pivot Table'!Z$119</f>
        <v>59204.074156305505</v>
      </c>
      <c r="O343" s="138">
        <f t="shared" ref="O343" si="656">IF(N343&gt;0,RANK(N343,(N$340:N$358)),0)</f>
        <v>1</v>
      </c>
    </row>
    <row r="344" spans="1:19" ht="12.95" customHeight="1" x14ac:dyDescent="0.25">
      <c r="A344" s="136"/>
      <c r="B344" s="167"/>
      <c r="C344" s="138"/>
      <c r="D344" s="167"/>
      <c r="E344" s="138"/>
      <c r="F344" s="167"/>
      <c r="G344" s="138"/>
      <c r="H344" s="167"/>
      <c r="I344" s="138"/>
      <c r="J344" s="167"/>
      <c r="K344" s="138"/>
      <c r="L344" s="167"/>
      <c r="M344" s="138"/>
      <c r="N344" s="167"/>
      <c r="O344" s="138"/>
    </row>
    <row r="345" spans="1:19" ht="12.95" customHeight="1" x14ac:dyDescent="0.25">
      <c r="A345" s="136" t="s">
        <v>199</v>
      </c>
      <c r="B345" s="167">
        <f>'Averages Pivot Table'!Z$124</f>
        <v>65621.98529411765</v>
      </c>
      <c r="C345" s="138">
        <f t="shared" si="641"/>
        <v>1</v>
      </c>
      <c r="D345" s="167">
        <f>'Averages Pivot Table'!Z$128</f>
        <v>52151.211382113819</v>
      </c>
      <c r="E345" s="138">
        <f t="shared" si="641"/>
        <v>2</v>
      </c>
      <c r="F345" s="167">
        <f>'Averages Pivot Table'!Z$132</f>
        <v>46297.748984710939</v>
      </c>
      <c r="G345" s="138">
        <f t="shared" ref="G345" si="657">IF(F345&gt;0,RANK(F345,(F$340:F$358)),0)</f>
        <v>2</v>
      </c>
      <c r="H345" s="167">
        <f>'Averages Pivot Table'!Z$136</f>
        <v>23854.296296296296</v>
      </c>
      <c r="I345" s="138">
        <f t="shared" ref="I345" si="658">IF(H345&gt;0,RANK(H345,(H$340:H$358)),0)</f>
        <v>3</v>
      </c>
      <c r="J345" s="167">
        <f>'Averages Pivot Table'!Z$140</f>
        <v>32250</v>
      </c>
      <c r="K345" s="138">
        <f t="shared" ref="K345" si="659">IF(J345&gt;0,RANK(J345,(J$340:J$358)),0)</f>
        <v>2</v>
      </c>
      <c r="L345" s="167">
        <f>'Averages Pivot Table'!Z$144</f>
        <v>0</v>
      </c>
      <c r="M345" s="138">
        <f t="shared" ref="M345" si="660">IF(L345&gt;0,RANK(L345,(L$340:L$358)),0)</f>
        <v>0</v>
      </c>
      <c r="N345" s="167">
        <f>'Averages Pivot Table'!Z$148</f>
        <v>47850.368594958571</v>
      </c>
      <c r="O345" s="138">
        <f t="shared" ref="O345" si="661">IF(N345&gt;0,RANK(N345,(N$340:N$358)),0)</f>
        <v>5</v>
      </c>
    </row>
    <row r="346" spans="1:19" ht="12.95" customHeight="1" x14ac:dyDescent="0.25">
      <c r="A346" s="136" t="s">
        <v>200</v>
      </c>
      <c r="B346" s="167">
        <f>'Averages Pivot Table'!Z$153</f>
        <v>0</v>
      </c>
      <c r="C346" s="138">
        <f t="shared" si="641"/>
        <v>0</v>
      </c>
      <c r="D346" s="167">
        <f>'Averages Pivot Table'!Z$157</f>
        <v>0</v>
      </c>
      <c r="E346" s="138">
        <f t="shared" si="641"/>
        <v>0</v>
      </c>
      <c r="F346" s="167">
        <f>'Averages Pivot Table'!Z$161</f>
        <v>0</v>
      </c>
      <c r="G346" s="138">
        <f t="shared" ref="G346" si="662">IF(F346&gt;0,RANK(F346,(F$340:F$358)),0)</f>
        <v>0</v>
      </c>
      <c r="H346" s="167">
        <f>'Averages Pivot Table'!Z$165</f>
        <v>0</v>
      </c>
      <c r="I346" s="138">
        <f t="shared" ref="I346" si="663">IF(H346&gt;0,RANK(H346,(H$340:H$358)),0)</f>
        <v>0</v>
      </c>
      <c r="J346" s="167">
        <f>'Averages Pivot Table'!Z$169</f>
        <v>0</v>
      </c>
      <c r="K346" s="138">
        <f t="shared" ref="K346" si="664">IF(J346&gt;0,RANK(J346,(J$340:J$358)),0)</f>
        <v>0</v>
      </c>
      <c r="L346" s="167">
        <f>'Averages Pivot Table'!Z$173</f>
        <v>0</v>
      </c>
      <c r="M346" s="138">
        <f t="shared" ref="M346" si="665">IF(L346&gt;0,RANK(L346,(L$340:L$358)),0)</f>
        <v>0</v>
      </c>
      <c r="N346" s="167">
        <f>'Averages Pivot Table'!Z$177</f>
        <v>0</v>
      </c>
      <c r="O346" s="138">
        <f t="shared" ref="O346" si="666">IF(N346&gt;0,RANK(N346,(N$340:N$358)),0)</f>
        <v>0</v>
      </c>
    </row>
    <row r="347" spans="1:19" ht="12.95" customHeight="1" x14ac:dyDescent="0.25">
      <c r="A347" s="136" t="s">
        <v>201</v>
      </c>
      <c r="B347" s="167">
        <f>'Averages Pivot Table'!Z$182</f>
        <v>0</v>
      </c>
      <c r="C347" s="138">
        <f t="shared" si="641"/>
        <v>0</v>
      </c>
      <c r="D347" s="167">
        <f>'Averages Pivot Table'!Z$186</f>
        <v>0</v>
      </c>
      <c r="E347" s="138">
        <f t="shared" si="641"/>
        <v>0</v>
      </c>
      <c r="F347" s="167">
        <f>'Averages Pivot Table'!Z$190</f>
        <v>0</v>
      </c>
      <c r="G347" s="138">
        <f t="shared" ref="G347" si="667">IF(F347&gt;0,RANK(F347,(F$340:F$358)),0)</f>
        <v>0</v>
      </c>
      <c r="H347" s="167">
        <f>'Averages Pivot Table'!Z$194</f>
        <v>0</v>
      </c>
      <c r="I347" s="138">
        <f t="shared" ref="I347" si="668">IF(H347&gt;0,RANK(H347,(H$340:H$358)),0)</f>
        <v>0</v>
      </c>
      <c r="J347" s="167">
        <f>'Averages Pivot Table'!Z$198</f>
        <v>0</v>
      </c>
      <c r="K347" s="138">
        <f t="shared" ref="K347" si="669">IF(J347&gt;0,RANK(J347,(J$340:J$358)),0)</f>
        <v>0</v>
      </c>
      <c r="L347" s="167">
        <f>'Averages Pivot Table'!Z$202</f>
        <v>0</v>
      </c>
      <c r="M347" s="138">
        <f t="shared" ref="M347" si="670">IF(L347&gt;0,RANK(L347,(L$340:L$358)),0)</f>
        <v>0</v>
      </c>
      <c r="N347" s="167">
        <f>'Averages Pivot Table'!Z$206</f>
        <v>0</v>
      </c>
      <c r="O347" s="138">
        <f t="shared" ref="O347" si="671">IF(N347&gt;0,RANK(N347,(N$340:N$358)),0)</f>
        <v>0</v>
      </c>
    </row>
    <row r="348" spans="1:19" ht="12.95" customHeight="1" x14ac:dyDescent="0.25">
      <c r="A348" s="136" t="s">
        <v>202</v>
      </c>
      <c r="B348" s="167">
        <f>'Averages Pivot Table'!Z$211</f>
        <v>0</v>
      </c>
      <c r="C348" s="138">
        <f t="shared" si="641"/>
        <v>0</v>
      </c>
      <c r="D348" s="167">
        <f>'Averages Pivot Table'!Z$215</f>
        <v>0</v>
      </c>
      <c r="E348" s="138">
        <f t="shared" si="641"/>
        <v>0</v>
      </c>
      <c r="F348" s="167">
        <f>'Averages Pivot Table'!Z$219</f>
        <v>0</v>
      </c>
      <c r="G348" s="138">
        <f t="shared" ref="G348" si="672">IF(F348&gt;0,RANK(F348,(F$340:F$358)),0)</f>
        <v>0</v>
      </c>
      <c r="H348" s="167">
        <f>'Averages Pivot Table'!Z$223</f>
        <v>0</v>
      </c>
      <c r="I348" s="138">
        <f t="shared" ref="I348" si="673">IF(H348&gt;0,RANK(H348,(H$340:H$358)),0)</f>
        <v>0</v>
      </c>
      <c r="J348" s="167">
        <f>'Averages Pivot Table'!Z$227</f>
        <v>0</v>
      </c>
      <c r="K348" s="138">
        <f t="shared" ref="K348" si="674">IF(J348&gt;0,RANK(J348,(J$340:J$358)),0)</f>
        <v>0</v>
      </c>
      <c r="L348" s="167">
        <f>'Averages Pivot Table'!Z$231</f>
        <v>0</v>
      </c>
      <c r="M348" s="138">
        <f t="shared" ref="M348" si="675">IF(L348&gt;0,RANK(L348,(L$340:L$358)),0)</f>
        <v>0</v>
      </c>
      <c r="N348" s="167">
        <f>'Averages Pivot Table'!Z$235</f>
        <v>0</v>
      </c>
      <c r="O348" s="138">
        <f t="shared" ref="O348" si="676">IF(N348&gt;0,RANK(N348,(N$340:N$358)),0)</f>
        <v>0</v>
      </c>
    </row>
    <row r="349" spans="1:19" ht="12.95" customHeight="1" x14ac:dyDescent="0.25">
      <c r="A349" s="136"/>
      <c r="B349" s="167"/>
      <c r="C349" s="138"/>
      <c r="D349" s="167"/>
      <c r="E349" s="138"/>
      <c r="F349" s="167"/>
      <c r="G349" s="138"/>
      <c r="H349" s="167"/>
      <c r="I349" s="138"/>
      <c r="J349" s="167"/>
      <c r="K349" s="138"/>
      <c r="L349" s="167"/>
      <c r="M349" s="138"/>
      <c r="N349" s="167"/>
      <c r="O349" s="138"/>
    </row>
    <row r="350" spans="1:19" ht="12.95" customHeight="1" x14ac:dyDescent="0.25">
      <c r="A350" s="136" t="s">
        <v>203</v>
      </c>
      <c r="B350" s="167">
        <f>'Averages Pivot Table'!Z$240</f>
        <v>0</v>
      </c>
      <c r="C350" s="138">
        <f t="shared" si="641"/>
        <v>0</v>
      </c>
      <c r="D350" s="167">
        <f>'Averages Pivot Table'!Z$244</f>
        <v>0</v>
      </c>
      <c r="E350" s="138">
        <f t="shared" si="641"/>
        <v>0</v>
      </c>
      <c r="F350" s="167">
        <f>'Averages Pivot Table'!Z$248</f>
        <v>0</v>
      </c>
      <c r="G350" s="138">
        <f t="shared" ref="G350" si="677">IF(F350&gt;0,RANK(F350,(F$340:F$358)),0)</f>
        <v>0</v>
      </c>
      <c r="H350" s="167">
        <f>'Averages Pivot Table'!Z$252</f>
        <v>0</v>
      </c>
      <c r="I350" s="138">
        <f t="shared" ref="I350" si="678">IF(H350&gt;0,RANK(H350,(H$340:H$358)),0)</f>
        <v>0</v>
      </c>
      <c r="J350" s="167">
        <f>'Averages Pivot Table'!Z$256</f>
        <v>0</v>
      </c>
      <c r="K350" s="138">
        <f t="shared" ref="K350" si="679">IF(J350&gt;0,RANK(J350,(J$340:J$358)),0)</f>
        <v>0</v>
      </c>
      <c r="L350" s="167">
        <f>'Averages Pivot Table'!Z$260</f>
        <v>0</v>
      </c>
      <c r="M350" s="138">
        <f t="shared" ref="M350" si="680">IF(L350&gt;0,RANK(L350,(L$340:L$358)),0)</f>
        <v>0</v>
      </c>
      <c r="N350" s="167">
        <f>'Averages Pivot Table'!Z$264</f>
        <v>0</v>
      </c>
      <c r="O350" s="138">
        <f t="shared" ref="O350" si="681">IF(N350&gt;0,RANK(N350,(N$340:N$358)),0)</f>
        <v>0</v>
      </c>
    </row>
    <row r="351" spans="1:19" ht="12.95" customHeight="1" x14ac:dyDescent="0.25">
      <c r="A351" s="136" t="s">
        <v>204</v>
      </c>
      <c r="B351" s="167">
        <f>'Averages Pivot Table'!Z$269</f>
        <v>0</v>
      </c>
      <c r="C351" s="138">
        <f t="shared" si="641"/>
        <v>0</v>
      </c>
      <c r="D351" s="167">
        <f>'Averages Pivot Table'!Z$273</f>
        <v>0</v>
      </c>
      <c r="E351" s="138">
        <f t="shared" si="641"/>
        <v>0</v>
      </c>
      <c r="F351" s="167">
        <f>'Averages Pivot Table'!Z$277</f>
        <v>0</v>
      </c>
      <c r="G351" s="138">
        <f t="shared" ref="G351" si="682">IF(F351&gt;0,RANK(F351,(F$340:F$358)),0)</f>
        <v>0</v>
      </c>
      <c r="H351" s="167">
        <f>'Averages Pivot Table'!Z$281</f>
        <v>0</v>
      </c>
      <c r="I351" s="138">
        <f t="shared" ref="I351" si="683">IF(H351&gt;0,RANK(H351,(H$340:H$358)),0)</f>
        <v>0</v>
      </c>
      <c r="J351" s="167">
        <f>'Averages Pivot Table'!Z$285</f>
        <v>0</v>
      </c>
      <c r="K351" s="138">
        <f t="shared" ref="K351" si="684">IF(J351&gt;0,RANK(J351,(J$340:J$358)),0)</f>
        <v>0</v>
      </c>
      <c r="L351" s="167">
        <f>'Averages Pivot Table'!Z$289</f>
        <v>0</v>
      </c>
      <c r="M351" s="138">
        <f t="shared" ref="M351" si="685">IF(L351&gt;0,RANK(L351,(L$340:L$358)),0)</f>
        <v>0</v>
      </c>
      <c r="N351" s="167">
        <f>'Averages Pivot Table'!Z$293</f>
        <v>0</v>
      </c>
      <c r="O351" s="138">
        <f t="shared" ref="O351" si="686">IF(N351&gt;0,RANK(N351,(N$340:N$358)),0)</f>
        <v>0</v>
      </c>
    </row>
    <row r="352" spans="1:19" ht="12.95" customHeight="1" x14ac:dyDescent="0.25">
      <c r="A352" s="136" t="s">
        <v>205</v>
      </c>
      <c r="B352" s="167">
        <f>'Averages Pivot Table'!Z$298</f>
        <v>0</v>
      </c>
      <c r="C352" s="138">
        <f t="shared" si="641"/>
        <v>0</v>
      </c>
      <c r="D352" s="167">
        <f>'Averages Pivot Table'!Z$302</f>
        <v>0</v>
      </c>
      <c r="E352" s="138">
        <f t="shared" si="641"/>
        <v>0</v>
      </c>
      <c r="F352" s="167">
        <f>'Averages Pivot Table'!Z$306</f>
        <v>0</v>
      </c>
      <c r="G352" s="138">
        <f t="shared" ref="G352" si="687">IF(F352&gt;0,RANK(F352,(F$340:F$358)),0)</f>
        <v>0</v>
      </c>
      <c r="H352" s="167">
        <f>'Averages Pivot Table'!Z$310</f>
        <v>0</v>
      </c>
      <c r="I352" s="138">
        <f t="shared" ref="I352" si="688">IF(H352&gt;0,RANK(H352,(H$340:H$358)),0)</f>
        <v>0</v>
      </c>
      <c r="J352" s="167">
        <f>'Averages Pivot Table'!Z$314</f>
        <v>0</v>
      </c>
      <c r="K352" s="138">
        <f t="shared" ref="K352" si="689">IF(J352&gt;0,RANK(J352,(J$340:J$358)),0)</f>
        <v>0</v>
      </c>
      <c r="L352" s="167">
        <f>'Averages Pivot Table'!Z$318</f>
        <v>54358.342857142859</v>
      </c>
      <c r="M352" s="138">
        <f t="shared" ref="M352" si="690">IF(L352&gt;0,RANK(L352,(L$340:L$358)),0)</f>
        <v>3</v>
      </c>
      <c r="N352" s="167">
        <f>'Averages Pivot Table'!Z$322</f>
        <v>54358.342857142859</v>
      </c>
      <c r="O352" s="138">
        <f t="shared" ref="O352" si="691">IF(N352&gt;0,RANK(N352,(N$340:N$358)),0)</f>
        <v>2</v>
      </c>
    </row>
    <row r="353" spans="1:19" ht="12.95" customHeight="1" x14ac:dyDescent="0.25">
      <c r="A353" s="136" t="s">
        <v>206</v>
      </c>
      <c r="B353" s="167">
        <f>'Averages Pivot Table'!Z$327</f>
        <v>0</v>
      </c>
      <c r="C353" s="138">
        <f t="shared" si="641"/>
        <v>0</v>
      </c>
      <c r="D353" s="167">
        <f>'Averages Pivot Table'!Z$331</f>
        <v>0</v>
      </c>
      <c r="E353" s="138">
        <f t="shared" si="641"/>
        <v>0</v>
      </c>
      <c r="F353" s="167">
        <f>'Averages Pivot Table'!Z$335</f>
        <v>0</v>
      </c>
      <c r="G353" s="138">
        <f t="shared" ref="G353" si="692">IF(F353&gt;0,RANK(F353,(F$340:F$358)),0)</f>
        <v>0</v>
      </c>
      <c r="H353" s="167">
        <f>'Averages Pivot Table'!Z$339</f>
        <v>0</v>
      </c>
      <c r="I353" s="138">
        <f t="shared" ref="I353" si="693">IF(H353&gt;0,RANK(H353,(H$340:H$358)),0)</f>
        <v>0</v>
      </c>
      <c r="J353" s="167">
        <f>'Averages Pivot Table'!Z$343</f>
        <v>0</v>
      </c>
      <c r="K353" s="138">
        <f t="shared" ref="K353" si="694">IF(J353&gt;0,RANK(J353,(J$340:J$358)),0)</f>
        <v>0</v>
      </c>
      <c r="L353" s="167">
        <f>'Averages Pivot Table'!Z$347</f>
        <v>0</v>
      </c>
      <c r="M353" s="138">
        <f t="shared" ref="M353" si="695">IF(L353&gt;0,RANK(L353,(L$340:L$358)),0)</f>
        <v>0</v>
      </c>
      <c r="N353" s="167">
        <f>'Averages Pivot Table'!Z$351</f>
        <v>0</v>
      </c>
      <c r="O353" s="138">
        <f t="shared" ref="O353" si="696">IF(N353&gt;0,RANK(N353,(N$340:N$358)),0)</f>
        <v>0</v>
      </c>
    </row>
    <row r="354" spans="1:19" ht="12.95" customHeight="1" x14ac:dyDescent="0.25">
      <c r="A354" s="136"/>
      <c r="B354" s="167"/>
      <c r="C354" s="138"/>
      <c r="D354" s="167"/>
      <c r="E354" s="138"/>
      <c r="F354" s="167"/>
      <c r="G354" s="138"/>
      <c r="H354" s="167"/>
      <c r="I354" s="138"/>
      <c r="J354" s="167"/>
      <c r="K354" s="138"/>
      <c r="L354" s="167"/>
      <c r="M354" s="138"/>
      <c r="N354" s="167"/>
      <c r="O354" s="138"/>
    </row>
    <row r="355" spans="1:19" ht="12.95" customHeight="1" x14ac:dyDescent="0.25">
      <c r="A355" s="136" t="s">
        <v>207</v>
      </c>
      <c r="B355" s="137">
        <f>'Averages Pivot Table'!Z$356</f>
        <v>0</v>
      </c>
      <c r="C355" s="138">
        <f t="shared" si="641"/>
        <v>0</v>
      </c>
      <c r="D355" s="137">
        <f>'Averages Pivot Table'!Z$360</f>
        <v>0</v>
      </c>
      <c r="E355" s="138">
        <f t="shared" si="641"/>
        <v>0</v>
      </c>
      <c r="F355" s="137">
        <f>'Averages Pivot Table'!Z$364</f>
        <v>0</v>
      </c>
      <c r="G355" s="138">
        <f t="shared" ref="G355" si="697">IF(F355&gt;0,RANK(F355,(F$340:F$358)),0)</f>
        <v>0</v>
      </c>
      <c r="H355" s="137">
        <f>'Averages Pivot Table'!Z$368</f>
        <v>0</v>
      </c>
      <c r="I355" s="138">
        <f t="shared" ref="I355" si="698">IF(H355&gt;0,RANK(H355,(H$340:H$358)),0)</f>
        <v>0</v>
      </c>
      <c r="J355" s="137">
        <f>'Averages Pivot Table'!Z$372</f>
        <v>0</v>
      </c>
      <c r="K355" s="138">
        <f t="shared" ref="K355" si="699">IF(J355&gt;0,RANK(J355,(J$340:J$358)),0)</f>
        <v>0</v>
      </c>
      <c r="L355" s="137">
        <f>'Averages Pivot Table'!Z$376</f>
        <v>0</v>
      </c>
      <c r="M355" s="138">
        <f t="shared" ref="M355" si="700">IF(L355&gt;0,RANK(L355,(L$340:L$358)),0)</f>
        <v>0</v>
      </c>
      <c r="N355" s="137">
        <f>'Averages Pivot Table'!Z$380</f>
        <v>0</v>
      </c>
      <c r="O355" s="138">
        <f t="shared" ref="O355" si="701">IF(N355&gt;0,RANK(N355,(N$340:N$358)),0)</f>
        <v>0</v>
      </c>
    </row>
    <row r="356" spans="1:19" ht="12.95" customHeight="1" x14ac:dyDescent="0.25">
      <c r="A356" s="136" t="s">
        <v>208</v>
      </c>
      <c r="B356" s="137">
        <f>'Averages Pivot Table'!Z$385</f>
        <v>65471.335696148963</v>
      </c>
      <c r="C356" s="138">
        <f t="shared" si="641"/>
        <v>2</v>
      </c>
      <c r="D356" s="137">
        <f>'Averages Pivot Table'!Z$389</f>
        <v>54739.950844509294</v>
      </c>
      <c r="E356" s="138">
        <f t="shared" si="641"/>
        <v>1</v>
      </c>
      <c r="F356" s="137">
        <f>'Averages Pivot Table'!Z$393</f>
        <v>50972.321580956661</v>
      </c>
      <c r="G356" s="138">
        <f t="shared" ref="G356" si="702">IF(F356&gt;0,RANK(F356,(F$340:F$358)),0)</f>
        <v>1</v>
      </c>
      <c r="H356" s="137">
        <f>'Averages Pivot Table'!Z$397</f>
        <v>51563.86243420792</v>
      </c>
      <c r="I356" s="138">
        <f t="shared" ref="I356" si="703">IF(H356&gt;0,RANK(H356,(H$340:H$358)),0)</f>
        <v>1</v>
      </c>
      <c r="J356" s="137">
        <f>'Averages Pivot Table'!Z$401</f>
        <v>0</v>
      </c>
      <c r="K356" s="138">
        <f t="shared" ref="K356" si="704">IF(J356&gt;0,RANK(J356,(J$340:J$358)),0)</f>
        <v>0</v>
      </c>
      <c r="L356" s="137">
        <f>'Averages Pivot Table'!Z$405</f>
        <v>64981.63636363636</v>
      </c>
      <c r="M356" s="138">
        <f t="shared" ref="M356" si="705">IF(L356&gt;0,RANK(L356,(L$340:L$358)),0)</f>
        <v>1</v>
      </c>
      <c r="N356" s="137">
        <f>'Averages Pivot Table'!Z$409</f>
        <v>53138.270366049954</v>
      </c>
      <c r="O356" s="138">
        <f t="shared" ref="O356" si="706">IF(N356&gt;0,RANK(N356,(N$340:N$358)),0)</f>
        <v>3</v>
      </c>
    </row>
    <row r="357" spans="1:19" ht="12.95" customHeight="1" x14ac:dyDescent="0.25">
      <c r="A357" s="136" t="s">
        <v>209</v>
      </c>
      <c r="B357" s="137">
        <f>'Averages Pivot Table'!Z$414</f>
        <v>0</v>
      </c>
      <c r="C357" s="138">
        <f t="shared" si="641"/>
        <v>0</v>
      </c>
      <c r="D357" s="137">
        <f>'Averages Pivot Table'!Z$418</f>
        <v>0</v>
      </c>
      <c r="E357" s="138">
        <f t="shared" si="641"/>
        <v>0</v>
      </c>
      <c r="F357" s="137">
        <f>'Averages Pivot Table'!Z$422</f>
        <v>0</v>
      </c>
      <c r="G357" s="138">
        <f t="shared" ref="G357" si="707">IF(F357&gt;0,RANK(F357,(F$340:F$358)),0)</f>
        <v>0</v>
      </c>
      <c r="H357" s="137">
        <f>'Averages Pivot Table'!Z$426</f>
        <v>0</v>
      </c>
      <c r="I357" s="138">
        <f t="shared" ref="I357" si="708">IF(H357&gt;0,RANK(H357,(H$340:H$358)),0)</f>
        <v>0</v>
      </c>
      <c r="J357" s="137">
        <f>'Averages Pivot Table'!Z$430</f>
        <v>0</v>
      </c>
      <c r="K357" s="138">
        <f t="shared" ref="K357" si="709">IF(J357&gt;0,RANK(J357,(J$340:J$358)),0)</f>
        <v>0</v>
      </c>
      <c r="L357" s="137">
        <f>'Averages Pivot Table'!Z$434</f>
        <v>0</v>
      </c>
      <c r="M357" s="138">
        <f t="shared" ref="M357" si="710">IF(L357&gt;0,RANK(L357,(L$340:L$358)),0)</f>
        <v>0</v>
      </c>
      <c r="N357" s="137">
        <f>'Averages Pivot Table'!Z$438</f>
        <v>0</v>
      </c>
      <c r="O357" s="138">
        <f t="shared" ref="O357" si="711">IF(N357&gt;0,RANK(N357,(N$340:N$358)),0)</f>
        <v>0</v>
      </c>
    </row>
    <row r="358" spans="1:19" ht="12.95" customHeight="1" x14ac:dyDescent="0.25">
      <c r="A358" s="161" t="s">
        <v>210</v>
      </c>
      <c r="B358" s="140">
        <f>'Averages Pivot Table'!Z$443</f>
        <v>62579.626296522263</v>
      </c>
      <c r="C358" s="141">
        <f t="shared" si="641"/>
        <v>3</v>
      </c>
      <c r="D358" s="140">
        <f>'Averages Pivot Table'!Z$447</f>
        <v>52054.216836734689</v>
      </c>
      <c r="E358" s="141">
        <f t="shared" si="641"/>
        <v>3</v>
      </c>
      <c r="F358" s="140">
        <f>'Averages Pivot Table'!Z$451</f>
        <v>44710.28396479143</v>
      </c>
      <c r="G358" s="141">
        <f t="shared" ref="G358" si="712">IF(F358&gt;0,RANK(F358,(F$340:F$358)),0)</f>
        <v>3</v>
      </c>
      <c r="H358" s="140">
        <f>'Averages Pivot Table'!Z$455</f>
        <v>38092.015538033396</v>
      </c>
      <c r="I358" s="141">
        <f t="shared" ref="I358" si="713">IF(H358&gt;0,RANK(H358,(H$340:H$358)),0)</f>
        <v>2</v>
      </c>
      <c r="J358" s="140">
        <f>'Averages Pivot Table'!Z$459</f>
        <v>33840.947368421053</v>
      </c>
      <c r="K358" s="141">
        <f t="shared" ref="K358" si="714">IF(J358&gt;0,RANK(J358,(J$340:J$358)),0)</f>
        <v>1</v>
      </c>
      <c r="L358" s="140">
        <f>'Averages Pivot Table'!Z$463</f>
        <v>0</v>
      </c>
      <c r="M358" s="141">
        <f t="shared" ref="M358" si="715">IF(L358&gt;0,RANK(L358,(L$340:L$358)),0)</f>
        <v>0</v>
      </c>
      <c r="N358" s="140">
        <f>'Averages Pivot Table'!Z$467</f>
        <v>48895.120225358536</v>
      </c>
      <c r="O358" s="141">
        <f t="shared" ref="O358" si="716">IF(N358&gt;0,RANK(N358,(N$340:N$358)),0)</f>
        <v>4</v>
      </c>
    </row>
    <row r="359" spans="1:19" ht="22.5" customHeight="1" x14ac:dyDescent="0.25">
      <c r="A359" s="716" t="s">
        <v>1127</v>
      </c>
      <c r="B359" s="716"/>
      <c r="C359" s="716"/>
      <c r="D359" s="716"/>
      <c r="E359" s="716"/>
      <c r="F359" s="716"/>
      <c r="G359" s="716"/>
      <c r="H359" s="716"/>
      <c r="I359" s="716"/>
      <c r="J359" s="716"/>
      <c r="K359" s="716"/>
      <c r="L359" s="716"/>
      <c r="M359" s="716"/>
      <c r="N359" s="716"/>
      <c r="O359" s="716"/>
    </row>
    <row r="360" spans="1:19" x14ac:dyDescent="0.25">
      <c r="O360" s="102" t="s">
        <v>1124</v>
      </c>
    </row>
    <row r="361" spans="1:19" ht="18" x14ac:dyDescent="0.25">
      <c r="A361" s="82" t="s">
        <v>238</v>
      </c>
      <c r="B361" s="82"/>
      <c r="C361" s="82"/>
      <c r="D361" s="82"/>
      <c r="E361" s="82"/>
      <c r="F361" s="82"/>
      <c r="G361" s="82"/>
      <c r="H361" s="82"/>
      <c r="I361" s="82"/>
      <c r="J361" s="82"/>
      <c r="K361" s="82"/>
      <c r="L361" s="82"/>
      <c r="M361" s="82"/>
      <c r="N361" s="82"/>
      <c r="O361" s="82"/>
    </row>
    <row r="362" spans="1:19" x14ac:dyDescent="0.25">
      <c r="A362" s="180"/>
      <c r="B362" s="87"/>
      <c r="C362" s="87"/>
      <c r="D362" s="87"/>
      <c r="E362" s="87"/>
      <c r="F362" s="87"/>
      <c r="G362" s="87"/>
      <c r="H362" s="87"/>
      <c r="I362" s="87"/>
      <c r="J362" s="87"/>
      <c r="K362" s="87"/>
      <c r="L362" s="87"/>
      <c r="M362" s="87"/>
      <c r="N362" s="87"/>
      <c r="O362" s="87"/>
    </row>
    <row r="363" spans="1:19" x14ac:dyDescent="0.25">
      <c r="A363" s="707" t="s">
        <v>218</v>
      </c>
      <c r="B363" s="707"/>
      <c r="C363" s="707"/>
      <c r="D363" s="707"/>
      <c r="E363" s="707"/>
      <c r="F363" s="707"/>
      <c r="G363" s="707"/>
      <c r="H363" s="707"/>
      <c r="I363" s="707"/>
      <c r="J363" s="707"/>
      <c r="K363" s="707"/>
      <c r="L363" s="707"/>
      <c r="M363" s="707"/>
      <c r="N363" s="707"/>
      <c r="O363" s="707"/>
    </row>
    <row r="364" spans="1:19" x14ac:dyDescent="0.25">
      <c r="A364" s="707" t="s">
        <v>283</v>
      </c>
      <c r="B364" s="707"/>
      <c r="C364" s="707"/>
      <c r="D364" s="707"/>
      <c r="E364" s="707"/>
      <c r="F364" s="707"/>
      <c r="G364" s="707"/>
      <c r="H364" s="707"/>
      <c r="I364" s="707"/>
      <c r="J364" s="707"/>
      <c r="K364" s="707"/>
      <c r="L364" s="707"/>
      <c r="M364" s="707"/>
      <c r="N364" s="707"/>
      <c r="O364" s="707"/>
    </row>
    <row r="365" spans="1:19" x14ac:dyDescent="0.25">
      <c r="A365" s="136"/>
      <c r="B365" s="136"/>
      <c r="C365" s="136"/>
      <c r="D365" s="136"/>
      <c r="E365" s="136"/>
      <c r="F365" s="136"/>
      <c r="G365" s="136"/>
      <c r="H365" s="136"/>
      <c r="I365" s="136"/>
      <c r="J365" s="136"/>
      <c r="K365" s="136"/>
      <c r="L365" s="136"/>
      <c r="M365" s="136"/>
      <c r="N365" s="136"/>
      <c r="O365" s="136"/>
    </row>
    <row r="366" spans="1:19" ht="31.5" customHeight="1" x14ac:dyDescent="0.25">
      <c r="A366" s="114"/>
      <c r="B366" s="182" t="s">
        <v>3</v>
      </c>
      <c r="C366" s="183"/>
      <c r="D366" s="184" t="s">
        <v>4</v>
      </c>
      <c r="E366" s="185"/>
      <c r="F366" s="184" t="s">
        <v>5</v>
      </c>
      <c r="G366" s="185"/>
      <c r="H366" s="182" t="s">
        <v>6</v>
      </c>
      <c r="I366" s="183"/>
      <c r="J366" s="184" t="s">
        <v>219</v>
      </c>
      <c r="K366" s="185"/>
      <c r="L366" s="183" t="s">
        <v>23</v>
      </c>
      <c r="M366" s="183"/>
      <c r="N366" s="183" t="s">
        <v>220</v>
      </c>
      <c r="O366" s="183"/>
    </row>
    <row r="367" spans="1:19" x14ac:dyDescent="0.25">
      <c r="A367" s="120"/>
      <c r="B367" s="116" t="s">
        <v>193</v>
      </c>
      <c r="C367" s="115" t="s">
        <v>170</v>
      </c>
      <c r="D367" s="116" t="s">
        <v>193</v>
      </c>
      <c r="E367" s="115" t="s">
        <v>170</v>
      </c>
      <c r="F367" s="116" t="s">
        <v>193</v>
      </c>
      <c r="G367" s="115" t="s">
        <v>170</v>
      </c>
      <c r="H367" s="116" t="s">
        <v>193</v>
      </c>
      <c r="I367" s="115" t="s">
        <v>170</v>
      </c>
      <c r="J367" s="116" t="s">
        <v>193</v>
      </c>
      <c r="K367" s="115" t="s">
        <v>170</v>
      </c>
      <c r="L367" s="116" t="s">
        <v>193</v>
      </c>
      <c r="M367" s="115" t="s">
        <v>170</v>
      </c>
      <c r="N367" s="116" t="s">
        <v>193</v>
      </c>
      <c r="O367" s="115" t="s">
        <v>170</v>
      </c>
    </row>
    <row r="368" spans="1:19" s="127" customFormat="1" ht="18" customHeight="1" x14ac:dyDescent="0.25">
      <c r="A368" s="124" t="s">
        <v>194</v>
      </c>
      <c r="B368" s="151">
        <f>'Averages Pivot Table'!AA$471</f>
        <v>63250.276588728273</v>
      </c>
      <c r="C368" s="151"/>
      <c r="D368" s="151">
        <f>'Averages Pivot Table'!AA$475</f>
        <v>54320.537616368543</v>
      </c>
      <c r="E368" s="151"/>
      <c r="F368" s="151">
        <f>'Averages Pivot Table'!AA$479</f>
        <v>49698.747204512998</v>
      </c>
      <c r="G368" s="151"/>
      <c r="H368" s="151">
        <f>'Averages Pivot Table'!AA$483</f>
        <v>46847.659876790465</v>
      </c>
      <c r="I368" s="151"/>
      <c r="J368" s="151">
        <f>'Averages Pivot Table'!AA$487</f>
        <v>49285.55065798702</v>
      </c>
      <c r="K368" s="151"/>
      <c r="L368" s="151">
        <f>'Averages Pivot Table'!AA$491</f>
        <v>50268.749238989403</v>
      </c>
      <c r="M368" s="187"/>
      <c r="N368" s="151">
        <f>'Averages Pivot Table'!AA$495</f>
        <v>51958.681136994594</v>
      </c>
      <c r="O368" s="188"/>
      <c r="Q368" s="129"/>
      <c r="R368" s="129"/>
      <c r="S368" s="129"/>
    </row>
    <row r="369" spans="1:19" x14ac:dyDescent="0.25">
      <c r="A369" s="136"/>
      <c r="B369" s="131"/>
      <c r="C369" s="155"/>
      <c r="D369" s="131"/>
      <c r="E369" s="155"/>
      <c r="F369" s="131"/>
      <c r="G369" s="155"/>
      <c r="H369" s="131"/>
      <c r="I369" s="155"/>
      <c r="J369" s="131"/>
      <c r="K369" s="155"/>
      <c r="L369" s="131"/>
      <c r="M369" s="155"/>
      <c r="N369" s="131"/>
      <c r="O369" s="132"/>
      <c r="Q369" s="109"/>
      <c r="R369" s="109"/>
      <c r="S369" s="109"/>
    </row>
    <row r="370" spans="1:19" x14ac:dyDescent="0.25">
      <c r="A370" s="136" t="s">
        <v>195</v>
      </c>
      <c r="B370" s="167">
        <f>'Averages Pivot Table'!AA$8</f>
        <v>0</v>
      </c>
      <c r="C370" s="138">
        <f>IF(B370&gt;0,RANK(B370,(B$370:B$388)),0)</f>
        <v>0</v>
      </c>
      <c r="D370" s="167">
        <f>'Averages Pivot Table'!AA$12</f>
        <v>0</v>
      </c>
      <c r="E370" s="138">
        <f>IF(D370&gt;0,RANK(D370,(D$370:D$388)),0)</f>
        <v>0</v>
      </c>
      <c r="F370" s="167">
        <f>'Averages Pivot Table'!AA$16</f>
        <v>0</v>
      </c>
      <c r="G370" s="138">
        <f>IF(F370&gt;0,RANK(F370,(F$370:F$388)),0)</f>
        <v>0</v>
      </c>
      <c r="H370" s="167">
        <f>'Averages Pivot Table'!AA$20</f>
        <v>0</v>
      </c>
      <c r="I370" s="138">
        <f>IF(H370&gt;0,RANK(H370,(H$370:H$388)),0)</f>
        <v>0</v>
      </c>
      <c r="J370" s="167">
        <f>'Averages Pivot Table'!AA$24</f>
        <v>0</v>
      </c>
      <c r="K370" s="138">
        <f>IF(J370&gt;0,RANK(J370,(J$370:J$388)),0)</f>
        <v>0</v>
      </c>
      <c r="L370" s="167">
        <f>'Averages Pivot Table'!AA$28</f>
        <v>59095.094830192596</v>
      </c>
      <c r="M370" s="138">
        <f>IF(L370&gt;0,RANK(L370,(L$370:L$388)),0)</f>
        <v>2</v>
      </c>
      <c r="N370" s="167">
        <f>'Averages Pivot Table'!AA$32</f>
        <v>59095.094830192596</v>
      </c>
      <c r="O370" s="138">
        <f>IF(N370&gt;0,RANK(N370,(N$370:N$388)),0)</f>
        <v>3</v>
      </c>
      <c r="Q370" s="109"/>
      <c r="R370" s="109"/>
      <c r="S370" s="109"/>
    </row>
    <row r="371" spans="1:19" x14ac:dyDescent="0.25">
      <c r="A371" s="136" t="s">
        <v>196</v>
      </c>
      <c r="B371" s="167">
        <f>'Averages Pivot Table'!AA$37</f>
        <v>0</v>
      </c>
      <c r="C371" s="138">
        <f t="shared" ref="C371:E388" si="717">IF(B371&gt;0,RANK(B371,(B$370:B$388)),0)</f>
        <v>0</v>
      </c>
      <c r="D371" s="167">
        <f>'Averages Pivot Table'!AA$41</f>
        <v>0</v>
      </c>
      <c r="E371" s="138">
        <f t="shared" si="717"/>
        <v>0</v>
      </c>
      <c r="F371" s="167">
        <f>'Averages Pivot Table'!AA$45</f>
        <v>0</v>
      </c>
      <c r="G371" s="138">
        <f t="shared" ref="G371" si="718">IF(F371&gt;0,RANK(F371,(F$370:F$388)),0)</f>
        <v>0</v>
      </c>
      <c r="H371" s="167">
        <f>'Averages Pivot Table'!AA$49</f>
        <v>0</v>
      </c>
      <c r="I371" s="138">
        <f t="shared" ref="I371" si="719">IF(H371&gt;0,RANK(H371,(H$370:H$388)),0)</f>
        <v>0</v>
      </c>
      <c r="J371" s="167">
        <f>'Averages Pivot Table'!AA$53</f>
        <v>0</v>
      </c>
      <c r="K371" s="138">
        <f t="shared" ref="K371" si="720">IF(J371&gt;0,RANK(J371,(J$370:J$388)),0)</f>
        <v>0</v>
      </c>
      <c r="L371" s="167">
        <f>'Averages Pivot Table'!AA$57</f>
        <v>50278.236369201186</v>
      </c>
      <c r="M371" s="138">
        <f t="shared" ref="M371" si="721">IF(L371&gt;0,RANK(L371,(L$370:L$388)),0)</f>
        <v>6</v>
      </c>
      <c r="N371" s="167">
        <f>'Averages Pivot Table'!AA$61</f>
        <v>50278.236369201186</v>
      </c>
      <c r="O371" s="138">
        <f t="shared" ref="O371" si="722">IF(N371&gt;0,RANK(N371,(N$370:N$388)),0)</f>
        <v>7</v>
      </c>
      <c r="Q371" s="109"/>
      <c r="R371" s="109"/>
      <c r="S371" s="109"/>
    </row>
    <row r="372" spans="1:19" x14ac:dyDescent="0.25">
      <c r="A372" s="136" t="s">
        <v>197</v>
      </c>
      <c r="B372" s="167">
        <f>'Averages Pivot Table'!AA$66</f>
        <v>0</v>
      </c>
      <c r="C372" s="138">
        <f t="shared" si="717"/>
        <v>0</v>
      </c>
      <c r="D372" s="167">
        <f>'Averages Pivot Table'!AA$70</f>
        <v>0</v>
      </c>
      <c r="E372" s="138">
        <f t="shared" si="717"/>
        <v>0</v>
      </c>
      <c r="F372" s="167">
        <f>'Averages Pivot Table'!AA$74</f>
        <v>0</v>
      </c>
      <c r="G372" s="138">
        <f t="shared" ref="G372" si="723">IF(F372&gt;0,RANK(F372,(F$370:F$388)),0)</f>
        <v>0</v>
      </c>
      <c r="H372" s="167">
        <f>'Averages Pivot Table'!AA$78</f>
        <v>0</v>
      </c>
      <c r="I372" s="138">
        <f t="shared" ref="I372" si="724">IF(H372&gt;0,RANK(H372,(H$370:H$388)),0)</f>
        <v>0</v>
      </c>
      <c r="J372" s="167">
        <f>'Averages Pivot Table'!AA$82</f>
        <v>0</v>
      </c>
      <c r="K372" s="138">
        <f t="shared" ref="K372" si="725">IF(J372&gt;0,RANK(J372,(J$370:J$388)),0)</f>
        <v>0</v>
      </c>
      <c r="L372" s="167">
        <f>'Averages Pivot Table'!AA$86</f>
        <v>84048.726063829788</v>
      </c>
      <c r="M372" s="138">
        <f t="shared" ref="M372" si="726">IF(L372&gt;0,RANK(L372,(L$370:L$388)),0)</f>
        <v>1</v>
      </c>
      <c r="N372" s="167">
        <f>'Averages Pivot Table'!AA$90</f>
        <v>84048.726063829788</v>
      </c>
      <c r="O372" s="138">
        <f t="shared" ref="O372" si="727">IF(N372&gt;0,RANK(N372,(N$370:N$388)),0)</f>
        <v>1</v>
      </c>
      <c r="Q372" s="109"/>
      <c r="R372" s="109"/>
      <c r="S372" s="109"/>
    </row>
    <row r="373" spans="1:19" x14ac:dyDescent="0.25">
      <c r="A373" s="136" t="s">
        <v>198</v>
      </c>
      <c r="B373" s="167">
        <f>'Averages Pivot Table'!AA$95</f>
        <v>0</v>
      </c>
      <c r="C373" s="138">
        <f t="shared" si="717"/>
        <v>0</v>
      </c>
      <c r="D373" s="167">
        <f>'Averages Pivot Table'!AA$99</f>
        <v>0</v>
      </c>
      <c r="E373" s="138">
        <f t="shared" si="717"/>
        <v>0</v>
      </c>
      <c r="F373" s="167">
        <f>'Averages Pivot Table'!AA$103</f>
        <v>0</v>
      </c>
      <c r="G373" s="138">
        <f t="shared" ref="G373" si="728">IF(F373&gt;0,RANK(F373,(F$370:F$388)),0)</f>
        <v>0</v>
      </c>
      <c r="H373" s="167">
        <f>'Averages Pivot Table'!AA$107</f>
        <v>0</v>
      </c>
      <c r="I373" s="138">
        <f t="shared" ref="I373" si="729">IF(H373&gt;0,RANK(H373,(H$370:H$388)),0)</f>
        <v>0</v>
      </c>
      <c r="J373" s="167">
        <f>'Averages Pivot Table'!AA$111</f>
        <v>0</v>
      </c>
      <c r="K373" s="138">
        <f t="shared" ref="K373" si="730">IF(J373&gt;0,RANK(J373,(J$370:J$388)),0)</f>
        <v>0</v>
      </c>
      <c r="L373" s="167">
        <f>'Averages Pivot Table'!AA$115</f>
        <v>53683.265771812083</v>
      </c>
      <c r="M373" s="138">
        <f t="shared" ref="M373" si="731">IF(L373&gt;0,RANK(L373,(L$370:L$388)),0)</f>
        <v>4</v>
      </c>
      <c r="N373" s="167">
        <f>'Averages Pivot Table'!AA$119</f>
        <v>53683.265771812083</v>
      </c>
      <c r="O373" s="138">
        <f t="shared" ref="O373" si="732">IF(N373&gt;0,RANK(N373,(N$370:N$388)),0)</f>
        <v>5</v>
      </c>
      <c r="Q373" s="109"/>
      <c r="R373" s="109"/>
      <c r="S373" s="109"/>
    </row>
    <row r="374" spans="1:19" x14ac:dyDescent="0.25">
      <c r="A374" s="136"/>
      <c r="B374" s="167"/>
      <c r="C374" s="138"/>
      <c r="D374" s="167"/>
      <c r="E374" s="138"/>
      <c r="F374" s="167"/>
      <c r="G374" s="138"/>
      <c r="H374" s="167"/>
      <c r="I374" s="138"/>
      <c r="J374" s="167"/>
      <c r="K374" s="138"/>
      <c r="L374" s="167"/>
      <c r="M374" s="138"/>
      <c r="N374" s="167"/>
      <c r="O374" s="138"/>
      <c r="Q374" s="109"/>
      <c r="R374" s="109"/>
      <c r="S374" s="109"/>
    </row>
    <row r="375" spans="1:19" x14ac:dyDescent="0.25">
      <c r="A375" s="136" t="s">
        <v>199</v>
      </c>
      <c r="B375" s="167">
        <f>'Averages Pivot Table'!AA$124</f>
        <v>64266.368421052633</v>
      </c>
      <c r="C375" s="138">
        <f t="shared" si="717"/>
        <v>3</v>
      </c>
      <c r="D375" s="167">
        <f>'Averages Pivot Table'!AA$128</f>
        <v>56836.888888888891</v>
      </c>
      <c r="E375" s="138">
        <f t="shared" si="717"/>
        <v>2</v>
      </c>
      <c r="F375" s="167">
        <f>'Averages Pivot Table'!AA$132</f>
        <v>44402.902439024387</v>
      </c>
      <c r="G375" s="138">
        <f t="shared" ref="G375" si="733">IF(F375&gt;0,RANK(F375,(F$370:F$388)),0)</f>
        <v>4</v>
      </c>
      <c r="H375" s="167">
        <f>'Averages Pivot Table'!AA$136</f>
        <v>39054.1116751269</v>
      </c>
      <c r="I375" s="138">
        <f t="shared" ref="I375" si="734">IF(H375&gt;0,RANK(H375,(H$370:H$388)),0)</f>
        <v>3</v>
      </c>
      <c r="J375" s="167">
        <f>'Averages Pivot Table'!AA$140</f>
        <v>40664</v>
      </c>
      <c r="K375" s="138">
        <f t="shared" ref="K375" si="735">IF(J375&gt;0,RANK(J375,(J$370:J$388)),0)</f>
        <v>4</v>
      </c>
      <c r="L375" s="167">
        <f>'Averages Pivot Table'!AA$144</f>
        <v>0</v>
      </c>
      <c r="M375" s="138">
        <f t="shared" ref="M375" si="736">IF(L375&gt;0,RANK(L375,(L$370:L$388)),0)</f>
        <v>0</v>
      </c>
      <c r="N375" s="167">
        <f>'Averages Pivot Table'!AA$148</f>
        <v>46671.899590163935</v>
      </c>
      <c r="O375" s="138">
        <f t="shared" ref="O375" si="737">IF(N375&gt;0,RANK(N375,(N$370:N$388)),0)</f>
        <v>10</v>
      </c>
      <c r="Q375" s="109"/>
      <c r="R375" s="109"/>
      <c r="S375" s="109"/>
    </row>
    <row r="376" spans="1:19" x14ac:dyDescent="0.25">
      <c r="A376" s="136" t="s">
        <v>200</v>
      </c>
      <c r="B376" s="167">
        <f>'Averages Pivot Table'!AA$153</f>
        <v>55093.4711005973</v>
      </c>
      <c r="C376" s="138">
        <f t="shared" si="717"/>
        <v>5</v>
      </c>
      <c r="D376" s="167">
        <f>'Averages Pivot Table'!AA$157</f>
        <v>45350.221304538034</v>
      </c>
      <c r="E376" s="138">
        <f t="shared" si="717"/>
        <v>6</v>
      </c>
      <c r="F376" s="167">
        <f>'Averages Pivot Table'!AA$161</f>
        <v>40603.124520154117</v>
      </c>
      <c r="G376" s="138">
        <f t="shared" ref="G376" si="738">IF(F376&gt;0,RANK(F376,(F$370:F$388)),0)</f>
        <v>6</v>
      </c>
      <c r="H376" s="167">
        <f>'Averages Pivot Table'!AA$165</f>
        <v>34641.874315579895</v>
      </c>
      <c r="I376" s="138">
        <f t="shared" ref="I376" si="739">IF(H376&gt;0,RANK(H376,(H$370:H$388)),0)</f>
        <v>6</v>
      </c>
      <c r="J376" s="167">
        <f>'Averages Pivot Table'!AA$169</f>
        <v>12146.714285714286</v>
      </c>
      <c r="K376" s="138">
        <f t="shared" ref="K376" si="740">IF(J376&gt;0,RANK(J376,(J$370:J$388)),0)</f>
        <v>7</v>
      </c>
      <c r="L376" s="167">
        <f>'Averages Pivot Table'!AA$173</f>
        <v>0</v>
      </c>
      <c r="M376" s="138">
        <f t="shared" ref="M376" si="741">IF(L376&gt;0,RANK(L376,(L$370:L$388)),0)</f>
        <v>0</v>
      </c>
      <c r="N376" s="167">
        <f>'Averages Pivot Table'!AA$177</f>
        <v>44185.756411854534</v>
      </c>
      <c r="O376" s="138">
        <f t="shared" ref="O376" si="742">IF(N376&gt;0,RANK(N376,(N$370:N$388)),0)</f>
        <v>13</v>
      </c>
      <c r="Q376" s="109"/>
      <c r="R376" s="109"/>
      <c r="S376" s="109"/>
    </row>
    <row r="377" spans="1:19" x14ac:dyDescent="0.25">
      <c r="A377" s="136" t="s">
        <v>201</v>
      </c>
      <c r="B377" s="167">
        <f>'Averages Pivot Table'!AA$182</f>
        <v>64719.831292516996</v>
      </c>
      <c r="C377" s="138">
        <f t="shared" si="717"/>
        <v>2</v>
      </c>
      <c r="D377" s="167">
        <f>'Averages Pivot Table'!AA$186</f>
        <v>53394.715517241377</v>
      </c>
      <c r="E377" s="138">
        <f t="shared" si="717"/>
        <v>4</v>
      </c>
      <c r="F377" s="167">
        <f>'Averages Pivot Table'!AA$190</f>
        <v>45468.376988636366</v>
      </c>
      <c r="G377" s="138">
        <f t="shared" ref="G377" si="743">IF(F377&gt;0,RANK(F377,(F$370:F$388)),0)</f>
        <v>3</v>
      </c>
      <c r="H377" s="167">
        <f>'Averages Pivot Table'!AA$194</f>
        <v>37270.265993500747</v>
      </c>
      <c r="I377" s="138">
        <f t="shared" ref="I377" si="744">IF(H377&gt;0,RANK(H377,(H$370:H$388)),0)</f>
        <v>4</v>
      </c>
      <c r="J377" s="167">
        <f>'Averages Pivot Table'!AA$198</f>
        <v>51738.666666666664</v>
      </c>
      <c r="K377" s="138">
        <f t="shared" ref="K377" si="745">IF(J377&gt;0,RANK(J377,(J$370:J$388)),0)</f>
        <v>1</v>
      </c>
      <c r="L377" s="167">
        <f>'Averages Pivot Table'!AA$202</f>
        <v>0</v>
      </c>
      <c r="M377" s="138">
        <f t="shared" ref="M377" si="746">IF(L377&gt;0,RANK(L377,(L$370:L$388)),0)</f>
        <v>0</v>
      </c>
      <c r="N377" s="167">
        <f>'Averages Pivot Table'!AA$206</f>
        <v>45060.755103694391</v>
      </c>
      <c r="O377" s="138">
        <f t="shared" ref="O377" si="747">IF(N377&gt;0,RANK(N377,(N$370:N$388)),0)</f>
        <v>11</v>
      </c>
      <c r="Q377" s="109"/>
      <c r="R377" s="109"/>
      <c r="S377" s="109"/>
    </row>
    <row r="378" spans="1:19" x14ac:dyDescent="0.25">
      <c r="A378" s="136" t="s">
        <v>202</v>
      </c>
      <c r="B378" s="167">
        <f>'Averages Pivot Table'!AA$211</f>
        <v>77609.299265186317</v>
      </c>
      <c r="C378" s="138">
        <f t="shared" si="717"/>
        <v>1</v>
      </c>
      <c r="D378" s="167">
        <f>'Averages Pivot Table'!AA$215</f>
        <v>60789.375099374083</v>
      </c>
      <c r="E378" s="138">
        <f t="shared" si="717"/>
        <v>1</v>
      </c>
      <c r="F378" s="167">
        <f>'Averages Pivot Table'!AA$219</f>
        <v>54011.651226697941</v>
      </c>
      <c r="G378" s="138">
        <f t="shared" ref="G378" si="748">IF(F378&gt;0,RANK(F378,(F$370:F$388)),0)</f>
        <v>1</v>
      </c>
      <c r="H378" s="167">
        <f>'Averages Pivot Table'!AA$223</f>
        <v>47788.392320146202</v>
      </c>
      <c r="I378" s="138">
        <f t="shared" ref="I378" si="749">IF(H378&gt;0,RANK(H378,(H$370:H$388)),0)</f>
        <v>2</v>
      </c>
      <c r="J378" s="167">
        <f>'Averages Pivot Table'!AA$227</f>
        <v>18787.534965034967</v>
      </c>
      <c r="K378" s="138">
        <f t="shared" ref="K378" si="750">IF(J378&gt;0,RANK(J378,(J$370:J$388)),0)</f>
        <v>6</v>
      </c>
      <c r="L378" s="167">
        <f>'Averages Pivot Table'!AA$231</f>
        <v>0</v>
      </c>
      <c r="M378" s="138">
        <f t="shared" ref="M378" si="751">IF(L378&gt;0,RANK(L378,(L$370:L$388)),0)</f>
        <v>0</v>
      </c>
      <c r="N378" s="167">
        <f>'Averages Pivot Table'!AA$235</f>
        <v>64386.787691078549</v>
      </c>
      <c r="O378" s="138">
        <f t="shared" ref="O378" si="752">IF(N378&gt;0,RANK(N378,(N$370:N$388)),0)</f>
        <v>2</v>
      </c>
      <c r="Q378" s="109"/>
      <c r="R378" s="109"/>
      <c r="S378" s="109"/>
    </row>
    <row r="379" spans="1:19" x14ac:dyDescent="0.25">
      <c r="A379" s="136"/>
      <c r="B379" s="167"/>
      <c r="C379" s="138"/>
      <c r="D379" s="167"/>
      <c r="E379" s="138"/>
      <c r="F379" s="167"/>
      <c r="G379" s="138"/>
      <c r="H379" s="167"/>
      <c r="I379" s="138"/>
      <c r="J379" s="167"/>
      <c r="K379" s="138"/>
      <c r="L379" s="167"/>
      <c r="M379" s="138"/>
      <c r="N379" s="167"/>
      <c r="O379" s="138"/>
      <c r="Q379" s="109"/>
      <c r="R379" s="109"/>
      <c r="S379" s="109"/>
    </row>
    <row r="380" spans="1:19" x14ac:dyDescent="0.25">
      <c r="A380" s="136" t="s">
        <v>203</v>
      </c>
      <c r="B380" s="167">
        <f>'Averages Pivot Table'!AA$240</f>
        <v>0</v>
      </c>
      <c r="C380" s="138">
        <f t="shared" si="717"/>
        <v>0</v>
      </c>
      <c r="D380" s="167">
        <f>'Averages Pivot Table'!AA$244</f>
        <v>0</v>
      </c>
      <c r="E380" s="138">
        <f t="shared" si="717"/>
        <v>0</v>
      </c>
      <c r="F380" s="167">
        <f>'Averages Pivot Table'!AA$248</f>
        <v>0</v>
      </c>
      <c r="G380" s="138">
        <f t="shared" ref="G380" si="753">IF(F380&gt;0,RANK(F380,(F$370:F$388)),0)</f>
        <v>0</v>
      </c>
      <c r="H380" s="167">
        <f>'Averages Pivot Table'!AA$252</f>
        <v>0</v>
      </c>
      <c r="I380" s="138">
        <f t="shared" ref="I380" si="754">IF(H380&gt;0,RANK(H380,(H$370:H$388)),0)</f>
        <v>0</v>
      </c>
      <c r="J380" s="167">
        <f>'Averages Pivot Table'!AA$256</f>
        <v>0</v>
      </c>
      <c r="K380" s="138">
        <f t="shared" ref="K380" si="755">IF(J380&gt;0,RANK(J380,(J$370:J$388)),0)</f>
        <v>0</v>
      </c>
      <c r="L380" s="167">
        <f>'Averages Pivot Table'!AA$260</f>
        <v>48363.854805846058</v>
      </c>
      <c r="M380" s="138">
        <f t="shared" ref="M380" si="756">IF(L380&gt;0,RANK(L380,(L$370:L$388)),0)</f>
        <v>7</v>
      </c>
      <c r="N380" s="167">
        <f>'Averages Pivot Table'!AA$264</f>
        <v>48363.854805846058</v>
      </c>
      <c r="O380" s="138">
        <f t="shared" ref="O380" si="757">IF(N380&gt;0,RANK(N380,(N$370:N$388)),0)</f>
        <v>9</v>
      </c>
      <c r="Q380" s="109"/>
      <c r="R380" s="109"/>
      <c r="S380" s="109"/>
    </row>
    <row r="381" spans="1:19" x14ac:dyDescent="0.25">
      <c r="A381" s="136" t="s">
        <v>204</v>
      </c>
      <c r="B381" s="167">
        <f>'Averages Pivot Table'!AA$269</f>
        <v>0</v>
      </c>
      <c r="C381" s="138">
        <f t="shared" si="717"/>
        <v>0</v>
      </c>
      <c r="D381" s="167">
        <f>'Averages Pivot Table'!AA$273</f>
        <v>0</v>
      </c>
      <c r="E381" s="138">
        <f t="shared" si="717"/>
        <v>0</v>
      </c>
      <c r="F381" s="167">
        <f>'Averages Pivot Table'!AA$277</f>
        <v>0</v>
      </c>
      <c r="G381" s="138">
        <f t="shared" ref="G381" si="758">IF(F381&gt;0,RANK(F381,(F$370:F$388)),0)</f>
        <v>0</v>
      </c>
      <c r="H381" s="167">
        <f>'Averages Pivot Table'!AA$281</f>
        <v>0</v>
      </c>
      <c r="I381" s="138">
        <f t="shared" ref="I381" si="759">IF(H381&gt;0,RANK(H381,(H$370:H$388)),0)</f>
        <v>0</v>
      </c>
      <c r="J381" s="167">
        <f>'Averages Pivot Table'!AA$285</f>
        <v>50872.152908115466</v>
      </c>
      <c r="K381" s="138">
        <f t="shared" ref="K381" si="760">IF(J381&gt;0,RANK(J381,(J$370:J$388)),0)</f>
        <v>2</v>
      </c>
      <c r="L381" s="167">
        <f>'Averages Pivot Table'!AA$289</f>
        <v>0</v>
      </c>
      <c r="M381" s="138">
        <f t="shared" ref="M381" si="761">IF(L381&gt;0,RANK(L381,(L$370:L$388)),0)</f>
        <v>0</v>
      </c>
      <c r="N381" s="167">
        <f>'Averages Pivot Table'!AA$293</f>
        <v>40667.373540268294</v>
      </c>
      <c r="O381" s="138">
        <f t="shared" ref="O381" si="762">IF(N381&gt;0,RANK(N381,(N$370:N$388)),0)</f>
        <v>14</v>
      </c>
      <c r="Q381" s="109"/>
      <c r="R381" s="109"/>
      <c r="S381" s="109"/>
    </row>
    <row r="382" spans="1:19" x14ac:dyDescent="0.25">
      <c r="A382" s="136" t="s">
        <v>205</v>
      </c>
      <c r="B382" s="167">
        <f>'Averages Pivot Table'!AA$298</f>
        <v>0</v>
      </c>
      <c r="C382" s="138">
        <f t="shared" si="717"/>
        <v>0</v>
      </c>
      <c r="D382" s="167">
        <f>'Averages Pivot Table'!AA$302</f>
        <v>0</v>
      </c>
      <c r="E382" s="138">
        <f t="shared" si="717"/>
        <v>0</v>
      </c>
      <c r="F382" s="167">
        <f>'Averages Pivot Table'!AA$306</f>
        <v>0</v>
      </c>
      <c r="G382" s="138">
        <f t="shared" ref="G382" si="763">IF(F382&gt;0,RANK(F382,(F$370:F$388)),0)</f>
        <v>0</v>
      </c>
      <c r="H382" s="167">
        <f>'Averages Pivot Table'!AA$310</f>
        <v>0</v>
      </c>
      <c r="I382" s="138">
        <f t="shared" ref="I382" si="764">IF(H382&gt;0,RANK(H382,(H$370:H$388)),0)</f>
        <v>0</v>
      </c>
      <c r="J382" s="167">
        <f>'Averages Pivot Table'!AA$314</f>
        <v>0</v>
      </c>
      <c r="K382" s="138">
        <f t="shared" ref="K382" si="765">IF(J382&gt;0,RANK(J382,(J$370:J$388)),0)</f>
        <v>0</v>
      </c>
      <c r="L382" s="167">
        <f>'Averages Pivot Table'!AA$318</f>
        <v>52595.713486918983</v>
      </c>
      <c r="M382" s="138">
        <f t="shared" ref="M382" si="766">IF(L382&gt;0,RANK(L382,(L$370:L$388)),0)</f>
        <v>5</v>
      </c>
      <c r="N382" s="167">
        <f>'Averages Pivot Table'!AA$322</f>
        <v>52595.713486918983</v>
      </c>
      <c r="O382" s="138">
        <f t="shared" ref="O382" si="767">IF(N382&gt;0,RANK(N382,(N$370:N$388)),0)</f>
        <v>6</v>
      </c>
      <c r="Q382" s="109"/>
      <c r="R382" s="109"/>
      <c r="S382" s="109"/>
    </row>
    <row r="383" spans="1:19" x14ac:dyDescent="0.25">
      <c r="A383" s="136" t="s">
        <v>206</v>
      </c>
      <c r="B383" s="167">
        <f>'Averages Pivot Table'!AA$327</f>
        <v>0</v>
      </c>
      <c r="C383" s="138">
        <f t="shared" si="717"/>
        <v>0</v>
      </c>
      <c r="D383" s="167">
        <f>'Averages Pivot Table'!AA$331</f>
        <v>0</v>
      </c>
      <c r="E383" s="138">
        <f t="shared" si="717"/>
        <v>0</v>
      </c>
      <c r="F383" s="167">
        <f>'Averages Pivot Table'!AA$335</f>
        <v>0</v>
      </c>
      <c r="G383" s="138">
        <f t="shared" ref="G383" si="768">IF(F383&gt;0,RANK(F383,(F$370:F$388)),0)</f>
        <v>0</v>
      </c>
      <c r="H383" s="167">
        <f>'Averages Pivot Table'!AA$339</f>
        <v>0</v>
      </c>
      <c r="I383" s="138">
        <f t="shared" ref="I383" si="769">IF(H383&gt;0,RANK(H383,(H$370:H$388)),0)</f>
        <v>0</v>
      </c>
      <c r="J383" s="167">
        <f>'Averages Pivot Table'!AA$343</f>
        <v>48793.755043227662</v>
      </c>
      <c r="K383" s="138">
        <f t="shared" ref="K383" si="770">IF(J383&gt;0,RANK(J383,(J$370:J$388)),0)</f>
        <v>3</v>
      </c>
      <c r="L383" s="167">
        <f>'Averages Pivot Table'!AA$347</f>
        <v>0</v>
      </c>
      <c r="M383" s="138">
        <f t="shared" ref="M383" si="771">IF(L383&gt;0,RANK(L383,(L$370:L$388)),0)</f>
        <v>0</v>
      </c>
      <c r="N383" s="167">
        <f>'Averages Pivot Table'!AA$351</f>
        <v>48793.755043227662</v>
      </c>
      <c r="O383" s="138">
        <f t="shared" ref="O383" si="772">IF(N383&gt;0,RANK(N383,(N$370:N$388)),0)</f>
        <v>8</v>
      </c>
      <c r="Q383" s="109"/>
      <c r="R383" s="109"/>
      <c r="S383" s="109"/>
    </row>
    <row r="384" spans="1:19" x14ac:dyDescent="0.25">
      <c r="A384" s="136"/>
      <c r="B384" s="167"/>
      <c r="C384" s="138"/>
      <c r="D384" s="167"/>
      <c r="E384" s="138"/>
      <c r="F384" s="167"/>
      <c r="G384" s="138"/>
      <c r="H384" s="167"/>
      <c r="I384" s="138"/>
      <c r="J384" s="167"/>
      <c r="K384" s="138"/>
      <c r="L384" s="167"/>
      <c r="M384" s="138"/>
      <c r="N384" s="167"/>
      <c r="O384" s="138"/>
      <c r="Q384" s="109"/>
      <c r="R384" s="109"/>
      <c r="S384" s="109"/>
    </row>
    <row r="385" spans="1:19" ht="12.95" customHeight="1" x14ac:dyDescent="0.25">
      <c r="A385" s="136" t="s">
        <v>207</v>
      </c>
      <c r="B385" s="137">
        <f>'Averages Pivot Table'!AA$356</f>
        <v>55035.781194689458</v>
      </c>
      <c r="C385" s="138">
        <f t="shared" si="717"/>
        <v>6</v>
      </c>
      <c r="D385" s="137">
        <f>'Averages Pivot Table'!AA$360</f>
        <v>48140.427678737979</v>
      </c>
      <c r="E385" s="138">
        <f t="shared" si="717"/>
        <v>5</v>
      </c>
      <c r="F385" s="137">
        <f>'Averages Pivot Table'!AA$364</f>
        <v>44371.265519114808</v>
      </c>
      <c r="G385" s="138">
        <f t="shared" ref="G385" si="773">IF(F385&gt;0,RANK(F385,(F$370:F$388)),0)</f>
        <v>5</v>
      </c>
      <c r="H385" s="137">
        <f>'Averages Pivot Table'!AA$368</f>
        <v>36811.628717905129</v>
      </c>
      <c r="I385" s="138">
        <f t="shared" ref="I385" si="774">IF(H385&gt;0,RANK(H385,(H$370:H$388)),0)</f>
        <v>5</v>
      </c>
      <c r="J385" s="137">
        <f>'Averages Pivot Table'!AA$372</f>
        <v>0</v>
      </c>
      <c r="K385" s="138">
        <f t="shared" ref="K385" si="775">IF(J385&gt;0,RANK(J385,(J$370:J$388)),0)</f>
        <v>0</v>
      </c>
      <c r="L385" s="137">
        <f>'Averages Pivot Table'!AA$376</f>
        <v>0</v>
      </c>
      <c r="M385" s="138">
        <f t="shared" ref="M385" si="776">IF(L385&gt;0,RANK(L385,(L$370:L$388)),0)</f>
        <v>0</v>
      </c>
      <c r="N385" s="137">
        <f>'Averages Pivot Table'!AA$380</f>
        <v>44622.980622144161</v>
      </c>
      <c r="O385" s="138">
        <f t="shared" ref="O385" si="777">IF(N385&gt;0,RANK(N385,(N$370:N$388)),0)</f>
        <v>12</v>
      </c>
    </row>
    <row r="386" spans="1:19" ht="12.95" customHeight="1" x14ac:dyDescent="0.25">
      <c r="A386" s="136" t="s">
        <v>208</v>
      </c>
      <c r="B386" s="137">
        <f>'Averages Pivot Table'!AA$385</f>
        <v>59979.963675064602</v>
      </c>
      <c r="C386" s="138">
        <f t="shared" si="717"/>
        <v>4</v>
      </c>
      <c r="D386" s="137">
        <f>'Averages Pivot Table'!AA$389</f>
        <v>55335.337932807444</v>
      </c>
      <c r="E386" s="138">
        <f t="shared" si="717"/>
        <v>3</v>
      </c>
      <c r="F386" s="137">
        <f>'Averages Pivot Table'!AA$393</f>
        <v>50704.312875436321</v>
      </c>
      <c r="G386" s="138">
        <f t="shared" ref="G386" si="778">IF(F386&gt;0,RANK(F386,(F$370:F$388)),0)</f>
        <v>2</v>
      </c>
      <c r="H386" s="137">
        <f>'Averages Pivot Table'!AA$397</f>
        <v>50924.380595385599</v>
      </c>
      <c r="I386" s="138">
        <f t="shared" ref="I386" si="779">IF(H386&gt;0,RANK(H386,(H$370:H$388)),0)</f>
        <v>1</v>
      </c>
      <c r="J386" s="137">
        <f>'Averages Pivot Table'!AA$401</f>
        <v>28139.192825112106</v>
      </c>
      <c r="K386" s="138">
        <f t="shared" ref="K386" si="780">IF(J386&gt;0,RANK(J386,(J$370:J$388)),0)</f>
        <v>5</v>
      </c>
      <c r="L386" s="137">
        <f>'Averages Pivot Table'!AA$405</f>
        <v>58265.954339222691</v>
      </c>
      <c r="M386" s="138">
        <f t="shared" ref="M386" si="781">IF(L386&gt;0,RANK(L386,(L$370:L$388)),0)</f>
        <v>3</v>
      </c>
      <c r="N386" s="137">
        <f>'Averages Pivot Table'!AA$409</f>
        <v>55133.767320032115</v>
      </c>
      <c r="O386" s="138">
        <f t="shared" ref="O386" si="782">IF(N386&gt;0,RANK(N386,(N$370:N$388)),0)</f>
        <v>4</v>
      </c>
    </row>
    <row r="387" spans="1:19" ht="12.95" customHeight="1" x14ac:dyDescent="0.25">
      <c r="A387" s="136" t="s">
        <v>209</v>
      </c>
      <c r="B387" s="137">
        <f>'Averages Pivot Table'!AA$414</f>
        <v>0</v>
      </c>
      <c r="C387" s="138">
        <f t="shared" si="717"/>
        <v>0</v>
      </c>
      <c r="D387" s="137">
        <f>'Averages Pivot Table'!AA$418</f>
        <v>0</v>
      </c>
      <c r="E387" s="138">
        <f t="shared" si="717"/>
        <v>0</v>
      </c>
      <c r="F387" s="137">
        <f>'Averages Pivot Table'!AA$422</f>
        <v>0</v>
      </c>
      <c r="G387" s="138">
        <f t="shared" ref="G387" si="783">IF(F387&gt;0,RANK(F387,(F$370:F$388)),0)</f>
        <v>0</v>
      </c>
      <c r="H387" s="137">
        <f>'Averages Pivot Table'!AA$426</f>
        <v>0</v>
      </c>
      <c r="I387" s="138">
        <f t="shared" ref="I387" si="784">IF(H387&gt;0,RANK(H387,(H$370:H$388)),0)</f>
        <v>0</v>
      </c>
      <c r="J387" s="137">
        <f>'Averages Pivot Table'!AA$430</f>
        <v>0</v>
      </c>
      <c r="K387" s="138">
        <f t="shared" ref="K387" si="785">IF(J387&gt;0,RANK(J387,(J$370:J$388)),0)</f>
        <v>0</v>
      </c>
      <c r="L387" s="137">
        <f>'Averages Pivot Table'!AA$434</f>
        <v>0</v>
      </c>
      <c r="M387" s="138">
        <f t="shared" ref="M387" si="786">IF(L387&gt;0,RANK(L387,(L$370:L$388)),0)</f>
        <v>0</v>
      </c>
      <c r="N387" s="137">
        <f>'Averages Pivot Table'!AA$438</f>
        <v>0</v>
      </c>
      <c r="O387" s="138">
        <f t="shared" ref="O387" si="787">IF(N387&gt;0,RANK(N387,(N$370:N$388)),0)</f>
        <v>0</v>
      </c>
    </row>
    <row r="388" spans="1:19" ht="12.95" customHeight="1" x14ac:dyDescent="0.25">
      <c r="A388" s="161" t="s">
        <v>210</v>
      </c>
      <c r="B388" s="140">
        <f>'Averages Pivot Table'!AA$443</f>
        <v>0</v>
      </c>
      <c r="C388" s="141">
        <f t="shared" si="717"/>
        <v>0</v>
      </c>
      <c r="D388" s="140">
        <f>'Averages Pivot Table'!AA$447</f>
        <v>0</v>
      </c>
      <c r="E388" s="141">
        <f t="shared" si="717"/>
        <v>0</v>
      </c>
      <c r="F388" s="140">
        <f>'Averages Pivot Table'!AA$451</f>
        <v>0</v>
      </c>
      <c r="G388" s="141">
        <f t="shared" ref="G388" si="788">IF(F388&gt;0,RANK(F388,(F$370:F$388)),0)</f>
        <v>0</v>
      </c>
      <c r="H388" s="140">
        <f>'Averages Pivot Table'!AA$455</f>
        <v>0</v>
      </c>
      <c r="I388" s="141">
        <f t="shared" ref="I388" si="789">IF(H388&gt;0,RANK(H388,(H$370:H$388)),0)</f>
        <v>0</v>
      </c>
      <c r="J388" s="140">
        <f>'Averages Pivot Table'!AA$459</f>
        <v>0</v>
      </c>
      <c r="K388" s="141">
        <f t="shared" ref="K388" si="790">IF(J388&gt;0,RANK(J388,(J$370:J$388)),0)</f>
        <v>0</v>
      </c>
      <c r="L388" s="140">
        <f>'Averages Pivot Table'!AA$463</f>
        <v>0</v>
      </c>
      <c r="M388" s="141">
        <f t="shared" ref="M388" si="791">IF(L388&gt;0,RANK(L388,(L$370:L$388)),0)</f>
        <v>0</v>
      </c>
      <c r="N388" s="140">
        <f>'Averages Pivot Table'!AA$467</f>
        <v>0</v>
      </c>
      <c r="O388" s="141">
        <f t="shared" ref="O388" si="792">IF(N388&gt;0,RANK(N388,(N$370:N$388)),0)</f>
        <v>0</v>
      </c>
    </row>
    <row r="389" spans="1:19" ht="25.5" customHeight="1" x14ac:dyDescent="0.25">
      <c r="A389" s="714" t="s">
        <v>1127</v>
      </c>
      <c r="B389" s="714"/>
      <c r="C389" s="714"/>
      <c r="D389" s="714"/>
      <c r="E389" s="714"/>
      <c r="F389" s="714"/>
      <c r="G389" s="714"/>
      <c r="H389" s="714"/>
      <c r="I389" s="714"/>
      <c r="J389" s="714"/>
      <c r="K389" s="714"/>
      <c r="L389" s="714"/>
      <c r="M389" s="714"/>
      <c r="N389" s="714"/>
      <c r="O389" s="714"/>
    </row>
    <row r="390" spans="1:19" x14ac:dyDescent="0.25">
      <c r="O390" s="102" t="s">
        <v>1124</v>
      </c>
    </row>
    <row r="391" spans="1:19" ht="18" x14ac:dyDescent="0.25">
      <c r="A391" s="82" t="s">
        <v>240</v>
      </c>
      <c r="B391" s="82"/>
      <c r="C391" s="82"/>
      <c r="D391" s="82"/>
      <c r="E391" s="82"/>
      <c r="F391" s="82"/>
      <c r="G391" s="82"/>
      <c r="H391" s="82"/>
      <c r="I391" s="82"/>
      <c r="J391" s="82"/>
      <c r="K391" s="82"/>
      <c r="L391" s="82"/>
      <c r="M391" s="82"/>
      <c r="N391" s="82"/>
      <c r="O391" s="82"/>
    </row>
    <row r="392" spans="1:19" x14ac:dyDescent="0.25">
      <c r="A392" s="180"/>
      <c r="B392" s="87"/>
      <c r="C392" s="87"/>
      <c r="D392" s="87"/>
      <c r="E392" s="87"/>
      <c r="F392" s="87"/>
      <c r="G392" s="87"/>
      <c r="H392" s="87"/>
      <c r="I392" s="87"/>
      <c r="J392" s="87"/>
      <c r="K392" s="87"/>
      <c r="L392" s="87"/>
      <c r="M392" s="87"/>
      <c r="N392" s="87"/>
      <c r="O392" s="87"/>
    </row>
    <row r="393" spans="1:19" x14ac:dyDescent="0.25">
      <c r="A393" s="707" t="s">
        <v>218</v>
      </c>
      <c r="B393" s="707"/>
      <c r="C393" s="707"/>
      <c r="D393" s="707"/>
      <c r="E393" s="707"/>
      <c r="F393" s="707"/>
      <c r="G393" s="707"/>
      <c r="H393" s="707"/>
      <c r="I393" s="707"/>
      <c r="J393" s="707"/>
      <c r="K393" s="707"/>
      <c r="L393" s="707"/>
      <c r="M393" s="707"/>
      <c r="N393" s="707"/>
      <c r="O393" s="707"/>
    </row>
    <row r="394" spans="1:19" x14ac:dyDescent="0.25">
      <c r="A394" s="707" t="s">
        <v>284</v>
      </c>
      <c r="B394" s="707"/>
      <c r="C394" s="707"/>
      <c r="D394" s="707"/>
      <c r="E394" s="707"/>
      <c r="F394" s="707"/>
      <c r="G394" s="707"/>
      <c r="H394" s="707"/>
      <c r="I394" s="707"/>
      <c r="J394" s="707"/>
      <c r="K394" s="707"/>
      <c r="L394" s="707"/>
      <c r="M394" s="707"/>
      <c r="N394" s="707"/>
      <c r="O394" s="707"/>
    </row>
    <row r="395" spans="1:19" x14ac:dyDescent="0.25">
      <c r="A395" s="136"/>
      <c r="B395" s="136"/>
      <c r="C395" s="136"/>
      <c r="D395" s="136"/>
      <c r="E395" s="136"/>
      <c r="F395" s="136"/>
      <c r="G395" s="136"/>
      <c r="H395" s="136"/>
      <c r="I395" s="136"/>
      <c r="J395" s="136"/>
      <c r="K395" s="136"/>
      <c r="L395" s="136"/>
      <c r="M395" s="136"/>
      <c r="N395" s="136"/>
      <c r="O395" s="136"/>
    </row>
    <row r="396" spans="1:19" ht="33.75" customHeight="1" x14ac:dyDescent="0.25">
      <c r="A396" s="114"/>
      <c r="B396" s="182" t="s">
        <v>3</v>
      </c>
      <c r="C396" s="183"/>
      <c r="D396" s="184" t="s">
        <v>4</v>
      </c>
      <c r="E396" s="185"/>
      <c r="F396" s="184" t="s">
        <v>5</v>
      </c>
      <c r="G396" s="185"/>
      <c r="H396" s="182" t="s">
        <v>6</v>
      </c>
      <c r="I396" s="183"/>
      <c r="J396" s="184" t="s">
        <v>219</v>
      </c>
      <c r="K396" s="185"/>
      <c r="L396" s="183" t="s">
        <v>23</v>
      </c>
      <c r="M396" s="183"/>
      <c r="N396" s="183" t="s">
        <v>220</v>
      </c>
      <c r="O396" s="183"/>
    </row>
    <row r="397" spans="1:19" x14ac:dyDescent="0.25">
      <c r="A397" s="120"/>
      <c r="B397" s="116" t="s">
        <v>193</v>
      </c>
      <c r="C397" s="115" t="s">
        <v>170</v>
      </c>
      <c r="D397" s="116" t="s">
        <v>193</v>
      </c>
      <c r="E397" s="115" t="s">
        <v>170</v>
      </c>
      <c r="F397" s="116" t="s">
        <v>193</v>
      </c>
      <c r="G397" s="115" t="s">
        <v>170</v>
      </c>
      <c r="H397" s="116" t="s">
        <v>193</v>
      </c>
      <c r="I397" s="115" t="s">
        <v>170</v>
      </c>
      <c r="J397" s="116" t="s">
        <v>193</v>
      </c>
      <c r="K397" s="115" t="s">
        <v>170</v>
      </c>
      <c r="L397" s="116" t="s">
        <v>193</v>
      </c>
      <c r="M397" s="115" t="s">
        <v>170</v>
      </c>
      <c r="N397" s="116" t="s">
        <v>193</v>
      </c>
      <c r="O397" s="115" t="s">
        <v>170</v>
      </c>
    </row>
    <row r="398" spans="1:19" s="127" customFormat="1" ht="18" customHeight="1" x14ac:dyDescent="0.25">
      <c r="A398" s="124" t="s">
        <v>194</v>
      </c>
      <c r="B398" s="151">
        <f>'Averages Pivot Table'!AB$471</f>
        <v>54904.148732423993</v>
      </c>
      <c r="C398" s="151"/>
      <c r="D398" s="151">
        <f>'Averages Pivot Table'!AB$475</f>
        <v>48944.262050521858</v>
      </c>
      <c r="E398" s="151"/>
      <c r="F398" s="151">
        <f>'Averages Pivot Table'!AB$479</f>
        <v>44945.392517581196</v>
      </c>
      <c r="G398" s="151"/>
      <c r="H398" s="151">
        <f>'Averages Pivot Table'!AB$483</f>
        <v>43580.507464115602</v>
      </c>
      <c r="I398" s="151"/>
      <c r="J398" s="151">
        <f>'Averages Pivot Table'!AB$487</f>
        <v>46458.96602440063</v>
      </c>
      <c r="K398" s="151"/>
      <c r="L398" s="151">
        <f>'Averages Pivot Table'!AB$491</f>
        <v>49849.095070144547</v>
      </c>
      <c r="M398" s="187"/>
      <c r="N398" s="151">
        <f>'Averages Pivot Table'!AB$495</f>
        <v>47807.382879844692</v>
      </c>
      <c r="O398" s="188"/>
      <c r="Q398" s="129"/>
      <c r="R398" s="129"/>
      <c r="S398" s="129"/>
    </row>
    <row r="399" spans="1:19" ht="12.95" customHeight="1" x14ac:dyDescent="0.25">
      <c r="A399" s="136"/>
      <c r="B399" s="131"/>
      <c r="C399" s="155"/>
      <c r="D399" s="131"/>
      <c r="E399" s="155"/>
      <c r="F399" s="131"/>
      <c r="G399" s="155"/>
      <c r="H399" s="131"/>
      <c r="I399" s="155"/>
      <c r="J399" s="131"/>
      <c r="K399" s="155"/>
      <c r="L399" s="131"/>
      <c r="M399" s="155"/>
      <c r="N399" s="131"/>
      <c r="O399" s="132"/>
    </row>
    <row r="400" spans="1:19" ht="12.95" customHeight="1" x14ac:dyDescent="0.25">
      <c r="A400" s="136" t="s">
        <v>195</v>
      </c>
      <c r="B400" s="167">
        <f>'Averages Pivot Table'!AB$8</f>
        <v>0</v>
      </c>
      <c r="C400" s="138">
        <f>IF(B400&gt;0,RANK(B400,(B$400:B$418)),0)</f>
        <v>0</v>
      </c>
      <c r="D400" s="167">
        <f>'Averages Pivot Table'!AB$12</f>
        <v>0</v>
      </c>
      <c r="E400" s="138">
        <f>IF(D400&gt;0,RANK(D400,(D$400:D$418)),0)</f>
        <v>0</v>
      </c>
      <c r="F400" s="167">
        <f>'Averages Pivot Table'!AB$16</f>
        <v>0</v>
      </c>
      <c r="G400" s="138">
        <f>IF(F400&gt;0,RANK(F400,(F$400:F$418)),0)</f>
        <v>0</v>
      </c>
      <c r="H400" s="167">
        <f>'Averages Pivot Table'!AB$20</f>
        <v>0</v>
      </c>
      <c r="I400" s="138">
        <f>IF(H400&gt;0,RANK(H400,(H$400:H$418)),0)</f>
        <v>0</v>
      </c>
      <c r="J400" s="167">
        <f>'Averages Pivot Table'!AB$24</f>
        <v>0</v>
      </c>
      <c r="K400" s="138">
        <f>IF(J400&gt;0,RANK(J400,(J$400:J$418)),0)</f>
        <v>0</v>
      </c>
      <c r="L400" s="167">
        <f>'Averages Pivot Table'!AB$28</f>
        <v>51510.383669813971</v>
      </c>
      <c r="M400" s="138">
        <f>IF(L400&gt;0,RANK(L400,(L$400:L$418)),0)</f>
        <v>2</v>
      </c>
      <c r="N400" s="167">
        <f>'Averages Pivot Table'!AB$32</f>
        <v>51510.383669813971</v>
      </c>
      <c r="O400" s="138">
        <f>IF(N400&gt;0,RANK(N400,(N$400:N$418)),0)</f>
        <v>3</v>
      </c>
    </row>
    <row r="401" spans="1:19" x14ac:dyDescent="0.25">
      <c r="A401" s="136" t="s">
        <v>196</v>
      </c>
      <c r="B401" s="167">
        <f>'Averages Pivot Table'!AB$37</f>
        <v>55482</v>
      </c>
      <c r="C401" s="138">
        <f t="shared" ref="C401:E418" si="793">IF(B401&gt;0,RANK(B401,(B$400:B$418)),0)</f>
        <v>6</v>
      </c>
      <c r="D401" s="167">
        <f>'Averages Pivot Table'!AB$41</f>
        <v>58991.679611650485</v>
      </c>
      <c r="E401" s="138">
        <f t="shared" si="793"/>
        <v>1</v>
      </c>
      <c r="F401" s="167">
        <f>'Averages Pivot Table'!AB$45</f>
        <v>48290.876470588235</v>
      </c>
      <c r="G401" s="138">
        <f t="shared" ref="G401" si="794">IF(F401&gt;0,RANK(F401,(F$400:F$418)),0)</f>
        <v>3</v>
      </c>
      <c r="H401" s="167">
        <f>'Averages Pivot Table'!AB$49</f>
        <v>40037.069620253162</v>
      </c>
      <c r="I401" s="138">
        <f t="shared" ref="I401" si="795">IF(H401&gt;0,RANK(H401,(H$400:H$418)),0)</f>
        <v>5</v>
      </c>
      <c r="J401" s="167">
        <f>'Averages Pivot Table'!AB$53</f>
        <v>0</v>
      </c>
      <c r="K401" s="138">
        <f t="shared" ref="K401" si="796">IF(J401&gt;0,RANK(J401,(J$400:J$418)),0)</f>
        <v>0</v>
      </c>
      <c r="L401" s="167">
        <f>'Averages Pivot Table'!AB$57</f>
        <v>41458.404862579278</v>
      </c>
      <c r="M401" s="138">
        <f t="shared" ref="M401" si="797">IF(L401&gt;0,RANK(L401,(L$400:L$418)),0)</f>
        <v>7</v>
      </c>
      <c r="N401" s="167">
        <f>'Averages Pivot Table'!AB$61</f>
        <v>42862.703675996519</v>
      </c>
      <c r="O401" s="138">
        <f t="shared" ref="O401" si="798">IF(N401&gt;0,RANK(N401,(N$400:N$418)),0)</f>
        <v>14</v>
      </c>
      <c r="Q401" s="109"/>
      <c r="R401" s="109"/>
      <c r="S401" s="109"/>
    </row>
    <row r="402" spans="1:19" x14ac:dyDescent="0.25">
      <c r="A402" s="136" t="s">
        <v>197</v>
      </c>
      <c r="B402" s="167">
        <f>'Averages Pivot Table'!AB$66</f>
        <v>0</v>
      </c>
      <c r="C402" s="138">
        <f t="shared" si="793"/>
        <v>0</v>
      </c>
      <c r="D402" s="167">
        <f>'Averages Pivot Table'!AB$70</f>
        <v>0</v>
      </c>
      <c r="E402" s="138">
        <f t="shared" si="793"/>
        <v>0</v>
      </c>
      <c r="F402" s="167">
        <f>'Averages Pivot Table'!AB$74</f>
        <v>0</v>
      </c>
      <c r="G402" s="138">
        <f t="shared" ref="G402" si="799">IF(F402&gt;0,RANK(F402,(F$400:F$418)),0)</f>
        <v>0</v>
      </c>
      <c r="H402" s="167">
        <f>'Averages Pivot Table'!AB$78</f>
        <v>0</v>
      </c>
      <c r="I402" s="138">
        <f t="shared" ref="I402" si="800">IF(H402&gt;0,RANK(H402,(H$400:H$418)),0)</f>
        <v>0</v>
      </c>
      <c r="J402" s="167">
        <f>'Averages Pivot Table'!AB$82</f>
        <v>0</v>
      </c>
      <c r="K402" s="138">
        <f t="shared" ref="K402" si="801">IF(J402&gt;0,RANK(J402,(J$400:J$418)),0)</f>
        <v>0</v>
      </c>
      <c r="L402" s="167">
        <f>'Averages Pivot Table'!AB$86</f>
        <v>61012.265636001517</v>
      </c>
      <c r="M402" s="138">
        <f t="shared" ref="M402" si="802">IF(L402&gt;0,RANK(L402,(L$400:L$418)),0)</f>
        <v>1</v>
      </c>
      <c r="N402" s="167">
        <f>'Averages Pivot Table'!AB$90</f>
        <v>61012.265636001517</v>
      </c>
      <c r="O402" s="138">
        <f t="shared" ref="O402" si="803">IF(N402&gt;0,RANK(N402,(N$400:N$418)),0)</f>
        <v>1</v>
      </c>
      <c r="Q402" s="109"/>
      <c r="R402" s="109"/>
      <c r="S402" s="109"/>
    </row>
    <row r="403" spans="1:19" x14ac:dyDescent="0.25">
      <c r="A403" s="136" t="s">
        <v>198</v>
      </c>
      <c r="B403" s="167">
        <f>'Averages Pivot Table'!AB$95</f>
        <v>0</v>
      </c>
      <c r="C403" s="138">
        <f t="shared" si="793"/>
        <v>0</v>
      </c>
      <c r="D403" s="167">
        <f>'Averages Pivot Table'!AB$99</f>
        <v>0</v>
      </c>
      <c r="E403" s="138">
        <f t="shared" si="793"/>
        <v>0</v>
      </c>
      <c r="F403" s="167">
        <f>'Averages Pivot Table'!AB$103</f>
        <v>0</v>
      </c>
      <c r="G403" s="138">
        <f t="shared" ref="G403" si="804">IF(F403&gt;0,RANK(F403,(F$400:F$418)),0)</f>
        <v>0</v>
      </c>
      <c r="H403" s="167">
        <f>'Averages Pivot Table'!AB$107</f>
        <v>0</v>
      </c>
      <c r="I403" s="138">
        <f t="shared" ref="I403" si="805">IF(H403&gt;0,RANK(H403,(H$400:H$418)),0)</f>
        <v>0</v>
      </c>
      <c r="J403" s="167">
        <f>'Averages Pivot Table'!AB$111</f>
        <v>0</v>
      </c>
      <c r="K403" s="138">
        <f t="shared" ref="K403" si="806">IF(J403&gt;0,RANK(J403,(J$400:J$418)),0)</f>
        <v>0</v>
      </c>
      <c r="L403" s="167">
        <f>'Averages Pivot Table'!AB$115</f>
        <v>46463.124423963134</v>
      </c>
      <c r="M403" s="138">
        <f t="shared" ref="M403" si="807">IF(L403&gt;0,RANK(L403,(L$400:L$418)),0)</f>
        <v>5</v>
      </c>
      <c r="N403" s="167">
        <f>'Averages Pivot Table'!AB$119</f>
        <v>46463.124423963134</v>
      </c>
      <c r="O403" s="138">
        <f t="shared" ref="O403" si="808">IF(N403&gt;0,RANK(N403,(N$400:N$418)),0)</f>
        <v>10</v>
      </c>
      <c r="Q403" s="109"/>
      <c r="R403" s="109"/>
      <c r="S403" s="109"/>
    </row>
    <row r="404" spans="1:19" x14ac:dyDescent="0.25">
      <c r="A404" s="136"/>
      <c r="B404" s="167"/>
      <c r="C404" s="138"/>
      <c r="D404" s="167"/>
      <c r="E404" s="138"/>
      <c r="F404" s="167"/>
      <c r="G404" s="138"/>
      <c r="H404" s="167"/>
      <c r="I404" s="138"/>
      <c r="J404" s="167"/>
      <c r="K404" s="138"/>
      <c r="L404" s="167"/>
      <c r="M404" s="138"/>
      <c r="N404" s="167"/>
      <c r="O404" s="138"/>
      <c r="Q404" s="109"/>
      <c r="R404" s="109"/>
      <c r="S404" s="109"/>
    </row>
    <row r="405" spans="1:19" x14ac:dyDescent="0.25">
      <c r="A405" s="136" t="s">
        <v>199</v>
      </c>
      <c r="B405" s="167">
        <f>'Averages Pivot Table'!AB$124</f>
        <v>59292.13006993007</v>
      </c>
      <c r="C405" s="138">
        <f t="shared" si="793"/>
        <v>5</v>
      </c>
      <c r="D405" s="167">
        <f>'Averages Pivot Table'!AB$128</f>
        <v>51169.357965379939</v>
      </c>
      <c r="E405" s="138">
        <f t="shared" si="793"/>
        <v>4</v>
      </c>
      <c r="F405" s="167">
        <f>'Averages Pivot Table'!AB$132</f>
        <v>45124.373603401036</v>
      </c>
      <c r="G405" s="138">
        <f t="shared" ref="G405" si="809">IF(F405&gt;0,RANK(F405,(F$400:F$418)),0)</f>
        <v>6</v>
      </c>
      <c r="H405" s="167">
        <f>'Averages Pivot Table'!AB$136</f>
        <v>48852.194071746242</v>
      </c>
      <c r="I405" s="138">
        <f t="shared" ref="I405" si="810">IF(H405&gt;0,RANK(H405,(H$400:H$418)),0)</f>
        <v>1</v>
      </c>
      <c r="J405" s="167">
        <f>'Averages Pivot Table'!AB$140</f>
        <v>36743.511627906977</v>
      </c>
      <c r="K405" s="138">
        <f t="shared" ref="K405" si="811">IF(J405&gt;0,RANK(J405,(J$400:J$418)),0)</f>
        <v>5</v>
      </c>
      <c r="L405" s="167">
        <f>'Averages Pivot Table'!AB$144</f>
        <v>0</v>
      </c>
      <c r="M405" s="138">
        <f t="shared" ref="M405" si="812">IF(L405&gt;0,RANK(L405,(L$400:L$418)),0)</f>
        <v>0</v>
      </c>
      <c r="N405" s="167">
        <f>'Averages Pivot Table'!AB$148</f>
        <v>47829.68069395778</v>
      </c>
      <c r="O405" s="138">
        <f t="shared" ref="O405" si="813">IF(N405&gt;0,RANK(N405,(N$400:N$418)),0)</f>
        <v>6</v>
      </c>
      <c r="Q405" s="109"/>
      <c r="R405" s="109"/>
      <c r="S405" s="109"/>
    </row>
    <row r="406" spans="1:19" x14ac:dyDescent="0.25">
      <c r="A406" s="136" t="s">
        <v>200</v>
      </c>
      <c r="B406" s="167">
        <f>'Averages Pivot Table'!AB$153</f>
        <v>54391.123773032275</v>
      </c>
      <c r="C406" s="138">
        <f t="shared" si="793"/>
        <v>7</v>
      </c>
      <c r="D406" s="167">
        <f>'Averages Pivot Table'!AB$157</f>
        <v>44039.384756057363</v>
      </c>
      <c r="E406" s="138">
        <f t="shared" si="793"/>
        <v>8</v>
      </c>
      <c r="F406" s="167">
        <f>'Averages Pivot Table'!AB$161</f>
        <v>37828.789252362993</v>
      </c>
      <c r="G406" s="138">
        <f t="shared" ref="G406" si="814">IF(F406&gt;0,RANK(F406,(F$400:F$418)),0)</f>
        <v>8</v>
      </c>
      <c r="H406" s="167">
        <f>'Averages Pivot Table'!AB$165</f>
        <v>34503.348769252865</v>
      </c>
      <c r="I406" s="138">
        <f t="shared" ref="I406" si="815">IF(H406&gt;0,RANK(H406,(H$400:H$418)),0)</f>
        <v>9</v>
      </c>
      <c r="J406" s="167">
        <f>'Averages Pivot Table'!AB$169</f>
        <v>10488.54</v>
      </c>
      <c r="K406" s="138">
        <f t="shared" ref="K406" si="816">IF(J406&gt;0,RANK(J406,(J$400:J$418)),0)</f>
        <v>7</v>
      </c>
      <c r="L406" s="167">
        <f>'Averages Pivot Table'!AB$173</f>
        <v>0</v>
      </c>
      <c r="M406" s="138">
        <f t="shared" ref="M406" si="817">IF(L406&gt;0,RANK(L406,(L$400:L$418)),0)</f>
        <v>0</v>
      </c>
      <c r="N406" s="167">
        <f>'Averages Pivot Table'!AB$177</f>
        <v>43742.548379530264</v>
      </c>
      <c r="O406" s="138">
        <f t="shared" ref="O406" si="818">IF(N406&gt;0,RANK(N406,(N$400:N$418)),0)</f>
        <v>13</v>
      </c>
      <c r="Q406" s="109"/>
      <c r="R406" s="109"/>
      <c r="S406" s="109"/>
    </row>
    <row r="407" spans="1:19" x14ac:dyDescent="0.25">
      <c r="A407" s="136" t="s">
        <v>201</v>
      </c>
      <c r="B407" s="167">
        <f>'Averages Pivot Table'!AB$182</f>
        <v>62532.788793103449</v>
      </c>
      <c r="C407" s="138">
        <f t="shared" si="793"/>
        <v>3</v>
      </c>
      <c r="D407" s="167">
        <f>'Averages Pivot Table'!AB$186</f>
        <v>46661.319852941175</v>
      </c>
      <c r="E407" s="138">
        <f t="shared" si="793"/>
        <v>7</v>
      </c>
      <c r="F407" s="167">
        <f>'Averages Pivot Table'!AB$190</f>
        <v>51303.707386363632</v>
      </c>
      <c r="G407" s="138">
        <f t="shared" ref="G407" si="819">IF(F407&gt;0,RANK(F407,(F$400:F$418)),0)</f>
        <v>1</v>
      </c>
      <c r="H407" s="167">
        <f>'Averages Pivot Table'!AB$194</f>
        <v>36080.481443090663</v>
      </c>
      <c r="I407" s="138">
        <f t="shared" ref="I407" si="820">IF(H407&gt;0,RANK(H407,(H$400:H$418)),0)</f>
        <v>8</v>
      </c>
      <c r="J407" s="167">
        <f>'Averages Pivot Table'!AB$198</f>
        <v>31663.125</v>
      </c>
      <c r="K407" s="138">
        <f t="shared" ref="K407" si="821">IF(J407&gt;0,RANK(J407,(J$400:J$418)),0)</f>
        <v>6</v>
      </c>
      <c r="L407" s="167">
        <f>'Averages Pivot Table'!AB$202</f>
        <v>0</v>
      </c>
      <c r="M407" s="138">
        <f t="shared" ref="M407" si="822">IF(L407&gt;0,RANK(L407,(L$400:L$418)),0)</f>
        <v>0</v>
      </c>
      <c r="N407" s="167">
        <f>'Averages Pivot Table'!AB$206</f>
        <v>41914.474633252052</v>
      </c>
      <c r="O407" s="138">
        <f t="shared" ref="O407" si="823">IF(N407&gt;0,RANK(N407,(N$400:N$418)),0)</f>
        <v>15</v>
      </c>
      <c r="Q407" s="109"/>
      <c r="R407" s="109"/>
      <c r="S407" s="109"/>
    </row>
    <row r="408" spans="1:19" x14ac:dyDescent="0.25">
      <c r="A408" s="136" t="s">
        <v>202</v>
      </c>
      <c r="B408" s="167">
        <f>'Averages Pivot Table'!AB$211</f>
        <v>68595.470541709292</v>
      </c>
      <c r="C408" s="138">
        <f t="shared" si="793"/>
        <v>1</v>
      </c>
      <c r="D408" s="167">
        <f>'Averages Pivot Table'!AB$215</f>
        <v>55863.803747292899</v>
      </c>
      <c r="E408" s="138">
        <f t="shared" si="793"/>
        <v>2</v>
      </c>
      <c r="F408" s="167">
        <f>'Averages Pivot Table'!AB$219</f>
        <v>49542.883849567283</v>
      </c>
      <c r="G408" s="138">
        <f t="shared" ref="G408" si="824">IF(F408&gt;0,RANK(F408,(F$400:F$418)),0)</f>
        <v>2</v>
      </c>
      <c r="H408" s="167">
        <f>'Averages Pivot Table'!AB$223</f>
        <v>43027.944027149315</v>
      </c>
      <c r="I408" s="138">
        <f t="shared" ref="I408" si="825">IF(H408&gt;0,RANK(H408,(H$400:H$418)),0)</f>
        <v>4</v>
      </c>
      <c r="J408" s="167">
        <f>'Averages Pivot Table'!AB$227</f>
        <v>43327.57859078591</v>
      </c>
      <c r="K408" s="138">
        <f t="shared" ref="K408" si="826">IF(J408&gt;0,RANK(J408,(J$400:J$418)),0)</f>
        <v>4</v>
      </c>
      <c r="L408" s="167">
        <f>'Averages Pivot Table'!AB$231</f>
        <v>0</v>
      </c>
      <c r="M408" s="138">
        <f t="shared" ref="M408" si="827">IF(L408&gt;0,RANK(L408,(L$400:L$418)),0)</f>
        <v>0</v>
      </c>
      <c r="N408" s="167">
        <f>'Averages Pivot Table'!AB$235</f>
        <v>53595.122857974231</v>
      </c>
      <c r="O408" s="138">
        <f t="shared" ref="O408" si="828">IF(N408&gt;0,RANK(N408,(N$400:N$418)),0)</f>
        <v>2</v>
      </c>
      <c r="Q408" s="109"/>
      <c r="R408" s="109"/>
      <c r="S408" s="109"/>
    </row>
    <row r="409" spans="1:19" x14ac:dyDescent="0.25">
      <c r="A409" s="136"/>
      <c r="B409" s="167"/>
      <c r="C409" s="138"/>
      <c r="D409" s="167"/>
      <c r="E409" s="138"/>
      <c r="F409" s="167"/>
      <c r="G409" s="138"/>
      <c r="H409" s="167"/>
      <c r="I409" s="138"/>
      <c r="J409" s="167"/>
      <c r="K409" s="138"/>
      <c r="L409" s="167"/>
      <c r="M409" s="138"/>
      <c r="N409" s="167"/>
      <c r="O409" s="138"/>
      <c r="Q409" s="109"/>
      <c r="R409" s="109"/>
      <c r="S409" s="109"/>
    </row>
    <row r="410" spans="1:19" x14ac:dyDescent="0.25">
      <c r="A410" s="136" t="s">
        <v>203</v>
      </c>
      <c r="B410" s="167">
        <f>'Averages Pivot Table'!AB$240</f>
        <v>0</v>
      </c>
      <c r="C410" s="138">
        <f t="shared" si="793"/>
        <v>0</v>
      </c>
      <c r="D410" s="167">
        <f>'Averages Pivot Table'!AB$244</f>
        <v>0</v>
      </c>
      <c r="E410" s="138">
        <f t="shared" si="793"/>
        <v>0</v>
      </c>
      <c r="F410" s="167">
        <f>'Averages Pivot Table'!AB$248</f>
        <v>0</v>
      </c>
      <c r="G410" s="138">
        <f t="shared" ref="G410" si="829">IF(F410&gt;0,RANK(F410,(F$400:F$418)),0)</f>
        <v>0</v>
      </c>
      <c r="H410" s="167">
        <f>'Averages Pivot Table'!AB$252</f>
        <v>0</v>
      </c>
      <c r="I410" s="138">
        <f t="shared" ref="I410" si="830">IF(H410&gt;0,RANK(H410,(H$400:H$418)),0)</f>
        <v>0</v>
      </c>
      <c r="J410" s="167">
        <f>'Averages Pivot Table'!AB$256</f>
        <v>0</v>
      </c>
      <c r="K410" s="138">
        <f t="shared" ref="K410" si="831">IF(J410&gt;0,RANK(J410,(J$400:J$418)),0)</f>
        <v>0</v>
      </c>
      <c r="L410" s="167">
        <f>'Averages Pivot Table'!AB$260</f>
        <v>49095.072361618353</v>
      </c>
      <c r="M410" s="138">
        <f t="shared" ref="M410" si="832">IF(L410&gt;0,RANK(L410,(L$400:L$418)),0)</f>
        <v>4</v>
      </c>
      <c r="N410" s="167">
        <f>'Averages Pivot Table'!AB$264</f>
        <v>49095.072361618353</v>
      </c>
      <c r="O410" s="138">
        <f t="shared" ref="O410" si="833">IF(N410&gt;0,RANK(N410,(N$400:N$418)),0)</f>
        <v>4</v>
      </c>
      <c r="Q410" s="109"/>
      <c r="R410" s="109"/>
      <c r="S410" s="109"/>
    </row>
    <row r="411" spans="1:19" x14ac:dyDescent="0.25">
      <c r="A411" s="136" t="s">
        <v>204</v>
      </c>
      <c r="B411" s="167">
        <f>'Averages Pivot Table'!AB$269</f>
        <v>0</v>
      </c>
      <c r="C411" s="138">
        <f t="shared" si="793"/>
        <v>0</v>
      </c>
      <c r="D411" s="167">
        <f>'Averages Pivot Table'!AB$273</f>
        <v>0</v>
      </c>
      <c r="E411" s="138">
        <f t="shared" si="793"/>
        <v>0</v>
      </c>
      <c r="F411" s="167">
        <f>'Averages Pivot Table'!AB$277</f>
        <v>0</v>
      </c>
      <c r="G411" s="138">
        <f t="shared" ref="G411" si="834">IF(F411&gt;0,RANK(F411,(F$400:F$418)),0)</f>
        <v>0</v>
      </c>
      <c r="H411" s="167">
        <f>'Averages Pivot Table'!AB$281</f>
        <v>43165.208352848284</v>
      </c>
      <c r="I411" s="138">
        <f t="shared" ref="I411" si="835">IF(H411&gt;0,RANK(H411,(H$400:H$418)),0)</f>
        <v>3</v>
      </c>
      <c r="J411" s="167">
        <f>'Averages Pivot Table'!AB$285</f>
        <v>47190.768631386738</v>
      </c>
      <c r="K411" s="138">
        <f t="shared" ref="K411" si="836">IF(J411&gt;0,RANK(J411,(J$400:J$418)),0)</f>
        <v>1</v>
      </c>
      <c r="L411" s="167">
        <f>'Averages Pivot Table'!AB$289</f>
        <v>0</v>
      </c>
      <c r="M411" s="138">
        <f t="shared" ref="M411" si="837">IF(L411&gt;0,RANK(L411,(L$400:L$418)),0)</f>
        <v>0</v>
      </c>
      <c r="N411" s="167">
        <f>'Averages Pivot Table'!AB$293</f>
        <v>45882.420346016479</v>
      </c>
      <c r="O411" s="138">
        <f t="shared" ref="O411" si="838">IF(N411&gt;0,RANK(N411,(N$400:N$418)),0)</f>
        <v>11</v>
      </c>
      <c r="Q411" s="109"/>
      <c r="R411" s="109"/>
      <c r="S411" s="109"/>
    </row>
    <row r="412" spans="1:19" x14ac:dyDescent="0.25">
      <c r="A412" s="136" t="s">
        <v>205</v>
      </c>
      <c r="B412" s="167">
        <f>'Averages Pivot Table'!AB$298</f>
        <v>0</v>
      </c>
      <c r="C412" s="138">
        <f t="shared" si="793"/>
        <v>0</v>
      </c>
      <c r="D412" s="167">
        <f>'Averages Pivot Table'!AB$302</f>
        <v>0</v>
      </c>
      <c r="E412" s="138">
        <f t="shared" si="793"/>
        <v>0</v>
      </c>
      <c r="F412" s="167">
        <f>'Averages Pivot Table'!AB$306</f>
        <v>0</v>
      </c>
      <c r="G412" s="138">
        <f t="shared" ref="G412" si="839">IF(F412&gt;0,RANK(F412,(F$400:F$418)),0)</f>
        <v>0</v>
      </c>
      <c r="H412" s="167">
        <f>'Averages Pivot Table'!AB$310</f>
        <v>0</v>
      </c>
      <c r="I412" s="138">
        <f t="shared" ref="I412" si="840">IF(H412&gt;0,RANK(H412,(H$400:H$418)),0)</f>
        <v>0</v>
      </c>
      <c r="J412" s="167">
        <f>'Averages Pivot Table'!AB$314</f>
        <v>0</v>
      </c>
      <c r="K412" s="138">
        <f t="shared" ref="K412" si="841">IF(J412&gt;0,RANK(J412,(J$400:J$418)),0)</f>
        <v>0</v>
      </c>
      <c r="L412" s="167">
        <f>'Averages Pivot Table'!AB$318</f>
        <v>44455.40878378378</v>
      </c>
      <c r="M412" s="138">
        <f t="shared" ref="M412" si="842">IF(L412&gt;0,RANK(L412,(L$400:L$418)),0)</f>
        <v>6</v>
      </c>
      <c r="N412" s="167">
        <f>'Averages Pivot Table'!AB$322</f>
        <v>44455.40878378378</v>
      </c>
      <c r="O412" s="138">
        <f t="shared" ref="O412" si="843">IF(N412&gt;0,RANK(N412,(N$400:N$418)),0)</f>
        <v>12</v>
      </c>
      <c r="Q412" s="109"/>
      <c r="R412" s="109"/>
      <c r="S412" s="109"/>
    </row>
    <row r="413" spans="1:19" x14ac:dyDescent="0.25">
      <c r="A413" s="136" t="s">
        <v>206</v>
      </c>
      <c r="B413" s="167">
        <f>'Averages Pivot Table'!AB$327</f>
        <v>0</v>
      </c>
      <c r="C413" s="138">
        <f t="shared" si="793"/>
        <v>0</v>
      </c>
      <c r="D413" s="167">
        <f>'Averages Pivot Table'!AB$331</f>
        <v>0</v>
      </c>
      <c r="E413" s="138">
        <f t="shared" si="793"/>
        <v>0</v>
      </c>
      <c r="F413" s="167">
        <f>'Averages Pivot Table'!AB$335</f>
        <v>0</v>
      </c>
      <c r="G413" s="138">
        <f t="shared" ref="G413" si="844">IF(F413&gt;0,RANK(F413,(F$400:F$418)),0)</f>
        <v>0</v>
      </c>
      <c r="H413" s="167">
        <f>'Averages Pivot Table'!AB$339</f>
        <v>0</v>
      </c>
      <c r="I413" s="138">
        <f t="shared" ref="I413" si="845">IF(H413&gt;0,RANK(H413,(H$400:H$418)),0)</f>
        <v>0</v>
      </c>
      <c r="J413" s="167">
        <f>'Averages Pivot Table'!AB$343</f>
        <v>47066.307855626328</v>
      </c>
      <c r="K413" s="138">
        <f t="shared" ref="K413" si="846">IF(J413&gt;0,RANK(J413,(J$400:J$418)),0)</f>
        <v>2</v>
      </c>
      <c r="L413" s="167">
        <f>'Averages Pivot Table'!AB$347</f>
        <v>0</v>
      </c>
      <c r="M413" s="138">
        <f t="shared" ref="M413" si="847">IF(L413&gt;0,RANK(L413,(L$400:L$418)),0)</f>
        <v>0</v>
      </c>
      <c r="N413" s="167">
        <f>'Averages Pivot Table'!AB$351</f>
        <v>47066.307855626328</v>
      </c>
      <c r="O413" s="138">
        <f t="shared" ref="O413" si="848">IF(N413&gt;0,RANK(N413,(N$400:N$418)),0)</f>
        <v>9</v>
      </c>
      <c r="Q413" s="109"/>
      <c r="R413" s="109"/>
      <c r="S413" s="109"/>
    </row>
    <row r="414" spans="1:19" x14ac:dyDescent="0.25">
      <c r="A414" s="136"/>
      <c r="B414" s="167"/>
      <c r="C414" s="138"/>
      <c r="D414" s="167"/>
      <c r="E414" s="138"/>
      <c r="F414" s="167"/>
      <c r="G414" s="138"/>
      <c r="H414" s="167"/>
      <c r="I414" s="138"/>
      <c r="J414" s="167"/>
      <c r="K414" s="138"/>
      <c r="L414" s="167"/>
      <c r="M414" s="138"/>
      <c r="N414" s="167"/>
      <c r="O414" s="138"/>
      <c r="Q414" s="109"/>
      <c r="R414" s="109"/>
      <c r="S414" s="109"/>
    </row>
    <row r="415" spans="1:19" x14ac:dyDescent="0.25">
      <c r="A415" s="136" t="s">
        <v>207</v>
      </c>
      <c r="B415" s="137">
        <f>'Averages Pivot Table'!AB$356</f>
        <v>60318.555918020444</v>
      </c>
      <c r="C415" s="138">
        <f t="shared" si="793"/>
        <v>4</v>
      </c>
      <c r="D415" s="137">
        <f>'Averages Pivot Table'!AB$360</f>
        <v>50130.984742766334</v>
      </c>
      <c r="E415" s="138">
        <f t="shared" si="793"/>
        <v>5</v>
      </c>
      <c r="F415" s="137">
        <f>'Averages Pivot Table'!AB$364</f>
        <v>43495.693492027742</v>
      </c>
      <c r="G415" s="138">
        <f t="shared" ref="G415" si="849">IF(F415&gt;0,RANK(F415,(F$400:F$418)),0)</f>
        <v>7</v>
      </c>
      <c r="H415" s="137">
        <f>'Averages Pivot Table'!AB$368</f>
        <v>39347.413449457112</v>
      </c>
      <c r="I415" s="138">
        <f t="shared" ref="I415" si="850">IF(H415&gt;0,RANK(H415,(H$400:H$418)),0)</f>
        <v>6</v>
      </c>
      <c r="J415" s="137">
        <f>'Averages Pivot Table'!AB$372</f>
        <v>0</v>
      </c>
      <c r="K415" s="138">
        <f t="shared" ref="K415" si="851">IF(J415&gt;0,RANK(J415,(J$400:J$418)),0)</f>
        <v>0</v>
      </c>
      <c r="L415" s="137">
        <f>'Averages Pivot Table'!AB$376</f>
        <v>0</v>
      </c>
      <c r="M415" s="138">
        <f t="shared" ref="M415" si="852">IF(L415&gt;0,RANK(L415,(L$400:L$418)),0)</f>
        <v>0</v>
      </c>
      <c r="N415" s="137">
        <f>'Averages Pivot Table'!AB$380</f>
        <v>47777.392143319863</v>
      </c>
      <c r="O415" s="138">
        <f t="shared" ref="O415" si="853">IF(N415&gt;0,RANK(N415,(N$400:N$418)),0)</f>
        <v>7</v>
      </c>
      <c r="Q415" s="109"/>
      <c r="R415" s="109"/>
      <c r="S415" s="109"/>
    </row>
    <row r="416" spans="1:19" x14ac:dyDescent="0.25">
      <c r="A416" s="136" t="s">
        <v>208</v>
      </c>
      <c r="B416" s="137">
        <f>'Averages Pivot Table'!AB$385</f>
        <v>48909.141774491392</v>
      </c>
      <c r="C416" s="138">
        <f t="shared" si="793"/>
        <v>8</v>
      </c>
      <c r="D416" s="137">
        <f>'Averages Pivot Table'!AB$389</f>
        <v>47068.40728259067</v>
      </c>
      <c r="E416" s="138">
        <f t="shared" si="793"/>
        <v>6</v>
      </c>
      <c r="F416" s="137">
        <f>'Averages Pivot Table'!AB$393</f>
        <v>45717.392402527345</v>
      </c>
      <c r="G416" s="138">
        <f t="shared" ref="G416" si="854">IF(F416&gt;0,RANK(F416,(F$400:F$418)),0)</f>
        <v>5</v>
      </c>
      <c r="H416" s="137">
        <f>'Averages Pivot Table'!AB$397</f>
        <v>48370.669976181205</v>
      </c>
      <c r="I416" s="138">
        <f t="shared" ref="I416" si="855">IF(H416&gt;0,RANK(H416,(H$400:H$418)),0)</f>
        <v>2</v>
      </c>
      <c r="J416" s="137">
        <f>'Averages Pivot Table'!AB$401</f>
        <v>0</v>
      </c>
      <c r="K416" s="138">
        <f t="shared" ref="K416" si="856">IF(J416&gt;0,RANK(J416,(J$400:J$418)),0)</f>
        <v>0</v>
      </c>
      <c r="L416" s="137">
        <f>'Averages Pivot Table'!AB$405</f>
        <v>50095.113835802549</v>
      </c>
      <c r="M416" s="138">
        <f t="shared" ref="M416" si="857">IF(L416&gt;0,RANK(L416,(L$400:L$418)),0)</f>
        <v>3</v>
      </c>
      <c r="N416" s="137">
        <f>'Averages Pivot Table'!AB$409</f>
        <v>48720.287713187208</v>
      </c>
      <c r="O416" s="138">
        <f t="shared" ref="O416" si="858">IF(N416&gt;0,RANK(N416,(N$400:N$418)),0)</f>
        <v>5</v>
      </c>
      <c r="Q416" s="109"/>
      <c r="R416" s="109"/>
      <c r="S416" s="109"/>
    </row>
    <row r="417" spans="1:19" ht="12.95" customHeight="1" x14ac:dyDescent="0.25">
      <c r="A417" s="136" t="s">
        <v>209</v>
      </c>
      <c r="B417" s="137">
        <f>'Averages Pivot Table'!AB$414</f>
        <v>0</v>
      </c>
      <c r="C417" s="138">
        <f t="shared" si="793"/>
        <v>0</v>
      </c>
      <c r="D417" s="137">
        <f>'Averages Pivot Table'!AB$418</f>
        <v>0</v>
      </c>
      <c r="E417" s="138">
        <f t="shared" si="793"/>
        <v>0</v>
      </c>
      <c r="F417" s="137">
        <f>'Averages Pivot Table'!AB$422</f>
        <v>0</v>
      </c>
      <c r="G417" s="138">
        <f t="shared" ref="G417" si="859">IF(F417&gt;0,RANK(F417,(F$400:F$418)),0)</f>
        <v>0</v>
      </c>
      <c r="H417" s="137">
        <f>'Averages Pivot Table'!AB$426</f>
        <v>0</v>
      </c>
      <c r="I417" s="138">
        <f t="shared" ref="I417" si="860">IF(H417&gt;0,RANK(H417,(H$400:H$418)),0)</f>
        <v>0</v>
      </c>
      <c r="J417" s="137">
        <f>'Averages Pivot Table'!AB$430</f>
        <v>0</v>
      </c>
      <c r="K417" s="138">
        <f t="shared" ref="K417" si="861">IF(J417&gt;0,RANK(J417,(J$400:J$418)),0)</f>
        <v>0</v>
      </c>
      <c r="L417" s="137">
        <f>'Averages Pivot Table'!AB$434</f>
        <v>0</v>
      </c>
      <c r="M417" s="138">
        <f t="shared" ref="M417" si="862">IF(L417&gt;0,RANK(L417,(L$400:L$418)),0)</f>
        <v>0</v>
      </c>
      <c r="N417" s="137">
        <f>'Averages Pivot Table'!AB$438</f>
        <v>0</v>
      </c>
      <c r="O417" s="138">
        <f t="shared" ref="O417" si="863">IF(N417&gt;0,RANK(N417,(N$400:N$418)),0)</f>
        <v>0</v>
      </c>
    </row>
    <row r="418" spans="1:19" ht="12.95" customHeight="1" x14ac:dyDescent="0.25">
      <c r="A418" s="161" t="s">
        <v>210</v>
      </c>
      <c r="B418" s="140">
        <f>'Averages Pivot Table'!AB$443</f>
        <v>65289.802009456274</v>
      </c>
      <c r="C418" s="141">
        <f t="shared" si="793"/>
        <v>2</v>
      </c>
      <c r="D418" s="140">
        <f>'Averages Pivot Table'!AB$447</f>
        <v>52753.076923076922</v>
      </c>
      <c r="E418" s="141">
        <f t="shared" si="793"/>
        <v>3</v>
      </c>
      <c r="F418" s="140">
        <f>'Averages Pivot Table'!AB$451</f>
        <v>46245.352505933268</v>
      </c>
      <c r="G418" s="141">
        <f t="shared" ref="G418" si="864">IF(F418&gt;0,RANK(F418,(F$400:F$418)),0)</f>
        <v>4</v>
      </c>
      <c r="H418" s="140">
        <f>'Averages Pivot Table'!AB$455</f>
        <v>38615.46551311959</v>
      </c>
      <c r="I418" s="141">
        <f t="shared" ref="I418" si="865">IF(H418&gt;0,RANK(H418,(H$400:H$418)),0)</f>
        <v>7</v>
      </c>
      <c r="J418" s="140">
        <f>'Averages Pivot Table'!AB$459</f>
        <v>43823.368421052626</v>
      </c>
      <c r="K418" s="141">
        <f t="shared" ref="K418" si="866">IF(J418&gt;0,RANK(J418,(J$400:J$418)),0)</f>
        <v>3</v>
      </c>
      <c r="L418" s="140">
        <f>'Averages Pivot Table'!AB$463</f>
        <v>0</v>
      </c>
      <c r="M418" s="141">
        <f t="shared" ref="M418" si="867">IF(L418&gt;0,RANK(L418,(L$400:L$418)),0)</f>
        <v>0</v>
      </c>
      <c r="N418" s="140">
        <f>'Averages Pivot Table'!AB$467</f>
        <v>47754.210815145336</v>
      </c>
      <c r="O418" s="141">
        <f t="shared" ref="O418" si="868">IF(N418&gt;0,RANK(N418,(N$400:N$418)),0)</f>
        <v>8</v>
      </c>
    </row>
    <row r="419" spans="1:19" ht="30" customHeight="1" x14ac:dyDescent="0.25">
      <c r="A419" s="711" t="s">
        <v>1127</v>
      </c>
      <c r="B419" s="711"/>
      <c r="C419" s="711"/>
      <c r="D419" s="711"/>
      <c r="E419" s="711"/>
      <c r="F419" s="711"/>
      <c r="G419" s="711"/>
      <c r="H419" s="711"/>
      <c r="I419" s="711"/>
      <c r="J419" s="711"/>
      <c r="K419" s="711"/>
      <c r="L419" s="711"/>
      <c r="M419" s="711"/>
      <c r="N419" s="711"/>
      <c r="O419" s="711"/>
    </row>
    <row r="420" spans="1:19" x14ac:dyDescent="0.25">
      <c r="O420" s="102" t="s">
        <v>1124</v>
      </c>
    </row>
    <row r="421" spans="1:19" ht="18" x14ac:dyDescent="0.25">
      <c r="A421" s="82" t="s">
        <v>242</v>
      </c>
      <c r="B421" s="82"/>
      <c r="C421" s="82"/>
      <c r="D421" s="82"/>
      <c r="E421" s="82"/>
      <c r="F421" s="82"/>
      <c r="G421" s="82"/>
      <c r="H421" s="82"/>
      <c r="I421" s="82"/>
      <c r="J421" s="82"/>
      <c r="K421" s="82"/>
      <c r="L421" s="82"/>
      <c r="M421" s="82"/>
      <c r="N421" s="82"/>
      <c r="O421" s="82"/>
    </row>
    <row r="422" spans="1:19" x14ac:dyDescent="0.25">
      <c r="A422" s="180"/>
      <c r="B422" s="87"/>
      <c r="C422" s="87"/>
      <c r="D422" s="87"/>
      <c r="E422" s="87"/>
      <c r="F422" s="87"/>
      <c r="G422" s="87"/>
      <c r="H422" s="87"/>
      <c r="I422" s="87"/>
      <c r="J422" s="87"/>
      <c r="K422" s="87"/>
      <c r="L422" s="87"/>
      <c r="M422" s="87"/>
      <c r="N422" s="87"/>
      <c r="O422" s="87"/>
    </row>
    <row r="423" spans="1:19" x14ac:dyDescent="0.25">
      <c r="A423" s="707" t="s">
        <v>218</v>
      </c>
      <c r="B423" s="707"/>
      <c r="C423" s="707"/>
      <c r="D423" s="707"/>
      <c r="E423" s="707"/>
      <c r="F423" s="707"/>
      <c r="G423" s="707"/>
      <c r="H423" s="707"/>
      <c r="I423" s="707"/>
      <c r="J423" s="707"/>
      <c r="K423" s="707"/>
      <c r="L423" s="707"/>
      <c r="M423" s="707"/>
      <c r="N423" s="707"/>
      <c r="O423" s="707"/>
    </row>
    <row r="424" spans="1:19" x14ac:dyDescent="0.25">
      <c r="A424" s="707" t="s">
        <v>285</v>
      </c>
      <c r="B424" s="707"/>
      <c r="C424" s="707"/>
      <c r="D424" s="707"/>
      <c r="E424" s="707"/>
      <c r="F424" s="707"/>
      <c r="G424" s="707"/>
      <c r="H424" s="707"/>
      <c r="I424" s="707"/>
      <c r="J424" s="707"/>
      <c r="K424" s="707"/>
      <c r="L424" s="707"/>
      <c r="M424" s="707"/>
      <c r="N424" s="707"/>
      <c r="O424" s="707"/>
    </row>
    <row r="425" spans="1:19" x14ac:dyDescent="0.25">
      <c r="A425" s="136"/>
      <c r="B425" s="136"/>
      <c r="C425" s="136"/>
      <c r="D425" s="136"/>
      <c r="E425" s="136"/>
      <c r="F425" s="136"/>
      <c r="G425" s="136"/>
      <c r="H425" s="136"/>
      <c r="I425" s="136"/>
      <c r="J425" s="136"/>
      <c r="K425" s="136"/>
      <c r="L425" s="136"/>
      <c r="M425" s="136"/>
      <c r="N425" s="136"/>
      <c r="O425" s="136"/>
    </row>
    <row r="426" spans="1:19" ht="33" customHeight="1" x14ac:dyDescent="0.25">
      <c r="A426" s="114"/>
      <c r="B426" s="182" t="s">
        <v>3</v>
      </c>
      <c r="C426" s="183"/>
      <c r="D426" s="184" t="s">
        <v>4</v>
      </c>
      <c r="E426" s="185"/>
      <c r="F426" s="184" t="s">
        <v>5</v>
      </c>
      <c r="G426" s="185"/>
      <c r="H426" s="182" t="s">
        <v>6</v>
      </c>
      <c r="I426" s="183"/>
      <c r="J426" s="184" t="s">
        <v>219</v>
      </c>
      <c r="K426" s="185"/>
      <c r="L426" s="183" t="s">
        <v>23</v>
      </c>
      <c r="M426" s="183"/>
      <c r="N426" s="183" t="s">
        <v>220</v>
      </c>
      <c r="O426" s="183"/>
    </row>
    <row r="427" spans="1:19" x14ac:dyDescent="0.25">
      <c r="A427" s="120"/>
      <c r="B427" s="116" t="s">
        <v>193</v>
      </c>
      <c r="C427" s="115" t="s">
        <v>170</v>
      </c>
      <c r="D427" s="116" t="s">
        <v>193</v>
      </c>
      <c r="E427" s="115" t="s">
        <v>170</v>
      </c>
      <c r="F427" s="116" t="s">
        <v>193</v>
      </c>
      <c r="G427" s="115" t="s">
        <v>170</v>
      </c>
      <c r="H427" s="116" t="s">
        <v>193</v>
      </c>
      <c r="I427" s="115" t="s">
        <v>170</v>
      </c>
      <c r="J427" s="116" t="s">
        <v>193</v>
      </c>
      <c r="K427" s="115" t="s">
        <v>170</v>
      </c>
      <c r="L427" s="116" t="s">
        <v>193</v>
      </c>
      <c r="M427" s="115" t="s">
        <v>170</v>
      </c>
      <c r="N427" s="116" t="s">
        <v>193</v>
      </c>
      <c r="O427" s="115" t="s">
        <v>170</v>
      </c>
    </row>
    <row r="428" spans="1:19" s="127" customFormat="1" ht="18" customHeight="1" x14ac:dyDescent="0.25">
      <c r="A428" s="124" t="s">
        <v>194</v>
      </c>
      <c r="B428" s="151">
        <f>'Averages Pivot Table'!AC$471</f>
        <v>57923.796520491145</v>
      </c>
      <c r="C428" s="151"/>
      <c r="D428" s="151">
        <f>'Averages Pivot Table'!AC$475</f>
        <v>52298.824345538087</v>
      </c>
      <c r="E428" s="151"/>
      <c r="F428" s="151">
        <f>'Averages Pivot Table'!AC$479</f>
        <v>50338.534227342592</v>
      </c>
      <c r="G428" s="151"/>
      <c r="H428" s="151">
        <f>'Averages Pivot Table'!AC$483</f>
        <v>41644.168704916847</v>
      </c>
      <c r="I428" s="151"/>
      <c r="J428" s="151">
        <f>'Averages Pivot Table'!AC$487</f>
        <v>44684.199281466739</v>
      </c>
      <c r="K428" s="151"/>
      <c r="L428" s="151">
        <f>'Averages Pivot Table'!AC$491</f>
        <v>44592.71525308054</v>
      </c>
      <c r="M428" s="187"/>
      <c r="N428" s="151">
        <f>'Averages Pivot Table'!AC$495</f>
        <v>45406.047447329773</v>
      </c>
      <c r="O428" s="188"/>
      <c r="Q428" s="129"/>
      <c r="R428" s="129"/>
      <c r="S428" s="129"/>
    </row>
    <row r="429" spans="1:19" ht="12.95" customHeight="1" x14ac:dyDescent="0.25">
      <c r="A429" s="136"/>
      <c r="B429" s="131"/>
      <c r="C429" s="155"/>
      <c r="D429" s="131"/>
      <c r="E429" s="155"/>
      <c r="F429" s="131"/>
      <c r="G429" s="155"/>
      <c r="H429" s="131"/>
      <c r="I429" s="155"/>
      <c r="J429" s="131"/>
      <c r="K429" s="155"/>
      <c r="L429" s="131"/>
      <c r="M429" s="155"/>
      <c r="N429" s="131"/>
      <c r="O429" s="132"/>
    </row>
    <row r="430" spans="1:19" ht="12.95" customHeight="1" x14ac:dyDescent="0.25">
      <c r="A430" s="136" t="s">
        <v>195</v>
      </c>
      <c r="B430" s="167">
        <f>'Averages Pivot Table'!AC$8</f>
        <v>0</v>
      </c>
      <c r="C430" s="138">
        <f>IF(B430&gt;0,RANK(B430,(B$430:B$448)),0)</f>
        <v>0</v>
      </c>
      <c r="D430" s="167">
        <f>'Averages Pivot Table'!AC$12</f>
        <v>0</v>
      </c>
      <c r="E430" s="138">
        <f>IF(D430&gt;0,RANK(D430,(D$430:D$448)),0)</f>
        <v>0</v>
      </c>
      <c r="F430" s="167">
        <f>'Averages Pivot Table'!AC$16</f>
        <v>0</v>
      </c>
      <c r="G430" s="138">
        <f>IF(F430&gt;0,RANK(F430,(F$430:F$448)),0)</f>
        <v>0</v>
      </c>
      <c r="H430" s="167">
        <f>'Averages Pivot Table'!AC$20</f>
        <v>0</v>
      </c>
      <c r="I430" s="138">
        <f>IF(H430&gt;0,RANK(H430,(H$430:H$448)),0)</f>
        <v>0</v>
      </c>
      <c r="J430" s="167">
        <f>'Averages Pivot Table'!AC$24</f>
        <v>0</v>
      </c>
      <c r="K430" s="138">
        <f>IF(J430&gt;0,RANK(J430,(J$430:J$448)),0)</f>
        <v>0</v>
      </c>
      <c r="L430" s="167">
        <f>'Averages Pivot Table'!AC$28</f>
        <v>52068.832306581629</v>
      </c>
      <c r="M430" s="138">
        <f>IF(L430&gt;0,RANK(L430,(L$430:L$448)),0)</f>
        <v>1</v>
      </c>
      <c r="N430" s="167">
        <f>'Averages Pivot Table'!AC$32</f>
        <v>52068.832306581629</v>
      </c>
      <c r="O430" s="138">
        <f>IF(N430&gt;0,RANK(N430,(N$430:N$448)),0)</f>
        <v>3</v>
      </c>
    </row>
    <row r="431" spans="1:19" ht="12.95" customHeight="1" x14ac:dyDescent="0.25">
      <c r="A431" s="136" t="s">
        <v>196</v>
      </c>
      <c r="B431" s="167">
        <f>'Averages Pivot Table'!AC$37</f>
        <v>50821.02</v>
      </c>
      <c r="C431" s="138">
        <f t="shared" ref="C431:E448" si="869">IF(B431&gt;0,RANK(B431,(B$430:B$448)),0)</f>
        <v>8</v>
      </c>
      <c r="D431" s="167">
        <f>'Averages Pivot Table'!AC$41</f>
        <v>44400.818181818177</v>
      </c>
      <c r="E431" s="138">
        <f t="shared" si="869"/>
        <v>9</v>
      </c>
      <c r="F431" s="167">
        <f>'Averages Pivot Table'!AC$45</f>
        <v>41753.606327356858</v>
      </c>
      <c r="G431" s="138">
        <f t="shared" ref="G431" si="870">IF(F431&gt;0,RANK(F431,(F$430:F$448)),0)</f>
        <v>8</v>
      </c>
      <c r="H431" s="167">
        <f>'Averages Pivot Table'!AC$49</f>
        <v>39757.682795946574</v>
      </c>
      <c r="I431" s="138">
        <f t="shared" ref="I431" si="871">IF(H431&gt;0,RANK(H431,(H$430:H$448)),0)</f>
        <v>4</v>
      </c>
      <c r="J431" s="167">
        <f>'Averages Pivot Table'!AC$53</f>
        <v>0</v>
      </c>
      <c r="K431" s="138">
        <f t="shared" ref="K431" si="872">IF(J431&gt;0,RANK(J431,(J$430:J$448)),0)</f>
        <v>0</v>
      </c>
      <c r="L431" s="167">
        <f>'Averages Pivot Table'!AC$57</f>
        <v>41249.628223647538</v>
      </c>
      <c r="M431" s="138">
        <f t="shared" ref="M431" si="873">IF(L431&gt;0,RANK(L431,(L$430:L$448)),0)</f>
        <v>5</v>
      </c>
      <c r="N431" s="167">
        <f>'Averages Pivot Table'!AC$61</f>
        <v>41282.503431954632</v>
      </c>
      <c r="O431" s="138">
        <f t="shared" ref="O431" si="874">IF(N431&gt;0,RANK(N431,(N$430:N$448)),0)</f>
        <v>14</v>
      </c>
    </row>
    <row r="432" spans="1:19" ht="12.95" customHeight="1" x14ac:dyDescent="0.25">
      <c r="A432" s="136" t="s">
        <v>197</v>
      </c>
      <c r="B432" s="167">
        <f>'Averages Pivot Table'!AC$66</f>
        <v>0</v>
      </c>
      <c r="C432" s="138">
        <f t="shared" si="869"/>
        <v>0</v>
      </c>
      <c r="D432" s="167">
        <f>'Averages Pivot Table'!AC$70</f>
        <v>0</v>
      </c>
      <c r="E432" s="138">
        <f t="shared" si="869"/>
        <v>0</v>
      </c>
      <c r="F432" s="167">
        <f>'Averages Pivot Table'!AC$74</f>
        <v>0</v>
      </c>
      <c r="G432" s="138">
        <f t="shared" ref="G432" si="875">IF(F432&gt;0,RANK(F432,(F$430:F$448)),0)</f>
        <v>0</v>
      </c>
      <c r="H432" s="167">
        <f>'Averages Pivot Table'!AC$78</f>
        <v>0</v>
      </c>
      <c r="I432" s="138">
        <f t="shared" ref="I432" si="876">IF(H432&gt;0,RANK(H432,(H$430:H$448)),0)</f>
        <v>0</v>
      </c>
      <c r="J432" s="167">
        <f>'Averages Pivot Table'!AC$82</f>
        <v>0</v>
      </c>
      <c r="K432" s="138">
        <f t="shared" ref="K432" si="877">IF(J432&gt;0,RANK(J432,(J$430:J$448)),0)</f>
        <v>0</v>
      </c>
      <c r="L432" s="167">
        <f>'Averages Pivot Table'!AC$86</f>
        <v>0</v>
      </c>
      <c r="M432" s="138">
        <f t="shared" ref="M432" si="878">IF(L432&gt;0,RANK(L432,(L$430:L$448)),0)</f>
        <v>0</v>
      </c>
      <c r="N432" s="167">
        <f>'Averages Pivot Table'!AC$90</f>
        <v>0</v>
      </c>
      <c r="O432" s="138">
        <f t="shared" ref="O432" si="879">IF(N432&gt;0,RANK(N432,(N$430:N$448)),0)</f>
        <v>0</v>
      </c>
    </row>
    <row r="433" spans="1:19" x14ac:dyDescent="0.25">
      <c r="A433" s="136" t="s">
        <v>198</v>
      </c>
      <c r="B433" s="167">
        <f>'Averages Pivot Table'!AC$95</f>
        <v>0</v>
      </c>
      <c r="C433" s="138">
        <f t="shared" si="869"/>
        <v>0</v>
      </c>
      <c r="D433" s="167">
        <f>'Averages Pivot Table'!AC$99</f>
        <v>0</v>
      </c>
      <c r="E433" s="138">
        <f t="shared" si="869"/>
        <v>0</v>
      </c>
      <c r="F433" s="167">
        <f>'Averages Pivot Table'!AC$103</f>
        <v>0</v>
      </c>
      <c r="G433" s="138">
        <f t="shared" ref="G433" si="880">IF(F433&gt;0,RANK(F433,(F$430:F$448)),0)</f>
        <v>0</v>
      </c>
      <c r="H433" s="167">
        <f>'Averages Pivot Table'!AC$107</f>
        <v>0</v>
      </c>
      <c r="I433" s="138">
        <f t="shared" ref="I433" si="881">IF(H433&gt;0,RANK(H433,(H$430:H$448)),0)</f>
        <v>0</v>
      </c>
      <c r="J433" s="167">
        <f>'Averages Pivot Table'!AC$111</f>
        <v>0</v>
      </c>
      <c r="K433" s="138">
        <f t="shared" ref="K433" si="882">IF(J433&gt;0,RANK(J433,(J$430:J$448)),0)</f>
        <v>0</v>
      </c>
      <c r="L433" s="167">
        <f>'Averages Pivot Table'!AC$115</f>
        <v>50110.288135593219</v>
      </c>
      <c r="M433" s="138">
        <f t="shared" ref="M433" si="883">IF(L433&gt;0,RANK(L433,(L$430:L$448)),0)</f>
        <v>2</v>
      </c>
      <c r="N433" s="167">
        <f>'Averages Pivot Table'!AC$119</f>
        <v>50110.288135593219</v>
      </c>
      <c r="O433" s="138">
        <f t="shared" ref="O433" si="884">IF(N433&gt;0,RANK(N433,(N$430:N$448)),0)</f>
        <v>4</v>
      </c>
      <c r="Q433" s="109"/>
      <c r="R433" s="109"/>
      <c r="S433" s="109"/>
    </row>
    <row r="434" spans="1:19" x14ac:dyDescent="0.25">
      <c r="A434" s="136"/>
      <c r="B434" s="167"/>
      <c r="C434" s="138"/>
      <c r="D434" s="167"/>
      <c r="E434" s="138"/>
      <c r="F434" s="167"/>
      <c r="G434" s="138"/>
      <c r="H434" s="167"/>
      <c r="I434" s="138"/>
      <c r="J434" s="167"/>
      <c r="K434" s="138"/>
      <c r="L434" s="167"/>
      <c r="M434" s="138"/>
      <c r="N434" s="167"/>
      <c r="O434" s="138"/>
      <c r="Q434" s="109"/>
      <c r="R434" s="109"/>
      <c r="S434" s="109"/>
    </row>
    <row r="435" spans="1:19" x14ac:dyDescent="0.25">
      <c r="A435" s="136" t="s">
        <v>199</v>
      </c>
      <c r="B435" s="167">
        <f>'Averages Pivot Table'!AC$124</f>
        <v>55018</v>
      </c>
      <c r="C435" s="138">
        <f t="shared" si="869"/>
        <v>6</v>
      </c>
      <c r="D435" s="167">
        <f>'Averages Pivot Table'!AC$128</f>
        <v>47528</v>
      </c>
      <c r="E435" s="138">
        <f t="shared" si="869"/>
        <v>6</v>
      </c>
      <c r="F435" s="167">
        <f>'Averages Pivot Table'!AC$132</f>
        <v>44026.5625</v>
      </c>
      <c r="G435" s="138">
        <f t="shared" ref="G435" si="885">IF(F435&gt;0,RANK(F435,(F$430:F$448)),0)</f>
        <v>7</v>
      </c>
      <c r="H435" s="167">
        <f>'Averages Pivot Table'!AC$136</f>
        <v>37093.23529411765</v>
      </c>
      <c r="I435" s="138">
        <f t="shared" ref="I435" si="886">IF(H435&gt;0,RANK(H435,(H$430:H$448)),0)</f>
        <v>9</v>
      </c>
      <c r="J435" s="167">
        <f>'Averages Pivot Table'!AC$140</f>
        <v>35800</v>
      </c>
      <c r="K435" s="138">
        <f t="shared" ref="K435" si="887">IF(J435&gt;0,RANK(J435,(J$430:J$448)),0)</f>
        <v>6</v>
      </c>
      <c r="L435" s="167">
        <f>'Averages Pivot Table'!AC$144</f>
        <v>0</v>
      </c>
      <c r="M435" s="138">
        <f t="shared" ref="M435" si="888">IF(L435&gt;0,RANK(L435,(L$430:L$448)),0)</f>
        <v>0</v>
      </c>
      <c r="N435" s="167">
        <f>'Averages Pivot Table'!AC$148</f>
        <v>43231.37704918033</v>
      </c>
      <c r="O435" s="138">
        <f t="shared" ref="O435" si="889">IF(N435&gt;0,RANK(N435,(N$430:N$448)),0)</f>
        <v>12</v>
      </c>
      <c r="Q435" s="109"/>
      <c r="R435" s="109"/>
      <c r="S435" s="109"/>
    </row>
    <row r="436" spans="1:19" x14ac:dyDescent="0.25">
      <c r="A436" s="136" t="s">
        <v>200</v>
      </c>
      <c r="B436" s="167">
        <f>'Averages Pivot Table'!AC$153</f>
        <v>56004.6796875</v>
      </c>
      <c r="C436" s="138">
        <f t="shared" si="869"/>
        <v>5</v>
      </c>
      <c r="D436" s="167">
        <f>'Averages Pivot Table'!AC$157</f>
        <v>44579.781818181815</v>
      </c>
      <c r="E436" s="138">
        <f t="shared" si="869"/>
        <v>8</v>
      </c>
      <c r="F436" s="167">
        <f>'Averages Pivot Table'!AC$161</f>
        <v>39440.423076923078</v>
      </c>
      <c r="G436" s="138">
        <f t="shared" ref="G436" si="890">IF(F436&gt;0,RANK(F436,(F$430:F$448)),0)</f>
        <v>9</v>
      </c>
      <c r="H436" s="167">
        <f>'Averages Pivot Table'!AC$165</f>
        <v>38084.899999999994</v>
      </c>
      <c r="I436" s="138">
        <f t="shared" ref="I436" si="891">IF(H436&gt;0,RANK(H436,(H$430:H$448)),0)</f>
        <v>7</v>
      </c>
      <c r="J436" s="167">
        <f>'Averages Pivot Table'!AC$169</f>
        <v>12960</v>
      </c>
      <c r="K436" s="138">
        <f t="shared" ref="K436" si="892">IF(J436&gt;0,RANK(J436,(J$430:J$448)),0)</f>
        <v>7</v>
      </c>
      <c r="L436" s="167">
        <f>'Averages Pivot Table'!AC$173</f>
        <v>0</v>
      </c>
      <c r="M436" s="138">
        <f t="shared" ref="M436" si="893">IF(L436&gt;0,RANK(L436,(L$430:L$448)),0)</f>
        <v>0</v>
      </c>
      <c r="N436" s="167">
        <f>'Averages Pivot Table'!AC$177</f>
        <v>47910.21191317874</v>
      </c>
      <c r="O436" s="138">
        <f t="shared" ref="O436" si="894">IF(N436&gt;0,RANK(N436,(N$430:N$448)),0)</f>
        <v>6</v>
      </c>
      <c r="Q436" s="109"/>
      <c r="R436" s="109"/>
      <c r="S436" s="109"/>
    </row>
    <row r="437" spans="1:19" x14ac:dyDescent="0.25">
      <c r="A437" s="136" t="s">
        <v>201</v>
      </c>
      <c r="B437" s="167">
        <f>'Averages Pivot Table'!AC$182</f>
        <v>49135.092857142859</v>
      </c>
      <c r="C437" s="138">
        <f t="shared" si="869"/>
        <v>9</v>
      </c>
      <c r="D437" s="167">
        <f>'Averages Pivot Table'!AC$186</f>
        <v>46022.973684210527</v>
      </c>
      <c r="E437" s="138">
        <f t="shared" si="869"/>
        <v>7</v>
      </c>
      <c r="F437" s="167">
        <f>'Averages Pivot Table'!AC$190</f>
        <v>73796.058333333334</v>
      </c>
      <c r="G437" s="138">
        <f t="shared" ref="G437" si="895">IF(F437&gt;0,RANK(F437,(F$430:F$448)),0)</f>
        <v>1</v>
      </c>
      <c r="H437" s="167">
        <f>'Averages Pivot Table'!AC$194</f>
        <v>38600.50200547056</v>
      </c>
      <c r="I437" s="138">
        <f t="shared" ref="I437" si="896">IF(H437&gt;0,RANK(H437,(H$430:H$448)),0)</f>
        <v>6</v>
      </c>
      <c r="J437" s="167">
        <f>'Averages Pivot Table'!AC$198</f>
        <v>43421.25</v>
      </c>
      <c r="K437" s="138">
        <f t="shared" ref="K437" si="897">IF(J437&gt;0,RANK(J437,(J$430:J$448)),0)</f>
        <v>3</v>
      </c>
      <c r="L437" s="167">
        <f>'Averages Pivot Table'!AC$202</f>
        <v>0</v>
      </c>
      <c r="M437" s="138">
        <f t="shared" ref="M437" si="898">IF(L437&gt;0,RANK(L437,(L$430:L$448)),0)</f>
        <v>0</v>
      </c>
      <c r="N437" s="167">
        <f>'Averages Pivot Table'!AC$206</f>
        <v>48141.455141744926</v>
      </c>
      <c r="O437" s="138">
        <f t="shared" ref="O437" si="899">IF(N437&gt;0,RANK(N437,(N$430:N$448)),0)</f>
        <v>5</v>
      </c>
      <c r="Q437" s="109"/>
      <c r="R437" s="109"/>
      <c r="S437" s="109"/>
    </row>
    <row r="438" spans="1:19" x14ac:dyDescent="0.25">
      <c r="A438" s="136" t="s">
        <v>202</v>
      </c>
      <c r="B438" s="167">
        <f>'Averages Pivot Table'!AC$211</f>
        <v>64359.274644113597</v>
      </c>
      <c r="C438" s="138">
        <f t="shared" si="869"/>
        <v>4</v>
      </c>
      <c r="D438" s="167">
        <f>'Averages Pivot Table'!AC$215</f>
        <v>56453.283362637369</v>
      </c>
      <c r="E438" s="138">
        <f t="shared" si="869"/>
        <v>4</v>
      </c>
      <c r="F438" s="167">
        <f>'Averages Pivot Table'!AC$219</f>
        <v>47383.2680061192</v>
      </c>
      <c r="G438" s="138">
        <f t="shared" ref="G438" si="900">IF(F438&gt;0,RANK(F438,(F$430:F$448)),0)</f>
        <v>3</v>
      </c>
      <c r="H438" s="167">
        <f>'Averages Pivot Table'!AC$223</f>
        <v>46543.846153846156</v>
      </c>
      <c r="I438" s="138">
        <f t="shared" ref="I438" si="901">IF(H438&gt;0,RANK(H438,(H$430:H$448)),0)</f>
        <v>1</v>
      </c>
      <c r="J438" s="167">
        <f>'Averages Pivot Table'!AC$227</f>
        <v>45555.75</v>
      </c>
      <c r="K438" s="138">
        <f t="shared" ref="K438" si="902">IF(J438&gt;0,RANK(J438,(J$430:J$448)),0)</f>
        <v>1</v>
      </c>
      <c r="L438" s="167">
        <f>'Averages Pivot Table'!AC$231</f>
        <v>0</v>
      </c>
      <c r="M438" s="138">
        <f t="shared" ref="M438" si="903">IF(L438&gt;0,RANK(L438,(L$430:L$448)),0)</f>
        <v>0</v>
      </c>
      <c r="N438" s="167">
        <f>'Averages Pivot Table'!AC$235</f>
        <v>54514.990458797278</v>
      </c>
      <c r="O438" s="138">
        <f t="shared" ref="O438" si="904">IF(N438&gt;0,RANK(N438,(N$430:N$448)),0)</f>
        <v>2</v>
      </c>
      <c r="Q438" s="109"/>
      <c r="R438" s="109"/>
      <c r="S438" s="109"/>
    </row>
    <row r="439" spans="1:19" x14ac:dyDescent="0.25">
      <c r="A439" s="136"/>
      <c r="B439" s="167"/>
      <c r="C439" s="138"/>
      <c r="D439" s="167"/>
      <c r="E439" s="138"/>
      <c r="F439" s="167"/>
      <c r="G439" s="138"/>
      <c r="H439" s="167"/>
      <c r="I439" s="138"/>
      <c r="J439" s="167"/>
      <c r="K439" s="138"/>
      <c r="L439" s="167"/>
      <c r="M439" s="138"/>
      <c r="N439" s="167"/>
      <c r="O439" s="138"/>
      <c r="Q439" s="109"/>
      <c r="R439" s="109"/>
      <c r="S439" s="109"/>
    </row>
    <row r="440" spans="1:19" x14ac:dyDescent="0.25">
      <c r="A440" s="136" t="s">
        <v>203</v>
      </c>
      <c r="B440" s="167">
        <f>'Averages Pivot Table'!AC$240</f>
        <v>0</v>
      </c>
      <c r="C440" s="138">
        <f t="shared" si="869"/>
        <v>0</v>
      </c>
      <c r="D440" s="167">
        <f>'Averages Pivot Table'!AC$244</f>
        <v>0</v>
      </c>
      <c r="E440" s="138">
        <f t="shared" si="869"/>
        <v>0</v>
      </c>
      <c r="F440" s="167">
        <f>'Averages Pivot Table'!AC$248</f>
        <v>0</v>
      </c>
      <c r="G440" s="138">
        <f t="shared" ref="G440" si="905">IF(F440&gt;0,RANK(F440,(F$430:F$448)),0)</f>
        <v>0</v>
      </c>
      <c r="H440" s="167">
        <f>'Averages Pivot Table'!AC$252</f>
        <v>0</v>
      </c>
      <c r="I440" s="138">
        <f t="shared" ref="I440" si="906">IF(H440&gt;0,RANK(H440,(H$430:H$448)),0)</f>
        <v>0</v>
      </c>
      <c r="J440" s="167">
        <f>'Averages Pivot Table'!AC$256</f>
        <v>0</v>
      </c>
      <c r="K440" s="138">
        <f t="shared" ref="K440" si="907">IF(J440&gt;0,RANK(J440,(J$430:J$448)),0)</f>
        <v>0</v>
      </c>
      <c r="L440" s="167">
        <f>'Averages Pivot Table'!AC$260</f>
        <v>47468.692380595967</v>
      </c>
      <c r="M440" s="138">
        <f t="shared" ref="M440" si="908">IF(L440&gt;0,RANK(L440,(L$430:L$448)),0)</f>
        <v>3</v>
      </c>
      <c r="N440" s="167">
        <f>'Averages Pivot Table'!AC$264</f>
        <v>47468.692380595967</v>
      </c>
      <c r="O440" s="138">
        <f t="shared" ref="O440" si="909">IF(N440&gt;0,RANK(N440,(N$430:N$448)),0)</f>
        <v>7</v>
      </c>
      <c r="Q440" s="109"/>
      <c r="R440" s="109"/>
      <c r="S440" s="109"/>
    </row>
    <row r="441" spans="1:19" x14ac:dyDescent="0.25">
      <c r="A441" s="136" t="s">
        <v>204</v>
      </c>
      <c r="B441" s="167">
        <f>'Averages Pivot Table'!AC$269</f>
        <v>0</v>
      </c>
      <c r="C441" s="138">
        <f t="shared" si="869"/>
        <v>0</v>
      </c>
      <c r="D441" s="167">
        <f>'Averages Pivot Table'!AC$273</f>
        <v>0</v>
      </c>
      <c r="E441" s="138">
        <f t="shared" si="869"/>
        <v>0</v>
      </c>
      <c r="F441" s="167">
        <f>'Averages Pivot Table'!AC$277</f>
        <v>0</v>
      </c>
      <c r="G441" s="138">
        <f t="shared" ref="G441" si="910">IF(F441&gt;0,RANK(F441,(F$430:F$448)),0)</f>
        <v>0</v>
      </c>
      <c r="H441" s="167">
        <f>'Averages Pivot Table'!AC$281</f>
        <v>46531.589039284416</v>
      </c>
      <c r="I441" s="138">
        <f t="shared" ref="I441" si="911">IF(H441&gt;0,RANK(H441,(H$430:H$448)),0)</f>
        <v>2</v>
      </c>
      <c r="J441" s="167">
        <f>'Averages Pivot Table'!AC$285</f>
        <v>45346.533586241363</v>
      </c>
      <c r="K441" s="138">
        <f t="shared" ref="K441" si="912">IF(J441&gt;0,RANK(J441,(J$430:J$448)),0)</f>
        <v>2</v>
      </c>
      <c r="L441" s="167">
        <f>'Averages Pivot Table'!AC$289</f>
        <v>0</v>
      </c>
      <c r="M441" s="138">
        <f t="shared" ref="M441" si="913">IF(L441&gt;0,RANK(L441,(L$430:L$448)),0)</f>
        <v>0</v>
      </c>
      <c r="N441" s="167">
        <f>'Averages Pivot Table'!AC$293</f>
        <v>45660.997959873093</v>
      </c>
      <c r="O441" s="138">
        <f t="shared" ref="O441" si="914">IF(N441&gt;0,RANK(N441,(N$430:N$448)),0)</f>
        <v>10</v>
      </c>
      <c r="Q441" s="109"/>
      <c r="R441" s="109"/>
      <c r="S441" s="109"/>
    </row>
    <row r="442" spans="1:19" x14ac:dyDescent="0.25">
      <c r="A442" s="136" t="s">
        <v>205</v>
      </c>
      <c r="B442" s="167">
        <f>'Averages Pivot Table'!AC$298</f>
        <v>0</v>
      </c>
      <c r="C442" s="138">
        <f t="shared" si="869"/>
        <v>0</v>
      </c>
      <c r="D442" s="167">
        <f>'Averages Pivot Table'!AC$302</f>
        <v>0</v>
      </c>
      <c r="E442" s="138">
        <f t="shared" si="869"/>
        <v>0</v>
      </c>
      <c r="F442" s="167">
        <f>'Averages Pivot Table'!AC$306</f>
        <v>0</v>
      </c>
      <c r="G442" s="138">
        <f t="shared" ref="G442" si="915">IF(F442&gt;0,RANK(F442,(F$430:F$448)),0)</f>
        <v>0</v>
      </c>
      <c r="H442" s="167">
        <f>'Averages Pivot Table'!AC$310</f>
        <v>0</v>
      </c>
      <c r="I442" s="138">
        <f t="shared" ref="I442" si="916">IF(H442&gt;0,RANK(H442,(H$430:H$448)),0)</f>
        <v>0</v>
      </c>
      <c r="J442" s="167">
        <f>'Averages Pivot Table'!AC$314</f>
        <v>0</v>
      </c>
      <c r="K442" s="138">
        <f t="shared" ref="K442" si="917">IF(J442&gt;0,RANK(J442,(J$430:J$448)),0)</f>
        <v>0</v>
      </c>
      <c r="L442" s="167">
        <f>'Averages Pivot Table'!AC$318</f>
        <v>43695.204928458639</v>
      </c>
      <c r="M442" s="138">
        <f t="shared" ref="M442" si="918">IF(L442&gt;0,RANK(L442,(L$430:L$448)),0)</f>
        <v>4</v>
      </c>
      <c r="N442" s="167">
        <f>'Averages Pivot Table'!AC$322</f>
        <v>43695.204928458639</v>
      </c>
      <c r="O442" s="138">
        <f t="shared" ref="O442" si="919">IF(N442&gt;0,RANK(N442,(N$430:N$448)),0)</f>
        <v>11</v>
      </c>
      <c r="Q442" s="109"/>
      <c r="R442" s="109"/>
      <c r="S442" s="109"/>
    </row>
    <row r="443" spans="1:19" x14ac:dyDescent="0.25">
      <c r="A443" s="136" t="s">
        <v>206</v>
      </c>
      <c r="B443" s="167">
        <f>'Averages Pivot Table'!AC$327</f>
        <v>67528.133333333346</v>
      </c>
      <c r="C443" s="138">
        <f t="shared" si="869"/>
        <v>1</v>
      </c>
      <c r="D443" s="167">
        <f>'Averages Pivot Table'!AC$331</f>
        <v>57327.765567765571</v>
      </c>
      <c r="E443" s="138">
        <f t="shared" si="869"/>
        <v>2</v>
      </c>
      <c r="F443" s="167">
        <f>'Averages Pivot Table'!AC$335</f>
        <v>46272.894214876032</v>
      </c>
      <c r="G443" s="138">
        <f t="shared" ref="G443" si="920">IF(F443&gt;0,RANK(F443,(F$430:F$448)),0)</f>
        <v>5</v>
      </c>
      <c r="H443" s="167">
        <f>'Averages Pivot Table'!AC$339</f>
        <v>44468.906078942608</v>
      </c>
      <c r="I443" s="138">
        <f t="shared" ref="I443" si="921">IF(H443&gt;0,RANK(H443,(H$430:H$448)),0)</f>
        <v>3</v>
      </c>
      <c r="J443" s="167">
        <f>'Averages Pivot Table'!AC$343</f>
        <v>41945.953125</v>
      </c>
      <c r="K443" s="138">
        <f t="shared" ref="K443" si="922">IF(J443&gt;0,RANK(J443,(J$430:J$448)),0)</f>
        <v>4</v>
      </c>
      <c r="L443" s="167">
        <f>'Averages Pivot Table'!AC$347</f>
        <v>0</v>
      </c>
      <c r="M443" s="138">
        <f t="shared" ref="M443" si="923">IF(L443&gt;0,RANK(L443,(L$430:L$448)),0)</f>
        <v>0</v>
      </c>
      <c r="N443" s="167">
        <f>'Averages Pivot Table'!AC$351</f>
        <v>45931.636736462489</v>
      </c>
      <c r="O443" s="138">
        <f t="shared" ref="O443" si="924">IF(N443&gt;0,RANK(N443,(N$430:N$448)),0)</f>
        <v>9</v>
      </c>
      <c r="Q443" s="109"/>
      <c r="R443" s="109"/>
      <c r="S443" s="109"/>
    </row>
    <row r="444" spans="1:19" x14ac:dyDescent="0.25">
      <c r="A444" s="136"/>
      <c r="B444" s="167"/>
      <c r="C444" s="138"/>
      <c r="D444" s="167"/>
      <c r="E444" s="138"/>
      <c r="F444" s="167"/>
      <c r="G444" s="138"/>
      <c r="H444" s="167"/>
      <c r="I444" s="138"/>
      <c r="J444" s="167"/>
      <c r="K444" s="138"/>
      <c r="L444" s="167"/>
      <c r="M444" s="138"/>
      <c r="N444" s="167"/>
      <c r="O444" s="138"/>
      <c r="Q444" s="109"/>
      <c r="R444" s="109"/>
      <c r="S444" s="109"/>
    </row>
    <row r="445" spans="1:19" x14ac:dyDescent="0.25">
      <c r="A445" s="136" t="s">
        <v>207</v>
      </c>
      <c r="B445" s="137">
        <f>'Averages Pivot Table'!AC$356</f>
        <v>0</v>
      </c>
      <c r="C445" s="138">
        <f t="shared" si="869"/>
        <v>0</v>
      </c>
      <c r="D445" s="137">
        <f>'Averages Pivot Table'!AC$360</f>
        <v>0</v>
      </c>
      <c r="E445" s="138">
        <f t="shared" si="869"/>
        <v>0</v>
      </c>
      <c r="F445" s="137">
        <f>'Averages Pivot Table'!AC$364</f>
        <v>0</v>
      </c>
      <c r="G445" s="138">
        <f t="shared" ref="G445" si="925">IF(F445&gt;0,RANK(F445,(F$430:F$448)),0)</f>
        <v>0</v>
      </c>
      <c r="H445" s="137">
        <f>'Averages Pivot Table'!AC$368</f>
        <v>0</v>
      </c>
      <c r="I445" s="138">
        <f t="shared" ref="I445" si="926">IF(H445&gt;0,RANK(H445,(H$430:H$448)),0)</f>
        <v>0</v>
      </c>
      <c r="J445" s="137">
        <f>'Averages Pivot Table'!AC$372</f>
        <v>0</v>
      </c>
      <c r="K445" s="138">
        <f t="shared" ref="K445" si="927">IF(J445&gt;0,RANK(J445,(J$430:J$448)),0)</f>
        <v>0</v>
      </c>
      <c r="L445" s="137">
        <f>'Averages Pivot Table'!AC$376</f>
        <v>0</v>
      </c>
      <c r="M445" s="138">
        <f t="shared" ref="M445" si="928">IF(L445&gt;0,RANK(L445,(L$430:L$448)),0)</f>
        <v>0</v>
      </c>
      <c r="N445" s="137">
        <f>'Averages Pivot Table'!AC$380</f>
        <v>0</v>
      </c>
      <c r="O445" s="138">
        <f t="shared" ref="O445" si="929">IF(N445&gt;0,RANK(N445,(N$430:N$448)),0)</f>
        <v>0</v>
      </c>
      <c r="Q445" s="109"/>
      <c r="R445" s="109"/>
      <c r="S445" s="109"/>
    </row>
    <row r="446" spans="1:19" x14ac:dyDescent="0.25">
      <c r="A446" s="136" t="s">
        <v>208</v>
      </c>
      <c r="B446" s="137">
        <f>'Averages Pivot Table'!AC$385</f>
        <v>52590.944898637419</v>
      </c>
      <c r="C446" s="138">
        <f t="shared" si="869"/>
        <v>7</v>
      </c>
      <c r="D446" s="137">
        <f>'Averages Pivot Table'!AC$389</f>
        <v>48711.325490196083</v>
      </c>
      <c r="E446" s="138">
        <f t="shared" si="869"/>
        <v>5</v>
      </c>
      <c r="F446" s="137">
        <f>'Averages Pivot Table'!AC$393</f>
        <v>50324.831480519482</v>
      </c>
      <c r="G446" s="138">
        <f t="shared" ref="G446" si="930">IF(F446&gt;0,RANK(F446,(F$430:F$448)),0)</f>
        <v>2</v>
      </c>
      <c r="H446" s="137">
        <f>'Averages Pivot Table'!AC$397</f>
        <v>39500.574342529704</v>
      </c>
      <c r="I446" s="138">
        <f t="shared" ref="I446" si="931">IF(H446&gt;0,RANK(H446,(H$430:H$448)),0)</f>
        <v>5</v>
      </c>
      <c r="J446" s="137">
        <f>'Averages Pivot Table'!AC$401</f>
        <v>0</v>
      </c>
      <c r="K446" s="138">
        <f t="shared" ref="K446" si="932">IF(J446&gt;0,RANK(J446,(J$430:J$448)),0)</f>
        <v>0</v>
      </c>
      <c r="L446" s="137">
        <f>'Averages Pivot Table'!AC$405</f>
        <v>0</v>
      </c>
      <c r="M446" s="138">
        <f t="shared" ref="M446" si="933">IF(L446&gt;0,RANK(L446,(L$430:L$448)),0)</f>
        <v>0</v>
      </c>
      <c r="N446" s="137">
        <f>'Averages Pivot Table'!AC$409</f>
        <v>42922.616462689271</v>
      </c>
      <c r="O446" s="138">
        <f t="shared" ref="O446" si="934">IF(N446&gt;0,RANK(N446,(N$430:N$448)),0)</f>
        <v>13</v>
      </c>
      <c r="Q446" s="109"/>
      <c r="R446" s="109"/>
      <c r="S446" s="109"/>
    </row>
    <row r="447" spans="1:19" x14ac:dyDescent="0.25">
      <c r="A447" s="136" t="s">
        <v>209</v>
      </c>
      <c r="B447" s="137">
        <f>'Averages Pivot Table'!AC$414</f>
        <v>66929.444444444438</v>
      </c>
      <c r="C447" s="138">
        <f t="shared" si="869"/>
        <v>2</v>
      </c>
      <c r="D447" s="137">
        <f>'Averages Pivot Table'!AC$418</f>
        <v>57655.25</v>
      </c>
      <c r="E447" s="138">
        <f t="shared" si="869"/>
        <v>1</v>
      </c>
      <c r="F447" s="137">
        <f>'Averages Pivot Table'!AC$422</f>
        <v>46356.25</v>
      </c>
      <c r="G447" s="138">
        <f t="shared" ref="G447" si="935">IF(F447&gt;0,RANK(F447,(F$430:F$448)),0)</f>
        <v>4</v>
      </c>
      <c r="H447" s="137">
        <f>'Averages Pivot Table'!AC$426</f>
        <v>0</v>
      </c>
      <c r="I447" s="138">
        <f t="shared" ref="I447" si="936">IF(H447&gt;0,RANK(H447,(H$430:H$448)),0)</f>
        <v>0</v>
      </c>
      <c r="J447" s="137">
        <f>'Averages Pivot Table'!AC$430</f>
        <v>0</v>
      </c>
      <c r="K447" s="138">
        <f t="shared" ref="K447" si="937">IF(J447&gt;0,RANK(J447,(J$430:J$448)),0)</f>
        <v>0</v>
      </c>
      <c r="L447" s="137">
        <f>'Averages Pivot Table'!AC$434</f>
        <v>0</v>
      </c>
      <c r="M447" s="138">
        <f t="shared" ref="M447" si="938">IF(L447&gt;0,RANK(L447,(L$430:L$448)),0)</f>
        <v>0</v>
      </c>
      <c r="N447" s="137">
        <f>'Averages Pivot Table'!AC$438</f>
        <v>57445.42424242424</v>
      </c>
      <c r="O447" s="138">
        <f t="shared" ref="O447" si="939">IF(N447&gt;0,RANK(N447,(N$430:N$448)),0)</f>
        <v>1</v>
      </c>
      <c r="Q447" s="109"/>
      <c r="R447" s="109"/>
      <c r="S447" s="109"/>
    </row>
    <row r="448" spans="1:19" x14ac:dyDescent="0.25">
      <c r="A448" s="161" t="s">
        <v>210</v>
      </c>
      <c r="B448" s="140">
        <f>'Averages Pivot Table'!AC$443</f>
        <v>64556.26387950041</v>
      </c>
      <c r="C448" s="141">
        <f t="shared" si="869"/>
        <v>3</v>
      </c>
      <c r="D448" s="140">
        <f>'Averages Pivot Table'!AC$447</f>
        <v>56457.387087883566</v>
      </c>
      <c r="E448" s="141">
        <f t="shared" si="869"/>
        <v>3</v>
      </c>
      <c r="F448" s="140">
        <f>'Averages Pivot Table'!AC$451</f>
        <v>44552.163576330422</v>
      </c>
      <c r="G448" s="141">
        <f t="shared" ref="G448" si="940">IF(F448&gt;0,RANK(F448,(F$430:F$448)),0)</f>
        <v>6</v>
      </c>
      <c r="H448" s="140">
        <f>'Averages Pivot Table'!AC$455</f>
        <v>37850.844115188505</v>
      </c>
      <c r="I448" s="141">
        <f t="shared" ref="I448" si="941">IF(H448&gt;0,RANK(H448,(H$430:H$448)),0)</f>
        <v>8</v>
      </c>
      <c r="J448" s="140">
        <f>'Averages Pivot Table'!AC$459</f>
        <v>39071.381801242234</v>
      </c>
      <c r="K448" s="141">
        <f t="shared" ref="K448" si="942">IF(J448&gt;0,RANK(J448,(J$430:J$448)),0)</f>
        <v>5</v>
      </c>
      <c r="L448" s="140">
        <f>'Averages Pivot Table'!AC$463</f>
        <v>0</v>
      </c>
      <c r="M448" s="141">
        <f t="shared" ref="M448" si="943">IF(L448&gt;0,RANK(L448,(L$430:L$448)),0)</f>
        <v>0</v>
      </c>
      <c r="N448" s="140">
        <f>'Averages Pivot Table'!AC$467</f>
        <v>46051.849300979608</v>
      </c>
      <c r="O448" s="141">
        <f t="shared" ref="O448" si="944">IF(N448&gt;0,RANK(N448,(N$430:N$448)),0)</f>
        <v>8</v>
      </c>
      <c r="Q448" s="109"/>
      <c r="R448" s="109"/>
      <c r="S448" s="109"/>
    </row>
    <row r="449" spans="1:19" ht="30" customHeight="1" x14ac:dyDescent="0.25">
      <c r="A449" s="711" t="s">
        <v>1127</v>
      </c>
      <c r="B449" s="711"/>
      <c r="C449" s="711"/>
      <c r="D449" s="711"/>
      <c r="E449" s="711"/>
      <c r="F449" s="711"/>
      <c r="G449" s="711"/>
      <c r="H449" s="711"/>
      <c r="I449" s="711"/>
      <c r="J449" s="711"/>
      <c r="K449" s="711"/>
      <c r="L449" s="711"/>
      <c r="M449" s="711"/>
      <c r="N449" s="711"/>
      <c r="O449" s="711"/>
    </row>
    <row r="450" spans="1:19" x14ac:dyDescent="0.25">
      <c r="O450" s="102" t="s">
        <v>1124</v>
      </c>
    </row>
    <row r="451" spans="1:19" ht="18" x14ac:dyDescent="0.25">
      <c r="A451" s="82" t="s">
        <v>244</v>
      </c>
      <c r="B451" s="82"/>
      <c r="C451" s="82"/>
      <c r="D451" s="82"/>
      <c r="E451" s="82"/>
      <c r="F451" s="82"/>
      <c r="G451" s="82"/>
      <c r="H451" s="82"/>
      <c r="I451" s="82"/>
      <c r="J451" s="82"/>
      <c r="K451" s="82"/>
      <c r="L451" s="82"/>
      <c r="M451" s="82"/>
      <c r="N451" s="82"/>
      <c r="O451" s="82"/>
    </row>
    <row r="452" spans="1:19" x14ac:dyDescent="0.25">
      <c r="A452" s="180"/>
      <c r="B452" s="87"/>
      <c r="C452" s="87"/>
      <c r="D452" s="87"/>
      <c r="E452" s="87"/>
      <c r="F452" s="87"/>
      <c r="G452" s="87"/>
      <c r="H452" s="87"/>
      <c r="I452" s="87"/>
      <c r="J452" s="87"/>
      <c r="K452" s="87"/>
      <c r="L452" s="87"/>
      <c r="M452" s="87"/>
      <c r="N452" s="87"/>
      <c r="O452" s="87"/>
    </row>
    <row r="453" spans="1:19" x14ac:dyDescent="0.25">
      <c r="A453" s="707" t="s">
        <v>218</v>
      </c>
      <c r="B453" s="707"/>
      <c r="C453" s="707"/>
      <c r="D453" s="707"/>
      <c r="E453" s="707"/>
      <c r="F453" s="707"/>
      <c r="G453" s="707"/>
      <c r="H453" s="707"/>
      <c r="I453" s="707"/>
      <c r="J453" s="707"/>
      <c r="K453" s="707"/>
      <c r="L453" s="707"/>
      <c r="M453" s="707"/>
      <c r="N453" s="707"/>
      <c r="O453" s="707"/>
    </row>
    <row r="454" spans="1:19" x14ac:dyDescent="0.25">
      <c r="A454" s="707" t="s">
        <v>286</v>
      </c>
      <c r="B454" s="707"/>
      <c r="C454" s="707"/>
      <c r="D454" s="707"/>
      <c r="E454" s="707"/>
      <c r="F454" s="707"/>
      <c r="G454" s="707"/>
      <c r="H454" s="707"/>
      <c r="I454" s="707"/>
      <c r="J454" s="707"/>
      <c r="K454" s="707"/>
      <c r="L454" s="707"/>
      <c r="M454" s="707"/>
      <c r="N454" s="707"/>
      <c r="O454" s="707"/>
    </row>
    <row r="455" spans="1:19" x14ac:dyDescent="0.25">
      <c r="A455" s="136"/>
      <c r="B455" s="136"/>
      <c r="C455" s="136"/>
      <c r="D455" s="136"/>
      <c r="E455" s="136"/>
      <c r="F455" s="136"/>
      <c r="G455" s="136"/>
      <c r="H455" s="136"/>
      <c r="I455" s="136"/>
      <c r="J455" s="136"/>
      <c r="K455" s="136"/>
      <c r="L455" s="136"/>
      <c r="M455" s="136"/>
      <c r="N455" s="136"/>
      <c r="O455" s="136"/>
    </row>
    <row r="456" spans="1:19" ht="30.75" customHeight="1" x14ac:dyDescent="0.25">
      <c r="A456" s="114"/>
      <c r="B456" s="182" t="s">
        <v>3</v>
      </c>
      <c r="C456" s="183"/>
      <c r="D456" s="184" t="s">
        <v>4</v>
      </c>
      <c r="E456" s="185"/>
      <c r="F456" s="184" t="s">
        <v>5</v>
      </c>
      <c r="G456" s="185"/>
      <c r="H456" s="182" t="s">
        <v>6</v>
      </c>
      <c r="I456" s="183"/>
      <c r="J456" s="184" t="s">
        <v>219</v>
      </c>
      <c r="K456" s="185"/>
      <c r="L456" s="183" t="s">
        <v>23</v>
      </c>
      <c r="M456" s="183"/>
      <c r="N456" s="183" t="s">
        <v>220</v>
      </c>
      <c r="O456" s="183"/>
    </row>
    <row r="457" spans="1:19" x14ac:dyDescent="0.25">
      <c r="A457" s="120"/>
      <c r="B457" s="116" t="s">
        <v>193</v>
      </c>
      <c r="C457" s="115" t="s">
        <v>170</v>
      </c>
      <c r="D457" s="116" t="s">
        <v>193</v>
      </c>
      <c r="E457" s="115" t="s">
        <v>170</v>
      </c>
      <c r="F457" s="116" t="s">
        <v>193</v>
      </c>
      <c r="G457" s="115" t="s">
        <v>170</v>
      </c>
      <c r="H457" s="116" t="s">
        <v>193</v>
      </c>
      <c r="I457" s="115" t="s">
        <v>170</v>
      </c>
      <c r="J457" s="116" t="s">
        <v>193</v>
      </c>
      <c r="K457" s="115" t="s">
        <v>170</v>
      </c>
      <c r="L457" s="116" t="s">
        <v>193</v>
      </c>
      <c r="M457" s="115" t="s">
        <v>170</v>
      </c>
      <c r="N457" s="116" t="s">
        <v>193</v>
      </c>
      <c r="O457" s="115" t="s">
        <v>170</v>
      </c>
    </row>
    <row r="458" spans="1:19" s="127" customFormat="1" ht="18" customHeight="1" x14ac:dyDescent="0.25">
      <c r="A458" s="124" t="s">
        <v>194</v>
      </c>
      <c r="B458" s="151" t="s">
        <v>1125</v>
      </c>
      <c r="C458" s="151"/>
      <c r="D458" s="151" t="s">
        <v>1125</v>
      </c>
      <c r="E458" s="151"/>
      <c r="F458" s="151" t="s">
        <v>1125</v>
      </c>
      <c r="G458" s="151"/>
      <c r="H458" s="151" t="s">
        <v>1125</v>
      </c>
      <c r="I458" s="151"/>
      <c r="J458" s="151" t="s">
        <v>1125</v>
      </c>
      <c r="K458" s="151"/>
      <c r="L458" s="151" t="s">
        <v>1125</v>
      </c>
      <c r="M458" s="187"/>
      <c r="N458" s="151" t="s">
        <v>1125</v>
      </c>
      <c r="O458" s="188"/>
      <c r="Q458" s="129"/>
      <c r="R458" s="129"/>
      <c r="S458" s="129"/>
    </row>
    <row r="459" spans="1:19" ht="12.95" customHeight="1" x14ac:dyDescent="0.25">
      <c r="A459" s="136"/>
      <c r="B459" s="131"/>
      <c r="C459" s="155"/>
      <c r="D459" s="131"/>
      <c r="E459" s="155"/>
      <c r="F459" s="131"/>
      <c r="G459" s="155"/>
      <c r="H459" s="131"/>
      <c r="I459" s="155"/>
      <c r="J459" s="131"/>
      <c r="K459" s="155"/>
      <c r="L459" s="131"/>
      <c r="M459" s="155"/>
      <c r="N459" s="131"/>
      <c r="O459" s="132"/>
    </row>
    <row r="460" spans="1:19" ht="12.95" customHeight="1" x14ac:dyDescent="0.25">
      <c r="A460" s="136" t="s">
        <v>195</v>
      </c>
      <c r="B460" s="151" t="s">
        <v>1125</v>
      </c>
      <c r="C460" s="138"/>
      <c r="D460" s="151" t="s">
        <v>1125</v>
      </c>
      <c r="E460" s="138"/>
      <c r="F460" s="151" t="s">
        <v>1125</v>
      </c>
      <c r="G460" s="138"/>
      <c r="H460" s="151" t="s">
        <v>1125</v>
      </c>
      <c r="I460" s="138"/>
      <c r="J460" s="151" t="s">
        <v>1125</v>
      </c>
      <c r="K460" s="138"/>
      <c r="L460" s="151" t="s">
        <v>1125</v>
      </c>
      <c r="M460" s="138"/>
      <c r="N460" s="151" t="s">
        <v>1125</v>
      </c>
      <c r="O460" s="138"/>
    </row>
    <row r="461" spans="1:19" ht="12.95" customHeight="1" x14ac:dyDescent="0.25">
      <c r="A461" s="136" t="s">
        <v>196</v>
      </c>
      <c r="B461" s="151" t="s">
        <v>1125</v>
      </c>
      <c r="C461" s="138"/>
      <c r="D461" s="151" t="s">
        <v>1125</v>
      </c>
      <c r="E461" s="138"/>
      <c r="F461" s="151" t="s">
        <v>1125</v>
      </c>
      <c r="G461" s="138"/>
      <c r="H461" s="151" t="s">
        <v>1125</v>
      </c>
      <c r="I461" s="138"/>
      <c r="J461" s="151" t="s">
        <v>1125</v>
      </c>
      <c r="K461" s="138"/>
      <c r="L461" s="151" t="s">
        <v>1125</v>
      </c>
      <c r="M461" s="138"/>
      <c r="N461" s="151" t="s">
        <v>1125</v>
      </c>
      <c r="O461" s="138"/>
    </row>
    <row r="462" spans="1:19" ht="12.95" customHeight="1" x14ac:dyDescent="0.25">
      <c r="A462" s="136" t="s">
        <v>197</v>
      </c>
      <c r="B462" s="151" t="s">
        <v>1125</v>
      </c>
      <c r="C462" s="138"/>
      <c r="D462" s="151" t="s">
        <v>1125</v>
      </c>
      <c r="E462" s="138"/>
      <c r="F462" s="151" t="s">
        <v>1125</v>
      </c>
      <c r="G462" s="138"/>
      <c r="H462" s="151" t="s">
        <v>1125</v>
      </c>
      <c r="I462" s="138"/>
      <c r="J462" s="151" t="s">
        <v>1125</v>
      </c>
      <c r="K462" s="138"/>
      <c r="L462" s="151" t="s">
        <v>1125</v>
      </c>
      <c r="M462" s="138"/>
      <c r="N462" s="151" t="s">
        <v>1125</v>
      </c>
      <c r="O462" s="138"/>
    </row>
    <row r="463" spans="1:19" ht="12.95" customHeight="1" x14ac:dyDescent="0.25">
      <c r="A463" s="136" t="s">
        <v>198</v>
      </c>
      <c r="B463" s="151" t="s">
        <v>1125</v>
      </c>
      <c r="C463" s="138"/>
      <c r="D463" s="151" t="s">
        <v>1125</v>
      </c>
      <c r="E463" s="138"/>
      <c r="F463" s="151" t="s">
        <v>1125</v>
      </c>
      <c r="G463" s="138"/>
      <c r="H463" s="151" t="s">
        <v>1125</v>
      </c>
      <c r="I463" s="138"/>
      <c r="J463" s="151" t="s">
        <v>1125</v>
      </c>
      <c r="K463" s="138"/>
      <c r="L463" s="151" t="s">
        <v>1125</v>
      </c>
      <c r="M463" s="138"/>
      <c r="N463" s="151" t="s">
        <v>1125</v>
      </c>
      <c r="O463" s="138"/>
    </row>
    <row r="464" spans="1:19" ht="12.95" customHeight="1" x14ac:dyDescent="0.25">
      <c r="A464" s="136"/>
      <c r="B464" s="189"/>
      <c r="C464" s="138"/>
      <c r="D464" s="189"/>
      <c r="E464" s="138"/>
      <c r="F464" s="189"/>
      <c r="G464" s="138"/>
      <c r="H464" s="189"/>
      <c r="I464" s="138"/>
      <c r="J464" s="189"/>
      <c r="K464" s="138"/>
      <c r="L464" s="189"/>
      <c r="M464" s="138"/>
      <c r="N464" s="189"/>
      <c r="O464" s="138"/>
    </row>
    <row r="465" spans="1:19" x14ac:dyDescent="0.25">
      <c r="A465" s="136" t="s">
        <v>199</v>
      </c>
      <c r="B465" s="151" t="s">
        <v>1125</v>
      </c>
      <c r="C465" s="138"/>
      <c r="D465" s="151" t="s">
        <v>1125</v>
      </c>
      <c r="E465" s="138"/>
      <c r="F465" s="151" t="s">
        <v>1125</v>
      </c>
      <c r="G465" s="138"/>
      <c r="H465" s="151" t="s">
        <v>1125</v>
      </c>
      <c r="I465" s="138"/>
      <c r="J465" s="151" t="s">
        <v>1125</v>
      </c>
      <c r="K465" s="138"/>
      <c r="L465" s="151" t="s">
        <v>1125</v>
      </c>
      <c r="M465" s="138"/>
      <c r="N465" s="151" t="s">
        <v>1125</v>
      </c>
      <c r="O465" s="138"/>
      <c r="Q465" s="109"/>
      <c r="R465" s="109"/>
      <c r="S465" s="109"/>
    </row>
    <row r="466" spans="1:19" x14ac:dyDescent="0.25">
      <c r="A466" s="136" t="s">
        <v>200</v>
      </c>
      <c r="B466" s="151" t="s">
        <v>1125</v>
      </c>
      <c r="C466" s="138"/>
      <c r="D466" s="151" t="s">
        <v>1125</v>
      </c>
      <c r="E466" s="138"/>
      <c r="F466" s="151" t="s">
        <v>1125</v>
      </c>
      <c r="G466" s="138"/>
      <c r="H466" s="151" t="s">
        <v>1125</v>
      </c>
      <c r="I466" s="138"/>
      <c r="J466" s="151" t="s">
        <v>1125</v>
      </c>
      <c r="K466" s="138"/>
      <c r="L466" s="151" t="s">
        <v>1125</v>
      </c>
      <c r="M466" s="138"/>
      <c r="N466" s="151" t="s">
        <v>1125</v>
      </c>
      <c r="O466" s="138"/>
      <c r="Q466" s="109"/>
      <c r="R466" s="109"/>
      <c r="S466" s="109"/>
    </row>
    <row r="467" spans="1:19" x14ac:dyDescent="0.25">
      <c r="A467" s="136" t="s">
        <v>201</v>
      </c>
      <c r="B467" s="151" t="s">
        <v>1125</v>
      </c>
      <c r="C467" s="138"/>
      <c r="D467" s="151" t="s">
        <v>1125</v>
      </c>
      <c r="E467" s="138"/>
      <c r="F467" s="151" t="s">
        <v>1125</v>
      </c>
      <c r="G467" s="138"/>
      <c r="H467" s="151" t="s">
        <v>1125</v>
      </c>
      <c r="I467" s="138"/>
      <c r="J467" s="151" t="s">
        <v>1125</v>
      </c>
      <c r="K467" s="138"/>
      <c r="L467" s="151" t="s">
        <v>1125</v>
      </c>
      <c r="M467" s="138"/>
      <c r="N467" s="151" t="s">
        <v>1125</v>
      </c>
      <c r="O467" s="138"/>
      <c r="Q467" s="109"/>
      <c r="R467" s="109"/>
      <c r="S467" s="109"/>
    </row>
    <row r="468" spans="1:19" x14ac:dyDescent="0.25">
      <c r="A468" s="136" t="s">
        <v>202</v>
      </c>
      <c r="B468" s="151" t="s">
        <v>1125</v>
      </c>
      <c r="C468" s="138"/>
      <c r="D468" s="151" t="s">
        <v>1125</v>
      </c>
      <c r="E468" s="138"/>
      <c r="F468" s="151" t="s">
        <v>1125</v>
      </c>
      <c r="G468" s="138"/>
      <c r="H468" s="151" t="s">
        <v>1125</v>
      </c>
      <c r="I468" s="138"/>
      <c r="J468" s="151" t="s">
        <v>1125</v>
      </c>
      <c r="K468" s="138"/>
      <c r="L468" s="151" t="s">
        <v>1125</v>
      </c>
      <c r="M468" s="138"/>
      <c r="N468" s="151" t="s">
        <v>1125</v>
      </c>
      <c r="O468" s="138"/>
      <c r="Q468" s="109"/>
      <c r="R468" s="109"/>
      <c r="S468" s="109"/>
    </row>
    <row r="469" spans="1:19" x14ac:dyDescent="0.25">
      <c r="A469" s="136"/>
      <c r="B469" s="189"/>
      <c r="C469" s="138"/>
      <c r="D469" s="189"/>
      <c r="E469" s="138"/>
      <c r="F469" s="189"/>
      <c r="G469" s="138"/>
      <c r="H469" s="189"/>
      <c r="I469" s="138"/>
      <c r="J469" s="189"/>
      <c r="K469" s="138"/>
      <c r="L469" s="189"/>
      <c r="M469" s="138"/>
      <c r="N469" s="189"/>
      <c r="O469" s="138"/>
      <c r="Q469" s="109"/>
      <c r="R469" s="109"/>
      <c r="S469" s="109"/>
    </row>
    <row r="470" spans="1:19" x14ac:dyDescent="0.25">
      <c r="A470" s="136" t="s">
        <v>203</v>
      </c>
      <c r="B470" s="151" t="s">
        <v>1125</v>
      </c>
      <c r="C470" s="138"/>
      <c r="D470" s="151" t="s">
        <v>1125</v>
      </c>
      <c r="E470" s="138"/>
      <c r="F470" s="151" t="s">
        <v>1125</v>
      </c>
      <c r="G470" s="138"/>
      <c r="H470" s="151" t="s">
        <v>1125</v>
      </c>
      <c r="I470" s="138"/>
      <c r="J470" s="151" t="s">
        <v>1125</v>
      </c>
      <c r="K470" s="138"/>
      <c r="L470" s="151" t="s">
        <v>1125</v>
      </c>
      <c r="M470" s="138"/>
      <c r="N470" s="151" t="s">
        <v>1125</v>
      </c>
      <c r="O470" s="138"/>
      <c r="Q470" s="109"/>
      <c r="R470" s="109"/>
      <c r="S470" s="109"/>
    </row>
    <row r="471" spans="1:19" x14ac:dyDescent="0.25">
      <c r="A471" s="136" t="s">
        <v>204</v>
      </c>
      <c r="B471" s="151" t="s">
        <v>1125</v>
      </c>
      <c r="C471" s="138"/>
      <c r="D471" s="151" t="s">
        <v>1125</v>
      </c>
      <c r="E471" s="138"/>
      <c r="F471" s="151" t="s">
        <v>1125</v>
      </c>
      <c r="G471" s="138"/>
      <c r="H471" s="151" t="s">
        <v>1125</v>
      </c>
      <c r="I471" s="138"/>
      <c r="J471" s="151" t="s">
        <v>1125</v>
      </c>
      <c r="K471" s="138"/>
      <c r="L471" s="151" t="s">
        <v>1125</v>
      </c>
      <c r="M471" s="138"/>
      <c r="N471" s="151" t="s">
        <v>1125</v>
      </c>
      <c r="O471" s="138"/>
      <c r="Q471" s="109"/>
      <c r="R471" s="109"/>
      <c r="S471" s="109"/>
    </row>
    <row r="472" spans="1:19" x14ac:dyDescent="0.25">
      <c r="A472" s="136" t="s">
        <v>205</v>
      </c>
      <c r="B472" s="151" t="s">
        <v>1125</v>
      </c>
      <c r="C472" s="138"/>
      <c r="D472" s="151" t="s">
        <v>1125</v>
      </c>
      <c r="E472" s="138"/>
      <c r="F472" s="151" t="s">
        <v>1125</v>
      </c>
      <c r="G472" s="138"/>
      <c r="H472" s="151" t="s">
        <v>1125</v>
      </c>
      <c r="I472" s="138"/>
      <c r="J472" s="151" t="s">
        <v>1125</v>
      </c>
      <c r="K472" s="138"/>
      <c r="L472" s="151" t="s">
        <v>1125</v>
      </c>
      <c r="M472" s="138"/>
      <c r="N472" s="151" t="s">
        <v>1125</v>
      </c>
      <c r="O472" s="138"/>
      <c r="Q472" s="109"/>
      <c r="R472" s="109"/>
      <c r="S472" s="109"/>
    </row>
    <row r="473" spans="1:19" x14ac:dyDescent="0.25">
      <c r="A473" s="136" t="s">
        <v>206</v>
      </c>
      <c r="B473" s="151" t="s">
        <v>1125</v>
      </c>
      <c r="C473" s="138"/>
      <c r="D473" s="151" t="s">
        <v>1125</v>
      </c>
      <c r="E473" s="138"/>
      <c r="F473" s="151" t="s">
        <v>1125</v>
      </c>
      <c r="G473" s="138"/>
      <c r="H473" s="151" t="s">
        <v>1125</v>
      </c>
      <c r="I473" s="138"/>
      <c r="J473" s="151" t="s">
        <v>1125</v>
      </c>
      <c r="K473" s="138"/>
      <c r="L473" s="151" t="s">
        <v>1125</v>
      </c>
      <c r="M473" s="138"/>
      <c r="N473" s="151" t="s">
        <v>1125</v>
      </c>
      <c r="O473" s="138"/>
      <c r="Q473" s="109"/>
      <c r="R473" s="109"/>
      <c r="S473" s="109"/>
    </row>
    <row r="474" spans="1:19" x14ac:dyDescent="0.25">
      <c r="A474" s="136"/>
      <c r="B474" s="189"/>
      <c r="C474" s="138"/>
      <c r="D474" s="189"/>
      <c r="E474" s="138"/>
      <c r="F474" s="189"/>
      <c r="G474" s="138"/>
      <c r="H474" s="189"/>
      <c r="I474" s="138"/>
      <c r="J474" s="189"/>
      <c r="K474" s="138"/>
      <c r="L474" s="189"/>
      <c r="M474" s="138"/>
      <c r="N474" s="189"/>
      <c r="O474" s="138"/>
      <c r="Q474" s="109"/>
      <c r="R474" s="109"/>
      <c r="S474" s="109"/>
    </row>
    <row r="475" spans="1:19" x14ac:dyDescent="0.25">
      <c r="A475" s="136" t="s">
        <v>207</v>
      </c>
      <c r="B475" s="151" t="s">
        <v>1125</v>
      </c>
      <c r="C475" s="138"/>
      <c r="D475" s="151" t="s">
        <v>1125</v>
      </c>
      <c r="E475" s="138"/>
      <c r="F475" s="151" t="s">
        <v>1125</v>
      </c>
      <c r="G475" s="138"/>
      <c r="H475" s="151" t="s">
        <v>1125</v>
      </c>
      <c r="I475" s="138"/>
      <c r="J475" s="151" t="s">
        <v>1125</v>
      </c>
      <c r="K475" s="138"/>
      <c r="L475" s="151" t="s">
        <v>1125</v>
      </c>
      <c r="M475" s="138"/>
      <c r="N475" s="151" t="s">
        <v>1125</v>
      </c>
      <c r="O475" s="138"/>
      <c r="Q475" s="109"/>
      <c r="R475" s="109"/>
      <c r="S475" s="109"/>
    </row>
    <row r="476" spans="1:19" x14ac:dyDescent="0.25">
      <c r="A476" s="136" t="s">
        <v>208</v>
      </c>
      <c r="B476" s="151" t="s">
        <v>1125</v>
      </c>
      <c r="C476" s="138"/>
      <c r="D476" s="151" t="s">
        <v>1125</v>
      </c>
      <c r="E476" s="138"/>
      <c r="F476" s="151" t="s">
        <v>1125</v>
      </c>
      <c r="G476" s="138"/>
      <c r="H476" s="151" t="s">
        <v>1125</v>
      </c>
      <c r="I476" s="138"/>
      <c r="J476" s="151" t="s">
        <v>1125</v>
      </c>
      <c r="K476" s="138"/>
      <c r="L476" s="151" t="s">
        <v>1125</v>
      </c>
      <c r="M476" s="138"/>
      <c r="N476" s="151" t="s">
        <v>1125</v>
      </c>
      <c r="O476" s="138"/>
      <c r="Q476" s="109"/>
      <c r="R476" s="109"/>
      <c r="S476" s="109"/>
    </row>
    <row r="477" spans="1:19" x14ac:dyDescent="0.25">
      <c r="A477" s="136" t="s">
        <v>209</v>
      </c>
      <c r="B477" s="151">
        <f>'Averages Pivot Table'!AD$414</f>
        <v>69079.455947136565</v>
      </c>
      <c r="C477" s="138"/>
      <c r="D477" s="151">
        <f>'Averages Pivot Table'!AD$418</f>
        <v>61992.317790855588</v>
      </c>
      <c r="E477" s="138"/>
      <c r="F477" s="151">
        <f>'Averages Pivot Table'!AD$422</f>
        <v>55799.037135278515</v>
      </c>
      <c r="G477" s="138"/>
      <c r="H477" s="151">
        <f>'Averages Pivot Table'!AD$426</f>
        <v>49695.849800114222</v>
      </c>
      <c r="I477" s="138"/>
      <c r="J477" s="151">
        <f>'Averages Pivot Table'!AD$430</f>
        <v>38980.617977528091</v>
      </c>
      <c r="K477" s="138"/>
      <c r="L477" s="151">
        <f>'Averages Pivot Table'!AD$434</f>
        <v>0</v>
      </c>
      <c r="M477" s="138"/>
      <c r="N477" s="151">
        <f>'Averages Pivot Table'!AD$438</f>
        <v>58436.319459224971</v>
      </c>
      <c r="O477" s="138"/>
      <c r="Q477" s="109"/>
      <c r="R477" s="109"/>
      <c r="S477" s="109"/>
    </row>
    <row r="478" spans="1:19" x14ac:dyDescent="0.25">
      <c r="A478" s="161" t="s">
        <v>210</v>
      </c>
      <c r="B478" s="140" t="s">
        <v>1125</v>
      </c>
      <c r="C478" s="141"/>
      <c r="D478" s="140" t="s">
        <v>1125</v>
      </c>
      <c r="E478" s="141"/>
      <c r="F478" s="140" t="s">
        <v>1125</v>
      </c>
      <c r="G478" s="141"/>
      <c r="H478" s="140" t="s">
        <v>1125</v>
      </c>
      <c r="I478" s="141"/>
      <c r="J478" s="140" t="s">
        <v>1125</v>
      </c>
      <c r="K478" s="141"/>
      <c r="L478" s="140" t="s">
        <v>1125</v>
      </c>
      <c r="M478" s="141"/>
      <c r="N478" s="140" t="s">
        <v>1125</v>
      </c>
      <c r="O478" s="141"/>
      <c r="Q478" s="109"/>
      <c r="R478" s="109"/>
      <c r="S478" s="109"/>
    </row>
    <row r="479" spans="1:19" ht="25.5" customHeight="1" x14ac:dyDescent="0.25">
      <c r="A479" s="711" t="s">
        <v>1127</v>
      </c>
      <c r="B479" s="711"/>
      <c r="C479" s="711"/>
      <c r="D479" s="711"/>
      <c r="E479" s="711"/>
      <c r="F479" s="711"/>
      <c r="G479" s="711"/>
      <c r="H479" s="711"/>
      <c r="I479" s="711"/>
      <c r="J479" s="711"/>
      <c r="K479" s="711"/>
      <c r="L479" s="711"/>
      <c r="M479" s="711"/>
      <c r="N479" s="711"/>
      <c r="O479" s="711"/>
      <c r="Q479" s="109"/>
      <c r="R479" s="109"/>
      <c r="S479" s="109"/>
    </row>
    <row r="480" spans="1:19" x14ac:dyDescent="0.25">
      <c r="O480" s="102" t="s">
        <v>1124</v>
      </c>
      <c r="Q480" s="109"/>
      <c r="R480" s="109"/>
      <c r="S480" s="109"/>
    </row>
    <row r="481" spans="1:19" ht="18" x14ac:dyDescent="0.25">
      <c r="A481" s="82" t="s">
        <v>246</v>
      </c>
      <c r="B481" s="82"/>
      <c r="C481" s="82"/>
      <c r="D481" s="82"/>
      <c r="E481" s="82"/>
      <c r="F481" s="82"/>
      <c r="G481" s="82"/>
      <c r="H481" s="82"/>
      <c r="I481" s="82"/>
      <c r="J481" s="82"/>
      <c r="K481" s="82"/>
      <c r="L481" s="82"/>
      <c r="M481" s="82"/>
      <c r="N481" s="82"/>
      <c r="O481" s="82"/>
    </row>
    <row r="482" spans="1:19" x14ac:dyDescent="0.25">
      <c r="A482" s="180"/>
      <c r="B482" s="87"/>
      <c r="C482" s="87"/>
      <c r="D482" s="87"/>
      <c r="E482" s="87"/>
      <c r="F482" s="87"/>
      <c r="G482" s="87"/>
      <c r="H482" s="87"/>
      <c r="I482" s="87"/>
      <c r="J482" s="87"/>
      <c r="K482" s="87"/>
      <c r="L482" s="87"/>
      <c r="M482" s="87"/>
      <c r="N482" s="87"/>
      <c r="O482" s="87"/>
    </row>
    <row r="483" spans="1:19" x14ac:dyDescent="0.25">
      <c r="A483" s="707" t="s">
        <v>218</v>
      </c>
      <c r="B483" s="707"/>
      <c r="C483" s="707"/>
      <c r="D483" s="707"/>
      <c r="E483" s="707"/>
      <c r="F483" s="707"/>
      <c r="G483" s="707"/>
      <c r="H483" s="707"/>
      <c r="I483" s="707"/>
      <c r="J483" s="707"/>
      <c r="K483" s="707"/>
      <c r="L483" s="707"/>
      <c r="M483" s="707"/>
      <c r="N483" s="707"/>
      <c r="O483" s="707"/>
    </row>
    <row r="484" spans="1:19" x14ac:dyDescent="0.25">
      <c r="A484" s="707" t="s">
        <v>274</v>
      </c>
      <c r="B484" s="707"/>
      <c r="C484" s="707"/>
      <c r="D484" s="707"/>
      <c r="E484" s="707"/>
      <c r="F484" s="707"/>
      <c r="G484" s="707"/>
      <c r="H484" s="707"/>
      <c r="I484" s="707"/>
      <c r="J484" s="707"/>
      <c r="K484" s="707"/>
      <c r="L484" s="707"/>
      <c r="M484" s="707"/>
      <c r="N484" s="707"/>
      <c r="O484" s="707"/>
    </row>
    <row r="485" spans="1:19" x14ac:dyDescent="0.25">
      <c r="A485" s="136"/>
      <c r="B485" s="87"/>
      <c r="C485" s="87"/>
      <c r="D485" s="87"/>
      <c r="E485" s="87"/>
      <c r="F485" s="87"/>
      <c r="G485" s="87"/>
      <c r="H485" s="87"/>
      <c r="I485" s="87"/>
      <c r="J485" s="87"/>
      <c r="K485" s="87"/>
      <c r="L485" s="87"/>
      <c r="M485" s="87"/>
      <c r="N485" s="87"/>
      <c r="O485" s="87"/>
    </row>
    <row r="486" spans="1:19" ht="31.5" customHeight="1" x14ac:dyDescent="0.25">
      <c r="A486" s="114"/>
      <c r="B486" s="182" t="s">
        <v>3</v>
      </c>
      <c r="C486" s="183"/>
      <c r="D486" s="184" t="s">
        <v>4</v>
      </c>
      <c r="E486" s="185"/>
      <c r="F486" s="184" t="s">
        <v>5</v>
      </c>
      <c r="G486" s="185"/>
      <c r="H486" s="182" t="s">
        <v>6</v>
      </c>
      <c r="I486" s="183"/>
      <c r="J486" s="184" t="s">
        <v>219</v>
      </c>
      <c r="K486" s="185"/>
      <c r="L486" s="183" t="s">
        <v>23</v>
      </c>
      <c r="M486" s="183"/>
      <c r="N486" s="183" t="s">
        <v>220</v>
      </c>
      <c r="O486" s="183"/>
    </row>
    <row r="487" spans="1:19" x14ac:dyDescent="0.25">
      <c r="A487" s="202"/>
      <c r="B487" s="116" t="s">
        <v>193</v>
      </c>
      <c r="C487" s="115" t="s">
        <v>170</v>
      </c>
      <c r="D487" s="116" t="s">
        <v>193</v>
      </c>
      <c r="E487" s="115" t="s">
        <v>170</v>
      </c>
      <c r="F487" s="116" t="s">
        <v>193</v>
      </c>
      <c r="G487" s="115" t="s">
        <v>170</v>
      </c>
      <c r="H487" s="116" t="s">
        <v>193</v>
      </c>
      <c r="I487" s="115" t="s">
        <v>170</v>
      </c>
      <c r="J487" s="116" t="s">
        <v>193</v>
      </c>
      <c r="K487" s="115" t="s">
        <v>170</v>
      </c>
      <c r="L487" s="116" t="s">
        <v>193</v>
      </c>
      <c r="M487" s="115" t="s">
        <v>170</v>
      </c>
      <c r="N487" s="116" t="s">
        <v>193</v>
      </c>
      <c r="O487" s="115" t="s">
        <v>170</v>
      </c>
    </row>
    <row r="488" spans="1:19" s="127" customFormat="1" ht="18" customHeight="1" x14ac:dyDescent="0.25">
      <c r="A488" s="124" t="s">
        <v>194</v>
      </c>
      <c r="B488" s="151">
        <f>'Averages Pivot Table'!AH$471</f>
        <v>47067.310087644553</v>
      </c>
      <c r="C488" s="151"/>
      <c r="D488" s="151">
        <f>'Averages Pivot Table'!AH$475</f>
        <v>43862.328044720562</v>
      </c>
      <c r="E488" s="151"/>
      <c r="F488" s="151">
        <f>'Averages Pivot Table'!AH$479</f>
        <v>26510.367650300086</v>
      </c>
      <c r="G488" s="151"/>
      <c r="H488" s="151">
        <f>'Averages Pivot Table'!AH$483</f>
        <v>35866.340536277632</v>
      </c>
      <c r="I488" s="151"/>
      <c r="J488" s="151">
        <f>'Averages Pivot Table'!AH$487</f>
        <v>34102.279793227062</v>
      </c>
      <c r="K488" s="151"/>
      <c r="L488" s="151">
        <f>'Averages Pivot Table'!AH$491</f>
        <v>42671.714855965205</v>
      </c>
      <c r="M488" s="187"/>
      <c r="N488" s="151">
        <f>'Averages Pivot Table'!AH$495</f>
        <v>41617.922027705943</v>
      </c>
      <c r="O488" s="188"/>
      <c r="Q488" s="129"/>
      <c r="R488" s="129"/>
      <c r="S488" s="129"/>
    </row>
    <row r="489" spans="1:19" ht="12.95" customHeight="1" x14ac:dyDescent="0.25">
      <c r="A489" s="136"/>
      <c r="B489" s="131"/>
      <c r="C489" s="155"/>
      <c r="D489" s="131"/>
      <c r="E489" s="155"/>
      <c r="F489" s="131"/>
      <c r="G489" s="155"/>
      <c r="H489" s="131"/>
      <c r="I489" s="155"/>
      <c r="J489" s="131"/>
      <c r="K489" s="155"/>
      <c r="L489" s="131"/>
      <c r="M489" s="155"/>
      <c r="N489" s="131"/>
      <c r="O489" s="132"/>
    </row>
    <row r="490" spans="1:19" ht="12.95" customHeight="1" x14ac:dyDescent="0.25">
      <c r="A490" s="136" t="s">
        <v>195</v>
      </c>
      <c r="B490" s="167">
        <f>'Averages Pivot Table'!AH$8</f>
        <v>0</v>
      </c>
      <c r="C490" s="138">
        <f>IF(B490&gt;0,RANK(B490,(B$490:B$508)),0)</f>
        <v>0</v>
      </c>
      <c r="D490" s="167">
        <f>'Averages Pivot Table'!AH$12</f>
        <v>0</v>
      </c>
      <c r="E490" s="138">
        <f>IF(D490&gt;0,RANK(D490,(D$490:D$508)),0)</f>
        <v>0</v>
      </c>
      <c r="F490" s="167">
        <f>'Averages Pivot Table'!AH$16</f>
        <v>0</v>
      </c>
      <c r="G490" s="138">
        <f>IF(F490&gt;0,RANK(F490,(F$490:F$508)),0)</f>
        <v>0</v>
      </c>
      <c r="H490" s="167">
        <f>'Averages Pivot Table'!AH$20</f>
        <v>0</v>
      </c>
      <c r="I490" s="138">
        <f>IF(H490&gt;0,RANK(H490,(H$490:H$508)),0)</f>
        <v>0</v>
      </c>
      <c r="J490" s="167">
        <f>'Averages Pivot Table'!AH$24</f>
        <v>0</v>
      </c>
      <c r="K490" s="138">
        <f>IF(J490&gt;0,RANK(J490,(J$490:J$508)),0)</f>
        <v>0</v>
      </c>
      <c r="L490" s="167">
        <f>'Averages Pivot Table'!AH$28</f>
        <v>50864.227946358485</v>
      </c>
      <c r="M490" s="138">
        <f>IF(L490&gt;0,RANK(L490,(L$490:L$508)),0)</f>
        <v>1</v>
      </c>
      <c r="N490" s="167">
        <f>'Averages Pivot Table'!AH$32</f>
        <v>50864.227946358485</v>
      </c>
      <c r="O490" s="138">
        <f>IF(N490&gt;0,RANK(N490,(N$490:N$508)),0)</f>
        <v>1</v>
      </c>
    </row>
    <row r="491" spans="1:19" ht="12.95" customHeight="1" x14ac:dyDescent="0.25">
      <c r="A491" s="136" t="s">
        <v>196</v>
      </c>
      <c r="B491" s="167">
        <f>'Averages Pivot Table'!AH$37</f>
        <v>0</v>
      </c>
      <c r="C491" s="138">
        <f t="shared" ref="C491:E508" si="945">IF(B491&gt;0,RANK(B491,(B$490:B$508)),0)</f>
        <v>0</v>
      </c>
      <c r="D491" s="167">
        <f>'Averages Pivot Table'!AH$41</f>
        <v>0</v>
      </c>
      <c r="E491" s="138">
        <f t="shared" si="945"/>
        <v>0</v>
      </c>
      <c r="F491" s="167">
        <f>'Averages Pivot Table'!AH$45</f>
        <v>0</v>
      </c>
      <c r="G491" s="138">
        <f t="shared" ref="G491" si="946">IF(F491&gt;0,RANK(F491,(F$490:F$508)),0)</f>
        <v>0</v>
      </c>
      <c r="H491" s="167">
        <f>'Averages Pivot Table'!AH$49</f>
        <v>0</v>
      </c>
      <c r="I491" s="138">
        <f t="shared" ref="I491" si="947">IF(H491&gt;0,RANK(H491,(H$490:H$508)),0)</f>
        <v>0</v>
      </c>
      <c r="J491" s="167">
        <f>'Averages Pivot Table'!AH$53</f>
        <v>0</v>
      </c>
      <c r="K491" s="138">
        <f t="shared" ref="K491" si="948">IF(J491&gt;0,RANK(J491,(J$490:J$508)),0)</f>
        <v>0</v>
      </c>
      <c r="L491" s="167">
        <f>'Averages Pivot Table'!AH$57</f>
        <v>0</v>
      </c>
      <c r="M491" s="138">
        <f t="shared" ref="M491" si="949">IF(L491&gt;0,RANK(L491,(L$490:L$508)),0)</f>
        <v>0</v>
      </c>
      <c r="N491" s="167">
        <f>'Averages Pivot Table'!AH$61</f>
        <v>0</v>
      </c>
      <c r="O491" s="138">
        <f t="shared" ref="O491" si="950">IF(N491&gt;0,RANK(N491,(N$490:N$508)),0)</f>
        <v>0</v>
      </c>
    </row>
    <row r="492" spans="1:19" ht="12.95" customHeight="1" x14ac:dyDescent="0.25">
      <c r="A492" s="136" t="s">
        <v>197</v>
      </c>
      <c r="B492" s="167">
        <f>'Averages Pivot Table'!AH$66</f>
        <v>0</v>
      </c>
      <c r="C492" s="138">
        <f t="shared" si="945"/>
        <v>0</v>
      </c>
      <c r="D492" s="167">
        <f>'Averages Pivot Table'!AH$70</f>
        <v>0</v>
      </c>
      <c r="E492" s="138">
        <f t="shared" si="945"/>
        <v>0</v>
      </c>
      <c r="F492" s="167">
        <f>'Averages Pivot Table'!AH$74</f>
        <v>0</v>
      </c>
      <c r="G492" s="138">
        <f t="shared" ref="G492" si="951">IF(F492&gt;0,RANK(F492,(F$490:F$508)),0)</f>
        <v>0</v>
      </c>
      <c r="H492" s="167">
        <f>'Averages Pivot Table'!AH$78</f>
        <v>0</v>
      </c>
      <c r="I492" s="138">
        <f t="shared" ref="I492" si="952">IF(H492&gt;0,RANK(H492,(H$490:H$508)),0)</f>
        <v>0</v>
      </c>
      <c r="J492" s="167">
        <f>'Averages Pivot Table'!AH$82</f>
        <v>0</v>
      </c>
      <c r="K492" s="138">
        <f t="shared" ref="K492" si="953">IF(J492&gt;0,RANK(J492,(J$490:J$508)),0)</f>
        <v>0</v>
      </c>
      <c r="L492" s="167">
        <f>'Averages Pivot Table'!AH$86</f>
        <v>0</v>
      </c>
      <c r="M492" s="138">
        <f t="shared" ref="M492" si="954">IF(L492&gt;0,RANK(L492,(L$490:L$508)),0)</f>
        <v>0</v>
      </c>
      <c r="N492" s="167">
        <f>'Averages Pivot Table'!AH$90</f>
        <v>0</v>
      </c>
      <c r="O492" s="138">
        <f t="shared" ref="O492" si="955">IF(N492&gt;0,RANK(N492,(N$490:N$508)),0)</f>
        <v>0</v>
      </c>
    </row>
    <row r="493" spans="1:19" ht="12.95" customHeight="1" x14ac:dyDescent="0.25">
      <c r="A493" s="136" t="s">
        <v>198</v>
      </c>
      <c r="B493" s="167">
        <f>'Averages Pivot Table'!AH$95</f>
        <v>0</v>
      </c>
      <c r="C493" s="138">
        <f t="shared" si="945"/>
        <v>0</v>
      </c>
      <c r="D493" s="167">
        <f>'Averages Pivot Table'!AH$99</f>
        <v>0</v>
      </c>
      <c r="E493" s="138">
        <f t="shared" si="945"/>
        <v>0</v>
      </c>
      <c r="F493" s="167">
        <f>'Averages Pivot Table'!AH$103</f>
        <v>0</v>
      </c>
      <c r="G493" s="138">
        <f t="shared" ref="G493" si="956">IF(F493&gt;0,RANK(F493,(F$490:F$508)),0)</f>
        <v>0</v>
      </c>
      <c r="H493" s="167">
        <f>'Averages Pivot Table'!AH$107</f>
        <v>0</v>
      </c>
      <c r="I493" s="138">
        <f t="shared" ref="I493" si="957">IF(H493&gt;0,RANK(H493,(H$490:H$508)),0)</f>
        <v>0</v>
      </c>
      <c r="J493" s="167">
        <f>'Averages Pivot Table'!AH$111</f>
        <v>0</v>
      </c>
      <c r="K493" s="138">
        <f t="shared" ref="K493" si="958">IF(J493&gt;0,RANK(J493,(J$490:J$508)),0)</f>
        <v>0</v>
      </c>
      <c r="L493" s="167">
        <f>'Averages Pivot Table'!AH$115</f>
        <v>0</v>
      </c>
      <c r="M493" s="138">
        <f t="shared" ref="M493" si="959">IF(L493&gt;0,RANK(L493,(L$490:L$508)),0)</f>
        <v>0</v>
      </c>
      <c r="N493" s="167">
        <f>'Averages Pivot Table'!AH$119</f>
        <v>0</v>
      </c>
      <c r="O493" s="138">
        <f t="shared" ref="O493" si="960">IF(N493&gt;0,RANK(N493,(N$490:N$508)),0)</f>
        <v>0</v>
      </c>
    </row>
    <row r="494" spans="1:19" ht="12.95" customHeight="1" x14ac:dyDescent="0.25">
      <c r="A494" s="136"/>
      <c r="B494" s="167"/>
      <c r="C494" s="138"/>
      <c r="D494" s="167"/>
      <c r="E494" s="138"/>
      <c r="F494" s="167"/>
      <c r="G494" s="138"/>
      <c r="H494" s="167"/>
      <c r="I494" s="138"/>
      <c r="J494" s="167"/>
      <c r="K494" s="138"/>
      <c r="L494" s="167"/>
      <c r="M494" s="138"/>
      <c r="N494" s="167"/>
      <c r="O494" s="138"/>
    </row>
    <row r="495" spans="1:19" ht="12.95" customHeight="1" x14ac:dyDescent="0.25">
      <c r="A495" s="136" t="s">
        <v>199</v>
      </c>
      <c r="B495" s="167">
        <f>'Averages Pivot Table'!AH$124</f>
        <v>0</v>
      </c>
      <c r="C495" s="138">
        <f t="shared" si="945"/>
        <v>0</v>
      </c>
      <c r="D495" s="167">
        <f>'Averages Pivot Table'!AH$128</f>
        <v>0</v>
      </c>
      <c r="E495" s="138">
        <f t="shared" si="945"/>
        <v>0</v>
      </c>
      <c r="F495" s="167">
        <f>'Averages Pivot Table'!AH$132</f>
        <v>0</v>
      </c>
      <c r="G495" s="138">
        <f t="shared" ref="G495" si="961">IF(F495&gt;0,RANK(F495,(F$490:F$508)),0)</f>
        <v>0</v>
      </c>
      <c r="H495" s="167">
        <f>'Averages Pivot Table'!AH$136</f>
        <v>0</v>
      </c>
      <c r="I495" s="138">
        <f t="shared" ref="I495" si="962">IF(H495&gt;0,RANK(H495,(H$490:H$508)),0)</f>
        <v>0</v>
      </c>
      <c r="J495" s="167">
        <f>'Averages Pivot Table'!AH$140</f>
        <v>0</v>
      </c>
      <c r="K495" s="138">
        <f t="shared" ref="K495" si="963">IF(J495&gt;0,RANK(J495,(J$490:J$508)),0)</f>
        <v>0</v>
      </c>
      <c r="L495" s="167">
        <f>'Averages Pivot Table'!AH$144</f>
        <v>41580.85665023102</v>
      </c>
      <c r="M495" s="138">
        <f t="shared" ref="M495" si="964">IF(L495&gt;0,RANK(L495,(L$490:L$508)),0)</f>
        <v>3</v>
      </c>
      <c r="N495" s="167">
        <f>'Averages Pivot Table'!AH$148</f>
        <v>41580.85665023102</v>
      </c>
      <c r="O495" s="138">
        <f t="shared" ref="O495" si="965">IF(N495&gt;0,RANK(N495,(N$490:N$508)),0)</f>
        <v>3</v>
      </c>
    </row>
    <row r="496" spans="1:19" ht="12.95" customHeight="1" x14ac:dyDescent="0.25">
      <c r="A496" s="136" t="s">
        <v>200</v>
      </c>
      <c r="B496" s="167">
        <f>'Averages Pivot Table'!AH$153</f>
        <v>54829.248679245276</v>
      </c>
      <c r="C496" s="138">
        <f t="shared" si="945"/>
        <v>1</v>
      </c>
      <c r="D496" s="167">
        <f>'Averages Pivot Table'!AH$157</f>
        <v>45480.078551136365</v>
      </c>
      <c r="E496" s="138">
        <f t="shared" si="945"/>
        <v>1</v>
      </c>
      <c r="F496" s="167">
        <f>'Averages Pivot Table'!AH$161</f>
        <v>40491.576974514137</v>
      </c>
      <c r="G496" s="138">
        <f t="shared" ref="G496" si="966">IF(F496&gt;0,RANK(F496,(F$490:F$508)),0)</f>
        <v>1</v>
      </c>
      <c r="H496" s="167">
        <f>'Averages Pivot Table'!AH$165</f>
        <v>34756.154694984842</v>
      </c>
      <c r="I496" s="138">
        <f t="shared" ref="I496" si="967">IF(H496&gt;0,RANK(H496,(H$490:H$508)),0)</f>
        <v>2</v>
      </c>
      <c r="J496" s="167">
        <f>'Averages Pivot Table'!AH$169</f>
        <v>0</v>
      </c>
      <c r="K496" s="138">
        <f t="shared" ref="K496" si="968">IF(J496&gt;0,RANK(J496,(J$490:J$508)),0)</f>
        <v>0</v>
      </c>
      <c r="L496" s="167">
        <f>'Averages Pivot Table'!AH$173</f>
        <v>0</v>
      </c>
      <c r="M496" s="138">
        <f t="shared" ref="M496" si="969">IF(L496&gt;0,RANK(L496,(L$490:L$508)),0)</f>
        <v>0</v>
      </c>
      <c r="N496" s="167">
        <f>'Averages Pivot Table'!AH$177</f>
        <v>40761.67988784358</v>
      </c>
      <c r="O496" s="138">
        <f t="shared" ref="O496" si="970">IF(N496&gt;0,RANK(N496,(N$490:N$508)),0)</f>
        <v>4</v>
      </c>
    </row>
    <row r="497" spans="1:19" x14ac:dyDescent="0.25">
      <c r="A497" s="136" t="s">
        <v>201</v>
      </c>
      <c r="B497" s="167">
        <f>'Averages Pivot Table'!AH$182</f>
        <v>43740.764976958526</v>
      </c>
      <c r="C497" s="138">
        <f t="shared" si="945"/>
        <v>2</v>
      </c>
      <c r="D497" s="167">
        <f>'Averages Pivot Table'!AH$186</f>
        <v>37979.598930481283</v>
      </c>
      <c r="E497" s="138">
        <f t="shared" si="945"/>
        <v>2</v>
      </c>
      <c r="F497" s="167">
        <f>'Averages Pivot Table'!AH$190</f>
        <v>11184.81127568084</v>
      </c>
      <c r="G497" s="138">
        <f t="shared" ref="G497" si="971">IF(F497&gt;0,RANK(F497,(F$490:F$508)),0)</f>
        <v>2</v>
      </c>
      <c r="H497" s="167">
        <f>'Averages Pivot Table'!AH$194</f>
        <v>36144.975414092289</v>
      </c>
      <c r="I497" s="138">
        <f t="shared" ref="I497" si="972">IF(H497&gt;0,RANK(H497,(H$490:H$508)),0)</f>
        <v>1</v>
      </c>
      <c r="J497" s="167">
        <f>'Averages Pivot Table'!AH$198</f>
        <v>34102.279793227062</v>
      </c>
      <c r="K497" s="138">
        <f t="shared" ref="K497" si="973">IF(J497&gt;0,RANK(J497,(J$490:J$508)),0)</f>
        <v>1</v>
      </c>
      <c r="L497" s="167">
        <f>'Averages Pivot Table'!AH$202</f>
        <v>0</v>
      </c>
      <c r="M497" s="138">
        <f t="shared" ref="M497" si="974">IF(L497&gt;0,RANK(L497,(L$490:L$508)),0)</f>
        <v>0</v>
      </c>
      <c r="N497" s="167">
        <f>'Averages Pivot Table'!AH$206</f>
        <v>33502.643736213919</v>
      </c>
      <c r="O497" s="138">
        <f t="shared" ref="O497" si="975">IF(N497&gt;0,RANK(N497,(N$490:N$508)),0)</f>
        <v>6</v>
      </c>
      <c r="Q497" s="109"/>
      <c r="R497" s="109"/>
      <c r="S497" s="109"/>
    </row>
    <row r="498" spans="1:19" x14ac:dyDescent="0.25">
      <c r="A498" s="136" t="s">
        <v>202</v>
      </c>
      <c r="B498" s="167">
        <f>'Averages Pivot Table'!AH$211</f>
        <v>0</v>
      </c>
      <c r="C498" s="138">
        <f t="shared" si="945"/>
        <v>0</v>
      </c>
      <c r="D498" s="167">
        <f>'Averages Pivot Table'!AH$215</f>
        <v>0</v>
      </c>
      <c r="E498" s="138">
        <f t="shared" si="945"/>
        <v>0</v>
      </c>
      <c r="F498" s="167">
        <f>'Averages Pivot Table'!AH$219</f>
        <v>0</v>
      </c>
      <c r="G498" s="138">
        <f t="shared" ref="G498" si="976">IF(F498&gt;0,RANK(F498,(F$490:F$508)),0)</f>
        <v>0</v>
      </c>
      <c r="H498" s="167">
        <f>'Averages Pivot Table'!AH$223</f>
        <v>0</v>
      </c>
      <c r="I498" s="138">
        <f t="shared" ref="I498" si="977">IF(H498&gt;0,RANK(H498,(H$490:H$508)),0)</f>
        <v>0</v>
      </c>
      <c r="J498" s="167">
        <f>'Averages Pivot Table'!AH$227</f>
        <v>0</v>
      </c>
      <c r="K498" s="138">
        <f t="shared" ref="K498" si="978">IF(J498&gt;0,RANK(J498,(J$490:J$508)),0)</f>
        <v>0</v>
      </c>
      <c r="L498" s="167">
        <f>'Averages Pivot Table'!AH$231</f>
        <v>0</v>
      </c>
      <c r="M498" s="138">
        <f t="shared" ref="M498" si="979">IF(L498&gt;0,RANK(L498,(L$490:L$508)),0)</f>
        <v>0</v>
      </c>
      <c r="N498" s="167">
        <f>'Averages Pivot Table'!AH$235</f>
        <v>0</v>
      </c>
      <c r="O498" s="138">
        <f t="shared" ref="O498" si="980">IF(N498&gt;0,RANK(N498,(N$490:N$508)),0)</f>
        <v>0</v>
      </c>
      <c r="Q498" s="109"/>
      <c r="R498" s="109"/>
      <c r="S498" s="109"/>
    </row>
    <row r="499" spans="1:19" x14ac:dyDescent="0.25">
      <c r="A499" s="136"/>
      <c r="B499" s="167"/>
      <c r="C499" s="138"/>
      <c r="D499" s="167"/>
      <c r="E499" s="138"/>
      <c r="F499" s="167"/>
      <c r="G499" s="138"/>
      <c r="H499" s="167"/>
      <c r="I499" s="138"/>
      <c r="J499" s="167"/>
      <c r="K499" s="138"/>
      <c r="L499" s="167"/>
      <c r="M499" s="138"/>
      <c r="N499" s="167"/>
      <c r="O499" s="138"/>
      <c r="Q499" s="109"/>
      <c r="R499" s="109"/>
      <c r="S499" s="109"/>
    </row>
    <row r="500" spans="1:19" x14ac:dyDescent="0.25">
      <c r="A500" s="136" t="s">
        <v>203</v>
      </c>
      <c r="B500" s="167">
        <f>'Averages Pivot Table'!AH$240</f>
        <v>0</v>
      </c>
      <c r="C500" s="138">
        <f t="shared" si="945"/>
        <v>0</v>
      </c>
      <c r="D500" s="167">
        <f>'Averages Pivot Table'!AH$244</f>
        <v>0</v>
      </c>
      <c r="E500" s="138">
        <f t="shared" si="945"/>
        <v>0</v>
      </c>
      <c r="F500" s="167">
        <f>'Averages Pivot Table'!AH$248</f>
        <v>0</v>
      </c>
      <c r="G500" s="138">
        <f t="shared" ref="G500" si="981">IF(F500&gt;0,RANK(F500,(F$490:F$508)),0)</f>
        <v>0</v>
      </c>
      <c r="H500" s="167">
        <f>'Averages Pivot Table'!AH$252</f>
        <v>0</v>
      </c>
      <c r="I500" s="138">
        <f t="shared" ref="I500" si="982">IF(H500&gt;0,RANK(H500,(H$490:H$508)),0)</f>
        <v>0</v>
      </c>
      <c r="J500" s="167">
        <f>'Averages Pivot Table'!AH$256</f>
        <v>0</v>
      </c>
      <c r="K500" s="138">
        <f t="shared" ref="K500" si="983">IF(J500&gt;0,RANK(J500,(J$490:J$508)),0)</f>
        <v>0</v>
      </c>
      <c r="L500" s="167">
        <f>'Averages Pivot Table'!AH$260</f>
        <v>0</v>
      </c>
      <c r="M500" s="138">
        <f t="shared" ref="M500" si="984">IF(L500&gt;0,RANK(L500,(L$490:L$508)),0)</f>
        <v>0</v>
      </c>
      <c r="N500" s="167">
        <f>'Averages Pivot Table'!AH$264</f>
        <v>0</v>
      </c>
      <c r="O500" s="138">
        <f t="shared" ref="O500" si="985">IF(N500&gt;0,RANK(N500,(N$490:N$508)),0)</f>
        <v>0</v>
      </c>
      <c r="Q500" s="109"/>
      <c r="R500" s="109"/>
      <c r="S500" s="109"/>
    </row>
    <row r="501" spans="1:19" x14ac:dyDescent="0.25">
      <c r="A501" s="136" t="s">
        <v>204</v>
      </c>
      <c r="B501" s="167">
        <f>'Averages Pivot Table'!AH$269</f>
        <v>0</v>
      </c>
      <c r="C501" s="138">
        <f t="shared" si="945"/>
        <v>0</v>
      </c>
      <c r="D501" s="167">
        <f>'Averages Pivot Table'!AH$273</f>
        <v>0</v>
      </c>
      <c r="E501" s="138">
        <f t="shared" si="945"/>
        <v>0</v>
      </c>
      <c r="F501" s="167">
        <f>'Averages Pivot Table'!AH$277</f>
        <v>0</v>
      </c>
      <c r="G501" s="138">
        <f t="shared" ref="G501" si="986">IF(F501&gt;0,RANK(F501,(F$490:F$508)),0)</f>
        <v>0</v>
      </c>
      <c r="H501" s="167">
        <f>'Averages Pivot Table'!AH$281</f>
        <v>0</v>
      </c>
      <c r="I501" s="138">
        <f t="shared" ref="I501" si="987">IF(H501&gt;0,RANK(H501,(H$490:H$508)),0)</f>
        <v>0</v>
      </c>
      <c r="J501" s="167">
        <f>'Averages Pivot Table'!AH$285</f>
        <v>0</v>
      </c>
      <c r="K501" s="138">
        <f t="shared" ref="K501" si="988">IF(J501&gt;0,RANK(J501,(J$490:J$508)),0)</f>
        <v>0</v>
      </c>
      <c r="L501" s="167">
        <f>'Averages Pivot Table'!AH$289</f>
        <v>0</v>
      </c>
      <c r="M501" s="138">
        <f t="shared" ref="M501" si="989">IF(L501&gt;0,RANK(L501,(L$490:L$508)),0)</f>
        <v>0</v>
      </c>
      <c r="N501" s="167">
        <f>'Averages Pivot Table'!AH$293</f>
        <v>0</v>
      </c>
      <c r="O501" s="138">
        <f t="shared" ref="O501" si="990">IF(N501&gt;0,RANK(N501,(N$490:N$508)),0)</f>
        <v>0</v>
      </c>
      <c r="Q501" s="109"/>
      <c r="R501" s="109"/>
      <c r="S501" s="109"/>
    </row>
    <row r="502" spans="1:19" x14ac:dyDescent="0.25">
      <c r="A502" s="136" t="s">
        <v>205</v>
      </c>
      <c r="B502" s="167">
        <f>'Averages Pivot Table'!AH$298</f>
        <v>0</v>
      </c>
      <c r="C502" s="138">
        <f t="shared" si="945"/>
        <v>0</v>
      </c>
      <c r="D502" s="167">
        <f>'Averages Pivot Table'!AH$302</f>
        <v>0</v>
      </c>
      <c r="E502" s="138">
        <f t="shared" si="945"/>
        <v>0</v>
      </c>
      <c r="F502" s="167">
        <f>'Averages Pivot Table'!AH$306</f>
        <v>0</v>
      </c>
      <c r="G502" s="138">
        <f t="shared" ref="G502" si="991">IF(F502&gt;0,RANK(F502,(F$490:F$508)),0)</f>
        <v>0</v>
      </c>
      <c r="H502" s="167">
        <f>'Averages Pivot Table'!AH$310</f>
        <v>0</v>
      </c>
      <c r="I502" s="138">
        <f t="shared" ref="I502" si="992">IF(H502&gt;0,RANK(H502,(H$490:H$508)),0)</f>
        <v>0</v>
      </c>
      <c r="J502" s="167">
        <f>'Averages Pivot Table'!AH$314</f>
        <v>0</v>
      </c>
      <c r="K502" s="138">
        <f t="shared" ref="K502" si="993">IF(J502&gt;0,RANK(J502,(J$490:J$508)),0)</f>
        <v>0</v>
      </c>
      <c r="L502" s="167">
        <f>'Averages Pivot Table'!AH$318</f>
        <v>46355.703218515751</v>
      </c>
      <c r="M502" s="138">
        <f t="shared" ref="M502" si="994">IF(L502&gt;0,RANK(L502,(L$490:L$508)),0)</f>
        <v>2</v>
      </c>
      <c r="N502" s="167">
        <f>'Averages Pivot Table'!AH$322</f>
        <v>46355.703218515751</v>
      </c>
      <c r="O502" s="138">
        <f t="shared" ref="O502" si="995">IF(N502&gt;0,RANK(N502,(N$490:N$508)),0)</f>
        <v>2</v>
      </c>
      <c r="Q502" s="109"/>
      <c r="R502" s="109"/>
      <c r="S502" s="109"/>
    </row>
    <row r="503" spans="1:19" x14ac:dyDescent="0.25">
      <c r="A503" s="136" t="s">
        <v>206</v>
      </c>
      <c r="B503" s="167">
        <f>'Averages Pivot Table'!AH$327</f>
        <v>0</v>
      </c>
      <c r="C503" s="138">
        <f t="shared" si="945"/>
        <v>0</v>
      </c>
      <c r="D503" s="167">
        <f>'Averages Pivot Table'!AH$331</f>
        <v>0</v>
      </c>
      <c r="E503" s="138">
        <f t="shared" si="945"/>
        <v>0</v>
      </c>
      <c r="F503" s="167">
        <f>'Averages Pivot Table'!AH$335</f>
        <v>0</v>
      </c>
      <c r="G503" s="138">
        <f t="shared" ref="G503" si="996">IF(F503&gt;0,RANK(F503,(F$490:F$508)),0)</f>
        <v>0</v>
      </c>
      <c r="H503" s="167">
        <f>'Averages Pivot Table'!AH$339</f>
        <v>0</v>
      </c>
      <c r="I503" s="138">
        <f t="shared" ref="I503" si="997">IF(H503&gt;0,RANK(H503,(H$490:H$508)),0)</f>
        <v>0</v>
      </c>
      <c r="J503" s="167">
        <f>'Averages Pivot Table'!AH$343</f>
        <v>0</v>
      </c>
      <c r="K503" s="138">
        <f t="shared" ref="K503" si="998">IF(J503&gt;0,RANK(J503,(J$490:J$508)),0)</f>
        <v>0</v>
      </c>
      <c r="L503" s="167">
        <f>'Averages Pivot Table'!AH$347</f>
        <v>0</v>
      </c>
      <c r="M503" s="138">
        <f t="shared" ref="M503" si="999">IF(L503&gt;0,RANK(L503,(L$490:L$508)),0)</f>
        <v>0</v>
      </c>
      <c r="N503" s="167">
        <f>'Averages Pivot Table'!AH$351</f>
        <v>0</v>
      </c>
      <c r="O503" s="138">
        <f t="shared" ref="O503" si="1000">IF(N503&gt;0,RANK(N503,(N$490:N$508)),0)</f>
        <v>0</v>
      </c>
      <c r="Q503" s="109"/>
      <c r="R503" s="109"/>
      <c r="S503" s="109"/>
    </row>
    <row r="504" spans="1:19" x14ac:dyDescent="0.25">
      <c r="A504" s="136"/>
      <c r="B504" s="167"/>
      <c r="C504" s="138"/>
      <c r="D504" s="167"/>
      <c r="E504" s="138"/>
      <c r="F504" s="167"/>
      <c r="G504" s="138"/>
      <c r="H504" s="167"/>
      <c r="I504" s="138"/>
      <c r="J504" s="167"/>
      <c r="K504" s="138"/>
      <c r="L504" s="167"/>
      <c r="M504" s="138"/>
      <c r="N504" s="167"/>
      <c r="O504" s="138"/>
      <c r="Q504" s="109"/>
      <c r="R504" s="109"/>
      <c r="S504" s="109"/>
    </row>
    <row r="505" spans="1:19" x14ac:dyDescent="0.25">
      <c r="A505" s="136" t="s">
        <v>207</v>
      </c>
      <c r="B505" s="137">
        <f>'Averages Pivot Table'!AH$356</f>
        <v>0</v>
      </c>
      <c r="C505" s="138">
        <f t="shared" si="945"/>
        <v>0</v>
      </c>
      <c r="D505" s="137">
        <f>'Averages Pivot Table'!AH$360</f>
        <v>0</v>
      </c>
      <c r="E505" s="138">
        <f t="shared" si="945"/>
        <v>0</v>
      </c>
      <c r="F505" s="137">
        <f>'Averages Pivot Table'!AH$364</f>
        <v>0</v>
      </c>
      <c r="G505" s="138">
        <f t="shared" ref="G505" si="1001">IF(F505&gt;0,RANK(F505,(F$490:F$508)),0)</f>
        <v>0</v>
      </c>
      <c r="H505" s="137">
        <f>'Averages Pivot Table'!AH$368</f>
        <v>0</v>
      </c>
      <c r="I505" s="138">
        <f t="shared" ref="I505" si="1002">IF(H505&gt;0,RANK(H505,(H$490:H$508)),0)</f>
        <v>0</v>
      </c>
      <c r="J505" s="137">
        <f>'Averages Pivot Table'!AH$372</f>
        <v>0</v>
      </c>
      <c r="K505" s="138">
        <f t="shared" ref="K505" si="1003">IF(J505&gt;0,RANK(J505,(J$490:J$508)),0)</f>
        <v>0</v>
      </c>
      <c r="L505" s="137">
        <f>'Averages Pivot Table'!AH$376</f>
        <v>36568.771633192388</v>
      </c>
      <c r="M505" s="138">
        <f t="shared" ref="M505" si="1004">IF(L505&gt;0,RANK(L505,(L$490:L$508)),0)</f>
        <v>4</v>
      </c>
      <c r="N505" s="137">
        <f>'Averages Pivot Table'!AH$380</f>
        <v>36568.771633192388</v>
      </c>
      <c r="O505" s="138">
        <f t="shared" ref="O505" si="1005">IF(N505&gt;0,RANK(N505,(N$490:N$508)),0)</f>
        <v>5</v>
      </c>
      <c r="Q505" s="109"/>
      <c r="R505" s="109"/>
      <c r="S505" s="109"/>
    </row>
    <row r="506" spans="1:19" x14ac:dyDescent="0.25">
      <c r="A506" s="136" t="s">
        <v>208</v>
      </c>
      <c r="B506" s="137">
        <f>'Averages Pivot Table'!AH$385</f>
        <v>0</v>
      </c>
      <c r="C506" s="138">
        <f t="shared" si="945"/>
        <v>0</v>
      </c>
      <c r="D506" s="137">
        <f>'Averages Pivot Table'!AH$389</f>
        <v>0</v>
      </c>
      <c r="E506" s="138">
        <f t="shared" si="945"/>
        <v>0</v>
      </c>
      <c r="F506" s="137">
        <f>'Averages Pivot Table'!AH$393</f>
        <v>0</v>
      </c>
      <c r="G506" s="138">
        <f t="shared" ref="G506" si="1006">IF(F506&gt;0,RANK(F506,(F$490:F$508)),0)</f>
        <v>0</v>
      </c>
      <c r="H506" s="137">
        <f>'Averages Pivot Table'!AH$397</f>
        <v>0</v>
      </c>
      <c r="I506" s="138">
        <f t="shared" ref="I506" si="1007">IF(H506&gt;0,RANK(H506,(H$490:H$508)),0)</f>
        <v>0</v>
      </c>
      <c r="J506" s="137">
        <f>'Averages Pivot Table'!AH$401</f>
        <v>0</v>
      </c>
      <c r="K506" s="138">
        <f t="shared" ref="K506" si="1008">IF(J506&gt;0,RANK(J506,(J$490:J$508)),0)</f>
        <v>0</v>
      </c>
      <c r="L506" s="137">
        <f>'Averages Pivot Table'!AH$405</f>
        <v>0</v>
      </c>
      <c r="M506" s="138">
        <f t="shared" ref="M506" si="1009">IF(L506&gt;0,RANK(L506,(L$490:L$508)),0)</f>
        <v>0</v>
      </c>
      <c r="N506" s="137">
        <f>'Averages Pivot Table'!AH$409</f>
        <v>0</v>
      </c>
      <c r="O506" s="138">
        <f t="shared" ref="O506" si="1010">IF(N506&gt;0,RANK(N506,(N$490:N$508)),0)</f>
        <v>0</v>
      </c>
      <c r="Q506" s="109"/>
      <c r="R506" s="109"/>
      <c r="S506" s="109"/>
    </row>
    <row r="507" spans="1:19" x14ac:dyDescent="0.25">
      <c r="A507" s="136" t="s">
        <v>209</v>
      </c>
      <c r="B507" s="137">
        <f>'Averages Pivot Table'!AH$414</f>
        <v>0</v>
      </c>
      <c r="C507" s="138">
        <f t="shared" si="945"/>
        <v>0</v>
      </c>
      <c r="D507" s="137">
        <f>'Averages Pivot Table'!AH$418</f>
        <v>0</v>
      </c>
      <c r="E507" s="138">
        <f t="shared" si="945"/>
        <v>0</v>
      </c>
      <c r="F507" s="137">
        <f>'Averages Pivot Table'!AH$422</f>
        <v>0</v>
      </c>
      <c r="G507" s="138">
        <f t="shared" ref="G507" si="1011">IF(F507&gt;0,RANK(F507,(F$490:F$508)),0)</f>
        <v>0</v>
      </c>
      <c r="H507" s="137">
        <f>'Averages Pivot Table'!AH$426</f>
        <v>0</v>
      </c>
      <c r="I507" s="138">
        <f t="shared" ref="I507" si="1012">IF(H507&gt;0,RANK(H507,(H$490:H$508)),0)</f>
        <v>0</v>
      </c>
      <c r="J507" s="137">
        <f>'Averages Pivot Table'!AH$430</f>
        <v>0</v>
      </c>
      <c r="K507" s="138">
        <f t="shared" ref="K507" si="1013">IF(J507&gt;0,RANK(J507,(J$490:J$508)),0)</f>
        <v>0</v>
      </c>
      <c r="L507" s="137">
        <f>'Averages Pivot Table'!AH$434</f>
        <v>0</v>
      </c>
      <c r="M507" s="138">
        <f t="shared" ref="M507" si="1014">IF(L507&gt;0,RANK(L507,(L$490:L$508)),0)</f>
        <v>0</v>
      </c>
      <c r="N507" s="137">
        <f>'Averages Pivot Table'!AH$438</f>
        <v>0</v>
      </c>
      <c r="O507" s="138">
        <f t="shared" ref="O507" si="1015">IF(N507&gt;0,RANK(N507,(N$490:N$508)),0)</f>
        <v>0</v>
      </c>
      <c r="Q507" s="109"/>
      <c r="R507" s="109"/>
      <c r="S507" s="109"/>
    </row>
    <row r="508" spans="1:19" x14ac:dyDescent="0.25">
      <c r="A508" s="161" t="s">
        <v>210</v>
      </c>
      <c r="B508" s="140">
        <f>'Averages Pivot Table'!AH$443</f>
        <v>0</v>
      </c>
      <c r="C508" s="141">
        <f t="shared" si="945"/>
        <v>0</v>
      </c>
      <c r="D508" s="140">
        <f>'Averages Pivot Table'!AH$447</f>
        <v>0</v>
      </c>
      <c r="E508" s="141">
        <f t="shared" si="945"/>
        <v>0</v>
      </c>
      <c r="F508" s="140">
        <f>'Averages Pivot Table'!AH$451</f>
        <v>0</v>
      </c>
      <c r="G508" s="141">
        <f t="shared" ref="G508" si="1016">IF(F508&gt;0,RANK(F508,(F$490:F$508)),0)</f>
        <v>0</v>
      </c>
      <c r="H508" s="140">
        <f>'Averages Pivot Table'!AH$455</f>
        <v>0</v>
      </c>
      <c r="I508" s="141">
        <f t="shared" ref="I508" si="1017">IF(H508&gt;0,RANK(H508,(H$490:H$508)),0)</f>
        <v>0</v>
      </c>
      <c r="J508" s="140">
        <f>'Averages Pivot Table'!AH$459</f>
        <v>0</v>
      </c>
      <c r="K508" s="141">
        <f t="shared" ref="K508" si="1018">IF(J508&gt;0,RANK(J508,(J$490:J$508)),0)</f>
        <v>0</v>
      </c>
      <c r="L508" s="140">
        <f>'Averages Pivot Table'!AH$463</f>
        <v>0</v>
      </c>
      <c r="M508" s="141">
        <f t="shared" ref="M508" si="1019">IF(L508&gt;0,RANK(L508,(L$490:L$508)),0)</f>
        <v>0</v>
      </c>
      <c r="N508" s="140">
        <f>'Averages Pivot Table'!AH$467</f>
        <v>0</v>
      </c>
      <c r="O508" s="141">
        <f t="shared" ref="O508" si="1020">IF(N508&gt;0,RANK(N508,(N$490:N$508)),0)</f>
        <v>0</v>
      </c>
      <c r="Q508" s="109"/>
      <c r="R508" s="109"/>
      <c r="S508" s="109"/>
    </row>
    <row r="509" spans="1:19" ht="27" customHeight="1" x14ac:dyDescent="0.25">
      <c r="A509" s="711" t="s">
        <v>1127</v>
      </c>
      <c r="B509" s="711"/>
      <c r="C509" s="711"/>
      <c r="D509" s="711"/>
      <c r="E509" s="711"/>
      <c r="F509" s="711"/>
      <c r="G509" s="711"/>
      <c r="H509" s="711"/>
      <c r="I509" s="711"/>
      <c r="J509" s="711"/>
      <c r="K509" s="711"/>
      <c r="L509" s="711"/>
      <c r="M509" s="711"/>
      <c r="N509" s="711"/>
      <c r="O509" s="711"/>
      <c r="Q509" s="109"/>
      <c r="R509" s="109"/>
      <c r="S509" s="109"/>
    </row>
    <row r="510" spans="1:19" x14ac:dyDescent="0.25">
      <c r="O510" s="102" t="s">
        <v>1124</v>
      </c>
      <c r="Q510" s="109"/>
      <c r="R510" s="109"/>
      <c r="S510" s="109"/>
    </row>
    <row r="511" spans="1:19" ht="18" x14ac:dyDescent="0.25">
      <c r="A511" s="82" t="s">
        <v>247</v>
      </c>
      <c r="B511" s="82"/>
      <c r="C511" s="82"/>
      <c r="D511" s="82"/>
      <c r="E511" s="82"/>
      <c r="F511" s="82"/>
      <c r="G511" s="82"/>
      <c r="H511" s="82"/>
      <c r="I511" s="82"/>
      <c r="J511" s="82"/>
      <c r="K511" s="82"/>
      <c r="L511" s="82"/>
      <c r="M511" s="82"/>
      <c r="N511" s="82"/>
      <c r="O511" s="82"/>
      <c r="Q511" s="109"/>
      <c r="R511" s="109"/>
      <c r="S511" s="109"/>
    </row>
    <row r="512" spans="1:19" x14ac:dyDescent="0.25">
      <c r="A512" s="180"/>
      <c r="B512" s="87"/>
      <c r="C512" s="87"/>
      <c r="D512" s="87"/>
      <c r="E512" s="87"/>
      <c r="F512" s="87"/>
      <c r="G512" s="87"/>
      <c r="H512" s="87"/>
      <c r="I512" s="87"/>
      <c r="J512" s="87"/>
      <c r="K512" s="87"/>
      <c r="L512" s="87"/>
      <c r="M512" s="87"/>
      <c r="N512" s="87"/>
      <c r="O512" s="87"/>
      <c r="Q512" s="109"/>
      <c r="R512" s="109"/>
      <c r="S512" s="109"/>
    </row>
    <row r="513" spans="1:19" x14ac:dyDescent="0.25">
      <c r="A513" s="707" t="s">
        <v>218</v>
      </c>
      <c r="B513" s="707"/>
      <c r="C513" s="707"/>
      <c r="D513" s="707"/>
      <c r="E513" s="707"/>
      <c r="F513" s="707"/>
      <c r="G513" s="707"/>
      <c r="H513" s="707"/>
      <c r="I513" s="707"/>
      <c r="J513" s="707"/>
      <c r="K513" s="707"/>
      <c r="L513" s="707"/>
      <c r="M513" s="707"/>
      <c r="N513" s="707"/>
      <c r="O513" s="707"/>
    </row>
    <row r="514" spans="1:19" x14ac:dyDescent="0.25">
      <c r="A514" s="707" t="s">
        <v>287</v>
      </c>
      <c r="B514" s="707"/>
      <c r="C514" s="707"/>
      <c r="D514" s="707"/>
      <c r="E514" s="707"/>
      <c r="F514" s="707"/>
      <c r="G514" s="707"/>
      <c r="H514" s="707"/>
      <c r="I514" s="707"/>
      <c r="J514" s="707"/>
      <c r="K514" s="707"/>
      <c r="L514" s="707"/>
      <c r="M514" s="707"/>
      <c r="N514" s="707"/>
      <c r="O514" s="707"/>
    </row>
    <row r="515" spans="1:19" x14ac:dyDescent="0.25">
      <c r="A515" s="136"/>
      <c r="B515" s="87"/>
      <c r="C515" s="87"/>
      <c r="D515" s="87"/>
      <c r="E515" s="87"/>
      <c r="F515" s="87"/>
      <c r="G515" s="87"/>
      <c r="H515" s="87"/>
      <c r="I515" s="87"/>
      <c r="J515" s="87"/>
      <c r="K515" s="87"/>
      <c r="L515" s="87"/>
      <c r="M515" s="87"/>
      <c r="N515" s="87"/>
      <c r="O515" s="87"/>
    </row>
    <row r="516" spans="1:19" ht="31.5" customHeight="1" x14ac:dyDescent="0.25">
      <c r="A516" s="114"/>
      <c r="B516" s="182" t="s">
        <v>3</v>
      </c>
      <c r="C516" s="183"/>
      <c r="D516" s="184" t="s">
        <v>4</v>
      </c>
      <c r="E516" s="185"/>
      <c r="F516" s="184" t="s">
        <v>5</v>
      </c>
      <c r="G516" s="185"/>
      <c r="H516" s="182" t="s">
        <v>6</v>
      </c>
      <c r="I516" s="183"/>
      <c r="J516" s="184" t="s">
        <v>219</v>
      </c>
      <c r="K516" s="185"/>
      <c r="L516" s="183" t="s">
        <v>23</v>
      </c>
      <c r="M516" s="183"/>
      <c r="N516" s="183" t="s">
        <v>220</v>
      </c>
      <c r="O516" s="183"/>
    </row>
    <row r="517" spans="1:19" x14ac:dyDescent="0.25">
      <c r="A517" s="202"/>
      <c r="B517" s="116" t="s">
        <v>193</v>
      </c>
      <c r="C517" s="115" t="s">
        <v>170</v>
      </c>
      <c r="D517" s="116" t="s">
        <v>193</v>
      </c>
      <c r="E517" s="115" t="s">
        <v>170</v>
      </c>
      <c r="F517" s="116" t="s">
        <v>193</v>
      </c>
      <c r="G517" s="115" t="s">
        <v>170</v>
      </c>
      <c r="H517" s="116" t="s">
        <v>193</v>
      </c>
      <c r="I517" s="115" t="s">
        <v>170</v>
      </c>
      <c r="J517" s="116" t="s">
        <v>193</v>
      </c>
      <c r="K517" s="115" t="s">
        <v>170</v>
      </c>
      <c r="L517" s="116" t="s">
        <v>193</v>
      </c>
      <c r="M517" s="115" t="s">
        <v>170</v>
      </c>
      <c r="N517" s="116" t="s">
        <v>193</v>
      </c>
      <c r="O517" s="115" t="s">
        <v>170</v>
      </c>
    </row>
    <row r="518" spans="1:19" s="127" customFormat="1" ht="18" customHeight="1" x14ac:dyDescent="0.25">
      <c r="A518" s="124" t="s">
        <v>194</v>
      </c>
      <c r="B518" s="151">
        <f>'Averages Pivot Table'!AF$471</f>
        <v>47067.310087644553</v>
      </c>
      <c r="C518" s="151"/>
      <c r="D518" s="151">
        <f>'Averages Pivot Table'!AF$475</f>
        <v>43862.328044720562</v>
      </c>
      <c r="E518" s="151"/>
      <c r="F518" s="151">
        <f>'Averages Pivot Table'!AF$479</f>
        <v>26510.367650300086</v>
      </c>
      <c r="G518" s="151"/>
      <c r="H518" s="151">
        <f>'Averages Pivot Table'!AF$483</f>
        <v>35866.340536277632</v>
      </c>
      <c r="I518" s="151"/>
      <c r="J518" s="151">
        <f>'Averages Pivot Table'!AF$487</f>
        <v>34102.279793227062</v>
      </c>
      <c r="K518" s="151"/>
      <c r="L518" s="151">
        <f>'Averages Pivot Table'!AF$491</f>
        <v>42666.379370295304</v>
      </c>
      <c r="M518" s="187"/>
      <c r="N518" s="151">
        <f>'Averages Pivot Table'!AF$495</f>
        <v>41144.201379390543</v>
      </c>
      <c r="O518" s="188"/>
      <c r="Q518" s="129"/>
      <c r="R518" s="129"/>
      <c r="S518" s="129"/>
    </row>
    <row r="519" spans="1:19" ht="12.95" customHeight="1" x14ac:dyDescent="0.25">
      <c r="A519" s="136"/>
      <c r="B519" s="131"/>
      <c r="C519" s="155"/>
      <c r="D519" s="131"/>
      <c r="E519" s="155"/>
      <c r="F519" s="131"/>
      <c r="G519" s="155"/>
      <c r="H519" s="131"/>
      <c r="I519" s="155"/>
      <c r="J519" s="131"/>
      <c r="K519" s="155"/>
      <c r="L519" s="131"/>
      <c r="M519" s="155"/>
      <c r="N519" s="131"/>
      <c r="O519" s="132"/>
    </row>
    <row r="520" spans="1:19" ht="12.95" customHeight="1" x14ac:dyDescent="0.25">
      <c r="A520" s="136" t="s">
        <v>195</v>
      </c>
      <c r="B520" s="167">
        <f>'Averages Pivot Table'!AF$8</f>
        <v>0</v>
      </c>
      <c r="C520" s="138">
        <f>IF(B520&gt;0,RANK(B520,(B$520:B$538)),0)</f>
        <v>0</v>
      </c>
      <c r="D520" s="167">
        <f>'Averages Pivot Table'!AF$12</f>
        <v>0</v>
      </c>
      <c r="E520" s="138">
        <f>IF(D520&gt;0,RANK(D520,(D$520:D$538)),0)</f>
        <v>0</v>
      </c>
      <c r="F520" s="167">
        <f>'Averages Pivot Table'!AF$16</f>
        <v>0</v>
      </c>
      <c r="G520" s="138">
        <f>IF(F520&gt;0,RANK(F520,(F$520:F$538)),0)</f>
        <v>0</v>
      </c>
      <c r="H520" s="167">
        <f>'Averages Pivot Table'!AF$20</f>
        <v>0</v>
      </c>
      <c r="I520" s="138">
        <f>IF(H520&gt;0,RANK(H520,(H$520:H$538)),0)</f>
        <v>0</v>
      </c>
      <c r="J520" s="167">
        <f>'Averages Pivot Table'!AF$24</f>
        <v>0</v>
      </c>
      <c r="K520" s="138">
        <f>IF(J520&gt;0,RANK(J520,(J$520:J$538)),0)</f>
        <v>0</v>
      </c>
      <c r="L520" s="167">
        <f>'Averages Pivot Table'!AF$28</f>
        <v>53364.060301507532</v>
      </c>
      <c r="M520" s="138">
        <f>IF(L520&gt;0,RANK(L520,(L$520:L$538)),0)</f>
        <v>1</v>
      </c>
      <c r="N520" s="167">
        <f>'Averages Pivot Table'!AF$32</f>
        <v>53364.060301507532</v>
      </c>
      <c r="O520" s="138">
        <f>IF(N520&gt;0,RANK(N520,(N$520:N$538)),0)</f>
        <v>1</v>
      </c>
    </row>
    <row r="521" spans="1:19" ht="12.95" customHeight="1" x14ac:dyDescent="0.25">
      <c r="A521" s="136" t="s">
        <v>196</v>
      </c>
      <c r="B521" s="167">
        <f>'Averages Pivot Table'!AF$37</f>
        <v>0</v>
      </c>
      <c r="C521" s="138">
        <f t="shared" ref="C521:E538" si="1021">IF(B521&gt;0,RANK(B521,(B$520:B$538)),0)</f>
        <v>0</v>
      </c>
      <c r="D521" s="167">
        <f>'Averages Pivot Table'!AF$41</f>
        <v>0</v>
      </c>
      <c r="E521" s="138">
        <f t="shared" si="1021"/>
        <v>0</v>
      </c>
      <c r="F521" s="167">
        <f>'Averages Pivot Table'!AF$45</f>
        <v>0</v>
      </c>
      <c r="G521" s="138">
        <f t="shared" ref="G521" si="1022">IF(F521&gt;0,RANK(F521,(F$520:F$538)),0)</f>
        <v>0</v>
      </c>
      <c r="H521" s="167">
        <f>'Averages Pivot Table'!AF$49</f>
        <v>0</v>
      </c>
      <c r="I521" s="138">
        <f t="shared" ref="I521" si="1023">IF(H521&gt;0,RANK(H521,(H$520:H$538)),0)</f>
        <v>0</v>
      </c>
      <c r="J521" s="167">
        <f>'Averages Pivot Table'!AF$53</f>
        <v>0</v>
      </c>
      <c r="K521" s="138">
        <f t="shared" ref="K521" si="1024">IF(J521&gt;0,RANK(J521,(J$520:J$538)),0)</f>
        <v>0</v>
      </c>
      <c r="L521" s="167">
        <f>'Averages Pivot Table'!AF$57</f>
        <v>0</v>
      </c>
      <c r="M521" s="138">
        <f t="shared" ref="M521" si="1025">IF(L521&gt;0,RANK(L521,(L$520:L$538)),0)</f>
        <v>0</v>
      </c>
      <c r="N521" s="167">
        <f>'Averages Pivot Table'!AF$61</f>
        <v>0</v>
      </c>
      <c r="O521" s="138">
        <f t="shared" ref="O521" si="1026">IF(N521&gt;0,RANK(N521,(N$520:N$538)),0)</f>
        <v>0</v>
      </c>
    </row>
    <row r="522" spans="1:19" ht="12.95" customHeight="1" x14ac:dyDescent="0.25">
      <c r="A522" s="136" t="s">
        <v>197</v>
      </c>
      <c r="B522" s="167">
        <f>'Averages Pivot Table'!AF$66</f>
        <v>0</v>
      </c>
      <c r="C522" s="138">
        <f t="shared" si="1021"/>
        <v>0</v>
      </c>
      <c r="D522" s="167">
        <f>'Averages Pivot Table'!AF$70</f>
        <v>0</v>
      </c>
      <c r="E522" s="138">
        <f t="shared" si="1021"/>
        <v>0</v>
      </c>
      <c r="F522" s="167">
        <f>'Averages Pivot Table'!AF$74</f>
        <v>0</v>
      </c>
      <c r="G522" s="138">
        <f t="shared" ref="G522" si="1027">IF(F522&gt;0,RANK(F522,(F$520:F$538)),0)</f>
        <v>0</v>
      </c>
      <c r="H522" s="167">
        <f>'Averages Pivot Table'!AF$78</f>
        <v>0</v>
      </c>
      <c r="I522" s="138">
        <f t="shared" ref="I522" si="1028">IF(H522&gt;0,RANK(H522,(H$520:H$538)),0)</f>
        <v>0</v>
      </c>
      <c r="J522" s="167">
        <f>'Averages Pivot Table'!AF$82</f>
        <v>0</v>
      </c>
      <c r="K522" s="138">
        <f t="shared" ref="K522" si="1029">IF(J522&gt;0,RANK(J522,(J$520:J$538)),0)</f>
        <v>0</v>
      </c>
      <c r="L522" s="167">
        <f>'Averages Pivot Table'!AF$86</f>
        <v>0</v>
      </c>
      <c r="M522" s="138">
        <f t="shared" ref="M522" si="1030">IF(L522&gt;0,RANK(L522,(L$520:L$538)),0)</f>
        <v>0</v>
      </c>
      <c r="N522" s="167">
        <f>'Averages Pivot Table'!AF$90</f>
        <v>0</v>
      </c>
      <c r="O522" s="138">
        <f t="shared" ref="O522" si="1031">IF(N522&gt;0,RANK(N522,(N$520:N$538)),0)</f>
        <v>0</v>
      </c>
    </row>
    <row r="523" spans="1:19" ht="12.95" customHeight="1" x14ac:dyDescent="0.25">
      <c r="A523" s="136" t="s">
        <v>198</v>
      </c>
      <c r="B523" s="167">
        <f>'Averages Pivot Table'!AF$95</f>
        <v>0</v>
      </c>
      <c r="C523" s="138">
        <f t="shared" si="1021"/>
        <v>0</v>
      </c>
      <c r="D523" s="167">
        <f>'Averages Pivot Table'!AF$99</f>
        <v>0</v>
      </c>
      <c r="E523" s="138">
        <f t="shared" si="1021"/>
        <v>0</v>
      </c>
      <c r="F523" s="167">
        <f>'Averages Pivot Table'!AF$103</f>
        <v>0</v>
      </c>
      <c r="G523" s="138">
        <f t="shared" ref="G523" si="1032">IF(F523&gt;0,RANK(F523,(F$520:F$538)),0)</f>
        <v>0</v>
      </c>
      <c r="H523" s="167">
        <f>'Averages Pivot Table'!AF$107</f>
        <v>0</v>
      </c>
      <c r="I523" s="138">
        <f t="shared" ref="I523" si="1033">IF(H523&gt;0,RANK(H523,(H$520:H$538)),0)</f>
        <v>0</v>
      </c>
      <c r="J523" s="167">
        <f>'Averages Pivot Table'!AF$111</f>
        <v>0</v>
      </c>
      <c r="K523" s="138">
        <f t="shared" ref="K523" si="1034">IF(J523&gt;0,RANK(J523,(J$520:J$538)),0)</f>
        <v>0</v>
      </c>
      <c r="L523" s="167">
        <f>'Averages Pivot Table'!AF$115</f>
        <v>0</v>
      </c>
      <c r="M523" s="138">
        <f t="shared" ref="M523" si="1035">IF(L523&gt;0,RANK(L523,(L$520:L$538)),0)</f>
        <v>0</v>
      </c>
      <c r="N523" s="167">
        <f>'Averages Pivot Table'!AF$119</f>
        <v>0</v>
      </c>
      <c r="O523" s="138">
        <f t="shared" ref="O523" si="1036">IF(N523&gt;0,RANK(N523,(N$520:N$538)),0)</f>
        <v>0</v>
      </c>
    </row>
    <row r="524" spans="1:19" ht="12.95" customHeight="1" x14ac:dyDescent="0.25">
      <c r="A524" s="136"/>
      <c r="B524" s="167"/>
      <c r="C524" s="138"/>
      <c r="D524" s="167"/>
      <c r="E524" s="138"/>
      <c r="F524" s="167"/>
      <c r="G524" s="138"/>
      <c r="H524" s="167"/>
      <c r="I524" s="138"/>
      <c r="J524" s="167"/>
      <c r="K524" s="138"/>
      <c r="L524" s="167"/>
      <c r="M524" s="138"/>
      <c r="N524" s="167"/>
      <c r="O524" s="138"/>
    </row>
    <row r="525" spans="1:19" ht="12.95" customHeight="1" x14ac:dyDescent="0.25">
      <c r="A525" s="136" t="s">
        <v>199</v>
      </c>
      <c r="B525" s="167">
        <f>'Averages Pivot Table'!AF$124</f>
        <v>0</v>
      </c>
      <c r="C525" s="138">
        <f t="shared" si="1021"/>
        <v>0</v>
      </c>
      <c r="D525" s="167">
        <f>'Averages Pivot Table'!AF$128</f>
        <v>0</v>
      </c>
      <c r="E525" s="138">
        <f t="shared" si="1021"/>
        <v>0</v>
      </c>
      <c r="F525" s="167">
        <f>'Averages Pivot Table'!AF$132</f>
        <v>0</v>
      </c>
      <c r="G525" s="138">
        <f t="shared" ref="G525" si="1037">IF(F525&gt;0,RANK(F525,(F$520:F$538)),0)</f>
        <v>0</v>
      </c>
      <c r="H525" s="167">
        <f>'Averages Pivot Table'!AF$136</f>
        <v>0</v>
      </c>
      <c r="I525" s="138">
        <f t="shared" ref="I525" si="1038">IF(H525&gt;0,RANK(H525,(H$520:H$538)),0)</f>
        <v>0</v>
      </c>
      <c r="J525" s="167">
        <f>'Averages Pivot Table'!AF$140</f>
        <v>0</v>
      </c>
      <c r="K525" s="138">
        <f t="shared" ref="K525" si="1039">IF(J525&gt;0,RANK(J525,(J$520:J$538)),0)</f>
        <v>0</v>
      </c>
      <c r="L525" s="167">
        <f>'Averages Pivot Table'!AF$144</f>
        <v>41580.85665023102</v>
      </c>
      <c r="M525" s="138">
        <f t="shared" ref="M525" si="1040">IF(L525&gt;0,RANK(L525,(L$520:L$538)),0)</f>
        <v>3</v>
      </c>
      <c r="N525" s="167">
        <f>'Averages Pivot Table'!AF$148</f>
        <v>41580.85665023102</v>
      </c>
      <c r="O525" s="138">
        <f t="shared" ref="O525" si="1041">IF(N525&gt;0,RANK(N525,(N$520:N$538)),0)</f>
        <v>3</v>
      </c>
    </row>
    <row r="526" spans="1:19" ht="12.95" customHeight="1" x14ac:dyDescent="0.25">
      <c r="A526" s="136" t="s">
        <v>200</v>
      </c>
      <c r="B526" s="167">
        <f>'Averages Pivot Table'!AF$153</f>
        <v>54829.248679245276</v>
      </c>
      <c r="C526" s="138">
        <f t="shared" si="1021"/>
        <v>1</v>
      </c>
      <c r="D526" s="167">
        <f>'Averages Pivot Table'!AF$157</f>
        <v>45480.078551136365</v>
      </c>
      <c r="E526" s="138">
        <f t="shared" si="1021"/>
        <v>1</v>
      </c>
      <c r="F526" s="167">
        <f>'Averages Pivot Table'!AF$161</f>
        <v>40491.576974514137</v>
      </c>
      <c r="G526" s="138">
        <f t="shared" ref="G526" si="1042">IF(F526&gt;0,RANK(F526,(F$520:F$538)),0)</f>
        <v>1</v>
      </c>
      <c r="H526" s="167">
        <f>'Averages Pivot Table'!AF$165</f>
        <v>34756.154694984842</v>
      </c>
      <c r="I526" s="138">
        <f t="shared" ref="I526" si="1043">IF(H526&gt;0,RANK(H526,(H$520:H$538)),0)</f>
        <v>2</v>
      </c>
      <c r="J526" s="167">
        <f>'Averages Pivot Table'!AF$169</f>
        <v>0</v>
      </c>
      <c r="K526" s="138">
        <f t="shared" ref="K526" si="1044">IF(J526&gt;0,RANK(J526,(J$520:J$538)),0)</f>
        <v>0</v>
      </c>
      <c r="L526" s="167">
        <f>'Averages Pivot Table'!AF$173</f>
        <v>0</v>
      </c>
      <c r="M526" s="138">
        <f t="shared" ref="M526" si="1045">IF(L526&gt;0,RANK(L526,(L$520:L$538)),0)</f>
        <v>0</v>
      </c>
      <c r="N526" s="167">
        <f>'Averages Pivot Table'!AF$177</f>
        <v>40761.67988784358</v>
      </c>
      <c r="O526" s="138">
        <f t="shared" ref="O526" si="1046">IF(N526&gt;0,RANK(N526,(N$520:N$538)),0)</f>
        <v>4</v>
      </c>
    </row>
    <row r="527" spans="1:19" ht="12.95" customHeight="1" x14ac:dyDescent="0.25">
      <c r="A527" s="136" t="s">
        <v>201</v>
      </c>
      <c r="B527" s="167">
        <f>'Averages Pivot Table'!AF$182</f>
        <v>43740.764976958526</v>
      </c>
      <c r="C527" s="138">
        <f t="shared" si="1021"/>
        <v>2</v>
      </c>
      <c r="D527" s="167">
        <f>'Averages Pivot Table'!AF$186</f>
        <v>37979.598930481283</v>
      </c>
      <c r="E527" s="138">
        <f t="shared" si="1021"/>
        <v>2</v>
      </c>
      <c r="F527" s="167">
        <f>'Averages Pivot Table'!AF$190</f>
        <v>11184.81127568084</v>
      </c>
      <c r="G527" s="138">
        <f t="shared" ref="G527" si="1047">IF(F527&gt;0,RANK(F527,(F$520:F$538)),0)</f>
        <v>2</v>
      </c>
      <c r="H527" s="167">
        <f>'Averages Pivot Table'!AF$194</f>
        <v>36144.975414092289</v>
      </c>
      <c r="I527" s="138">
        <f t="shared" ref="I527" si="1048">IF(H527&gt;0,RANK(H527,(H$520:H$538)),0)</f>
        <v>1</v>
      </c>
      <c r="J527" s="167">
        <f>'Averages Pivot Table'!AF$198</f>
        <v>34102.279793227062</v>
      </c>
      <c r="K527" s="138">
        <f t="shared" ref="K527" si="1049">IF(J527&gt;0,RANK(J527,(J$520:J$538)),0)</f>
        <v>1</v>
      </c>
      <c r="L527" s="167">
        <f>'Averages Pivot Table'!AF$202</f>
        <v>0</v>
      </c>
      <c r="M527" s="138">
        <f t="shared" ref="M527" si="1050">IF(L527&gt;0,RANK(L527,(L$520:L$538)),0)</f>
        <v>0</v>
      </c>
      <c r="N527" s="167">
        <f>'Averages Pivot Table'!AF$206</f>
        <v>33502.643736213919</v>
      </c>
      <c r="O527" s="138">
        <f t="shared" ref="O527" si="1051">IF(N527&gt;0,RANK(N527,(N$520:N$538)),0)</f>
        <v>6</v>
      </c>
    </row>
    <row r="528" spans="1:19" ht="12.95" customHeight="1" x14ac:dyDescent="0.25">
      <c r="A528" s="136" t="s">
        <v>202</v>
      </c>
      <c r="B528" s="167">
        <f>'Averages Pivot Table'!AF$211</f>
        <v>0</v>
      </c>
      <c r="C528" s="138">
        <f t="shared" si="1021"/>
        <v>0</v>
      </c>
      <c r="D528" s="167">
        <f>'Averages Pivot Table'!AF$215</f>
        <v>0</v>
      </c>
      <c r="E528" s="138">
        <f t="shared" si="1021"/>
        <v>0</v>
      </c>
      <c r="F528" s="167">
        <f>'Averages Pivot Table'!AF$219</f>
        <v>0</v>
      </c>
      <c r="G528" s="138">
        <f t="shared" ref="G528" si="1052">IF(F528&gt;0,RANK(F528,(F$520:F$538)),0)</f>
        <v>0</v>
      </c>
      <c r="H528" s="167">
        <f>'Averages Pivot Table'!AF$223</f>
        <v>0</v>
      </c>
      <c r="I528" s="138">
        <f t="shared" ref="I528" si="1053">IF(H528&gt;0,RANK(H528,(H$520:H$538)),0)</f>
        <v>0</v>
      </c>
      <c r="J528" s="167">
        <f>'Averages Pivot Table'!AF$227</f>
        <v>0</v>
      </c>
      <c r="K528" s="138">
        <f t="shared" ref="K528" si="1054">IF(J528&gt;0,RANK(J528,(J$520:J$538)),0)</f>
        <v>0</v>
      </c>
      <c r="L528" s="167">
        <f>'Averages Pivot Table'!AF$231</f>
        <v>0</v>
      </c>
      <c r="M528" s="138">
        <f t="shared" ref="M528" si="1055">IF(L528&gt;0,RANK(L528,(L$520:L$538)),0)</f>
        <v>0</v>
      </c>
      <c r="N528" s="167">
        <f>'Averages Pivot Table'!AF$235</f>
        <v>0</v>
      </c>
      <c r="O528" s="138">
        <f t="shared" ref="O528" si="1056">IF(N528&gt;0,RANK(N528,(N$520:N$538)),0)</f>
        <v>0</v>
      </c>
    </row>
    <row r="529" spans="1:19" x14ac:dyDescent="0.25">
      <c r="A529" s="136"/>
      <c r="B529" s="167"/>
      <c r="C529" s="138"/>
      <c r="D529" s="167"/>
      <c r="E529" s="138"/>
      <c r="F529" s="167"/>
      <c r="G529" s="138"/>
      <c r="H529" s="167"/>
      <c r="I529" s="138"/>
      <c r="J529" s="167"/>
      <c r="K529" s="138"/>
      <c r="L529" s="167"/>
      <c r="M529" s="138"/>
      <c r="N529" s="167"/>
      <c r="O529" s="138"/>
      <c r="Q529" s="109"/>
      <c r="R529" s="109"/>
      <c r="S529" s="109"/>
    </row>
    <row r="530" spans="1:19" x14ac:dyDescent="0.25">
      <c r="A530" s="136" t="s">
        <v>203</v>
      </c>
      <c r="B530" s="167">
        <f>'Averages Pivot Table'!AF$240</f>
        <v>0</v>
      </c>
      <c r="C530" s="138">
        <f t="shared" si="1021"/>
        <v>0</v>
      </c>
      <c r="D530" s="167">
        <f>'Averages Pivot Table'!AF$244</f>
        <v>0</v>
      </c>
      <c r="E530" s="138">
        <f t="shared" si="1021"/>
        <v>0</v>
      </c>
      <c r="F530" s="167">
        <f>'Averages Pivot Table'!AF$248</f>
        <v>0</v>
      </c>
      <c r="G530" s="138">
        <f t="shared" ref="G530" si="1057">IF(F530&gt;0,RANK(F530,(F$520:F$538)),0)</f>
        <v>0</v>
      </c>
      <c r="H530" s="167">
        <f>'Averages Pivot Table'!AF$252</f>
        <v>0</v>
      </c>
      <c r="I530" s="138">
        <f t="shared" ref="I530" si="1058">IF(H530&gt;0,RANK(H530,(H$520:H$538)),0)</f>
        <v>0</v>
      </c>
      <c r="J530" s="167">
        <f>'Averages Pivot Table'!AF$256</f>
        <v>0</v>
      </c>
      <c r="K530" s="138">
        <f t="shared" ref="K530" si="1059">IF(J530&gt;0,RANK(J530,(J$520:J$538)),0)</f>
        <v>0</v>
      </c>
      <c r="L530" s="167">
        <f>'Averages Pivot Table'!AF$260</f>
        <v>0</v>
      </c>
      <c r="M530" s="138">
        <f t="shared" ref="M530" si="1060">IF(L530&gt;0,RANK(L530,(L$520:L$538)),0)</f>
        <v>0</v>
      </c>
      <c r="N530" s="167">
        <f>'Averages Pivot Table'!AF$264</f>
        <v>0</v>
      </c>
      <c r="O530" s="138">
        <f t="shared" ref="O530" si="1061">IF(N530&gt;0,RANK(N530,(N$520:N$538)),0)</f>
        <v>0</v>
      </c>
      <c r="Q530" s="109"/>
      <c r="R530" s="109"/>
      <c r="S530" s="109"/>
    </row>
    <row r="531" spans="1:19" x14ac:dyDescent="0.25">
      <c r="A531" s="136" t="s">
        <v>204</v>
      </c>
      <c r="B531" s="167">
        <f>'Averages Pivot Table'!AF$269</f>
        <v>0</v>
      </c>
      <c r="C531" s="138">
        <f t="shared" si="1021"/>
        <v>0</v>
      </c>
      <c r="D531" s="167">
        <f>'Averages Pivot Table'!AF$273</f>
        <v>0</v>
      </c>
      <c r="E531" s="138">
        <f t="shared" si="1021"/>
        <v>0</v>
      </c>
      <c r="F531" s="167">
        <f>'Averages Pivot Table'!AF$277</f>
        <v>0</v>
      </c>
      <c r="G531" s="138">
        <f t="shared" ref="G531" si="1062">IF(F531&gt;0,RANK(F531,(F$520:F$538)),0)</f>
        <v>0</v>
      </c>
      <c r="H531" s="167">
        <f>'Averages Pivot Table'!AF$281</f>
        <v>0</v>
      </c>
      <c r="I531" s="138">
        <f t="shared" ref="I531" si="1063">IF(H531&gt;0,RANK(H531,(H$520:H$538)),0)</f>
        <v>0</v>
      </c>
      <c r="J531" s="167">
        <f>'Averages Pivot Table'!AF$285</f>
        <v>0</v>
      </c>
      <c r="K531" s="138">
        <f t="shared" ref="K531" si="1064">IF(J531&gt;0,RANK(J531,(J$520:J$538)),0)</f>
        <v>0</v>
      </c>
      <c r="L531" s="167">
        <f>'Averages Pivot Table'!AF$289</f>
        <v>0</v>
      </c>
      <c r="M531" s="138">
        <f t="shared" ref="M531" si="1065">IF(L531&gt;0,RANK(L531,(L$520:L$538)),0)</f>
        <v>0</v>
      </c>
      <c r="N531" s="167">
        <f>'Averages Pivot Table'!AF$293</f>
        <v>0</v>
      </c>
      <c r="O531" s="138">
        <f t="shared" ref="O531" si="1066">IF(N531&gt;0,RANK(N531,(N$520:N$538)),0)</f>
        <v>0</v>
      </c>
      <c r="Q531" s="109"/>
      <c r="R531" s="109"/>
      <c r="S531" s="109"/>
    </row>
    <row r="532" spans="1:19" x14ac:dyDescent="0.25">
      <c r="A532" s="136" t="s">
        <v>205</v>
      </c>
      <c r="B532" s="167">
        <f>'Averages Pivot Table'!AF$298</f>
        <v>0</v>
      </c>
      <c r="C532" s="138">
        <f t="shared" si="1021"/>
        <v>0</v>
      </c>
      <c r="D532" s="167">
        <f>'Averages Pivot Table'!AF$302</f>
        <v>0</v>
      </c>
      <c r="E532" s="138">
        <f t="shared" si="1021"/>
        <v>0</v>
      </c>
      <c r="F532" s="167">
        <f>'Averages Pivot Table'!AF$306</f>
        <v>0</v>
      </c>
      <c r="G532" s="138">
        <f t="shared" ref="G532" si="1067">IF(F532&gt;0,RANK(F532,(F$520:F$538)),0)</f>
        <v>0</v>
      </c>
      <c r="H532" s="167">
        <f>'Averages Pivot Table'!AF$310</f>
        <v>0</v>
      </c>
      <c r="I532" s="138">
        <f t="shared" ref="I532" si="1068">IF(H532&gt;0,RANK(H532,(H$520:H$538)),0)</f>
        <v>0</v>
      </c>
      <c r="J532" s="167">
        <f>'Averages Pivot Table'!AF$314</f>
        <v>0</v>
      </c>
      <c r="K532" s="138">
        <f t="shared" ref="K532" si="1069">IF(J532&gt;0,RANK(J532,(J$520:J$538)),0)</f>
        <v>0</v>
      </c>
      <c r="L532" s="167">
        <f>'Averages Pivot Table'!AF$318</f>
        <v>51474.813342655325</v>
      </c>
      <c r="M532" s="138">
        <f t="shared" ref="M532" si="1070">IF(L532&gt;0,RANK(L532,(L$520:L$538)),0)</f>
        <v>2</v>
      </c>
      <c r="N532" s="167">
        <f>'Averages Pivot Table'!AF$322</f>
        <v>51474.813342655325</v>
      </c>
      <c r="O532" s="138">
        <f t="shared" ref="O532" si="1071">IF(N532&gt;0,RANK(N532,(N$520:N$538)),0)</f>
        <v>2</v>
      </c>
      <c r="Q532" s="109"/>
      <c r="R532" s="109"/>
      <c r="S532" s="109"/>
    </row>
    <row r="533" spans="1:19" x14ac:dyDescent="0.25">
      <c r="A533" s="136" t="s">
        <v>206</v>
      </c>
      <c r="B533" s="167">
        <f>'Averages Pivot Table'!AF$327</f>
        <v>0</v>
      </c>
      <c r="C533" s="138">
        <f t="shared" si="1021"/>
        <v>0</v>
      </c>
      <c r="D533" s="167">
        <f>'Averages Pivot Table'!AF$331</f>
        <v>0</v>
      </c>
      <c r="E533" s="138">
        <f t="shared" si="1021"/>
        <v>0</v>
      </c>
      <c r="F533" s="167">
        <f>'Averages Pivot Table'!AF$335</f>
        <v>0</v>
      </c>
      <c r="G533" s="138">
        <f t="shared" ref="G533" si="1072">IF(F533&gt;0,RANK(F533,(F$520:F$538)),0)</f>
        <v>0</v>
      </c>
      <c r="H533" s="167">
        <f>'Averages Pivot Table'!AF$339</f>
        <v>0</v>
      </c>
      <c r="I533" s="138">
        <f t="shared" ref="I533" si="1073">IF(H533&gt;0,RANK(H533,(H$520:H$538)),0)</f>
        <v>0</v>
      </c>
      <c r="J533" s="167">
        <f>'Averages Pivot Table'!AF$343</f>
        <v>0</v>
      </c>
      <c r="K533" s="138">
        <f t="shared" ref="K533" si="1074">IF(J533&gt;0,RANK(J533,(J$520:J$538)),0)</f>
        <v>0</v>
      </c>
      <c r="L533" s="167">
        <f>'Averages Pivot Table'!AF$347</f>
        <v>0</v>
      </c>
      <c r="M533" s="138">
        <f t="shared" ref="M533" si="1075">IF(L533&gt;0,RANK(L533,(L$520:L$538)),0)</f>
        <v>0</v>
      </c>
      <c r="N533" s="167">
        <f>'Averages Pivot Table'!AF$351</f>
        <v>0</v>
      </c>
      <c r="O533" s="138">
        <f t="shared" ref="O533" si="1076">IF(N533&gt;0,RANK(N533,(N$520:N$538)),0)</f>
        <v>0</v>
      </c>
      <c r="Q533" s="109"/>
      <c r="R533" s="109"/>
      <c r="S533" s="109"/>
    </row>
    <row r="534" spans="1:19" x14ac:dyDescent="0.25">
      <c r="A534" s="136"/>
      <c r="B534" s="167"/>
      <c r="C534" s="138"/>
      <c r="D534" s="167"/>
      <c r="E534" s="138"/>
      <c r="F534" s="167"/>
      <c r="G534" s="138"/>
      <c r="H534" s="167"/>
      <c r="I534" s="138"/>
      <c r="J534" s="167"/>
      <c r="K534" s="138"/>
      <c r="L534" s="167"/>
      <c r="M534" s="138"/>
      <c r="N534" s="167"/>
      <c r="O534" s="138"/>
      <c r="Q534" s="109"/>
      <c r="R534" s="109"/>
      <c r="S534" s="109"/>
    </row>
    <row r="535" spans="1:19" x14ac:dyDescent="0.25">
      <c r="A535" s="136" t="s">
        <v>207</v>
      </c>
      <c r="B535" s="137">
        <f>'Averages Pivot Table'!AF$356</f>
        <v>0</v>
      </c>
      <c r="C535" s="138">
        <f t="shared" si="1021"/>
        <v>0</v>
      </c>
      <c r="D535" s="137">
        <f>'Averages Pivot Table'!AF$360</f>
        <v>0</v>
      </c>
      <c r="E535" s="138">
        <f t="shared" si="1021"/>
        <v>0</v>
      </c>
      <c r="F535" s="137">
        <f>'Averages Pivot Table'!AF$364</f>
        <v>0</v>
      </c>
      <c r="G535" s="138">
        <f t="shared" ref="G535" si="1077">IF(F535&gt;0,RANK(F535,(F$520:F$538)),0)</f>
        <v>0</v>
      </c>
      <c r="H535" s="137">
        <f>'Averages Pivot Table'!AF$368</f>
        <v>0</v>
      </c>
      <c r="I535" s="138">
        <f t="shared" ref="I535" si="1078">IF(H535&gt;0,RANK(H535,(H$520:H$538)),0)</f>
        <v>0</v>
      </c>
      <c r="J535" s="137">
        <f>'Averages Pivot Table'!AF$372</f>
        <v>0</v>
      </c>
      <c r="K535" s="138">
        <f t="shared" ref="K535" si="1079">IF(J535&gt;0,RANK(J535,(J$520:J$538)),0)</f>
        <v>0</v>
      </c>
      <c r="L535" s="137">
        <f>'Averages Pivot Table'!AF$376</f>
        <v>38223.13461538461</v>
      </c>
      <c r="M535" s="138">
        <f t="shared" ref="M535" si="1080">IF(L535&gt;0,RANK(L535,(L$520:L$538)),0)</f>
        <v>4</v>
      </c>
      <c r="N535" s="137">
        <f>'Averages Pivot Table'!AF$380</f>
        <v>38223.13461538461</v>
      </c>
      <c r="O535" s="138">
        <f t="shared" ref="O535" si="1081">IF(N535&gt;0,RANK(N535,(N$520:N$538)),0)</f>
        <v>5</v>
      </c>
      <c r="Q535" s="109"/>
      <c r="R535" s="109"/>
      <c r="S535" s="109"/>
    </row>
    <row r="536" spans="1:19" x14ac:dyDescent="0.25">
      <c r="A536" s="136" t="s">
        <v>208</v>
      </c>
      <c r="B536" s="137">
        <f>'Averages Pivot Table'!AF$385</f>
        <v>0</v>
      </c>
      <c r="C536" s="138">
        <f t="shared" si="1021"/>
        <v>0</v>
      </c>
      <c r="D536" s="137">
        <f>'Averages Pivot Table'!AF$389</f>
        <v>0</v>
      </c>
      <c r="E536" s="138">
        <f t="shared" si="1021"/>
        <v>0</v>
      </c>
      <c r="F536" s="137">
        <f>'Averages Pivot Table'!AF$393</f>
        <v>0</v>
      </c>
      <c r="G536" s="138">
        <f t="shared" ref="G536" si="1082">IF(F536&gt;0,RANK(F536,(F$520:F$538)),0)</f>
        <v>0</v>
      </c>
      <c r="H536" s="137">
        <f>'Averages Pivot Table'!AF$397</f>
        <v>0</v>
      </c>
      <c r="I536" s="138">
        <f t="shared" ref="I536" si="1083">IF(H536&gt;0,RANK(H536,(H$520:H$538)),0)</f>
        <v>0</v>
      </c>
      <c r="J536" s="137">
        <f>'Averages Pivot Table'!AF$401</f>
        <v>0</v>
      </c>
      <c r="K536" s="138">
        <f t="shared" ref="K536" si="1084">IF(J536&gt;0,RANK(J536,(J$520:J$538)),0)</f>
        <v>0</v>
      </c>
      <c r="L536" s="137">
        <f>'Averages Pivot Table'!AF$405</f>
        <v>0</v>
      </c>
      <c r="M536" s="138">
        <f t="shared" ref="M536" si="1085">IF(L536&gt;0,RANK(L536,(L$520:L$538)),0)</f>
        <v>0</v>
      </c>
      <c r="N536" s="137">
        <f>'Averages Pivot Table'!AF$409</f>
        <v>0</v>
      </c>
      <c r="O536" s="138">
        <f t="shared" ref="O536" si="1086">IF(N536&gt;0,RANK(N536,(N$520:N$538)),0)</f>
        <v>0</v>
      </c>
      <c r="Q536" s="109"/>
      <c r="R536" s="109"/>
      <c r="S536" s="109"/>
    </row>
    <row r="537" spans="1:19" x14ac:dyDescent="0.25">
      <c r="A537" s="136" t="s">
        <v>209</v>
      </c>
      <c r="B537" s="137">
        <f>'Averages Pivot Table'!AF$414</f>
        <v>0</v>
      </c>
      <c r="C537" s="138">
        <f t="shared" si="1021"/>
        <v>0</v>
      </c>
      <c r="D537" s="137">
        <f>'Averages Pivot Table'!AF$418</f>
        <v>0</v>
      </c>
      <c r="E537" s="138">
        <f t="shared" si="1021"/>
        <v>0</v>
      </c>
      <c r="F537" s="137">
        <f>'Averages Pivot Table'!AF$422</f>
        <v>0</v>
      </c>
      <c r="G537" s="138">
        <f t="shared" ref="G537" si="1087">IF(F537&gt;0,RANK(F537,(F$520:F$538)),0)</f>
        <v>0</v>
      </c>
      <c r="H537" s="137">
        <f>'Averages Pivot Table'!AF$426</f>
        <v>0</v>
      </c>
      <c r="I537" s="138">
        <f t="shared" ref="I537" si="1088">IF(H537&gt;0,RANK(H537,(H$520:H$538)),0)</f>
        <v>0</v>
      </c>
      <c r="J537" s="137">
        <f>'Averages Pivot Table'!AF$430</f>
        <v>0</v>
      </c>
      <c r="K537" s="138">
        <f t="shared" ref="K537" si="1089">IF(J537&gt;0,RANK(J537,(J$520:J$538)),0)</f>
        <v>0</v>
      </c>
      <c r="L537" s="137">
        <f>'Averages Pivot Table'!AF$434</f>
        <v>0</v>
      </c>
      <c r="M537" s="138">
        <f t="shared" ref="M537" si="1090">IF(L537&gt;0,RANK(L537,(L$520:L$538)),0)</f>
        <v>0</v>
      </c>
      <c r="N537" s="137">
        <f>'Averages Pivot Table'!AF$438</f>
        <v>0</v>
      </c>
      <c r="O537" s="138">
        <f t="shared" ref="O537" si="1091">IF(N537&gt;0,RANK(N537,(N$520:N$538)),0)</f>
        <v>0</v>
      </c>
      <c r="Q537" s="109"/>
      <c r="R537" s="109"/>
      <c r="S537" s="109"/>
    </row>
    <row r="538" spans="1:19" x14ac:dyDescent="0.25">
      <c r="A538" s="161" t="s">
        <v>210</v>
      </c>
      <c r="B538" s="140">
        <f>'Averages Pivot Table'!AF$443</f>
        <v>0</v>
      </c>
      <c r="C538" s="141">
        <f t="shared" si="1021"/>
        <v>0</v>
      </c>
      <c r="D538" s="140">
        <f>'Averages Pivot Table'!AF$447</f>
        <v>0</v>
      </c>
      <c r="E538" s="141">
        <f t="shared" si="1021"/>
        <v>0</v>
      </c>
      <c r="F538" s="140">
        <f>'Averages Pivot Table'!AF$451</f>
        <v>0</v>
      </c>
      <c r="G538" s="141">
        <f t="shared" ref="G538" si="1092">IF(F538&gt;0,RANK(F538,(F$520:F$538)),0)</f>
        <v>0</v>
      </c>
      <c r="H538" s="140">
        <f>'Averages Pivot Table'!AF$455</f>
        <v>0</v>
      </c>
      <c r="I538" s="141">
        <f t="shared" ref="I538" si="1093">IF(H538&gt;0,RANK(H538,(H$520:H$538)),0)</f>
        <v>0</v>
      </c>
      <c r="J538" s="140">
        <f>'Averages Pivot Table'!AF$459</f>
        <v>0</v>
      </c>
      <c r="K538" s="141">
        <f t="shared" ref="K538" si="1094">IF(J538&gt;0,RANK(J538,(J$520:J$538)),0)</f>
        <v>0</v>
      </c>
      <c r="L538" s="140">
        <f>'Averages Pivot Table'!AF$463</f>
        <v>0</v>
      </c>
      <c r="M538" s="141">
        <f t="shared" ref="M538" si="1095">IF(L538&gt;0,RANK(L538,(L$520:L$538)),0)</f>
        <v>0</v>
      </c>
      <c r="N538" s="140">
        <f>'Averages Pivot Table'!AF$467</f>
        <v>0</v>
      </c>
      <c r="O538" s="141">
        <f t="shared" ref="O538" si="1096">IF(N538&gt;0,RANK(N538,(N$520:N$538)),0)</f>
        <v>0</v>
      </c>
      <c r="Q538" s="109"/>
      <c r="R538" s="109"/>
      <c r="S538" s="109"/>
    </row>
    <row r="539" spans="1:19" ht="23.25" customHeight="1" x14ac:dyDescent="0.25">
      <c r="A539" s="711" t="s">
        <v>1127</v>
      </c>
      <c r="B539" s="711"/>
      <c r="C539" s="711"/>
      <c r="D539" s="711"/>
      <c r="E539" s="711"/>
      <c r="F539" s="711"/>
      <c r="G539" s="711"/>
      <c r="H539" s="711"/>
      <c r="I539" s="711"/>
      <c r="J539" s="711"/>
      <c r="K539" s="711"/>
      <c r="L539" s="711"/>
      <c r="M539" s="711"/>
      <c r="N539" s="711"/>
      <c r="O539" s="711"/>
      <c r="Q539" s="109"/>
      <c r="R539" s="109"/>
      <c r="S539" s="109"/>
    </row>
    <row r="540" spans="1:19" x14ac:dyDescent="0.25">
      <c r="O540" s="102" t="s">
        <v>1124</v>
      </c>
      <c r="Q540" s="109"/>
      <c r="R540" s="109"/>
      <c r="S540" s="109"/>
    </row>
    <row r="541" spans="1:19" ht="18" x14ac:dyDescent="0.25">
      <c r="A541" s="82" t="s">
        <v>249</v>
      </c>
      <c r="B541" s="82"/>
      <c r="C541" s="82"/>
      <c r="D541" s="82"/>
      <c r="E541" s="82"/>
      <c r="F541" s="82"/>
      <c r="G541" s="82"/>
      <c r="H541" s="82"/>
      <c r="I541" s="82"/>
      <c r="J541" s="82"/>
      <c r="K541" s="82"/>
      <c r="L541" s="82"/>
      <c r="M541" s="82"/>
      <c r="N541" s="82"/>
      <c r="O541" s="82"/>
      <c r="Q541" s="109"/>
      <c r="R541" s="109"/>
      <c r="S541" s="109"/>
    </row>
    <row r="542" spans="1:19" x14ac:dyDescent="0.25">
      <c r="A542" s="180"/>
      <c r="B542" s="87"/>
      <c r="C542" s="87"/>
      <c r="D542" s="87"/>
      <c r="E542" s="87"/>
      <c r="F542" s="87"/>
      <c r="G542" s="87"/>
      <c r="H542" s="87"/>
      <c r="I542" s="87"/>
      <c r="J542" s="87"/>
      <c r="K542" s="87"/>
      <c r="L542" s="87"/>
      <c r="M542" s="87"/>
      <c r="N542" s="87"/>
      <c r="O542" s="87"/>
      <c r="Q542" s="109"/>
      <c r="R542" s="109"/>
      <c r="S542" s="109"/>
    </row>
    <row r="543" spans="1:19" x14ac:dyDescent="0.25">
      <c r="A543" s="707" t="s">
        <v>218</v>
      </c>
      <c r="B543" s="707"/>
      <c r="C543" s="707"/>
      <c r="D543" s="707"/>
      <c r="E543" s="707"/>
      <c r="F543" s="707"/>
      <c r="G543" s="707"/>
      <c r="H543" s="707"/>
      <c r="I543" s="707"/>
      <c r="J543" s="707"/>
      <c r="K543" s="707"/>
      <c r="L543" s="707"/>
      <c r="M543" s="707"/>
      <c r="N543" s="707"/>
      <c r="O543" s="707"/>
      <c r="Q543" s="109"/>
      <c r="R543" s="109"/>
      <c r="S543" s="109"/>
    </row>
    <row r="544" spans="1:19" x14ac:dyDescent="0.25">
      <c r="A544" s="707" t="s">
        <v>288</v>
      </c>
      <c r="B544" s="707"/>
      <c r="C544" s="707"/>
      <c r="D544" s="707"/>
      <c r="E544" s="707"/>
      <c r="F544" s="707"/>
      <c r="G544" s="707"/>
      <c r="H544" s="707"/>
      <c r="I544" s="707"/>
      <c r="J544" s="707"/>
      <c r="K544" s="707"/>
      <c r="L544" s="707"/>
      <c r="M544" s="707"/>
      <c r="N544" s="707"/>
      <c r="O544" s="707"/>
      <c r="Q544" s="109"/>
      <c r="R544" s="109"/>
      <c r="S544" s="109"/>
    </row>
    <row r="545" spans="1:19" x14ac:dyDescent="0.25">
      <c r="A545" s="136"/>
      <c r="B545" s="87"/>
      <c r="C545" s="87"/>
      <c r="D545" s="87"/>
      <c r="E545" s="87"/>
      <c r="F545" s="87"/>
      <c r="G545" s="87"/>
      <c r="H545" s="87"/>
      <c r="I545" s="87"/>
      <c r="J545" s="87"/>
      <c r="K545" s="87"/>
      <c r="L545" s="87"/>
      <c r="M545" s="87"/>
      <c r="N545" s="87"/>
      <c r="O545" s="87"/>
    </row>
    <row r="546" spans="1:19" ht="31.5" customHeight="1" x14ac:dyDescent="0.25">
      <c r="A546" s="114"/>
      <c r="B546" s="182" t="s">
        <v>3</v>
      </c>
      <c r="C546" s="183"/>
      <c r="D546" s="184" t="s">
        <v>4</v>
      </c>
      <c r="E546" s="185"/>
      <c r="F546" s="184" t="s">
        <v>5</v>
      </c>
      <c r="G546" s="185"/>
      <c r="H546" s="182" t="s">
        <v>6</v>
      </c>
      <c r="I546" s="183"/>
      <c r="J546" s="184" t="s">
        <v>219</v>
      </c>
      <c r="K546" s="185"/>
      <c r="L546" s="183" t="s">
        <v>23</v>
      </c>
      <c r="M546" s="183"/>
      <c r="N546" s="183" t="s">
        <v>220</v>
      </c>
      <c r="O546" s="183"/>
    </row>
    <row r="547" spans="1:19" x14ac:dyDescent="0.25">
      <c r="A547" s="202"/>
      <c r="B547" s="116" t="s">
        <v>193</v>
      </c>
      <c r="C547" s="115" t="s">
        <v>170</v>
      </c>
      <c r="D547" s="116" t="s">
        <v>193</v>
      </c>
      <c r="E547" s="115" t="s">
        <v>170</v>
      </c>
      <c r="F547" s="116" t="s">
        <v>193</v>
      </c>
      <c r="G547" s="115" t="s">
        <v>170</v>
      </c>
      <c r="H547" s="116" t="s">
        <v>193</v>
      </c>
      <c r="I547" s="115" t="s">
        <v>170</v>
      </c>
      <c r="J547" s="116" t="s">
        <v>193</v>
      </c>
      <c r="K547" s="115" t="s">
        <v>170</v>
      </c>
      <c r="L547" s="116" t="s">
        <v>193</v>
      </c>
      <c r="M547" s="115" t="s">
        <v>170</v>
      </c>
      <c r="N547" s="116" t="s">
        <v>193</v>
      </c>
      <c r="O547" s="115" t="s">
        <v>170</v>
      </c>
    </row>
    <row r="548" spans="1:19" s="127" customFormat="1" ht="18" customHeight="1" x14ac:dyDescent="0.25">
      <c r="A548" s="124" t="s">
        <v>194</v>
      </c>
      <c r="B548" s="151">
        <f>'Averages Pivot Table'!AG$471</f>
        <v>0</v>
      </c>
      <c r="C548" s="151"/>
      <c r="D548" s="151">
        <f>'Averages Pivot Table'!AG$475</f>
        <v>0</v>
      </c>
      <c r="E548" s="151"/>
      <c r="F548" s="151">
        <f>'Averages Pivot Table'!AG$479</f>
        <v>0</v>
      </c>
      <c r="G548" s="151"/>
      <c r="H548" s="151">
        <f>'Averages Pivot Table'!AG$483</f>
        <v>0</v>
      </c>
      <c r="I548" s="151"/>
      <c r="J548" s="151">
        <f>'Averages Pivot Table'!AG$487</f>
        <v>0</v>
      </c>
      <c r="K548" s="151"/>
      <c r="L548" s="151">
        <f>'Averages Pivot Table'!AG$491</f>
        <v>42681.169229786276</v>
      </c>
      <c r="M548" s="187"/>
      <c r="N548" s="151">
        <f>'Averages Pivot Table'!AG$495</f>
        <v>42681.169229786276</v>
      </c>
      <c r="O548" s="188"/>
      <c r="Q548" s="129"/>
      <c r="R548" s="129"/>
      <c r="S548" s="129"/>
    </row>
    <row r="549" spans="1:19" ht="12.95" customHeight="1" x14ac:dyDescent="0.25">
      <c r="A549" s="136"/>
      <c r="B549" s="131"/>
      <c r="C549" s="155"/>
      <c r="D549" s="131"/>
      <c r="E549" s="155"/>
      <c r="F549" s="131"/>
      <c r="G549" s="155"/>
      <c r="H549" s="131"/>
      <c r="I549" s="155"/>
      <c r="J549" s="131"/>
      <c r="K549" s="155"/>
      <c r="L549" s="131"/>
      <c r="M549" s="155"/>
      <c r="N549" s="131"/>
      <c r="O549" s="132"/>
    </row>
    <row r="550" spans="1:19" ht="12.95" customHeight="1" x14ac:dyDescent="0.25">
      <c r="A550" s="136" t="s">
        <v>195</v>
      </c>
      <c r="B550" s="167">
        <f>'Averages Pivot Table'!AG$8</f>
        <v>0</v>
      </c>
      <c r="C550" s="138">
        <f>IF(B550&gt;0,RANK(B550,(B$550:B$568)),0)</f>
        <v>0</v>
      </c>
      <c r="D550" s="167">
        <f>'Averages Pivot Table'!AG$12</f>
        <v>0</v>
      </c>
      <c r="E550" s="138">
        <f>IF(D550&gt;0,RANK(D550,(D$550:D$568)),0)</f>
        <v>0</v>
      </c>
      <c r="F550" s="167">
        <f>'Averages Pivot Table'!AG$16</f>
        <v>0</v>
      </c>
      <c r="G550" s="138">
        <f>IF(F550&gt;0,RANK(F550,(F$550:F$568)),0)</f>
        <v>0</v>
      </c>
      <c r="H550" s="167">
        <f>'Averages Pivot Table'!AG$20</f>
        <v>0</v>
      </c>
      <c r="I550" s="138">
        <f>IF(H550&gt;0,RANK(H550,(H$550:H$568)),0)</f>
        <v>0</v>
      </c>
      <c r="J550" s="167">
        <f>'Averages Pivot Table'!AG$24</f>
        <v>0</v>
      </c>
      <c r="K550" s="138">
        <f>IF(J550&gt;0,RANK(J550,(J$550:J$568)),0)</f>
        <v>0</v>
      </c>
      <c r="L550" s="167">
        <f>'Averages Pivot Table'!AG$28</f>
        <v>49066.595690970404</v>
      </c>
      <c r="M550" s="138">
        <f>IF(L550&gt;0,RANK(L550,(L$550:L$568)),0)</f>
        <v>1</v>
      </c>
      <c r="N550" s="167">
        <f>'Averages Pivot Table'!AG$32</f>
        <v>49066.595690970404</v>
      </c>
      <c r="O550" s="138">
        <f>IF(N550&gt;0,RANK(N550,(N$550:N$568)),0)</f>
        <v>1</v>
      </c>
    </row>
    <row r="551" spans="1:19" ht="12.95" customHeight="1" x14ac:dyDescent="0.25">
      <c r="A551" s="136" t="s">
        <v>196</v>
      </c>
      <c r="B551" s="167">
        <f>'Averages Pivot Table'!AG$37</f>
        <v>0</v>
      </c>
      <c r="C551" s="138">
        <f t="shared" ref="C551:E568" si="1097">IF(B551&gt;0,RANK(B551,(B$550:B$568)),0)</f>
        <v>0</v>
      </c>
      <c r="D551" s="167">
        <f>'Averages Pivot Table'!AG$41</f>
        <v>0</v>
      </c>
      <c r="E551" s="138">
        <f t="shared" si="1097"/>
        <v>0</v>
      </c>
      <c r="F551" s="167">
        <f>'Averages Pivot Table'!AG$45</f>
        <v>0</v>
      </c>
      <c r="G551" s="138">
        <f t="shared" ref="G551" si="1098">IF(F551&gt;0,RANK(F551,(F$550:F$568)),0)</f>
        <v>0</v>
      </c>
      <c r="H551" s="167">
        <f>'Averages Pivot Table'!AG$49</f>
        <v>0</v>
      </c>
      <c r="I551" s="138">
        <f t="shared" ref="I551" si="1099">IF(H551&gt;0,RANK(H551,(H$550:H$568)),0)</f>
        <v>0</v>
      </c>
      <c r="J551" s="167">
        <f>'Averages Pivot Table'!AG$53</f>
        <v>0</v>
      </c>
      <c r="K551" s="138">
        <f t="shared" ref="K551" si="1100">IF(J551&gt;0,RANK(J551,(J$550:J$568)),0)</f>
        <v>0</v>
      </c>
      <c r="L551" s="167">
        <f>'Averages Pivot Table'!AG$57</f>
        <v>0</v>
      </c>
      <c r="M551" s="138">
        <f t="shared" ref="M551" si="1101">IF(L551&gt;0,RANK(L551,(L$550:L$568)),0)</f>
        <v>0</v>
      </c>
      <c r="N551" s="167">
        <f>'Averages Pivot Table'!AG$61</f>
        <v>0</v>
      </c>
      <c r="O551" s="138">
        <f t="shared" ref="O551" si="1102">IF(N551&gt;0,RANK(N551,(N$550:N$568)),0)</f>
        <v>0</v>
      </c>
    </row>
    <row r="552" spans="1:19" ht="12.95" customHeight="1" x14ac:dyDescent="0.25">
      <c r="A552" s="136" t="s">
        <v>197</v>
      </c>
      <c r="B552" s="167">
        <f>'Averages Pivot Table'!AG$66</f>
        <v>0</v>
      </c>
      <c r="C552" s="138">
        <f t="shared" si="1097"/>
        <v>0</v>
      </c>
      <c r="D552" s="167">
        <f>'Averages Pivot Table'!AG$70</f>
        <v>0</v>
      </c>
      <c r="E552" s="138">
        <f t="shared" si="1097"/>
        <v>0</v>
      </c>
      <c r="F552" s="167">
        <f>'Averages Pivot Table'!AG$74</f>
        <v>0</v>
      </c>
      <c r="G552" s="138">
        <f t="shared" ref="G552" si="1103">IF(F552&gt;0,RANK(F552,(F$550:F$568)),0)</f>
        <v>0</v>
      </c>
      <c r="H552" s="167">
        <f>'Averages Pivot Table'!AG$78</f>
        <v>0</v>
      </c>
      <c r="I552" s="138">
        <f t="shared" ref="I552" si="1104">IF(H552&gt;0,RANK(H552,(H$550:H$568)),0)</f>
        <v>0</v>
      </c>
      <c r="J552" s="167">
        <f>'Averages Pivot Table'!AG$82</f>
        <v>0</v>
      </c>
      <c r="K552" s="138">
        <f t="shared" ref="K552" si="1105">IF(J552&gt;0,RANK(J552,(J$550:J$568)),0)</f>
        <v>0</v>
      </c>
      <c r="L552" s="167">
        <f>'Averages Pivot Table'!AG$86</f>
        <v>0</v>
      </c>
      <c r="M552" s="138">
        <f t="shared" ref="M552" si="1106">IF(L552&gt;0,RANK(L552,(L$550:L$568)),0)</f>
        <v>0</v>
      </c>
      <c r="N552" s="167">
        <f>'Averages Pivot Table'!AG$90</f>
        <v>0</v>
      </c>
      <c r="O552" s="138">
        <f t="shared" ref="O552" si="1107">IF(N552&gt;0,RANK(N552,(N$550:N$568)),0)</f>
        <v>0</v>
      </c>
    </row>
    <row r="553" spans="1:19" ht="12.95" customHeight="1" x14ac:dyDescent="0.25">
      <c r="A553" s="136" t="s">
        <v>198</v>
      </c>
      <c r="B553" s="167">
        <f>'Averages Pivot Table'!AG$95</f>
        <v>0</v>
      </c>
      <c r="C553" s="138">
        <f t="shared" si="1097"/>
        <v>0</v>
      </c>
      <c r="D553" s="167">
        <f>'Averages Pivot Table'!AG$99</f>
        <v>0</v>
      </c>
      <c r="E553" s="138">
        <f t="shared" si="1097"/>
        <v>0</v>
      </c>
      <c r="F553" s="167">
        <f>'Averages Pivot Table'!AG$103</f>
        <v>0</v>
      </c>
      <c r="G553" s="138">
        <f t="shared" ref="G553" si="1108">IF(F553&gt;0,RANK(F553,(F$550:F$568)),0)</f>
        <v>0</v>
      </c>
      <c r="H553" s="167">
        <f>'Averages Pivot Table'!AG$107</f>
        <v>0</v>
      </c>
      <c r="I553" s="138">
        <f t="shared" ref="I553" si="1109">IF(H553&gt;0,RANK(H553,(H$550:H$568)),0)</f>
        <v>0</v>
      </c>
      <c r="J553" s="167">
        <f>'Averages Pivot Table'!AG$111</f>
        <v>0</v>
      </c>
      <c r="K553" s="138">
        <f t="shared" ref="K553" si="1110">IF(J553&gt;0,RANK(J553,(J$550:J$568)),0)</f>
        <v>0</v>
      </c>
      <c r="L553" s="167">
        <f>'Averages Pivot Table'!AG$115</f>
        <v>0</v>
      </c>
      <c r="M553" s="138">
        <f t="shared" ref="M553" si="1111">IF(L553&gt;0,RANK(L553,(L$550:L$568)),0)</f>
        <v>0</v>
      </c>
      <c r="N553" s="167">
        <f>'Averages Pivot Table'!AG$119</f>
        <v>0</v>
      </c>
      <c r="O553" s="138">
        <f t="shared" ref="O553" si="1112">IF(N553&gt;0,RANK(N553,(N$550:N$568)),0)</f>
        <v>0</v>
      </c>
    </row>
    <row r="554" spans="1:19" ht="12.95" customHeight="1" x14ac:dyDescent="0.25">
      <c r="A554" s="136"/>
      <c r="B554" s="167"/>
      <c r="C554" s="138"/>
      <c r="D554" s="167"/>
      <c r="E554" s="138"/>
      <c r="F554" s="167"/>
      <c r="G554" s="138"/>
      <c r="H554" s="167"/>
      <c r="I554" s="138"/>
      <c r="J554" s="167"/>
      <c r="K554" s="138"/>
      <c r="L554" s="167"/>
      <c r="M554" s="138"/>
      <c r="N554" s="167"/>
      <c r="O554" s="138"/>
    </row>
    <row r="555" spans="1:19" ht="12.95" customHeight="1" x14ac:dyDescent="0.25">
      <c r="A555" s="136" t="s">
        <v>199</v>
      </c>
      <c r="B555" s="167">
        <f>'Averages Pivot Table'!AG$124</f>
        <v>0</v>
      </c>
      <c r="C555" s="138">
        <f t="shared" si="1097"/>
        <v>0</v>
      </c>
      <c r="D555" s="167">
        <f>'Averages Pivot Table'!AG$128</f>
        <v>0</v>
      </c>
      <c r="E555" s="138">
        <f t="shared" si="1097"/>
        <v>0</v>
      </c>
      <c r="F555" s="167">
        <f>'Averages Pivot Table'!AG$132</f>
        <v>0</v>
      </c>
      <c r="G555" s="138">
        <f t="shared" ref="G555" si="1113">IF(F555&gt;0,RANK(F555,(F$550:F$568)),0)</f>
        <v>0</v>
      </c>
      <c r="H555" s="167">
        <f>'Averages Pivot Table'!AG$136</f>
        <v>0</v>
      </c>
      <c r="I555" s="138">
        <f t="shared" ref="I555" si="1114">IF(H555&gt;0,RANK(H555,(H$550:H$568)),0)</f>
        <v>0</v>
      </c>
      <c r="J555" s="167">
        <f>'Averages Pivot Table'!AG$140</f>
        <v>0</v>
      </c>
      <c r="K555" s="138">
        <f t="shared" ref="K555" si="1115">IF(J555&gt;0,RANK(J555,(J$550:J$568)),0)</f>
        <v>0</v>
      </c>
      <c r="L555" s="167">
        <f>'Averages Pivot Table'!AG$144</f>
        <v>0</v>
      </c>
      <c r="M555" s="138">
        <f t="shared" ref="M555" si="1116">IF(L555&gt;0,RANK(L555,(L$550:L$568)),0)</f>
        <v>0</v>
      </c>
      <c r="N555" s="167">
        <f>'Averages Pivot Table'!AG$148</f>
        <v>0</v>
      </c>
      <c r="O555" s="138">
        <f t="shared" ref="O555" si="1117">IF(N555&gt;0,RANK(N555,(N$550:N$568)),0)</f>
        <v>0</v>
      </c>
    </row>
    <row r="556" spans="1:19" ht="12.95" customHeight="1" x14ac:dyDescent="0.25">
      <c r="A556" s="136" t="s">
        <v>200</v>
      </c>
      <c r="B556" s="167">
        <f>'Averages Pivot Table'!AG$153</f>
        <v>0</v>
      </c>
      <c r="C556" s="138">
        <f t="shared" si="1097"/>
        <v>0</v>
      </c>
      <c r="D556" s="167">
        <f>'Averages Pivot Table'!AG$157</f>
        <v>0</v>
      </c>
      <c r="E556" s="138">
        <f t="shared" si="1097"/>
        <v>0</v>
      </c>
      <c r="F556" s="167">
        <f>'Averages Pivot Table'!AG$161</f>
        <v>0</v>
      </c>
      <c r="G556" s="138">
        <f t="shared" ref="G556" si="1118">IF(F556&gt;0,RANK(F556,(F$550:F$568)),0)</f>
        <v>0</v>
      </c>
      <c r="H556" s="167">
        <f>'Averages Pivot Table'!AG$165</f>
        <v>0</v>
      </c>
      <c r="I556" s="138">
        <f t="shared" ref="I556" si="1119">IF(H556&gt;0,RANK(H556,(H$550:H$568)),0)</f>
        <v>0</v>
      </c>
      <c r="J556" s="167">
        <f>'Averages Pivot Table'!AG$169</f>
        <v>0</v>
      </c>
      <c r="K556" s="138">
        <f t="shared" ref="K556" si="1120">IF(J556&gt;0,RANK(J556,(J$550:J$568)),0)</f>
        <v>0</v>
      </c>
      <c r="L556" s="167">
        <f>'Averages Pivot Table'!AG$173</f>
        <v>0</v>
      </c>
      <c r="M556" s="138">
        <f t="shared" ref="M556" si="1121">IF(L556&gt;0,RANK(L556,(L$550:L$568)),0)</f>
        <v>0</v>
      </c>
      <c r="N556" s="167">
        <f>'Averages Pivot Table'!AG$177</f>
        <v>0</v>
      </c>
      <c r="O556" s="138">
        <f t="shared" ref="O556" si="1122">IF(N556&gt;0,RANK(N556,(N$550:N$568)),0)</f>
        <v>0</v>
      </c>
    </row>
    <row r="557" spans="1:19" ht="12.95" customHeight="1" x14ac:dyDescent="0.25">
      <c r="A557" s="136" t="s">
        <v>201</v>
      </c>
      <c r="B557" s="167">
        <f>'Averages Pivot Table'!AG$182</f>
        <v>0</v>
      </c>
      <c r="C557" s="138">
        <f t="shared" si="1097"/>
        <v>0</v>
      </c>
      <c r="D557" s="167">
        <f>'Averages Pivot Table'!AG$186</f>
        <v>0</v>
      </c>
      <c r="E557" s="138">
        <f t="shared" si="1097"/>
        <v>0</v>
      </c>
      <c r="F557" s="167">
        <f>'Averages Pivot Table'!AG$190</f>
        <v>0</v>
      </c>
      <c r="G557" s="138">
        <f t="shared" ref="G557" si="1123">IF(F557&gt;0,RANK(F557,(F$550:F$568)),0)</f>
        <v>0</v>
      </c>
      <c r="H557" s="167">
        <f>'Averages Pivot Table'!AG$194</f>
        <v>0</v>
      </c>
      <c r="I557" s="138">
        <f t="shared" ref="I557" si="1124">IF(H557&gt;0,RANK(H557,(H$550:H$568)),0)</f>
        <v>0</v>
      </c>
      <c r="J557" s="167">
        <f>'Averages Pivot Table'!AG$198</f>
        <v>0</v>
      </c>
      <c r="K557" s="138">
        <f t="shared" ref="K557" si="1125">IF(J557&gt;0,RANK(J557,(J$550:J$568)),0)</f>
        <v>0</v>
      </c>
      <c r="L557" s="167">
        <f>'Averages Pivot Table'!AG$202</f>
        <v>0</v>
      </c>
      <c r="M557" s="138">
        <f t="shared" ref="M557" si="1126">IF(L557&gt;0,RANK(L557,(L$550:L$568)),0)</f>
        <v>0</v>
      </c>
      <c r="N557" s="167">
        <f>'Averages Pivot Table'!AG$206</f>
        <v>0</v>
      </c>
      <c r="O557" s="138">
        <f t="shared" ref="O557" si="1127">IF(N557&gt;0,RANK(N557,(N$550:N$568)),0)</f>
        <v>0</v>
      </c>
    </row>
    <row r="558" spans="1:19" ht="12.95" customHeight="1" x14ac:dyDescent="0.25">
      <c r="A558" s="136" t="s">
        <v>202</v>
      </c>
      <c r="B558" s="167">
        <f>'Averages Pivot Table'!AG$211</f>
        <v>0</v>
      </c>
      <c r="C558" s="138">
        <f t="shared" si="1097"/>
        <v>0</v>
      </c>
      <c r="D558" s="167">
        <f>'Averages Pivot Table'!AG$215</f>
        <v>0</v>
      </c>
      <c r="E558" s="138">
        <f t="shared" si="1097"/>
        <v>0</v>
      </c>
      <c r="F558" s="167">
        <f>'Averages Pivot Table'!AG$219</f>
        <v>0</v>
      </c>
      <c r="G558" s="138">
        <f t="shared" ref="G558" si="1128">IF(F558&gt;0,RANK(F558,(F$550:F$568)),0)</f>
        <v>0</v>
      </c>
      <c r="H558" s="167">
        <f>'Averages Pivot Table'!AG$223</f>
        <v>0</v>
      </c>
      <c r="I558" s="138">
        <f t="shared" ref="I558" si="1129">IF(H558&gt;0,RANK(H558,(H$550:H$568)),0)</f>
        <v>0</v>
      </c>
      <c r="J558" s="167">
        <f>'Averages Pivot Table'!AG$227</f>
        <v>0</v>
      </c>
      <c r="K558" s="138">
        <f t="shared" ref="K558" si="1130">IF(J558&gt;0,RANK(J558,(J$550:J$568)),0)</f>
        <v>0</v>
      </c>
      <c r="L558" s="167">
        <f>'Averages Pivot Table'!AG$231</f>
        <v>0</v>
      </c>
      <c r="M558" s="138">
        <f t="shared" ref="M558" si="1131">IF(L558&gt;0,RANK(L558,(L$550:L$568)),0)</f>
        <v>0</v>
      </c>
      <c r="N558" s="167">
        <f>'Averages Pivot Table'!AG$235</f>
        <v>0</v>
      </c>
      <c r="O558" s="138">
        <f t="shared" ref="O558" si="1132">IF(N558&gt;0,RANK(N558,(N$550:N$568)),0)</f>
        <v>0</v>
      </c>
    </row>
    <row r="559" spans="1:19" ht="12.95" customHeight="1" x14ac:dyDescent="0.25">
      <c r="A559" s="136"/>
      <c r="B559" s="167"/>
      <c r="C559" s="138"/>
      <c r="D559" s="167"/>
      <c r="E559" s="138"/>
      <c r="F559" s="167"/>
      <c r="G559" s="138"/>
      <c r="H559" s="167"/>
      <c r="I559" s="138"/>
      <c r="J559" s="167"/>
      <c r="K559" s="138"/>
      <c r="L559" s="167"/>
      <c r="M559" s="138"/>
      <c r="N559" s="167"/>
      <c r="O559" s="138"/>
    </row>
    <row r="560" spans="1:19" ht="12.95" customHeight="1" x14ac:dyDescent="0.25">
      <c r="A560" s="136" t="s">
        <v>203</v>
      </c>
      <c r="B560" s="167">
        <f>'Averages Pivot Table'!AG$240</f>
        <v>0</v>
      </c>
      <c r="C560" s="138">
        <f t="shared" si="1097"/>
        <v>0</v>
      </c>
      <c r="D560" s="167">
        <f>'Averages Pivot Table'!AG$244</f>
        <v>0</v>
      </c>
      <c r="E560" s="138">
        <f t="shared" si="1097"/>
        <v>0</v>
      </c>
      <c r="F560" s="167">
        <f>'Averages Pivot Table'!AG$248</f>
        <v>0</v>
      </c>
      <c r="G560" s="138">
        <f t="shared" ref="G560" si="1133">IF(F560&gt;0,RANK(F560,(F$550:F$568)),0)</f>
        <v>0</v>
      </c>
      <c r="H560" s="167">
        <f>'Averages Pivot Table'!AG$252</f>
        <v>0</v>
      </c>
      <c r="I560" s="138">
        <f t="shared" ref="I560" si="1134">IF(H560&gt;0,RANK(H560,(H$550:H$568)),0)</f>
        <v>0</v>
      </c>
      <c r="J560" s="167">
        <f>'Averages Pivot Table'!AG$256</f>
        <v>0</v>
      </c>
      <c r="K560" s="138">
        <f t="shared" ref="K560" si="1135">IF(J560&gt;0,RANK(J560,(J$550:J$568)),0)</f>
        <v>0</v>
      </c>
      <c r="L560" s="167">
        <f>'Averages Pivot Table'!AG$260</f>
        <v>0</v>
      </c>
      <c r="M560" s="138">
        <f t="shared" ref="M560" si="1136">IF(L560&gt;0,RANK(L560,(L$550:L$568)),0)</f>
        <v>0</v>
      </c>
      <c r="N560" s="167">
        <f>'Averages Pivot Table'!AG$264</f>
        <v>0</v>
      </c>
      <c r="O560" s="138">
        <f t="shared" ref="O560" si="1137">IF(N560&gt;0,RANK(N560,(N$550:N$568)),0)</f>
        <v>0</v>
      </c>
    </row>
    <row r="561" spans="1:19" x14ac:dyDescent="0.25">
      <c r="A561" s="136" t="s">
        <v>204</v>
      </c>
      <c r="B561" s="167">
        <f>'Averages Pivot Table'!AG$269</f>
        <v>0</v>
      </c>
      <c r="C561" s="138">
        <f t="shared" si="1097"/>
        <v>0</v>
      </c>
      <c r="D561" s="167">
        <f>'Averages Pivot Table'!AG$273</f>
        <v>0</v>
      </c>
      <c r="E561" s="138">
        <f t="shared" si="1097"/>
        <v>0</v>
      </c>
      <c r="F561" s="167">
        <f>'Averages Pivot Table'!AG$277</f>
        <v>0</v>
      </c>
      <c r="G561" s="138">
        <f t="shared" ref="G561" si="1138">IF(F561&gt;0,RANK(F561,(F$550:F$568)),0)</f>
        <v>0</v>
      </c>
      <c r="H561" s="167">
        <f>'Averages Pivot Table'!AG$281</f>
        <v>0</v>
      </c>
      <c r="I561" s="138">
        <f t="shared" ref="I561" si="1139">IF(H561&gt;0,RANK(H561,(H$550:H$568)),0)</f>
        <v>0</v>
      </c>
      <c r="J561" s="167">
        <f>'Averages Pivot Table'!AG$285</f>
        <v>0</v>
      </c>
      <c r="K561" s="138">
        <f t="shared" ref="K561" si="1140">IF(J561&gt;0,RANK(J561,(J$550:J$568)),0)</f>
        <v>0</v>
      </c>
      <c r="L561" s="167">
        <f>'Averages Pivot Table'!AG$289</f>
        <v>0</v>
      </c>
      <c r="M561" s="138">
        <f t="shared" ref="M561" si="1141">IF(L561&gt;0,RANK(L561,(L$550:L$568)),0)</f>
        <v>0</v>
      </c>
      <c r="N561" s="167">
        <f>'Averages Pivot Table'!AG$293</f>
        <v>0</v>
      </c>
      <c r="O561" s="138">
        <f t="shared" ref="O561" si="1142">IF(N561&gt;0,RANK(N561,(N$550:N$568)),0)</f>
        <v>0</v>
      </c>
      <c r="Q561" s="109"/>
      <c r="R561" s="109"/>
      <c r="S561" s="109"/>
    </row>
    <row r="562" spans="1:19" x14ac:dyDescent="0.25">
      <c r="A562" s="136" t="s">
        <v>205</v>
      </c>
      <c r="B562" s="167">
        <f>'Averages Pivot Table'!AG$298</f>
        <v>0</v>
      </c>
      <c r="C562" s="138">
        <f t="shared" si="1097"/>
        <v>0</v>
      </c>
      <c r="D562" s="167">
        <f>'Averages Pivot Table'!AG$302</f>
        <v>0</v>
      </c>
      <c r="E562" s="138">
        <f t="shared" si="1097"/>
        <v>0</v>
      </c>
      <c r="F562" s="167">
        <f>'Averages Pivot Table'!AG$306</f>
        <v>0</v>
      </c>
      <c r="G562" s="138">
        <f t="shared" ref="G562" si="1143">IF(F562&gt;0,RANK(F562,(F$550:F$568)),0)</f>
        <v>0</v>
      </c>
      <c r="H562" s="167">
        <f>'Averages Pivot Table'!AG$310</f>
        <v>0</v>
      </c>
      <c r="I562" s="138">
        <f t="shared" ref="I562" si="1144">IF(H562&gt;0,RANK(H562,(H$550:H$568)),0)</f>
        <v>0</v>
      </c>
      <c r="J562" s="167">
        <f>'Averages Pivot Table'!AG$314</f>
        <v>0</v>
      </c>
      <c r="K562" s="138">
        <f t="shared" ref="K562" si="1145">IF(J562&gt;0,RANK(J562,(J$550:J$568)),0)</f>
        <v>0</v>
      </c>
      <c r="L562" s="167">
        <f>'Averages Pivot Table'!AG$318</f>
        <v>45134.363017665106</v>
      </c>
      <c r="M562" s="138">
        <f t="shared" ref="M562" si="1146">IF(L562&gt;0,RANK(L562,(L$550:L$568)),0)</f>
        <v>2</v>
      </c>
      <c r="N562" s="167">
        <f>'Averages Pivot Table'!AG$322</f>
        <v>45134.363017665106</v>
      </c>
      <c r="O562" s="138">
        <f t="shared" ref="O562" si="1147">IF(N562&gt;0,RANK(N562,(N$550:N$568)),0)</f>
        <v>2</v>
      </c>
      <c r="Q562" s="109"/>
      <c r="R562" s="109"/>
      <c r="S562" s="109"/>
    </row>
    <row r="563" spans="1:19" x14ac:dyDescent="0.25">
      <c r="A563" s="136" t="s">
        <v>206</v>
      </c>
      <c r="B563" s="167">
        <f>'Averages Pivot Table'!AG$327</f>
        <v>0</v>
      </c>
      <c r="C563" s="138">
        <f t="shared" si="1097"/>
        <v>0</v>
      </c>
      <c r="D563" s="167">
        <f>'Averages Pivot Table'!AG$331</f>
        <v>0</v>
      </c>
      <c r="E563" s="138">
        <f t="shared" si="1097"/>
        <v>0</v>
      </c>
      <c r="F563" s="167">
        <f>'Averages Pivot Table'!AG$335</f>
        <v>0</v>
      </c>
      <c r="G563" s="138">
        <f t="shared" ref="G563" si="1148">IF(F563&gt;0,RANK(F563,(F$550:F$568)),0)</f>
        <v>0</v>
      </c>
      <c r="H563" s="167">
        <f>'Averages Pivot Table'!AG$339</f>
        <v>0</v>
      </c>
      <c r="I563" s="138">
        <f t="shared" ref="I563" si="1149">IF(H563&gt;0,RANK(H563,(H$550:H$568)),0)</f>
        <v>0</v>
      </c>
      <c r="J563" s="167">
        <f>'Averages Pivot Table'!AG$343</f>
        <v>0</v>
      </c>
      <c r="K563" s="138">
        <f t="shared" ref="K563" si="1150">IF(J563&gt;0,RANK(J563,(J$550:J$568)),0)</f>
        <v>0</v>
      </c>
      <c r="L563" s="167">
        <f>'Averages Pivot Table'!AG$347</f>
        <v>0</v>
      </c>
      <c r="M563" s="138">
        <f t="shared" ref="M563" si="1151">IF(L563&gt;0,RANK(L563,(L$550:L$568)),0)</f>
        <v>0</v>
      </c>
      <c r="N563" s="167">
        <f>'Averages Pivot Table'!AG$351</f>
        <v>0</v>
      </c>
      <c r="O563" s="138">
        <f t="shared" ref="O563" si="1152">IF(N563&gt;0,RANK(N563,(N$550:N$568)),0)</f>
        <v>0</v>
      </c>
      <c r="Q563" s="109"/>
      <c r="R563" s="109"/>
      <c r="S563" s="109"/>
    </row>
    <row r="564" spans="1:19" x14ac:dyDescent="0.25">
      <c r="A564" s="136"/>
      <c r="B564" s="167"/>
      <c r="C564" s="138"/>
      <c r="D564" s="167"/>
      <c r="E564" s="138"/>
      <c r="F564" s="167"/>
      <c r="G564" s="138"/>
      <c r="H564" s="167"/>
      <c r="I564" s="138"/>
      <c r="J564" s="167"/>
      <c r="K564" s="138"/>
      <c r="L564" s="167"/>
      <c r="M564" s="138"/>
      <c r="N564" s="167"/>
      <c r="O564" s="138"/>
      <c r="Q564" s="109"/>
      <c r="R564" s="109"/>
      <c r="S564" s="109"/>
    </row>
    <row r="565" spans="1:19" x14ac:dyDescent="0.25">
      <c r="A565" s="136" t="s">
        <v>207</v>
      </c>
      <c r="B565" s="137">
        <f>'Averages Pivot Table'!AG$356</f>
        <v>0</v>
      </c>
      <c r="C565" s="138">
        <f t="shared" si="1097"/>
        <v>0</v>
      </c>
      <c r="D565" s="137">
        <f>'Averages Pivot Table'!AG$360</f>
        <v>0</v>
      </c>
      <c r="E565" s="138">
        <f t="shared" si="1097"/>
        <v>0</v>
      </c>
      <c r="F565" s="137">
        <f>'Averages Pivot Table'!AG$364</f>
        <v>0</v>
      </c>
      <c r="G565" s="138">
        <f t="shared" ref="G565" si="1153">IF(F565&gt;0,RANK(F565,(F$550:F$568)),0)</f>
        <v>0</v>
      </c>
      <c r="H565" s="137">
        <f>'Averages Pivot Table'!AG$368</f>
        <v>0</v>
      </c>
      <c r="I565" s="138">
        <f t="shared" ref="I565" si="1154">IF(H565&gt;0,RANK(H565,(H$550:H$568)),0)</f>
        <v>0</v>
      </c>
      <c r="J565" s="137">
        <f>'Averages Pivot Table'!AG$372</f>
        <v>0</v>
      </c>
      <c r="K565" s="138">
        <f t="shared" ref="K565" si="1155">IF(J565&gt;0,RANK(J565,(J$550:J$568)),0)</f>
        <v>0</v>
      </c>
      <c r="L565" s="137">
        <f>'Averages Pivot Table'!AG$376</f>
        <v>36420.107678571425</v>
      </c>
      <c r="M565" s="138">
        <f t="shared" ref="M565" si="1156">IF(L565&gt;0,RANK(L565,(L$550:L$568)),0)</f>
        <v>3</v>
      </c>
      <c r="N565" s="137">
        <f>'Averages Pivot Table'!AG$380</f>
        <v>36420.107678571425</v>
      </c>
      <c r="O565" s="138">
        <f t="shared" ref="O565" si="1157">IF(N565&gt;0,RANK(N565,(N$550:N$568)),0)</f>
        <v>3</v>
      </c>
      <c r="Q565" s="109"/>
      <c r="R565" s="109"/>
      <c r="S565" s="109"/>
    </row>
    <row r="566" spans="1:19" x14ac:dyDescent="0.25">
      <c r="A566" s="136" t="s">
        <v>208</v>
      </c>
      <c r="B566" s="137">
        <f>'Averages Pivot Table'!AG$385</f>
        <v>0</v>
      </c>
      <c r="C566" s="138">
        <f t="shared" si="1097"/>
        <v>0</v>
      </c>
      <c r="D566" s="137">
        <f>'Averages Pivot Table'!AG$389</f>
        <v>0</v>
      </c>
      <c r="E566" s="138">
        <f t="shared" si="1097"/>
        <v>0</v>
      </c>
      <c r="F566" s="137">
        <f>'Averages Pivot Table'!AG$393</f>
        <v>0</v>
      </c>
      <c r="G566" s="138">
        <f t="shared" ref="G566" si="1158">IF(F566&gt;0,RANK(F566,(F$550:F$568)),0)</f>
        <v>0</v>
      </c>
      <c r="H566" s="137">
        <f>'Averages Pivot Table'!AG$397</f>
        <v>0</v>
      </c>
      <c r="I566" s="138">
        <f t="shared" ref="I566" si="1159">IF(H566&gt;0,RANK(H566,(H$550:H$568)),0)</f>
        <v>0</v>
      </c>
      <c r="J566" s="137">
        <f>'Averages Pivot Table'!AG$401</f>
        <v>0</v>
      </c>
      <c r="K566" s="138">
        <f t="shared" ref="K566" si="1160">IF(J566&gt;0,RANK(J566,(J$550:J$568)),0)</f>
        <v>0</v>
      </c>
      <c r="L566" s="137">
        <f>'Averages Pivot Table'!AG$405</f>
        <v>0</v>
      </c>
      <c r="M566" s="138">
        <f t="shared" ref="M566" si="1161">IF(L566&gt;0,RANK(L566,(L$550:L$568)),0)</f>
        <v>0</v>
      </c>
      <c r="N566" s="137">
        <f>'Averages Pivot Table'!AG$409</f>
        <v>0</v>
      </c>
      <c r="O566" s="138">
        <f t="shared" ref="O566" si="1162">IF(N566&gt;0,RANK(N566,(N$550:N$568)),0)</f>
        <v>0</v>
      </c>
      <c r="Q566" s="109"/>
      <c r="R566" s="109"/>
      <c r="S566" s="109"/>
    </row>
    <row r="567" spans="1:19" x14ac:dyDescent="0.25">
      <c r="A567" s="136" t="s">
        <v>209</v>
      </c>
      <c r="B567" s="137">
        <f>'Averages Pivot Table'!AG$414</f>
        <v>0</v>
      </c>
      <c r="C567" s="138">
        <f t="shared" si="1097"/>
        <v>0</v>
      </c>
      <c r="D567" s="137">
        <f>'Averages Pivot Table'!AG$418</f>
        <v>0</v>
      </c>
      <c r="E567" s="138">
        <f t="shared" si="1097"/>
        <v>0</v>
      </c>
      <c r="F567" s="137">
        <f>'Averages Pivot Table'!AG$422</f>
        <v>0</v>
      </c>
      <c r="G567" s="138">
        <f t="shared" ref="G567" si="1163">IF(F567&gt;0,RANK(F567,(F$550:F$568)),0)</f>
        <v>0</v>
      </c>
      <c r="H567" s="137">
        <f>'Averages Pivot Table'!AG$426</f>
        <v>0</v>
      </c>
      <c r="I567" s="138">
        <f t="shared" ref="I567" si="1164">IF(H567&gt;0,RANK(H567,(H$550:H$568)),0)</f>
        <v>0</v>
      </c>
      <c r="J567" s="137">
        <f>'Averages Pivot Table'!AG$430</f>
        <v>0</v>
      </c>
      <c r="K567" s="138">
        <f t="shared" ref="K567" si="1165">IF(J567&gt;0,RANK(J567,(J$550:J$568)),0)</f>
        <v>0</v>
      </c>
      <c r="L567" s="137">
        <f>'Averages Pivot Table'!AG$434</f>
        <v>0</v>
      </c>
      <c r="M567" s="138">
        <f t="shared" ref="M567" si="1166">IF(L567&gt;0,RANK(L567,(L$550:L$568)),0)</f>
        <v>0</v>
      </c>
      <c r="N567" s="137">
        <f>'Averages Pivot Table'!AG$438</f>
        <v>0</v>
      </c>
      <c r="O567" s="138">
        <f t="shared" ref="O567" si="1167">IF(N567&gt;0,RANK(N567,(N$550:N$568)),0)</f>
        <v>0</v>
      </c>
      <c r="Q567" s="109"/>
      <c r="R567" s="109"/>
      <c r="S567" s="109"/>
    </row>
    <row r="568" spans="1:19" x14ac:dyDescent="0.25">
      <c r="A568" s="161" t="s">
        <v>210</v>
      </c>
      <c r="B568" s="140">
        <f>'Averages Pivot Table'!AG$443</f>
        <v>0</v>
      </c>
      <c r="C568" s="141">
        <f t="shared" si="1097"/>
        <v>0</v>
      </c>
      <c r="D568" s="140">
        <f>'Averages Pivot Table'!AG$447</f>
        <v>0</v>
      </c>
      <c r="E568" s="141">
        <f t="shared" si="1097"/>
        <v>0</v>
      </c>
      <c r="F568" s="140">
        <f>'Averages Pivot Table'!AG$451</f>
        <v>0</v>
      </c>
      <c r="G568" s="141">
        <f t="shared" ref="G568" si="1168">IF(F568&gt;0,RANK(F568,(F$550:F$568)),0)</f>
        <v>0</v>
      </c>
      <c r="H568" s="140">
        <f>'Averages Pivot Table'!AG$455</f>
        <v>0</v>
      </c>
      <c r="I568" s="141">
        <f t="shared" ref="I568" si="1169">IF(H568&gt;0,RANK(H568,(H$550:H$568)),0)</f>
        <v>0</v>
      </c>
      <c r="J568" s="140">
        <f>'Averages Pivot Table'!AG$459</f>
        <v>0</v>
      </c>
      <c r="K568" s="141">
        <f t="shared" ref="K568" si="1170">IF(J568&gt;0,RANK(J568,(J$550:J$568)),0)</f>
        <v>0</v>
      </c>
      <c r="L568" s="140">
        <f>'Averages Pivot Table'!AG$463</f>
        <v>0</v>
      </c>
      <c r="M568" s="141">
        <f t="shared" ref="M568" si="1171">IF(L568&gt;0,RANK(L568,(L$550:L$568)),0)</f>
        <v>0</v>
      </c>
      <c r="N568" s="140">
        <f>'Averages Pivot Table'!AG$467</f>
        <v>0</v>
      </c>
      <c r="O568" s="141">
        <f t="shared" ref="O568" si="1172">IF(N568&gt;0,RANK(N568,(N$550:N$568)),0)</f>
        <v>0</v>
      </c>
      <c r="Q568" s="109"/>
      <c r="R568" s="109"/>
      <c r="S568" s="109"/>
    </row>
    <row r="569" spans="1:19" ht="24" customHeight="1" x14ac:dyDescent="0.25">
      <c r="A569" s="711" t="s">
        <v>1127</v>
      </c>
      <c r="B569" s="711"/>
      <c r="C569" s="711"/>
      <c r="D569" s="711"/>
      <c r="E569" s="711"/>
      <c r="F569" s="711"/>
      <c r="G569" s="711"/>
      <c r="H569" s="711"/>
      <c r="I569" s="711"/>
      <c r="J569" s="711"/>
      <c r="K569" s="711"/>
      <c r="L569" s="711"/>
      <c r="M569" s="711"/>
      <c r="N569" s="711"/>
      <c r="O569" s="711"/>
      <c r="Q569" s="109"/>
      <c r="R569" s="109"/>
      <c r="S569" s="109"/>
    </row>
    <row r="570" spans="1:19" x14ac:dyDescent="0.25">
      <c r="O570" s="102" t="s">
        <v>1124</v>
      </c>
      <c r="Q570" s="109"/>
      <c r="R570" s="109"/>
      <c r="S570" s="109"/>
    </row>
    <row r="571" spans="1:19" ht="18" x14ac:dyDescent="0.25">
      <c r="A571" s="710" t="s">
        <v>251</v>
      </c>
      <c r="B571" s="710"/>
      <c r="C571" s="710"/>
      <c r="D571" s="710"/>
      <c r="E571" s="710"/>
      <c r="F571" s="710"/>
      <c r="G571" s="710"/>
      <c r="H571" s="710"/>
      <c r="I571" s="710"/>
      <c r="J571" s="710"/>
      <c r="K571" s="710"/>
      <c r="L571" s="710"/>
      <c r="M571" s="710"/>
      <c r="N571" s="710"/>
      <c r="O571" s="710"/>
      <c r="Q571" s="109"/>
      <c r="R571" s="109"/>
      <c r="S571" s="109"/>
    </row>
    <row r="572" spans="1:19" x14ac:dyDescent="0.25">
      <c r="A572" s="180"/>
      <c r="B572" s="87"/>
      <c r="C572" s="87"/>
      <c r="D572" s="87"/>
      <c r="E572" s="87"/>
      <c r="F572" s="87"/>
      <c r="G572" s="87"/>
      <c r="H572" s="87"/>
      <c r="I572" s="87"/>
      <c r="J572" s="87"/>
      <c r="K572" s="87"/>
      <c r="L572" s="87"/>
      <c r="M572" s="87"/>
      <c r="N572" s="87"/>
      <c r="O572" s="87"/>
      <c r="Q572" s="109"/>
      <c r="R572" s="109"/>
      <c r="S572" s="109"/>
    </row>
    <row r="573" spans="1:19" x14ac:dyDescent="0.25">
      <c r="A573" s="707" t="s">
        <v>218</v>
      </c>
      <c r="B573" s="707"/>
      <c r="C573" s="707"/>
      <c r="D573" s="707"/>
      <c r="E573" s="707"/>
      <c r="F573" s="707"/>
      <c r="G573" s="707"/>
      <c r="H573" s="707"/>
      <c r="I573" s="707"/>
      <c r="J573" s="707"/>
      <c r="K573" s="707"/>
      <c r="L573" s="707"/>
      <c r="M573" s="707"/>
      <c r="N573" s="707"/>
      <c r="O573" s="707"/>
      <c r="Q573" s="109"/>
      <c r="R573" s="109"/>
      <c r="S573" s="109"/>
    </row>
    <row r="574" spans="1:19" x14ac:dyDescent="0.25">
      <c r="A574" s="707" t="s">
        <v>289</v>
      </c>
      <c r="B574" s="707"/>
      <c r="C574" s="707"/>
      <c r="D574" s="707"/>
      <c r="E574" s="707"/>
      <c r="F574" s="707"/>
      <c r="G574" s="707"/>
      <c r="H574" s="707"/>
      <c r="I574" s="707"/>
      <c r="J574" s="707"/>
      <c r="K574" s="707"/>
      <c r="L574" s="707"/>
      <c r="M574" s="707"/>
      <c r="N574" s="707"/>
      <c r="O574" s="707"/>
      <c r="Q574" s="109"/>
      <c r="R574" s="109"/>
      <c r="S574" s="109"/>
    </row>
    <row r="575" spans="1:19" x14ac:dyDescent="0.25">
      <c r="A575" s="136"/>
      <c r="B575" s="87"/>
      <c r="C575" s="87"/>
      <c r="D575" s="87"/>
      <c r="E575" s="87"/>
      <c r="F575" s="87"/>
      <c r="G575" s="87"/>
      <c r="H575" s="87"/>
      <c r="I575" s="87"/>
      <c r="J575" s="87"/>
      <c r="K575" s="87"/>
      <c r="L575" s="87"/>
      <c r="M575" s="87"/>
      <c r="N575" s="87"/>
      <c r="O575" s="87"/>
      <c r="Q575" s="109"/>
      <c r="R575" s="109"/>
      <c r="S575" s="109"/>
    </row>
    <row r="576" spans="1:19" ht="24.75" x14ac:dyDescent="0.25">
      <c r="A576" s="114"/>
      <c r="B576" s="182" t="s">
        <v>3</v>
      </c>
      <c r="C576" s="183"/>
      <c r="D576" s="184" t="s">
        <v>4</v>
      </c>
      <c r="E576" s="185"/>
      <c r="F576" s="184" t="s">
        <v>5</v>
      </c>
      <c r="G576" s="185"/>
      <c r="H576" s="182" t="s">
        <v>6</v>
      </c>
      <c r="I576" s="183"/>
      <c r="J576" s="184" t="s">
        <v>219</v>
      </c>
      <c r="K576" s="185"/>
      <c r="L576" s="183" t="s">
        <v>23</v>
      </c>
      <c r="M576" s="183"/>
      <c r="N576" s="183" t="s">
        <v>220</v>
      </c>
      <c r="O576" s="183"/>
      <c r="Q576" s="109"/>
      <c r="R576" s="109"/>
      <c r="S576" s="109"/>
    </row>
    <row r="577" spans="1:19" x14ac:dyDescent="0.25">
      <c r="A577" s="202"/>
      <c r="B577" s="116" t="s">
        <v>193</v>
      </c>
      <c r="C577" s="115" t="s">
        <v>170</v>
      </c>
      <c r="D577" s="116" t="s">
        <v>193</v>
      </c>
      <c r="E577" s="115" t="s">
        <v>170</v>
      </c>
      <c r="F577" s="116" t="s">
        <v>193</v>
      </c>
      <c r="G577" s="115" t="s">
        <v>170</v>
      </c>
      <c r="H577" s="116" t="s">
        <v>193</v>
      </c>
      <c r="I577" s="115" t="s">
        <v>170</v>
      </c>
      <c r="J577" s="116" t="s">
        <v>193</v>
      </c>
      <c r="K577" s="115" t="s">
        <v>170</v>
      </c>
      <c r="L577" s="116" t="s">
        <v>193</v>
      </c>
      <c r="M577" s="115" t="s">
        <v>170</v>
      </c>
      <c r="N577" s="116" t="s">
        <v>193</v>
      </c>
      <c r="O577" s="115" t="s">
        <v>170</v>
      </c>
    </row>
    <row r="578" spans="1:19" s="127" customFormat="1" ht="18" customHeight="1" x14ac:dyDescent="0.25">
      <c r="A578" s="124" t="s">
        <v>194</v>
      </c>
      <c r="B578" s="151"/>
      <c r="C578" s="151"/>
      <c r="D578" s="151"/>
      <c r="E578" s="151"/>
      <c r="F578" s="151"/>
      <c r="G578" s="151"/>
      <c r="H578" s="151"/>
      <c r="I578" s="151"/>
      <c r="J578" s="151"/>
      <c r="K578" s="151"/>
      <c r="L578" s="151"/>
      <c r="M578" s="151"/>
      <c r="N578" s="151"/>
      <c r="O578" s="188"/>
      <c r="Q578" s="129"/>
      <c r="R578" s="129"/>
      <c r="S578" s="129"/>
    </row>
    <row r="579" spans="1:19" ht="12.95" customHeight="1" x14ac:dyDescent="0.25">
      <c r="A579" s="136"/>
      <c r="B579" s="131"/>
      <c r="C579" s="155"/>
      <c r="D579" s="131"/>
      <c r="E579" s="155"/>
      <c r="F579" s="131"/>
      <c r="G579" s="155"/>
      <c r="H579" s="131"/>
      <c r="I579" s="155"/>
      <c r="J579" s="131"/>
      <c r="K579" s="155"/>
      <c r="L579" s="131"/>
      <c r="M579" s="155"/>
      <c r="N579" s="131"/>
      <c r="O579" s="132"/>
    </row>
    <row r="580" spans="1:19" ht="12.95" customHeight="1" x14ac:dyDescent="0.25">
      <c r="A580" s="136" t="s">
        <v>195</v>
      </c>
      <c r="B580" s="167"/>
      <c r="C580" s="138"/>
      <c r="D580" s="167"/>
      <c r="E580" s="138"/>
      <c r="F580" s="167"/>
      <c r="G580" s="138"/>
      <c r="H580" s="167"/>
      <c r="I580" s="138"/>
      <c r="J580" s="167"/>
      <c r="K580" s="138"/>
      <c r="L580" s="167"/>
      <c r="M580" s="138"/>
      <c r="N580" s="167"/>
      <c r="O580" s="138"/>
    </row>
    <row r="581" spans="1:19" ht="12.95" customHeight="1" x14ac:dyDescent="0.25">
      <c r="A581" s="136" t="s">
        <v>196</v>
      </c>
      <c r="B581" s="167"/>
      <c r="C581" s="138"/>
      <c r="D581" s="167"/>
      <c r="E581" s="138"/>
      <c r="F581" s="167"/>
      <c r="G581" s="138"/>
      <c r="H581" s="167"/>
      <c r="I581" s="138"/>
      <c r="J581" s="167"/>
      <c r="K581" s="138"/>
      <c r="L581" s="167"/>
      <c r="M581" s="138"/>
      <c r="N581" s="167"/>
      <c r="O581" s="138"/>
    </row>
    <row r="582" spans="1:19" ht="12.95" customHeight="1" x14ac:dyDescent="0.25">
      <c r="A582" s="136" t="s">
        <v>197</v>
      </c>
      <c r="B582" s="167"/>
      <c r="C582" s="138"/>
      <c r="D582" s="167"/>
      <c r="E582" s="138"/>
      <c r="F582" s="167"/>
      <c r="G582" s="138"/>
      <c r="H582" s="167"/>
      <c r="I582" s="138"/>
      <c r="J582" s="167"/>
      <c r="K582" s="138"/>
      <c r="L582" s="167"/>
      <c r="M582" s="138"/>
      <c r="N582" s="167"/>
      <c r="O582" s="138"/>
    </row>
    <row r="583" spans="1:19" ht="12.95" customHeight="1" x14ac:dyDescent="0.25">
      <c r="A583" s="136" t="s">
        <v>198</v>
      </c>
      <c r="B583" s="167"/>
      <c r="C583" s="138"/>
      <c r="D583" s="167"/>
      <c r="E583" s="138"/>
      <c r="F583" s="167"/>
      <c r="G583" s="138"/>
      <c r="H583" s="167"/>
      <c r="I583" s="138"/>
      <c r="J583" s="167"/>
      <c r="K583" s="138"/>
      <c r="L583" s="167"/>
      <c r="M583" s="138"/>
      <c r="N583" s="167"/>
      <c r="O583" s="138"/>
    </row>
    <row r="584" spans="1:19" ht="12.95" customHeight="1" x14ac:dyDescent="0.25">
      <c r="A584" s="136"/>
      <c r="B584" s="167"/>
      <c r="C584" s="138"/>
      <c r="D584" s="167"/>
      <c r="E584" s="138"/>
      <c r="F584" s="167"/>
      <c r="G584" s="138"/>
      <c r="H584" s="167"/>
      <c r="I584" s="138"/>
      <c r="J584" s="167"/>
      <c r="K584" s="138"/>
      <c r="L584" s="167"/>
      <c r="M584" s="138"/>
      <c r="N584" s="167"/>
      <c r="O584" s="138"/>
    </row>
    <row r="585" spans="1:19" ht="12.95" customHeight="1" x14ac:dyDescent="0.25">
      <c r="A585" s="136" t="s">
        <v>199</v>
      </c>
      <c r="B585" s="167"/>
      <c r="C585" s="138"/>
      <c r="D585" s="167"/>
      <c r="E585" s="138"/>
      <c r="F585" s="167"/>
      <c r="G585" s="138"/>
      <c r="H585" s="167"/>
      <c r="I585" s="138"/>
      <c r="J585" s="167"/>
      <c r="K585" s="138"/>
      <c r="L585" s="167"/>
      <c r="M585" s="138"/>
      <c r="N585" s="167"/>
      <c r="O585" s="138"/>
    </row>
    <row r="586" spans="1:19" ht="12.95" customHeight="1" x14ac:dyDescent="0.25">
      <c r="A586" s="136" t="s">
        <v>200</v>
      </c>
      <c r="B586" s="167"/>
      <c r="C586" s="138"/>
      <c r="D586" s="167"/>
      <c r="E586" s="138"/>
      <c r="F586" s="167"/>
      <c r="G586" s="138"/>
      <c r="H586" s="167"/>
      <c r="I586" s="138"/>
      <c r="J586" s="167"/>
      <c r="K586" s="138"/>
      <c r="L586" s="167"/>
      <c r="M586" s="138"/>
      <c r="N586" s="167"/>
      <c r="O586" s="138"/>
    </row>
    <row r="587" spans="1:19" ht="12.95" customHeight="1" x14ac:dyDescent="0.25">
      <c r="A587" s="136" t="s">
        <v>201</v>
      </c>
      <c r="B587" s="167"/>
      <c r="C587" s="138"/>
      <c r="D587" s="167"/>
      <c r="E587" s="138"/>
      <c r="F587" s="167"/>
      <c r="G587" s="138"/>
      <c r="H587" s="167"/>
      <c r="I587" s="138"/>
      <c r="J587" s="167"/>
      <c r="K587" s="138"/>
      <c r="L587" s="167"/>
      <c r="M587" s="138"/>
      <c r="N587" s="167"/>
      <c r="O587" s="138"/>
    </row>
    <row r="588" spans="1:19" ht="12.95" customHeight="1" x14ac:dyDescent="0.25">
      <c r="A588" s="136" t="s">
        <v>202</v>
      </c>
      <c r="B588" s="167"/>
      <c r="C588" s="138"/>
      <c r="D588" s="167"/>
      <c r="E588" s="138"/>
      <c r="F588" s="167"/>
      <c r="G588" s="138"/>
      <c r="H588" s="167"/>
      <c r="I588" s="138"/>
      <c r="J588" s="167"/>
      <c r="K588" s="138"/>
      <c r="L588" s="167"/>
      <c r="M588" s="138"/>
      <c r="N588" s="167"/>
      <c r="O588" s="138"/>
    </row>
    <row r="589" spans="1:19" ht="12.95" customHeight="1" x14ac:dyDescent="0.25">
      <c r="A589" s="136"/>
      <c r="B589" s="167"/>
      <c r="C589" s="138"/>
      <c r="D589" s="167"/>
      <c r="E589" s="138"/>
      <c r="F589" s="167"/>
      <c r="G589" s="138"/>
      <c r="H589" s="167"/>
      <c r="I589" s="138"/>
      <c r="J589" s="167"/>
      <c r="K589" s="138"/>
      <c r="L589" s="167"/>
      <c r="M589" s="138"/>
      <c r="N589" s="167"/>
      <c r="O589" s="138"/>
    </row>
    <row r="590" spans="1:19" ht="12.95" customHeight="1" x14ac:dyDescent="0.25">
      <c r="A590" s="136" t="s">
        <v>203</v>
      </c>
      <c r="B590" s="167"/>
      <c r="C590" s="138"/>
      <c r="D590" s="167"/>
      <c r="E590" s="138"/>
      <c r="F590" s="167"/>
      <c r="G590" s="138"/>
      <c r="H590" s="167"/>
      <c r="I590" s="138"/>
      <c r="J590" s="167"/>
      <c r="K590" s="138"/>
      <c r="L590" s="167"/>
      <c r="M590" s="138"/>
      <c r="N590" s="167"/>
      <c r="O590" s="138"/>
    </row>
    <row r="591" spans="1:19" ht="12.95" customHeight="1" x14ac:dyDescent="0.25">
      <c r="A591" s="136" t="s">
        <v>204</v>
      </c>
      <c r="B591" s="167"/>
      <c r="C591" s="138"/>
      <c r="D591" s="167"/>
      <c r="E591" s="138"/>
      <c r="F591" s="167"/>
      <c r="G591" s="138"/>
      <c r="H591" s="167"/>
      <c r="I591" s="138"/>
      <c r="J591" s="167"/>
      <c r="K591" s="138"/>
      <c r="L591" s="167"/>
      <c r="M591" s="138"/>
      <c r="N591" s="167"/>
      <c r="O591" s="138"/>
    </row>
    <row r="592" spans="1:19" ht="12.95" customHeight="1" x14ac:dyDescent="0.25">
      <c r="A592" s="136" t="s">
        <v>205</v>
      </c>
      <c r="B592" s="167"/>
      <c r="C592" s="138"/>
      <c r="D592" s="167"/>
      <c r="E592" s="138"/>
      <c r="F592" s="167"/>
      <c r="G592" s="138"/>
      <c r="H592" s="167"/>
      <c r="I592" s="138"/>
      <c r="J592" s="167"/>
      <c r="K592" s="138"/>
      <c r="L592" s="167"/>
      <c r="M592" s="138"/>
      <c r="N592" s="167"/>
      <c r="O592" s="138"/>
    </row>
    <row r="593" spans="1:19" x14ac:dyDescent="0.25">
      <c r="A593" s="136" t="s">
        <v>206</v>
      </c>
      <c r="B593" s="167"/>
      <c r="C593" s="138"/>
      <c r="D593" s="167"/>
      <c r="E593" s="138"/>
      <c r="F593" s="167"/>
      <c r="G593" s="138"/>
      <c r="H593" s="167"/>
      <c r="I593" s="138"/>
      <c r="J593" s="167"/>
      <c r="K593" s="138"/>
      <c r="L593" s="167"/>
      <c r="M593" s="138"/>
      <c r="N593" s="167"/>
      <c r="O593" s="138"/>
      <c r="Q593" s="109"/>
      <c r="R593" s="109"/>
      <c r="S593" s="109"/>
    </row>
    <row r="594" spans="1:19" x14ac:dyDescent="0.25">
      <c r="A594" s="136"/>
      <c r="B594" s="167"/>
      <c r="C594" s="138"/>
      <c r="D594" s="167"/>
      <c r="E594" s="138"/>
      <c r="F594" s="167"/>
      <c r="G594" s="138"/>
      <c r="H594" s="167"/>
      <c r="I594" s="138"/>
      <c r="J594" s="167"/>
      <c r="K594" s="138"/>
      <c r="L594" s="167"/>
      <c r="M594" s="138"/>
      <c r="N594" s="167"/>
      <c r="O594" s="138"/>
      <c r="Q594" s="109"/>
      <c r="R594" s="109"/>
      <c r="S594" s="109"/>
    </row>
    <row r="595" spans="1:19" x14ac:dyDescent="0.25">
      <c r="A595" s="136" t="s">
        <v>207</v>
      </c>
      <c r="B595" s="137"/>
      <c r="C595" s="138"/>
      <c r="D595" s="137"/>
      <c r="E595" s="138"/>
      <c r="F595" s="137"/>
      <c r="G595" s="138"/>
      <c r="H595" s="137"/>
      <c r="I595" s="138"/>
      <c r="J595" s="137"/>
      <c r="K595" s="138"/>
      <c r="L595" s="137"/>
      <c r="M595" s="138"/>
      <c r="N595" s="167"/>
      <c r="O595" s="138"/>
      <c r="Q595" s="109"/>
      <c r="R595" s="109"/>
      <c r="S595" s="109"/>
    </row>
    <row r="596" spans="1:19" x14ac:dyDescent="0.25">
      <c r="A596" s="136" t="s">
        <v>208</v>
      </c>
      <c r="B596" s="137"/>
      <c r="C596" s="138"/>
      <c r="D596" s="137"/>
      <c r="E596" s="138"/>
      <c r="F596" s="137"/>
      <c r="G596" s="138"/>
      <c r="H596" s="137"/>
      <c r="I596" s="138"/>
      <c r="J596" s="137"/>
      <c r="K596" s="138"/>
      <c r="L596" s="137"/>
      <c r="M596" s="138"/>
      <c r="N596" s="167"/>
      <c r="O596" s="138"/>
      <c r="Q596" s="109"/>
      <c r="R596" s="109"/>
      <c r="S596" s="109"/>
    </row>
    <row r="597" spans="1:19" x14ac:dyDescent="0.25">
      <c r="A597" s="136" t="s">
        <v>209</v>
      </c>
      <c r="B597" s="137"/>
      <c r="C597" s="138"/>
      <c r="D597" s="137"/>
      <c r="E597" s="138"/>
      <c r="F597" s="137"/>
      <c r="G597" s="138"/>
      <c r="H597" s="137"/>
      <c r="I597" s="138"/>
      <c r="J597" s="137"/>
      <c r="K597" s="138"/>
      <c r="L597" s="137"/>
      <c r="M597" s="138"/>
      <c r="N597" s="167"/>
      <c r="O597" s="138"/>
      <c r="Q597" s="109"/>
      <c r="R597" s="109"/>
      <c r="S597" s="109"/>
    </row>
    <row r="598" spans="1:19" x14ac:dyDescent="0.25">
      <c r="A598" s="161" t="s">
        <v>210</v>
      </c>
      <c r="B598" s="140"/>
      <c r="C598" s="141"/>
      <c r="D598" s="140"/>
      <c r="E598" s="141"/>
      <c r="F598" s="140"/>
      <c r="G598" s="141"/>
      <c r="H598" s="140"/>
      <c r="I598" s="141"/>
      <c r="J598" s="140"/>
      <c r="K598" s="141"/>
      <c r="L598" s="140"/>
      <c r="M598" s="141"/>
      <c r="N598" s="140"/>
      <c r="O598" s="141"/>
      <c r="Q598" s="109"/>
      <c r="R598" s="109"/>
      <c r="S598" s="109"/>
    </row>
    <row r="599" spans="1:19" x14ac:dyDescent="0.25">
      <c r="A599" s="714" t="s">
        <v>216</v>
      </c>
      <c r="B599" s="717"/>
      <c r="C599" s="717"/>
      <c r="D599" s="717"/>
      <c r="E599" s="717"/>
      <c r="F599" s="717"/>
      <c r="G599" s="717"/>
      <c r="H599" s="717"/>
      <c r="I599" s="717"/>
      <c r="J599" s="717"/>
      <c r="K599" s="717"/>
      <c r="L599" s="717"/>
      <c r="M599" s="717"/>
      <c r="N599" s="717"/>
      <c r="O599" s="717"/>
      <c r="Q599" s="109"/>
      <c r="R599" s="109"/>
      <c r="S599" s="109"/>
    </row>
    <row r="600" spans="1:19" x14ac:dyDescent="0.25">
      <c r="O600" s="102"/>
      <c r="P600" s="203"/>
      <c r="Q600" s="109"/>
      <c r="R600" s="109"/>
      <c r="S600" s="109"/>
    </row>
  </sheetData>
  <mergeCells count="60">
    <mergeCell ref="A599:O599"/>
    <mergeCell ref="A484:O484"/>
    <mergeCell ref="A509:O509"/>
    <mergeCell ref="A513:O513"/>
    <mergeCell ref="A514:O514"/>
    <mergeCell ref="A539:O539"/>
    <mergeCell ref="A543:O543"/>
    <mergeCell ref="A544:O544"/>
    <mergeCell ref="A569:O569"/>
    <mergeCell ref="A571:O571"/>
    <mergeCell ref="A573:O573"/>
    <mergeCell ref="A574:O574"/>
    <mergeCell ref="A483:O483"/>
    <mergeCell ref="A364:O364"/>
    <mergeCell ref="A389:O389"/>
    <mergeCell ref="A393:O393"/>
    <mergeCell ref="A394:O394"/>
    <mergeCell ref="A419:O419"/>
    <mergeCell ref="A423:O423"/>
    <mergeCell ref="A424:O424"/>
    <mergeCell ref="A449:O449"/>
    <mergeCell ref="A453:O453"/>
    <mergeCell ref="A454:O454"/>
    <mergeCell ref="A479:O479"/>
    <mergeCell ref="A363:O363"/>
    <mergeCell ref="A244:M244"/>
    <mergeCell ref="A269:M269"/>
    <mergeCell ref="A273:M273"/>
    <mergeCell ref="A274:M274"/>
    <mergeCell ref="A299:M299"/>
    <mergeCell ref="A303:O303"/>
    <mergeCell ref="A304:O304"/>
    <mergeCell ref="A329:O329"/>
    <mergeCell ref="A333:O333"/>
    <mergeCell ref="A334:O334"/>
    <mergeCell ref="A359:O359"/>
    <mergeCell ref="A243:M243"/>
    <mergeCell ref="A124:M124"/>
    <mergeCell ref="A119:M119"/>
    <mergeCell ref="A153:M153"/>
    <mergeCell ref="A154:M154"/>
    <mergeCell ref="A179:M179"/>
    <mergeCell ref="A183:M183"/>
    <mergeCell ref="A184:M184"/>
    <mergeCell ref="A209:M209"/>
    <mergeCell ref="A213:M213"/>
    <mergeCell ref="A214:M214"/>
    <mergeCell ref="A239:M239"/>
    <mergeCell ref="A123:M123"/>
    <mergeCell ref="A149:M149"/>
    <mergeCell ref="A29:O29"/>
    <mergeCell ref="A33:M33"/>
    <mergeCell ref="A34:M34"/>
    <mergeCell ref="A59:K59"/>
    <mergeCell ref="A63:I63"/>
    <mergeCell ref="A64:I64"/>
    <mergeCell ref="A91:M91"/>
    <mergeCell ref="A93:M93"/>
    <mergeCell ref="A94:M94"/>
    <mergeCell ref="A89:G89"/>
  </mergeCells>
  <pageMargins left="0.34708223972003499" right="1.02077865266842E-2" top="1" bottom="0.85" header="0.75" footer="0.5"/>
  <pageSetup scale="91" firstPageNumber="173" orientation="landscape" useFirstPageNumber="1" r:id="rId1"/>
  <headerFooter scaleWithDoc="0">
    <oddHeader>&amp;R&amp;"Arial,Regular"&amp;8SREB-State Data Exchange</oddHeader>
    <oddFooter>&amp;C&amp;"Arial,Regular"&amp;8&amp;P</oddFooter>
  </headerFooter>
  <rowBreaks count="18" manualBreakCount="18">
    <brk id="30" max="14" man="1"/>
    <brk id="60" max="16383" man="1"/>
    <brk id="90" max="14" man="1"/>
    <brk id="120" max="16383" man="1"/>
    <brk id="150" max="14" man="1"/>
    <brk id="180" max="16383" man="1"/>
    <brk id="210" max="14" man="1"/>
    <brk id="240" max="16383" man="1"/>
    <brk id="270" max="14" man="1"/>
    <brk id="300" max="16383" man="1"/>
    <brk id="330" max="14" man="1"/>
    <brk id="360" max="16383" man="1"/>
    <brk id="390" max="14" man="1"/>
    <brk id="420" max="16383" man="1"/>
    <brk id="450" max="14" man="1"/>
    <brk id="480" max="16383" man="1"/>
    <brk id="510" max="14" man="1"/>
    <brk id="540" max="16383" man="1"/>
  </rowBreaks>
  <ignoredErrors>
    <ignoredError sqref="D10 D13 D15 D17:D18 D20:D21 D25:D27 F10 F13 F15 F17:F18 F21 F25:F27 H10:H11 H13"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S600"/>
  <sheetViews>
    <sheetView showZeros="0" view="pageBreakPreview" zoomScaleNormal="100" zoomScaleSheetLayoutView="100" workbookViewId="0"/>
  </sheetViews>
  <sheetFormatPr defaultColWidth="9" defaultRowHeight="15.75" x14ac:dyDescent="0.25"/>
  <cols>
    <col min="1" max="1" width="11.625" style="109" customWidth="1"/>
    <col min="2" max="2" width="8" style="109" customWidth="1"/>
    <col min="3" max="3" width="6.25" style="109" customWidth="1"/>
    <col min="4" max="4" width="8.25" style="109" customWidth="1"/>
    <col min="5" max="5" width="7.625" style="109" customWidth="1"/>
    <col min="6" max="6" width="8.5" style="109" customWidth="1"/>
    <col min="7" max="7" width="7.625" style="109" customWidth="1"/>
    <col min="8" max="8" width="8.25" style="109" customWidth="1"/>
    <col min="9" max="9" width="7.625" style="109" customWidth="1"/>
    <col min="10" max="10" width="8.5" style="109" customWidth="1"/>
    <col min="11" max="11" width="7.625" style="109" customWidth="1"/>
    <col min="12" max="12" width="8.5" style="109" customWidth="1"/>
    <col min="13" max="13" width="5.625" style="109" customWidth="1"/>
    <col min="14" max="15" width="7.625" style="109" customWidth="1"/>
    <col min="16" max="16" width="5" style="109" customWidth="1"/>
    <col min="17" max="17" width="9.25" style="110" bestFit="1" customWidth="1"/>
    <col min="18" max="19" width="8.875" style="110" customWidth="1"/>
    <col min="20" max="16384" width="9" style="109"/>
  </cols>
  <sheetData>
    <row r="1" spans="1:19" ht="18" x14ac:dyDescent="0.25">
      <c r="A1" s="82" t="s">
        <v>188</v>
      </c>
      <c r="B1" s="82"/>
      <c r="C1" s="82"/>
      <c r="D1" s="82"/>
      <c r="E1" s="82"/>
      <c r="F1" s="82"/>
      <c r="G1" s="82"/>
      <c r="H1" s="82"/>
      <c r="I1" s="82"/>
      <c r="J1" s="82"/>
      <c r="K1" s="82"/>
      <c r="L1" s="82"/>
      <c r="M1" s="82"/>
      <c r="N1" s="112"/>
      <c r="O1" s="112"/>
    </row>
    <row r="2" spans="1:19" ht="15.75" customHeight="1" x14ac:dyDescent="0.25">
      <c r="A2" s="82"/>
      <c r="B2" s="87"/>
      <c r="C2" s="87"/>
      <c r="D2" s="87"/>
      <c r="E2" s="87"/>
      <c r="F2" s="87"/>
      <c r="G2" s="87"/>
      <c r="H2" s="87"/>
      <c r="I2" s="87"/>
      <c r="J2" s="87"/>
      <c r="K2" s="87"/>
      <c r="L2" s="87" t="s">
        <v>7</v>
      </c>
      <c r="M2" s="87"/>
    </row>
    <row r="3" spans="1:19" x14ac:dyDescent="0.25">
      <c r="A3" s="111" t="s">
        <v>189</v>
      </c>
      <c r="B3" s="87"/>
      <c r="C3" s="87"/>
      <c r="D3" s="87"/>
      <c r="E3" s="87"/>
      <c r="F3" s="87"/>
      <c r="G3" s="87"/>
      <c r="H3" s="87"/>
      <c r="I3" s="87"/>
      <c r="J3" s="87"/>
      <c r="K3" s="87"/>
      <c r="L3" s="87"/>
      <c r="M3" s="87"/>
      <c r="N3" s="112"/>
      <c r="O3" s="112"/>
    </row>
    <row r="4" spans="1:19" x14ac:dyDescent="0.25">
      <c r="A4" s="111" t="s">
        <v>190</v>
      </c>
      <c r="B4" s="87"/>
      <c r="C4" s="87"/>
      <c r="D4" s="87"/>
      <c r="E4" s="87"/>
      <c r="F4" s="87"/>
      <c r="G4" s="87"/>
      <c r="H4" s="87"/>
      <c r="I4" s="87"/>
      <c r="J4" s="87"/>
      <c r="K4" s="87"/>
      <c r="L4" s="87"/>
      <c r="M4" s="87"/>
      <c r="N4" s="112"/>
      <c r="O4" s="112"/>
    </row>
    <row r="5" spans="1:19" ht="15.75" customHeight="1" x14ac:dyDescent="0.25">
      <c r="A5" s="87"/>
      <c r="B5" s="113"/>
      <c r="C5" s="87"/>
      <c r="D5" s="87"/>
      <c r="E5" s="87"/>
      <c r="F5" s="87"/>
      <c r="G5" s="87"/>
      <c r="H5" s="87"/>
      <c r="I5" s="87"/>
      <c r="J5" s="87"/>
      <c r="K5" s="87"/>
      <c r="L5" s="87"/>
      <c r="M5" s="87"/>
    </row>
    <row r="6" spans="1:19" x14ac:dyDescent="0.25">
      <c r="A6" s="114"/>
      <c r="B6" s="115">
        <v>1</v>
      </c>
      <c r="C6" s="116"/>
      <c r="D6" s="115">
        <v>2</v>
      </c>
      <c r="E6" s="116"/>
      <c r="F6" s="115">
        <v>3</v>
      </c>
      <c r="G6" s="116"/>
      <c r="H6" s="115">
        <v>4</v>
      </c>
      <c r="I6" s="116"/>
      <c r="J6" s="115">
        <v>5</v>
      </c>
      <c r="K6" s="116"/>
      <c r="L6" s="115">
        <v>6</v>
      </c>
      <c r="M6" s="116"/>
      <c r="N6" s="117" t="s">
        <v>178</v>
      </c>
      <c r="O6" s="116"/>
      <c r="Q6" s="118"/>
      <c r="S6" s="119"/>
    </row>
    <row r="7" spans="1:19" x14ac:dyDescent="0.25">
      <c r="A7" s="120"/>
      <c r="B7" s="121" t="s">
        <v>193</v>
      </c>
      <c r="C7" s="122" t="s">
        <v>170</v>
      </c>
      <c r="D7" s="121" t="s">
        <v>193</v>
      </c>
      <c r="E7" s="122" t="s">
        <v>170</v>
      </c>
      <c r="F7" s="121" t="s">
        <v>193</v>
      </c>
      <c r="G7" s="122" t="s">
        <v>170</v>
      </c>
      <c r="H7" s="121" t="s">
        <v>193</v>
      </c>
      <c r="I7" s="122" t="s">
        <v>170</v>
      </c>
      <c r="J7" s="121" t="s">
        <v>193</v>
      </c>
      <c r="K7" s="122" t="s">
        <v>170</v>
      </c>
      <c r="L7" s="121" t="s">
        <v>193</v>
      </c>
      <c r="M7" s="122" t="s">
        <v>170</v>
      </c>
      <c r="N7" s="123" t="s">
        <v>193</v>
      </c>
      <c r="O7" s="122" t="s">
        <v>170</v>
      </c>
      <c r="Q7" s="118"/>
    </row>
    <row r="8" spans="1:19" s="127" customFormat="1" ht="18" customHeight="1" x14ac:dyDescent="0.25">
      <c r="A8" s="124" t="s">
        <v>194</v>
      </c>
      <c r="B8" s="125">
        <f>'Averages Pivot Table'!S$493</f>
        <v>86254.021181387216</v>
      </c>
      <c r="C8" s="125"/>
      <c r="D8" s="125">
        <f>'Averages Pivot Table'!T$493</f>
        <v>76053.499376965265</v>
      </c>
      <c r="E8" s="125"/>
      <c r="F8" s="125">
        <f>'Averages Pivot Table'!U$493</f>
        <v>63751.752616010097</v>
      </c>
      <c r="G8" s="125"/>
      <c r="H8" s="125">
        <f>'Averages Pivot Table'!V$493</f>
        <v>61977.405117341899</v>
      </c>
      <c r="I8" s="125"/>
      <c r="J8" s="125">
        <f>'Averages Pivot Table'!W$493</f>
        <v>60168.183200053922</v>
      </c>
      <c r="K8" s="125"/>
      <c r="L8" s="125">
        <f>'Averages Pivot Table'!X$493</f>
        <v>58231.346350032269</v>
      </c>
      <c r="M8" s="125"/>
      <c r="N8" s="153">
        <f>'Averages Pivot Table'!Y$493</f>
        <v>74978.086726519134</v>
      </c>
      <c r="O8" s="125"/>
      <c r="Q8" s="128"/>
      <c r="R8" s="129"/>
      <c r="S8" s="130"/>
    </row>
    <row r="9" spans="1:19" ht="12.95" customHeight="1" x14ac:dyDescent="0.25">
      <c r="A9" s="106"/>
      <c r="B9" s="131"/>
      <c r="C9" s="131"/>
      <c r="D9" s="131"/>
      <c r="E9" s="131"/>
      <c r="F9" s="131"/>
      <c r="G9" s="131"/>
      <c r="H9" s="131"/>
      <c r="I9" s="131"/>
      <c r="J9" s="131"/>
      <c r="K9" s="131"/>
      <c r="L9" s="131"/>
      <c r="M9" s="131"/>
      <c r="N9" s="670"/>
      <c r="O9" s="131"/>
      <c r="Q9" s="134"/>
      <c r="S9" s="135"/>
    </row>
    <row r="10" spans="1:19" ht="12.95" customHeight="1" x14ac:dyDescent="0.25">
      <c r="A10" s="136" t="s">
        <v>195</v>
      </c>
      <c r="B10" s="137">
        <f>'Averages Pivot Table'!S$30</f>
        <v>83469.039624997022</v>
      </c>
      <c r="C10" s="138">
        <f>IF(B10&gt;0,RANK(B10,(B$10:B$28)),0)</f>
        <v>6</v>
      </c>
      <c r="D10" s="137">
        <f>'Averages Pivot Table'!T$30</f>
        <v>86668.721239618622</v>
      </c>
      <c r="E10" s="138">
        <f>IF(D10&gt;0,RANK(D10,(D$10:D$28)),0)</f>
        <v>2</v>
      </c>
      <c r="F10" s="137">
        <f>'Averages Pivot Table'!U$30</f>
        <v>62379.17534230325</v>
      </c>
      <c r="G10" s="138">
        <f>IF(F10&gt;0,RANK(F10,(F$10:F$28)),0)</f>
        <v>9</v>
      </c>
      <c r="H10" s="137">
        <f>'Averages Pivot Table'!V$30</f>
        <v>64745.652139803758</v>
      </c>
      <c r="I10" s="138">
        <f>IF(H10&gt;0,RANK(H10,(H$10:H$28)),0)</f>
        <v>6</v>
      </c>
      <c r="J10" s="137">
        <f>'Averages Pivot Table'!W$30</f>
        <v>57952.468923339497</v>
      </c>
      <c r="K10" s="138">
        <f>IF(J10&gt;0,RANK(J10,(J$10:J$28)),0)</f>
        <v>9</v>
      </c>
      <c r="L10" s="137">
        <f>'Averages Pivot Table'!X$30</f>
        <v>69516.259209290351</v>
      </c>
      <c r="M10" s="138">
        <f>IF(L10&gt;0,RANK(L10,(L$10:L$28)),0)</f>
        <v>2</v>
      </c>
      <c r="N10" s="671">
        <f>'Averages Pivot Table'!Y$30</f>
        <v>75505.899315381888</v>
      </c>
      <c r="O10" s="138">
        <f>IF(N10&gt;0,RANK(N10,(N$10:N$28)),0)</f>
        <v>7</v>
      </c>
      <c r="Q10" s="134"/>
      <c r="S10" s="135"/>
    </row>
    <row r="11" spans="1:19" ht="12.95" customHeight="1" x14ac:dyDescent="0.25">
      <c r="A11" s="136" t="s">
        <v>196</v>
      </c>
      <c r="B11" s="137">
        <f>'Averages Pivot Table'!S$59</f>
        <v>78953.510202950085</v>
      </c>
      <c r="C11" s="138">
        <f t="shared" ref="C11:E28" si="0">IF(B11&gt;0,RANK(B11,(B$10:B$28)),0)</f>
        <v>15</v>
      </c>
      <c r="D11" s="137">
        <f>'Averages Pivot Table'!T$59</f>
        <v>0</v>
      </c>
      <c r="E11" s="138">
        <f t="shared" si="0"/>
        <v>0</v>
      </c>
      <c r="F11" s="137">
        <f>'Averages Pivot Table'!U$59</f>
        <v>58871.618674107107</v>
      </c>
      <c r="G11" s="138">
        <f t="shared" ref="G11" si="1">IF(F11&gt;0,RANK(F11,(F$10:F$28)),0)</f>
        <v>15</v>
      </c>
      <c r="H11" s="137">
        <f>'Averages Pivot Table'!V$59</f>
        <v>53718.834596466564</v>
      </c>
      <c r="I11" s="138">
        <f t="shared" ref="I11" si="2">IF(H11&gt;0,RANK(H11,(H$10:H$28)),0)</f>
        <v>12</v>
      </c>
      <c r="J11" s="137">
        <f>'Averages Pivot Table'!W$59</f>
        <v>48256.985162154946</v>
      </c>
      <c r="K11" s="138">
        <f t="shared" ref="K11" si="3">IF(J11&gt;0,RANK(J11,(J$10:J$28)),0)</f>
        <v>12</v>
      </c>
      <c r="L11" s="137">
        <f>'Averages Pivot Table'!X$59</f>
        <v>53605.874264025348</v>
      </c>
      <c r="M11" s="138">
        <f t="shared" ref="M11" si="4">IF(L11&gt;0,RANK(L11,(L$10:L$28)),0)</f>
        <v>10</v>
      </c>
      <c r="N11" s="671">
        <f>'Averages Pivot Table'!Y$59</f>
        <v>62745.671817561451</v>
      </c>
      <c r="O11" s="138">
        <f t="shared" ref="O11" si="5">IF(N11&gt;0,RANK(N11,(N$10:N$28)),0)</f>
        <v>16</v>
      </c>
      <c r="Q11" s="134"/>
      <c r="S11" s="135"/>
    </row>
    <row r="12" spans="1:19" ht="12.95" customHeight="1" x14ac:dyDescent="0.25">
      <c r="A12" s="136" t="s">
        <v>197</v>
      </c>
      <c r="B12" s="137">
        <f>'Averages Pivot Table'!S$88</f>
        <v>103592.07607063644</v>
      </c>
      <c r="C12" s="138">
        <f t="shared" si="0"/>
        <v>2</v>
      </c>
      <c r="D12" s="137">
        <f>'Averages Pivot Table'!T$88</f>
        <v>0</v>
      </c>
      <c r="E12" s="138">
        <f t="shared" si="0"/>
        <v>0</v>
      </c>
      <c r="F12" s="137">
        <f>'Averages Pivot Table'!U$88</f>
        <v>63705.374892681015</v>
      </c>
      <c r="G12" s="138">
        <f t="shared" ref="G12" si="6">IF(F12&gt;0,RANK(F12,(F$10:F$28)),0)</f>
        <v>8</v>
      </c>
      <c r="H12" s="137">
        <f>'Averages Pivot Table'!V$88</f>
        <v>0</v>
      </c>
      <c r="I12" s="138">
        <f t="shared" ref="I12" si="7">IF(H12&gt;0,RANK(H12,(H$10:H$28)),0)</f>
        <v>0</v>
      </c>
      <c r="J12" s="137">
        <f>'Averages Pivot Table'!W$88</f>
        <v>0</v>
      </c>
      <c r="K12" s="138">
        <f t="shared" ref="K12" si="8">IF(J12&gt;0,RANK(J12,(J$10:J$28)),0)</f>
        <v>0</v>
      </c>
      <c r="L12" s="137">
        <f>'Averages Pivot Table'!X$88</f>
        <v>0</v>
      </c>
      <c r="M12" s="138">
        <f t="shared" ref="M12" si="9">IF(L12&gt;0,RANK(L12,(L$10:L$28)),0)</f>
        <v>0</v>
      </c>
      <c r="N12" s="671">
        <f>'Averages Pivot Table'!Y$88</f>
        <v>97421.263556558129</v>
      </c>
      <c r="O12" s="138">
        <f t="shared" ref="O12" si="10">IF(N12&gt;0,RANK(N12,(N$10:N$28)),0)</f>
        <v>1</v>
      </c>
      <c r="Q12" s="134"/>
      <c r="S12" s="135"/>
    </row>
    <row r="13" spans="1:19" ht="12.95" customHeight="1" x14ac:dyDescent="0.25">
      <c r="A13" s="136" t="s">
        <v>198</v>
      </c>
      <c r="B13" s="137">
        <f>'Averages Pivot Table'!S$117</f>
        <v>81390.997619034519</v>
      </c>
      <c r="C13" s="138">
        <f t="shared" si="0"/>
        <v>10</v>
      </c>
      <c r="D13" s="137">
        <f>'Averages Pivot Table'!T$117</f>
        <v>70627.566316708006</v>
      </c>
      <c r="E13" s="138">
        <f t="shared" si="0"/>
        <v>6</v>
      </c>
      <c r="F13" s="137">
        <f>'Averages Pivot Table'!U$117</f>
        <v>66523.197850731012</v>
      </c>
      <c r="G13" s="138">
        <f t="shared" ref="G13" si="11">IF(F13&gt;0,RANK(F13,(F$10:F$28)),0)</f>
        <v>3</v>
      </c>
      <c r="H13" s="137">
        <f>'Averages Pivot Table'!V$117</f>
        <v>62560.754730983033</v>
      </c>
      <c r="I13" s="138">
        <f t="shared" ref="I13" si="12">IF(H13&gt;0,RANK(H13,(H$10:H$28)),0)</f>
        <v>8</v>
      </c>
      <c r="J13" s="137">
        <f>'Averages Pivot Table'!W$117</f>
        <v>0</v>
      </c>
      <c r="K13" s="138">
        <f t="shared" ref="K13" si="13">IF(J13&gt;0,RANK(J13,(J$10:J$28)),0)</f>
        <v>0</v>
      </c>
      <c r="L13" s="137">
        <f>'Averages Pivot Table'!X$117</f>
        <v>68101.64608695652</v>
      </c>
      <c r="M13" s="138">
        <f t="shared" ref="M13" si="14">IF(L13&gt;0,RANK(L13,(L$10:L$28)),0)</f>
        <v>3</v>
      </c>
      <c r="N13" s="671">
        <f>'Averages Pivot Table'!Y$117</f>
        <v>77457.914603427271</v>
      </c>
      <c r="O13" s="138">
        <f t="shared" ref="O13" si="15">IF(N13&gt;0,RANK(N13,(N$10:N$28)),0)</f>
        <v>6</v>
      </c>
      <c r="Q13" s="134"/>
      <c r="S13" s="135"/>
    </row>
    <row r="14" spans="1:19" ht="12.95" customHeight="1" x14ac:dyDescent="0.25">
      <c r="A14" s="136"/>
      <c r="B14" s="137"/>
      <c r="C14" s="138"/>
      <c r="D14" s="137"/>
      <c r="E14" s="138"/>
      <c r="F14" s="137"/>
      <c r="G14" s="138"/>
      <c r="H14" s="137"/>
      <c r="I14" s="138"/>
      <c r="J14" s="137"/>
      <c r="K14" s="138"/>
      <c r="L14" s="137"/>
      <c r="M14" s="138"/>
      <c r="N14" s="671"/>
      <c r="O14" s="138"/>
      <c r="Q14" s="134"/>
      <c r="S14" s="135"/>
    </row>
    <row r="15" spans="1:19" ht="12.95" customHeight="1" x14ac:dyDescent="0.25">
      <c r="A15" s="136" t="s">
        <v>199</v>
      </c>
      <c r="B15" s="137">
        <f>'Averages Pivot Table'!S$146</f>
        <v>83401.084433662036</v>
      </c>
      <c r="C15" s="138">
        <f t="shared" si="0"/>
        <v>7</v>
      </c>
      <c r="D15" s="137">
        <f>'Averages Pivot Table'!T$146</f>
        <v>107164.04160986023</v>
      </c>
      <c r="E15" s="138">
        <f t="shared" si="0"/>
        <v>1</v>
      </c>
      <c r="F15" s="137">
        <f>'Averages Pivot Table'!U$146</f>
        <v>59477.990236937789</v>
      </c>
      <c r="G15" s="138">
        <f t="shared" ref="G15" si="16">IF(F15&gt;0,RANK(F15,(F$10:F$28)),0)</f>
        <v>13</v>
      </c>
      <c r="H15" s="137">
        <f>'Averages Pivot Table'!V$146</f>
        <v>59164.085734668181</v>
      </c>
      <c r="I15" s="138">
        <f t="shared" ref="I15" si="17">IF(H15&gt;0,RANK(H15,(H$10:H$28)),0)</f>
        <v>10</v>
      </c>
      <c r="J15" s="137">
        <f>'Averages Pivot Table'!W$146</f>
        <v>58005.389975381368</v>
      </c>
      <c r="K15" s="138">
        <f t="shared" ref="K15" si="18">IF(J15&gt;0,RANK(J15,(J$10:J$28)),0)</f>
        <v>8</v>
      </c>
      <c r="L15" s="137">
        <f>'Averages Pivot Table'!X$146</f>
        <v>60097.262642874586</v>
      </c>
      <c r="M15" s="138">
        <f t="shared" ref="M15" si="19">IF(L15&gt;0,RANK(L15,(L$10:L$28)),0)</f>
        <v>6</v>
      </c>
      <c r="N15" s="671">
        <f>'Averages Pivot Table'!Y$146</f>
        <v>72543.870602201961</v>
      </c>
      <c r="O15" s="138">
        <f t="shared" ref="O15" si="20">IF(N15&gt;0,RANK(N15,(N$10:N$28)),0)</f>
        <v>8</v>
      </c>
      <c r="Q15" s="134"/>
      <c r="S15" s="135"/>
    </row>
    <row r="16" spans="1:19" ht="12.95" customHeight="1" x14ac:dyDescent="0.25">
      <c r="A16" s="136" t="s">
        <v>200</v>
      </c>
      <c r="B16" s="137">
        <f>'Averages Pivot Table'!S$175</f>
        <v>81051.41058766433</v>
      </c>
      <c r="C16" s="138">
        <f t="shared" si="0"/>
        <v>11</v>
      </c>
      <c r="D16" s="137">
        <f>'Averages Pivot Table'!T$175</f>
        <v>0</v>
      </c>
      <c r="E16" s="138">
        <f t="shared" si="0"/>
        <v>0</v>
      </c>
      <c r="F16" s="137">
        <f>'Averages Pivot Table'!U$175</f>
        <v>60719.745377559848</v>
      </c>
      <c r="G16" s="138">
        <f t="shared" ref="G16" si="21">IF(F16&gt;0,RANK(F16,(F$10:F$28)),0)</f>
        <v>12</v>
      </c>
      <c r="H16" s="137">
        <f>'Averages Pivot Table'!V$175</f>
        <v>64041.972538296905</v>
      </c>
      <c r="I16" s="138">
        <f t="shared" ref="I16" si="22">IF(H16&gt;0,RANK(H16,(H$10:H$28)),0)</f>
        <v>7</v>
      </c>
      <c r="J16" s="137">
        <f>'Averages Pivot Table'!W$175</f>
        <v>0</v>
      </c>
      <c r="K16" s="138">
        <f t="shared" ref="K16" si="23">IF(J16&gt;0,RANK(J16,(J$10:J$28)),0)</f>
        <v>0</v>
      </c>
      <c r="L16" s="137">
        <f>'Averages Pivot Table'!X$175</f>
        <v>0</v>
      </c>
      <c r="M16" s="138">
        <f t="shared" ref="M16" si="24">IF(L16&gt;0,RANK(L16,(L$10:L$28)),0)</f>
        <v>0</v>
      </c>
      <c r="N16" s="671">
        <f>'Averages Pivot Table'!Y$175</f>
        <v>70068.024638056842</v>
      </c>
      <c r="O16" s="138">
        <f t="shared" ref="O16" si="25">IF(N16&gt;0,RANK(N16,(N$10:N$28)),0)</f>
        <v>11</v>
      </c>
      <c r="Q16" s="134"/>
      <c r="S16" s="135"/>
    </row>
    <row r="17" spans="1:19" ht="12.95" customHeight="1" x14ac:dyDescent="0.25">
      <c r="A17" s="136" t="s">
        <v>201</v>
      </c>
      <c r="B17" s="137">
        <f>'Averages Pivot Table'!S$204</f>
        <v>81588.967632946471</v>
      </c>
      <c r="C17" s="138">
        <f t="shared" si="0"/>
        <v>9</v>
      </c>
      <c r="D17" s="137">
        <f>'Averages Pivot Table'!T$204</f>
        <v>67041.821905649718</v>
      </c>
      <c r="E17" s="138">
        <f t="shared" si="0"/>
        <v>9</v>
      </c>
      <c r="F17" s="137">
        <f>'Averages Pivot Table'!U$204</f>
        <v>61463.097867310578</v>
      </c>
      <c r="G17" s="138">
        <f t="shared" ref="G17" si="26">IF(F17&gt;0,RANK(F17,(F$10:F$28)),0)</f>
        <v>11</v>
      </c>
      <c r="H17" s="137">
        <f>'Averages Pivot Table'!V$204</f>
        <v>54581.975928757405</v>
      </c>
      <c r="I17" s="138">
        <f t="shared" ref="I17" si="27">IF(H17&gt;0,RANK(H17,(H$10:H$28)),0)</f>
        <v>11</v>
      </c>
      <c r="J17" s="137">
        <f>'Averages Pivot Table'!W$204</f>
        <v>0</v>
      </c>
      <c r="K17" s="138">
        <f t="shared" ref="K17" si="28">IF(J17&gt;0,RANK(J17,(J$10:J$28)),0)</f>
        <v>0</v>
      </c>
      <c r="L17" s="137">
        <f>'Averages Pivot Table'!X$204</f>
        <v>49060.99879980601</v>
      </c>
      <c r="M17" s="138">
        <f t="shared" ref="M17" si="29">IF(L17&gt;0,RANK(L17,(L$10:L$28)),0)</f>
        <v>12</v>
      </c>
      <c r="N17" s="671">
        <f>'Averages Pivot Table'!Y$204</f>
        <v>65602.093713538197</v>
      </c>
      <c r="O17" s="138">
        <f t="shared" ref="O17" si="30">IF(N17&gt;0,RANK(N17,(N$10:N$28)),0)</f>
        <v>14</v>
      </c>
      <c r="Q17" s="134"/>
      <c r="S17" s="135"/>
    </row>
    <row r="18" spans="1:19" ht="12.95" customHeight="1" x14ac:dyDescent="0.25">
      <c r="A18" s="136" t="s">
        <v>202</v>
      </c>
      <c r="B18" s="137">
        <f>'Averages Pivot Table'!S$233</f>
        <v>104152.88710901274</v>
      </c>
      <c r="C18" s="138">
        <f t="shared" si="0"/>
        <v>1</v>
      </c>
      <c r="D18" s="137">
        <f>'Averages Pivot Table'!T$233</f>
        <v>73986.411934526812</v>
      </c>
      <c r="E18" s="138">
        <f t="shared" si="0"/>
        <v>5</v>
      </c>
      <c r="F18" s="137">
        <f>'Averages Pivot Table'!U$233</f>
        <v>65245.429071617407</v>
      </c>
      <c r="G18" s="138">
        <f t="shared" ref="G18" si="31">IF(F18&gt;0,RANK(F18,(F$10:F$28)),0)</f>
        <v>4</v>
      </c>
      <c r="H18" s="137">
        <f>'Averages Pivot Table'!V$233</f>
        <v>70533.090706859846</v>
      </c>
      <c r="I18" s="138">
        <f t="shared" ref="I18" si="32">IF(H18&gt;0,RANK(H18,(H$10:H$28)),0)</f>
        <v>2</v>
      </c>
      <c r="J18" s="137">
        <f>'Averages Pivot Table'!W$233</f>
        <v>63870.446719532294</v>
      </c>
      <c r="K18" s="138">
        <f t="shared" ref="K18" si="33">IF(J18&gt;0,RANK(J18,(J$10:J$28)),0)</f>
        <v>4</v>
      </c>
      <c r="L18" s="137">
        <f>'Averages Pivot Table'!X$233</f>
        <v>70702.494623078106</v>
      </c>
      <c r="M18" s="138">
        <f t="shared" ref="M18" si="34">IF(L18&gt;0,RANK(L18,(L$10:L$28)),0)</f>
        <v>1</v>
      </c>
      <c r="N18" s="671">
        <f>'Averages Pivot Table'!Y$233</f>
        <v>81380.246539352112</v>
      </c>
      <c r="O18" s="138">
        <f t="shared" ref="O18" si="35">IF(N18&gt;0,RANK(N18,(N$10:N$28)),0)</f>
        <v>3</v>
      </c>
      <c r="Q18" s="134"/>
      <c r="S18" s="135"/>
    </row>
    <row r="19" spans="1:19" ht="12.95" customHeight="1" x14ac:dyDescent="0.25">
      <c r="A19" s="136"/>
      <c r="B19" s="137"/>
      <c r="C19" s="138"/>
      <c r="D19" s="137"/>
      <c r="E19" s="138"/>
      <c r="F19" s="137"/>
      <c r="G19" s="138"/>
      <c r="H19" s="137"/>
      <c r="I19" s="138"/>
      <c r="J19" s="137"/>
      <c r="K19" s="138"/>
      <c r="L19" s="137"/>
      <c r="M19" s="138"/>
      <c r="N19" s="671"/>
      <c r="O19" s="138"/>
      <c r="Q19" s="134"/>
      <c r="S19" s="135"/>
    </row>
    <row r="20" spans="1:19" ht="12.95" customHeight="1" x14ac:dyDescent="0.25">
      <c r="A20" s="136" t="s">
        <v>203</v>
      </c>
      <c r="B20" s="137">
        <f>'Averages Pivot Table'!S$262</f>
        <v>66405.978059820482</v>
      </c>
      <c r="C20" s="138">
        <f t="shared" si="0"/>
        <v>16</v>
      </c>
      <c r="D20" s="137">
        <f>'Averages Pivot Table'!T$262</f>
        <v>69132.572757435482</v>
      </c>
      <c r="E20" s="138">
        <f t="shared" si="0"/>
        <v>8</v>
      </c>
      <c r="F20" s="137">
        <f>'Averages Pivot Table'!U$262</f>
        <v>0</v>
      </c>
      <c r="G20" s="138">
        <f t="shared" ref="G20" si="36">IF(F20&gt;0,RANK(F20,(F$10:F$28)),0)</f>
        <v>0</v>
      </c>
      <c r="H20" s="137">
        <f>'Averages Pivot Table'!V$262</f>
        <v>53382.274320970508</v>
      </c>
      <c r="I20" s="138">
        <f t="shared" ref="I20" si="37">IF(H20&gt;0,RANK(H20,(H$10:H$28)),0)</f>
        <v>13</v>
      </c>
      <c r="J20" s="137">
        <f>'Averages Pivot Table'!W$262</f>
        <v>49828.388064496998</v>
      </c>
      <c r="K20" s="138">
        <f t="shared" ref="K20" si="38">IF(J20&gt;0,RANK(J20,(J$10:J$28)),0)</f>
        <v>11</v>
      </c>
      <c r="L20" s="137">
        <f>'Averages Pivot Table'!X$262</f>
        <v>0</v>
      </c>
      <c r="M20" s="138">
        <f t="shared" ref="M20" si="39">IF(L20&gt;0,RANK(L20,(L$10:L$28)),0)</f>
        <v>0</v>
      </c>
      <c r="N20" s="671">
        <f>'Averages Pivot Table'!Y$262</f>
        <v>64795.883496667731</v>
      </c>
      <c r="O20" s="138">
        <f t="shared" ref="O20" si="40">IF(N20&gt;0,RANK(N20,(N$10:N$28)),0)</f>
        <v>15</v>
      </c>
      <c r="Q20" s="134"/>
      <c r="S20" s="135"/>
    </row>
    <row r="21" spans="1:19" ht="12.95" customHeight="1" x14ac:dyDescent="0.25">
      <c r="A21" s="136" t="s">
        <v>204</v>
      </c>
      <c r="B21" s="137">
        <f>'Averages Pivot Table'!S$291</f>
        <v>92193.677650755591</v>
      </c>
      <c r="C21" s="138">
        <f t="shared" si="0"/>
        <v>4</v>
      </c>
      <c r="D21" s="137">
        <f>'Averages Pivot Table'!T$291</f>
        <v>74041.985967152475</v>
      </c>
      <c r="E21" s="138">
        <f t="shared" si="0"/>
        <v>4</v>
      </c>
      <c r="F21" s="137">
        <f>'Averages Pivot Table'!U$291</f>
        <v>69552.007847620247</v>
      </c>
      <c r="G21" s="138">
        <f t="shared" ref="G21" si="41">IF(F21&gt;0,RANK(F21,(F$10:F$28)),0)</f>
        <v>1</v>
      </c>
      <c r="H21" s="137">
        <f>'Averages Pivot Table'!V$291</f>
        <v>70021.522863001999</v>
      </c>
      <c r="I21" s="138">
        <f t="shared" ref="I21" si="42">IF(H21&gt;0,RANK(H21,(H$10:H$28)),0)</f>
        <v>4</v>
      </c>
      <c r="J21" s="137">
        <f>'Averages Pivot Table'!W$291</f>
        <v>65852.890747920144</v>
      </c>
      <c r="K21" s="138">
        <f t="shared" ref="K21" si="43">IF(J21&gt;0,RANK(J21,(J$10:J$28)),0)</f>
        <v>2</v>
      </c>
      <c r="L21" s="137">
        <f>'Averages Pivot Table'!X$291</f>
        <v>67869.284318379461</v>
      </c>
      <c r="M21" s="138">
        <f t="shared" ref="M21" si="44">IF(L21&gt;0,RANK(L21,(L$10:L$28)),0)</f>
        <v>4</v>
      </c>
      <c r="N21" s="671">
        <f>'Averages Pivot Table'!Y$291</f>
        <v>79232.081225464121</v>
      </c>
      <c r="O21" s="138">
        <f t="shared" ref="O21" si="45">IF(N21&gt;0,RANK(N21,(N$10:N$28)),0)</f>
        <v>4</v>
      </c>
      <c r="Q21" s="134"/>
      <c r="S21" s="135"/>
    </row>
    <row r="22" spans="1:19" ht="12.95" customHeight="1" x14ac:dyDescent="0.25">
      <c r="A22" s="136" t="s">
        <v>205</v>
      </c>
      <c r="B22" s="137">
        <f>'Averages Pivot Table'!S$320</f>
        <v>80251.174722825206</v>
      </c>
      <c r="C22" s="138">
        <f t="shared" si="0"/>
        <v>13</v>
      </c>
      <c r="D22" s="137">
        <f>'Averages Pivot Table'!T$320</f>
        <v>0</v>
      </c>
      <c r="E22" s="138">
        <f t="shared" si="0"/>
        <v>0</v>
      </c>
      <c r="F22" s="137">
        <f>'Averages Pivot Table'!U$320</f>
        <v>58891.829720841561</v>
      </c>
      <c r="G22" s="138">
        <f t="shared" ref="G22" si="46">IF(F22&gt;0,RANK(F22,(F$10:F$28)),0)</f>
        <v>14</v>
      </c>
      <c r="H22" s="137">
        <f>'Averages Pivot Table'!V$320</f>
        <v>61047.698015183349</v>
      </c>
      <c r="I22" s="138">
        <f t="shared" ref="I22" si="47">IF(H22&gt;0,RANK(H22,(H$10:H$28)),0)</f>
        <v>9</v>
      </c>
      <c r="J22" s="137">
        <f>'Averages Pivot Table'!W$320</f>
        <v>53562.25958864273</v>
      </c>
      <c r="K22" s="138">
        <f t="shared" ref="K22" si="48">IF(J22&gt;0,RANK(J22,(J$10:J$28)),0)</f>
        <v>10</v>
      </c>
      <c r="L22" s="137">
        <f>'Averages Pivot Table'!X$320</f>
        <v>49735.182265966927</v>
      </c>
      <c r="M22" s="138">
        <f t="shared" ref="M22" si="49">IF(L22&gt;0,RANK(L22,(L$10:L$28)),0)</f>
        <v>11</v>
      </c>
      <c r="N22" s="671">
        <f>'Averages Pivot Table'!Y$320</f>
        <v>68549.747108661264</v>
      </c>
      <c r="O22" s="138">
        <f t="shared" ref="O22" si="50">IF(N22&gt;0,RANK(N22,(N$10:N$28)),0)</f>
        <v>12</v>
      </c>
      <c r="Q22" s="134"/>
      <c r="S22" s="135"/>
    </row>
    <row r="23" spans="1:19" ht="12.95" customHeight="1" x14ac:dyDescent="0.25">
      <c r="A23" s="136" t="s">
        <v>206</v>
      </c>
      <c r="B23" s="137">
        <f>'Averages Pivot Table'!S$349</f>
        <v>81895.802275999362</v>
      </c>
      <c r="C23" s="138">
        <f t="shared" si="0"/>
        <v>8</v>
      </c>
      <c r="D23" s="137">
        <f>'Averages Pivot Table'!T$349</f>
        <v>0</v>
      </c>
      <c r="E23" s="138">
        <f t="shared" si="0"/>
        <v>0</v>
      </c>
      <c r="F23" s="137">
        <f>'Averages Pivot Table'!U$349</f>
        <v>64812.019409316476</v>
      </c>
      <c r="G23" s="138">
        <f t="shared" ref="G23" si="51">IF(F23&gt;0,RANK(F23,(F$10:F$28)),0)</f>
        <v>5</v>
      </c>
      <c r="H23" s="137">
        <f>'Averages Pivot Table'!V$349</f>
        <v>70369.959290187893</v>
      </c>
      <c r="I23" s="138">
        <f t="shared" ref="I23" si="52">IF(H23&gt;0,RANK(H23,(H$10:H$28)),0)</f>
        <v>3</v>
      </c>
      <c r="J23" s="137">
        <f>'Averages Pivot Table'!W$349</f>
        <v>61329.832161170234</v>
      </c>
      <c r="K23" s="138">
        <f t="shared" ref="K23" si="53">IF(J23&gt;0,RANK(J23,(J$10:J$28)),0)</f>
        <v>6</v>
      </c>
      <c r="L23" s="137">
        <f>'Averages Pivot Table'!X$349</f>
        <v>54099.177938524947</v>
      </c>
      <c r="M23" s="138">
        <f t="shared" ref="M23" si="54">IF(L23&gt;0,RANK(L23,(L$10:L$28)),0)</f>
        <v>9</v>
      </c>
      <c r="N23" s="671">
        <f>'Averages Pivot Table'!Y$349</f>
        <v>71557.464163854354</v>
      </c>
      <c r="O23" s="138">
        <f t="shared" ref="O23" si="55">IF(N23&gt;0,RANK(N23,(N$10:N$28)),0)</f>
        <v>9</v>
      </c>
      <c r="Q23" s="134"/>
      <c r="S23" s="135"/>
    </row>
    <row r="24" spans="1:19" ht="12.95" customHeight="1" x14ac:dyDescent="0.25">
      <c r="A24" s="136"/>
      <c r="B24" s="137"/>
      <c r="C24" s="138"/>
      <c r="D24" s="137"/>
      <c r="E24" s="138"/>
      <c r="F24" s="137"/>
      <c r="G24" s="138"/>
      <c r="H24" s="137"/>
      <c r="I24" s="138"/>
      <c r="J24" s="137"/>
      <c r="K24" s="138"/>
      <c r="L24" s="137"/>
      <c r="M24" s="138"/>
      <c r="N24" s="671"/>
      <c r="O24" s="138"/>
      <c r="Q24" s="134"/>
      <c r="S24" s="135"/>
    </row>
    <row r="25" spans="1:19" ht="12.95" customHeight="1" x14ac:dyDescent="0.25">
      <c r="A25" s="136" t="s">
        <v>207</v>
      </c>
      <c r="B25" s="137">
        <f>'Averages Pivot Table'!S$378</f>
        <v>80635.658014607412</v>
      </c>
      <c r="C25" s="138">
        <f t="shared" si="0"/>
        <v>12</v>
      </c>
      <c r="D25" s="137">
        <f>'Averages Pivot Table'!T$378</f>
        <v>57794.16980132048</v>
      </c>
      <c r="E25" s="138">
        <f t="shared" si="0"/>
        <v>10</v>
      </c>
      <c r="F25" s="137">
        <f>'Averages Pivot Table'!U$378</f>
        <v>64332.620390486292</v>
      </c>
      <c r="G25" s="138">
        <f t="shared" ref="G25" si="56">IF(F25&gt;0,RANK(F25,(F$10:F$28)),0)</f>
        <v>6</v>
      </c>
      <c r="H25" s="137">
        <f>'Averages Pivot Table'!V$378</f>
        <v>0</v>
      </c>
      <c r="I25" s="138">
        <f t="shared" ref="I25" si="57">IF(H25&gt;0,RANK(H25,(H$10:H$28)),0)</f>
        <v>0</v>
      </c>
      <c r="J25" s="137">
        <f>'Averages Pivot Table'!W$378</f>
        <v>60138.415172636953</v>
      </c>
      <c r="K25" s="138">
        <f t="shared" ref="K25" si="58">IF(J25&gt;0,RANK(J25,(J$10:J$28)),0)</f>
        <v>7</v>
      </c>
      <c r="L25" s="137">
        <f>'Averages Pivot Table'!X$378</f>
        <v>0</v>
      </c>
      <c r="M25" s="138">
        <f t="shared" ref="M25" si="59">IF(L25&gt;0,RANK(L25,(L$10:L$28)),0)</f>
        <v>0</v>
      </c>
      <c r="N25" s="671">
        <f>'Averages Pivot Table'!Y$378</f>
        <v>70809.917220685646</v>
      </c>
      <c r="O25" s="138">
        <f t="shared" ref="O25" si="60">IF(N25&gt;0,RANK(N25,(N$10:N$28)),0)</f>
        <v>10</v>
      </c>
      <c r="Q25" s="134"/>
      <c r="S25" s="135"/>
    </row>
    <row r="26" spans="1:19" ht="12.95" customHeight="1" x14ac:dyDescent="0.25">
      <c r="A26" s="136" t="s">
        <v>208</v>
      </c>
      <c r="B26" s="137">
        <f>'Averages Pivot Table'!S$407</f>
        <v>90219.116006920085</v>
      </c>
      <c r="C26" s="138">
        <f t="shared" si="0"/>
        <v>5</v>
      </c>
      <c r="D26" s="137">
        <f>'Averages Pivot Table'!T$407</f>
        <v>69184.923785166218</v>
      </c>
      <c r="E26" s="138">
        <f t="shared" si="0"/>
        <v>7</v>
      </c>
      <c r="F26" s="137">
        <f>'Averages Pivot Table'!U$407</f>
        <v>64168.57503055469</v>
      </c>
      <c r="G26" s="138">
        <f t="shared" ref="G26" si="61">IF(F26&gt;0,RANK(F26,(F$10:F$28)),0)</f>
        <v>7</v>
      </c>
      <c r="H26" s="137">
        <f>'Averages Pivot Table'!V$407</f>
        <v>72887.378466182592</v>
      </c>
      <c r="I26" s="138">
        <f t="shared" ref="I26" si="62">IF(H26&gt;0,RANK(H26,(H$10:H$28)),0)</f>
        <v>1</v>
      </c>
      <c r="J26" s="137">
        <f>'Averages Pivot Table'!W$407</f>
        <v>64734.284235770152</v>
      </c>
      <c r="K26" s="138">
        <f t="shared" ref="K26" si="63">IF(J26&gt;0,RANK(J26,(J$10:J$28)),0)</f>
        <v>3</v>
      </c>
      <c r="L26" s="137">
        <f>'Averages Pivot Table'!X$407</f>
        <v>61709.917229203827</v>
      </c>
      <c r="M26" s="138">
        <f t="shared" ref="M26" si="64">IF(L26&gt;0,RANK(L26,(L$10:L$28)),0)</f>
        <v>5</v>
      </c>
      <c r="N26" s="671">
        <f>'Averages Pivot Table'!Y$407</f>
        <v>77743.212930428985</v>
      </c>
      <c r="O26" s="138">
        <f t="shared" ref="O26" si="65">IF(N26&gt;0,RANK(N26,(N$10:N$28)),0)</f>
        <v>5</v>
      </c>
      <c r="Q26" s="134"/>
      <c r="S26" s="135"/>
    </row>
    <row r="27" spans="1:19" ht="12.95" customHeight="1" x14ac:dyDescent="0.25">
      <c r="A27" s="136" t="s">
        <v>209</v>
      </c>
      <c r="B27" s="137">
        <f>'Averages Pivot Table'!S$436</f>
        <v>93591.9939093016</v>
      </c>
      <c r="C27" s="138">
        <f t="shared" si="0"/>
        <v>3</v>
      </c>
      <c r="D27" s="137">
        <f>'Averages Pivot Table'!T$436</f>
        <v>80050.034226129355</v>
      </c>
      <c r="E27" s="138">
        <f t="shared" si="0"/>
        <v>3</v>
      </c>
      <c r="F27" s="137">
        <f>'Averages Pivot Table'!U$436</f>
        <v>68509.985096181044</v>
      </c>
      <c r="G27" s="138">
        <f t="shared" ref="G27" si="66">IF(F27&gt;0,RANK(F27,(F$10:F$28)),0)</f>
        <v>2</v>
      </c>
      <c r="H27" s="137">
        <f>'Averages Pivot Table'!V$436</f>
        <v>65065.762984650632</v>
      </c>
      <c r="I27" s="138">
        <f t="shared" ref="I27" si="67">IF(H27&gt;0,RANK(H27,(H$10:H$28)),0)</f>
        <v>5</v>
      </c>
      <c r="J27" s="137">
        <f>'Averages Pivot Table'!W$436</f>
        <v>66642.148977137389</v>
      </c>
      <c r="K27" s="138">
        <f t="shared" ref="K27" si="68">IF(J27&gt;0,RANK(J27,(J$10:J$28)),0)</f>
        <v>1</v>
      </c>
      <c r="L27" s="137">
        <f>'Averages Pivot Table'!X$436</f>
        <v>58262.780252489028</v>
      </c>
      <c r="M27" s="138">
        <f t="shared" ref="M27" si="69">IF(L27&gt;0,RANK(L27,(L$10:L$28)),0)</f>
        <v>7</v>
      </c>
      <c r="N27" s="671">
        <f>'Averages Pivot Table'!Y$436</f>
        <v>82883.464717186129</v>
      </c>
      <c r="O27" s="138">
        <f t="shared" ref="O27" si="70">IF(N27&gt;0,RANK(N27,(N$10:N$28)),0)</f>
        <v>2</v>
      </c>
      <c r="Q27" s="134"/>
      <c r="S27" s="135"/>
    </row>
    <row r="28" spans="1:19" ht="12.95" customHeight="1" x14ac:dyDescent="0.25">
      <c r="A28" s="139" t="s">
        <v>210</v>
      </c>
      <c r="B28" s="140">
        <f>'Averages Pivot Table'!S$465</f>
        <v>79844.021984852268</v>
      </c>
      <c r="C28" s="141">
        <f t="shared" si="0"/>
        <v>14</v>
      </c>
      <c r="D28" s="140">
        <f>'Averages Pivot Table'!T$465</f>
        <v>0</v>
      </c>
      <c r="E28" s="141">
        <f t="shared" si="0"/>
        <v>0</v>
      </c>
      <c r="F28" s="140">
        <f>'Averages Pivot Table'!U$465</f>
        <v>61936.589558541418</v>
      </c>
      <c r="G28" s="141">
        <f t="shared" ref="G28" si="71">IF(F28&gt;0,RANK(F28,(F$10:F$28)),0)</f>
        <v>10</v>
      </c>
      <c r="H28" s="140">
        <f>'Averages Pivot Table'!V$465</f>
        <v>0</v>
      </c>
      <c r="I28" s="141">
        <f t="shared" ref="I28" si="72">IF(H28&gt;0,RANK(H28,(H$10:H$28)),0)</f>
        <v>0</v>
      </c>
      <c r="J28" s="140">
        <f>'Averages Pivot Table'!W$465</f>
        <v>61729.74322779951</v>
      </c>
      <c r="K28" s="141">
        <f t="shared" ref="K28" si="73">IF(J28&gt;0,RANK(J28,(J$10:J$28)),0)</f>
        <v>5</v>
      </c>
      <c r="L28" s="140">
        <f>'Averages Pivot Table'!X$465</f>
        <v>55964.740477002619</v>
      </c>
      <c r="M28" s="141">
        <f t="shared" ref="M28" si="74">IF(L28&gt;0,RANK(L28,(L$10:L$28)),0)</f>
        <v>8</v>
      </c>
      <c r="N28" s="672">
        <f>'Averages Pivot Table'!Y$465</f>
        <v>67851.296433027761</v>
      </c>
      <c r="O28" s="141">
        <f t="shared" ref="O28" si="75">IF(N28&gt;0,RANK(N28,(N$10:N$28)),0)</f>
        <v>13</v>
      </c>
      <c r="Q28" s="134"/>
      <c r="S28" s="135"/>
    </row>
    <row r="29" spans="1:19" ht="45" customHeight="1" x14ac:dyDescent="0.25">
      <c r="A29" s="718" t="s">
        <v>1126</v>
      </c>
      <c r="B29" s="719"/>
      <c r="C29" s="719"/>
      <c r="D29" s="719"/>
      <c r="E29" s="719"/>
      <c r="F29" s="719"/>
      <c r="G29" s="719"/>
      <c r="H29" s="719"/>
      <c r="I29" s="719"/>
      <c r="J29" s="719"/>
      <c r="K29" s="719"/>
      <c r="L29" s="719"/>
      <c r="M29" s="719"/>
      <c r="N29" s="720"/>
      <c r="O29" s="720"/>
      <c r="Q29" s="118"/>
      <c r="R29" s="677"/>
    </row>
    <row r="30" spans="1:19" x14ac:dyDescent="0.25">
      <c r="O30" s="102" t="s">
        <v>1124</v>
      </c>
      <c r="Q30" s="118"/>
      <c r="R30" s="677"/>
    </row>
    <row r="31" spans="1:19" ht="18" x14ac:dyDescent="0.25">
      <c r="A31" s="82" t="s">
        <v>211</v>
      </c>
      <c r="B31" s="82"/>
      <c r="C31" s="82"/>
      <c r="D31" s="82"/>
      <c r="E31" s="82"/>
      <c r="F31" s="82"/>
      <c r="G31" s="82"/>
      <c r="H31" s="82"/>
      <c r="I31" s="82"/>
      <c r="J31" s="82"/>
      <c r="K31" s="82"/>
      <c r="L31" s="82"/>
      <c r="M31" s="82"/>
      <c r="Q31" s="118"/>
      <c r="R31" s="677"/>
    </row>
    <row r="32" spans="1:19" x14ac:dyDescent="0.25">
      <c r="A32" s="87"/>
      <c r="B32" s="87"/>
      <c r="C32" s="87"/>
      <c r="D32" s="87"/>
      <c r="E32" s="87"/>
      <c r="F32" s="87"/>
      <c r="G32" s="112"/>
      <c r="H32" s="112"/>
      <c r="I32" s="112"/>
      <c r="J32" s="112"/>
      <c r="K32" s="112"/>
      <c r="Q32" s="118"/>
      <c r="R32" s="677"/>
    </row>
    <row r="33" spans="1:19" x14ac:dyDescent="0.25">
      <c r="A33" s="707" t="s">
        <v>189</v>
      </c>
      <c r="B33" s="707"/>
      <c r="C33" s="707"/>
      <c r="D33" s="707"/>
      <c r="E33" s="707"/>
      <c r="F33" s="707"/>
      <c r="G33" s="707"/>
      <c r="H33" s="707"/>
      <c r="I33" s="707"/>
      <c r="J33" s="707"/>
      <c r="K33" s="707"/>
      <c r="L33" s="707"/>
      <c r="M33" s="707"/>
      <c r="Q33" s="118"/>
    </row>
    <row r="34" spans="1:19" x14ac:dyDescent="0.25">
      <c r="A34" s="707" t="s">
        <v>212</v>
      </c>
      <c r="B34" s="707"/>
      <c r="C34" s="707"/>
      <c r="D34" s="707"/>
      <c r="E34" s="707"/>
      <c r="F34" s="707"/>
      <c r="G34" s="707"/>
      <c r="H34" s="707"/>
      <c r="I34" s="707"/>
      <c r="J34" s="707"/>
      <c r="K34" s="707"/>
      <c r="L34" s="707"/>
      <c r="M34" s="707"/>
      <c r="Q34" s="118"/>
    </row>
    <row r="35" spans="1:19" x14ac:dyDescent="0.25">
      <c r="A35" s="87"/>
      <c r="B35" s="87"/>
      <c r="C35" s="87"/>
      <c r="D35" s="87"/>
      <c r="E35" s="87"/>
      <c r="F35" s="87"/>
      <c r="G35" s="112"/>
      <c r="H35" s="112"/>
      <c r="I35" s="112"/>
      <c r="J35" s="112"/>
      <c r="K35" s="112"/>
      <c r="L35" s="133"/>
      <c r="M35" s="133"/>
      <c r="N35" s="133"/>
      <c r="O35" s="133"/>
      <c r="Q35" s="118"/>
    </row>
    <row r="36" spans="1:19" ht="24" x14ac:dyDescent="0.25">
      <c r="A36" s="114"/>
      <c r="B36" s="142" t="s">
        <v>179</v>
      </c>
      <c r="C36" s="143"/>
      <c r="D36" s="115" t="s">
        <v>180</v>
      </c>
      <c r="E36" s="116"/>
      <c r="F36" s="115" t="s">
        <v>181</v>
      </c>
      <c r="G36" s="116"/>
      <c r="H36" s="115" t="s">
        <v>182</v>
      </c>
      <c r="I36" s="116"/>
      <c r="J36" s="117" t="s">
        <v>183</v>
      </c>
      <c r="K36" s="116"/>
      <c r="N36" s="144" t="s">
        <v>7</v>
      </c>
      <c r="O36" s="145"/>
      <c r="Q36" s="118"/>
    </row>
    <row r="37" spans="1:19" x14ac:dyDescent="0.25">
      <c r="A37" s="120"/>
      <c r="B37" s="146" t="s">
        <v>193</v>
      </c>
      <c r="C37" s="147" t="s">
        <v>170</v>
      </c>
      <c r="D37" s="146" t="s">
        <v>193</v>
      </c>
      <c r="E37" s="147" t="s">
        <v>170</v>
      </c>
      <c r="F37" s="146" t="s">
        <v>193</v>
      </c>
      <c r="G37" s="147" t="s">
        <v>170</v>
      </c>
      <c r="H37" s="146" t="s">
        <v>193</v>
      </c>
      <c r="I37" s="147" t="s">
        <v>170</v>
      </c>
      <c r="J37" s="148" t="s">
        <v>193</v>
      </c>
      <c r="K37" s="147" t="s">
        <v>170</v>
      </c>
      <c r="N37" s="149"/>
      <c r="O37" s="150"/>
      <c r="Q37" s="118"/>
    </row>
    <row r="38" spans="1:19" s="127" customFormat="1" ht="18" customHeight="1" x14ac:dyDescent="0.25">
      <c r="A38" s="124" t="s">
        <v>194</v>
      </c>
      <c r="B38" s="125">
        <f>'Averages Pivot Table'!Z$493</f>
        <v>55581.861796773417</v>
      </c>
      <c r="C38" s="151"/>
      <c r="D38" s="125">
        <f>'Averages Pivot Table'!AA$493</f>
        <v>53003.10844698143</v>
      </c>
      <c r="E38" s="151"/>
      <c r="F38" s="125">
        <f>'Averages Pivot Table'!AB$493</f>
        <v>49074.41080160017</v>
      </c>
      <c r="G38" s="151"/>
      <c r="H38" s="125">
        <f>'Averages Pivot Table'!AC$493</f>
        <v>45599.608710317181</v>
      </c>
      <c r="I38" s="152"/>
      <c r="J38" s="153">
        <f>'Averages Pivot Table'!AE$493</f>
        <v>51722.850244398367</v>
      </c>
      <c r="K38" s="151"/>
      <c r="N38" s="154"/>
      <c r="O38" s="154"/>
      <c r="Q38" s="128"/>
      <c r="R38" s="129"/>
      <c r="S38" s="130"/>
    </row>
    <row r="39" spans="1:19" ht="12.95" customHeight="1" x14ac:dyDescent="0.25">
      <c r="A39" s="136"/>
      <c r="B39" s="131"/>
      <c r="C39" s="155"/>
      <c r="D39" s="131"/>
      <c r="E39" s="155"/>
      <c r="F39" s="131"/>
      <c r="G39" s="110"/>
      <c r="H39" s="131"/>
      <c r="I39" s="110"/>
      <c r="J39" s="670"/>
      <c r="K39" s="110"/>
      <c r="Q39" s="134"/>
      <c r="S39" s="135"/>
    </row>
    <row r="40" spans="1:19" ht="12.95" customHeight="1" x14ac:dyDescent="0.25">
      <c r="A40" s="136" t="s">
        <v>195</v>
      </c>
      <c r="B40" s="137">
        <f>'Averages Pivot Table'!Z$30</f>
        <v>0</v>
      </c>
      <c r="C40" s="138">
        <f>IF(B40&gt;0,RANK(B40,(B$40:B$58)),0)</f>
        <v>0</v>
      </c>
      <c r="D40" s="137">
        <f>'Averages Pivot Table'!AA$30</f>
        <v>53651.210518833046</v>
      </c>
      <c r="E40" s="138">
        <f>IF(D40&gt;0,RANK(D40,(D$40:D$58)),0)</f>
        <v>4</v>
      </c>
      <c r="F40" s="137">
        <f>'Averages Pivot Table'!AB$30</f>
        <v>53086.210967332314</v>
      </c>
      <c r="G40" s="138">
        <f>IF(F40&gt;0,RANK(F40,(F$40:F$58)),0)</f>
        <v>3</v>
      </c>
      <c r="H40" s="137">
        <f>'Averages Pivot Table'!AC$30</f>
        <v>52019.657143662858</v>
      </c>
      <c r="I40" s="138">
        <f>IF(H40&gt;0,RANK(H40,(H$40:H$58)),0)</f>
        <v>4</v>
      </c>
      <c r="J40" s="671">
        <f>'Averages Pivot Table'!AE$30</f>
        <v>53101.644505192431</v>
      </c>
      <c r="K40" s="138">
        <f>IF(J40&gt;0,RANK(J40,(J$40:J$58)),0)</f>
        <v>5</v>
      </c>
      <c r="Q40" s="134"/>
      <c r="S40" s="135"/>
    </row>
    <row r="41" spans="1:19" ht="12.95" customHeight="1" x14ac:dyDescent="0.25">
      <c r="A41" s="136" t="s">
        <v>196</v>
      </c>
      <c r="B41" s="137">
        <f>'Averages Pivot Table'!Z$59</f>
        <v>0</v>
      </c>
      <c r="C41" s="138">
        <f t="shared" ref="C41:E58" si="76">IF(B41&gt;0,RANK(B41,(B$40:B$58)),0)</f>
        <v>0</v>
      </c>
      <c r="D41" s="137">
        <f>'Averages Pivot Table'!AA$59</f>
        <v>50264.150738843142</v>
      </c>
      <c r="E41" s="138">
        <f t="shared" si="76"/>
        <v>8</v>
      </c>
      <c r="F41" s="137">
        <f>'Averages Pivot Table'!AB$59</f>
        <v>43262.143604392069</v>
      </c>
      <c r="G41" s="138">
        <f t="shared" ref="G41" si="77">IF(F41&gt;0,RANK(F41,(F$40:F$58)),0)</f>
        <v>14</v>
      </c>
      <c r="H41" s="137">
        <f>'Averages Pivot Table'!AC$59</f>
        <v>41904.164690554782</v>
      </c>
      <c r="I41" s="138">
        <f t="shared" ref="I41" si="78">IF(H41&gt;0,RANK(H41,(H$40:H$58)),0)</f>
        <v>13</v>
      </c>
      <c r="J41" s="671">
        <f>'Averages Pivot Table'!AE$59</f>
        <v>43992.210756031571</v>
      </c>
      <c r="K41" s="138">
        <f t="shared" ref="K41" si="79">IF(J41&gt;0,RANK(J41,(J$40:J$58)),0)</f>
        <v>16</v>
      </c>
      <c r="Q41" s="134"/>
      <c r="S41" s="135"/>
    </row>
    <row r="42" spans="1:19" ht="12.95" customHeight="1" x14ac:dyDescent="0.25">
      <c r="A42" s="136" t="s">
        <v>197</v>
      </c>
      <c r="B42" s="137">
        <f>'Averages Pivot Table'!Z$88</f>
        <v>0</v>
      </c>
      <c r="C42" s="138">
        <f t="shared" si="76"/>
        <v>0</v>
      </c>
      <c r="D42" s="137">
        <f>'Averages Pivot Table'!AA$88</f>
        <v>64151.829181494664</v>
      </c>
      <c r="E42" s="138">
        <f t="shared" si="76"/>
        <v>2</v>
      </c>
      <c r="F42" s="137">
        <f>'Averages Pivot Table'!AB$88</f>
        <v>64140.397665941142</v>
      </c>
      <c r="G42" s="138">
        <f t="shared" ref="G42" si="80">IF(F42&gt;0,RANK(F42,(F$40:F$58)),0)</f>
        <v>1</v>
      </c>
      <c r="H42" s="137">
        <f>'Averages Pivot Table'!AC$88</f>
        <v>0</v>
      </c>
      <c r="I42" s="138">
        <f t="shared" ref="I42" si="81">IF(H42&gt;0,RANK(H42,(H$40:H$58)),0)</f>
        <v>0</v>
      </c>
      <c r="J42" s="671">
        <f>'Averages Pivot Table'!AE$88</f>
        <v>64145.650790581931</v>
      </c>
      <c r="K42" s="138">
        <f t="shared" ref="K42" si="82">IF(J42&gt;0,RANK(J42,(J$40:J$58)),0)</f>
        <v>2</v>
      </c>
      <c r="Q42" s="134"/>
      <c r="S42" s="135"/>
    </row>
    <row r="43" spans="1:19" ht="12.95" customHeight="1" x14ac:dyDescent="0.25">
      <c r="A43" s="136" t="s">
        <v>198</v>
      </c>
      <c r="B43" s="137">
        <f>'Averages Pivot Table'!Z$117</f>
        <v>58249.675336322871</v>
      </c>
      <c r="C43" s="138">
        <f t="shared" si="76"/>
        <v>1</v>
      </c>
      <c r="D43" s="137">
        <f>'Averages Pivot Table'!AA$117</f>
        <v>52980.109686128926</v>
      </c>
      <c r="E43" s="138">
        <f t="shared" si="76"/>
        <v>5</v>
      </c>
      <c r="F43" s="137">
        <f>'Averages Pivot Table'!AB$117</f>
        <v>47575.791383219956</v>
      </c>
      <c r="G43" s="138">
        <f t="shared" ref="G43" si="83">IF(F43&gt;0,RANK(F43,(F$40:F$58)),0)</f>
        <v>9</v>
      </c>
      <c r="H43" s="137">
        <f>'Averages Pivot Table'!AC$117</f>
        <v>48943.15789473684</v>
      </c>
      <c r="I43" s="138">
        <f t="shared" ref="I43" si="84">IF(H43&gt;0,RANK(H43,(H$40:H$58)),0)</f>
        <v>5</v>
      </c>
      <c r="J43" s="671">
        <f>'Averages Pivot Table'!AE$117</f>
        <v>54585.753821823935</v>
      </c>
      <c r="K43" s="138">
        <f t="shared" ref="K43" si="85">IF(J43&gt;0,RANK(J43,(J$40:J$58)),0)</f>
        <v>4</v>
      </c>
      <c r="Q43" s="134"/>
      <c r="S43" s="135"/>
    </row>
    <row r="44" spans="1:19" ht="12.95" customHeight="1" x14ac:dyDescent="0.25">
      <c r="A44" s="136"/>
      <c r="B44" s="137"/>
      <c r="C44" s="138"/>
      <c r="D44" s="137"/>
      <c r="E44" s="138"/>
      <c r="F44" s="137"/>
      <c r="G44" s="138"/>
      <c r="H44" s="137"/>
      <c r="I44" s="138"/>
      <c r="J44" s="671"/>
      <c r="K44" s="138"/>
      <c r="Q44" s="134"/>
      <c r="S44" s="135"/>
    </row>
    <row r="45" spans="1:19" ht="12.95" customHeight="1" x14ac:dyDescent="0.25">
      <c r="A45" s="136" t="s">
        <v>199</v>
      </c>
      <c r="B45" s="137">
        <f>'Averages Pivot Table'!Z$146</f>
        <v>50162.290321866407</v>
      </c>
      <c r="C45" s="138">
        <f t="shared" si="76"/>
        <v>4</v>
      </c>
      <c r="D45" s="137">
        <f>'Averages Pivot Table'!AA$146</f>
        <v>45253.652249832601</v>
      </c>
      <c r="E45" s="138">
        <f t="shared" si="76"/>
        <v>14</v>
      </c>
      <c r="F45" s="137">
        <f>'Averages Pivot Table'!AB$146</f>
        <v>46017.297622327969</v>
      </c>
      <c r="G45" s="138">
        <f t="shared" ref="G45" si="86">IF(F45&gt;0,RANK(F45,(F$40:F$58)),0)</f>
        <v>11</v>
      </c>
      <c r="H45" s="137">
        <f>'Averages Pivot Table'!AC$146</f>
        <v>42776.953125</v>
      </c>
      <c r="I45" s="138">
        <f t="shared" ref="I45" si="87">IF(H45&gt;0,RANK(H45,(H$40:H$58)),0)</f>
        <v>12</v>
      </c>
      <c r="J45" s="671">
        <f>'Averages Pivot Table'!AE$146</f>
        <v>46721.093011867568</v>
      </c>
      <c r="K45" s="138">
        <f t="shared" ref="K45" si="88">IF(J45&gt;0,RANK(J45,(J$40:J$58)),0)</f>
        <v>13</v>
      </c>
      <c r="Q45" s="134"/>
      <c r="S45" s="135"/>
    </row>
    <row r="46" spans="1:19" ht="12.95" customHeight="1" x14ac:dyDescent="0.25">
      <c r="A46" s="136" t="s">
        <v>200</v>
      </c>
      <c r="B46" s="137">
        <f>'Averages Pivot Table'!Z$175</f>
        <v>0</v>
      </c>
      <c r="C46" s="138">
        <f t="shared" si="76"/>
        <v>0</v>
      </c>
      <c r="D46" s="137">
        <f>'Averages Pivot Table'!AA$175</f>
        <v>50846.689368881183</v>
      </c>
      <c r="E46" s="138">
        <f t="shared" si="76"/>
        <v>7</v>
      </c>
      <c r="F46" s="137">
        <f>'Averages Pivot Table'!AB$175</f>
        <v>48555.071884735487</v>
      </c>
      <c r="G46" s="138">
        <f t="shared" ref="G46" si="89">IF(F46&gt;0,RANK(F46,(F$40:F$58)),0)</f>
        <v>6</v>
      </c>
      <c r="H46" s="137">
        <f>'Averages Pivot Table'!AC$175</f>
        <v>53448.342732267723</v>
      </c>
      <c r="I46" s="138">
        <f t="shared" ref="I46" si="90">IF(H46&gt;0,RANK(H46,(H$40:H$58)),0)</f>
        <v>3</v>
      </c>
      <c r="J46" s="671">
        <f>'Averages Pivot Table'!AE$175</f>
        <v>49350.464994083901</v>
      </c>
      <c r="K46" s="138">
        <f t="shared" ref="K46" si="91">IF(J46&gt;0,RANK(J46,(J$40:J$58)),0)</f>
        <v>8</v>
      </c>
      <c r="Q46" s="134"/>
      <c r="S46" s="135"/>
    </row>
    <row r="47" spans="1:19" ht="12.95" customHeight="1" x14ac:dyDescent="0.25">
      <c r="A47" s="136" t="s">
        <v>201</v>
      </c>
      <c r="B47" s="137">
        <f>'Averages Pivot Table'!Z$204</f>
        <v>0</v>
      </c>
      <c r="C47" s="138">
        <f t="shared" si="76"/>
        <v>0</v>
      </c>
      <c r="D47" s="137">
        <f>'Averages Pivot Table'!AA$204</f>
        <v>47944.069622085342</v>
      </c>
      <c r="E47" s="138">
        <f t="shared" si="76"/>
        <v>10</v>
      </c>
      <c r="F47" s="137">
        <f>'Averages Pivot Table'!AB$204</f>
        <v>42746.802020990443</v>
      </c>
      <c r="G47" s="138">
        <f t="shared" ref="G47" si="92">IF(F47&gt;0,RANK(F47,(F$40:F$58)),0)</f>
        <v>15</v>
      </c>
      <c r="H47" s="137">
        <f>'Averages Pivot Table'!AC$204</f>
        <v>41637.59914076305</v>
      </c>
      <c r="I47" s="138">
        <f t="shared" ref="I47" si="93">IF(H47&gt;0,RANK(H47,(H$40:H$58)),0)</f>
        <v>14</v>
      </c>
      <c r="J47" s="671">
        <f>'Averages Pivot Table'!AE$204</f>
        <v>46096.837595652563</v>
      </c>
      <c r="K47" s="138">
        <f t="shared" ref="K47" si="94">IF(J47&gt;0,RANK(J47,(J$40:J$58)),0)</f>
        <v>15</v>
      </c>
      <c r="Q47" s="134"/>
      <c r="S47" s="135"/>
    </row>
    <row r="48" spans="1:19" ht="12.95" customHeight="1" x14ac:dyDescent="0.25">
      <c r="A48" s="136" t="s">
        <v>202</v>
      </c>
      <c r="B48" s="137">
        <f>'Averages Pivot Table'!Z$233</f>
        <v>0</v>
      </c>
      <c r="C48" s="138">
        <f t="shared" si="76"/>
        <v>0</v>
      </c>
      <c r="D48" s="137">
        <f>'Averages Pivot Table'!AA$233</f>
        <v>69171.780951432738</v>
      </c>
      <c r="E48" s="138">
        <f t="shared" si="76"/>
        <v>1</v>
      </c>
      <c r="F48" s="137">
        <f>'Averages Pivot Table'!AB$233</f>
        <v>58471.973740074238</v>
      </c>
      <c r="G48" s="138">
        <f t="shared" ref="G48" si="95">IF(F48&gt;0,RANK(F48,(F$40:F$58)),0)</f>
        <v>2</v>
      </c>
      <c r="H48" s="137">
        <f>'Averages Pivot Table'!AC$233</f>
        <v>60112.441945796061</v>
      </c>
      <c r="I48" s="138">
        <f t="shared" ref="I48" si="96">IF(H48&gt;0,RANK(H48,(H$40:H$58)),0)</f>
        <v>1</v>
      </c>
      <c r="J48" s="671">
        <f>'Averages Pivot Table'!AE$233</f>
        <v>66091.621100539749</v>
      </c>
      <c r="K48" s="138">
        <f t="shared" ref="K48" si="97">IF(J48&gt;0,RANK(J48,(J$40:J$58)),0)</f>
        <v>1</v>
      </c>
      <c r="Q48" s="134"/>
      <c r="S48" s="135"/>
    </row>
    <row r="49" spans="1:19" ht="12.95" customHeight="1" x14ac:dyDescent="0.25">
      <c r="A49" s="136"/>
      <c r="B49" s="137"/>
      <c r="C49" s="138"/>
      <c r="D49" s="137"/>
      <c r="E49" s="138"/>
      <c r="F49" s="137"/>
      <c r="G49" s="138"/>
      <c r="H49" s="137"/>
      <c r="I49" s="138"/>
      <c r="J49" s="671"/>
      <c r="K49" s="138"/>
      <c r="Q49" s="134"/>
      <c r="S49" s="135"/>
    </row>
    <row r="50" spans="1:19" x14ac:dyDescent="0.25">
      <c r="A50" s="136" t="s">
        <v>203</v>
      </c>
      <c r="B50" s="137">
        <f>'Averages Pivot Table'!Z$262</f>
        <v>0</v>
      </c>
      <c r="C50" s="138">
        <f t="shared" si="76"/>
        <v>0</v>
      </c>
      <c r="D50" s="137">
        <f>'Averages Pivot Table'!AA$262</f>
        <v>49683.262123226828</v>
      </c>
      <c r="E50" s="138">
        <f t="shared" si="76"/>
        <v>9</v>
      </c>
      <c r="F50" s="137">
        <f>'Averages Pivot Table'!AB$262</f>
        <v>50496.533768313842</v>
      </c>
      <c r="G50" s="138">
        <f t="shared" ref="G50" si="98">IF(F50&gt;0,RANK(F50,(F$40:F$58)),0)</f>
        <v>4</v>
      </c>
      <c r="H50" s="137">
        <f>'Averages Pivot Table'!AC$262</f>
        <v>46187.175448679744</v>
      </c>
      <c r="I50" s="138">
        <f t="shared" ref="I50" si="99">IF(H50&gt;0,RANK(H50,(H$40:H$58)),0)</f>
        <v>8</v>
      </c>
      <c r="J50" s="671">
        <f>'Averages Pivot Table'!AE$262</f>
        <v>49863.362756856957</v>
      </c>
      <c r="K50" s="138">
        <f t="shared" ref="K50" si="100">IF(J50&gt;0,RANK(J50,(J$40:J$58)),0)</f>
        <v>7</v>
      </c>
      <c r="Q50" s="134"/>
      <c r="S50" s="135"/>
    </row>
    <row r="51" spans="1:19" ht="12.95" customHeight="1" x14ac:dyDescent="0.25">
      <c r="A51" s="136" t="s">
        <v>204</v>
      </c>
      <c r="B51" s="137">
        <f>'Averages Pivot Table'!Z$291</f>
        <v>0</v>
      </c>
      <c r="C51" s="138">
        <f t="shared" si="76"/>
        <v>0</v>
      </c>
      <c r="D51" s="137">
        <f>'Averages Pivot Table'!AA$291</f>
        <v>47573.766972405749</v>
      </c>
      <c r="E51" s="138">
        <f t="shared" si="76"/>
        <v>11</v>
      </c>
      <c r="F51" s="137">
        <f>'Averages Pivot Table'!AB$291</f>
        <v>47321.805585513081</v>
      </c>
      <c r="G51" s="138">
        <f t="shared" ref="G51" si="101">IF(F51&gt;0,RANK(F51,(F$40:F$58)),0)</f>
        <v>10</v>
      </c>
      <c r="H51" s="137">
        <f>'Averages Pivot Table'!AC$291</f>
        <v>46495.810569948189</v>
      </c>
      <c r="I51" s="138">
        <f t="shared" ref="I51" si="102">IF(H51&gt;0,RANK(H51,(H$40:H$58)),0)</f>
        <v>7</v>
      </c>
      <c r="J51" s="671">
        <f>'Averages Pivot Table'!AE$291</f>
        <v>47272.222963320462</v>
      </c>
      <c r="K51" s="138">
        <f t="shared" ref="K51" si="103">IF(J51&gt;0,RANK(J51,(J$40:J$58)),0)</f>
        <v>11</v>
      </c>
      <c r="Q51" s="134"/>
      <c r="S51" s="135"/>
    </row>
    <row r="52" spans="1:19" ht="12.95" customHeight="1" x14ac:dyDescent="0.25">
      <c r="A52" s="136" t="s">
        <v>205</v>
      </c>
      <c r="B52" s="137">
        <f>'Averages Pivot Table'!Z$320</f>
        <v>55818.207547169812</v>
      </c>
      <c r="C52" s="138">
        <f t="shared" si="76"/>
        <v>2</v>
      </c>
      <c r="D52" s="137">
        <f>'Averages Pivot Table'!AA$320</f>
        <v>51246.090328571932</v>
      </c>
      <c r="E52" s="138">
        <f t="shared" si="76"/>
        <v>6</v>
      </c>
      <c r="F52" s="137">
        <f>'Averages Pivot Table'!AB$320</f>
        <v>44059.779247502767</v>
      </c>
      <c r="G52" s="138">
        <f t="shared" ref="G52" si="104">IF(F52&gt;0,RANK(F52,(F$40:F$58)),0)</f>
        <v>13</v>
      </c>
      <c r="H52" s="137">
        <f>'Averages Pivot Table'!AC$320</f>
        <v>44064.96109101874</v>
      </c>
      <c r="I52" s="138">
        <f t="shared" ref="I52" si="105">IF(H52&gt;0,RANK(H52,(H$40:H$58)),0)</f>
        <v>10</v>
      </c>
      <c r="J52" s="671">
        <f>'Averages Pivot Table'!AE$320</f>
        <v>49286.332586449695</v>
      </c>
      <c r="K52" s="138">
        <f t="shared" ref="K52" si="106">IF(J52&gt;0,RANK(J52,(J$40:J$58)),0)</f>
        <v>9</v>
      </c>
      <c r="Q52" s="134"/>
      <c r="S52" s="135"/>
    </row>
    <row r="53" spans="1:19" ht="12.95" customHeight="1" x14ac:dyDescent="0.25">
      <c r="A53" s="136" t="s">
        <v>206</v>
      </c>
      <c r="B53" s="137">
        <f>'Averages Pivot Table'!Z$349</f>
        <v>0</v>
      </c>
      <c r="C53" s="138">
        <f t="shared" si="76"/>
        <v>0</v>
      </c>
      <c r="D53" s="137">
        <f>'Averages Pivot Table'!AA$349</f>
        <v>46948.275000000001</v>
      </c>
      <c r="E53" s="138">
        <f t="shared" si="76"/>
        <v>12</v>
      </c>
      <c r="F53" s="137">
        <f>'Averages Pivot Table'!AB$349</f>
        <v>45528.085953878406</v>
      </c>
      <c r="G53" s="138">
        <f t="shared" ref="G53" si="107">IF(F53&gt;0,RANK(F53,(F$40:F$58)),0)</f>
        <v>12</v>
      </c>
      <c r="H53" s="137">
        <f>'Averages Pivot Table'!AC$349</f>
        <v>45239.603419322113</v>
      </c>
      <c r="I53" s="138">
        <f t="shared" ref="I53" si="108">IF(H53&gt;0,RANK(H53,(H$40:H$58)),0)</f>
        <v>9</v>
      </c>
      <c r="J53" s="671">
        <f>'Averages Pivot Table'!AE$349</f>
        <v>46416.180627116228</v>
      </c>
      <c r="K53" s="138">
        <f t="shared" ref="K53" si="109">IF(J53&gt;0,RANK(J53,(J$40:J$58)),0)</f>
        <v>14</v>
      </c>
      <c r="Q53" s="134"/>
      <c r="S53" s="135"/>
    </row>
    <row r="54" spans="1:19" ht="12.95" customHeight="1" x14ac:dyDescent="0.25">
      <c r="A54" s="136"/>
      <c r="B54" s="137"/>
      <c r="C54" s="138"/>
      <c r="D54" s="137"/>
      <c r="E54" s="138"/>
      <c r="F54" s="137"/>
      <c r="G54" s="138"/>
      <c r="H54" s="137"/>
      <c r="I54" s="138"/>
      <c r="J54" s="671"/>
      <c r="K54" s="138"/>
      <c r="Q54" s="134"/>
      <c r="S54" s="135"/>
    </row>
    <row r="55" spans="1:19" ht="12.95" customHeight="1" x14ac:dyDescent="0.25">
      <c r="A55" s="136" t="s">
        <v>207</v>
      </c>
      <c r="B55" s="137">
        <f>'Averages Pivot Table'!Z$378</f>
        <v>0</v>
      </c>
      <c r="C55" s="138">
        <f t="shared" si="76"/>
        <v>0</v>
      </c>
      <c r="D55" s="137">
        <f>'Averages Pivot Table'!AA$378</f>
        <v>46763.916043516721</v>
      </c>
      <c r="E55" s="138">
        <f t="shared" si="76"/>
        <v>13</v>
      </c>
      <c r="F55" s="137">
        <f>'Averages Pivot Table'!AB$378</f>
        <v>47717.353419346728</v>
      </c>
      <c r="G55" s="138">
        <f t="shared" ref="G55" si="110">IF(F55&gt;0,RANK(F55,(F$40:F$58)),0)</f>
        <v>8</v>
      </c>
      <c r="H55" s="137">
        <f>'Averages Pivot Table'!AC$378</f>
        <v>0</v>
      </c>
      <c r="I55" s="138">
        <f t="shared" ref="I55" si="111">IF(H55&gt;0,RANK(H55,(H$40:H$58)),0)</f>
        <v>0</v>
      </c>
      <c r="J55" s="671">
        <f>'Averages Pivot Table'!AE$378</f>
        <v>47190.804438172861</v>
      </c>
      <c r="K55" s="138">
        <f t="shared" ref="K55" si="112">IF(J55&gt;0,RANK(J55,(J$40:J$58)),0)</f>
        <v>12</v>
      </c>
      <c r="O55" s="131"/>
      <c r="Q55" s="134"/>
      <c r="S55" s="135"/>
    </row>
    <row r="56" spans="1:19" ht="12.95" customHeight="1" x14ac:dyDescent="0.25">
      <c r="A56" s="136" t="s">
        <v>208</v>
      </c>
      <c r="B56" s="137">
        <f>'Averages Pivot Table'!Z$407</f>
        <v>52103.272197979895</v>
      </c>
      <c r="C56" s="138">
        <f t="shared" si="76"/>
        <v>3</v>
      </c>
      <c r="D56" s="137">
        <f>'Averages Pivot Table'!AA$407</f>
        <v>54583.548893808802</v>
      </c>
      <c r="E56" s="138">
        <f t="shared" si="76"/>
        <v>3</v>
      </c>
      <c r="F56" s="137">
        <f>'Averages Pivot Table'!AB$407</f>
        <v>48817.014303140102</v>
      </c>
      <c r="G56" s="138">
        <f t="shared" ref="G56" si="113">IF(F56&gt;0,RANK(F56,(F$40:F$58)),0)</f>
        <v>5</v>
      </c>
      <c r="H56" s="137">
        <f>'Averages Pivot Table'!AC$407</f>
        <v>43078.443470954298</v>
      </c>
      <c r="I56" s="138">
        <f t="shared" ref="I56" si="114">IF(H56&gt;0,RANK(H56,(H$40:H$58)),0)</f>
        <v>11</v>
      </c>
      <c r="J56" s="671">
        <f>'Averages Pivot Table'!AE$407</f>
        <v>52811.83831584268</v>
      </c>
      <c r="K56" s="138">
        <f t="shared" ref="K56" si="115">IF(J56&gt;0,RANK(J56,(J$40:J$58)),0)</f>
        <v>6</v>
      </c>
      <c r="O56" s="158"/>
      <c r="Q56" s="134"/>
      <c r="S56" s="135"/>
    </row>
    <row r="57" spans="1:19" ht="12.95" customHeight="1" x14ac:dyDescent="0.25">
      <c r="A57" s="136" t="s">
        <v>209</v>
      </c>
      <c r="B57" s="137">
        <f>'Averages Pivot Table'!Z$436</f>
        <v>0</v>
      </c>
      <c r="C57" s="138">
        <f t="shared" si="76"/>
        <v>0</v>
      </c>
      <c r="D57" s="137">
        <f>'Averages Pivot Table'!AA$436</f>
        <v>0</v>
      </c>
      <c r="E57" s="138">
        <f t="shared" si="76"/>
        <v>0</v>
      </c>
      <c r="F57" s="137">
        <f>'Averages Pivot Table'!AB$436</f>
        <v>0</v>
      </c>
      <c r="G57" s="138">
        <f t="shared" ref="G57" si="116">IF(F57&gt;0,RANK(F57,(F$40:F$58)),0)</f>
        <v>0</v>
      </c>
      <c r="H57" s="137">
        <f>'Averages Pivot Table'!AC$436</f>
        <v>55960.411764705881</v>
      </c>
      <c r="I57" s="138">
        <f t="shared" ref="I57" si="117">IF(H57&gt;0,RANK(H57,(H$40:H$58)),0)</f>
        <v>2</v>
      </c>
      <c r="J57" s="671">
        <f>'Averages Pivot Table'!AE$436</f>
        <v>58338.548013402571</v>
      </c>
      <c r="K57" s="138">
        <f t="shared" ref="K57" si="118">IF(J57&gt;0,RANK(J57,(J$40:J$58)),0)</f>
        <v>3</v>
      </c>
      <c r="O57" s="158"/>
      <c r="Q57" s="134"/>
      <c r="S57" s="135"/>
    </row>
    <row r="58" spans="1:19" ht="12.95" customHeight="1" x14ac:dyDescent="0.25">
      <c r="A58" s="161" t="s">
        <v>210</v>
      </c>
      <c r="B58" s="140">
        <f>'Averages Pivot Table'!Z$465</f>
        <v>48385.719796991281</v>
      </c>
      <c r="C58" s="141">
        <f t="shared" si="76"/>
        <v>5</v>
      </c>
      <c r="D58" s="140">
        <f>'Averages Pivot Table'!AA$465</f>
        <v>0</v>
      </c>
      <c r="E58" s="141">
        <f t="shared" si="76"/>
        <v>0</v>
      </c>
      <c r="F58" s="140">
        <f>'Averages Pivot Table'!AB$465</f>
        <v>48043.848585435575</v>
      </c>
      <c r="G58" s="141">
        <f t="shared" ref="G58" si="119">IF(F58&gt;0,RANK(F58,(F$40:F$58)),0)</f>
        <v>7</v>
      </c>
      <c r="H58" s="140">
        <f>'Averages Pivot Table'!AC$465</f>
        <v>47413.500372700517</v>
      </c>
      <c r="I58" s="141">
        <f t="shared" ref="I58" si="120">IF(H58&gt;0,RANK(H58,(H$40:H$58)),0)</f>
        <v>6</v>
      </c>
      <c r="J58" s="672">
        <f>'Averages Pivot Table'!AE$465</f>
        <v>47829.981875728474</v>
      </c>
      <c r="K58" s="141">
        <f t="shared" ref="K58" si="121">IF(J58&gt;0,RANK(J58,(J$40:J$58)),0)</f>
        <v>10</v>
      </c>
      <c r="O58" s="158"/>
      <c r="Q58" s="134"/>
      <c r="S58" s="135"/>
    </row>
    <row r="59" spans="1:19" ht="30" customHeight="1" x14ac:dyDescent="0.25">
      <c r="A59" s="713" t="s">
        <v>187</v>
      </c>
      <c r="B59" s="713"/>
      <c r="C59" s="713"/>
      <c r="D59" s="713"/>
      <c r="E59" s="713"/>
      <c r="F59" s="713"/>
      <c r="G59" s="713"/>
      <c r="H59" s="713"/>
      <c r="I59" s="713"/>
      <c r="J59" s="713"/>
      <c r="K59" s="713"/>
      <c r="L59" s="204"/>
      <c r="M59" s="204"/>
      <c r="N59" s="166"/>
      <c r="O59" s="166"/>
      <c r="Q59" s="118"/>
    </row>
    <row r="60" spans="1:19" x14ac:dyDescent="0.25">
      <c r="K60" s="102" t="s">
        <v>1124</v>
      </c>
      <c r="Q60" s="118"/>
    </row>
    <row r="61" spans="1:19" ht="18" x14ac:dyDescent="0.25">
      <c r="A61" s="82" t="s">
        <v>213</v>
      </c>
      <c r="B61" s="82"/>
      <c r="C61" s="82"/>
      <c r="D61" s="82"/>
      <c r="E61" s="82"/>
      <c r="F61" s="82"/>
      <c r="G61" s="82"/>
      <c r="H61" s="82"/>
      <c r="I61" s="82"/>
      <c r="J61" s="82" t="s">
        <v>7</v>
      </c>
      <c r="K61" s="82"/>
      <c r="L61" s="82"/>
      <c r="M61" s="82"/>
      <c r="O61" s="158"/>
      <c r="Q61" s="118"/>
    </row>
    <row r="62" spans="1:19" x14ac:dyDescent="0.25">
      <c r="A62" s="87"/>
      <c r="B62" s="87"/>
      <c r="C62" s="87"/>
      <c r="D62" s="87"/>
      <c r="E62" s="87"/>
      <c r="F62" s="87"/>
      <c r="G62" s="112"/>
      <c r="H62" s="112"/>
      <c r="I62" s="112"/>
      <c r="J62" s="112"/>
      <c r="K62" s="112"/>
      <c r="O62" s="158"/>
      <c r="Q62" s="118"/>
    </row>
    <row r="63" spans="1:19" x14ac:dyDescent="0.25">
      <c r="A63" s="707" t="s">
        <v>189</v>
      </c>
      <c r="B63" s="707"/>
      <c r="C63" s="707"/>
      <c r="D63" s="707"/>
      <c r="E63" s="707"/>
      <c r="F63" s="707"/>
      <c r="G63" s="707"/>
      <c r="H63" s="707"/>
      <c r="I63" s="707"/>
      <c r="J63" s="112" t="s">
        <v>7</v>
      </c>
      <c r="K63" s="112"/>
      <c r="O63" s="158"/>
      <c r="Q63" s="118"/>
    </row>
    <row r="64" spans="1:19" x14ac:dyDescent="0.25">
      <c r="A64" s="707" t="s">
        <v>214</v>
      </c>
      <c r="B64" s="707"/>
      <c r="C64" s="707"/>
      <c r="D64" s="707"/>
      <c r="E64" s="707"/>
      <c r="F64" s="707"/>
      <c r="G64" s="707"/>
      <c r="H64" s="707"/>
      <c r="I64" s="707"/>
      <c r="J64" s="112" t="s">
        <v>7</v>
      </c>
      <c r="K64" s="112"/>
      <c r="O64" s="158"/>
      <c r="Q64" s="118"/>
    </row>
    <row r="65" spans="1:19" x14ac:dyDescent="0.25">
      <c r="A65" s="87"/>
      <c r="B65" s="87"/>
      <c r="C65" s="87"/>
      <c r="D65" s="87"/>
      <c r="E65" s="87"/>
      <c r="F65" s="87"/>
      <c r="G65" s="112"/>
      <c r="H65" s="112"/>
      <c r="I65" s="112"/>
      <c r="J65" s="112"/>
      <c r="K65" s="112"/>
      <c r="L65" s="133"/>
      <c r="M65" s="133"/>
      <c r="N65" s="133"/>
      <c r="O65" s="167"/>
      <c r="Q65" s="118"/>
    </row>
    <row r="66" spans="1:19" s="127" customFormat="1" ht="48" customHeight="1" x14ac:dyDescent="0.2">
      <c r="A66" s="168"/>
      <c r="B66" s="169" t="s">
        <v>215</v>
      </c>
      <c r="C66" s="170"/>
      <c r="D66" s="169" t="s">
        <v>185</v>
      </c>
      <c r="E66" s="116"/>
      <c r="F66" s="171" t="s">
        <v>186</v>
      </c>
      <c r="G66" s="116"/>
      <c r="L66" s="172" t="s">
        <v>7</v>
      </c>
      <c r="M66" s="173"/>
      <c r="N66" s="172"/>
      <c r="O66" s="174"/>
      <c r="Q66" s="118"/>
      <c r="R66" s="129"/>
      <c r="S66" s="110"/>
    </row>
    <row r="67" spans="1:19" x14ac:dyDescent="0.25">
      <c r="A67" s="120"/>
      <c r="B67" s="146" t="s">
        <v>193</v>
      </c>
      <c r="C67" s="147" t="s">
        <v>170</v>
      </c>
      <c r="D67" s="146" t="s">
        <v>193</v>
      </c>
      <c r="E67" s="147" t="s">
        <v>170</v>
      </c>
      <c r="F67" s="148" t="s">
        <v>193</v>
      </c>
      <c r="G67" s="147" t="s">
        <v>170</v>
      </c>
      <c r="L67" s="149"/>
      <c r="M67" s="150"/>
      <c r="N67" s="149"/>
      <c r="O67" s="158"/>
      <c r="Q67" s="118"/>
    </row>
    <row r="68" spans="1:19" s="127" customFormat="1" ht="18" customHeight="1" x14ac:dyDescent="0.25">
      <c r="A68" s="124" t="s">
        <v>194</v>
      </c>
      <c r="B68" s="125">
        <f>'Averages Pivot Table'!AF$493</f>
        <v>42974.690303876276</v>
      </c>
      <c r="C68" s="151"/>
      <c r="D68" s="125">
        <f>'Averages Pivot Table'!AG$493</f>
        <v>42334.887867422825</v>
      </c>
      <c r="E68" s="151"/>
      <c r="F68" s="153">
        <f>'Averages Pivot Table'!AH$493</f>
        <v>42787.539888618296</v>
      </c>
      <c r="G68" s="151"/>
      <c r="J68" s="151"/>
      <c r="K68" s="151"/>
      <c r="L68" s="151"/>
      <c r="M68" s="154"/>
      <c r="N68" s="154"/>
      <c r="O68" s="174"/>
      <c r="Q68" s="128"/>
      <c r="R68" s="129"/>
      <c r="S68" s="130"/>
    </row>
    <row r="69" spans="1:19" ht="12.95" customHeight="1" x14ac:dyDescent="0.25">
      <c r="A69" s="136"/>
      <c r="B69" s="131"/>
      <c r="C69" s="167"/>
      <c r="D69" s="131"/>
      <c r="E69" s="167"/>
      <c r="F69" s="670"/>
      <c r="G69" s="176"/>
      <c r="J69" s="133"/>
      <c r="O69" s="158"/>
      <c r="Q69" s="134"/>
      <c r="S69" s="135"/>
    </row>
    <row r="70" spans="1:19" ht="12.95" customHeight="1" x14ac:dyDescent="0.25">
      <c r="A70" s="136" t="s">
        <v>195</v>
      </c>
      <c r="B70" s="137">
        <f>'Averages Pivot Table'!AF$30</f>
        <v>53721.906360424029</v>
      </c>
      <c r="C70" s="138">
        <f>IF(B70&gt;0,RANK(B70,(B$70:B$88)),0)</f>
        <v>1</v>
      </c>
      <c r="D70" s="137">
        <f>'Averages Pivot Table'!AG$30</f>
        <v>53101.50111402278</v>
      </c>
      <c r="E70" s="138">
        <f>IF(D70&gt;0,RANK(D70,(D$70:D$88)),0)</f>
        <v>1</v>
      </c>
      <c r="F70" s="671">
        <f>'Averages Pivot Table'!AH$30</f>
        <v>53351.328730023284</v>
      </c>
      <c r="G70" s="138">
        <f>IF(F70&gt;0,RANK(F70,(F$70:F$88)),0)</f>
        <v>1</v>
      </c>
      <c r="J70" s="133"/>
      <c r="O70" s="167"/>
      <c r="Q70" s="134"/>
      <c r="S70" s="135"/>
    </row>
    <row r="71" spans="1:19" ht="12.95" customHeight="1" x14ac:dyDescent="0.25">
      <c r="A71" s="136" t="s">
        <v>196</v>
      </c>
      <c r="B71" s="137">
        <f>'Averages Pivot Table'!AF$59</f>
        <v>0</v>
      </c>
      <c r="C71" s="138">
        <f t="shared" ref="C71:E88" si="122">IF(B71&gt;0,RANK(B71,(B$70:B$88)),0)</f>
        <v>0</v>
      </c>
      <c r="D71" s="137">
        <f>'Averages Pivot Table'!AG$59</f>
        <v>0</v>
      </c>
      <c r="E71" s="138">
        <f t="shared" si="122"/>
        <v>0</v>
      </c>
      <c r="F71" s="671">
        <f>'Averages Pivot Table'!AH$59</f>
        <v>0</v>
      </c>
      <c r="G71" s="138">
        <f t="shared" ref="G71" si="123">IF(F71&gt;0,RANK(F71,(F$70:F$88)),0)</f>
        <v>0</v>
      </c>
      <c r="J71" s="133"/>
      <c r="O71" s="158"/>
      <c r="Q71" s="134"/>
      <c r="S71" s="135"/>
    </row>
    <row r="72" spans="1:19" ht="12.95" customHeight="1" x14ac:dyDescent="0.25">
      <c r="A72" s="136" t="s">
        <v>197</v>
      </c>
      <c r="B72" s="137">
        <f>'Averages Pivot Table'!AF$88</f>
        <v>0</v>
      </c>
      <c r="C72" s="138">
        <f t="shared" si="122"/>
        <v>0</v>
      </c>
      <c r="D72" s="137">
        <f>'Averages Pivot Table'!AG$88</f>
        <v>0</v>
      </c>
      <c r="E72" s="138">
        <f t="shared" si="122"/>
        <v>0</v>
      </c>
      <c r="F72" s="671">
        <f>'Averages Pivot Table'!AH$88</f>
        <v>0</v>
      </c>
      <c r="G72" s="138">
        <f t="shared" ref="G72" si="124">IF(F72&gt;0,RANK(F72,(F$70:F$88)),0)</f>
        <v>0</v>
      </c>
      <c r="J72" s="133"/>
      <c r="O72" s="158"/>
      <c r="Q72" s="134"/>
      <c r="S72" s="135"/>
    </row>
    <row r="73" spans="1:19" ht="12.95" customHeight="1" x14ac:dyDescent="0.25">
      <c r="A73" s="136" t="s">
        <v>198</v>
      </c>
      <c r="B73" s="137">
        <f>'Averages Pivot Table'!AF$117</f>
        <v>0</v>
      </c>
      <c r="C73" s="138">
        <f t="shared" si="122"/>
        <v>0</v>
      </c>
      <c r="D73" s="137">
        <f>'Averages Pivot Table'!AG$117</f>
        <v>0</v>
      </c>
      <c r="E73" s="138">
        <f t="shared" si="122"/>
        <v>0</v>
      </c>
      <c r="F73" s="671">
        <f>'Averages Pivot Table'!AH$117</f>
        <v>0</v>
      </c>
      <c r="G73" s="138">
        <f t="shared" ref="G73" si="125">IF(F73&gt;0,RANK(F73,(F$70:F$88)),0)</f>
        <v>0</v>
      </c>
      <c r="J73" s="133"/>
      <c r="O73" s="158"/>
      <c r="Q73" s="134"/>
      <c r="S73" s="135"/>
    </row>
    <row r="74" spans="1:19" ht="12.95" customHeight="1" x14ac:dyDescent="0.25">
      <c r="A74" s="136"/>
      <c r="B74" s="137"/>
      <c r="C74" s="138"/>
      <c r="D74" s="137"/>
      <c r="E74" s="138"/>
      <c r="F74" s="671"/>
      <c r="G74" s="138"/>
      <c r="J74" s="133"/>
      <c r="O74" s="158"/>
      <c r="Q74" s="134"/>
      <c r="S74" s="135"/>
    </row>
    <row r="75" spans="1:19" ht="12.95" customHeight="1" x14ac:dyDescent="0.25">
      <c r="A75" s="136" t="s">
        <v>199</v>
      </c>
      <c r="B75" s="137">
        <f>'Averages Pivot Table'!AF$146</f>
        <v>44683.856114851624</v>
      </c>
      <c r="C75" s="138">
        <f t="shared" si="122"/>
        <v>3</v>
      </c>
      <c r="D75" s="137">
        <f>'Averages Pivot Table'!AG$146</f>
        <v>0</v>
      </c>
      <c r="E75" s="138">
        <f t="shared" si="122"/>
        <v>0</v>
      </c>
      <c r="F75" s="671">
        <f>'Averages Pivot Table'!AH$146</f>
        <v>44683.856114851624</v>
      </c>
      <c r="G75" s="138">
        <f t="shared" ref="G75" si="126">IF(F75&gt;0,RANK(F75,(F$70:F$88)),0)</f>
        <v>3</v>
      </c>
      <c r="J75" s="133"/>
      <c r="O75" s="158"/>
      <c r="Q75" s="134"/>
      <c r="S75" s="135"/>
    </row>
    <row r="76" spans="1:19" ht="12.95" customHeight="1" x14ac:dyDescent="0.25">
      <c r="A76" s="136" t="s">
        <v>200</v>
      </c>
      <c r="B76" s="137">
        <f>'Averages Pivot Table'!AF$175</f>
        <v>44447.881971991519</v>
      </c>
      <c r="C76" s="138">
        <f t="shared" si="122"/>
        <v>4</v>
      </c>
      <c r="D76" s="137">
        <f>'Averages Pivot Table'!AG$175</f>
        <v>0</v>
      </c>
      <c r="E76" s="138">
        <f t="shared" si="122"/>
        <v>0</v>
      </c>
      <c r="F76" s="671">
        <f>'Averages Pivot Table'!AH$175</f>
        <v>44447.881971991519</v>
      </c>
      <c r="G76" s="138">
        <f t="shared" ref="G76" si="127">IF(F76&gt;0,RANK(F76,(F$70:F$88)),0)</f>
        <v>4</v>
      </c>
      <c r="J76" s="133"/>
      <c r="O76" s="158"/>
      <c r="Q76" s="134"/>
      <c r="S76" s="135"/>
    </row>
    <row r="77" spans="1:19" ht="12.95" customHeight="1" x14ac:dyDescent="0.25">
      <c r="A77" s="136" t="s">
        <v>201</v>
      </c>
      <c r="B77" s="137">
        <f>'Averages Pivot Table'!AF$204</f>
        <v>33757.175720921136</v>
      </c>
      <c r="C77" s="138">
        <f t="shared" si="122"/>
        <v>6</v>
      </c>
      <c r="D77" s="137">
        <f>'Averages Pivot Table'!AG$204</f>
        <v>0</v>
      </c>
      <c r="E77" s="138">
        <f t="shared" si="122"/>
        <v>0</v>
      </c>
      <c r="F77" s="671">
        <f>'Averages Pivot Table'!AH$204</f>
        <v>33757.175720921136</v>
      </c>
      <c r="G77" s="138">
        <f t="shared" ref="G77" si="128">IF(F77&gt;0,RANK(F77,(F$70:F$88)),0)</f>
        <v>6</v>
      </c>
      <c r="J77" s="133"/>
      <c r="Q77" s="134"/>
      <c r="S77" s="135"/>
    </row>
    <row r="78" spans="1:19" ht="12.95" customHeight="1" x14ac:dyDescent="0.25">
      <c r="A78" s="136" t="s">
        <v>202</v>
      </c>
      <c r="B78" s="137">
        <f>'Averages Pivot Table'!AF$233</f>
        <v>0</v>
      </c>
      <c r="C78" s="138">
        <f t="shared" si="122"/>
        <v>0</v>
      </c>
      <c r="D78" s="137">
        <f>'Averages Pivot Table'!AG$233</f>
        <v>0</v>
      </c>
      <c r="E78" s="138">
        <f t="shared" si="122"/>
        <v>0</v>
      </c>
      <c r="F78" s="671">
        <f>'Averages Pivot Table'!AH$233</f>
        <v>0</v>
      </c>
      <c r="G78" s="138">
        <f t="shared" ref="G78" si="129">IF(F78&gt;0,RANK(F78,(F$70:F$88)),0)</f>
        <v>0</v>
      </c>
      <c r="J78" s="133"/>
      <c r="Q78" s="134"/>
      <c r="S78" s="135"/>
    </row>
    <row r="79" spans="1:19" ht="12.95" customHeight="1" x14ac:dyDescent="0.25">
      <c r="A79" s="136"/>
      <c r="B79" s="137"/>
      <c r="C79" s="138"/>
      <c r="D79" s="137"/>
      <c r="E79" s="138"/>
      <c r="F79" s="671"/>
      <c r="G79" s="138"/>
      <c r="J79" s="133"/>
      <c r="Q79" s="134"/>
      <c r="S79" s="135"/>
    </row>
    <row r="80" spans="1:19" ht="12.95" customHeight="1" x14ac:dyDescent="0.25">
      <c r="A80" s="136" t="s">
        <v>203</v>
      </c>
      <c r="B80" s="137">
        <f>'Averages Pivot Table'!AF$262</f>
        <v>0</v>
      </c>
      <c r="C80" s="138">
        <f t="shared" si="122"/>
        <v>0</v>
      </c>
      <c r="D80" s="137">
        <f>'Averages Pivot Table'!AG$262</f>
        <v>0</v>
      </c>
      <c r="E80" s="138">
        <f t="shared" si="122"/>
        <v>0</v>
      </c>
      <c r="F80" s="671">
        <f>'Averages Pivot Table'!AH$262</f>
        <v>0</v>
      </c>
      <c r="G80" s="138">
        <f t="shared" ref="G80" si="130">IF(F80&gt;0,RANK(F80,(F$70:F$88)),0)</f>
        <v>0</v>
      </c>
      <c r="J80" s="133"/>
      <c r="Q80" s="134"/>
      <c r="S80" s="135"/>
    </row>
    <row r="81" spans="1:19" ht="12.95" customHeight="1" x14ac:dyDescent="0.25">
      <c r="A81" s="136" t="s">
        <v>204</v>
      </c>
      <c r="B81" s="137">
        <f>'Averages Pivot Table'!AF$291</f>
        <v>0</v>
      </c>
      <c r="C81" s="138">
        <f t="shared" si="122"/>
        <v>0</v>
      </c>
      <c r="D81" s="137">
        <f>'Averages Pivot Table'!AG$291</f>
        <v>0</v>
      </c>
      <c r="E81" s="138">
        <f t="shared" si="122"/>
        <v>0</v>
      </c>
      <c r="F81" s="671">
        <f>'Averages Pivot Table'!AH$291</f>
        <v>0</v>
      </c>
      <c r="G81" s="138">
        <f t="shared" ref="G81" si="131">IF(F81&gt;0,RANK(F81,(F$70:F$88)),0)</f>
        <v>0</v>
      </c>
      <c r="J81" s="133"/>
      <c r="Q81" s="134"/>
      <c r="S81" s="135"/>
    </row>
    <row r="82" spans="1:19" ht="12.95" customHeight="1" x14ac:dyDescent="0.25">
      <c r="A82" s="136" t="s">
        <v>205</v>
      </c>
      <c r="B82" s="137">
        <f>'Averages Pivot Table'!AF$320</f>
        <v>51005.345399644626</v>
      </c>
      <c r="C82" s="138">
        <f t="shared" si="122"/>
        <v>2</v>
      </c>
      <c r="D82" s="137">
        <f>'Averages Pivot Table'!AG$320</f>
        <v>44631.871443555588</v>
      </c>
      <c r="E82" s="138">
        <f t="shared" si="122"/>
        <v>2</v>
      </c>
      <c r="F82" s="671">
        <f>'Averages Pivot Table'!AH$320</f>
        <v>45843.451373316107</v>
      </c>
      <c r="G82" s="138">
        <f t="shared" ref="G82" si="132">IF(F82&gt;0,RANK(F82,(F$70:F$88)),0)</f>
        <v>2</v>
      </c>
      <c r="J82" s="133"/>
      <c r="Q82" s="134"/>
      <c r="S82" s="135"/>
    </row>
    <row r="83" spans="1:19" ht="12.95" customHeight="1" x14ac:dyDescent="0.25">
      <c r="A83" s="136" t="s">
        <v>206</v>
      </c>
      <c r="B83" s="137">
        <f>'Averages Pivot Table'!AF$349</f>
        <v>0</v>
      </c>
      <c r="C83" s="138">
        <f t="shared" si="122"/>
        <v>0</v>
      </c>
      <c r="D83" s="137">
        <f>'Averages Pivot Table'!AG$349</f>
        <v>0</v>
      </c>
      <c r="E83" s="138">
        <f t="shared" si="122"/>
        <v>0</v>
      </c>
      <c r="F83" s="671">
        <f>'Averages Pivot Table'!AH$349</f>
        <v>0</v>
      </c>
      <c r="G83" s="138">
        <f t="shared" ref="G83" si="133">IF(F83&gt;0,RANK(F83,(F$70:F$88)),0)</f>
        <v>0</v>
      </c>
      <c r="J83" s="133"/>
      <c r="Q83" s="134"/>
      <c r="S83" s="135"/>
    </row>
    <row r="84" spans="1:19" ht="12.95" customHeight="1" x14ac:dyDescent="0.25">
      <c r="A84" s="136"/>
      <c r="B84" s="137"/>
      <c r="C84" s="138"/>
      <c r="D84" s="137"/>
      <c r="E84" s="138"/>
      <c r="F84" s="671"/>
      <c r="G84" s="138"/>
      <c r="J84" s="133"/>
      <c r="Q84" s="134"/>
      <c r="S84" s="135"/>
    </row>
    <row r="85" spans="1:19" ht="12.95" customHeight="1" x14ac:dyDescent="0.25">
      <c r="A85" s="136" t="s">
        <v>207</v>
      </c>
      <c r="B85" s="137">
        <f>'Averages Pivot Table'!AF$378</f>
        <v>36731.91891891892</v>
      </c>
      <c r="C85" s="138">
        <f t="shared" si="122"/>
        <v>5</v>
      </c>
      <c r="D85" s="137">
        <f>'Averages Pivot Table'!AG$378</f>
        <v>35061.097998812351</v>
      </c>
      <c r="E85" s="138">
        <f t="shared" si="122"/>
        <v>3</v>
      </c>
      <c r="F85" s="671">
        <f>'Averages Pivot Table'!AH$378</f>
        <v>35196.076981441045</v>
      </c>
      <c r="G85" s="138">
        <f t="shared" ref="G85" si="134">IF(F85&gt;0,RANK(F85,(F$70:F$88)),0)</f>
        <v>5</v>
      </c>
      <c r="J85" s="133"/>
      <c r="Q85" s="134"/>
      <c r="S85" s="135"/>
    </row>
    <row r="86" spans="1:19" ht="12.95" customHeight="1" x14ac:dyDescent="0.25">
      <c r="A86" s="136" t="s">
        <v>208</v>
      </c>
      <c r="B86" s="137">
        <f>'Averages Pivot Table'!AF$407</f>
        <v>0</v>
      </c>
      <c r="C86" s="138">
        <f t="shared" si="122"/>
        <v>0</v>
      </c>
      <c r="D86" s="137">
        <f>'Averages Pivot Table'!AG$407</f>
        <v>0</v>
      </c>
      <c r="E86" s="138">
        <f t="shared" si="122"/>
        <v>0</v>
      </c>
      <c r="F86" s="671">
        <f>'Averages Pivot Table'!AH$407</f>
        <v>0</v>
      </c>
      <c r="G86" s="138">
        <f t="shared" ref="G86" si="135">IF(F86&gt;0,RANK(F86,(F$70:F$88)),0)</f>
        <v>0</v>
      </c>
      <c r="J86" s="133"/>
      <c r="Q86" s="134"/>
      <c r="S86" s="135"/>
    </row>
    <row r="87" spans="1:19" ht="12.95" customHeight="1" x14ac:dyDescent="0.25">
      <c r="A87" s="136" t="s">
        <v>209</v>
      </c>
      <c r="B87" s="137">
        <f>'Averages Pivot Table'!AF$436</f>
        <v>0</v>
      </c>
      <c r="C87" s="138">
        <f t="shared" si="122"/>
        <v>0</v>
      </c>
      <c r="D87" s="137">
        <f>'Averages Pivot Table'!AG$436</f>
        <v>0</v>
      </c>
      <c r="E87" s="138">
        <f t="shared" si="122"/>
        <v>0</v>
      </c>
      <c r="F87" s="671">
        <f>'Averages Pivot Table'!AH$436</f>
        <v>0</v>
      </c>
      <c r="G87" s="138">
        <f t="shared" ref="G87" si="136">IF(F87&gt;0,RANK(F87,(F$70:F$88)),0)</f>
        <v>0</v>
      </c>
      <c r="J87" s="133"/>
      <c r="Q87" s="134"/>
      <c r="S87" s="135"/>
    </row>
    <row r="88" spans="1:19" ht="12.95" customHeight="1" x14ac:dyDescent="0.25">
      <c r="A88" s="161" t="s">
        <v>210</v>
      </c>
      <c r="B88" s="140">
        <f>'Averages Pivot Table'!AF$465</f>
        <v>0</v>
      </c>
      <c r="C88" s="141">
        <f t="shared" si="122"/>
        <v>0</v>
      </c>
      <c r="D88" s="140">
        <f>'Averages Pivot Table'!AG$465</f>
        <v>0</v>
      </c>
      <c r="E88" s="141">
        <f t="shared" si="122"/>
        <v>0</v>
      </c>
      <c r="F88" s="672">
        <f>'Averages Pivot Table'!AH$465</f>
        <v>0</v>
      </c>
      <c r="G88" s="141">
        <f t="shared" ref="G88" si="137">IF(F88&gt;0,RANK(F88,(F$70:F$88)),0)</f>
        <v>0</v>
      </c>
      <c r="J88" s="133"/>
      <c r="Q88" s="134"/>
      <c r="S88" s="135"/>
    </row>
    <row r="89" spans="1:19" ht="39.75" customHeight="1" x14ac:dyDescent="0.25">
      <c r="A89" s="711" t="s">
        <v>216</v>
      </c>
      <c r="B89" s="721"/>
      <c r="C89" s="721"/>
      <c r="D89" s="721"/>
      <c r="E89" s="721"/>
      <c r="F89" s="721"/>
      <c r="G89" s="721"/>
      <c r="H89" s="205"/>
      <c r="I89" s="205"/>
      <c r="J89" s="133"/>
    </row>
    <row r="90" spans="1:19" x14ac:dyDescent="0.25">
      <c r="G90" s="102" t="s">
        <v>1124</v>
      </c>
      <c r="I90" s="102" t="s">
        <v>7</v>
      </c>
    </row>
    <row r="91" spans="1:19" ht="18" x14ac:dyDescent="0.25">
      <c r="A91" s="82" t="s">
        <v>217</v>
      </c>
      <c r="B91" s="82"/>
      <c r="C91" s="82"/>
      <c r="D91" s="82"/>
      <c r="E91" s="82"/>
      <c r="F91" s="82"/>
      <c r="G91" s="82"/>
      <c r="H91" s="82"/>
      <c r="I91" s="82"/>
      <c r="J91" s="82"/>
      <c r="K91" s="82"/>
      <c r="L91" s="82"/>
      <c r="M91" s="82"/>
      <c r="N91" s="179"/>
      <c r="O91" s="179"/>
    </row>
    <row r="92" spans="1:19" x14ac:dyDescent="0.25">
      <c r="A92" s="180"/>
      <c r="B92" s="87"/>
      <c r="C92" s="87"/>
      <c r="D92" s="87"/>
      <c r="E92" s="87"/>
      <c r="F92" s="87"/>
      <c r="G92" s="87"/>
      <c r="H92" s="87"/>
      <c r="I92" s="87"/>
      <c r="J92" s="87"/>
      <c r="K92" s="87"/>
      <c r="L92" s="87"/>
      <c r="M92" s="87"/>
      <c r="N92" s="87"/>
      <c r="O92" s="87"/>
    </row>
    <row r="93" spans="1:19" x14ac:dyDescent="0.25">
      <c r="A93" s="707" t="s">
        <v>218</v>
      </c>
      <c r="B93" s="707"/>
      <c r="C93" s="707"/>
      <c r="D93" s="707"/>
      <c r="E93" s="707"/>
      <c r="F93" s="707"/>
      <c r="G93" s="707"/>
      <c r="H93" s="707"/>
      <c r="I93" s="707"/>
      <c r="J93" s="707"/>
      <c r="K93" s="707"/>
      <c r="L93" s="707"/>
      <c r="M93" s="707"/>
      <c r="N93" s="181"/>
      <c r="O93" s="181"/>
    </row>
    <row r="94" spans="1:19" x14ac:dyDescent="0.25">
      <c r="A94" s="707" t="s">
        <v>190</v>
      </c>
      <c r="B94" s="707"/>
      <c r="C94" s="707"/>
      <c r="D94" s="707"/>
      <c r="E94" s="707"/>
      <c r="F94" s="707"/>
      <c r="G94" s="707"/>
      <c r="H94" s="707"/>
      <c r="I94" s="707"/>
      <c r="J94" s="707"/>
      <c r="K94" s="707"/>
      <c r="L94" s="707"/>
      <c r="M94" s="707"/>
      <c r="N94" s="181"/>
      <c r="O94" s="181"/>
    </row>
    <row r="95" spans="1:19" x14ac:dyDescent="0.25">
      <c r="A95" s="136"/>
      <c r="B95" s="136"/>
      <c r="C95" s="136"/>
      <c r="D95" s="136"/>
      <c r="E95" s="136"/>
      <c r="F95" s="136"/>
      <c r="G95" s="136"/>
      <c r="H95" s="136"/>
      <c r="I95" s="136"/>
      <c r="J95" s="136"/>
      <c r="K95" s="136"/>
      <c r="L95" s="136"/>
      <c r="M95" s="136"/>
      <c r="N95" s="136"/>
      <c r="O95" s="136"/>
    </row>
    <row r="96" spans="1:19" ht="31.5" customHeight="1" x14ac:dyDescent="0.25">
      <c r="A96" s="114"/>
      <c r="B96" s="182" t="s">
        <v>3</v>
      </c>
      <c r="C96" s="183"/>
      <c r="D96" s="184" t="s">
        <v>4</v>
      </c>
      <c r="E96" s="185"/>
      <c r="F96" s="184" t="s">
        <v>5</v>
      </c>
      <c r="G96" s="185"/>
      <c r="H96" s="182" t="s">
        <v>6</v>
      </c>
      <c r="I96" s="183"/>
      <c r="J96" s="184" t="s">
        <v>219</v>
      </c>
      <c r="K96" s="185"/>
      <c r="L96" s="183" t="s">
        <v>220</v>
      </c>
      <c r="M96" s="183"/>
      <c r="N96" s="186" t="s">
        <v>7</v>
      </c>
      <c r="O96" s="186"/>
    </row>
    <row r="97" spans="1:19" x14ac:dyDescent="0.25">
      <c r="A97" s="120"/>
      <c r="B97" s="116" t="s">
        <v>193</v>
      </c>
      <c r="C97" s="115" t="s">
        <v>170</v>
      </c>
      <c r="D97" s="116" t="s">
        <v>193</v>
      </c>
      <c r="E97" s="115" t="s">
        <v>170</v>
      </c>
      <c r="F97" s="116" t="s">
        <v>193</v>
      </c>
      <c r="G97" s="115" t="s">
        <v>170</v>
      </c>
      <c r="H97" s="116" t="s">
        <v>193</v>
      </c>
      <c r="I97" s="115" t="s">
        <v>170</v>
      </c>
      <c r="J97" s="116" t="s">
        <v>193</v>
      </c>
      <c r="K97" s="115" t="s">
        <v>170</v>
      </c>
      <c r="L97" s="116" t="s">
        <v>193</v>
      </c>
      <c r="M97" s="115" t="s">
        <v>170</v>
      </c>
    </row>
    <row r="98" spans="1:19" s="127" customFormat="1" ht="18" customHeight="1" x14ac:dyDescent="0.25">
      <c r="A98" s="124" t="s">
        <v>194</v>
      </c>
      <c r="B98" s="151">
        <f>'Averages Pivot Table'!Y$469</f>
        <v>105279.60100669328</v>
      </c>
      <c r="C98" s="151"/>
      <c r="D98" s="151">
        <f>'Averages Pivot Table'!Y$473</f>
        <v>75152.165388629699</v>
      </c>
      <c r="E98" s="151"/>
      <c r="F98" s="151">
        <f>'Averages Pivot Table'!Y$477</f>
        <v>63585.804013193963</v>
      </c>
      <c r="G98" s="151"/>
      <c r="H98" s="151">
        <f>'Averages Pivot Table'!Y$481</f>
        <v>45231.529040463967</v>
      </c>
      <c r="I98" s="151"/>
      <c r="J98" s="151">
        <f>'Averages Pivot Table'!Y$485</f>
        <v>49454.775006606593</v>
      </c>
      <c r="K98" s="151"/>
      <c r="L98" s="151">
        <f>'Averages Pivot Table'!Y$493</f>
        <v>74978.086726519134</v>
      </c>
      <c r="M98" s="187"/>
      <c r="N98" s="151"/>
      <c r="O98" s="188"/>
      <c r="Q98" s="129"/>
      <c r="R98" s="129"/>
      <c r="S98" s="129"/>
    </row>
    <row r="99" spans="1:19" ht="12.95" customHeight="1" x14ac:dyDescent="0.25">
      <c r="A99" s="136"/>
      <c r="B99" s="131"/>
      <c r="C99" s="155"/>
      <c r="D99" s="131"/>
      <c r="E99" s="155"/>
      <c r="F99" s="131"/>
      <c r="G99" s="155"/>
      <c r="H99" s="131"/>
      <c r="I99" s="155"/>
      <c r="J99" s="131"/>
      <c r="K99" s="155"/>
      <c r="L99" s="131"/>
      <c r="M99" s="155"/>
      <c r="N99" s="131"/>
      <c r="O99" s="132"/>
    </row>
    <row r="100" spans="1:19" ht="12.95" customHeight="1" x14ac:dyDescent="0.25">
      <c r="A100" s="136" t="s">
        <v>195</v>
      </c>
      <c r="B100" s="189">
        <f>'Averages Pivot Table'!Y$6</f>
        <v>106192.41890066862</v>
      </c>
      <c r="C100" s="138">
        <f>IF(B100&gt;0,RANK(B100,(B$100:B$118)),0)</f>
        <v>7</v>
      </c>
      <c r="D100" s="189">
        <f>'Averages Pivot Table'!Y$10</f>
        <v>76635.373993158704</v>
      </c>
      <c r="E100" s="138">
        <f>IF(D100&gt;0,RANK(D100,(D$100:D$118)),0)</f>
        <v>6</v>
      </c>
      <c r="F100" s="189">
        <f>'Averages Pivot Table'!Y$14</f>
        <v>62055.385232885033</v>
      </c>
      <c r="G100" s="138">
        <f>IF(F100&gt;0,RANK(F100,(F$100:F$118)),0)</f>
        <v>8</v>
      </c>
      <c r="H100" s="189">
        <f>'Averages Pivot Table'!Y$18</f>
        <v>46244.791385305034</v>
      </c>
      <c r="I100" s="138">
        <f>IF(H100&gt;0,RANK(H100,(H$100:H$118)),0)</f>
        <v>6</v>
      </c>
      <c r="J100" s="189">
        <f>'Averages Pivot Table'!Y$22</f>
        <v>49641.52647248342</v>
      </c>
      <c r="K100" s="138">
        <f>IF(J100&gt;0,RANK(J100,(J$100:J$118)),0)</f>
        <v>7</v>
      </c>
      <c r="L100" s="189">
        <f>'Averages Pivot Table'!Y$30</f>
        <v>75505.899315381888</v>
      </c>
      <c r="M100" s="138">
        <f>IF(L100&gt;0,RANK(L100,(L$100:L$118)),0)</f>
        <v>7</v>
      </c>
      <c r="N100" s="189"/>
      <c r="O100" s="190"/>
    </row>
    <row r="101" spans="1:19" ht="12.95" customHeight="1" x14ac:dyDescent="0.25">
      <c r="A101" s="136" t="s">
        <v>196</v>
      </c>
      <c r="B101" s="189">
        <f>'Averages Pivot Table'!Y$35</f>
        <v>88751.953279015812</v>
      </c>
      <c r="C101" s="138">
        <f t="shared" ref="C101:E118" si="138">IF(B101&gt;0,RANK(B101,(B$100:B$118)),0)</f>
        <v>15</v>
      </c>
      <c r="D101" s="189">
        <f>'Averages Pivot Table'!Y$39</f>
        <v>65974.238998533328</v>
      </c>
      <c r="E101" s="138">
        <f t="shared" si="138"/>
        <v>16</v>
      </c>
      <c r="F101" s="189">
        <f>'Averages Pivot Table'!Y$43</f>
        <v>57358.36412429998</v>
      </c>
      <c r="G101" s="138">
        <f t="shared" ref="G101" si="139">IF(F101&gt;0,RANK(F101,(F$100:F$118)),0)</f>
        <v>16</v>
      </c>
      <c r="H101" s="189">
        <f>'Averages Pivot Table'!Y$47</f>
        <v>41189.117814358469</v>
      </c>
      <c r="I101" s="138">
        <f t="shared" ref="I101" si="140">IF(H101&gt;0,RANK(H101,(H$100:H$118)),0)</f>
        <v>15</v>
      </c>
      <c r="J101" s="189">
        <f>'Averages Pivot Table'!Y$51</f>
        <v>41827.933169583608</v>
      </c>
      <c r="K101" s="138">
        <f t="shared" ref="K101" si="141">IF(J101&gt;0,RANK(J101,(J$100:J$118)),0)</f>
        <v>13</v>
      </c>
      <c r="L101" s="189">
        <f>'Averages Pivot Table'!Y$59</f>
        <v>62745.671817561451</v>
      </c>
      <c r="M101" s="138">
        <f t="shared" ref="M101" si="142">IF(L101&gt;0,RANK(L101,(L$100:L$118)),0)</f>
        <v>16</v>
      </c>
      <c r="N101" s="189"/>
      <c r="O101" s="190"/>
    </row>
    <row r="102" spans="1:19" ht="12.95" customHeight="1" x14ac:dyDescent="0.25">
      <c r="A102" s="136" t="s">
        <v>197</v>
      </c>
      <c r="B102" s="189">
        <f>'Averages Pivot Table'!Y$64</f>
        <v>133140.18283033595</v>
      </c>
      <c r="C102" s="138">
        <f t="shared" si="138"/>
        <v>1</v>
      </c>
      <c r="D102" s="189">
        <f>'Averages Pivot Table'!Y$68</f>
        <v>87732.59293683595</v>
      </c>
      <c r="E102" s="138">
        <f t="shared" si="138"/>
        <v>1</v>
      </c>
      <c r="F102" s="189">
        <f>'Averages Pivot Table'!Y$72</f>
        <v>77351.547452547456</v>
      </c>
      <c r="G102" s="138">
        <f t="shared" ref="G102" si="143">IF(F102&gt;0,RANK(F102,(F$100:F$118)),0)</f>
        <v>1</v>
      </c>
      <c r="H102" s="189">
        <f>'Averages Pivot Table'!Y$76</f>
        <v>62349.54006034194</v>
      </c>
      <c r="I102" s="138">
        <f t="shared" ref="I102" si="144">IF(H102&gt;0,RANK(H102,(H$100:H$118)),0)</f>
        <v>1</v>
      </c>
      <c r="J102" s="189">
        <f>'Averages Pivot Table'!Y$80</f>
        <v>47000</v>
      </c>
      <c r="K102" s="138">
        <f t="shared" ref="K102" si="145">IF(J102&gt;0,RANK(J102,(J$100:J$118)),0)</f>
        <v>10</v>
      </c>
      <c r="L102" s="189">
        <f>'Averages Pivot Table'!Y$88</f>
        <v>97421.263556558129</v>
      </c>
      <c r="M102" s="138">
        <f t="shared" ref="M102" si="146">IF(L102&gt;0,RANK(L102,(L$100:L$118)),0)</f>
        <v>1</v>
      </c>
      <c r="N102" s="189"/>
      <c r="O102" s="190"/>
    </row>
    <row r="103" spans="1:19" ht="12.95" customHeight="1" x14ac:dyDescent="0.25">
      <c r="A103" s="136" t="s">
        <v>198</v>
      </c>
      <c r="B103" s="189">
        <f>'Averages Pivot Table'!Y$93</f>
        <v>107897.655659519</v>
      </c>
      <c r="C103" s="138">
        <f t="shared" si="138"/>
        <v>6</v>
      </c>
      <c r="D103" s="189">
        <f>'Averages Pivot Table'!Y$97</f>
        <v>76148.822976485899</v>
      </c>
      <c r="E103" s="138">
        <f t="shared" si="138"/>
        <v>7</v>
      </c>
      <c r="F103" s="189">
        <f>'Averages Pivot Table'!Y$101</f>
        <v>65821.331808381001</v>
      </c>
      <c r="G103" s="138">
        <f t="shared" ref="G103" si="147">IF(F103&gt;0,RANK(F103,(F$100:F$118)),0)</f>
        <v>6</v>
      </c>
      <c r="H103" s="189">
        <f>'Averages Pivot Table'!Y$105</f>
        <v>47507.429600188298</v>
      </c>
      <c r="I103" s="138">
        <f t="shared" ref="I103" si="148">IF(H103&gt;0,RANK(H103,(H$100:H$118)),0)</f>
        <v>5</v>
      </c>
      <c r="J103" s="189">
        <f>'Averages Pivot Table'!Y$109</f>
        <v>55928.551469156497</v>
      </c>
      <c r="K103" s="138">
        <f t="shared" ref="K103" si="149">IF(J103&gt;0,RANK(J103,(J$100:J$118)),0)</f>
        <v>1</v>
      </c>
      <c r="L103" s="189">
        <f>'Averages Pivot Table'!Y$117</f>
        <v>77457.914603427271</v>
      </c>
      <c r="M103" s="138">
        <f t="shared" ref="M103" si="150">IF(L103&gt;0,RANK(L103,(L$100:L$118)),0)</f>
        <v>6</v>
      </c>
      <c r="N103" s="189"/>
      <c r="O103" s="190"/>
    </row>
    <row r="104" spans="1:19" ht="12.95" customHeight="1" x14ac:dyDescent="0.25">
      <c r="A104" s="136"/>
      <c r="B104" s="189"/>
      <c r="C104" s="138"/>
      <c r="D104" s="189"/>
      <c r="E104" s="138"/>
      <c r="F104" s="189"/>
      <c r="G104" s="138"/>
      <c r="H104" s="189"/>
      <c r="I104" s="138"/>
      <c r="J104" s="189"/>
      <c r="K104" s="138"/>
      <c r="L104" s="189"/>
      <c r="M104" s="138"/>
      <c r="N104" s="189"/>
      <c r="O104" s="190"/>
    </row>
    <row r="105" spans="1:19" ht="12.95" customHeight="1" x14ac:dyDescent="0.25">
      <c r="A105" s="136" t="s">
        <v>199</v>
      </c>
      <c r="B105" s="189">
        <f>'Averages Pivot Table'!Y$122</f>
        <v>102373.93927384641</v>
      </c>
      <c r="C105" s="138">
        <f t="shared" si="138"/>
        <v>8</v>
      </c>
      <c r="D105" s="189">
        <f>'Averages Pivot Table'!Y$126</f>
        <v>72503.656405280271</v>
      </c>
      <c r="E105" s="138">
        <f t="shared" si="138"/>
        <v>9</v>
      </c>
      <c r="F105" s="189">
        <f>'Averages Pivot Table'!Y$130</f>
        <v>61565.946617931477</v>
      </c>
      <c r="G105" s="138">
        <f t="shared" ref="G105" si="151">IF(F105&gt;0,RANK(F105,(F$100:F$118)),0)</f>
        <v>9</v>
      </c>
      <c r="H105" s="189">
        <f>'Averages Pivot Table'!Y$134</f>
        <v>43638.6902827628</v>
      </c>
      <c r="I105" s="138">
        <f t="shared" ref="I105" si="152">IF(H105&gt;0,RANK(H105,(H$100:H$118)),0)</f>
        <v>10</v>
      </c>
      <c r="J105" s="189">
        <f>'Averages Pivot Table'!Y$138</f>
        <v>50278.540594908525</v>
      </c>
      <c r="K105" s="138">
        <f t="shared" ref="K105" si="153">IF(J105&gt;0,RANK(J105,(J$100:J$118)),0)</f>
        <v>6</v>
      </c>
      <c r="L105" s="189">
        <f>'Averages Pivot Table'!Y$146</f>
        <v>72543.870602201961</v>
      </c>
      <c r="M105" s="138">
        <f t="shared" ref="M105" si="154">IF(L105&gt;0,RANK(L105,(L$100:L$118)),0)</f>
        <v>8</v>
      </c>
      <c r="N105" s="189"/>
      <c r="O105" s="190"/>
    </row>
    <row r="106" spans="1:19" ht="12.95" customHeight="1" x14ac:dyDescent="0.25">
      <c r="A106" s="136" t="s">
        <v>200</v>
      </c>
      <c r="B106" s="189">
        <f>'Averages Pivot Table'!Y$151</f>
        <v>97039.402483521422</v>
      </c>
      <c r="C106" s="138">
        <f t="shared" si="138"/>
        <v>10</v>
      </c>
      <c r="D106" s="189">
        <f>'Averages Pivot Table'!Y$155</f>
        <v>71143.575387070174</v>
      </c>
      <c r="E106" s="138">
        <f t="shared" si="138"/>
        <v>11</v>
      </c>
      <c r="F106" s="189">
        <f>'Averages Pivot Table'!Y$159</f>
        <v>60005.417668599977</v>
      </c>
      <c r="G106" s="138">
        <f t="shared" ref="G106" si="155">IF(F106&gt;0,RANK(F106,(F$100:F$118)),0)</f>
        <v>10</v>
      </c>
      <c r="H106" s="189">
        <f>'Averages Pivot Table'!Y$163</f>
        <v>44856.976665332644</v>
      </c>
      <c r="I106" s="138">
        <f t="shared" ref="I106" si="156">IF(H106&gt;0,RANK(H106,(H$100:H$118)),0)</f>
        <v>9</v>
      </c>
      <c r="J106" s="189">
        <f>'Averages Pivot Table'!Y$167</f>
        <v>45554.748569381198</v>
      </c>
      <c r="K106" s="138">
        <f t="shared" ref="K106" si="157">IF(J106&gt;0,RANK(J106,(J$100:J$118)),0)</f>
        <v>12</v>
      </c>
      <c r="L106" s="189">
        <f>'Averages Pivot Table'!Y$175</f>
        <v>70068.024638056842</v>
      </c>
      <c r="M106" s="138">
        <f t="shared" ref="M106" si="158">IF(L106&gt;0,RANK(L106,(L$100:L$118)),0)</f>
        <v>11</v>
      </c>
      <c r="N106" s="189"/>
      <c r="O106" s="190"/>
    </row>
    <row r="107" spans="1:19" ht="12.95" customHeight="1" x14ac:dyDescent="0.25">
      <c r="A107" s="136" t="s">
        <v>201</v>
      </c>
      <c r="B107" s="189">
        <f>'Averages Pivot Table'!Y$180</f>
        <v>90550.409177786598</v>
      </c>
      <c r="C107" s="138">
        <f t="shared" si="138"/>
        <v>13</v>
      </c>
      <c r="D107" s="189">
        <f>'Averages Pivot Table'!Y$184</f>
        <v>68005.102336510914</v>
      </c>
      <c r="E107" s="138">
        <f t="shared" si="138"/>
        <v>14</v>
      </c>
      <c r="F107" s="189">
        <f>'Averages Pivot Table'!Y$188</f>
        <v>58054.32146468835</v>
      </c>
      <c r="G107" s="138">
        <f t="shared" ref="G107" si="159">IF(F107&gt;0,RANK(F107,(F$100:F$118)),0)</f>
        <v>14</v>
      </c>
      <c r="H107" s="189">
        <f>'Averages Pivot Table'!Y$192</f>
        <v>43113.68690313938</v>
      </c>
      <c r="I107" s="138">
        <f t="shared" ref="I107" si="160">IF(H107&gt;0,RANK(H107,(H$100:H$118)),0)</f>
        <v>12</v>
      </c>
      <c r="J107" s="189">
        <f>'Averages Pivot Table'!Y$196</f>
        <v>53043.299997496702</v>
      </c>
      <c r="K107" s="138">
        <f t="shared" ref="K107" si="161">IF(J107&gt;0,RANK(J107,(J$100:J$118)),0)</f>
        <v>4</v>
      </c>
      <c r="L107" s="189">
        <f>'Averages Pivot Table'!Y$204</f>
        <v>65602.093713538197</v>
      </c>
      <c r="M107" s="138">
        <f t="shared" ref="M107" si="162">IF(L107&gt;0,RANK(L107,(L$100:L$118)),0)</f>
        <v>14</v>
      </c>
      <c r="N107" s="189"/>
      <c r="O107" s="190"/>
    </row>
    <row r="108" spans="1:19" ht="12.95" customHeight="1" x14ac:dyDescent="0.25">
      <c r="A108" s="136" t="s">
        <v>202</v>
      </c>
      <c r="B108" s="189">
        <f>'Averages Pivot Table'!Y$209</f>
        <v>115439.328511927</v>
      </c>
      <c r="C108" s="138">
        <f t="shared" si="138"/>
        <v>2</v>
      </c>
      <c r="D108" s="189">
        <f>'Averages Pivot Table'!Y$213</f>
        <v>81136.996340602491</v>
      </c>
      <c r="E108" s="138">
        <f t="shared" si="138"/>
        <v>2</v>
      </c>
      <c r="F108" s="189">
        <f>'Averages Pivot Table'!Y$217</f>
        <v>69039.225782101625</v>
      </c>
      <c r="G108" s="138">
        <f t="shared" ref="G108" si="163">IF(F108&gt;0,RANK(F108,(F$100:F$118)),0)</f>
        <v>2</v>
      </c>
      <c r="H108" s="189">
        <f>'Averages Pivot Table'!Y$221</f>
        <v>56139.020790458228</v>
      </c>
      <c r="I108" s="138">
        <f t="shared" ref="I108" si="164">IF(H108&gt;0,RANK(H108,(H$100:H$118)),0)</f>
        <v>3</v>
      </c>
      <c r="J108" s="189">
        <f>'Averages Pivot Table'!Y$225</f>
        <v>49437.793499786436</v>
      </c>
      <c r="K108" s="138">
        <f t="shared" ref="K108" si="165">IF(J108&gt;0,RANK(J108,(J$100:J$118)),0)</f>
        <v>8</v>
      </c>
      <c r="L108" s="189">
        <f>'Averages Pivot Table'!Y$233</f>
        <v>81380.246539352112</v>
      </c>
      <c r="M108" s="138">
        <f t="shared" ref="M108" si="166">IF(L108&gt;0,RANK(L108,(L$100:L$118)),0)</f>
        <v>3</v>
      </c>
      <c r="N108" s="189"/>
      <c r="O108" s="190"/>
    </row>
    <row r="109" spans="1:19" ht="12.95" customHeight="1" x14ac:dyDescent="0.25">
      <c r="A109" s="136"/>
      <c r="B109" s="189"/>
      <c r="C109" s="138"/>
      <c r="D109" s="189"/>
      <c r="E109" s="138"/>
      <c r="F109" s="189"/>
      <c r="G109" s="138"/>
      <c r="H109" s="189"/>
      <c r="I109" s="138"/>
      <c r="J109" s="189"/>
      <c r="K109" s="138"/>
      <c r="L109" s="189"/>
      <c r="M109" s="138"/>
      <c r="N109" s="189"/>
      <c r="O109" s="190"/>
    </row>
    <row r="110" spans="1:19" ht="12.95" customHeight="1" x14ac:dyDescent="0.25">
      <c r="A110" s="136" t="s">
        <v>203</v>
      </c>
      <c r="B110" s="189">
        <f>'Averages Pivot Table'!Y$238</f>
        <v>90133.219441474634</v>
      </c>
      <c r="C110" s="138">
        <f t="shared" si="138"/>
        <v>14</v>
      </c>
      <c r="D110" s="189">
        <f>'Averages Pivot Table'!Y$242</f>
        <v>69085.686060837528</v>
      </c>
      <c r="E110" s="138">
        <f t="shared" si="138"/>
        <v>12</v>
      </c>
      <c r="F110" s="189">
        <f>'Averages Pivot Table'!Y$246</f>
        <v>59593.728371372665</v>
      </c>
      <c r="G110" s="138">
        <f t="shared" ref="G110" si="167">IF(F110&gt;0,RANK(F110,(F$100:F$118)),0)</f>
        <v>11</v>
      </c>
      <c r="H110" s="189">
        <f>'Averages Pivot Table'!Y$250</f>
        <v>43191.475211142293</v>
      </c>
      <c r="I110" s="138">
        <f t="shared" ref="I110" si="168">IF(H110&gt;0,RANK(H110,(H$100:H$118)),0)</f>
        <v>11</v>
      </c>
      <c r="J110" s="189">
        <f>'Averages Pivot Table'!Y$254</f>
        <v>34777.092102835952</v>
      </c>
      <c r="K110" s="138">
        <f t="shared" ref="K110" si="169">IF(J110&gt;0,RANK(J110,(J$100:J$118)),0)</f>
        <v>15</v>
      </c>
      <c r="L110" s="189">
        <f>'Averages Pivot Table'!Y$262</f>
        <v>64795.883496667731</v>
      </c>
      <c r="M110" s="138">
        <f t="shared" ref="M110" si="170">IF(L110&gt;0,RANK(L110,(L$100:L$118)),0)</f>
        <v>15</v>
      </c>
      <c r="N110" s="189"/>
      <c r="O110" s="190"/>
    </row>
    <row r="111" spans="1:19" ht="12.95" customHeight="1" x14ac:dyDescent="0.25">
      <c r="A111" s="136" t="s">
        <v>204</v>
      </c>
      <c r="B111" s="189">
        <f>'Averages Pivot Table'!Y$267</f>
        <v>110837.61987241736</v>
      </c>
      <c r="C111" s="138">
        <f t="shared" si="138"/>
        <v>5</v>
      </c>
      <c r="D111" s="189">
        <f>'Averages Pivot Table'!Y$271</f>
        <v>78155.132964720993</v>
      </c>
      <c r="E111" s="138">
        <f t="shared" si="138"/>
        <v>4</v>
      </c>
      <c r="F111" s="189">
        <f>'Averages Pivot Table'!Y$275</f>
        <v>67237.213969351957</v>
      </c>
      <c r="G111" s="138">
        <f t="shared" ref="G111" si="171">IF(F111&gt;0,RANK(F111,(F$100:F$118)),0)</f>
        <v>4</v>
      </c>
      <c r="H111" s="189">
        <f>'Averages Pivot Table'!Y$279</f>
        <v>58023.227960250471</v>
      </c>
      <c r="I111" s="138">
        <f t="shared" ref="I111" si="172">IF(H111&gt;0,RANK(H111,(H$100:H$118)),0)</f>
        <v>2</v>
      </c>
      <c r="J111" s="189">
        <f>'Averages Pivot Table'!Y$283</f>
        <v>53889.72448488493</v>
      </c>
      <c r="K111" s="138">
        <f t="shared" ref="K111" si="173">IF(J111&gt;0,RANK(J111,(J$100:J$118)),0)</f>
        <v>2</v>
      </c>
      <c r="L111" s="189">
        <f>'Averages Pivot Table'!Y$291</f>
        <v>79232.081225464121</v>
      </c>
      <c r="M111" s="138">
        <f t="shared" ref="M111" si="174">IF(L111&gt;0,RANK(L111,(L$100:L$118)),0)</f>
        <v>4</v>
      </c>
      <c r="N111" s="189"/>
      <c r="O111" s="190"/>
    </row>
    <row r="112" spans="1:19" ht="12.95" customHeight="1" x14ac:dyDescent="0.25">
      <c r="A112" s="136" t="s">
        <v>205</v>
      </c>
      <c r="B112" s="189">
        <f>'Averages Pivot Table'!Y$296</f>
        <v>96171.473344864236</v>
      </c>
      <c r="C112" s="138">
        <f t="shared" si="138"/>
        <v>11</v>
      </c>
      <c r="D112" s="189">
        <f>'Averages Pivot Table'!Y$300</f>
        <v>67505.185902697311</v>
      </c>
      <c r="E112" s="138">
        <f t="shared" si="138"/>
        <v>15</v>
      </c>
      <c r="F112" s="189">
        <f>'Averages Pivot Table'!Y$304</f>
        <v>58498.770984583636</v>
      </c>
      <c r="G112" s="138">
        <f t="shared" ref="G112" si="175">IF(F112&gt;0,RANK(F112,(F$100:F$118)),0)</f>
        <v>13</v>
      </c>
      <c r="H112" s="189">
        <f>'Averages Pivot Table'!Y$308</f>
        <v>41829.085992744585</v>
      </c>
      <c r="I112" s="138">
        <f t="shared" ref="I112" si="176">IF(H112&gt;0,RANK(H112,(H$100:H$118)),0)</f>
        <v>14</v>
      </c>
      <c r="J112" s="189">
        <f>'Averages Pivot Table'!Y$312</f>
        <v>0</v>
      </c>
      <c r="K112" s="138">
        <f t="shared" ref="K112" si="177">IF(J112&gt;0,RANK(J112,(J$100:J$118)),0)</f>
        <v>0</v>
      </c>
      <c r="L112" s="189">
        <f>'Averages Pivot Table'!Y$320</f>
        <v>68549.747108661264</v>
      </c>
      <c r="M112" s="138">
        <f t="shared" ref="M112" si="178">IF(L112&gt;0,RANK(L112,(L$100:L$118)),0)</f>
        <v>12</v>
      </c>
      <c r="N112" s="189"/>
      <c r="O112" s="190"/>
    </row>
    <row r="113" spans="1:19" ht="12.95" customHeight="1" x14ac:dyDescent="0.25">
      <c r="A113" s="136" t="s">
        <v>206</v>
      </c>
      <c r="B113" s="189">
        <f>'Averages Pivot Table'!Y$325</f>
        <v>97891.526320894875</v>
      </c>
      <c r="C113" s="138">
        <f t="shared" si="138"/>
        <v>9</v>
      </c>
      <c r="D113" s="189">
        <f>'Averages Pivot Table'!Y$329</f>
        <v>71844.273880623063</v>
      </c>
      <c r="E113" s="138">
        <f t="shared" si="138"/>
        <v>10</v>
      </c>
      <c r="F113" s="189">
        <f>'Averages Pivot Table'!Y$333</f>
        <v>62512.597376392157</v>
      </c>
      <c r="G113" s="138">
        <f t="shared" ref="G113" si="179">IF(F113&gt;0,RANK(F113,(F$100:F$118)),0)</f>
        <v>7</v>
      </c>
      <c r="H113" s="189">
        <f>'Averages Pivot Table'!Y$337</f>
        <v>45472.989030103279</v>
      </c>
      <c r="I113" s="138">
        <f t="shared" ref="I113" si="180">IF(H113&gt;0,RANK(H113,(H$100:H$118)),0)</f>
        <v>7</v>
      </c>
      <c r="J113" s="189">
        <f>'Averages Pivot Table'!Y$341</f>
        <v>46341.698394247265</v>
      </c>
      <c r="K113" s="138">
        <f t="shared" ref="K113" si="181">IF(J113&gt;0,RANK(J113,(J$100:J$118)),0)</f>
        <v>11</v>
      </c>
      <c r="L113" s="189">
        <f>'Averages Pivot Table'!Y$349</f>
        <v>71557.464163854354</v>
      </c>
      <c r="M113" s="138">
        <f t="shared" ref="M113" si="182">IF(L113&gt;0,RANK(L113,(L$100:L$118)),0)</f>
        <v>9</v>
      </c>
      <c r="N113" s="189"/>
      <c r="O113" s="190"/>
    </row>
    <row r="114" spans="1:19" ht="12.95" customHeight="1" x14ac:dyDescent="0.25">
      <c r="A114" s="136"/>
      <c r="B114" s="189"/>
      <c r="C114" s="138"/>
      <c r="D114" s="189"/>
      <c r="E114" s="138"/>
      <c r="F114" s="189"/>
      <c r="G114" s="138"/>
      <c r="H114" s="189"/>
      <c r="I114" s="138"/>
      <c r="J114" s="189"/>
      <c r="K114" s="138"/>
      <c r="L114" s="189"/>
      <c r="M114" s="138"/>
      <c r="N114" s="189"/>
      <c r="O114" s="190"/>
    </row>
    <row r="115" spans="1:19" ht="12.95" customHeight="1" x14ac:dyDescent="0.25">
      <c r="A115" s="136" t="s">
        <v>207</v>
      </c>
      <c r="B115" s="191">
        <f>'Averages Pivot Table'!Y$354</f>
        <v>93275.56706845286</v>
      </c>
      <c r="C115" s="138">
        <f t="shared" si="138"/>
        <v>12</v>
      </c>
      <c r="D115" s="191">
        <f>'Averages Pivot Table'!Y$358</f>
        <v>75330.411723380254</v>
      </c>
      <c r="E115" s="138">
        <f t="shared" si="138"/>
        <v>8</v>
      </c>
      <c r="F115" s="191">
        <f>'Averages Pivot Table'!Y$362</f>
        <v>58758.69817490322</v>
      </c>
      <c r="G115" s="138">
        <f t="shared" ref="G115" si="183">IF(F115&gt;0,RANK(F115,(F$100:F$118)),0)</f>
        <v>12</v>
      </c>
      <c r="H115" s="191">
        <f>'Averages Pivot Table'!Y$366</f>
        <v>42217.94564763087</v>
      </c>
      <c r="I115" s="138">
        <f t="shared" ref="I115" si="184">IF(H115&gt;0,RANK(H115,(H$100:H$118)),0)</f>
        <v>13</v>
      </c>
      <c r="J115" s="191">
        <f>'Averages Pivot Table'!Y$370</f>
        <v>40943.676435952359</v>
      </c>
      <c r="K115" s="138">
        <f t="shared" ref="K115" si="185">IF(J115&gt;0,RANK(J115,(J$100:J$118)),0)</f>
        <v>14</v>
      </c>
      <c r="L115" s="191">
        <f>'Averages Pivot Table'!Y$378</f>
        <v>70809.917220685646</v>
      </c>
      <c r="M115" s="138">
        <f t="shared" ref="M115" si="186">IF(L115&gt;0,RANK(L115,(L$100:L$118)),0)</f>
        <v>10</v>
      </c>
      <c r="N115" s="189"/>
      <c r="O115" s="190"/>
    </row>
    <row r="116" spans="1:19" ht="12.95" customHeight="1" x14ac:dyDescent="0.25">
      <c r="A116" s="136" t="s">
        <v>208</v>
      </c>
      <c r="B116" s="191">
        <f>'Averages Pivot Table'!Y$383</f>
        <v>112906.84011092562</v>
      </c>
      <c r="C116" s="138">
        <f t="shared" si="138"/>
        <v>4</v>
      </c>
      <c r="D116" s="191">
        <f>'Averages Pivot Table'!Y$387</f>
        <v>77374.739725402571</v>
      </c>
      <c r="E116" s="138">
        <f t="shared" si="138"/>
        <v>5</v>
      </c>
      <c r="F116" s="191">
        <f>'Averages Pivot Table'!Y$391</f>
        <v>67567.189250275478</v>
      </c>
      <c r="G116" s="138">
        <f t="shared" ref="G116" si="187">IF(F116&gt;0,RANK(F116,(F$100:F$118)),0)</f>
        <v>3</v>
      </c>
      <c r="H116" s="191">
        <f>'Averages Pivot Table'!Y$395</f>
        <v>44862.923025768949</v>
      </c>
      <c r="I116" s="138">
        <f t="shared" ref="I116" si="188">IF(H116&gt;0,RANK(H116,(H$100:H$118)),0)</f>
        <v>8</v>
      </c>
      <c r="J116" s="191">
        <f>'Averages Pivot Table'!Y$399</f>
        <v>48183.992548618335</v>
      </c>
      <c r="K116" s="138">
        <f t="shared" ref="K116" si="189">IF(J116&gt;0,RANK(J116,(J$100:J$118)),0)</f>
        <v>9</v>
      </c>
      <c r="L116" s="191">
        <f>'Averages Pivot Table'!Y$407</f>
        <v>77743.212930428985</v>
      </c>
      <c r="M116" s="138">
        <f t="shared" ref="M116" si="190">IF(L116&gt;0,RANK(L116,(L$100:L$118)),0)</f>
        <v>5</v>
      </c>
      <c r="N116" s="189"/>
      <c r="O116" s="190"/>
    </row>
    <row r="117" spans="1:19" ht="12.95" customHeight="1" x14ac:dyDescent="0.25">
      <c r="A117" s="136" t="s">
        <v>209</v>
      </c>
      <c r="B117" s="191">
        <f>'Averages Pivot Table'!Y$412</f>
        <v>114899.74271331109</v>
      </c>
      <c r="C117" s="138">
        <f t="shared" si="138"/>
        <v>3</v>
      </c>
      <c r="D117" s="191">
        <f>'Averages Pivot Table'!Y$416</f>
        <v>79383.520979871624</v>
      </c>
      <c r="E117" s="138">
        <f t="shared" si="138"/>
        <v>3</v>
      </c>
      <c r="F117" s="191">
        <f>'Averages Pivot Table'!Y$420</f>
        <v>66374.622682767003</v>
      </c>
      <c r="G117" s="138">
        <f t="shared" ref="G117" si="191">IF(F117&gt;0,RANK(F117,(F$100:F$118)),0)</f>
        <v>5</v>
      </c>
      <c r="H117" s="191">
        <f>'Averages Pivot Table'!Y$424</f>
        <v>50063.617236867001</v>
      </c>
      <c r="I117" s="138">
        <f t="shared" ref="I117" si="192">IF(H117&gt;0,RANK(H117,(H$100:H$118)),0)</f>
        <v>4</v>
      </c>
      <c r="J117" s="191">
        <f>'Averages Pivot Table'!Y$428</f>
        <v>53135.438708849739</v>
      </c>
      <c r="K117" s="138">
        <f t="shared" ref="K117" si="193">IF(J117&gt;0,RANK(J117,(J$100:J$118)),0)</f>
        <v>3</v>
      </c>
      <c r="L117" s="191">
        <f>'Averages Pivot Table'!Y$436</f>
        <v>82883.464717186129</v>
      </c>
      <c r="M117" s="138">
        <f t="shared" ref="M117" si="194">IF(L117&gt;0,RANK(L117,(L$100:L$118)),0)</f>
        <v>2</v>
      </c>
      <c r="N117" s="189"/>
      <c r="O117" s="190"/>
    </row>
    <row r="118" spans="1:19" ht="12.95" customHeight="1" x14ac:dyDescent="0.25">
      <c r="A118" s="161" t="s">
        <v>210</v>
      </c>
      <c r="B118" s="192">
        <f>'Averages Pivot Table'!Y$441</f>
        <v>87636.86985055136</v>
      </c>
      <c r="C118" s="141">
        <f t="shared" si="138"/>
        <v>16</v>
      </c>
      <c r="D118" s="192">
        <f>'Averages Pivot Table'!Y$445</f>
        <v>68969.738827568377</v>
      </c>
      <c r="E118" s="141">
        <f t="shared" si="138"/>
        <v>13</v>
      </c>
      <c r="F118" s="192">
        <f>'Averages Pivot Table'!Y$449</f>
        <v>57560.411268217431</v>
      </c>
      <c r="G118" s="141">
        <f t="shared" ref="G118" si="195">IF(F118&gt;0,RANK(F118,(F$100:F$118)),0)</f>
        <v>15</v>
      </c>
      <c r="H118" s="192">
        <f>'Averages Pivot Table'!Y$453</f>
        <v>41184.491201632824</v>
      </c>
      <c r="I118" s="141">
        <f t="shared" ref="I118" si="196">IF(H118&gt;0,RANK(H118,(H$100:H$118)),0)</f>
        <v>16</v>
      </c>
      <c r="J118" s="192">
        <f>'Averages Pivot Table'!Y$457</f>
        <v>50437.696734318204</v>
      </c>
      <c r="K118" s="141">
        <f t="shared" ref="K118" si="197">IF(J118&gt;0,RANK(J118,(J$100:J$118)),0)</f>
        <v>5</v>
      </c>
      <c r="L118" s="192">
        <f>'Averages Pivot Table'!Y$465</f>
        <v>67851.296433027761</v>
      </c>
      <c r="M118" s="141">
        <f t="shared" ref="M118" si="198">IF(L118&gt;0,RANK(L118,(L$100:L$118)),0)</f>
        <v>13</v>
      </c>
      <c r="N118" s="189"/>
      <c r="O118" s="189"/>
    </row>
    <row r="119" spans="1:19" ht="30" customHeight="1" x14ac:dyDescent="0.25">
      <c r="A119" s="716" t="s">
        <v>187</v>
      </c>
      <c r="B119" s="722"/>
      <c r="C119" s="722"/>
      <c r="D119" s="722"/>
      <c r="E119" s="722"/>
      <c r="F119" s="722"/>
      <c r="G119" s="722"/>
      <c r="H119" s="722"/>
      <c r="I119" s="722"/>
      <c r="J119" s="722"/>
      <c r="K119" s="722"/>
      <c r="L119" s="722"/>
      <c r="M119" s="722"/>
      <c r="N119" s="136"/>
      <c r="O119" s="136"/>
    </row>
    <row r="120" spans="1:19" x14ac:dyDescent="0.25">
      <c r="M120" s="102" t="s">
        <v>1124</v>
      </c>
      <c r="O120" s="193"/>
    </row>
    <row r="121" spans="1:19" ht="18" x14ac:dyDescent="0.25">
      <c r="A121" s="82" t="s">
        <v>221</v>
      </c>
      <c r="B121" s="82"/>
      <c r="C121" s="82"/>
      <c r="D121" s="82"/>
      <c r="E121" s="82"/>
      <c r="F121" s="82"/>
      <c r="G121" s="82"/>
      <c r="H121" s="82"/>
      <c r="I121" s="82"/>
      <c r="J121" s="82"/>
      <c r="K121" s="82"/>
      <c r="L121" s="82"/>
      <c r="M121" s="82"/>
      <c r="N121" s="179"/>
      <c r="O121" s="179"/>
    </row>
    <row r="122" spans="1:19" x14ac:dyDescent="0.25">
      <c r="A122" s="180"/>
      <c r="B122" s="87"/>
      <c r="C122" s="87"/>
      <c r="D122" s="87"/>
      <c r="E122" s="87"/>
      <c r="F122" s="87"/>
      <c r="G122" s="87"/>
      <c r="H122" s="87"/>
      <c r="I122" s="87"/>
      <c r="J122" s="87"/>
      <c r="K122" s="87"/>
      <c r="L122" s="87"/>
      <c r="M122" s="87"/>
      <c r="N122" s="87"/>
      <c r="O122" s="87"/>
    </row>
    <row r="123" spans="1:19" x14ac:dyDescent="0.25">
      <c r="A123" s="707" t="s">
        <v>218</v>
      </c>
      <c r="B123" s="707"/>
      <c r="C123" s="707"/>
      <c r="D123" s="707"/>
      <c r="E123" s="707"/>
      <c r="F123" s="707"/>
      <c r="G123" s="707"/>
      <c r="H123" s="707"/>
      <c r="I123" s="707"/>
      <c r="J123" s="707"/>
      <c r="K123" s="707"/>
      <c r="L123" s="707"/>
      <c r="M123" s="707"/>
      <c r="N123" s="181"/>
      <c r="O123" s="181"/>
    </row>
    <row r="124" spans="1:19" x14ac:dyDescent="0.25">
      <c r="A124" s="707" t="s">
        <v>222</v>
      </c>
      <c r="B124" s="707"/>
      <c r="C124" s="707"/>
      <c r="D124" s="707"/>
      <c r="E124" s="707"/>
      <c r="F124" s="707"/>
      <c r="G124" s="707"/>
      <c r="H124" s="707"/>
      <c r="I124" s="707"/>
      <c r="J124" s="707"/>
      <c r="K124" s="707"/>
      <c r="L124" s="707"/>
      <c r="M124" s="707"/>
      <c r="N124" s="181"/>
      <c r="O124" s="181"/>
    </row>
    <row r="125" spans="1:19" x14ac:dyDescent="0.25">
      <c r="A125" s="136"/>
      <c r="B125" s="136"/>
      <c r="C125" s="136"/>
      <c r="D125" s="136"/>
      <c r="E125" s="136"/>
      <c r="F125" s="136"/>
      <c r="G125" s="136"/>
      <c r="H125" s="136"/>
      <c r="I125" s="136"/>
      <c r="J125" s="136"/>
      <c r="K125" s="136"/>
      <c r="L125" s="136"/>
      <c r="M125" s="136"/>
      <c r="N125" s="136"/>
      <c r="O125" s="136"/>
    </row>
    <row r="126" spans="1:19" ht="31.5" customHeight="1" x14ac:dyDescent="0.25">
      <c r="A126" s="114"/>
      <c r="B126" s="182" t="s">
        <v>3</v>
      </c>
      <c r="C126" s="183"/>
      <c r="D126" s="184" t="s">
        <v>4</v>
      </c>
      <c r="E126" s="185"/>
      <c r="F126" s="184" t="s">
        <v>5</v>
      </c>
      <c r="G126" s="185"/>
      <c r="H126" s="182" t="s">
        <v>6</v>
      </c>
      <c r="I126" s="183"/>
      <c r="J126" s="184" t="s">
        <v>219</v>
      </c>
      <c r="K126" s="185"/>
      <c r="L126" s="183" t="s">
        <v>220</v>
      </c>
      <c r="M126" s="183"/>
      <c r="N126" s="186" t="s">
        <v>7</v>
      </c>
      <c r="O126" s="186"/>
    </row>
    <row r="127" spans="1:19" x14ac:dyDescent="0.25">
      <c r="A127" s="120"/>
      <c r="B127" s="116" t="s">
        <v>193</v>
      </c>
      <c r="C127" s="115" t="s">
        <v>170</v>
      </c>
      <c r="D127" s="116" t="s">
        <v>193</v>
      </c>
      <c r="E127" s="115" t="s">
        <v>170</v>
      </c>
      <c r="F127" s="116" t="s">
        <v>193</v>
      </c>
      <c r="G127" s="115" t="s">
        <v>170</v>
      </c>
      <c r="H127" s="116" t="s">
        <v>193</v>
      </c>
      <c r="I127" s="115" t="s">
        <v>170</v>
      </c>
      <c r="J127" s="116" t="s">
        <v>193</v>
      </c>
      <c r="K127" s="115" t="s">
        <v>170</v>
      </c>
      <c r="L127" s="116" t="s">
        <v>193</v>
      </c>
      <c r="M127" s="115" t="s">
        <v>170</v>
      </c>
    </row>
    <row r="128" spans="1:19" s="127" customFormat="1" ht="18" customHeight="1" x14ac:dyDescent="0.25">
      <c r="A128" s="124" t="s">
        <v>194</v>
      </c>
      <c r="B128" s="151">
        <f>'Averages Pivot Table'!S$469</f>
        <v>119501.05197672936</v>
      </c>
      <c r="C128" s="151"/>
      <c r="D128" s="151">
        <f>'Averages Pivot Table'!S$473</f>
        <v>81837.001711138058</v>
      </c>
      <c r="E128" s="151"/>
      <c r="F128" s="151">
        <f>'Averages Pivot Table'!S$477</f>
        <v>71172.670611802532</v>
      </c>
      <c r="G128" s="151"/>
      <c r="H128" s="151">
        <f>'Averages Pivot Table'!S$481</f>
        <v>46724.085728522361</v>
      </c>
      <c r="I128" s="151"/>
      <c r="J128" s="151">
        <f>'Averages Pivot Table'!S$485</f>
        <v>53771.993892548067</v>
      </c>
      <c r="K128" s="151"/>
      <c r="L128" s="151">
        <f>'Averages Pivot Table'!S$493</f>
        <v>86254.021181387216</v>
      </c>
      <c r="M128" s="187"/>
      <c r="N128" s="151"/>
      <c r="O128" s="188"/>
      <c r="Q128" s="129"/>
      <c r="R128" s="129"/>
      <c r="S128" s="129"/>
    </row>
    <row r="129" spans="1:15" s="109" customFormat="1" x14ac:dyDescent="0.25">
      <c r="A129" s="136"/>
      <c r="B129" s="131"/>
      <c r="C129" s="155"/>
      <c r="D129" s="131"/>
      <c r="E129" s="155"/>
      <c r="F129" s="131"/>
      <c r="G129" s="155"/>
      <c r="H129" s="131"/>
      <c r="I129" s="155"/>
      <c r="J129" s="131"/>
      <c r="K129" s="155"/>
      <c r="L129" s="131"/>
      <c r="M129" s="155"/>
      <c r="N129" s="131"/>
      <c r="O129" s="132"/>
    </row>
    <row r="130" spans="1:15" s="109" customFormat="1" x14ac:dyDescent="0.25">
      <c r="A130" s="136" t="s">
        <v>195</v>
      </c>
      <c r="B130" s="189">
        <f>'Averages Pivot Table'!S$6</f>
        <v>116758.10787154589</v>
      </c>
      <c r="C130" s="138">
        <f>IF(B130&gt;0,RANK(B130,(B$130:B$148)),0)</f>
        <v>6</v>
      </c>
      <c r="D130" s="189">
        <f>'Averages Pivot Table'!S$10</f>
        <v>81153.535147690389</v>
      </c>
      <c r="E130" s="138">
        <f>IF(D130&gt;0,RANK(D130,(D$130:D$148)),0)</f>
        <v>6</v>
      </c>
      <c r="F130" s="189">
        <f>'Averages Pivot Table'!S$14</f>
        <v>65926.953817775982</v>
      </c>
      <c r="G130" s="138">
        <f>IF(F130&gt;0,RANK(F130,(F$130:F$148)),0)</f>
        <v>13</v>
      </c>
      <c r="H130" s="189">
        <f>'Averages Pivot Table'!S$18</f>
        <v>42170.406998940889</v>
      </c>
      <c r="I130" s="138">
        <f>IF(H130&gt;0,RANK(H130,(H$130:H$148)),0)</f>
        <v>14</v>
      </c>
      <c r="J130" s="189">
        <f>'Averages Pivot Table'!S$22</f>
        <v>65192.454634726979</v>
      </c>
      <c r="K130" s="138">
        <f>IF(J130&gt;0,RANK(J130,(J$130:J$148)),0)</f>
        <v>1</v>
      </c>
      <c r="L130" s="189">
        <f>'Averages Pivot Table'!S$30</f>
        <v>83469.039624997022</v>
      </c>
      <c r="M130" s="138">
        <f>IF(L130&gt;0,RANK(L130,(L$130:L$148)),0)</f>
        <v>6</v>
      </c>
      <c r="N130" s="189"/>
      <c r="O130" s="190"/>
    </row>
    <row r="131" spans="1:15" s="109" customFormat="1" x14ac:dyDescent="0.25">
      <c r="A131" s="136" t="s">
        <v>196</v>
      </c>
      <c r="B131" s="189">
        <f>'Averages Pivot Table'!S$35</f>
        <v>106984.65034386357</v>
      </c>
      <c r="C131" s="138">
        <f t="shared" ref="C131:E148" si="199">IF(B131&gt;0,RANK(B131,(B$130:B$148)),0)</f>
        <v>14</v>
      </c>
      <c r="D131" s="189">
        <f>'Averages Pivot Table'!S$39</f>
        <v>75108.866699702674</v>
      </c>
      <c r="E131" s="138">
        <f t="shared" si="199"/>
        <v>14</v>
      </c>
      <c r="F131" s="189">
        <f>'Averages Pivot Table'!S$43</f>
        <v>74864.928325703062</v>
      </c>
      <c r="G131" s="138">
        <f t="shared" ref="G131" si="200">IF(F131&gt;0,RANK(F131,(F$130:F$148)),0)</f>
        <v>4</v>
      </c>
      <c r="H131" s="189">
        <f>'Averages Pivot Table'!S$47</f>
        <v>43447.602395209578</v>
      </c>
      <c r="I131" s="138">
        <f t="shared" ref="I131" si="201">IF(H131&gt;0,RANK(H131,(H$130:H$148)),0)</f>
        <v>13</v>
      </c>
      <c r="J131" s="189">
        <f>'Averages Pivot Table'!S$51</f>
        <v>46765.765022421525</v>
      </c>
      <c r="K131" s="138">
        <f t="shared" ref="K131" si="202">IF(J131&gt;0,RANK(J131,(J$130:J$148)),0)</f>
        <v>11</v>
      </c>
      <c r="L131" s="189">
        <f>'Averages Pivot Table'!S$59</f>
        <v>78953.510202950085</v>
      </c>
      <c r="M131" s="138">
        <f t="shared" ref="M131" si="203">IF(L131&gt;0,RANK(L131,(L$130:L$148)),0)</f>
        <v>15</v>
      </c>
      <c r="N131" s="189"/>
      <c r="O131" s="190"/>
    </row>
    <row r="132" spans="1:15" s="109" customFormat="1" x14ac:dyDescent="0.25">
      <c r="A132" s="136" t="s">
        <v>197</v>
      </c>
      <c r="B132" s="189">
        <f>'Averages Pivot Table'!S$64</f>
        <v>138364.69975186104</v>
      </c>
      <c r="C132" s="138">
        <f t="shared" si="199"/>
        <v>1</v>
      </c>
      <c r="D132" s="189">
        <f>'Averages Pivot Table'!S$68</f>
        <v>94455.316776315783</v>
      </c>
      <c r="E132" s="138">
        <f t="shared" si="199"/>
        <v>2</v>
      </c>
      <c r="F132" s="189">
        <f>'Averages Pivot Table'!S$72</f>
        <v>81398.620879120877</v>
      </c>
      <c r="G132" s="138">
        <f t="shared" ref="G132" si="204">IF(F132&gt;0,RANK(F132,(F$130:F$148)),0)</f>
        <v>2</v>
      </c>
      <c r="H132" s="189">
        <f>'Averages Pivot Table'!S$76</f>
        <v>64126.662420382163</v>
      </c>
      <c r="I132" s="138">
        <f t="shared" ref="I132" si="205">IF(H132&gt;0,RANK(H132,(H$130:H$148)),0)</f>
        <v>1</v>
      </c>
      <c r="J132" s="189">
        <f>'Averages Pivot Table'!S$80</f>
        <v>0</v>
      </c>
      <c r="K132" s="138">
        <f t="shared" ref="K132" si="206">IF(J132&gt;0,RANK(J132,(J$130:J$148)),0)</f>
        <v>0</v>
      </c>
      <c r="L132" s="189">
        <f>'Averages Pivot Table'!S$88</f>
        <v>103592.07607063644</v>
      </c>
      <c r="M132" s="138">
        <f t="shared" ref="M132" si="207">IF(L132&gt;0,RANK(L132,(L$130:L$148)),0)</f>
        <v>2</v>
      </c>
      <c r="N132" s="189"/>
      <c r="O132" s="190"/>
    </row>
    <row r="133" spans="1:15" s="109" customFormat="1" x14ac:dyDescent="0.25">
      <c r="A133" s="136" t="s">
        <v>198</v>
      </c>
      <c r="B133" s="189">
        <f>'Averages Pivot Table'!S$93</f>
        <v>113029.65413538851</v>
      </c>
      <c r="C133" s="138">
        <f t="shared" si="199"/>
        <v>7</v>
      </c>
      <c r="D133" s="189">
        <f>'Averages Pivot Table'!S$97</f>
        <v>78600.482016126</v>
      </c>
      <c r="E133" s="138">
        <f t="shared" si="199"/>
        <v>12</v>
      </c>
      <c r="F133" s="189">
        <f>'Averages Pivot Table'!S$101</f>
        <v>68670.333739520327</v>
      </c>
      <c r="G133" s="138">
        <f t="shared" ref="G133" si="208">IF(F133&gt;0,RANK(F133,(F$130:F$148)),0)</f>
        <v>10</v>
      </c>
      <c r="H133" s="189">
        <f>'Averages Pivot Table'!S$105</f>
        <v>48236.477056911281</v>
      </c>
      <c r="I133" s="138">
        <f t="shared" ref="I133" si="209">IF(H133&gt;0,RANK(H133,(H$130:H$148)),0)</f>
        <v>7</v>
      </c>
      <c r="J133" s="189">
        <f>'Averages Pivot Table'!S$109</f>
        <v>56864.183136931621</v>
      </c>
      <c r="K133" s="138">
        <f t="shared" ref="K133" si="210">IF(J133&gt;0,RANK(J133,(J$130:J$148)),0)</f>
        <v>5</v>
      </c>
      <c r="L133" s="189">
        <f>'Averages Pivot Table'!S$117</f>
        <v>81390.997619034519</v>
      </c>
      <c r="M133" s="138">
        <f t="shared" ref="M133" si="211">IF(L133&gt;0,RANK(L133,(L$130:L$148)),0)</f>
        <v>10</v>
      </c>
      <c r="N133" s="189"/>
      <c r="O133" s="190"/>
    </row>
    <row r="134" spans="1:15" s="109" customFormat="1" x14ac:dyDescent="0.25">
      <c r="A134" s="136"/>
      <c r="B134" s="189"/>
      <c r="C134" s="138"/>
      <c r="D134" s="189"/>
      <c r="E134" s="138"/>
      <c r="F134" s="189"/>
      <c r="G134" s="138"/>
      <c r="H134" s="189"/>
      <c r="I134" s="138"/>
      <c r="J134" s="189"/>
      <c r="K134" s="138"/>
      <c r="L134" s="189"/>
      <c r="M134" s="138"/>
      <c r="N134" s="189"/>
      <c r="O134" s="190"/>
    </row>
    <row r="135" spans="1:15" s="109" customFormat="1" x14ac:dyDescent="0.25">
      <c r="A135" s="136" t="s">
        <v>199</v>
      </c>
      <c r="B135" s="189">
        <f>'Averages Pivot Table'!S$122</f>
        <v>110250.55568077252</v>
      </c>
      <c r="C135" s="138">
        <f t="shared" si="199"/>
        <v>11</v>
      </c>
      <c r="D135" s="189">
        <f>'Averages Pivot Table'!S$126</f>
        <v>78663.702110996892</v>
      </c>
      <c r="E135" s="138">
        <f t="shared" si="199"/>
        <v>11</v>
      </c>
      <c r="F135" s="189">
        <f>'Averages Pivot Table'!S$130</f>
        <v>72565.202004772349</v>
      </c>
      <c r="G135" s="138">
        <f t="shared" ref="G135" si="212">IF(F135&gt;0,RANK(F135,(F$130:F$148)),0)</f>
        <v>7</v>
      </c>
      <c r="H135" s="189">
        <f>'Averages Pivot Table'!S$134</f>
        <v>53109.389164576765</v>
      </c>
      <c r="I135" s="138">
        <f t="shared" ref="I135" si="213">IF(H135&gt;0,RANK(H135,(H$130:H$148)),0)</f>
        <v>4</v>
      </c>
      <c r="J135" s="189">
        <f>'Averages Pivot Table'!S$138</f>
        <v>51721.145891170039</v>
      </c>
      <c r="K135" s="138">
        <f t="shared" ref="K135" si="214">IF(J135&gt;0,RANK(J135,(J$130:J$148)),0)</f>
        <v>9</v>
      </c>
      <c r="L135" s="189">
        <f>'Averages Pivot Table'!S$146</f>
        <v>83401.084433662036</v>
      </c>
      <c r="M135" s="138">
        <f t="shared" ref="M135" si="215">IF(L135&gt;0,RANK(L135,(L$130:L$148)),0)</f>
        <v>7</v>
      </c>
      <c r="N135" s="189"/>
      <c r="O135" s="190"/>
    </row>
    <row r="136" spans="1:15" s="109" customFormat="1" x14ac:dyDescent="0.25">
      <c r="A136" s="136" t="s">
        <v>200</v>
      </c>
      <c r="B136" s="189">
        <f>'Averages Pivot Table'!S$151</f>
        <v>106769.27766918832</v>
      </c>
      <c r="C136" s="138">
        <f t="shared" si="199"/>
        <v>15</v>
      </c>
      <c r="D136" s="189">
        <f>'Averages Pivot Table'!S$155</f>
        <v>78353.622946121541</v>
      </c>
      <c r="E136" s="138">
        <f t="shared" si="199"/>
        <v>13</v>
      </c>
      <c r="F136" s="189">
        <f>'Averages Pivot Table'!S$159</f>
        <v>66490.315770247209</v>
      </c>
      <c r="G136" s="138">
        <f t="shared" ref="G136" si="216">IF(F136&gt;0,RANK(F136,(F$130:F$148)),0)</f>
        <v>12</v>
      </c>
      <c r="H136" s="189">
        <f>'Averages Pivot Table'!S$163</f>
        <v>51570.289190803218</v>
      </c>
      <c r="I136" s="138">
        <f t="shared" ref="I136" si="217">IF(H136&gt;0,RANK(H136,(H$130:H$148)),0)</f>
        <v>5</v>
      </c>
      <c r="J136" s="189">
        <f>'Averages Pivot Table'!S$167</f>
        <v>44632.898717183642</v>
      </c>
      <c r="K136" s="138">
        <f t="shared" ref="K136" si="218">IF(J136&gt;0,RANK(J136,(J$130:J$148)),0)</f>
        <v>12</v>
      </c>
      <c r="L136" s="189">
        <f>'Averages Pivot Table'!S$175</f>
        <v>81051.41058766433</v>
      </c>
      <c r="M136" s="138">
        <f t="shared" ref="M136" si="219">IF(L136&gt;0,RANK(L136,(L$130:L$148)),0)</f>
        <v>11</v>
      </c>
      <c r="N136" s="189"/>
      <c r="O136" s="190"/>
    </row>
    <row r="137" spans="1:15" s="109" customFormat="1" x14ac:dyDescent="0.25">
      <c r="A137" s="136" t="s">
        <v>201</v>
      </c>
      <c r="B137" s="189">
        <f>'Averages Pivot Table'!S$180</f>
        <v>109361.3023255814</v>
      </c>
      <c r="C137" s="138">
        <f t="shared" si="199"/>
        <v>12</v>
      </c>
      <c r="D137" s="189">
        <f>'Averages Pivot Table'!S$184</f>
        <v>78749.038546255499</v>
      </c>
      <c r="E137" s="138">
        <f t="shared" si="199"/>
        <v>10</v>
      </c>
      <c r="F137" s="189">
        <f>'Averages Pivot Table'!S$188</f>
        <v>69571.682675814751</v>
      </c>
      <c r="G137" s="138">
        <f t="shared" ref="G137" si="220">IF(F137&gt;0,RANK(F137,(F$130:F$148)),0)</f>
        <v>9</v>
      </c>
      <c r="H137" s="189">
        <f>'Averages Pivot Table'!S$192</f>
        <v>44197.396761133605</v>
      </c>
      <c r="I137" s="138">
        <f t="shared" ref="I137" si="221">IF(H137&gt;0,RANK(H137,(H$130:H$148)),0)</f>
        <v>11</v>
      </c>
      <c r="J137" s="189">
        <f>'Averages Pivot Table'!S$196</f>
        <v>61091.547486033509</v>
      </c>
      <c r="K137" s="138">
        <f t="shared" ref="K137" si="222">IF(J137&gt;0,RANK(J137,(J$130:J$148)),0)</f>
        <v>3</v>
      </c>
      <c r="L137" s="189">
        <f>'Averages Pivot Table'!S$204</f>
        <v>81588.967632946471</v>
      </c>
      <c r="M137" s="138">
        <f t="shared" ref="M137" si="223">IF(L137&gt;0,RANK(L137,(L$130:L$148)),0)</f>
        <v>9</v>
      </c>
      <c r="N137" s="189"/>
      <c r="O137" s="190"/>
    </row>
    <row r="138" spans="1:15" s="109" customFormat="1" x14ac:dyDescent="0.25">
      <c r="A138" s="136" t="s">
        <v>202</v>
      </c>
      <c r="B138" s="189">
        <f>'Averages Pivot Table'!S$209</f>
        <v>136899.30287355257</v>
      </c>
      <c r="C138" s="138">
        <f t="shared" si="199"/>
        <v>2</v>
      </c>
      <c r="D138" s="189">
        <f>'Averages Pivot Table'!S$213</f>
        <v>95946.381458885269</v>
      </c>
      <c r="E138" s="138">
        <f t="shared" si="199"/>
        <v>1</v>
      </c>
      <c r="F138" s="189">
        <f>'Averages Pivot Table'!S$217</f>
        <v>83938.509443228453</v>
      </c>
      <c r="G138" s="138">
        <f t="shared" ref="G138" si="224">IF(F138&gt;0,RANK(F138,(F$130:F$148)),0)</f>
        <v>1</v>
      </c>
      <c r="H138" s="189">
        <f>'Averages Pivot Table'!S$221</f>
        <v>60485.549849999989</v>
      </c>
      <c r="I138" s="138">
        <f t="shared" ref="I138" si="225">IF(H138&gt;0,RANK(H138,(H$130:H$148)),0)</f>
        <v>2</v>
      </c>
      <c r="J138" s="189">
        <f>'Averages Pivot Table'!S$225</f>
        <v>61340.22604054054</v>
      </c>
      <c r="K138" s="138">
        <f t="shared" ref="K138" si="226">IF(J138&gt;0,RANK(J138,(J$130:J$148)),0)</f>
        <v>2</v>
      </c>
      <c r="L138" s="189">
        <f>'Averages Pivot Table'!S$233</f>
        <v>104152.88710901274</v>
      </c>
      <c r="M138" s="138">
        <f t="shared" ref="M138" si="227">IF(L138&gt;0,RANK(L138,(L$130:L$148)),0)</f>
        <v>1</v>
      </c>
      <c r="N138" s="189"/>
      <c r="O138" s="190"/>
    </row>
    <row r="139" spans="1:15" s="109" customFormat="1" x14ac:dyDescent="0.25">
      <c r="A139" s="136"/>
      <c r="B139" s="189"/>
      <c r="C139" s="138"/>
      <c r="D139" s="189"/>
      <c r="E139" s="138"/>
      <c r="F139" s="189"/>
      <c r="G139" s="138"/>
      <c r="H139" s="189"/>
      <c r="I139" s="138"/>
      <c r="J139" s="189"/>
      <c r="K139" s="138"/>
      <c r="L139" s="189"/>
      <c r="M139" s="138"/>
      <c r="N139" s="189"/>
      <c r="O139" s="190"/>
    </row>
    <row r="140" spans="1:15" s="109" customFormat="1" x14ac:dyDescent="0.25">
      <c r="A140" s="136" t="s">
        <v>203</v>
      </c>
      <c r="B140" s="189">
        <f>'Averages Pivot Table'!S$238</f>
        <v>93278.963739649218</v>
      </c>
      <c r="C140" s="138">
        <f t="shared" si="199"/>
        <v>16</v>
      </c>
      <c r="D140" s="189">
        <f>'Averages Pivot Table'!S$242</f>
        <v>69367.678033075354</v>
      </c>
      <c r="E140" s="138">
        <f t="shared" si="199"/>
        <v>16</v>
      </c>
      <c r="F140" s="189">
        <f>'Averages Pivot Table'!S$246</f>
        <v>61085.377549690042</v>
      </c>
      <c r="G140" s="138">
        <f t="shared" ref="G140" si="228">IF(F140&gt;0,RANK(F140,(F$130:F$148)),0)</f>
        <v>16</v>
      </c>
      <c r="H140" s="189">
        <f>'Averages Pivot Table'!S$250</f>
        <v>44468.797831276519</v>
      </c>
      <c r="I140" s="138">
        <f t="shared" ref="I140" si="229">IF(H140&gt;0,RANK(H140,(H$130:H$148)),0)</f>
        <v>10</v>
      </c>
      <c r="J140" s="189">
        <f>'Averages Pivot Table'!S$254</f>
        <v>32039.149405772496</v>
      </c>
      <c r="K140" s="138">
        <f t="shared" ref="K140" si="230">IF(J140&gt;0,RANK(J140,(J$130:J$148)),0)</f>
        <v>14</v>
      </c>
      <c r="L140" s="189">
        <f>'Averages Pivot Table'!S$262</f>
        <v>66405.978059820482</v>
      </c>
      <c r="M140" s="138">
        <f t="shared" ref="M140" si="231">IF(L140&gt;0,RANK(L140,(L$130:L$148)),0)</f>
        <v>16</v>
      </c>
      <c r="N140" s="189"/>
      <c r="O140" s="190"/>
    </row>
    <row r="141" spans="1:15" s="109" customFormat="1" x14ac:dyDescent="0.25">
      <c r="A141" s="136" t="s">
        <v>204</v>
      </c>
      <c r="B141" s="189">
        <f>'Averages Pivot Table'!S$267</f>
        <v>126835.18339895009</v>
      </c>
      <c r="C141" s="138">
        <f t="shared" si="199"/>
        <v>5</v>
      </c>
      <c r="D141" s="189">
        <f>'Averages Pivot Table'!S$271</f>
        <v>85546.140138015748</v>
      </c>
      <c r="E141" s="138">
        <f t="shared" si="199"/>
        <v>4</v>
      </c>
      <c r="F141" s="189">
        <f>'Averages Pivot Table'!S$275</f>
        <v>73309.379353288517</v>
      </c>
      <c r="G141" s="138">
        <f t="shared" ref="G141" si="232">IF(F141&gt;0,RANK(F141,(F$130:F$148)),0)</f>
        <v>5</v>
      </c>
      <c r="H141" s="189">
        <f>'Averages Pivot Table'!S$279</f>
        <v>60352.741125627421</v>
      </c>
      <c r="I141" s="138">
        <f t="shared" ref="I141" si="233">IF(H141&gt;0,RANK(H141,(H$130:H$148)),0)</f>
        <v>3</v>
      </c>
      <c r="J141" s="189">
        <f>'Averages Pivot Table'!S$283</f>
        <v>59832.490600337485</v>
      </c>
      <c r="K141" s="138">
        <f t="shared" ref="K141" si="234">IF(J141&gt;0,RANK(J141,(J$130:J$148)),0)</f>
        <v>4</v>
      </c>
      <c r="L141" s="189">
        <f>'Averages Pivot Table'!S$291</f>
        <v>92193.677650755591</v>
      </c>
      <c r="M141" s="138">
        <f t="shared" ref="M141" si="235">IF(L141&gt;0,RANK(L141,(L$130:L$148)),0)</f>
        <v>4</v>
      </c>
      <c r="N141" s="189"/>
      <c r="O141" s="190"/>
    </row>
    <row r="142" spans="1:15" s="109" customFormat="1" x14ac:dyDescent="0.25">
      <c r="A142" s="136" t="s">
        <v>205</v>
      </c>
      <c r="B142" s="189">
        <f>'Averages Pivot Table'!S$296</f>
        <v>111554.66880418194</v>
      </c>
      <c r="C142" s="138">
        <f t="shared" si="199"/>
        <v>10</v>
      </c>
      <c r="D142" s="189">
        <f>'Averages Pivot Table'!S$300</f>
        <v>73207.430471624466</v>
      </c>
      <c r="E142" s="138">
        <f t="shared" si="199"/>
        <v>15</v>
      </c>
      <c r="F142" s="189">
        <f>'Averages Pivot Table'!S$304</f>
        <v>65480.122327444078</v>
      </c>
      <c r="G142" s="138">
        <f t="shared" ref="G142" si="236">IF(F142&gt;0,RANK(F142,(F$130:F$148)),0)</f>
        <v>14</v>
      </c>
      <c r="H142" s="189">
        <f>'Averages Pivot Table'!S$308</f>
        <v>41959.855683766218</v>
      </c>
      <c r="I142" s="138">
        <f t="shared" ref="I142" si="237">IF(H142&gt;0,RANK(H142,(H$130:H$148)),0)</f>
        <v>16</v>
      </c>
      <c r="J142" s="189">
        <f>'Averages Pivot Table'!S$312</f>
        <v>0</v>
      </c>
      <c r="K142" s="138">
        <f t="shared" ref="K142" si="238">IF(J142&gt;0,RANK(J142,(J$130:J$148)),0)</f>
        <v>0</v>
      </c>
      <c r="L142" s="189">
        <f>'Averages Pivot Table'!S$320</f>
        <v>80251.174722825206</v>
      </c>
      <c r="M142" s="138">
        <f t="shared" ref="M142" si="239">IF(L142&gt;0,RANK(L142,(L$130:L$148)),0)</f>
        <v>13</v>
      </c>
      <c r="N142" s="189"/>
      <c r="O142" s="190"/>
    </row>
    <row r="143" spans="1:15" s="109" customFormat="1" x14ac:dyDescent="0.25">
      <c r="A143" s="136" t="s">
        <v>206</v>
      </c>
      <c r="B143" s="189">
        <f>'Averages Pivot Table'!S$325</f>
        <v>112390.58950963052</v>
      </c>
      <c r="C143" s="138">
        <f t="shared" si="199"/>
        <v>8</v>
      </c>
      <c r="D143" s="189">
        <f>'Averages Pivot Table'!S$329</f>
        <v>79870.02129391706</v>
      </c>
      <c r="E143" s="138">
        <f t="shared" si="199"/>
        <v>8</v>
      </c>
      <c r="F143" s="189">
        <f>'Averages Pivot Table'!S$333</f>
        <v>71272.522254356227</v>
      </c>
      <c r="G143" s="138">
        <f t="shared" ref="G143" si="240">IF(F143&gt;0,RANK(F143,(F$130:F$148)),0)</f>
        <v>8</v>
      </c>
      <c r="H143" s="189">
        <f>'Averages Pivot Table'!S$337</f>
        <v>45442.750535083418</v>
      </c>
      <c r="I143" s="138">
        <f t="shared" ref="I143" si="241">IF(H143&gt;0,RANK(H143,(H$130:H$148)),0)</f>
        <v>9</v>
      </c>
      <c r="J143" s="189">
        <f>'Averages Pivot Table'!S$341</f>
        <v>48444.264497433251</v>
      </c>
      <c r="K143" s="138">
        <f t="shared" ref="K143" si="242">IF(J143&gt;0,RANK(J143,(J$130:J$148)),0)</f>
        <v>10</v>
      </c>
      <c r="L143" s="189">
        <f>'Averages Pivot Table'!S$349</f>
        <v>81895.802275999362</v>
      </c>
      <c r="M143" s="138">
        <f t="shared" ref="M143" si="243">IF(L143&gt;0,RANK(L143,(L$130:L$148)),0)</f>
        <v>8</v>
      </c>
      <c r="N143" s="189"/>
      <c r="O143" s="190"/>
    </row>
    <row r="144" spans="1:15" s="109" customFormat="1" x14ac:dyDescent="0.25">
      <c r="A144" s="136"/>
      <c r="B144" s="189"/>
      <c r="C144" s="138"/>
      <c r="D144" s="189"/>
      <c r="E144" s="138"/>
      <c r="F144" s="189"/>
      <c r="G144" s="138"/>
      <c r="H144" s="189"/>
      <c r="I144" s="138"/>
      <c r="J144" s="189"/>
      <c r="K144" s="138"/>
      <c r="L144" s="189"/>
      <c r="M144" s="138"/>
      <c r="N144" s="189"/>
      <c r="O144" s="190"/>
    </row>
    <row r="145" spans="1:19" ht="12.95" customHeight="1" x14ac:dyDescent="0.25">
      <c r="A145" s="136" t="s">
        <v>207</v>
      </c>
      <c r="B145" s="191">
        <f>'Averages Pivot Table'!S$354</f>
        <v>111765.65672734816</v>
      </c>
      <c r="C145" s="138">
        <f t="shared" si="199"/>
        <v>9</v>
      </c>
      <c r="D145" s="191">
        <f>'Averages Pivot Table'!S$358</f>
        <v>80307.160257733543</v>
      </c>
      <c r="E145" s="138">
        <f t="shared" si="199"/>
        <v>7</v>
      </c>
      <c r="F145" s="191">
        <f>'Averages Pivot Table'!S$362</f>
        <v>68156.928639556441</v>
      </c>
      <c r="G145" s="138">
        <f t="shared" ref="G145" si="244">IF(F145&gt;0,RANK(F145,(F$130:F$148)),0)</f>
        <v>11</v>
      </c>
      <c r="H145" s="191">
        <f>'Averages Pivot Table'!S$366</f>
        <v>45685.623416483111</v>
      </c>
      <c r="I145" s="138">
        <f t="shared" ref="I145" si="245">IF(H145&gt;0,RANK(H145,(H$130:H$148)),0)</f>
        <v>8</v>
      </c>
      <c r="J145" s="191">
        <f>'Averages Pivot Table'!S$370</f>
        <v>42469.605639394154</v>
      </c>
      <c r="K145" s="138">
        <f t="shared" ref="K145" si="246">IF(J145&gt;0,RANK(J145,(J$130:J$148)),0)</f>
        <v>13</v>
      </c>
      <c r="L145" s="191">
        <f>'Averages Pivot Table'!S$378</f>
        <v>80635.658014607412</v>
      </c>
      <c r="M145" s="138">
        <f t="shared" ref="M145" si="247">IF(L145&gt;0,RANK(L145,(L$130:L$148)),0)</f>
        <v>12</v>
      </c>
      <c r="N145" s="189"/>
      <c r="O145" s="190"/>
    </row>
    <row r="146" spans="1:19" ht="12.95" customHeight="1" x14ac:dyDescent="0.25">
      <c r="A146" s="136" t="s">
        <v>208</v>
      </c>
      <c r="B146" s="191">
        <f>'Averages Pivot Table'!S$383</f>
        <v>127925.40324392583</v>
      </c>
      <c r="C146" s="138">
        <f t="shared" si="199"/>
        <v>4</v>
      </c>
      <c r="D146" s="191">
        <f>'Averages Pivot Table'!S$387</f>
        <v>84636.602269680094</v>
      </c>
      <c r="E146" s="138">
        <f t="shared" si="199"/>
        <v>5</v>
      </c>
      <c r="F146" s="191">
        <f>'Averages Pivot Table'!S$391</f>
        <v>76230.740133157888</v>
      </c>
      <c r="G146" s="138">
        <f t="shared" ref="G146" si="248">IF(F146&gt;0,RANK(F146,(F$130:F$148)),0)</f>
        <v>3</v>
      </c>
      <c r="H146" s="191">
        <f>'Averages Pivot Table'!S$395</f>
        <v>43655.275756870753</v>
      </c>
      <c r="I146" s="138">
        <f t="shared" ref="I146" si="249">IF(H146&gt;0,RANK(H146,(H$130:H$148)),0)</f>
        <v>12</v>
      </c>
      <c r="J146" s="191">
        <f>'Averages Pivot Table'!S$399</f>
        <v>53731.952283965416</v>
      </c>
      <c r="K146" s="138">
        <f t="shared" ref="K146" si="250">IF(J146&gt;0,RANK(J146,(J$130:J$148)),0)</f>
        <v>7</v>
      </c>
      <c r="L146" s="191">
        <f>'Averages Pivot Table'!S$407</f>
        <v>90219.116006920085</v>
      </c>
      <c r="M146" s="138">
        <f t="shared" ref="M146" si="251">IF(L146&gt;0,RANK(L146,(L$130:L$148)),0)</f>
        <v>5</v>
      </c>
      <c r="N146" s="189"/>
      <c r="O146" s="190"/>
    </row>
    <row r="147" spans="1:19" ht="12.95" customHeight="1" x14ac:dyDescent="0.25">
      <c r="A147" s="136" t="s">
        <v>209</v>
      </c>
      <c r="B147" s="191">
        <f>'Averages Pivot Table'!S$412</f>
        <v>128874.87369722774</v>
      </c>
      <c r="C147" s="138">
        <f t="shared" si="199"/>
        <v>3</v>
      </c>
      <c r="D147" s="191">
        <f>'Averages Pivot Table'!S$416</f>
        <v>86066.827322497469</v>
      </c>
      <c r="E147" s="138">
        <f t="shared" si="199"/>
        <v>3</v>
      </c>
      <c r="F147" s="191">
        <f>'Averages Pivot Table'!S$420</f>
        <v>72647.576752259076</v>
      </c>
      <c r="G147" s="138">
        <f t="shared" ref="G147" si="252">IF(F147&gt;0,RANK(F147,(F$130:F$148)),0)</f>
        <v>6</v>
      </c>
      <c r="H147" s="191">
        <f>'Averages Pivot Table'!S$424</f>
        <v>50223.729297569713</v>
      </c>
      <c r="I147" s="138">
        <f t="shared" ref="I147" si="253">IF(H147&gt;0,RANK(H147,(H$130:H$148)),0)</f>
        <v>6</v>
      </c>
      <c r="J147" s="191">
        <f>'Averages Pivot Table'!S$428</f>
        <v>52322.234367065335</v>
      </c>
      <c r="K147" s="138">
        <f t="shared" ref="K147" si="254">IF(J147&gt;0,RANK(J147,(J$130:J$148)),0)</f>
        <v>8</v>
      </c>
      <c r="L147" s="191">
        <f>'Averages Pivot Table'!S$436</f>
        <v>93591.9939093016</v>
      </c>
      <c r="M147" s="138">
        <f t="shared" ref="M147" si="255">IF(L147&gt;0,RANK(L147,(L$130:L$148)),0)</f>
        <v>3</v>
      </c>
      <c r="N147" s="189"/>
      <c r="O147" s="190"/>
    </row>
    <row r="148" spans="1:19" ht="12.95" customHeight="1" x14ac:dyDescent="0.25">
      <c r="A148" s="161" t="s">
        <v>210</v>
      </c>
      <c r="B148" s="192">
        <f>'Averages Pivot Table'!S$441</f>
        <v>108015.33548387096</v>
      </c>
      <c r="C148" s="141">
        <f t="shared" si="199"/>
        <v>13</v>
      </c>
      <c r="D148" s="192">
        <f>'Averages Pivot Table'!S$445</f>
        <v>79521.76475409836</v>
      </c>
      <c r="E148" s="141">
        <f t="shared" si="199"/>
        <v>9</v>
      </c>
      <c r="F148" s="192">
        <f>'Averages Pivot Table'!S$449</f>
        <v>64308.661844484632</v>
      </c>
      <c r="G148" s="141">
        <f t="shared" ref="G148" si="256">IF(F148&gt;0,RANK(F148,(F$130:F$148)),0)</f>
        <v>15</v>
      </c>
      <c r="H148" s="192">
        <f>'Averages Pivot Table'!S$453</f>
        <v>42096.449678800855</v>
      </c>
      <c r="I148" s="141">
        <f t="shared" ref="I148" si="257">IF(H148&gt;0,RANK(H148,(H$130:H$148)),0)</f>
        <v>15</v>
      </c>
      <c r="J148" s="192">
        <f>'Averages Pivot Table'!S$457</f>
        <v>54894.569620253162</v>
      </c>
      <c r="K148" s="141">
        <f t="shared" ref="K148" si="258">IF(J148&gt;0,RANK(J148,(J$130:J$148)),0)</f>
        <v>6</v>
      </c>
      <c r="L148" s="192">
        <f>'Averages Pivot Table'!S$465</f>
        <v>79844.021984852268</v>
      </c>
      <c r="M148" s="141">
        <f t="shared" ref="M148" si="259">IF(L148&gt;0,RANK(L148,(L$130:L$148)),0)</f>
        <v>14</v>
      </c>
      <c r="N148" s="189"/>
      <c r="O148" s="189"/>
    </row>
    <row r="149" spans="1:19" ht="30" customHeight="1" x14ac:dyDescent="0.25">
      <c r="A149" s="716" t="s">
        <v>187</v>
      </c>
      <c r="B149" s="722"/>
      <c r="C149" s="722"/>
      <c r="D149" s="722"/>
      <c r="E149" s="722"/>
      <c r="F149" s="722"/>
      <c r="G149" s="722"/>
      <c r="H149" s="722"/>
      <c r="I149" s="722"/>
      <c r="J149" s="722"/>
      <c r="K149" s="722"/>
      <c r="L149" s="722"/>
      <c r="M149" s="722"/>
      <c r="N149" s="136"/>
      <c r="O149" s="136"/>
    </row>
    <row r="150" spans="1:19" x14ac:dyDescent="0.25">
      <c r="M150" s="102" t="s">
        <v>1124</v>
      </c>
      <c r="O150" s="193"/>
    </row>
    <row r="151" spans="1:19" ht="18" x14ac:dyDescent="0.25">
      <c r="A151" s="82" t="s">
        <v>223</v>
      </c>
      <c r="B151" s="82"/>
      <c r="C151" s="82"/>
      <c r="D151" s="82"/>
      <c r="E151" s="82"/>
      <c r="F151" s="82"/>
      <c r="G151" s="82"/>
      <c r="H151" s="82"/>
      <c r="I151" s="82"/>
      <c r="J151" s="82"/>
      <c r="K151" s="82"/>
      <c r="L151" s="82"/>
      <c r="M151" s="82"/>
      <c r="N151" s="179"/>
      <c r="O151" s="179"/>
    </row>
    <row r="152" spans="1:19" x14ac:dyDescent="0.25">
      <c r="A152" s="136"/>
      <c r="B152" s="87"/>
      <c r="C152" s="87"/>
      <c r="D152" s="87"/>
      <c r="E152" s="87"/>
      <c r="F152" s="87"/>
      <c r="G152" s="87"/>
      <c r="H152" s="87"/>
      <c r="I152" s="87"/>
      <c r="J152" s="87"/>
      <c r="K152" s="87"/>
      <c r="L152" s="87"/>
      <c r="M152" s="87"/>
      <c r="N152" s="87"/>
      <c r="O152" s="87"/>
    </row>
    <row r="153" spans="1:19" x14ac:dyDescent="0.25">
      <c r="A153" s="707" t="s">
        <v>218</v>
      </c>
      <c r="B153" s="707"/>
      <c r="C153" s="707"/>
      <c r="D153" s="707"/>
      <c r="E153" s="707"/>
      <c r="F153" s="707"/>
      <c r="G153" s="707"/>
      <c r="H153" s="707"/>
      <c r="I153" s="707"/>
      <c r="J153" s="707"/>
      <c r="K153" s="707"/>
      <c r="L153" s="707"/>
      <c r="M153" s="707"/>
      <c r="N153" s="181"/>
      <c r="O153" s="181"/>
    </row>
    <row r="154" spans="1:19" x14ac:dyDescent="0.25">
      <c r="A154" s="707" t="s">
        <v>224</v>
      </c>
      <c r="B154" s="707"/>
      <c r="C154" s="707"/>
      <c r="D154" s="707"/>
      <c r="E154" s="707"/>
      <c r="F154" s="707"/>
      <c r="G154" s="707"/>
      <c r="H154" s="707"/>
      <c r="I154" s="707"/>
      <c r="J154" s="707"/>
      <c r="K154" s="707"/>
      <c r="L154" s="707"/>
      <c r="M154" s="707"/>
      <c r="N154" s="181"/>
      <c r="O154" s="181"/>
    </row>
    <row r="155" spans="1:19" x14ac:dyDescent="0.25">
      <c r="A155" s="136"/>
      <c r="B155" s="136"/>
      <c r="C155" s="136"/>
      <c r="D155" s="136"/>
      <c r="E155" s="136"/>
      <c r="F155" s="136"/>
      <c r="G155" s="136"/>
      <c r="H155" s="136"/>
      <c r="I155" s="136"/>
      <c r="J155" s="136"/>
      <c r="K155" s="136"/>
      <c r="L155" s="136"/>
      <c r="M155" s="136"/>
      <c r="N155" s="136"/>
      <c r="O155" s="136"/>
    </row>
    <row r="156" spans="1:19" ht="30.75" customHeight="1" x14ac:dyDescent="0.25">
      <c r="A156" s="114"/>
      <c r="B156" s="182" t="s">
        <v>3</v>
      </c>
      <c r="C156" s="183"/>
      <c r="D156" s="184" t="s">
        <v>4</v>
      </c>
      <c r="E156" s="185"/>
      <c r="F156" s="184" t="s">
        <v>5</v>
      </c>
      <c r="G156" s="185"/>
      <c r="H156" s="182" t="s">
        <v>6</v>
      </c>
      <c r="I156" s="183"/>
      <c r="J156" s="184" t="s">
        <v>219</v>
      </c>
      <c r="K156" s="185"/>
      <c r="L156" s="183" t="s">
        <v>220</v>
      </c>
      <c r="M156" s="183"/>
      <c r="N156" s="186" t="s">
        <v>7</v>
      </c>
      <c r="O156" s="186"/>
    </row>
    <row r="157" spans="1:19" x14ac:dyDescent="0.25">
      <c r="A157" s="120"/>
      <c r="B157" s="116" t="s">
        <v>193</v>
      </c>
      <c r="C157" s="115" t="s">
        <v>170</v>
      </c>
      <c r="D157" s="116" t="s">
        <v>193</v>
      </c>
      <c r="E157" s="115" t="s">
        <v>170</v>
      </c>
      <c r="F157" s="116" t="s">
        <v>193</v>
      </c>
      <c r="G157" s="115" t="s">
        <v>170</v>
      </c>
      <c r="H157" s="116" t="s">
        <v>193</v>
      </c>
      <c r="I157" s="115" t="s">
        <v>170</v>
      </c>
      <c r="J157" s="116" t="s">
        <v>193</v>
      </c>
      <c r="K157" s="115" t="s">
        <v>170</v>
      </c>
      <c r="L157" s="116" t="s">
        <v>193</v>
      </c>
      <c r="M157" s="115" t="s">
        <v>170</v>
      </c>
    </row>
    <row r="158" spans="1:19" s="127" customFormat="1" ht="18" customHeight="1" x14ac:dyDescent="0.25">
      <c r="A158" s="124" t="s">
        <v>194</v>
      </c>
      <c r="B158" s="151">
        <f>'Averages Pivot Table'!T$469</f>
        <v>110141.91260780694</v>
      </c>
      <c r="C158" s="151"/>
      <c r="D158" s="151">
        <f>'Averages Pivot Table'!T$473</f>
        <v>78071.286974762857</v>
      </c>
      <c r="E158" s="151"/>
      <c r="F158" s="151">
        <f>'Averages Pivot Table'!T$477</f>
        <v>66584.806860991201</v>
      </c>
      <c r="G158" s="151"/>
      <c r="H158" s="151">
        <f>'Averages Pivot Table'!T$481</f>
        <v>45934.044402034619</v>
      </c>
      <c r="I158" s="151"/>
      <c r="J158" s="151">
        <f>'Averages Pivot Table'!T$485</f>
        <v>48126.323283031168</v>
      </c>
      <c r="K158" s="151"/>
      <c r="L158" s="151">
        <f>'Averages Pivot Table'!T$493</f>
        <v>76053.499376965265</v>
      </c>
      <c r="M158" s="187"/>
      <c r="N158" s="151"/>
      <c r="O158" s="188"/>
      <c r="Q158" s="129"/>
      <c r="R158" s="129"/>
      <c r="S158" s="129"/>
    </row>
    <row r="159" spans="1:19" ht="12.95" customHeight="1" x14ac:dyDescent="0.25">
      <c r="A159" s="136"/>
      <c r="B159" s="131"/>
      <c r="C159" s="155"/>
      <c r="D159" s="131"/>
      <c r="E159" s="155"/>
      <c r="F159" s="131"/>
      <c r="G159" s="155"/>
      <c r="H159" s="131"/>
      <c r="I159" s="155"/>
      <c r="J159" s="131"/>
      <c r="K159" s="155"/>
      <c r="L159" s="131"/>
      <c r="M159" s="155"/>
      <c r="N159" s="131"/>
      <c r="O159" s="132"/>
    </row>
    <row r="160" spans="1:19" ht="12.95" customHeight="1" x14ac:dyDescent="0.25">
      <c r="A160" s="136" t="s">
        <v>195</v>
      </c>
      <c r="B160" s="189">
        <f>'Averages Pivot Table'!T$6</f>
        <v>125414.46992977595</v>
      </c>
      <c r="C160" s="138">
        <f>IF(B160&gt;0,RANK(B160,(B$160:B$178)),0)</f>
        <v>2</v>
      </c>
      <c r="D160" s="189">
        <f>'Averages Pivot Table'!T$10</f>
        <v>85472.244839669729</v>
      </c>
      <c r="E160" s="138">
        <f>IF(D160&gt;0,RANK(D160,(D$160:D$178)),0)</f>
        <v>2</v>
      </c>
      <c r="F160" s="189">
        <f>'Averages Pivot Table'!T$14</f>
        <v>69803.303894744517</v>
      </c>
      <c r="G160" s="138">
        <f>IF(F160&gt;0,RANK(F160,(F$160:F$178)),0)</f>
        <v>2</v>
      </c>
      <c r="H160" s="189">
        <f>'Averages Pivot Table'!T$18</f>
        <v>58055.87127668209</v>
      </c>
      <c r="I160" s="138">
        <f>IF(H160&gt;0,RANK(H160,(H$160:H$178)),0)</f>
        <v>2</v>
      </c>
      <c r="J160" s="189">
        <f>'Averages Pivot Table'!T$22</f>
        <v>47514.528947368417</v>
      </c>
      <c r="K160" s="138">
        <f>IF(J160&gt;0,RANK(J160,(J$160:J$178)),0)</f>
        <v>7</v>
      </c>
      <c r="L160" s="189">
        <f>'Averages Pivot Table'!T$30</f>
        <v>86668.721239618622</v>
      </c>
      <c r="M160" s="138">
        <f>IF(L160&gt;0,RANK(L160,(L$160:L$178)),0)</f>
        <v>2</v>
      </c>
      <c r="N160" s="167"/>
      <c r="O160" s="186"/>
    </row>
    <row r="161" spans="1:15" s="109" customFormat="1" x14ac:dyDescent="0.25">
      <c r="A161" s="136" t="s">
        <v>196</v>
      </c>
      <c r="B161" s="189">
        <f>'Averages Pivot Table'!T$35</f>
        <v>0</v>
      </c>
      <c r="C161" s="138">
        <f t="shared" ref="C161:E178" si="260">IF(B161&gt;0,RANK(B161,(B$160:B$178)),0)</f>
        <v>0</v>
      </c>
      <c r="D161" s="189">
        <f>'Averages Pivot Table'!T$39</f>
        <v>0</v>
      </c>
      <c r="E161" s="138">
        <f t="shared" si="260"/>
        <v>0</v>
      </c>
      <c r="F161" s="189">
        <f>'Averages Pivot Table'!T$43</f>
        <v>0</v>
      </c>
      <c r="G161" s="138">
        <f t="shared" ref="G161" si="261">IF(F161&gt;0,RANK(F161,(F$160:F$178)),0)</f>
        <v>0</v>
      </c>
      <c r="H161" s="189">
        <f>'Averages Pivot Table'!T$47</f>
        <v>0</v>
      </c>
      <c r="I161" s="138">
        <f t="shared" ref="I161" si="262">IF(H161&gt;0,RANK(H161,(H$160:H$178)),0)</f>
        <v>0</v>
      </c>
      <c r="J161" s="189">
        <f>'Averages Pivot Table'!T$51</f>
        <v>0</v>
      </c>
      <c r="K161" s="138">
        <f t="shared" ref="K161" si="263">IF(J161&gt;0,RANK(J161,(J$160:J$178)),0)</f>
        <v>0</v>
      </c>
      <c r="L161" s="189">
        <f>'Averages Pivot Table'!T$59</f>
        <v>0</v>
      </c>
      <c r="M161" s="138">
        <f t="shared" ref="M161" si="264">IF(L161&gt;0,RANK(L161,(L$160:L$178)),0)</f>
        <v>0</v>
      </c>
      <c r="N161" s="167"/>
      <c r="O161" s="186"/>
    </row>
    <row r="162" spans="1:15" s="109" customFormat="1" x14ac:dyDescent="0.25">
      <c r="A162" s="136" t="s">
        <v>197</v>
      </c>
      <c r="B162" s="189">
        <f>'Averages Pivot Table'!T$64</f>
        <v>0</v>
      </c>
      <c r="C162" s="138">
        <f t="shared" si="260"/>
        <v>0</v>
      </c>
      <c r="D162" s="189">
        <f>'Averages Pivot Table'!T$68</f>
        <v>0</v>
      </c>
      <c r="E162" s="138">
        <f t="shared" si="260"/>
        <v>0</v>
      </c>
      <c r="F162" s="189">
        <f>'Averages Pivot Table'!T$72</f>
        <v>0</v>
      </c>
      <c r="G162" s="138">
        <f t="shared" ref="G162" si="265">IF(F162&gt;0,RANK(F162,(F$160:F$178)),0)</f>
        <v>0</v>
      </c>
      <c r="H162" s="189">
        <f>'Averages Pivot Table'!T$76</f>
        <v>0</v>
      </c>
      <c r="I162" s="138">
        <f t="shared" ref="I162" si="266">IF(H162&gt;0,RANK(H162,(H$160:H$178)),0)</f>
        <v>0</v>
      </c>
      <c r="J162" s="189">
        <f>'Averages Pivot Table'!T$80</f>
        <v>0</v>
      </c>
      <c r="K162" s="138">
        <f t="shared" ref="K162" si="267">IF(J162&gt;0,RANK(J162,(J$160:J$178)),0)</f>
        <v>0</v>
      </c>
      <c r="L162" s="189">
        <f>'Averages Pivot Table'!T$88</f>
        <v>0</v>
      </c>
      <c r="M162" s="138">
        <f t="shared" ref="M162" si="268">IF(L162&gt;0,RANK(L162,(L$160:L$178)),0)</f>
        <v>0</v>
      </c>
      <c r="N162" s="167"/>
      <c r="O162" s="186"/>
    </row>
    <row r="163" spans="1:15" s="109" customFormat="1" x14ac:dyDescent="0.25">
      <c r="A163" s="136" t="s">
        <v>198</v>
      </c>
      <c r="B163" s="189">
        <f>'Averages Pivot Table'!T$93</f>
        <v>95811.65084745764</v>
      </c>
      <c r="C163" s="138">
        <f t="shared" si="260"/>
        <v>8</v>
      </c>
      <c r="D163" s="189">
        <f>'Averages Pivot Table'!T$97</f>
        <v>72080.497109826581</v>
      </c>
      <c r="E163" s="138">
        <f t="shared" si="260"/>
        <v>8</v>
      </c>
      <c r="F163" s="189">
        <f>'Averages Pivot Table'!T$101</f>
        <v>64862.495515695067</v>
      </c>
      <c r="G163" s="138">
        <f t="shared" ref="G163" si="269">IF(F163&gt;0,RANK(F163,(F$160:F$178)),0)</f>
        <v>6</v>
      </c>
      <c r="H163" s="189">
        <f>'Averages Pivot Table'!T$105</f>
        <v>47351.655405405407</v>
      </c>
      <c r="I163" s="138">
        <f t="shared" ref="I163" si="270">IF(H163&gt;0,RANK(H163,(H$160:H$178)),0)</f>
        <v>6</v>
      </c>
      <c r="J163" s="189">
        <f>'Averages Pivot Table'!T$109</f>
        <v>50777.571428571428</v>
      </c>
      <c r="K163" s="138">
        <f t="shared" ref="K163" si="271">IF(J163&gt;0,RANK(J163,(J$160:J$178)),0)</f>
        <v>5</v>
      </c>
      <c r="L163" s="189">
        <f>'Averages Pivot Table'!T$117</f>
        <v>70627.566316708006</v>
      </c>
      <c r="M163" s="138">
        <f t="shared" ref="M163" si="272">IF(L163&gt;0,RANK(L163,(L$160:L$178)),0)</f>
        <v>6</v>
      </c>
      <c r="N163" s="167"/>
      <c r="O163" s="186"/>
    </row>
    <row r="164" spans="1:15" s="109" customFormat="1" x14ac:dyDescent="0.25">
      <c r="A164" s="136"/>
      <c r="B164" s="189"/>
      <c r="C164" s="138"/>
      <c r="D164" s="189"/>
      <c r="E164" s="138"/>
      <c r="F164" s="189"/>
      <c r="G164" s="138"/>
      <c r="H164" s="189"/>
      <c r="I164" s="138"/>
      <c r="J164" s="189"/>
      <c r="K164" s="138"/>
      <c r="L164" s="189"/>
      <c r="M164" s="138"/>
      <c r="N164" s="167"/>
      <c r="O164" s="186"/>
    </row>
    <row r="165" spans="1:15" s="109" customFormat="1" x14ac:dyDescent="0.25">
      <c r="A165" s="136" t="s">
        <v>225</v>
      </c>
      <c r="B165" s="189">
        <f>'Averages Pivot Table'!T$122</f>
        <v>141882.1984891899</v>
      </c>
      <c r="C165" s="138">
        <f t="shared" si="260"/>
        <v>1</v>
      </c>
      <c r="D165" s="189">
        <f>'Averages Pivot Table'!T$126</f>
        <v>94975.797379912663</v>
      </c>
      <c r="E165" s="138">
        <f t="shared" si="260"/>
        <v>1</v>
      </c>
      <c r="F165" s="189">
        <f>'Averages Pivot Table'!T$130</f>
        <v>86689</v>
      </c>
      <c r="G165" s="138">
        <f t="shared" ref="G165" si="273">IF(F165&gt;0,RANK(F165,(F$160:F$178)),0)</f>
        <v>1</v>
      </c>
      <c r="H165" s="189">
        <f>'Averages Pivot Table'!T$134</f>
        <v>34803</v>
      </c>
      <c r="I165" s="138">
        <f t="shared" ref="I165" si="274">IF(H165&gt;0,RANK(H165,(H$160:H$178)),0)</f>
        <v>10</v>
      </c>
      <c r="J165" s="189">
        <f>'Averages Pivot Table'!T$138</f>
        <v>66721.212303980705</v>
      </c>
      <c r="K165" s="138">
        <f t="shared" ref="K165" si="275">IF(J165&gt;0,RANK(J165,(J$160:J$178)),0)</f>
        <v>2</v>
      </c>
      <c r="L165" s="189">
        <f>'Averages Pivot Table'!T$146</f>
        <v>107164.04160986023</v>
      </c>
      <c r="M165" s="138">
        <f t="shared" ref="M165" si="276">IF(L165&gt;0,RANK(L165,(L$160:L$178)),0)</f>
        <v>1</v>
      </c>
      <c r="N165" s="167"/>
      <c r="O165" s="186"/>
    </row>
    <row r="166" spans="1:15" s="109" customFormat="1" x14ac:dyDescent="0.25">
      <c r="A166" s="136" t="s">
        <v>200</v>
      </c>
      <c r="B166" s="189">
        <f>'Averages Pivot Table'!T$151</f>
        <v>0</v>
      </c>
      <c r="C166" s="138">
        <f t="shared" si="260"/>
        <v>0</v>
      </c>
      <c r="D166" s="189">
        <f>'Averages Pivot Table'!T$155</f>
        <v>0</v>
      </c>
      <c r="E166" s="138">
        <f t="shared" si="260"/>
        <v>0</v>
      </c>
      <c r="F166" s="189">
        <f>'Averages Pivot Table'!T$159</f>
        <v>0</v>
      </c>
      <c r="G166" s="138">
        <f t="shared" ref="G166" si="277">IF(F166&gt;0,RANK(F166,(F$160:F$178)),0)</f>
        <v>0</v>
      </c>
      <c r="H166" s="189">
        <f>'Averages Pivot Table'!T$163</f>
        <v>0</v>
      </c>
      <c r="I166" s="138">
        <f t="shared" ref="I166" si="278">IF(H166&gt;0,RANK(H166,(H$160:H$178)),0)</f>
        <v>0</v>
      </c>
      <c r="J166" s="189">
        <f>'Averages Pivot Table'!T$167</f>
        <v>0</v>
      </c>
      <c r="K166" s="138">
        <f t="shared" ref="K166" si="279">IF(J166&gt;0,RANK(J166,(J$160:J$178)),0)</f>
        <v>0</v>
      </c>
      <c r="L166" s="189">
        <f>'Averages Pivot Table'!T$175</f>
        <v>0</v>
      </c>
      <c r="M166" s="138">
        <f t="shared" ref="M166" si="280">IF(L166&gt;0,RANK(L166,(L$160:L$178)),0)</f>
        <v>0</v>
      </c>
      <c r="N166" s="167"/>
      <c r="O166" s="186"/>
    </row>
    <row r="167" spans="1:15" s="109" customFormat="1" x14ac:dyDescent="0.25">
      <c r="A167" s="136" t="s">
        <v>201</v>
      </c>
      <c r="B167" s="189">
        <f>'Averages Pivot Table'!T$180</f>
        <v>92206.099267643425</v>
      </c>
      <c r="C167" s="138">
        <f t="shared" si="260"/>
        <v>9</v>
      </c>
      <c r="D167" s="189">
        <f>'Averages Pivot Table'!T$184</f>
        <v>69623.305950411755</v>
      </c>
      <c r="E167" s="138">
        <f t="shared" si="260"/>
        <v>9</v>
      </c>
      <c r="F167" s="189">
        <f>'Averages Pivot Table'!T$188</f>
        <v>59954.087429093437</v>
      </c>
      <c r="G167" s="138">
        <f t="shared" ref="G167" si="281">IF(F167&gt;0,RANK(F167,(F$160:F$178)),0)</f>
        <v>9</v>
      </c>
      <c r="H167" s="189">
        <f>'Averages Pivot Table'!T$192</f>
        <v>42302.213160203093</v>
      </c>
      <c r="I167" s="138">
        <f t="shared" ref="I167" si="282">IF(H167&gt;0,RANK(H167,(H$160:H$178)),0)</f>
        <v>8</v>
      </c>
      <c r="J167" s="189">
        <f>'Averages Pivot Table'!T$196</f>
        <v>62277</v>
      </c>
      <c r="K167" s="138">
        <f t="shared" ref="K167" si="283">IF(J167&gt;0,RANK(J167,(J$160:J$178)),0)</f>
        <v>3</v>
      </c>
      <c r="L167" s="189">
        <f>'Averages Pivot Table'!T$204</f>
        <v>67041.821905649718</v>
      </c>
      <c r="M167" s="138">
        <f t="shared" ref="M167" si="284">IF(L167&gt;0,RANK(L167,(L$160:L$178)),0)</f>
        <v>9</v>
      </c>
      <c r="N167" s="167"/>
      <c r="O167" s="186"/>
    </row>
    <row r="168" spans="1:15" s="109" customFormat="1" x14ac:dyDescent="0.25">
      <c r="A168" s="136" t="s">
        <v>202</v>
      </c>
      <c r="B168" s="189">
        <f>'Averages Pivot Table'!T$209</f>
        <v>110818.68291244944</v>
      </c>
      <c r="C168" s="138">
        <f t="shared" si="260"/>
        <v>4</v>
      </c>
      <c r="D168" s="189">
        <f>'Averages Pivot Table'!T$213</f>
        <v>78020.623865374204</v>
      </c>
      <c r="E168" s="138">
        <f t="shared" si="260"/>
        <v>4</v>
      </c>
      <c r="F168" s="189">
        <f>'Averages Pivot Table'!T$217</f>
        <v>67664.554207914363</v>
      </c>
      <c r="G168" s="138">
        <f t="shared" ref="G168" si="285">IF(F168&gt;0,RANK(F168,(F$160:F$178)),0)</f>
        <v>5</v>
      </c>
      <c r="H168" s="189">
        <f>'Averages Pivot Table'!T$221</f>
        <v>50893.277542372882</v>
      </c>
      <c r="I168" s="138">
        <f t="shared" ref="I168" si="286">IF(H168&gt;0,RANK(H168,(H$160:H$178)),0)</f>
        <v>3</v>
      </c>
      <c r="J168" s="189">
        <f>'Averages Pivot Table'!T$225</f>
        <v>47168.045141984323</v>
      </c>
      <c r="K168" s="138">
        <f t="shared" ref="K168" si="287">IF(J168&gt;0,RANK(J168,(J$160:J$178)),0)</f>
        <v>8</v>
      </c>
      <c r="L168" s="189">
        <f>'Averages Pivot Table'!T$233</f>
        <v>73986.411934526812</v>
      </c>
      <c r="M168" s="138">
        <f t="shared" ref="M168" si="288">IF(L168&gt;0,RANK(L168,(L$160:L$178)),0)</f>
        <v>5</v>
      </c>
      <c r="N168" s="167"/>
      <c r="O168" s="186"/>
    </row>
    <row r="169" spans="1:15" s="109" customFormat="1" x14ac:dyDescent="0.25">
      <c r="A169" s="136"/>
      <c r="B169" s="189"/>
      <c r="C169" s="138"/>
      <c r="D169" s="189"/>
      <c r="E169" s="138"/>
      <c r="F169" s="189"/>
      <c r="G169" s="138"/>
      <c r="H169" s="189"/>
      <c r="I169" s="138"/>
      <c r="J169" s="189"/>
      <c r="K169" s="138"/>
      <c r="L169" s="189"/>
      <c r="M169" s="138"/>
      <c r="N169" s="167"/>
      <c r="O169" s="186"/>
    </row>
    <row r="170" spans="1:15" s="109" customFormat="1" x14ac:dyDescent="0.25">
      <c r="A170" s="136" t="s">
        <v>203</v>
      </c>
      <c r="B170" s="189">
        <f>'Averages Pivot Table'!T$238</f>
        <v>97647.58933620782</v>
      </c>
      <c r="C170" s="138">
        <f t="shared" si="260"/>
        <v>7</v>
      </c>
      <c r="D170" s="189">
        <f>'Averages Pivot Table'!T$242</f>
        <v>74235.43093425293</v>
      </c>
      <c r="E170" s="138">
        <f t="shared" si="260"/>
        <v>7</v>
      </c>
      <c r="F170" s="189">
        <f>'Averages Pivot Table'!T$246</f>
        <v>62634.440068487624</v>
      </c>
      <c r="G170" s="138">
        <f t="shared" ref="G170" si="289">IF(F170&gt;0,RANK(F170,(F$160:F$178)),0)</f>
        <v>8</v>
      </c>
      <c r="H170" s="189">
        <f>'Averages Pivot Table'!T$250</f>
        <v>40457.03907800981</v>
      </c>
      <c r="I170" s="138">
        <f t="shared" ref="I170" si="290">IF(H170&gt;0,RANK(H170,(H$160:H$178)),0)</f>
        <v>9</v>
      </c>
      <c r="J170" s="189">
        <f>'Averages Pivot Table'!T$254</f>
        <v>45386.620053956838</v>
      </c>
      <c r="K170" s="138">
        <f t="shared" ref="K170" si="291">IF(J170&gt;0,RANK(J170,(J$160:J$178)),0)</f>
        <v>9</v>
      </c>
      <c r="L170" s="189">
        <f>'Averages Pivot Table'!T$262</f>
        <v>69132.572757435482</v>
      </c>
      <c r="M170" s="138">
        <f t="shared" ref="M170" si="292">IF(L170&gt;0,RANK(L170,(L$160:L$178)),0)</f>
        <v>8</v>
      </c>
      <c r="N170" s="167"/>
      <c r="O170" s="186"/>
    </row>
    <row r="171" spans="1:15" s="109" customFormat="1" x14ac:dyDescent="0.25">
      <c r="A171" s="136" t="s">
        <v>204</v>
      </c>
      <c r="B171" s="189">
        <f>'Averages Pivot Table'!T$267</f>
        <v>104104.77425628742</v>
      </c>
      <c r="C171" s="138">
        <f t="shared" si="260"/>
        <v>6</v>
      </c>
      <c r="D171" s="189">
        <f>'Averages Pivot Table'!T$271</f>
        <v>76918.848539932907</v>
      </c>
      <c r="E171" s="138">
        <f t="shared" si="260"/>
        <v>6</v>
      </c>
      <c r="F171" s="189">
        <f>'Averages Pivot Table'!T$275</f>
        <v>68065.758705348417</v>
      </c>
      <c r="G171" s="138">
        <f t="shared" ref="G171" si="293">IF(F171&gt;0,RANK(F171,(F$160:F$178)),0)</f>
        <v>4</v>
      </c>
      <c r="H171" s="189">
        <f>'Averages Pivot Table'!T$279</f>
        <v>66098.797297297293</v>
      </c>
      <c r="I171" s="138">
        <f t="shared" ref="I171" si="294">IF(H171&gt;0,RANK(H171,(H$160:H$178)),0)</f>
        <v>1</v>
      </c>
      <c r="J171" s="189">
        <f>'Averages Pivot Table'!T$283</f>
        <v>50847.058135839034</v>
      </c>
      <c r="K171" s="138">
        <f t="shared" ref="K171" si="295">IF(J171&gt;0,RANK(J171,(J$160:J$178)),0)</f>
        <v>4</v>
      </c>
      <c r="L171" s="189">
        <f>'Averages Pivot Table'!T$291</f>
        <v>74041.985967152475</v>
      </c>
      <c r="M171" s="138">
        <f t="shared" ref="M171" si="296">IF(L171&gt;0,RANK(L171,(L$160:L$178)),0)</f>
        <v>4</v>
      </c>
      <c r="N171" s="167"/>
      <c r="O171" s="186"/>
    </row>
    <row r="172" spans="1:15" s="109" customFormat="1" x14ac:dyDescent="0.25">
      <c r="A172" s="136" t="s">
        <v>205</v>
      </c>
      <c r="B172" s="189">
        <f>'Averages Pivot Table'!T$296</f>
        <v>0</v>
      </c>
      <c r="C172" s="138">
        <f t="shared" si="260"/>
        <v>0</v>
      </c>
      <c r="D172" s="189">
        <f>'Averages Pivot Table'!T$300</f>
        <v>0</v>
      </c>
      <c r="E172" s="138">
        <f t="shared" si="260"/>
        <v>0</v>
      </c>
      <c r="F172" s="189">
        <f>'Averages Pivot Table'!T$304</f>
        <v>0</v>
      </c>
      <c r="G172" s="138">
        <f t="shared" ref="G172" si="297">IF(F172&gt;0,RANK(F172,(F$160:F$178)),0)</f>
        <v>0</v>
      </c>
      <c r="H172" s="189">
        <f>'Averages Pivot Table'!T$308</f>
        <v>0</v>
      </c>
      <c r="I172" s="138">
        <f t="shared" ref="I172" si="298">IF(H172&gt;0,RANK(H172,(H$160:H$178)),0)</f>
        <v>0</v>
      </c>
      <c r="J172" s="189">
        <f>'Averages Pivot Table'!T$312</f>
        <v>0</v>
      </c>
      <c r="K172" s="138">
        <f t="shared" ref="K172" si="299">IF(J172&gt;0,RANK(J172,(J$160:J$178)),0)</f>
        <v>0</v>
      </c>
      <c r="L172" s="189">
        <f>'Averages Pivot Table'!T$320</f>
        <v>0</v>
      </c>
      <c r="M172" s="138">
        <f t="shared" ref="M172" si="300">IF(L172&gt;0,RANK(L172,(L$160:L$178)),0)</f>
        <v>0</v>
      </c>
      <c r="N172" s="167"/>
      <c r="O172" s="186"/>
    </row>
    <row r="173" spans="1:15" s="109" customFormat="1" x14ac:dyDescent="0.25">
      <c r="A173" s="136" t="s">
        <v>206</v>
      </c>
      <c r="B173" s="189">
        <f>'Averages Pivot Table'!T$325</f>
        <v>0</v>
      </c>
      <c r="C173" s="138">
        <f t="shared" si="260"/>
        <v>0</v>
      </c>
      <c r="D173" s="189">
        <f>'Averages Pivot Table'!T$329</f>
        <v>0</v>
      </c>
      <c r="E173" s="138">
        <f t="shared" si="260"/>
        <v>0</v>
      </c>
      <c r="F173" s="189">
        <f>'Averages Pivot Table'!T$333</f>
        <v>0</v>
      </c>
      <c r="G173" s="138">
        <f t="shared" ref="G173" si="301">IF(F173&gt;0,RANK(F173,(F$160:F$178)),0)</f>
        <v>0</v>
      </c>
      <c r="H173" s="189">
        <f>'Averages Pivot Table'!T$337</f>
        <v>0</v>
      </c>
      <c r="I173" s="138">
        <f t="shared" ref="I173" si="302">IF(H173&gt;0,RANK(H173,(H$160:H$178)),0)</f>
        <v>0</v>
      </c>
      <c r="J173" s="189">
        <f>'Averages Pivot Table'!T$341</f>
        <v>0</v>
      </c>
      <c r="K173" s="138">
        <f t="shared" ref="K173" si="303">IF(J173&gt;0,RANK(J173,(J$160:J$178)),0)</f>
        <v>0</v>
      </c>
      <c r="L173" s="189">
        <f>'Averages Pivot Table'!T$349</f>
        <v>0</v>
      </c>
      <c r="M173" s="138">
        <f t="shared" ref="M173" si="304">IF(L173&gt;0,RANK(L173,(L$160:L$178)),0)</f>
        <v>0</v>
      </c>
      <c r="N173" s="167"/>
      <c r="O173" s="186"/>
    </row>
    <row r="174" spans="1:15" s="109" customFormat="1" x14ac:dyDescent="0.25">
      <c r="A174" s="136"/>
      <c r="B174" s="189"/>
      <c r="C174" s="138"/>
      <c r="D174" s="189"/>
      <c r="E174" s="138"/>
      <c r="F174" s="189"/>
      <c r="G174" s="138"/>
      <c r="H174" s="189"/>
      <c r="I174" s="138"/>
      <c r="J174" s="189"/>
      <c r="K174" s="138"/>
      <c r="L174" s="189"/>
      <c r="M174" s="138"/>
      <c r="N174" s="167"/>
      <c r="O174" s="186"/>
    </row>
    <row r="175" spans="1:15" s="109" customFormat="1" x14ac:dyDescent="0.25">
      <c r="A175" s="136" t="s">
        <v>207</v>
      </c>
      <c r="B175" s="191">
        <f>'Averages Pivot Table'!T$354</f>
        <v>75222.9375</v>
      </c>
      <c r="C175" s="138">
        <f t="shared" si="260"/>
        <v>10</v>
      </c>
      <c r="D175" s="191">
        <f>'Averages Pivot Table'!T$358</f>
        <v>60136.31457564576</v>
      </c>
      <c r="E175" s="138">
        <f t="shared" si="260"/>
        <v>10</v>
      </c>
      <c r="F175" s="191">
        <f>'Averages Pivot Table'!T$362</f>
        <v>47548.045454545456</v>
      </c>
      <c r="G175" s="138">
        <f t="shared" ref="G175" si="305">IF(F175&gt;0,RANK(F175,(F$160:F$178)),0)</f>
        <v>10</v>
      </c>
      <c r="H175" s="191">
        <f>'Averages Pivot Table'!T$366</f>
        <v>43636.815789473687</v>
      </c>
      <c r="I175" s="138">
        <f t="shared" ref="I175" si="306">IF(H175&gt;0,RANK(H175,(H$160:H$178)),0)</f>
        <v>7</v>
      </c>
      <c r="J175" s="191">
        <f>'Averages Pivot Table'!T$370</f>
        <v>48146.248764415155</v>
      </c>
      <c r="K175" s="138">
        <f t="shared" ref="K175" si="307">IF(J175&gt;0,RANK(J175,(J$160:J$178)),0)</f>
        <v>6</v>
      </c>
      <c r="L175" s="191">
        <f>'Averages Pivot Table'!T$378</f>
        <v>57794.16980132048</v>
      </c>
      <c r="M175" s="138">
        <f t="shared" ref="M175" si="308">IF(L175&gt;0,RANK(L175,(L$160:L$178)),0)</f>
        <v>10</v>
      </c>
      <c r="N175" s="167"/>
      <c r="O175" s="186"/>
    </row>
    <row r="176" spans="1:15" s="109" customFormat="1" x14ac:dyDescent="0.25">
      <c r="A176" s="136" t="s">
        <v>208</v>
      </c>
      <c r="B176" s="191">
        <f>'Averages Pivot Table'!T$383</f>
        <v>106080.31958762887</v>
      </c>
      <c r="C176" s="138">
        <f t="shared" si="260"/>
        <v>5</v>
      </c>
      <c r="D176" s="191">
        <f>'Averages Pivot Table'!T$387</f>
        <v>77108.149068322979</v>
      </c>
      <c r="E176" s="138">
        <f t="shared" si="260"/>
        <v>5</v>
      </c>
      <c r="F176" s="191">
        <f>'Averages Pivot Table'!T$391</f>
        <v>68196.899999999994</v>
      </c>
      <c r="G176" s="138">
        <f t="shared" ref="G176" si="309">IF(F176&gt;0,RANK(F176,(F$160:F$178)),0)</f>
        <v>3</v>
      </c>
      <c r="H176" s="191">
        <f>'Averages Pivot Table'!T$395</f>
        <v>49985.727272727272</v>
      </c>
      <c r="I176" s="138">
        <f t="shared" ref="I176" si="310">IF(H176&gt;0,RANK(H176,(H$160:H$178)),0)</f>
        <v>4</v>
      </c>
      <c r="J176" s="191">
        <f>'Averages Pivot Table'!T$399</f>
        <v>43495.595900439235</v>
      </c>
      <c r="K176" s="138">
        <f t="shared" ref="K176" si="311">IF(J176&gt;0,RANK(J176,(J$160:J$178)),0)</f>
        <v>10</v>
      </c>
      <c r="L176" s="191">
        <f>'Averages Pivot Table'!T$407</f>
        <v>69184.923785166218</v>
      </c>
      <c r="M176" s="138">
        <f t="shared" ref="M176" si="312">IF(L176&gt;0,RANK(L176,(L$160:L$178)),0)</f>
        <v>7</v>
      </c>
      <c r="N176" s="167"/>
      <c r="O176" s="186"/>
    </row>
    <row r="177" spans="1:19" ht="12.95" customHeight="1" x14ac:dyDescent="0.25">
      <c r="A177" s="136" t="s">
        <v>209</v>
      </c>
      <c r="B177" s="191">
        <f>'Averages Pivot Table'!T$412</f>
        <v>114702.97043275804</v>
      </c>
      <c r="C177" s="138">
        <f t="shared" si="260"/>
        <v>3</v>
      </c>
      <c r="D177" s="191">
        <f>'Averages Pivot Table'!T$416</f>
        <v>81949.859718988053</v>
      </c>
      <c r="E177" s="138">
        <f t="shared" si="260"/>
        <v>3</v>
      </c>
      <c r="F177" s="191">
        <f>'Averages Pivot Table'!T$420</f>
        <v>64715.379823700227</v>
      </c>
      <c r="G177" s="138">
        <f t="shared" ref="G177" si="313">IF(F177&gt;0,RANK(F177,(F$160:F$178)),0)</f>
        <v>7</v>
      </c>
      <c r="H177" s="191">
        <f>'Averages Pivot Table'!T$424</f>
        <v>49333.752073868942</v>
      </c>
      <c r="I177" s="138">
        <f t="shared" ref="I177" si="314">IF(H177&gt;0,RANK(H177,(H$160:H$178)),0)</f>
        <v>5</v>
      </c>
      <c r="J177" s="191">
        <f>'Averages Pivot Table'!T$428</f>
        <v>66772.340425531918</v>
      </c>
      <c r="K177" s="138">
        <f t="shared" ref="K177" si="315">IF(J177&gt;0,RANK(J177,(J$160:J$178)),0)</f>
        <v>1</v>
      </c>
      <c r="L177" s="191">
        <f>'Averages Pivot Table'!T$436</f>
        <v>80050.034226129355</v>
      </c>
      <c r="M177" s="138">
        <f t="shared" ref="M177" si="316">IF(L177&gt;0,RANK(L177,(L$160:L$178)),0)</f>
        <v>3</v>
      </c>
      <c r="N177" s="167"/>
      <c r="O177" s="186"/>
    </row>
    <row r="178" spans="1:19" ht="12.95" customHeight="1" x14ac:dyDescent="0.25">
      <c r="A178" s="161" t="s">
        <v>210</v>
      </c>
      <c r="B178" s="192">
        <f>'Averages Pivot Table'!T$441</f>
        <v>0</v>
      </c>
      <c r="C178" s="141">
        <f t="shared" si="260"/>
        <v>0</v>
      </c>
      <c r="D178" s="192">
        <f>'Averages Pivot Table'!T$445</f>
        <v>0</v>
      </c>
      <c r="E178" s="141">
        <f t="shared" si="260"/>
        <v>0</v>
      </c>
      <c r="F178" s="192">
        <f>'Averages Pivot Table'!T$449</f>
        <v>0</v>
      </c>
      <c r="G178" s="141">
        <f t="shared" ref="G178" si="317">IF(F178&gt;0,RANK(F178,(F$160:F$178)),0)</f>
        <v>0</v>
      </c>
      <c r="H178" s="192">
        <f>'Averages Pivot Table'!T$453</f>
        <v>0</v>
      </c>
      <c r="I178" s="141">
        <f t="shared" ref="I178" si="318">IF(H178&gt;0,RANK(H178,(H$160:H$178)),0)</f>
        <v>0</v>
      </c>
      <c r="J178" s="192">
        <f>'Averages Pivot Table'!T$457</f>
        <v>0</v>
      </c>
      <c r="K178" s="141">
        <f t="shared" ref="K178" si="319">IF(J178&gt;0,RANK(J178,(J$160:J$178)),0)</f>
        <v>0</v>
      </c>
      <c r="L178" s="192">
        <f>'Averages Pivot Table'!T$465</f>
        <v>0</v>
      </c>
      <c r="M178" s="141">
        <f t="shared" ref="M178" si="320">IF(L178&gt;0,RANK(L178,(L$160:L$178)),0)</f>
        <v>0</v>
      </c>
      <c r="N178" s="167"/>
      <c r="O178" s="167"/>
    </row>
    <row r="179" spans="1:19" ht="30" customHeight="1" x14ac:dyDescent="0.25">
      <c r="A179" s="716" t="s">
        <v>187</v>
      </c>
      <c r="B179" s="722"/>
      <c r="C179" s="722"/>
      <c r="D179" s="722"/>
      <c r="E179" s="722"/>
      <c r="F179" s="722"/>
      <c r="G179" s="722"/>
      <c r="H179" s="722"/>
      <c r="I179" s="722"/>
      <c r="J179" s="722"/>
      <c r="K179" s="722"/>
      <c r="L179" s="722"/>
      <c r="M179" s="722"/>
      <c r="N179" s="136"/>
      <c r="O179" s="136"/>
    </row>
    <row r="180" spans="1:19" x14ac:dyDescent="0.25">
      <c r="M180" s="102" t="s">
        <v>1124</v>
      </c>
      <c r="O180" s="193"/>
    </row>
    <row r="181" spans="1:19" ht="18" x14ac:dyDescent="0.25">
      <c r="A181" s="82" t="s">
        <v>226</v>
      </c>
      <c r="B181" s="82"/>
      <c r="C181" s="82"/>
      <c r="D181" s="82"/>
      <c r="E181" s="82"/>
      <c r="F181" s="82"/>
      <c r="G181" s="82"/>
      <c r="H181" s="82"/>
      <c r="I181" s="82"/>
      <c r="J181" s="82"/>
      <c r="K181" s="82"/>
      <c r="L181" s="82"/>
      <c r="M181" s="82"/>
      <c r="N181" s="179"/>
      <c r="O181" s="179"/>
    </row>
    <row r="182" spans="1:19" x14ac:dyDescent="0.25">
      <c r="A182" s="136"/>
      <c r="B182" s="87"/>
      <c r="C182" s="87"/>
      <c r="D182" s="87"/>
      <c r="E182" s="87"/>
      <c r="F182" s="87"/>
      <c r="G182" s="87"/>
      <c r="H182" s="87"/>
      <c r="I182" s="87"/>
      <c r="J182" s="87"/>
      <c r="K182" s="87"/>
      <c r="L182" s="87"/>
      <c r="M182" s="87"/>
      <c r="N182" s="87"/>
      <c r="O182" s="87"/>
    </row>
    <row r="183" spans="1:19" x14ac:dyDescent="0.25">
      <c r="A183" s="707" t="s">
        <v>218</v>
      </c>
      <c r="B183" s="707"/>
      <c r="C183" s="707"/>
      <c r="D183" s="707"/>
      <c r="E183" s="707"/>
      <c r="F183" s="707"/>
      <c r="G183" s="707"/>
      <c r="H183" s="707"/>
      <c r="I183" s="707"/>
      <c r="J183" s="707"/>
      <c r="K183" s="707"/>
      <c r="L183" s="707"/>
      <c r="M183" s="707"/>
      <c r="N183" s="181"/>
      <c r="O183" s="181"/>
    </row>
    <row r="184" spans="1:19" x14ac:dyDescent="0.25">
      <c r="A184" s="707" t="s">
        <v>227</v>
      </c>
      <c r="B184" s="707"/>
      <c r="C184" s="707"/>
      <c r="D184" s="707"/>
      <c r="E184" s="707"/>
      <c r="F184" s="707"/>
      <c r="G184" s="707"/>
      <c r="H184" s="707"/>
      <c r="I184" s="707"/>
      <c r="J184" s="707"/>
      <c r="K184" s="707"/>
      <c r="L184" s="707"/>
      <c r="M184" s="707"/>
      <c r="N184" s="181"/>
      <c r="O184" s="181"/>
    </row>
    <row r="185" spans="1:19" x14ac:dyDescent="0.25">
      <c r="A185" s="87"/>
      <c r="B185" s="87"/>
      <c r="C185" s="87"/>
      <c r="D185" s="87"/>
      <c r="E185" s="87"/>
      <c r="F185" s="87"/>
      <c r="G185" s="87"/>
      <c r="H185" s="87"/>
      <c r="I185" s="87"/>
      <c r="J185" s="87"/>
      <c r="K185" s="87"/>
      <c r="L185" s="87"/>
      <c r="M185" s="87"/>
      <c r="N185" s="194"/>
      <c r="O185" s="194"/>
    </row>
    <row r="186" spans="1:19" ht="31.5" customHeight="1" x14ac:dyDescent="0.25">
      <c r="A186" s="114"/>
      <c r="B186" s="182" t="s">
        <v>3</v>
      </c>
      <c r="C186" s="183"/>
      <c r="D186" s="184" t="s">
        <v>4</v>
      </c>
      <c r="E186" s="185"/>
      <c r="F186" s="184" t="s">
        <v>5</v>
      </c>
      <c r="G186" s="185"/>
      <c r="H186" s="182" t="s">
        <v>6</v>
      </c>
      <c r="I186" s="183"/>
      <c r="J186" s="184" t="s">
        <v>219</v>
      </c>
      <c r="K186" s="185"/>
      <c r="L186" s="183" t="s">
        <v>220</v>
      </c>
      <c r="M186" s="183"/>
      <c r="N186" s="186" t="s">
        <v>7</v>
      </c>
      <c r="O186" s="186"/>
    </row>
    <row r="187" spans="1:19" x14ac:dyDescent="0.25">
      <c r="A187" s="120"/>
      <c r="B187" s="116" t="s">
        <v>193</v>
      </c>
      <c r="C187" s="115" t="s">
        <v>170</v>
      </c>
      <c r="D187" s="116" t="s">
        <v>193</v>
      </c>
      <c r="E187" s="115" t="s">
        <v>170</v>
      </c>
      <c r="F187" s="116" t="s">
        <v>193</v>
      </c>
      <c r="G187" s="115" t="s">
        <v>170</v>
      </c>
      <c r="H187" s="116" t="s">
        <v>193</v>
      </c>
      <c r="I187" s="115" t="s">
        <v>170</v>
      </c>
      <c r="J187" s="116" t="s">
        <v>193</v>
      </c>
      <c r="K187" s="115" t="s">
        <v>170</v>
      </c>
      <c r="L187" s="116" t="s">
        <v>193</v>
      </c>
      <c r="M187" s="115" t="s">
        <v>170</v>
      </c>
      <c r="N187" s="145" t="s">
        <v>7</v>
      </c>
      <c r="O187" s="144"/>
    </row>
    <row r="188" spans="1:19" s="127" customFormat="1" ht="18" customHeight="1" x14ac:dyDescent="0.25">
      <c r="A188" s="124" t="s">
        <v>194</v>
      </c>
      <c r="B188" s="151">
        <f>'Averages Pivot Table'!U$469</f>
        <v>83627.991078621315</v>
      </c>
      <c r="C188" s="151"/>
      <c r="D188" s="151">
        <f>'Averages Pivot Table'!U$473</f>
        <v>68037.582641390516</v>
      </c>
      <c r="E188" s="151"/>
      <c r="F188" s="151">
        <f>'Averages Pivot Table'!U$477</f>
        <v>57679.868272018139</v>
      </c>
      <c r="G188" s="151"/>
      <c r="H188" s="151">
        <f>'Averages Pivot Table'!U$481</f>
        <v>43791.849804407524</v>
      </c>
      <c r="I188" s="151"/>
      <c r="J188" s="151">
        <f>'Averages Pivot Table'!U$485</f>
        <v>43834.267844675145</v>
      </c>
      <c r="K188" s="151"/>
      <c r="L188" s="151">
        <f>'Averages Pivot Table'!U$493</f>
        <v>63751.752616010097</v>
      </c>
      <c r="M188" s="187"/>
      <c r="N188" s="125"/>
      <c r="O188" s="195"/>
      <c r="Q188" s="129"/>
      <c r="R188" s="129"/>
      <c r="S188" s="129"/>
    </row>
    <row r="189" spans="1:19" ht="12.95" customHeight="1" x14ac:dyDescent="0.25">
      <c r="A189" s="136"/>
      <c r="B189" s="131"/>
      <c r="C189" s="155"/>
      <c r="D189" s="131"/>
      <c r="E189" s="155"/>
      <c r="F189" s="131"/>
      <c r="G189" s="155"/>
      <c r="H189" s="131"/>
      <c r="I189" s="155"/>
      <c r="J189" s="131"/>
      <c r="K189" s="155"/>
      <c r="L189" s="131"/>
      <c r="M189" s="155"/>
      <c r="N189" s="196"/>
      <c r="O189" s="197"/>
    </row>
    <row r="190" spans="1:19" ht="12.95" customHeight="1" x14ac:dyDescent="0.25">
      <c r="A190" s="136" t="s">
        <v>195</v>
      </c>
      <c r="B190" s="189">
        <f>'Averages Pivot Table'!U$6</f>
        <v>82848.114161353689</v>
      </c>
      <c r="C190" s="138">
        <f>IF(B190&gt;0,RANK(B190,(B$190:B$208)),0)</f>
        <v>6</v>
      </c>
      <c r="D190" s="189">
        <f>'Averages Pivot Table'!U$10</f>
        <v>67098.342399007641</v>
      </c>
      <c r="E190" s="138">
        <f>IF(D190&gt;0,RANK(D190,(D$190:D$208)),0)</f>
        <v>7</v>
      </c>
      <c r="F190" s="189">
        <f>'Averages Pivot Table'!U$14</f>
        <v>57150.808953896354</v>
      </c>
      <c r="G190" s="138">
        <f>IF(F190&gt;0,RANK(F190,(F$190:F$208)),0)</f>
        <v>9</v>
      </c>
      <c r="H190" s="189">
        <f>'Averages Pivot Table'!U$18</f>
        <v>47001.540112750095</v>
      </c>
      <c r="I190" s="138">
        <f>IF(H190&gt;0,RANK(H190,(H$190:H$208)),0)</f>
        <v>7</v>
      </c>
      <c r="J190" s="189">
        <f>'Averages Pivot Table'!U$22</f>
        <v>43106.976018271787</v>
      </c>
      <c r="K190" s="138">
        <f>IF(J190&gt;0,RANK(J190,(J$190:J$208)),0)</f>
        <v>6</v>
      </c>
      <c r="L190" s="189">
        <f>'Averages Pivot Table'!U$30</f>
        <v>62379.17534230325</v>
      </c>
      <c r="M190" s="138">
        <f>IF(L190&gt;0,RANK(L190,(L$190:L$208)),0)</f>
        <v>9</v>
      </c>
      <c r="N190" s="137"/>
      <c r="O190" s="138"/>
    </row>
    <row r="191" spans="1:19" ht="12.95" customHeight="1" x14ac:dyDescent="0.25">
      <c r="A191" s="136" t="s">
        <v>196</v>
      </c>
      <c r="B191" s="189">
        <f>'Averages Pivot Table'!U$35</f>
        <v>80006.739524822187</v>
      </c>
      <c r="C191" s="138">
        <f t="shared" ref="C191:E208" si="321">IF(B191&gt;0,RANK(B191,(B$190:B$208)),0)</f>
        <v>10</v>
      </c>
      <c r="D191" s="189">
        <f>'Averages Pivot Table'!U$39</f>
        <v>64049.715826709602</v>
      </c>
      <c r="E191" s="138">
        <f t="shared" si="321"/>
        <v>12</v>
      </c>
      <c r="F191" s="189">
        <f>'Averages Pivot Table'!U$43</f>
        <v>55074.802501519953</v>
      </c>
      <c r="G191" s="138">
        <f t="shared" ref="G191" si="322">IF(F191&gt;0,RANK(F191,(F$190:F$208)),0)</f>
        <v>11</v>
      </c>
      <c r="H191" s="189">
        <f>'Averages Pivot Table'!U$47</f>
        <v>39652.599550576393</v>
      </c>
      <c r="I191" s="138">
        <f t="shared" ref="I191" si="323">IF(H191&gt;0,RANK(H191,(H$190:H$208)),0)</f>
        <v>13</v>
      </c>
      <c r="J191" s="189">
        <f>'Averages Pivot Table'!U$51</f>
        <v>40732.41674892923</v>
      </c>
      <c r="K191" s="138">
        <f t="shared" ref="K191" si="324">IF(J191&gt;0,RANK(J191,(J$190:J$208)),0)</f>
        <v>9</v>
      </c>
      <c r="L191" s="189">
        <f>'Averages Pivot Table'!U$59</f>
        <v>58871.618674107107</v>
      </c>
      <c r="M191" s="138">
        <f t="shared" ref="M191" si="325">IF(L191&gt;0,RANK(L191,(L$190:L$208)),0)</f>
        <v>15</v>
      </c>
      <c r="N191" s="137"/>
      <c r="O191" s="138"/>
    </row>
    <row r="192" spans="1:19" ht="12.95" customHeight="1" x14ac:dyDescent="0.25">
      <c r="A192" s="136" t="s">
        <v>197</v>
      </c>
      <c r="B192" s="189">
        <f>'Averages Pivot Table'!U$64</f>
        <v>80225.203753351205</v>
      </c>
      <c r="C192" s="138">
        <f t="shared" si="321"/>
        <v>8</v>
      </c>
      <c r="D192" s="189">
        <f>'Averages Pivot Table'!U$68</f>
        <v>63057.98016336056</v>
      </c>
      <c r="E192" s="138">
        <f t="shared" si="321"/>
        <v>13</v>
      </c>
      <c r="F192" s="189">
        <f>'Averages Pivot Table'!U$72</f>
        <v>58079.769230769234</v>
      </c>
      <c r="G192" s="138">
        <f t="shared" ref="G192" si="326">IF(F192&gt;0,RANK(F192,(F$190:F$208)),0)</f>
        <v>5</v>
      </c>
      <c r="H192" s="189">
        <f>'Averages Pivot Table'!U$76</f>
        <v>47244</v>
      </c>
      <c r="I192" s="138">
        <f t="shared" ref="I192" si="327">IF(H192&gt;0,RANK(H192,(H$190:H$208)),0)</f>
        <v>5</v>
      </c>
      <c r="J192" s="189">
        <f>'Averages Pivot Table'!U$80</f>
        <v>47000</v>
      </c>
      <c r="K192" s="138">
        <f t="shared" ref="K192" si="328">IF(J192&gt;0,RANK(J192,(J$190:J$208)),0)</f>
        <v>2</v>
      </c>
      <c r="L192" s="189">
        <f>'Averages Pivot Table'!U$88</f>
        <v>63705.374892681015</v>
      </c>
      <c r="M192" s="138">
        <f t="shared" ref="M192" si="329">IF(L192&gt;0,RANK(L192,(L$190:L$208)),0)</f>
        <v>8</v>
      </c>
      <c r="N192" s="137"/>
      <c r="O192" s="138"/>
    </row>
    <row r="193" spans="1:15" s="109" customFormat="1" x14ac:dyDescent="0.25">
      <c r="A193" s="136" t="s">
        <v>198</v>
      </c>
      <c r="B193" s="189">
        <f>'Averages Pivot Table'!U$93</f>
        <v>88642.755117645225</v>
      </c>
      <c r="C193" s="138">
        <f t="shared" si="321"/>
        <v>3</v>
      </c>
      <c r="D193" s="189">
        <f>'Averages Pivot Table'!U$97</f>
        <v>69331.224181571029</v>
      </c>
      <c r="E193" s="138">
        <f t="shared" si="321"/>
        <v>4</v>
      </c>
      <c r="F193" s="189">
        <f>'Averages Pivot Table'!U$101</f>
        <v>57807.217686413263</v>
      </c>
      <c r="G193" s="138">
        <f t="shared" ref="G193" si="330">IF(F193&gt;0,RANK(F193,(F$190:F$208)),0)</f>
        <v>6</v>
      </c>
      <c r="H193" s="189">
        <f>'Averages Pivot Table'!U$105</f>
        <v>47041.185011661582</v>
      </c>
      <c r="I193" s="138">
        <f t="shared" ref="I193" si="331">IF(H193&gt;0,RANK(H193,(H$190:H$208)),0)</f>
        <v>6</v>
      </c>
      <c r="J193" s="189">
        <f>'Averages Pivot Table'!U$109</f>
        <v>42115.936893203885</v>
      </c>
      <c r="K193" s="138">
        <f t="shared" ref="K193" si="332">IF(J193&gt;0,RANK(J193,(J$190:J$208)),0)</f>
        <v>8</v>
      </c>
      <c r="L193" s="189">
        <f>'Averages Pivot Table'!U$117</f>
        <v>66523.197850731012</v>
      </c>
      <c r="M193" s="138">
        <f t="shared" ref="M193" si="333">IF(L193&gt;0,RANK(L193,(L$190:L$208)),0)</f>
        <v>3</v>
      </c>
      <c r="N193" s="137"/>
      <c r="O193" s="138"/>
    </row>
    <row r="194" spans="1:15" s="109" customFormat="1" x14ac:dyDescent="0.25">
      <c r="A194" s="136"/>
      <c r="B194" s="189"/>
      <c r="C194" s="138"/>
      <c r="D194" s="189"/>
      <c r="E194" s="138"/>
      <c r="F194" s="189"/>
      <c r="G194" s="138"/>
      <c r="H194" s="189"/>
      <c r="I194" s="138"/>
      <c r="J194" s="189"/>
      <c r="K194" s="138"/>
      <c r="L194" s="189"/>
      <c r="M194" s="138"/>
      <c r="N194" s="137"/>
      <c r="O194" s="138"/>
    </row>
    <row r="195" spans="1:15" s="109" customFormat="1" x14ac:dyDescent="0.25">
      <c r="A195" s="136" t="s">
        <v>199</v>
      </c>
      <c r="B195" s="189">
        <f>'Averages Pivot Table'!U$122</f>
        <v>78134.564270997522</v>
      </c>
      <c r="C195" s="138">
        <f t="shared" si="321"/>
        <v>13</v>
      </c>
      <c r="D195" s="189">
        <f>'Averages Pivot Table'!U$126</f>
        <v>64152.793669709667</v>
      </c>
      <c r="E195" s="138">
        <f t="shared" si="321"/>
        <v>11</v>
      </c>
      <c r="F195" s="189">
        <f>'Averages Pivot Table'!U$130</f>
        <v>54990.637953228208</v>
      </c>
      <c r="G195" s="138">
        <f t="shared" ref="G195" si="334">IF(F195&gt;0,RANK(F195,(F$190:F$208)),0)</f>
        <v>12</v>
      </c>
      <c r="H195" s="189">
        <f>'Averages Pivot Table'!U$134</f>
        <v>40132.386553032411</v>
      </c>
      <c r="I195" s="138">
        <f t="shared" ref="I195" si="335">IF(H195&gt;0,RANK(H195,(H$190:H$208)),0)</f>
        <v>12</v>
      </c>
      <c r="J195" s="189">
        <f>'Averages Pivot Table'!U$138</f>
        <v>42726.593688845402</v>
      </c>
      <c r="K195" s="138">
        <f t="shared" ref="K195" si="336">IF(J195&gt;0,RANK(J195,(J$190:J$208)),0)</f>
        <v>7</v>
      </c>
      <c r="L195" s="189">
        <f>'Averages Pivot Table'!U$146</f>
        <v>59477.990236937789</v>
      </c>
      <c r="M195" s="138">
        <f t="shared" ref="M195" si="337">IF(L195&gt;0,RANK(L195,(L$190:L$208)),0)</f>
        <v>13</v>
      </c>
      <c r="N195" s="137"/>
      <c r="O195" s="138"/>
    </row>
    <row r="196" spans="1:15" s="109" customFormat="1" x14ac:dyDescent="0.25">
      <c r="A196" s="136" t="s">
        <v>200</v>
      </c>
      <c r="B196" s="189">
        <f>'Averages Pivot Table'!U$151</f>
        <v>81992.602874561795</v>
      </c>
      <c r="C196" s="138">
        <f t="shared" si="321"/>
        <v>7</v>
      </c>
      <c r="D196" s="189">
        <f>'Averages Pivot Table'!U$155</f>
        <v>64618.224704709544</v>
      </c>
      <c r="E196" s="138">
        <f t="shared" si="321"/>
        <v>10</v>
      </c>
      <c r="F196" s="189">
        <f>'Averages Pivot Table'!U$159</f>
        <v>54381.578756161405</v>
      </c>
      <c r="G196" s="138">
        <f t="shared" ref="G196" si="338">IF(F196&gt;0,RANK(F196,(F$190:F$208)),0)</f>
        <v>13</v>
      </c>
      <c r="H196" s="189">
        <f>'Averages Pivot Table'!U$163</f>
        <v>42678.991873937579</v>
      </c>
      <c r="I196" s="138">
        <f t="shared" ref="I196" si="339">IF(H196&gt;0,RANK(H196,(H$190:H$208)),0)</f>
        <v>10</v>
      </c>
      <c r="J196" s="189">
        <f>'Averages Pivot Table'!U$167</f>
        <v>46684.619345152481</v>
      </c>
      <c r="K196" s="138">
        <f t="shared" ref="K196" si="340">IF(J196&gt;0,RANK(J196,(J$190:J$208)),0)</f>
        <v>3</v>
      </c>
      <c r="L196" s="189">
        <f>'Averages Pivot Table'!U$175</f>
        <v>60719.745377559848</v>
      </c>
      <c r="M196" s="138">
        <f t="shared" ref="M196" si="341">IF(L196&gt;0,RANK(L196,(L$190:L$208)),0)</f>
        <v>12</v>
      </c>
      <c r="N196" s="137"/>
      <c r="O196" s="138"/>
    </row>
    <row r="197" spans="1:15" s="109" customFormat="1" x14ac:dyDescent="0.25">
      <c r="A197" s="136" t="s">
        <v>201</v>
      </c>
      <c r="B197" s="189">
        <f>'Averages Pivot Table'!U$180</f>
        <v>78854.875864931149</v>
      </c>
      <c r="C197" s="138">
        <f t="shared" si="321"/>
        <v>12</v>
      </c>
      <c r="D197" s="189">
        <f>'Averages Pivot Table'!U$184</f>
        <v>66687.985343338587</v>
      </c>
      <c r="E197" s="138">
        <f t="shared" si="321"/>
        <v>8</v>
      </c>
      <c r="F197" s="189">
        <f>'Averages Pivot Table'!U$188</f>
        <v>57709.981871014134</v>
      </c>
      <c r="G197" s="138">
        <f t="shared" ref="G197" si="342">IF(F197&gt;0,RANK(F197,(F$190:F$208)),0)</f>
        <v>7</v>
      </c>
      <c r="H197" s="189">
        <f>'Averages Pivot Table'!U$192</f>
        <v>45023.693973393565</v>
      </c>
      <c r="I197" s="138">
        <f t="shared" ref="I197" si="343">IF(H197&gt;0,RANK(H197,(H$190:H$208)),0)</f>
        <v>9</v>
      </c>
      <c r="J197" s="189">
        <f>'Averages Pivot Table'!U$196</f>
        <v>45944.526315789473</v>
      </c>
      <c r="K197" s="138">
        <f t="shared" ref="K197" si="344">IF(J197&gt;0,RANK(J197,(J$190:J$208)),0)</f>
        <v>4</v>
      </c>
      <c r="L197" s="189">
        <f>'Averages Pivot Table'!U$204</f>
        <v>61463.097867310578</v>
      </c>
      <c r="M197" s="138">
        <f t="shared" ref="M197" si="345">IF(L197&gt;0,RANK(L197,(L$190:L$208)),0)</f>
        <v>11</v>
      </c>
      <c r="N197" s="137"/>
      <c r="O197" s="138"/>
    </row>
    <row r="198" spans="1:15" s="109" customFormat="1" x14ac:dyDescent="0.25">
      <c r="A198" s="136" t="s">
        <v>202</v>
      </c>
      <c r="B198" s="189">
        <f>'Averages Pivot Table'!U$209</f>
        <v>89564.838106958021</v>
      </c>
      <c r="C198" s="138">
        <f t="shared" si="321"/>
        <v>2</v>
      </c>
      <c r="D198" s="189">
        <f>'Averages Pivot Table'!U$213</f>
        <v>71523.221378463466</v>
      </c>
      <c r="E198" s="138">
        <f t="shared" si="321"/>
        <v>3</v>
      </c>
      <c r="F198" s="189">
        <f>'Averages Pivot Table'!U$217</f>
        <v>61872.498935334865</v>
      </c>
      <c r="G198" s="138">
        <f t="shared" ref="G198" si="346">IF(F198&gt;0,RANK(F198,(F$190:F$208)),0)</f>
        <v>2</v>
      </c>
      <c r="H198" s="189">
        <f>'Averages Pivot Table'!U$221</f>
        <v>50577.044999999998</v>
      </c>
      <c r="I198" s="138">
        <f t="shared" ref="I198" si="347">IF(H198&gt;0,RANK(H198,(H$190:H$208)),0)</f>
        <v>3</v>
      </c>
      <c r="J198" s="189">
        <f>'Averages Pivot Table'!U$225</f>
        <v>39680.976000000002</v>
      </c>
      <c r="K198" s="138">
        <f t="shared" ref="K198" si="348">IF(J198&gt;0,RANK(J198,(J$190:J$208)),0)</f>
        <v>10</v>
      </c>
      <c r="L198" s="189">
        <f>'Averages Pivot Table'!U$233</f>
        <v>65245.429071617407</v>
      </c>
      <c r="M198" s="138">
        <f t="shared" ref="M198" si="349">IF(L198&gt;0,RANK(L198,(L$190:L$208)),0)</f>
        <v>4</v>
      </c>
      <c r="N198" s="137"/>
      <c r="O198" s="138"/>
    </row>
    <row r="199" spans="1:15" s="109" customFormat="1" x14ac:dyDescent="0.25">
      <c r="A199" s="136"/>
      <c r="B199" s="189"/>
      <c r="C199" s="138"/>
      <c r="D199" s="189"/>
      <c r="E199" s="138"/>
      <c r="F199" s="189"/>
      <c r="G199" s="138"/>
      <c r="H199" s="189"/>
      <c r="I199" s="138"/>
      <c r="J199" s="189"/>
      <c r="K199" s="138"/>
      <c r="L199" s="189"/>
      <c r="M199" s="138"/>
      <c r="N199" s="137"/>
      <c r="O199" s="138"/>
    </row>
    <row r="200" spans="1:15" s="109" customFormat="1" x14ac:dyDescent="0.25">
      <c r="A200" s="136" t="s">
        <v>203</v>
      </c>
      <c r="B200" s="189">
        <f>'Averages Pivot Table'!U$238</f>
        <v>0</v>
      </c>
      <c r="C200" s="138">
        <f t="shared" si="321"/>
        <v>0</v>
      </c>
      <c r="D200" s="189">
        <f>'Averages Pivot Table'!U$242</f>
        <v>0</v>
      </c>
      <c r="E200" s="138">
        <f t="shared" si="321"/>
        <v>0</v>
      </c>
      <c r="F200" s="189">
        <f>'Averages Pivot Table'!U$246</f>
        <v>0</v>
      </c>
      <c r="G200" s="138">
        <f t="shared" ref="G200" si="350">IF(F200&gt;0,RANK(F200,(F$190:F$208)),0)</f>
        <v>0</v>
      </c>
      <c r="H200" s="189">
        <f>'Averages Pivot Table'!U$250</f>
        <v>0</v>
      </c>
      <c r="I200" s="138">
        <f t="shared" ref="I200" si="351">IF(H200&gt;0,RANK(H200,(H$190:H$208)),0)</f>
        <v>0</v>
      </c>
      <c r="J200" s="189">
        <f>'Averages Pivot Table'!U$254</f>
        <v>0</v>
      </c>
      <c r="K200" s="138">
        <f t="shared" ref="K200" si="352">IF(J200&gt;0,RANK(J200,(J$190:J$208)),0)</f>
        <v>0</v>
      </c>
      <c r="L200" s="189">
        <f>'Averages Pivot Table'!U$262</f>
        <v>0</v>
      </c>
      <c r="M200" s="138">
        <f t="shared" ref="M200" si="353">IF(L200&gt;0,RANK(L200,(L$190:L$208)),0)</f>
        <v>0</v>
      </c>
      <c r="N200" s="137"/>
      <c r="O200" s="138"/>
    </row>
    <row r="201" spans="1:15" s="109" customFormat="1" x14ac:dyDescent="0.25">
      <c r="A201" s="136" t="s">
        <v>204</v>
      </c>
      <c r="B201" s="189">
        <f>'Averages Pivot Table'!U$267</f>
        <v>91354.549648263783</v>
      </c>
      <c r="C201" s="138">
        <f t="shared" si="321"/>
        <v>1</v>
      </c>
      <c r="D201" s="189">
        <f>'Averages Pivot Table'!U$271</f>
        <v>73047.51704611184</v>
      </c>
      <c r="E201" s="138">
        <f t="shared" si="321"/>
        <v>2</v>
      </c>
      <c r="F201" s="189">
        <f>'Averages Pivot Table'!U$275</f>
        <v>62222.956419469228</v>
      </c>
      <c r="G201" s="138">
        <f t="shared" ref="G201" si="354">IF(F201&gt;0,RANK(F201,(F$190:F$208)),0)</f>
        <v>1</v>
      </c>
      <c r="H201" s="189">
        <f>'Averages Pivot Table'!U$279</f>
        <v>50863.382068965519</v>
      </c>
      <c r="I201" s="138">
        <f t="shared" ref="I201" si="355">IF(H201&gt;0,RANK(H201,(H$190:H$208)),0)</f>
        <v>2</v>
      </c>
      <c r="J201" s="189">
        <f>'Averages Pivot Table'!U$283</f>
        <v>49035.001949813108</v>
      </c>
      <c r="K201" s="138">
        <f t="shared" ref="K201" si="356">IF(J201&gt;0,RANK(J201,(J$190:J$208)),0)</f>
        <v>1</v>
      </c>
      <c r="L201" s="189">
        <f>'Averages Pivot Table'!U$291</f>
        <v>69552.007847620247</v>
      </c>
      <c r="M201" s="138">
        <f t="shared" ref="M201" si="357">IF(L201&gt;0,RANK(L201,(L$190:L$208)),0)</f>
        <v>1</v>
      </c>
      <c r="N201" s="137"/>
      <c r="O201" s="138"/>
    </row>
    <row r="202" spans="1:15" s="109" customFormat="1" x14ac:dyDescent="0.25">
      <c r="A202" s="136" t="s">
        <v>205</v>
      </c>
      <c r="B202" s="189">
        <f>'Averages Pivot Table'!U$296</f>
        <v>75448.67694015571</v>
      </c>
      <c r="C202" s="138">
        <f t="shared" si="321"/>
        <v>15</v>
      </c>
      <c r="D202" s="189">
        <f>'Averages Pivot Table'!U$300</f>
        <v>60181.785088503493</v>
      </c>
      <c r="E202" s="138">
        <f t="shared" si="321"/>
        <v>15</v>
      </c>
      <c r="F202" s="189">
        <f>'Averages Pivot Table'!U$304</f>
        <v>55804.829232779535</v>
      </c>
      <c r="G202" s="138">
        <f t="shared" ref="G202" si="358">IF(F202&gt;0,RANK(F202,(F$190:F$208)),0)</f>
        <v>10</v>
      </c>
      <c r="H202" s="189">
        <f>'Averages Pivot Table'!U$308</f>
        <v>40956.634224832138</v>
      </c>
      <c r="I202" s="138">
        <f t="shared" ref="I202" si="359">IF(H202&gt;0,RANK(H202,(H$190:H$208)),0)</f>
        <v>11</v>
      </c>
      <c r="J202" s="189">
        <f>'Averages Pivot Table'!U$312</f>
        <v>0</v>
      </c>
      <c r="K202" s="138">
        <f t="shared" ref="K202" si="360">IF(J202&gt;0,RANK(J202,(J$190:J$208)),0)</f>
        <v>0</v>
      </c>
      <c r="L202" s="189">
        <f>'Averages Pivot Table'!U$320</f>
        <v>58891.829720841561</v>
      </c>
      <c r="M202" s="138">
        <f t="shared" ref="M202" si="361">IF(L202&gt;0,RANK(L202,(L$190:L$208)),0)</f>
        <v>14</v>
      </c>
      <c r="N202" s="137"/>
      <c r="O202" s="138"/>
    </row>
    <row r="203" spans="1:15" s="109" customFormat="1" x14ac:dyDescent="0.25">
      <c r="A203" s="136" t="s">
        <v>206</v>
      </c>
      <c r="B203" s="189">
        <f>'Averages Pivot Table'!U$325</f>
        <v>80200.595404966356</v>
      </c>
      <c r="C203" s="138">
        <f t="shared" si="321"/>
        <v>9</v>
      </c>
      <c r="D203" s="189">
        <f>'Averages Pivot Table'!U$329</f>
        <v>64866.513712374581</v>
      </c>
      <c r="E203" s="138">
        <f t="shared" si="321"/>
        <v>9</v>
      </c>
      <c r="F203" s="189">
        <f>'Averages Pivot Table'!U$333</f>
        <v>57585.874313107859</v>
      </c>
      <c r="G203" s="138">
        <f t="shared" ref="G203" si="362">IF(F203&gt;0,RANK(F203,(F$190:F$208)),0)</f>
        <v>8</v>
      </c>
      <c r="H203" s="189">
        <f>'Averages Pivot Table'!U$337</f>
        <v>47531.734793187345</v>
      </c>
      <c r="I203" s="138">
        <f t="shared" ref="I203" si="363">IF(H203&gt;0,RANK(H203,(H$190:H$208)),0)</f>
        <v>4</v>
      </c>
      <c r="J203" s="189">
        <f>'Averages Pivot Table'!U$341</f>
        <v>30000</v>
      </c>
      <c r="K203" s="138">
        <f t="shared" ref="K203" si="364">IF(J203&gt;0,RANK(J203,(J$190:J$208)),0)</f>
        <v>12</v>
      </c>
      <c r="L203" s="189">
        <f>'Averages Pivot Table'!U$349</f>
        <v>64812.019409316476</v>
      </c>
      <c r="M203" s="138">
        <f t="shared" ref="M203" si="365">IF(L203&gt;0,RANK(L203,(L$190:L$208)),0)</f>
        <v>5</v>
      </c>
      <c r="N203" s="137"/>
      <c r="O203" s="138"/>
    </row>
    <row r="204" spans="1:15" s="109" customFormat="1" x14ac:dyDescent="0.25">
      <c r="A204" s="136"/>
      <c r="B204" s="189"/>
      <c r="C204" s="138"/>
      <c r="D204" s="189"/>
      <c r="E204" s="138"/>
      <c r="F204" s="189"/>
      <c r="G204" s="138"/>
      <c r="H204" s="189"/>
      <c r="I204" s="138"/>
      <c r="J204" s="189"/>
      <c r="K204" s="138"/>
      <c r="L204" s="189"/>
      <c r="M204" s="138"/>
      <c r="N204" s="137"/>
      <c r="O204" s="138"/>
    </row>
    <row r="205" spans="1:15" s="109" customFormat="1" x14ac:dyDescent="0.25">
      <c r="A205" s="136" t="s">
        <v>207</v>
      </c>
      <c r="B205" s="191">
        <f>'Averages Pivot Table'!U$354</f>
        <v>79967.42483782678</v>
      </c>
      <c r="C205" s="138">
        <f t="shared" si="321"/>
        <v>11</v>
      </c>
      <c r="D205" s="191">
        <f>'Averages Pivot Table'!U$358</f>
        <v>73940.1667615154</v>
      </c>
      <c r="E205" s="138">
        <f t="shared" si="321"/>
        <v>1</v>
      </c>
      <c r="F205" s="191">
        <f>'Averages Pivot Table'!U$362</f>
        <v>53420.062607685199</v>
      </c>
      <c r="G205" s="138">
        <f t="shared" ref="G205" si="366">IF(F205&gt;0,RANK(F205,(F$190:F$208)),0)</f>
        <v>14</v>
      </c>
      <c r="H205" s="191">
        <f>'Averages Pivot Table'!U$366</f>
        <v>39531.751934034815</v>
      </c>
      <c r="I205" s="138">
        <f t="shared" ref="I205" si="367">IF(H205&gt;0,RANK(H205,(H$190:H$208)),0)</f>
        <v>14</v>
      </c>
      <c r="J205" s="191">
        <f>'Averages Pivot Table'!U$370</f>
        <v>34583.926966930521</v>
      </c>
      <c r="K205" s="138">
        <f t="shared" ref="K205" si="368">IF(J205&gt;0,RANK(J205,(J$190:J$208)),0)</f>
        <v>11</v>
      </c>
      <c r="L205" s="191">
        <f>'Averages Pivot Table'!U$378</f>
        <v>64332.620390486292</v>
      </c>
      <c r="M205" s="138">
        <f t="shared" ref="M205" si="369">IF(L205&gt;0,RANK(L205,(L$190:L$208)),0)</f>
        <v>6</v>
      </c>
      <c r="N205" s="137"/>
      <c r="O205" s="138"/>
    </row>
    <row r="206" spans="1:15" s="109" customFormat="1" x14ac:dyDescent="0.25">
      <c r="A206" s="136" t="s">
        <v>208</v>
      </c>
      <c r="B206" s="191">
        <f>'Averages Pivot Table'!U$383</f>
        <v>86320.453190807049</v>
      </c>
      <c r="C206" s="138">
        <f t="shared" si="321"/>
        <v>5</v>
      </c>
      <c r="D206" s="191">
        <f>'Averages Pivot Table'!U$387</f>
        <v>68535.520085222044</v>
      </c>
      <c r="E206" s="138">
        <f t="shared" si="321"/>
        <v>5</v>
      </c>
      <c r="F206" s="191">
        <f>'Averages Pivot Table'!U$391</f>
        <v>59684.12049320386</v>
      </c>
      <c r="G206" s="138">
        <f t="shared" ref="G206" si="370">IF(F206&gt;0,RANK(F206,(F$190:F$208)),0)</f>
        <v>4</v>
      </c>
      <c r="H206" s="191">
        <f>'Averages Pivot Table'!U$395</f>
        <v>45289.16108073105</v>
      </c>
      <c r="I206" s="138">
        <f t="shared" ref="I206" si="371">IF(H206&gt;0,RANK(H206,(H$190:H$208)),0)</f>
        <v>8</v>
      </c>
      <c r="J206" s="191">
        <f>'Averages Pivot Table'!U$399</f>
        <v>43236.016496529999</v>
      </c>
      <c r="K206" s="138">
        <f t="shared" ref="K206" si="372">IF(J206&gt;0,RANK(J206,(J$190:J$208)),0)</f>
        <v>5</v>
      </c>
      <c r="L206" s="191">
        <f>'Averages Pivot Table'!U$407</f>
        <v>64168.57503055469</v>
      </c>
      <c r="M206" s="138">
        <f t="shared" ref="M206" si="373">IF(L206&gt;0,RANK(L206,(L$190:L$208)),0)</f>
        <v>7</v>
      </c>
      <c r="N206" s="137"/>
      <c r="O206" s="138"/>
    </row>
    <row r="207" spans="1:15" s="109" customFormat="1" x14ac:dyDescent="0.25">
      <c r="A207" s="136" t="s">
        <v>209</v>
      </c>
      <c r="B207" s="191">
        <f>'Averages Pivot Table'!U$412</f>
        <v>86950.351626689386</v>
      </c>
      <c r="C207" s="138">
        <f t="shared" si="321"/>
        <v>4</v>
      </c>
      <c r="D207" s="191">
        <f>'Averages Pivot Table'!U$416</f>
        <v>67511.914732867255</v>
      </c>
      <c r="E207" s="138">
        <f t="shared" si="321"/>
        <v>6</v>
      </c>
      <c r="F207" s="191">
        <f>'Averages Pivot Table'!U$420</f>
        <v>60004.588325959929</v>
      </c>
      <c r="G207" s="138">
        <f t="shared" ref="G207" si="374">IF(F207&gt;0,RANK(F207,(F$190:F$208)),0)</f>
        <v>3</v>
      </c>
      <c r="H207" s="191">
        <f>'Averages Pivot Table'!U$424</f>
        <v>51395.318293856559</v>
      </c>
      <c r="I207" s="138">
        <f t="shared" ref="I207" si="375">IF(H207&gt;0,RANK(H207,(H$190:H$208)),0)</f>
        <v>1</v>
      </c>
      <c r="J207" s="191">
        <f>'Averages Pivot Table'!U$428</f>
        <v>0</v>
      </c>
      <c r="K207" s="138">
        <f t="shared" ref="K207" si="376">IF(J207&gt;0,RANK(J207,(J$190:J$208)),0)</f>
        <v>0</v>
      </c>
      <c r="L207" s="191">
        <f>'Averages Pivot Table'!U$436</f>
        <v>68509.985096181044</v>
      </c>
      <c r="M207" s="138">
        <f t="shared" ref="M207" si="377">IF(L207&gt;0,RANK(L207,(L$190:L$208)),0)</f>
        <v>2</v>
      </c>
      <c r="N207" s="137"/>
      <c r="O207" s="138"/>
    </row>
    <row r="208" spans="1:15" s="109" customFormat="1" x14ac:dyDescent="0.25">
      <c r="A208" s="161" t="s">
        <v>210</v>
      </c>
      <c r="B208" s="192">
        <f>'Averages Pivot Table'!U$441</f>
        <v>75526.460716194546</v>
      </c>
      <c r="C208" s="141">
        <f t="shared" si="321"/>
        <v>14</v>
      </c>
      <c r="D208" s="192">
        <f>'Averages Pivot Table'!U$445</f>
        <v>61908.796261682241</v>
      </c>
      <c r="E208" s="141">
        <f t="shared" si="321"/>
        <v>14</v>
      </c>
      <c r="F208" s="192">
        <f>'Averages Pivot Table'!U$449</f>
        <v>51917.293119698399</v>
      </c>
      <c r="G208" s="141">
        <f t="shared" ref="G208" si="378">IF(F208&gt;0,RANK(F208,(F$190:F$208)),0)</f>
        <v>15</v>
      </c>
      <c r="H208" s="192">
        <f>'Averages Pivot Table'!U$453</f>
        <v>36401</v>
      </c>
      <c r="I208" s="141">
        <f t="shared" ref="I208" si="379">IF(H208&gt;0,RANK(H208,(H$190:H$208)),0)</f>
        <v>15</v>
      </c>
      <c r="J208" s="192">
        <f>'Averages Pivot Table'!U$457</f>
        <v>0</v>
      </c>
      <c r="K208" s="141">
        <f t="shared" ref="K208" si="380">IF(J208&gt;0,RANK(J208,(J$190:J$208)),0)</f>
        <v>0</v>
      </c>
      <c r="L208" s="192">
        <f>'Averages Pivot Table'!U$465</f>
        <v>61936.589558541418</v>
      </c>
      <c r="M208" s="141">
        <f t="shared" ref="M208" si="381">IF(L208&gt;0,RANK(L208,(L$190:L$208)),0)</f>
        <v>10</v>
      </c>
      <c r="N208" s="137"/>
      <c r="O208" s="138"/>
    </row>
    <row r="209" spans="1:19" ht="30" customHeight="1" x14ac:dyDescent="0.25">
      <c r="A209" s="716" t="s">
        <v>187</v>
      </c>
      <c r="B209" s="722"/>
      <c r="C209" s="722"/>
      <c r="D209" s="722"/>
      <c r="E209" s="722"/>
      <c r="F209" s="722"/>
      <c r="G209" s="722"/>
      <c r="H209" s="722"/>
      <c r="I209" s="722"/>
      <c r="J209" s="722"/>
      <c r="K209" s="722"/>
      <c r="L209" s="722"/>
      <c r="M209" s="722"/>
      <c r="N209" s="136"/>
      <c r="O209" s="136"/>
    </row>
    <row r="210" spans="1:19" x14ac:dyDescent="0.25">
      <c r="M210" s="102" t="s">
        <v>1124</v>
      </c>
      <c r="O210" s="193"/>
    </row>
    <row r="211" spans="1:19" ht="18" x14ac:dyDescent="0.25">
      <c r="A211" s="82" t="s">
        <v>228</v>
      </c>
      <c r="B211" s="82"/>
      <c r="C211" s="82"/>
      <c r="D211" s="82"/>
      <c r="E211" s="82"/>
      <c r="F211" s="82"/>
      <c r="G211" s="82"/>
      <c r="H211" s="82"/>
      <c r="I211" s="82"/>
      <c r="J211" s="82"/>
      <c r="K211" s="82"/>
      <c r="L211" s="82"/>
      <c r="M211" s="82"/>
      <c r="N211" s="179"/>
      <c r="O211" s="179"/>
    </row>
    <row r="212" spans="1:19" x14ac:dyDescent="0.25">
      <c r="A212" s="136"/>
      <c r="B212" s="87"/>
      <c r="C212" s="87"/>
      <c r="D212" s="87"/>
      <c r="E212" s="87"/>
      <c r="F212" s="87"/>
      <c r="G212" s="87"/>
      <c r="H212" s="87"/>
      <c r="I212" s="87"/>
      <c r="J212" s="87"/>
      <c r="K212" s="87"/>
      <c r="L212" s="87"/>
      <c r="M212" s="87"/>
      <c r="N212" s="87"/>
      <c r="O212" s="87"/>
    </row>
    <row r="213" spans="1:19" x14ac:dyDescent="0.25">
      <c r="A213" s="707" t="s">
        <v>218</v>
      </c>
      <c r="B213" s="707"/>
      <c r="C213" s="707"/>
      <c r="D213" s="707"/>
      <c r="E213" s="707"/>
      <c r="F213" s="707"/>
      <c r="G213" s="707"/>
      <c r="H213" s="707"/>
      <c r="I213" s="707"/>
      <c r="J213" s="707"/>
      <c r="K213" s="707"/>
      <c r="L213" s="707"/>
      <c r="M213" s="707"/>
      <c r="N213" s="181"/>
      <c r="O213" s="181"/>
    </row>
    <row r="214" spans="1:19" x14ac:dyDescent="0.25">
      <c r="A214" s="707" t="s">
        <v>229</v>
      </c>
      <c r="B214" s="707"/>
      <c r="C214" s="707"/>
      <c r="D214" s="707"/>
      <c r="E214" s="707"/>
      <c r="F214" s="707"/>
      <c r="G214" s="707"/>
      <c r="H214" s="707"/>
      <c r="I214" s="707"/>
      <c r="J214" s="707"/>
      <c r="K214" s="707"/>
      <c r="L214" s="707"/>
      <c r="M214" s="707"/>
      <c r="N214" s="181"/>
      <c r="O214" s="181"/>
    </row>
    <row r="215" spans="1:19" x14ac:dyDescent="0.25">
      <c r="A215" s="87"/>
      <c r="B215" s="87"/>
      <c r="C215" s="87"/>
      <c r="D215" s="87"/>
      <c r="E215" s="87"/>
      <c r="F215" s="87"/>
      <c r="G215" s="87"/>
      <c r="H215" s="87"/>
      <c r="I215" s="87"/>
      <c r="J215" s="87"/>
      <c r="K215" s="87"/>
      <c r="L215" s="87"/>
      <c r="M215" s="87"/>
      <c r="N215" s="167"/>
      <c r="O215" s="167"/>
    </row>
    <row r="216" spans="1:19" ht="31.5" customHeight="1" x14ac:dyDescent="0.25">
      <c r="A216" s="114"/>
      <c r="B216" s="182" t="s">
        <v>3</v>
      </c>
      <c r="C216" s="183"/>
      <c r="D216" s="184" t="s">
        <v>4</v>
      </c>
      <c r="E216" s="185"/>
      <c r="F216" s="184" t="s">
        <v>5</v>
      </c>
      <c r="G216" s="185"/>
      <c r="H216" s="182" t="s">
        <v>6</v>
      </c>
      <c r="I216" s="183"/>
      <c r="J216" s="184" t="s">
        <v>219</v>
      </c>
      <c r="K216" s="185"/>
      <c r="L216" s="183" t="s">
        <v>220</v>
      </c>
      <c r="M216" s="183"/>
      <c r="N216" s="186" t="s">
        <v>7</v>
      </c>
      <c r="O216" s="186"/>
    </row>
    <row r="217" spans="1:19" x14ac:dyDescent="0.25">
      <c r="A217" s="120"/>
      <c r="B217" s="116" t="s">
        <v>193</v>
      </c>
      <c r="C217" s="115" t="s">
        <v>170</v>
      </c>
      <c r="D217" s="116" t="s">
        <v>193</v>
      </c>
      <c r="E217" s="115" t="s">
        <v>170</v>
      </c>
      <c r="F217" s="116" t="s">
        <v>193</v>
      </c>
      <c r="G217" s="115" t="s">
        <v>170</v>
      </c>
      <c r="H217" s="116" t="s">
        <v>193</v>
      </c>
      <c r="I217" s="115" t="s">
        <v>170</v>
      </c>
      <c r="J217" s="116" t="s">
        <v>193</v>
      </c>
      <c r="K217" s="115" t="s">
        <v>170</v>
      </c>
      <c r="L217" s="116" t="s">
        <v>193</v>
      </c>
      <c r="M217" s="115" t="s">
        <v>170</v>
      </c>
      <c r="N217" s="167" t="s">
        <v>7</v>
      </c>
      <c r="O217" s="167"/>
    </row>
    <row r="218" spans="1:19" s="127" customFormat="1" ht="18" customHeight="1" x14ac:dyDescent="0.25">
      <c r="A218" s="124" t="s">
        <v>194</v>
      </c>
      <c r="B218" s="151">
        <f>'Averages Pivot Table'!V$469</f>
        <v>80657.566645266314</v>
      </c>
      <c r="C218" s="151"/>
      <c r="D218" s="151">
        <f>'Averages Pivot Table'!V$473</f>
        <v>65754.493798726413</v>
      </c>
      <c r="E218" s="151"/>
      <c r="F218" s="151">
        <f>'Averages Pivot Table'!V$477</f>
        <v>56561.076412092618</v>
      </c>
      <c r="G218" s="151"/>
      <c r="H218" s="151">
        <f>'Averages Pivot Table'!V$481</f>
        <v>44326.835975416252</v>
      </c>
      <c r="I218" s="151"/>
      <c r="J218" s="151">
        <f>'Averages Pivot Table'!V$485</f>
        <v>46467.625520219517</v>
      </c>
      <c r="K218" s="151"/>
      <c r="L218" s="151">
        <f>'Averages Pivot Table'!V$493</f>
        <v>61977.405117341899</v>
      </c>
      <c r="M218" s="187"/>
      <c r="N218" s="198"/>
      <c r="O218" s="198"/>
      <c r="Q218" s="129"/>
      <c r="R218" s="129"/>
      <c r="S218" s="129"/>
    </row>
    <row r="219" spans="1:19" ht="12.95" customHeight="1" x14ac:dyDescent="0.25">
      <c r="A219" s="136"/>
      <c r="B219" s="131"/>
      <c r="C219" s="155"/>
      <c r="D219" s="131"/>
      <c r="E219" s="155"/>
      <c r="F219" s="131"/>
      <c r="G219" s="155"/>
      <c r="H219" s="131"/>
      <c r="I219" s="155"/>
      <c r="J219" s="131"/>
      <c r="K219" s="155"/>
      <c r="L219" s="131"/>
      <c r="M219" s="155"/>
      <c r="N219" s="167"/>
      <c r="O219" s="167"/>
    </row>
    <row r="220" spans="1:19" ht="12.95" customHeight="1" x14ac:dyDescent="0.25">
      <c r="A220" s="136" t="s">
        <v>195</v>
      </c>
      <c r="B220" s="189">
        <f>'Averages Pivot Table'!V$6</f>
        <v>81860.575519522099</v>
      </c>
      <c r="C220" s="138">
        <f>IF(B220&gt;0,RANK(B220,(B$220:B$238)),0)</f>
        <v>7</v>
      </c>
      <c r="D220" s="189">
        <f>'Averages Pivot Table'!V$10</f>
        <v>68528.513780217327</v>
      </c>
      <c r="E220" s="138">
        <f>IF(D220&gt;0,RANK(D220,(D$220:D$238)),0)</f>
        <v>7</v>
      </c>
      <c r="F220" s="189">
        <f>'Averages Pivot Table'!V$14</f>
        <v>55100.97779355778</v>
      </c>
      <c r="G220" s="138">
        <f>IF(F220&gt;0,RANK(F220,(F$220:F$238)),0)</f>
        <v>8</v>
      </c>
      <c r="H220" s="189">
        <f>'Averages Pivot Table'!V$18</f>
        <v>45032.845863190109</v>
      </c>
      <c r="I220" s="138">
        <f>IF(H220&gt;0,RANK(H220,(H$220:H$238)),0)</f>
        <v>5</v>
      </c>
      <c r="J220" s="189">
        <f>'Averages Pivot Table'!V$22</f>
        <v>66874.909090909088</v>
      </c>
      <c r="K220" s="138">
        <f>IF(J220&gt;0,RANK(J220,(J$220:J$238)),0)</f>
        <v>1</v>
      </c>
      <c r="L220" s="189">
        <f>'Averages Pivot Table'!V$30</f>
        <v>64745.652139803758</v>
      </c>
      <c r="M220" s="138">
        <f>IF(L220&gt;0,RANK(L220,(L$220:L$238)),0)</f>
        <v>6</v>
      </c>
      <c r="N220" s="167"/>
      <c r="O220" s="167"/>
    </row>
    <row r="221" spans="1:19" ht="12.95" customHeight="1" x14ac:dyDescent="0.25">
      <c r="A221" s="136" t="s">
        <v>196</v>
      </c>
      <c r="B221" s="189">
        <f>'Averages Pivot Table'!V$35</f>
        <v>66514.805430353939</v>
      </c>
      <c r="C221" s="138">
        <f t="shared" ref="C221:E238" si="382">IF(B221&gt;0,RANK(B221,(B$220:B$238)),0)</f>
        <v>13</v>
      </c>
      <c r="D221" s="189">
        <f>'Averages Pivot Table'!V$39</f>
        <v>56448.091320501313</v>
      </c>
      <c r="E221" s="138">
        <f t="shared" si="382"/>
        <v>13</v>
      </c>
      <c r="F221" s="189">
        <f>'Averages Pivot Table'!V$43</f>
        <v>50504.511891212154</v>
      </c>
      <c r="G221" s="138">
        <f t="shared" ref="G221" si="383">IF(F221&gt;0,RANK(F221,(F$220:F$238)),0)</f>
        <v>13</v>
      </c>
      <c r="H221" s="189">
        <f>'Averages Pivot Table'!V$47</f>
        <v>40634.353051552258</v>
      </c>
      <c r="I221" s="138">
        <f t="shared" ref="I221" si="384">IF(H221&gt;0,RANK(H221,(H$220:H$238)),0)</f>
        <v>13</v>
      </c>
      <c r="J221" s="189">
        <f>'Averages Pivot Table'!V$51</f>
        <v>48838.909090909088</v>
      </c>
      <c r="K221" s="138">
        <f t="shared" ref="K221" si="385">IF(J221&gt;0,RANK(J221,(J$220:J$238)),0)</f>
        <v>4</v>
      </c>
      <c r="L221" s="189">
        <f>'Averages Pivot Table'!V$59</f>
        <v>53718.834596466564</v>
      </c>
      <c r="M221" s="138">
        <f t="shared" ref="M221" si="386">IF(L221&gt;0,RANK(L221,(L$220:L$238)),0)</f>
        <v>12</v>
      </c>
      <c r="N221" s="167"/>
      <c r="O221" s="167"/>
    </row>
    <row r="222" spans="1:19" ht="12.95" customHeight="1" x14ac:dyDescent="0.25">
      <c r="A222" s="136" t="s">
        <v>197</v>
      </c>
      <c r="B222" s="189">
        <f>'Averages Pivot Table'!V$64</f>
        <v>0</v>
      </c>
      <c r="C222" s="138">
        <f t="shared" si="382"/>
        <v>0</v>
      </c>
      <c r="D222" s="189">
        <f>'Averages Pivot Table'!V$68</f>
        <v>0</v>
      </c>
      <c r="E222" s="138">
        <f t="shared" si="382"/>
        <v>0</v>
      </c>
      <c r="F222" s="189">
        <f>'Averages Pivot Table'!V$72</f>
        <v>0</v>
      </c>
      <c r="G222" s="138">
        <f t="shared" ref="G222" si="387">IF(F222&gt;0,RANK(F222,(F$220:F$238)),0)</f>
        <v>0</v>
      </c>
      <c r="H222" s="189">
        <f>'Averages Pivot Table'!V$76</f>
        <v>0</v>
      </c>
      <c r="I222" s="138">
        <f t="shared" ref="I222" si="388">IF(H222&gt;0,RANK(H222,(H$220:H$238)),0)</f>
        <v>0</v>
      </c>
      <c r="J222" s="189">
        <f>'Averages Pivot Table'!V$80</f>
        <v>0</v>
      </c>
      <c r="K222" s="138">
        <f t="shared" ref="K222" si="389">IF(J222&gt;0,RANK(J222,(J$220:J$238)),0)</f>
        <v>0</v>
      </c>
      <c r="L222" s="189">
        <f>'Averages Pivot Table'!V$88</f>
        <v>0</v>
      </c>
      <c r="M222" s="138">
        <f t="shared" ref="M222" si="390">IF(L222&gt;0,RANK(L222,(L$220:L$238)),0)</f>
        <v>0</v>
      </c>
      <c r="N222" s="167"/>
      <c r="O222" s="167"/>
    </row>
    <row r="223" spans="1:19" ht="12.95" customHeight="1" x14ac:dyDescent="0.25">
      <c r="A223" s="136" t="s">
        <v>198</v>
      </c>
      <c r="B223" s="189">
        <f>'Averages Pivot Table'!V$93</f>
        <v>89306.884615384624</v>
      </c>
      <c r="C223" s="138">
        <f t="shared" si="382"/>
        <v>4</v>
      </c>
      <c r="D223" s="189">
        <f>'Averages Pivot Table'!V$97</f>
        <v>69076.318471337596</v>
      </c>
      <c r="E223" s="138">
        <f t="shared" si="382"/>
        <v>6</v>
      </c>
      <c r="F223" s="189">
        <f>'Averages Pivot Table'!V$101</f>
        <v>58907.97129186603</v>
      </c>
      <c r="G223" s="138">
        <f t="shared" ref="G223" si="391">IF(F223&gt;0,RANK(F223,(F$220:F$238)),0)</f>
        <v>6</v>
      </c>
      <c r="H223" s="189">
        <f>'Averages Pivot Table'!V$105</f>
        <v>43625.141509433961</v>
      </c>
      <c r="I223" s="138">
        <f t="shared" ref="I223" si="392">IF(H223&gt;0,RANK(H223,(H$220:H$238)),0)</f>
        <v>8</v>
      </c>
      <c r="J223" s="189">
        <f>'Averages Pivot Table'!V$109</f>
        <v>0</v>
      </c>
      <c r="K223" s="138">
        <f t="shared" ref="K223" si="393">IF(J223&gt;0,RANK(J223,(J$220:J$238)),0)</f>
        <v>0</v>
      </c>
      <c r="L223" s="189">
        <f>'Averages Pivot Table'!V$117</f>
        <v>62560.754730983033</v>
      </c>
      <c r="M223" s="138">
        <f t="shared" ref="M223" si="394">IF(L223&gt;0,RANK(L223,(L$220:L$238)),0)</f>
        <v>8</v>
      </c>
      <c r="N223" s="167"/>
      <c r="O223" s="167"/>
    </row>
    <row r="224" spans="1:19" ht="12.95" customHeight="1" x14ac:dyDescent="0.25">
      <c r="A224" s="136"/>
      <c r="B224" s="189"/>
      <c r="C224" s="138"/>
      <c r="D224" s="189"/>
      <c r="E224" s="138"/>
      <c r="F224" s="189"/>
      <c r="G224" s="138"/>
      <c r="H224" s="189"/>
      <c r="I224" s="138"/>
      <c r="J224" s="189"/>
      <c r="K224" s="138"/>
      <c r="L224" s="189"/>
      <c r="M224" s="138"/>
      <c r="N224" s="167"/>
      <c r="O224" s="167"/>
    </row>
    <row r="225" spans="1:15" s="109" customFormat="1" x14ac:dyDescent="0.25">
      <c r="A225" s="136" t="s">
        <v>199</v>
      </c>
      <c r="B225" s="189">
        <f>'Averages Pivot Table'!V$122</f>
        <v>77240.176940052261</v>
      </c>
      <c r="C225" s="138">
        <f t="shared" si="382"/>
        <v>9</v>
      </c>
      <c r="D225" s="189">
        <f>'Averages Pivot Table'!V$126</f>
        <v>63513.908453450291</v>
      </c>
      <c r="E225" s="138">
        <f t="shared" si="382"/>
        <v>9</v>
      </c>
      <c r="F225" s="189">
        <f>'Averages Pivot Table'!V$130</f>
        <v>53722.056841415128</v>
      </c>
      <c r="G225" s="138">
        <f t="shared" ref="G225" si="395">IF(F225&gt;0,RANK(F225,(F$220:F$238)),0)</f>
        <v>9</v>
      </c>
      <c r="H225" s="189">
        <f>'Averages Pivot Table'!V$134</f>
        <v>44421.137239869007</v>
      </c>
      <c r="I225" s="138">
        <f t="shared" ref="I225" si="396">IF(H225&gt;0,RANK(H225,(H$220:H$238)),0)</f>
        <v>7</v>
      </c>
      <c r="J225" s="189">
        <f>'Averages Pivot Table'!V$138</f>
        <v>46820.386249986623</v>
      </c>
      <c r="K225" s="138">
        <f t="shared" ref="K225" si="397">IF(J225&gt;0,RANK(J225,(J$220:J$238)),0)</f>
        <v>5</v>
      </c>
      <c r="L225" s="189">
        <f>'Averages Pivot Table'!V$146</f>
        <v>59164.085734668181</v>
      </c>
      <c r="M225" s="138">
        <f t="shared" ref="M225" si="398">IF(L225&gt;0,RANK(L225,(L$220:L$238)),0)</f>
        <v>10</v>
      </c>
      <c r="N225" s="167"/>
      <c r="O225" s="167"/>
    </row>
    <row r="226" spans="1:15" s="109" customFormat="1" x14ac:dyDescent="0.25">
      <c r="A226" s="136" t="s">
        <v>200</v>
      </c>
      <c r="B226" s="189">
        <f>'Averages Pivot Table'!V$151</f>
        <v>90871.568504876879</v>
      </c>
      <c r="C226" s="138">
        <f t="shared" si="382"/>
        <v>3</v>
      </c>
      <c r="D226" s="189">
        <f>'Averages Pivot Table'!V$155</f>
        <v>69077.693686645696</v>
      </c>
      <c r="E226" s="138">
        <f t="shared" si="382"/>
        <v>5</v>
      </c>
      <c r="F226" s="189">
        <f>'Averages Pivot Table'!V$159</f>
        <v>60539.374887499987</v>
      </c>
      <c r="G226" s="138">
        <f t="shared" ref="G226" si="399">IF(F226&gt;0,RANK(F226,(F$220:F$238)),0)</f>
        <v>4</v>
      </c>
      <c r="H226" s="189">
        <f>'Averages Pivot Table'!V$163</f>
        <v>42755.893738140418</v>
      </c>
      <c r="I226" s="138">
        <f t="shared" ref="I226" si="400">IF(H226&gt;0,RANK(H226,(H$220:H$238)),0)</f>
        <v>10</v>
      </c>
      <c r="J226" s="189">
        <f>'Averages Pivot Table'!V$167</f>
        <v>45483.185628742518</v>
      </c>
      <c r="K226" s="138">
        <f t="shared" ref="K226" si="401">IF(J226&gt;0,RANK(J226,(J$220:J$238)),0)</f>
        <v>7</v>
      </c>
      <c r="L226" s="189">
        <f>'Averages Pivot Table'!V$175</f>
        <v>64041.972538296905</v>
      </c>
      <c r="M226" s="138">
        <f t="shared" ref="M226" si="402">IF(L226&gt;0,RANK(L226,(L$220:L$238)),0)</f>
        <v>7</v>
      </c>
      <c r="N226" s="167"/>
      <c r="O226" s="167"/>
    </row>
    <row r="227" spans="1:15" s="109" customFormat="1" x14ac:dyDescent="0.25">
      <c r="A227" s="136" t="s">
        <v>201</v>
      </c>
      <c r="B227" s="189">
        <f>'Averages Pivot Table'!V$180</f>
        <v>71543.558339811803</v>
      </c>
      <c r="C227" s="138">
        <f t="shared" si="382"/>
        <v>11</v>
      </c>
      <c r="D227" s="189">
        <f>'Averages Pivot Table'!V$184</f>
        <v>58507.293536017023</v>
      </c>
      <c r="E227" s="138">
        <f t="shared" si="382"/>
        <v>11</v>
      </c>
      <c r="F227" s="189">
        <f>'Averages Pivot Table'!V$188</f>
        <v>51804.277735963071</v>
      </c>
      <c r="G227" s="138">
        <f t="shared" ref="G227" si="403">IF(F227&gt;0,RANK(F227,(F$220:F$238)),0)</f>
        <v>11</v>
      </c>
      <c r="H227" s="189">
        <f>'Averages Pivot Table'!V$192</f>
        <v>40810.184831022743</v>
      </c>
      <c r="I227" s="138">
        <f t="shared" ref="I227" si="404">IF(H227&gt;0,RANK(H227,(H$220:H$238)),0)</f>
        <v>12</v>
      </c>
      <c r="J227" s="189">
        <f>'Averages Pivot Table'!V$196</f>
        <v>41699.099681020729</v>
      </c>
      <c r="K227" s="138">
        <f t="shared" ref="K227" si="405">IF(J227&gt;0,RANK(J227,(J$220:J$238)),0)</f>
        <v>9</v>
      </c>
      <c r="L227" s="189">
        <f>'Averages Pivot Table'!V$204</f>
        <v>54581.975928757405</v>
      </c>
      <c r="M227" s="138">
        <f t="shared" ref="M227" si="406">IF(L227&gt;0,RANK(L227,(L$220:L$238)),0)</f>
        <v>11</v>
      </c>
      <c r="N227" s="167"/>
      <c r="O227" s="167"/>
    </row>
    <row r="228" spans="1:15" s="109" customFormat="1" x14ac:dyDescent="0.25">
      <c r="A228" s="136" t="s">
        <v>202</v>
      </c>
      <c r="B228" s="189">
        <f>'Averages Pivot Table'!V$209</f>
        <v>92814.274531277042</v>
      </c>
      <c r="C228" s="138">
        <f t="shared" si="382"/>
        <v>1</v>
      </c>
      <c r="D228" s="189">
        <f>'Averages Pivot Table'!V$213</f>
        <v>73272.215170740863</v>
      </c>
      <c r="E228" s="138">
        <f t="shared" si="382"/>
        <v>3</v>
      </c>
      <c r="F228" s="189">
        <f>'Averages Pivot Table'!V$217</f>
        <v>65755.436372281241</v>
      </c>
      <c r="G228" s="138">
        <f t="shared" ref="G228" si="407">IF(F228&gt;0,RANK(F228,(F$220:F$238)),0)</f>
        <v>2</v>
      </c>
      <c r="H228" s="189">
        <f>'Averages Pivot Table'!V$221</f>
        <v>61954.073974620347</v>
      </c>
      <c r="I228" s="138">
        <f t="shared" ref="I228" si="408">IF(H228&gt;0,RANK(H228,(H$220:H$238)),0)</f>
        <v>1</v>
      </c>
      <c r="J228" s="189">
        <f>'Averages Pivot Table'!V$225</f>
        <v>46104.201577234497</v>
      </c>
      <c r="K228" s="138">
        <f t="shared" ref="K228" si="409">IF(J228&gt;0,RANK(J228,(J$220:J$238)),0)</f>
        <v>6</v>
      </c>
      <c r="L228" s="189">
        <f>'Averages Pivot Table'!V$233</f>
        <v>70533.090706859846</v>
      </c>
      <c r="M228" s="138">
        <f t="shared" ref="M228" si="410">IF(L228&gt;0,RANK(L228,(L$220:L$238)),0)</f>
        <v>2</v>
      </c>
      <c r="N228" s="167"/>
      <c r="O228" s="167"/>
    </row>
    <row r="229" spans="1:15" s="109" customFormat="1" x14ac:dyDescent="0.25">
      <c r="A229" s="136"/>
      <c r="B229" s="189"/>
      <c r="C229" s="138"/>
      <c r="D229" s="189"/>
      <c r="E229" s="138"/>
      <c r="F229" s="189"/>
      <c r="G229" s="138"/>
      <c r="H229" s="189"/>
      <c r="I229" s="138"/>
      <c r="J229" s="189"/>
      <c r="K229" s="138"/>
      <c r="L229" s="189"/>
      <c r="M229" s="138"/>
      <c r="N229" s="167"/>
      <c r="O229" s="167"/>
    </row>
    <row r="230" spans="1:15" s="109" customFormat="1" x14ac:dyDescent="0.25">
      <c r="A230" s="136" t="s">
        <v>203</v>
      </c>
      <c r="B230" s="189">
        <f>'Averages Pivot Table'!V$238</f>
        <v>67233.976830993692</v>
      </c>
      <c r="C230" s="138">
        <f t="shared" si="382"/>
        <v>12</v>
      </c>
      <c r="D230" s="189">
        <f>'Averages Pivot Table'!V$242</f>
        <v>57312.073726834482</v>
      </c>
      <c r="E230" s="138">
        <f t="shared" si="382"/>
        <v>12</v>
      </c>
      <c r="F230" s="189">
        <f>'Averages Pivot Table'!V$246</f>
        <v>50910.22018159298</v>
      </c>
      <c r="G230" s="138">
        <f t="shared" ref="G230" si="411">IF(F230&gt;0,RANK(F230,(F$220:F$238)),0)</f>
        <v>12</v>
      </c>
      <c r="H230" s="189">
        <f>'Averages Pivot Table'!V$250</f>
        <v>43062.879811322782</v>
      </c>
      <c r="I230" s="138">
        <f t="shared" ref="I230" si="412">IF(H230&gt;0,RANK(H230,(H$220:H$238)),0)</f>
        <v>9</v>
      </c>
      <c r="J230" s="189">
        <f>'Averages Pivot Table'!V$254</f>
        <v>0</v>
      </c>
      <c r="K230" s="138">
        <f t="shared" ref="K230" si="413">IF(J230&gt;0,RANK(J230,(J$220:J$238)),0)</f>
        <v>0</v>
      </c>
      <c r="L230" s="189">
        <f>'Averages Pivot Table'!V$262</f>
        <v>53382.274320970508</v>
      </c>
      <c r="M230" s="138">
        <f t="shared" ref="M230" si="414">IF(L230&gt;0,RANK(L230,(L$220:L$238)),0)</f>
        <v>13</v>
      </c>
      <c r="N230" s="167"/>
      <c r="O230" s="167"/>
    </row>
    <row r="231" spans="1:15" s="109" customFormat="1" x14ac:dyDescent="0.25">
      <c r="A231" s="136" t="s">
        <v>204</v>
      </c>
      <c r="B231" s="189">
        <f>'Averages Pivot Table'!V$267</f>
        <v>87455.734177215199</v>
      </c>
      <c r="C231" s="138">
        <f t="shared" si="382"/>
        <v>5</v>
      </c>
      <c r="D231" s="189">
        <f>'Averages Pivot Table'!V$271</f>
        <v>74199.470012239894</v>
      </c>
      <c r="E231" s="138">
        <f t="shared" si="382"/>
        <v>1</v>
      </c>
      <c r="F231" s="189">
        <f>'Averages Pivot Table'!V$275</f>
        <v>63225.622392974758</v>
      </c>
      <c r="G231" s="138">
        <f t="shared" ref="G231" si="415">IF(F231&gt;0,RANK(F231,(F$220:F$238)),0)</f>
        <v>3</v>
      </c>
      <c r="H231" s="189">
        <f>'Averages Pivot Table'!V$279</f>
        <v>60842</v>
      </c>
      <c r="I231" s="138">
        <f t="shared" ref="I231" si="416">IF(H231&gt;0,RANK(H231,(H$220:H$238)),0)</f>
        <v>2</v>
      </c>
      <c r="J231" s="189">
        <f>'Averages Pivot Table'!V$283</f>
        <v>55085</v>
      </c>
      <c r="K231" s="138">
        <f t="shared" ref="K231" si="417">IF(J231&gt;0,RANK(J231,(J$220:J$238)),0)</f>
        <v>2</v>
      </c>
      <c r="L231" s="189">
        <f>'Averages Pivot Table'!V$291</f>
        <v>70021.522863001999</v>
      </c>
      <c r="M231" s="138">
        <f t="shared" ref="M231" si="418">IF(L231&gt;0,RANK(L231,(L$220:L$238)),0)</f>
        <v>4</v>
      </c>
      <c r="N231" s="167"/>
      <c r="O231" s="167"/>
    </row>
    <row r="232" spans="1:15" s="109" customFormat="1" x14ac:dyDescent="0.25">
      <c r="A232" s="136" t="s">
        <v>205</v>
      </c>
      <c r="B232" s="189">
        <f>'Averages Pivot Table'!V$296</f>
        <v>72533.631090487237</v>
      </c>
      <c r="C232" s="138">
        <f t="shared" si="382"/>
        <v>10</v>
      </c>
      <c r="D232" s="189">
        <f>'Averages Pivot Table'!V$300</f>
        <v>61328</v>
      </c>
      <c r="E232" s="138">
        <f t="shared" si="382"/>
        <v>10</v>
      </c>
      <c r="F232" s="189">
        <f>'Averages Pivot Table'!V$304</f>
        <v>53154.342205323192</v>
      </c>
      <c r="G232" s="138">
        <f t="shared" ref="G232" si="419">IF(F232&gt;0,RANK(F232,(F$220:F$238)),0)</f>
        <v>10</v>
      </c>
      <c r="H232" s="189">
        <f>'Averages Pivot Table'!V$308</f>
        <v>42180.51533742332</v>
      </c>
      <c r="I232" s="138">
        <f t="shared" ref="I232" si="420">IF(H232&gt;0,RANK(H232,(H$220:H$238)),0)</f>
        <v>11</v>
      </c>
      <c r="J232" s="189">
        <f>'Averages Pivot Table'!V$312</f>
        <v>0</v>
      </c>
      <c r="K232" s="138">
        <f t="shared" ref="K232" si="421">IF(J232&gt;0,RANK(J232,(J$220:J$238)),0)</f>
        <v>0</v>
      </c>
      <c r="L232" s="189">
        <f>'Averages Pivot Table'!V$320</f>
        <v>61047.698015183349</v>
      </c>
      <c r="M232" s="138">
        <f t="shared" ref="M232" si="422">IF(L232&gt;0,RANK(L232,(L$220:L$238)),0)</f>
        <v>9</v>
      </c>
      <c r="N232" s="167"/>
      <c r="O232" s="167"/>
    </row>
    <row r="233" spans="1:15" s="109" customFormat="1" x14ac:dyDescent="0.25">
      <c r="A233" s="136" t="s">
        <v>206</v>
      </c>
      <c r="B233" s="189">
        <f>'Averages Pivot Table'!V$325</f>
        <v>86419</v>
      </c>
      <c r="C233" s="138">
        <f t="shared" si="382"/>
        <v>6</v>
      </c>
      <c r="D233" s="189">
        <f>'Averages Pivot Table'!V$329</f>
        <v>69742.108559498956</v>
      </c>
      <c r="E233" s="138">
        <f t="shared" si="382"/>
        <v>4</v>
      </c>
      <c r="F233" s="189">
        <f>'Averages Pivot Table'!V$333</f>
        <v>57535</v>
      </c>
      <c r="G233" s="138">
        <f t="shared" ref="G233" si="423">IF(F233&gt;0,RANK(F233,(F$220:F$238)),0)</f>
        <v>7</v>
      </c>
      <c r="H233" s="189">
        <f>'Averages Pivot Table'!V$337</f>
        <v>44993</v>
      </c>
      <c r="I233" s="138">
        <f t="shared" ref="I233" si="424">IF(H233&gt;0,RANK(H233,(H$220:H$238)),0)</f>
        <v>6</v>
      </c>
      <c r="J233" s="189">
        <f>'Averages Pivot Table'!V$341</f>
        <v>0</v>
      </c>
      <c r="K233" s="138">
        <f t="shared" ref="K233" si="425">IF(J233&gt;0,RANK(J233,(J$220:J$238)),0)</f>
        <v>0</v>
      </c>
      <c r="L233" s="189">
        <f>'Averages Pivot Table'!V$349</f>
        <v>70369.959290187893</v>
      </c>
      <c r="M233" s="138">
        <f t="shared" ref="M233" si="426">IF(L233&gt;0,RANK(L233,(L$220:L$238)),0)</f>
        <v>3</v>
      </c>
      <c r="N233" s="167"/>
      <c r="O233" s="167"/>
    </row>
    <row r="234" spans="1:15" s="109" customFormat="1" x14ac:dyDescent="0.25">
      <c r="A234" s="136"/>
      <c r="B234" s="189"/>
      <c r="C234" s="138"/>
      <c r="D234" s="189"/>
      <c r="E234" s="138"/>
      <c r="F234" s="189"/>
      <c r="G234" s="138"/>
      <c r="H234" s="189"/>
      <c r="I234" s="138"/>
      <c r="J234" s="189"/>
      <c r="K234" s="138"/>
      <c r="L234" s="189"/>
      <c r="M234" s="138"/>
      <c r="N234" s="167"/>
      <c r="O234" s="167"/>
    </row>
    <row r="235" spans="1:15" s="109" customFormat="1" x14ac:dyDescent="0.25">
      <c r="A235" s="136" t="s">
        <v>207</v>
      </c>
      <c r="B235" s="191">
        <f>'Averages Pivot Table'!V$354</f>
        <v>0</v>
      </c>
      <c r="C235" s="138">
        <f t="shared" si="382"/>
        <v>0</v>
      </c>
      <c r="D235" s="191">
        <f>'Averages Pivot Table'!V$358</f>
        <v>0</v>
      </c>
      <c r="E235" s="138">
        <f t="shared" si="382"/>
        <v>0</v>
      </c>
      <c r="F235" s="191">
        <f>'Averages Pivot Table'!V$362</f>
        <v>0</v>
      </c>
      <c r="G235" s="138">
        <f t="shared" ref="G235" si="427">IF(F235&gt;0,RANK(F235,(F$220:F$238)),0)</f>
        <v>0</v>
      </c>
      <c r="H235" s="191">
        <f>'Averages Pivot Table'!V$366</f>
        <v>0</v>
      </c>
      <c r="I235" s="138">
        <f t="shared" ref="I235" si="428">IF(H235&gt;0,RANK(H235,(H$220:H$238)),0)</f>
        <v>0</v>
      </c>
      <c r="J235" s="191">
        <f>'Averages Pivot Table'!V$370</f>
        <v>0</v>
      </c>
      <c r="K235" s="138">
        <f t="shared" ref="K235" si="429">IF(J235&gt;0,RANK(J235,(J$220:J$238)),0)</f>
        <v>0</v>
      </c>
      <c r="L235" s="191">
        <f>'Averages Pivot Table'!V$378</f>
        <v>0</v>
      </c>
      <c r="M235" s="138">
        <f t="shared" ref="M235" si="430">IF(L235&gt;0,RANK(L235,(L$220:L$238)),0)</f>
        <v>0</v>
      </c>
      <c r="N235" s="167"/>
      <c r="O235" s="167"/>
    </row>
    <row r="236" spans="1:15" s="109" customFormat="1" x14ac:dyDescent="0.25">
      <c r="A236" s="136" t="s">
        <v>208</v>
      </c>
      <c r="B236" s="191">
        <f>'Averages Pivot Table'!V$383</f>
        <v>90978.803342816493</v>
      </c>
      <c r="C236" s="138">
        <f t="shared" si="382"/>
        <v>2</v>
      </c>
      <c r="D236" s="191">
        <f>'Averages Pivot Table'!V$387</f>
        <v>73972.299323452346</v>
      </c>
      <c r="E236" s="138">
        <f t="shared" si="382"/>
        <v>2</v>
      </c>
      <c r="F236" s="191">
        <f>'Averages Pivot Table'!V$391</f>
        <v>68354.503428571436</v>
      </c>
      <c r="G236" s="138">
        <f t="shared" ref="G236" si="431">IF(F236&gt;0,RANK(F236,(F$220:F$238)),0)</f>
        <v>1</v>
      </c>
      <c r="H236" s="191">
        <f>'Averages Pivot Table'!V$395</f>
        <v>53395.219780219784</v>
      </c>
      <c r="I236" s="138">
        <f t="shared" ref="I236" si="432">IF(H236&gt;0,RANK(H236,(H$220:H$238)),0)</f>
        <v>3</v>
      </c>
      <c r="J236" s="191">
        <f>'Averages Pivot Table'!V$399</f>
        <v>44154.799999999996</v>
      </c>
      <c r="K236" s="138">
        <f t="shared" ref="K236" si="433">IF(J236&gt;0,RANK(J236,(J$220:J$238)),0)</f>
        <v>8</v>
      </c>
      <c r="L236" s="191">
        <f>'Averages Pivot Table'!V$407</f>
        <v>72887.378466182592</v>
      </c>
      <c r="M236" s="138">
        <f t="shared" ref="M236" si="434">IF(L236&gt;0,RANK(L236,(L$220:L$238)),0)</f>
        <v>1</v>
      </c>
      <c r="N236" s="167"/>
      <c r="O236" s="167"/>
    </row>
    <row r="237" spans="1:15" s="109" customFormat="1" x14ac:dyDescent="0.25">
      <c r="A237" s="136" t="s">
        <v>209</v>
      </c>
      <c r="B237" s="191">
        <f>'Averages Pivot Table'!V$412</f>
        <v>79042.111949020531</v>
      </c>
      <c r="C237" s="138">
        <f t="shared" si="382"/>
        <v>8</v>
      </c>
      <c r="D237" s="191">
        <f>'Averages Pivot Table'!V$416</f>
        <v>64784.486098848152</v>
      </c>
      <c r="E237" s="138">
        <f t="shared" si="382"/>
        <v>8</v>
      </c>
      <c r="F237" s="191">
        <f>'Averages Pivot Table'!V$420</f>
        <v>59148.882470893914</v>
      </c>
      <c r="G237" s="138">
        <f t="shared" ref="G237" si="435">IF(F237&gt;0,RANK(F237,(F$220:F$238)),0)</f>
        <v>5</v>
      </c>
      <c r="H237" s="191">
        <f>'Averages Pivot Table'!V$424</f>
        <v>50540.375038347855</v>
      </c>
      <c r="I237" s="138">
        <f t="shared" ref="I237" si="436">IF(H237&gt;0,RANK(H237,(H$220:H$238)),0)</f>
        <v>4</v>
      </c>
      <c r="J237" s="191">
        <f>'Averages Pivot Table'!V$428</f>
        <v>49187.375</v>
      </c>
      <c r="K237" s="138">
        <f t="shared" ref="K237" si="437">IF(J237&gt;0,RANK(J237,(J$220:J$238)),0)</f>
        <v>3</v>
      </c>
      <c r="L237" s="191">
        <f>'Averages Pivot Table'!V$436</f>
        <v>65065.762984650632</v>
      </c>
      <c r="M237" s="138">
        <f t="shared" ref="M237" si="438">IF(L237&gt;0,RANK(L237,(L$220:L$238)),0)</f>
        <v>5</v>
      </c>
      <c r="N237" s="167"/>
      <c r="O237" s="167"/>
    </row>
    <row r="238" spans="1:15" s="109" customFormat="1" x14ac:dyDescent="0.25">
      <c r="A238" s="161" t="s">
        <v>210</v>
      </c>
      <c r="B238" s="192">
        <f>'Averages Pivot Table'!V$441</f>
        <v>0</v>
      </c>
      <c r="C238" s="141">
        <f t="shared" si="382"/>
        <v>0</v>
      </c>
      <c r="D238" s="192">
        <f>'Averages Pivot Table'!V$445</f>
        <v>0</v>
      </c>
      <c r="E238" s="141">
        <f t="shared" si="382"/>
        <v>0</v>
      </c>
      <c r="F238" s="192">
        <f>'Averages Pivot Table'!V$449</f>
        <v>0</v>
      </c>
      <c r="G238" s="141">
        <f t="shared" ref="G238" si="439">IF(F238&gt;0,RANK(F238,(F$220:F$238)),0)</f>
        <v>0</v>
      </c>
      <c r="H238" s="192">
        <f>'Averages Pivot Table'!V$453</f>
        <v>0</v>
      </c>
      <c r="I238" s="141">
        <f t="shared" ref="I238" si="440">IF(H238&gt;0,RANK(H238,(H$220:H$238)),0)</f>
        <v>0</v>
      </c>
      <c r="J238" s="192">
        <f>'Averages Pivot Table'!V$457</f>
        <v>0</v>
      </c>
      <c r="K238" s="141">
        <f t="shared" ref="K238" si="441">IF(J238&gt;0,RANK(J238,(J$220:J$238)),0)</f>
        <v>0</v>
      </c>
      <c r="L238" s="192">
        <f>'Averages Pivot Table'!V$465</f>
        <v>0</v>
      </c>
      <c r="M238" s="141">
        <f t="shared" ref="M238" si="442">IF(L238&gt;0,RANK(L238,(L$220:L$238)),0)</f>
        <v>0</v>
      </c>
      <c r="N238" s="167"/>
      <c r="O238" s="167"/>
    </row>
    <row r="239" spans="1:15" s="109" customFormat="1" ht="26.25" customHeight="1" x14ac:dyDescent="0.25">
      <c r="A239" s="716" t="s">
        <v>187</v>
      </c>
      <c r="B239" s="722"/>
      <c r="C239" s="722"/>
      <c r="D239" s="722"/>
      <c r="E239" s="722"/>
      <c r="F239" s="722"/>
      <c r="G239" s="722"/>
      <c r="H239" s="722"/>
      <c r="I239" s="722"/>
      <c r="J239" s="722"/>
      <c r="K239" s="722"/>
      <c r="L239" s="722"/>
      <c r="M239" s="722"/>
      <c r="N239" s="136"/>
      <c r="O239" s="136"/>
    </row>
    <row r="240" spans="1:15" s="109" customFormat="1" x14ac:dyDescent="0.25">
      <c r="M240" s="102" t="s">
        <v>1124</v>
      </c>
      <c r="O240" s="193"/>
    </row>
    <row r="241" spans="1:19" ht="18" x14ac:dyDescent="0.25">
      <c r="A241" s="82" t="s">
        <v>230</v>
      </c>
      <c r="B241" s="82"/>
      <c r="C241" s="82"/>
      <c r="D241" s="82"/>
      <c r="E241" s="82"/>
      <c r="F241" s="82"/>
      <c r="G241" s="82"/>
      <c r="H241" s="82"/>
      <c r="I241" s="82"/>
      <c r="J241" s="82"/>
      <c r="K241" s="82"/>
      <c r="L241" s="82"/>
      <c r="M241" s="82"/>
      <c r="N241" s="179"/>
      <c r="O241" s="179"/>
    </row>
    <row r="242" spans="1:19" x14ac:dyDescent="0.25">
      <c r="A242" s="180"/>
      <c r="B242" s="87"/>
      <c r="C242" s="87"/>
      <c r="D242" s="87"/>
      <c r="E242" s="87"/>
      <c r="F242" s="87"/>
      <c r="G242" s="87"/>
      <c r="H242" s="87"/>
      <c r="I242" s="87"/>
      <c r="J242" s="87"/>
      <c r="K242" s="87"/>
      <c r="L242" s="87"/>
      <c r="M242" s="87"/>
      <c r="N242" s="87"/>
      <c r="O242" s="87"/>
    </row>
    <row r="243" spans="1:19" x14ac:dyDescent="0.25">
      <c r="A243" s="707" t="s">
        <v>218</v>
      </c>
      <c r="B243" s="707"/>
      <c r="C243" s="707"/>
      <c r="D243" s="707"/>
      <c r="E243" s="707"/>
      <c r="F243" s="707"/>
      <c r="G243" s="707"/>
      <c r="H243" s="707"/>
      <c r="I243" s="707"/>
      <c r="J243" s="707"/>
      <c r="K243" s="707"/>
      <c r="L243" s="707"/>
      <c r="M243" s="707"/>
      <c r="N243" s="181"/>
      <c r="O243" s="181"/>
    </row>
    <row r="244" spans="1:19" x14ac:dyDescent="0.25">
      <c r="A244" s="707" t="s">
        <v>231</v>
      </c>
      <c r="B244" s="707"/>
      <c r="C244" s="707"/>
      <c r="D244" s="707"/>
      <c r="E244" s="707"/>
      <c r="F244" s="707"/>
      <c r="G244" s="707"/>
      <c r="H244" s="707"/>
      <c r="I244" s="707"/>
      <c r="J244" s="707"/>
      <c r="K244" s="707"/>
      <c r="L244" s="707"/>
      <c r="M244" s="707"/>
      <c r="N244" s="181"/>
      <c r="O244" s="181"/>
    </row>
    <row r="245" spans="1:19" x14ac:dyDescent="0.25">
      <c r="A245" s="87"/>
      <c r="B245" s="87"/>
      <c r="C245" s="87"/>
      <c r="D245" s="87"/>
      <c r="E245" s="87"/>
      <c r="F245" s="87"/>
      <c r="G245" s="87"/>
      <c r="H245" s="87"/>
      <c r="I245" s="87"/>
      <c r="J245" s="87"/>
      <c r="K245" s="87"/>
      <c r="L245" s="87"/>
      <c r="M245" s="87"/>
      <c r="N245" s="186" t="s">
        <v>7</v>
      </c>
      <c r="O245" s="186"/>
    </row>
    <row r="246" spans="1:19" ht="31.5" customHeight="1" x14ac:dyDescent="0.25">
      <c r="A246" s="114"/>
      <c r="B246" s="182" t="s">
        <v>3</v>
      </c>
      <c r="C246" s="183"/>
      <c r="D246" s="184" t="s">
        <v>4</v>
      </c>
      <c r="E246" s="185"/>
      <c r="F246" s="184" t="s">
        <v>5</v>
      </c>
      <c r="G246" s="185"/>
      <c r="H246" s="182" t="s">
        <v>6</v>
      </c>
      <c r="I246" s="183"/>
      <c r="J246" s="184" t="s">
        <v>219</v>
      </c>
      <c r="K246" s="185"/>
      <c r="L246" s="183" t="s">
        <v>220</v>
      </c>
      <c r="M246" s="183"/>
      <c r="N246" s="186" t="s">
        <v>7</v>
      </c>
      <c r="O246" s="186"/>
    </row>
    <row r="247" spans="1:19" x14ac:dyDescent="0.25">
      <c r="A247" s="120"/>
      <c r="B247" s="116" t="s">
        <v>193</v>
      </c>
      <c r="C247" s="115" t="s">
        <v>170</v>
      </c>
      <c r="D247" s="116" t="s">
        <v>193</v>
      </c>
      <c r="E247" s="115" t="s">
        <v>170</v>
      </c>
      <c r="F247" s="116" t="s">
        <v>193</v>
      </c>
      <c r="G247" s="115" t="s">
        <v>170</v>
      </c>
      <c r="H247" s="116" t="s">
        <v>193</v>
      </c>
      <c r="I247" s="115" t="s">
        <v>170</v>
      </c>
      <c r="J247" s="116" t="s">
        <v>193</v>
      </c>
      <c r="K247" s="115" t="s">
        <v>170</v>
      </c>
      <c r="L247" s="116" t="s">
        <v>193</v>
      </c>
      <c r="M247" s="115" t="s">
        <v>170</v>
      </c>
      <c r="N247" s="186" t="s">
        <v>7</v>
      </c>
      <c r="O247" s="186"/>
    </row>
    <row r="248" spans="1:19" s="127" customFormat="1" ht="18" customHeight="1" x14ac:dyDescent="0.25">
      <c r="A248" s="124" t="s">
        <v>194</v>
      </c>
      <c r="B248" s="151">
        <f>'Averages Pivot Table'!W$469</f>
        <v>77593.532616786164</v>
      </c>
      <c r="C248" s="151"/>
      <c r="D248" s="151">
        <f>'Averages Pivot Table'!W$473</f>
        <v>64734.742043507562</v>
      </c>
      <c r="E248" s="151"/>
      <c r="F248" s="151">
        <f>'Averages Pivot Table'!W$477</f>
        <v>55034.509527510156</v>
      </c>
      <c r="G248" s="151"/>
      <c r="H248" s="151">
        <f>'Averages Pivot Table'!W$481</f>
        <v>45769.888849730516</v>
      </c>
      <c r="I248" s="151"/>
      <c r="J248" s="151">
        <f>'Averages Pivot Table'!W$485</f>
        <v>46695.869781410838</v>
      </c>
      <c r="K248" s="151"/>
      <c r="L248" s="151">
        <f>'Averages Pivot Table'!W$493</f>
        <v>60168.183200053922</v>
      </c>
      <c r="M248" s="187"/>
      <c r="N248" s="199"/>
      <c r="O248" s="199"/>
      <c r="Q248" s="129"/>
      <c r="R248" s="129"/>
      <c r="S248" s="129"/>
    </row>
    <row r="249" spans="1:19" ht="12.95" customHeight="1" x14ac:dyDescent="0.25">
      <c r="A249" s="136"/>
      <c r="B249" s="131"/>
      <c r="C249" s="155"/>
      <c r="D249" s="131"/>
      <c r="E249" s="155"/>
      <c r="F249" s="131"/>
      <c r="G249" s="155"/>
      <c r="H249" s="131"/>
      <c r="I249" s="155"/>
      <c r="J249" s="131"/>
      <c r="K249" s="155"/>
      <c r="L249" s="131"/>
      <c r="M249" s="155"/>
      <c r="N249" s="131"/>
      <c r="O249" s="132"/>
    </row>
    <row r="250" spans="1:19" ht="12.95" customHeight="1" x14ac:dyDescent="0.25">
      <c r="A250" s="136" t="s">
        <v>195</v>
      </c>
      <c r="B250" s="189">
        <f>'Averages Pivot Table'!W$6</f>
        <v>76119.244444444441</v>
      </c>
      <c r="C250" s="138">
        <f>IF(B250&gt;0,RANK(B250,(B$250:B$268)),0)</f>
        <v>6</v>
      </c>
      <c r="D250" s="189">
        <f>'Averages Pivot Table'!W$10</f>
        <v>60582.5</v>
      </c>
      <c r="E250" s="138">
        <f>IF(D250&gt;0,RANK(D250,(D$250:D$268)),0)</f>
        <v>9</v>
      </c>
      <c r="F250" s="189">
        <f>'Averages Pivot Table'!W$14</f>
        <v>50140.038461538461</v>
      </c>
      <c r="G250" s="138">
        <f>IF(F250&gt;0,RANK(F250,(F$250:F$268)),0)</f>
        <v>9</v>
      </c>
      <c r="H250" s="189">
        <f>'Averages Pivot Table'!W$18</f>
        <v>41848.333333333336</v>
      </c>
      <c r="I250" s="138">
        <f>IF(H250&gt;0,RANK(H250,(H$250:H$268)),0)</f>
        <v>11</v>
      </c>
      <c r="J250" s="189">
        <f>'Averages Pivot Table'!W$22</f>
        <v>65533.348314606737</v>
      </c>
      <c r="K250" s="138">
        <f>IF(J250&gt;0,RANK(J250,(J$250:J$268)),0)</f>
        <v>1</v>
      </c>
      <c r="L250" s="189">
        <f>'Averages Pivot Table'!W$30</f>
        <v>57952.468923339497</v>
      </c>
      <c r="M250" s="138">
        <f>IF(L250&gt;0,RANK(L250,(L$250:L$268)),0)</f>
        <v>9</v>
      </c>
      <c r="N250" s="167"/>
      <c r="O250" s="186"/>
    </row>
    <row r="251" spans="1:19" ht="12.95" customHeight="1" x14ac:dyDescent="0.25">
      <c r="A251" s="136" t="s">
        <v>196</v>
      </c>
      <c r="B251" s="189">
        <f>'Averages Pivot Table'!W$35</f>
        <v>66987.046935483871</v>
      </c>
      <c r="C251" s="138">
        <f t="shared" ref="C251:E268" si="443">IF(B251&gt;0,RANK(B251,(B$250:B$268)),0)</f>
        <v>11</v>
      </c>
      <c r="D251" s="189">
        <f>'Averages Pivot Table'!W$39</f>
        <v>55616.633093525183</v>
      </c>
      <c r="E251" s="138">
        <f t="shared" si="443"/>
        <v>11</v>
      </c>
      <c r="F251" s="189">
        <f>'Averages Pivot Table'!W$43</f>
        <v>47406.633802816912</v>
      </c>
      <c r="G251" s="138">
        <f t="shared" ref="G251" si="444">IF(F251&gt;0,RANK(F251,(F$250:F$268)),0)</f>
        <v>12</v>
      </c>
      <c r="H251" s="189">
        <f>'Averages Pivot Table'!W$47</f>
        <v>41398.181155234663</v>
      </c>
      <c r="I251" s="138">
        <f t="shared" ref="I251" si="445">IF(H251&gt;0,RANK(H251,(H$250:H$268)),0)</f>
        <v>12</v>
      </c>
      <c r="J251" s="189">
        <f>'Averages Pivot Table'!W$51</f>
        <v>35086.120434782613</v>
      </c>
      <c r="K251" s="138">
        <f t="shared" ref="K251" si="446">IF(J251&gt;0,RANK(J251,(J$250:J$268)),0)</f>
        <v>10</v>
      </c>
      <c r="L251" s="189">
        <f>'Averages Pivot Table'!W$59</f>
        <v>48256.985162154946</v>
      </c>
      <c r="M251" s="138">
        <f t="shared" ref="M251" si="447">IF(L251&gt;0,RANK(L251,(L$250:L$268)),0)</f>
        <v>12</v>
      </c>
      <c r="N251" s="167"/>
      <c r="O251" s="186"/>
    </row>
    <row r="252" spans="1:19" ht="12.95" customHeight="1" x14ac:dyDescent="0.25">
      <c r="A252" s="136" t="s">
        <v>197</v>
      </c>
      <c r="B252" s="189">
        <f>'Averages Pivot Table'!W$64</f>
        <v>0</v>
      </c>
      <c r="C252" s="138">
        <f t="shared" si="443"/>
        <v>0</v>
      </c>
      <c r="D252" s="189">
        <f>'Averages Pivot Table'!W$68</f>
        <v>0</v>
      </c>
      <c r="E252" s="138">
        <f t="shared" si="443"/>
        <v>0</v>
      </c>
      <c r="F252" s="189">
        <f>'Averages Pivot Table'!W$72</f>
        <v>0</v>
      </c>
      <c r="G252" s="138">
        <f t="shared" ref="G252" si="448">IF(F252&gt;0,RANK(F252,(F$250:F$268)),0)</f>
        <v>0</v>
      </c>
      <c r="H252" s="189">
        <f>'Averages Pivot Table'!W$76</f>
        <v>0</v>
      </c>
      <c r="I252" s="138">
        <f t="shared" ref="I252" si="449">IF(H252&gt;0,RANK(H252,(H$250:H$268)),0)</f>
        <v>0</v>
      </c>
      <c r="J252" s="189">
        <f>'Averages Pivot Table'!W$80</f>
        <v>0</v>
      </c>
      <c r="K252" s="138">
        <f t="shared" ref="K252" si="450">IF(J252&gt;0,RANK(J252,(J$250:J$268)),0)</f>
        <v>0</v>
      </c>
      <c r="L252" s="189">
        <f>'Averages Pivot Table'!W$88</f>
        <v>0</v>
      </c>
      <c r="M252" s="138">
        <f t="shared" ref="M252" si="451">IF(L252&gt;0,RANK(L252,(L$250:L$268)),0)</f>
        <v>0</v>
      </c>
      <c r="N252" s="167"/>
      <c r="O252" s="186"/>
    </row>
    <row r="253" spans="1:19" ht="12.95" customHeight="1" x14ac:dyDescent="0.25">
      <c r="A253" s="136" t="s">
        <v>198</v>
      </c>
      <c r="B253" s="189">
        <f>'Averages Pivot Table'!W$93</f>
        <v>0</v>
      </c>
      <c r="C253" s="138">
        <f t="shared" si="443"/>
        <v>0</v>
      </c>
      <c r="D253" s="189">
        <f>'Averages Pivot Table'!W$97</f>
        <v>0</v>
      </c>
      <c r="E253" s="138">
        <f t="shared" si="443"/>
        <v>0</v>
      </c>
      <c r="F253" s="189">
        <f>'Averages Pivot Table'!W$101</f>
        <v>0</v>
      </c>
      <c r="G253" s="138">
        <f t="shared" ref="G253" si="452">IF(F253&gt;0,RANK(F253,(F$250:F$268)),0)</f>
        <v>0</v>
      </c>
      <c r="H253" s="189">
        <f>'Averages Pivot Table'!W$105</f>
        <v>0</v>
      </c>
      <c r="I253" s="138">
        <f t="shared" ref="I253" si="453">IF(H253&gt;0,RANK(H253,(H$250:H$268)),0)</f>
        <v>0</v>
      </c>
      <c r="J253" s="189">
        <f>'Averages Pivot Table'!W$109</f>
        <v>0</v>
      </c>
      <c r="K253" s="138">
        <f t="shared" ref="K253" si="454">IF(J253&gt;0,RANK(J253,(J$250:J$268)),0)</f>
        <v>0</v>
      </c>
      <c r="L253" s="189">
        <f>'Averages Pivot Table'!W$117</f>
        <v>0</v>
      </c>
      <c r="M253" s="138">
        <f t="shared" ref="M253" si="455">IF(L253&gt;0,RANK(L253,(L$250:L$268)),0)</f>
        <v>0</v>
      </c>
      <c r="N253" s="167"/>
      <c r="O253" s="186"/>
    </row>
    <row r="254" spans="1:19" ht="12.95" customHeight="1" x14ac:dyDescent="0.25">
      <c r="A254" s="136"/>
      <c r="B254" s="189"/>
      <c r="C254" s="138"/>
      <c r="D254" s="189"/>
      <c r="E254" s="138"/>
      <c r="F254" s="189"/>
      <c r="G254" s="138"/>
      <c r="H254" s="189"/>
      <c r="I254" s="138"/>
      <c r="J254" s="189"/>
      <c r="K254" s="138"/>
      <c r="L254" s="189"/>
      <c r="M254" s="138"/>
      <c r="N254" s="167"/>
      <c r="O254" s="186"/>
    </row>
    <row r="255" spans="1:19" ht="12.95" customHeight="1" x14ac:dyDescent="0.25">
      <c r="A255" s="136" t="s">
        <v>199</v>
      </c>
      <c r="B255" s="189">
        <f>'Averages Pivot Table'!W$122</f>
        <v>75491.552819303615</v>
      </c>
      <c r="C255" s="138">
        <f t="shared" si="443"/>
        <v>8</v>
      </c>
      <c r="D255" s="189">
        <f>'Averages Pivot Table'!W$126</f>
        <v>61858.043157844499</v>
      </c>
      <c r="E255" s="138">
        <f t="shared" si="443"/>
        <v>8</v>
      </c>
      <c r="F255" s="189">
        <f>'Averages Pivot Table'!W$130</f>
        <v>52651.578756244926</v>
      </c>
      <c r="G255" s="138">
        <f t="shared" ref="G255" si="456">IF(F255&gt;0,RANK(F255,(F$250:F$268)),0)</f>
        <v>8</v>
      </c>
      <c r="H255" s="189">
        <f>'Averages Pivot Table'!W$134</f>
        <v>43406.549004723347</v>
      </c>
      <c r="I255" s="138">
        <f t="shared" ref="I255" si="457">IF(H255&gt;0,RANK(H255,(H$250:H$268)),0)</f>
        <v>8</v>
      </c>
      <c r="J255" s="189">
        <f>'Averages Pivot Table'!W$138</f>
        <v>46386.571106941839</v>
      </c>
      <c r="K255" s="138">
        <f t="shared" ref="K255" si="458">IF(J255&gt;0,RANK(J255,(J$250:J$268)),0)</f>
        <v>6</v>
      </c>
      <c r="L255" s="189">
        <f>'Averages Pivot Table'!W$146</f>
        <v>58005.389975381368</v>
      </c>
      <c r="M255" s="138">
        <f t="shared" ref="M255" si="459">IF(L255&gt;0,RANK(L255,(L$250:L$268)),0)</f>
        <v>8</v>
      </c>
      <c r="N255" s="167"/>
      <c r="O255" s="186"/>
    </row>
    <row r="256" spans="1:19" ht="12.95" customHeight="1" x14ac:dyDescent="0.25">
      <c r="A256" s="136" t="s">
        <v>200</v>
      </c>
      <c r="B256" s="189">
        <f>'Averages Pivot Table'!W$151</f>
        <v>0</v>
      </c>
      <c r="C256" s="138">
        <f t="shared" si="443"/>
        <v>0</v>
      </c>
      <c r="D256" s="189">
        <f>'Averages Pivot Table'!W$155</f>
        <v>0</v>
      </c>
      <c r="E256" s="138">
        <f t="shared" si="443"/>
        <v>0</v>
      </c>
      <c r="F256" s="189">
        <f>'Averages Pivot Table'!W$159</f>
        <v>0</v>
      </c>
      <c r="G256" s="138">
        <f t="shared" ref="G256" si="460">IF(F256&gt;0,RANK(F256,(F$250:F$268)),0)</f>
        <v>0</v>
      </c>
      <c r="H256" s="189">
        <f>'Averages Pivot Table'!W$163</f>
        <v>0</v>
      </c>
      <c r="I256" s="138">
        <f t="shared" ref="I256" si="461">IF(H256&gt;0,RANK(H256,(H$250:H$268)),0)</f>
        <v>0</v>
      </c>
      <c r="J256" s="189">
        <f>'Averages Pivot Table'!W$167</f>
        <v>0</v>
      </c>
      <c r="K256" s="138">
        <f t="shared" ref="K256" si="462">IF(J256&gt;0,RANK(J256,(J$250:J$268)),0)</f>
        <v>0</v>
      </c>
      <c r="L256" s="189">
        <f>'Averages Pivot Table'!W$175</f>
        <v>0</v>
      </c>
      <c r="M256" s="138">
        <f t="shared" ref="M256" si="463">IF(L256&gt;0,RANK(L256,(L$250:L$268)),0)</f>
        <v>0</v>
      </c>
      <c r="N256" s="167"/>
      <c r="O256" s="186"/>
    </row>
    <row r="257" spans="1:15" s="109" customFormat="1" x14ac:dyDescent="0.25">
      <c r="A257" s="136" t="s">
        <v>201</v>
      </c>
      <c r="B257" s="189">
        <f>'Averages Pivot Table'!W$180</f>
        <v>0</v>
      </c>
      <c r="C257" s="138">
        <f t="shared" si="443"/>
        <v>0</v>
      </c>
      <c r="D257" s="189">
        <f>'Averages Pivot Table'!W$184</f>
        <v>0</v>
      </c>
      <c r="E257" s="138">
        <f t="shared" si="443"/>
        <v>0</v>
      </c>
      <c r="F257" s="189">
        <f>'Averages Pivot Table'!W$188</f>
        <v>0</v>
      </c>
      <c r="G257" s="138">
        <f t="shared" ref="G257" si="464">IF(F257&gt;0,RANK(F257,(F$250:F$268)),0)</f>
        <v>0</v>
      </c>
      <c r="H257" s="189">
        <f>'Averages Pivot Table'!W$192</f>
        <v>0</v>
      </c>
      <c r="I257" s="138">
        <f t="shared" ref="I257" si="465">IF(H257&gt;0,RANK(H257,(H$250:H$268)),0)</f>
        <v>0</v>
      </c>
      <c r="J257" s="189">
        <f>'Averages Pivot Table'!W$196</f>
        <v>0</v>
      </c>
      <c r="K257" s="138">
        <f t="shared" ref="K257" si="466">IF(J257&gt;0,RANK(J257,(J$250:J$268)),0)</f>
        <v>0</v>
      </c>
      <c r="L257" s="189">
        <f>'Averages Pivot Table'!W$204</f>
        <v>0</v>
      </c>
      <c r="M257" s="138">
        <f t="shared" ref="M257" si="467">IF(L257&gt;0,RANK(L257,(L$250:L$268)),0)</f>
        <v>0</v>
      </c>
      <c r="N257" s="167"/>
      <c r="O257" s="186"/>
    </row>
    <row r="258" spans="1:15" s="109" customFormat="1" x14ac:dyDescent="0.25">
      <c r="A258" s="136" t="s">
        <v>202</v>
      </c>
      <c r="B258" s="189">
        <f>'Averages Pivot Table'!W$209</f>
        <v>87581.29897402598</v>
      </c>
      <c r="C258" s="138">
        <f t="shared" si="443"/>
        <v>1</v>
      </c>
      <c r="D258" s="189">
        <f>'Averages Pivot Table'!W$213</f>
        <v>67493.220581497793</v>
      </c>
      <c r="E258" s="138">
        <f t="shared" si="443"/>
        <v>3</v>
      </c>
      <c r="F258" s="189">
        <f>'Averages Pivot Table'!W$217</f>
        <v>60695.697841610738</v>
      </c>
      <c r="G258" s="138">
        <f t="shared" ref="G258" si="468">IF(F258&gt;0,RANK(F258,(F$250:F$268)),0)</f>
        <v>2</v>
      </c>
      <c r="H258" s="189">
        <f>'Averages Pivot Table'!W$221</f>
        <v>50024.793103448268</v>
      </c>
      <c r="I258" s="138">
        <f t="shared" ref="I258" si="469">IF(H258&gt;0,RANK(H258,(H$250:H$268)),0)</f>
        <v>4</v>
      </c>
      <c r="J258" s="189">
        <f>'Averages Pivot Table'!W$225</f>
        <v>42501.055999999997</v>
      </c>
      <c r="K258" s="138">
        <f t="shared" ref="K258" si="470">IF(J258&gt;0,RANK(J258,(J$250:J$268)),0)</f>
        <v>8</v>
      </c>
      <c r="L258" s="189">
        <f>'Averages Pivot Table'!W$233</f>
        <v>63870.446719532294</v>
      </c>
      <c r="M258" s="138">
        <f t="shared" ref="M258" si="471">IF(L258&gt;0,RANK(L258,(L$250:L$268)),0)</f>
        <v>4</v>
      </c>
      <c r="N258" s="167"/>
      <c r="O258" s="186"/>
    </row>
    <row r="259" spans="1:15" s="109" customFormat="1" x14ac:dyDescent="0.25">
      <c r="A259" s="136"/>
      <c r="B259" s="189"/>
      <c r="C259" s="138"/>
      <c r="D259" s="189"/>
      <c r="E259" s="138"/>
      <c r="F259" s="189"/>
      <c r="G259" s="138"/>
      <c r="H259" s="189"/>
      <c r="I259" s="138"/>
      <c r="J259" s="189"/>
      <c r="K259" s="138"/>
      <c r="L259" s="189"/>
      <c r="M259" s="138"/>
      <c r="N259" s="167"/>
      <c r="O259" s="186"/>
    </row>
    <row r="260" spans="1:15" s="109" customFormat="1" x14ac:dyDescent="0.25">
      <c r="A260" s="136" t="s">
        <v>203</v>
      </c>
      <c r="B260" s="189">
        <f>'Averages Pivot Table'!W$238</f>
        <v>56370.1875</v>
      </c>
      <c r="C260" s="138">
        <f t="shared" si="443"/>
        <v>12</v>
      </c>
      <c r="D260" s="189">
        <f>'Averages Pivot Table'!W$242</f>
        <v>47801.066985645928</v>
      </c>
      <c r="E260" s="138">
        <f t="shared" si="443"/>
        <v>12</v>
      </c>
      <c r="F260" s="189">
        <f>'Averages Pivot Table'!W$246</f>
        <v>48464.621052631577</v>
      </c>
      <c r="G260" s="138">
        <f t="shared" ref="G260" si="472">IF(F260&gt;0,RANK(F260,(F$250:F$268)),0)</f>
        <v>11</v>
      </c>
      <c r="H260" s="189">
        <f>'Averages Pivot Table'!W$250</f>
        <v>47802.938613861392</v>
      </c>
      <c r="I260" s="138">
        <f t="shared" ref="I260" si="473">IF(H260&gt;0,RANK(H260,(H$250:H$268)),0)</f>
        <v>6</v>
      </c>
      <c r="J260" s="189">
        <f>'Averages Pivot Table'!W$254</f>
        <v>0</v>
      </c>
      <c r="K260" s="138">
        <f t="shared" ref="K260" si="474">IF(J260&gt;0,RANK(J260,(J$250:J$268)),0)</f>
        <v>0</v>
      </c>
      <c r="L260" s="189">
        <f>'Averages Pivot Table'!W$262</f>
        <v>49828.388064496998</v>
      </c>
      <c r="M260" s="138">
        <f t="shared" ref="M260" si="475">IF(L260&gt;0,RANK(L260,(L$250:L$268)),0)</f>
        <v>11</v>
      </c>
      <c r="N260" s="167"/>
      <c r="O260" s="186"/>
    </row>
    <row r="261" spans="1:15" s="109" customFormat="1" x14ac:dyDescent="0.25">
      <c r="A261" s="136" t="s">
        <v>204</v>
      </c>
      <c r="B261" s="189">
        <f>'Averages Pivot Table'!W$267</f>
        <v>84071.066549847237</v>
      </c>
      <c r="C261" s="138">
        <f t="shared" si="443"/>
        <v>4</v>
      </c>
      <c r="D261" s="189">
        <f>'Averages Pivot Table'!W$271</f>
        <v>71664.573191489355</v>
      </c>
      <c r="E261" s="138">
        <f t="shared" si="443"/>
        <v>1</v>
      </c>
      <c r="F261" s="189">
        <f>'Averages Pivot Table'!W$275</f>
        <v>62492.448996180683</v>
      </c>
      <c r="G261" s="138">
        <f t="shared" ref="G261" si="476">IF(F261&gt;0,RANK(F261,(F$250:F$268)),0)</f>
        <v>1</v>
      </c>
      <c r="H261" s="189">
        <f>'Averages Pivot Table'!W$279</f>
        <v>58552.566037735851</v>
      </c>
      <c r="I261" s="138">
        <f t="shared" ref="I261" si="477">IF(H261&gt;0,RANK(H261,(H$250:H$268)),0)</f>
        <v>2</v>
      </c>
      <c r="J261" s="189">
        <f>'Averages Pivot Table'!W$283</f>
        <v>49823.250518321365</v>
      </c>
      <c r="K261" s="138">
        <f t="shared" ref="K261" si="478">IF(J261&gt;0,RANK(J261,(J$250:J$268)),0)</f>
        <v>4</v>
      </c>
      <c r="L261" s="189">
        <f>'Averages Pivot Table'!W$291</f>
        <v>65852.890747920144</v>
      </c>
      <c r="M261" s="138">
        <f t="shared" ref="M261" si="479">IF(L261&gt;0,RANK(L261,(L$250:L$268)),0)</f>
        <v>2</v>
      </c>
      <c r="N261" s="167"/>
      <c r="O261" s="186"/>
    </row>
    <row r="262" spans="1:15" s="109" customFormat="1" x14ac:dyDescent="0.25">
      <c r="A262" s="136" t="s">
        <v>205</v>
      </c>
      <c r="B262" s="189">
        <f>'Averages Pivot Table'!W$296</f>
        <v>70290.424206259893</v>
      </c>
      <c r="C262" s="138">
        <f t="shared" si="443"/>
        <v>10</v>
      </c>
      <c r="D262" s="189">
        <f>'Averages Pivot Table'!W$300</f>
        <v>59859.988219354047</v>
      </c>
      <c r="E262" s="138">
        <f t="shared" si="443"/>
        <v>10</v>
      </c>
      <c r="F262" s="189">
        <f>'Averages Pivot Table'!W$304</f>
        <v>50097.01620824077</v>
      </c>
      <c r="G262" s="138">
        <f t="shared" ref="G262" si="480">IF(F262&gt;0,RANK(F262,(F$250:F$268)),0)</f>
        <v>10</v>
      </c>
      <c r="H262" s="189">
        <f>'Averages Pivot Table'!W$308</f>
        <v>42847.84486504567</v>
      </c>
      <c r="I262" s="138">
        <f t="shared" ref="I262" si="481">IF(H262&gt;0,RANK(H262,(H$250:H$268)),0)</f>
        <v>10</v>
      </c>
      <c r="J262" s="189">
        <f>'Averages Pivot Table'!W$312</f>
        <v>0</v>
      </c>
      <c r="K262" s="138">
        <f t="shared" ref="K262" si="482">IF(J262&gt;0,RANK(J262,(J$250:J$268)),0)</f>
        <v>0</v>
      </c>
      <c r="L262" s="189">
        <f>'Averages Pivot Table'!W$320</f>
        <v>53562.25958864273</v>
      </c>
      <c r="M262" s="138">
        <f t="shared" ref="M262" si="483">IF(L262&gt;0,RANK(L262,(L$250:L$268)),0)</f>
        <v>10</v>
      </c>
      <c r="N262" s="167"/>
      <c r="O262" s="186"/>
    </row>
    <row r="263" spans="1:15" s="109" customFormat="1" x14ac:dyDescent="0.25">
      <c r="A263" s="136" t="s">
        <v>206</v>
      </c>
      <c r="B263" s="189">
        <f>'Averages Pivot Table'!W$325</f>
        <v>78826.446278139192</v>
      </c>
      <c r="C263" s="138">
        <f t="shared" si="443"/>
        <v>5</v>
      </c>
      <c r="D263" s="189">
        <f>'Averages Pivot Table'!W$329</f>
        <v>66204.38823766516</v>
      </c>
      <c r="E263" s="138">
        <f t="shared" si="443"/>
        <v>5</v>
      </c>
      <c r="F263" s="189">
        <f>'Averages Pivot Table'!W$333</f>
        <v>56309.419520625823</v>
      </c>
      <c r="G263" s="138">
        <f t="shared" ref="G263" si="484">IF(F263&gt;0,RANK(F263,(F$250:F$268)),0)</f>
        <v>5</v>
      </c>
      <c r="H263" s="189">
        <f>'Averages Pivot Table'!W$337</f>
        <v>46122.248715616865</v>
      </c>
      <c r="I263" s="138">
        <f t="shared" ref="I263" si="485">IF(H263&gt;0,RANK(H263,(H$250:H$268)),0)</f>
        <v>7</v>
      </c>
      <c r="J263" s="189">
        <f>'Averages Pivot Table'!W$341</f>
        <v>41316.111557059958</v>
      </c>
      <c r="K263" s="138">
        <f t="shared" ref="K263" si="486">IF(J263&gt;0,RANK(J263,(J$250:J$268)),0)</f>
        <v>9</v>
      </c>
      <c r="L263" s="189">
        <f>'Averages Pivot Table'!W$349</f>
        <v>61329.832161170234</v>
      </c>
      <c r="M263" s="138">
        <f t="shared" ref="M263" si="487">IF(L263&gt;0,RANK(L263,(L$250:L$268)),0)</f>
        <v>6</v>
      </c>
      <c r="N263" s="167"/>
      <c r="O263" s="186"/>
    </row>
    <row r="264" spans="1:15" s="109" customFormat="1" x14ac:dyDescent="0.25">
      <c r="A264" s="136"/>
      <c r="B264" s="189"/>
      <c r="C264" s="138"/>
      <c r="D264" s="189"/>
      <c r="E264" s="138"/>
      <c r="F264" s="189"/>
      <c r="G264" s="138"/>
      <c r="H264" s="189"/>
      <c r="I264" s="138"/>
      <c r="J264" s="189"/>
      <c r="K264" s="138"/>
      <c r="L264" s="189"/>
      <c r="M264" s="138"/>
      <c r="N264" s="167"/>
      <c r="O264" s="186"/>
    </row>
    <row r="265" spans="1:15" s="109" customFormat="1" x14ac:dyDescent="0.25">
      <c r="A265" s="136" t="s">
        <v>207</v>
      </c>
      <c r="B265" s="191">
        <f>'Averages Pivot Table'!W$354</f>
        <v>74884.713091922007</v>
      </c>
      <c r="C265" s="138">
        <f t="shared" si="443"/>
        <v>9</v>
      </c>
      <c r="D265" s="191">
        <f>'Averages Pivot Table'!W$358</f>
        <v>62626.438566552904</v>
      </c>
      <c r="E265" s="138">
        <f t="shared" si="443"/>
        <v>7</v>
      </c>
      <c r="F265" s="191">
        <f>'Averages Pivot Table'!W$362</f>
        <v>54181.317991631804</v>
      </c>
      <c r="G265" s="138">
        <f t="shared" ref="G265" si="488">IF(F265&gt;0,RANK(F265,(F$250:F$268)),0)</f>
        <v>6</v>
      </c>
      <c r="H265" s="191">
        <f>'Averages Pivot Table'!W$366</f>
        <v>48002.186440677964</v>
      </c>
      <c r="I265" s="138">
        <f t="shared" ref="I265" si="489">IF(H265&gt;0,RANK(H265,(H$250:H$268)),0)</f>
        <v>5</v>
      </c>
      <c r="J265" s="191">
        <f>'Averages Pivot Table'!W$370</f>
        <v>43116.26470588235</v>
      </c>
      <c r="K265" s="138">
        <f t="shared" ref="K265" si="490">IF(J265&gt;0,RANK(J265,(J$250:J$268)),0)</f>
        <v>7</v>
      </c>
      <c r="L265" s="191">
        <f>'Averages Pivot Table'!W$378</f>
        <v>60138.415172636953</v>
      </c>
      <c r="M265" s="138">
        <f t="shared" ref="M265" si="491">IF(L265&gt;0,RANK(L265,(L$250:L$268)),0)</f>
        <v>7</v>
      </c>
      <c r="N265" s="167"/>
      <c r="O265" s="186"/>
    </row>
    <row r="266" spans="1:15" s="109" customFormat="1" x14ac:dyDescent="0.25">
      <c r="A266" s="136" t="s">
        <v>208</v>
      </c>
      <c r="B266" s="191">
        <f>'Averages Pivot Table'!W$383</f>
        <v>86638.95703125</v>
      </c>
      <c r="C266" s="138">
        <f t="shared" si="443"/>
        <v>2</v>
      </c>
      <c r="D266" s="191">
        <f>'Averages Pivot Table'!W$387</f>
        <v>68784.906315789471</v>
      </c>
      <c r="E266" s="138">
        <f t="shared" si="443"/>
        <v>2</v>
      </c>
      <c r="F266" s="191">
        <f>'Averages Pivot Table'!W$391</f>
        <v>57194.197674418603</v>
      </c>
      <c r="G266" s="138">
        <f t="shared" ref="G266" si="492">IF(F266&gt;0,RANK(F266,(F$250:F$268)),0)</f>
        <v>4</v>
      </c>
      <c r="H266" s="191">
        <f>'Averages Pivot Table'!W$395</f>
        <v>62000</v>
      </c>
      <c r="I266" s="138">
        <f t="shared" ref="I266" si="493">IF(H266&gt;0,RANK(H266,(H$250:H$268)),0)</f>
        <v>1</v>
      </c>
      <c r="J266" s="191">
        <f>'Averages Pivot Table'!W$399</f>
        <v>48213.016304347824</v>
      </c>
      <c r="K266" s="138">
        <f t="shared" ref="K266" si="494">IF(J266&gt;0,RANK(J266,(J$250:J$268)),0)</f>
        <v>5</v>
      </c>
      <c r="L266" s="191">
        <f>'Averages Pivot Table'!W$407</f>
        <v>64734.284235770152</v>
      </c>
      <c r="M266" s="138">
        <f t="shared" ref="M266" si="495">IF(L266&gt;0,RANK(L266,(L$250:L$268)),0)</f>
        <v>3</v>
      </c>
      <c r="N266" s="167"/>
      <c r="O266" s="186"/>
    </row>
    <row r="267" spans="1:15" s="109" customFormat="1" x14ac:dyDescent="0.25">
      <c r="A267" s="136" t="s">
        <v>209</v>
      </c>
      <c r="B267" s="191">
        <f>'Averages Pivot Table'!W$412</f>
        <v>86218.996356823161</v>
      </c>
      <c r="C267" s="138">
        <f t="shared" si="443"/>
        <v>3</v>
      </c>
      <c r="D267" s="191">
        <f>'Averages Pivot Table'!W$416</f>
        <v>67176.629243414311</v>
      </c>
      <c r="E267" s="138">
        <f t="shared" si="443"/>
        <v>4</v>
      </c>
      <c r="F267" s="191">
        <f>'Averages Pivot Table'!W$420</f>
        <v>57209.291178842112</v>
      </c>
      <c r="G267" s="138">
        <f t="shared" ref="G267" si="496">IF(F267&gt;0,RANK(F267,(F$250:F$268)),0)</f>
        <v>3</v>
      </c>
      <c r="H267" s="191">
        <f>'Averages Pivot Table'!W$424</f>
        <v>50086.907335907337</v>
      </c>
      <c r="I267" s="138">
        <f t="shared" ref="I267" si="497">IF(H267&gt;0,RANK(H267,(H$250:H$268)),0)</f>
        <v>3</v>
      </c>
      <c r="J267" s="191">
        <f>'Averages Pivot Table'!W$428</f>
        <v>54353.981481481482</v>
      </c>
      <c r="K267" s="138">
        <f t="shared" ref="K267" si="498">IF(J267&gt;0,RANK(J267,(J$250:J$268)),0)</f>
        <v>2</v>
      </c>
      <c r="L267" s="191">
        <f>'Averages Pivot Table'!W$436</f>
        <v>66642.148977137389</v>
      </c>
      <c r="M267" s="138">
        <f t="shared" ref="M267" si="499">IF(L267&gt;0,RANK(L267,(L$250:L$268)),0)</f>
        <v>1</v>
      </c>
      <c r="N267" s="167"/>
      <c r="O267" s="167"/>
    </row>
    <row r="268" spans="1:15" s="109" customFormat="1" x14ac:dyDescent="0.25">
      <c r="A268" s="161" t="s">
        <v>210</v>
      </c>
      <c r="B268" s="192">
        <f>'Averages Pivot Table'!W$441</f>
        <v>75935.281979211504</v>
      </c>
      <c r="C268" s="141">
        <f t="shared" si="443"/>
        <v>7</v>
      </c>
      <c r="D268" s="192">
        <f>'Averages Pivot Table'!W$445</f>
        <v>63745.578474311616</v>
      </c>
      <c r="E268" s="141">
        <f t="shared" si="443"/>
        <v>6</v>
      </c>
      <c r="F268" s="192">
        <f>'Averages Pivot Table'!W$449</f>
        <v>53085.4684202153</v>
      </c>
      <c r="G268" s="141">
        <f t="shared" ref="G268" si="500">IF(F268&gt;0,RANK(F268,(F$250:F$268)),0)</f>
        <v>7</v>
      </c>
      <c r="H268" s="192">
        <f>'Averages Pivot Table'!W$453</f>
        <v>43051.77551020409</v>
      </c>
      <c r="I268" s="141">
        <f t="shared" ref="I268" si="501">IF(H268&gt;0,RANK(H268,(H$250:H$268)),0)</f>
        <v>9</v>
      </c>
      <c r="J268" s="192">
        <f>'Averages Pivot Table'!W$457</f>
        <v>52073.482177033497</v>
      </c>
      <c r="K268" s="141">
        <f t="shared" ref="K268" si="502">IF(J268&gt;0,RANK(J268,(J$250:J$268)),0)</f>
        <v>3</v>
      </c>
      <c r="L268" s="192">
        <f>'Averages Pivot Table'!W$465</f>
        <v>61729.74322779951</v>
      </c>
      <c r="M268" s="141">
        <f t="shared" ref="M268" si="503">IF(L268&gt;0,RANK(L268,(L$250:L$268)),0)</f>
        <v>5</v>
      </c>
      <c r="N268" s="167"/>
      <c r="O268" s="167"/>
    </row>
    <row r="269" spans="1:15" s="109" customFormat="1" ht="27.75" customHeight="1" x14ac:dyDescent="0.25">
      <c r="A269" s="716" t="s">
        <v>187</v>
      </c>
      <c r="B269" s="722"/>
      <c r="C269" s="722"/>
      <c r="D269" s="722"/>
      <c r="E269" s="722"/>
      <c r="F269" s="722"/>
      <c r="G269" s="722"/>
      <c r="H269" s="722"/>
      <c r="I269" s="722"/>
      <c r="J269" s="722"/>
      <c r="K269" s="722"/>
      <c r="L269" s="722"/>
      <c r="M269" s="722"/>
      <c r="N269" s="136"/>
      <c r="O269" s="136"/>
    </row>
    <row r="270" spans="1:15" s="109" customFormat="1" x14ac:dyDescent="0.25">
      <c r="M270" s="102" t="s">
        <v>1124</v>
      </c>
      <c r="O270" s="193"/>
    </row>
    <row r="271" spans="1:15" s="109" customFormat="1" ht="18" x14ac:dyDescent="0.25">
      <c r="A271" s="82" t="s">
        <v>232</v>
      </c>
      <c r="B271" s="82"/>
      <c r="C271" s="82"/>
      <c r="D271" s="82"/>
      <c r="E271" s="82"/>
      <c r="F271" s="82"/>
      <c r="G271" s="82"/>
      <c r="H271" s="82"/>
      <c r="I271" s="82"/>
      <c r="J271" s="82"/>
      <c r="K271" s="82"/>
      <c r="L271" s="82"/>
      <c r="M271" s="82"/>
      <c r="N271" s="179"/>
      <c r="O271" s="179"/>
    </row>
    <row r="272" spans="1:15" s="109" customFormat="1" x14ac:dyDescent="0.25">
      <c r="A272" s="180"/>
      <c r="B272" s="87"/>
      <c r="C272" s="87"/>
      <c r="D272" s="87"/>
      <c r="E272" s="87"/>
      <c r="F272" s="87"/>
      <c r="G272" s="87"/>
      <c r="H272" s="87"/>
      <c r="I272" s="87"/>
      <c r="J272" s="87"/>
      <c r="K272" s="87"/>
      <c r="L272" s="87"/>
      <c r="M272" s="87"/>
      <c r="N272" s="87"/>
      <c r="O272" s="87"/>
    </row>
    <row r="273" spans="1:19" x14ac:dyDescent="0.25">
      <c r="A273" s="707" t="s">
        <v>218</v>
      </c>
      <c r="B273" s="707"/>
      <c r="C273" s="707"/>
      <c r="D273" s="707"/>
      <c r="E273" s="707"/>
      <c r="F273" s="707"/>
      <c r="G273" s="707"/>
      <c r="H273" s="707"/>
      <c r="I273" s="707"/>
      <c r="J273" s="707"/>
      <c r="K273" s="707"/>
      <c r="L273" s="707"/>
      <c r="M273" s="707"/>
      <c r="N273" s="181"/>
      <c r="O273" s="181"/>
    </row>
    <row r="274" spans="1:19" x14ac:dyDescent="0.25">
      <c r="A274" s="707" t="s">
        <v>233</v>
      </c>
      <c r="B274" s="707"/>
      <c r="C274" s="707"/>
      <c r="D274" s="707"/>
      <c r="E274" s="707"/>
      <c r="F274" s="707"/>
      <c r="G274" s="707"/>
      <c r="H274" s="707"/>
      <c r="I274" s="707"/>
      <c r="J274" s="707"/>
      <c r="K274" s="707"/>
      <c r="L274" s="707"/>
      <c r="M274" s="707"/>
      <c r="N274" s="181"/>
      <c r="O274" s="181"/>
    </row>
    <row r="275" spans="1:19" x14ac:dyDescent="0.25">
      <c r="A275" s="136"/>
      <c r="B275" s="136"/>
      <c r="C275" s="136"/>
      <c r="D275" s="136"/>
      <c r="E275" s="136"/>
      <c r="F275" s="136"/>
      <c r="G275" s="136"/>
      <c r="H275" s="136"/>
      <c r="I275" s="136"/>
      <c r="J275" s="136"/>
      <c r="K275" s="136"/>
      <c r="L275" s="136"/>
      <c r="M275" s="136"/>
      <c r="N275" s="136"/>
      <c r="O275" s="136"/>
    </row>
    <row r="276" spans="1:19" ht="36" customHeight="1" x14ac:dyDescent="0.25">
      <c r="A276" s="114"/>
      <c r="B276" s="182" t="s">
        <v>3</v>
      </c>
      <c r="C276" s="183"/>
      <c r="D276" s="184" t="s">
        <v>4</v>
      </c>
      <c r="E276" s="185"/>
      <c r="F276" s="184" t="s">
        <v>5</v>
      </c>
      <c r="G276" s="185"/>
      <c r="H276" s="182" t="s">
        <v>6</v>
      </c>
      <c r="I276" s="183"/>
      <c r="J276" s="184" t="s">
        <v>219</v>
      </c>
      <c r="K276" s="185"/>
      <c r="L276" s="183" t="s">
        <v>220</v>
      </c>
      <c r="M276" s="183"/>
      <c r="N276" s="186" t="s">
        <v>7</v>
      </c>
      <c r="O276" s="186"/>
    </row>
    <row r="277" spans="1:19" x14ac:dyDescent="0.25">
      <c r="A277" s="120"/>
      <c r="B277" s="116" t="s">
        <v>193</v>
      </c>
      <c r="C277" s="115" t="s">
        <v>170</v>
      </c>
      <c r="D277" s="116" t="s">
        <v>193</v>
      </c>
      <c r="E277" s="115" t="s">
        <v>170</v>
      </c>
      <c r="F277" s="116" t="s">
        <v>193</v>
      </c>
      <c r="G277" s="115" t="s">
        <v>170</v>
      </c>
      <c r="H277" s="116" t="s">
        <v>193</v>
      </c>
      <c r="I277" s="115" t="s">
        <v>170</v>
      </c>
      <c r="J277" s="116" t="s">
        <v>193</v>
      </c>
      <c r="K277" s="115" t="s">
        <v>170</v>
      </c>
      <c r="L277" s="116" t="s">
        <v>193</v>
      </c>
      <c r="M277" s="115" t="s">
        <v>170</v>
      </c>
      <c r="N277" s="186" t="s">
        <v>7</v>
      </c>
      <c r="O277" s="186"/>
    </row>
    <row r="278" spans="1:19" s="127" customFormat="1" ht="18" customHeight="1" x14ac:dyDescent="0.25">
      <c r="A278" s="124" t="s">
        <v>194</v>
      </c>
      <c r="B278" s="151">
        <f>'Averages Pivot Table'!X$469</f>
        <v>76627.95892158596</v>
      </c>
      <c r="C278" s="151"/>
      <c r="D278" s="151">
        <f>'Averages Pivot Table'!X$473</f>
        <v>61666.404368916505</v>
      </c>
      <c r="E278" s="151"/>
      <c r="F278" s="151">
        <f>'Averages Pivot Table'!X$477</f>
        <v>54377.654779967233</v>
      </c>
      <c r="G278" s="151"/>
      <c r="H278" s="151">
        <f>'Averages Pivot Table'!X$481</f>
        <v>43238.089761200325</v>
      </c>
      <c r="I278" s="151"/>
      <c r="J278" s="151">
        <f>'Averages Pivot Table'!X$485</f>
        <v>46031.017321379484</v>
      </c>
      <c r="K278" s="151"/>
      <c r="L278" s="151">
        <f>'Averages Pivot Table'!X$493</f>
        <v>58231.346350032269</v>
      </c>
      <c r="M278" s="187"/>
      <c r="N278" s="199"/>
      <c r="O278" s="199"/>
      <c r="Q278" s="129"/>
      <c r="R278" s="129"/>
      <c r="S278" s="129"/>
    </row>
    <row r="279" spans="1:19" ht="12.95" customHeight="1" x14ac:dyDescent="0.25">
      <c r="A279" s="136"/>
      <c r="B279" s="131"/>
      <c r="C279" s="155"/>
      <c r="D279" s="131"/>
      <c r="E279" s="155"/>
      <c r="F279" s="131"/>
      <c r="G279" s="155"/>
      <c r="H279" s="131"/>
      <c r="I279" s="155"/>
      <c r="J279" s="131"/>
      <c r="K279" s="155"/>
      <c r="L279" s="131"/>
      <c r="M279" s="155"/>
      <c r="N279" s="131"/>
      <c r="O279" s="132"/>
    </row>
    <row r="280" spans="1:19" ht="12.95" customHeight="1" x14ac:dyDescent="0.25">
      <c r="A280" s="136" t="s">
        <v>195</v>
      </c>
      <c r="B280" s="189">
        <f>'Averages Pivot Table'!X$6</f>
        <v>84699.670212765952</v>
      </c>
      <c r="C280" s="138">
        <f>IF(B280&gt;0,RANK(B280,(B$280:B$298)),0)</f>
        <v>4</v>
      </c>
      <c r="D280" s="189">
        <f>'Averages Pivot Table'!X$10</f>
        <v>73455.205479452052</v>
      </c>
      <c r="E280" s="138">
        <f>IF(D280&gt;0,RANK(D280,(D$280:D$298)),0)</f>
        <v>1</v>
      </c>
      <c r="F280" s="189">
        <f>'Averages Pivot Table'!X$14</f>
        <v>61347.484679665737</v>
      </c>
      <c r="G280" s="138">
        <f>IF(F280&gt;0,RANK(F280,(F$280:F$298)),0)</f>
        <v>3</v>
      </c>
      <c r="H280" s="189">
        <f>'Averages Pivot Table'!X$18</f>
        <v>44289</v>
      </c>
      <c r="I280" s="138">
        <f>IF(H280&gt;0,RANK(H280,(H$280:H$298)),0)</f>
        <v>4</v>
      </c>
      <c r="J280" s="189">
        <f>'Averages Pivot Table'!X$22</f>
        <v>0</v>
      </c>
      <c r="K280" s="138">
        <f>IF(J280&gt;0,RANK(J280,(J$280:J$298)),0)</f>
        <v>0</v>
      </c>
      <c r="L280" s="189">
        <f>'Averages Pivot Table'!X$30</f>
        <v>69516.259209290351</v>
      </c>
      <c r="M280" s="138">
        <f>IF(L280&gt;0,RANK(L280,(L$280:L$298)),0)</f>
        <v>2</v>
      </c>
      <c r="N280" s="167"/>
      <c r="O280" s="186"/>
    </row>
    <row r="281" spans="1:19" ht="12.95" customHeight="1" x14ac:dyDescent="0.25">
      <c r="A281" s="136" t="s">
        <v>196</v>
      </c>
      <c r="B281" s="189">
        <f>'Averages Pivot Table'!X$35</f>
        <v>68315.229359503399</v>
      </c>
      <c r="C281" s="138">
        <f t="shared" ref="C281:E298" si="504">IF(B281&gt;0,RANK(B281,(B$280:B$298)),0)</f>
        <v>10</v>
      </c>
      <c r="D281" s="189">
        <f>'Averages Pivot Table'!X$39</f>
        <v>65685.360872700971</v>
      </c>
      <c r="E281" s="138">
        <f t="shared" si="504"/>
        <v>5</v>
      </c>
      <c r="F281" s="189">
        <f>'Averages Pivot Table'!X$43</f>
        <v>52509.281383932161</v>
      </c>
      <c r="G281" s="138">
        <f t="shared" ref="G281" si="505">IF(F281&gt;0,RANK(F281,(F$280:F$298)),0)</f>
        <v>8</v>
      </c>
      <c r="H281" s="189">
        <f>'Averages Pivot Table'!X$47</f>
        <v>42237.95177795113</v>
      </c>
      <c r="I281" s="138">
        <f t="shared" ref="I281" si="506">IF(H281&gt;0,RANK(H281,(H$280:H$298)),0)</f>
        <v>8</v>
      </c>
      <c r="J281" s="189">
        <f>'Averages Pivot Table'!X$51</f>
        <v>43515.654939759035</v>
      </c>
      <c r="K281" s="138">
        <f t="shared" ref="K281" si="507">IF(J281&gt;0,RANK(J281,(J$280:J$298)),0)</f>
        <v>5</v>
      </c>
      <c r="L281" s="189">
        <f>'Averages Pivot Table'!X$59</f>
        <v>53605.874264025348</v>
      </c>
      <c r="M281" s="138">
        <f t="shared" ref="M281" si="508">IF(L281&gt;0,RANK(L281,(L$280:L$298)),0)</f>
        <v>10</v>
      </c>
      <c r="N281" s="167"/>
      <c r="O281" s="186"/>
    </row>
    <row r="282" spans="1:19" ht="12.95" customHeight="1" x14ac:dyDescent="0.25">
      <c r="A282" s="136" t="s">
        <v>197</v>
      </c>
      <c r="B282" s="189">
        <f>'Averages Pivot Table'!X$64</f>
        <v>0</v>
      </c>
      <c r="C282" s="138">
        <f t="shared" si="504"/>
        <v>0</v>
      </c>
      <c r="D282" s="189">
        <f>'Averages Pivot Table'!X$68</f>
        <v>0</v>
      </c>
      <c r="E282" s="138">
        <f t="shared" si="504"/>
        <v>0</v>
      </c>
      <c r="F282" s="189">
        <f>'Averages Pivot Table'!X$72</f>
        <v>0</v>
      </c>
      <c r="G282" s="138">
        <f t="shared" ref="G282" si="509">IF(F282&gt;0,RANK(F282,(F$280:F$298)),0)</f>
        <v>0</v>
      </c>
      <c r="H282" s="189">
        <f>'Averages Pivot Table'!X$76</f>
        <v>0</v>
      </c>
      <c r="I282" s="138">
        <f t="shared" ref="I282" si="510">IF(H282&gt;0,RANK(H282,(H$280:H$298)),0)</f>
        <v>0</v>
      </c>
      <c r="J282" s="189">
        <f>'Averages Pivot Table'!X$80</f>
        <v>0</v>
      </c>
      <c r="K282" s="138">
        <f t="shared" ref="K282" si="511">IF(J282&gt;0,RANK(J282,(J$280:J$298)),0)</f>
        <v>0</v>
      </c>
      <c r="L282" s="189">
        <f>'Averages Pivot Table'!X$88</f>
        <v>0</v>
      </c>
      <c r="M282" s="138">
        <f t="shared" ref="M282" si="512">IF(L282&gt;0,RANK(L282,(L$280:L$298)),0)</f>
        <v>0</v>
      </c>
      <c r="N282" s="167"/>
      <c r="O282" s="186"/>
    </row>
    <row r="283" spans="1:19" ht="12.95" customHeight="1" x14ac:dyDescent="0.25">
      <c r="A283" s="136" t="s">
        <v>198</v>
      </c>
      <c r="B283" s="189">
        <f>'Averages Pivot Table'!X$93</f>
        <v>81942.025384615394</v>
      </c>
      <c r="C283" s="138">
        <f t="shared" si="504"/>
        <v>5</v>
      </c>
      <c r="D283" s="189">
        <f>'Averages Pivot Table'!X$97</f>
        <v>66578.10263157895</v>
      </c>
      <c r="E283" s="138">
        <f t="shared" si="504"/>
        <v>4</v>
      </c>
      <c r="F283" s="189">
        <f>'Averages Pivot Table'!X$101</f>
        <v>54848.529999999984</v>
      </c>
      <c r="G283" s="138">
        <f t="shared" ref="G283" si="513">IF(F283&gt;0,RANK(F283,(F$280:F$298)),0)</f>
        <v>7</v>
      </c>
      <c r="H283" s="189">
        <f>'Averages Pivot Table'!X$105</f>
        <v>42020.78</v>
      </c>
      <c r="I283" s="138">
        <f t="shared" ref="I283" si="514">IF(H283&gt;0,RANK(H283,(H$280:H$298)),0)</f>
        <v>9</v>
      </c>
      <c r="J283" s="189">
        <f>'Averages Pivot Table'!X$109</f>
        <v>0</v>
      </c>
      <c r="K283" s="138">
        <f t="shared" ref="K283" si="515">IF(J283&gt;0,RANK(J283,(J$280:J$298)),0)</f>
        <v>0</v>
      </c>
      <c r="L283" s="189">
        <f>'Averages Pivot Table'!X$117</f>
        <v>68101.64608695652</v>
      </c>
      <c r="M283" s="138">
        <f t="shared" ref="M283" si="516">IF(L283&gt;0,RANK(L283,(L$280:L$298)),0)</f>
        <v>3</v>
      </c>
      <c r="N283" s="167"/>
      <c r="O283" s="186"/>
    </row>
    <row r="284" spans="1:19" ht="12.95" customHeight="1" x14ac:dyDescent="0.25">
      <c r="A284" s="136"/>
      <c r="B284" s="189"/>
      <c r="C284" s="138"/>
      <c r="D284" s="189"/>
      <c r="E284" s="138"/>
      <c r="F284" s="189"/>
      <c r="G284" s="138"/>
      <c r="H284" s="189"/>
      <c r="I284" s="138"/>
      <c r="J284" s="189"/>
      <c r="K284" s="138"/>
      <c r="L284" s="189"/>
      <c r="M284" s="138"/>
      <c r="N284" s="167"/>
      <c r="O284" s="186"/>
    </row>
    <row r="285" spans="1:19" ht="12.95" customHeight="1" x14ac:dyDescent="0.25">
      <c r="A285" s="136" t="s">
        <v>199</v>
      </c>
      <c r="B285" s="189">
        <f>'Averages Pivot Table'!X$122</f>
        <v>87866.032258064515</v>
      </c>
      <c r="C285" s="138">
        <f t="shared" si="504"/>
        <v>3</v>
      </c>
      <c r="D285" s="189">
        <f>'Averages Pivot Table'!X$126</f>
        <v>64257.383177570096</v>
      </c>
      <c r="E285" s="138">
        <f t="shared" si="504"/>
        <v>6</v>
      </c>
      <c r="F285" s="189">
        <f>'Averages Pivot Table'!X$130</f>
        <v>57254.954486758921</v>
      </c>
      <c r="G285" s="138">
        <f t="shared" ref="G285" si="517">IF(F285&gt;0,RANK(F285,(F$280:F$298)),0)</f>
        <v>4</v>
      </c>
      <c r="H285" s="189">
        <f>'Averages Pivot Table'!X$134</f>
        <v>48333.795180722889</v>
      </c>
      <c r="I285" s="138">
        <f t="shared" ref="I285" si="518">IF(H285&gt;0,RANK(H285,(H$280:H$298)),0)</f>
        <v>3</v>
      </c>
      <c r="J285" s="189">
        <f>'Averages Pivot Table'!X$138</f>
        <v>44824</v>
      </c>
      <c r="K285" s="138">
        <f t="shared" ref="K285" si="519">IF(J285&gt;0,RANK(J285,(J$280:J$298)),0)</f>
        <v>3</v>
      </c>
      <c r="L285" s="189">
        <f>'Averages Pivot Table'!X$146</f>
        <v>60097.262642874586</v>
      </c>
      <c r="M285" s="138">
        <f t="shared" ref="M285" si="520">IF(L285&gt;0,RANK(L285,(L$280:L$298)),0)</f>
        <v>6</v>
      </c>
      <c r="N285" s="167"/>
      <c r="O285" s="186"/>
    </row>
    <row r="286" spans="1:19" ht="12.95" customHeight="1" x14ac:dyDescent="0.25">
      <c r="A286" s="136" t="s">
        <v>200</v>
      </c>
      <c r="B286" s="189">
        <f>'Averages Pivot Table'!X$151</f>
        <v>0</v>
      </c>
      <c r="C286" s="138">
        <f t="shared" si="504"/>
        <v>0</v>
      </c>
      <c r="D286" s="189">
        <f>'Averages Pivot Table'!X$155</f>
        <v>0</v>
      </c>
      <c r="E286" s="138">
        <f t="shared" si="504"/>
        <v>0</v>
      </c>
      <c r="F286" s="189">
        <f>'Averages Pivot Table'!X$159</f>
        <v>0</v>
      </c>
      <c r="G286" s="138">
        <f t="shared" ref="G286" si="521">IF(F286&gt;0,RANK(F286,(F$280:F$298)),0)</f>
        <v>0</v>
      </c>
      <c r="H286" s="189">
        <f>'Averages Pivot Table'!X$163</f>
        <v>0</v>
      </c>
      <c r="I286" s="138">
        <f t="shared" ref="I286" si="522">IF(H286&gt;0,RANK(H286,(H$280:H$298)),0)</f>
        <v>0</v>
      </c>
      <c r="J286" s="189">
        <f>'Averages Pivot Table'!X$167</f>
        <v>0</v>
      </c>
      <c r="K286" s="138">
        <f t="shared" ref="K286" si="523">IF(J286&gt;0,RANK(J286,(J$280:J$298)),0)</f>
        <v>0</v>
      </c>
      <c r="L286" s="189">
        <f>'Averages Pivot Table'!X$175</f>
        <v>0</v>
      </c>
      <c r="M286" s="138">
        <f t="shared" ref="M286" si="524">IF(L286&gt;0,RANK(L286,(L$280:L$298)),0)</f>
        <v>0</v>
      </c>
      <c r="N286" s="167"/>
      <c r="O286" s="186"/>
    </row>
    <row r="287" spans="1:19" ht="12.95" customHeight="1" x14ac:dyDescent="0.25">
      <c r="A287" s="136" t="s">
        <v>201</v>
      </c>
      <c r="B287" s="189">
        <f>'Averages Pivot Table'!X$180</f>
        <v>62507.042944785273</v>
      </c>
      <c r="C287" s="138">
        <f t="shared" si="504"/>
        <v>11</v>
      </c>
      <c r="D287" s="189">
        <f>'Averages Pivot Table'!X$184</f>
        <v>48359.931596091206</v>
      </c>
      <c r="E287" s="138">
        <f t="shared" si="504"/>
        <v>12</v>
      </c>
      <c r="F287" s="189">
        <f>'Averages Pivot Table'!X$188</f>
        <v>46001.640378548895</v>
      </c>
      <c r="G287" s="138">
        <f t="shared" ref="G287" si="525">IF(F287&gt;0,RANK(F287,(F$280:F$298)),0)</f>
        <v>12</v>
      </c>
      <c r="H287" s="189">
        <f>'Averages Pivot Table'!X$192</f>
        <v>39224</v>
      </c>
      <c r="I287" s="138">
        <f t="shared" ref="I287" si="526">IF(H287&gt;0,RANK(H287,(H$280:H$298)),0)</f>
        <v>10</v>
      </c>
      <c r="J287" s="189">
        <f>'Averages Pivot Table'!X$196</f>
        <v>0</v>
      </c>
      <c r="K287" s="138">
        <f t="shared" ref="K287" si="527">IF(J287&gt;0,RANK(J287,(J$280:J$298)),0)</f>
        <v>0</v>
      </c>
      <c r="L287" s="189">
        <f>'Averages Pivot Table'!X$204</f>
        <v>49060.99879980601</v>
      </c>
      <c r="M287" s="138">
        <f t="shared" ref="M287" si="528">IF(L287&gt;0,RANK(L287,(L$280:L$298)),0)</f>
        <v>12</v>
      </c>
      <c r="N287" s="167"/>
      <c r="O287" s="186"/>
    </row>
    <row r="288" spans="1:19" ht="12.95" customHeight="1" x14ac:dyDescent="0.25">
      <c r="A288" s="136" t="s">
        <v>202</v>
      </c>
      <c r="B288" s="189">
        <f>'Averages Pivot Table'!X$209</f>
        <v>92460.306218978105</v>
      </c>
      <c r="C288" s="138">
        <f t="shared" si="504"/>
        <v>2</v>
      </c>
      <c r="D288" s="189">
        <f>'Averages Pivot Table'!X$213</f>
        <v>64213.627</v>
      </c>
      <c r="E288" s="138">
        <f t="shared" si="504"/>
        <v>7</v>
      </c>
      <c r="F288" s="189">
        <f>'Averages Pivot Table'!X$217</f>
        <v>56772.45199999999</v>
      </c>
      <c r="G288" s="138">
        <f t="shared" ref="G288" si="529">IF(F288&gt;0,RANK(F288,(F$280:F$298)),0)</f>
        <v>6</v>
      </c>
      <c r="H288" s="189">
        <f>'Averages Pivot Table'!X$221</f>
        <v>49666.666999999994</v>
      </c>
      <c r="I288" s="138">
        <f t="shared" ref="I288" si="530">IF(H288&gt;0,RANK(H288,(H$280:H$298)),0)</f>
        <v>2</v>
      </c>
      <c r="J288" s="189">
        <f>'Averages Pivot Table'!X$225</f>
        <v>0</v>
      </c>
      <c r="K288" s="138">
        <f t="shared" ref="K288" si="531">IF(J288&gt;0,RANK(J288,(J$280:J$298)),0)</f>
        <v>0</v>
      </c>
      <c r="L288" s="189">
        <f>'Averages Pivot Table'!X$233</f>
        <v>70702.494623078106</v>
      </c>
      <c r="M288" s="138">
        <f t="shared" ref="M288" si="532">IF(L288&gt;0,RANK(L288,(L$280:L$298)),0)</f>
        <v>1</v>
      </c>
      <c r="N288" s="167"/>
      <c r="O288" s="186"/>
    </row>
    <row r="289" spans="1:15" s="109" customFormat="1" x14ac:dyDescent="0.25">
      <c r="A289" s="136"/>
      <c r="B289" s="189"/>
      <c r="C289" s="138"/>
      <c r="D289" s="189"/>
      <c r="E289" s="138"/>
      <c r="F289" s="189"/>
      <c r="G289" s="138"/>
      <c r="H289" s="189"/>
      <c r="I289" s="138"/>
      <c r="J289" s="189"/>
      <c r="K289" s="138"/>
      <c r="L289" s="189"/>
      <c r="M289" s="138"/>
      <c r="N289" s="167"/>
      <c r="O289" s="186"/>
    </row>
    <row r="290" spans="1:15" s="109" customFormat="1" x14ac:dyDescent="0.25">
      <c r="A290" s="136" t="s">
        <v>203</v>
      </c>
      <c r="B290" s="189">
        <f>'Averages Pivot Table'!X$238</f>
        <v>0</v>
      </c>
      <c r="C290" s="138">
        <f t="shared" si="504"/>
        <v>0</v>
      </c>
      <c r="D290" s="189">
        <f>'Averages Pivot Table'!X$242</f>
        <v>0</v>
      </c>
      <c r="E290" s="138">
        <f t="shared" si="504"/>
        <v>0</v>
      </c>
      <c r="F290" s="189">
        <f>'Averages Pivot Table'!X$246</f>
        <v>0</v>
      </c>
      <c r="G290" s="138">
        <f t="shared" ref="G290" si="533">IF(F290&gt;0,RANK(F290,(F$280:F$298)),0)</f>
        <v>0</v>
      </c>
      <c r="H290" s="189">
        <f>'Averages Pivot Table'!X$250</f>
        <v>0</v>
      </c>
      <c r="I290" s="138">
        <f t="shared" ref="I290" si="534">IF(H290&gt;0,RANK(H290,(H$280:H$298)),0)</f>
        <v>0</v>
      </c>
      <c r="J290" s="189">
        <f>'Averages Pivot Table'!X$254</f>
        <v>0</v>
      </c>
      <c r="K290" s="138">
        <f t="shared" ref="K290" si="535">IF(J290&gt;0,RANK(J290,(J$280:J$298)),0)</f>
        <v>0</v>
      </c>
      <c r="L290" s="189">
        <f>'Averages Pivot Table'!X$262</f>
        <v>0</v>
      </c>
      <c r="M290" s="138">
        <f t="shared" ref="M290" si="536">IF(L290&gt;0,RANK(L290,(L$280:L$298)),0)</f>
        <v>0</v>
      </c>
      <c r="N290" s="167"/>
      <c r="O290" s="186"/>
    </row>
    <row r="291" spans="1:15" s="109" customFormat="1" x14ac:dyDescent="0.25">
      <c r="A291" s="136" t="s">
        <v>204</v>
      </c>
      <c r="B291" s="189">
        <f>'Averages Pivot Table'!X$267</f>
        <v>81037.602476087632</v>
      </c>
      <c r="C291" s="138">
        <f t="shared" si="504"/>
        <v>6</v>
      </c>
      <c r="D291" s="189">
        <f>'Averages Pivot Table'!X$271</f>
        <v>67230.454870129877</v>
      </c>
      <c r="E291" s="138">
        <f t="shared" si="504"/>
        <v>3</v>
      </c>
      <c r="F291" s="189">
        <f>'Averages Pivot Table'!X$275</f>
        <v>62899.51554404146</v>
      </c>
      <c r="G291" s="138">
        <f t="shared" ref="G291" si="537">IF(F291&gt;0,RANK(F291,(F$280:F$298)),0)</f>
        <v>2</v>
      </c>
      <c r="H291" s="189">
        <f>'Averages Pivot Table'!X$279</f>
        <v>54914.400000000001</v>
      </c>
      <c r="I291" s="138">
        <f t="shared" ref="I291" si="538">IF(H291&gt;0,RANK(H291,(H$280:H$298)),0)</f>
        <v>1</v>
      </c>
      <c r="J291" s="189">
        <f>'Averages Pivot Table'!X$283</f>
        <v>54788.52811835039</v>
      </c>
      <c r="K291" s="138">
        <f t="shared" ref="K291" si="539">IF(J291&gt;0,RANK(J291,(J$280:J$298)),0)</f>
        <v>2</v>
      </c>
      <c r="L291" s="189">
        <f>'Averages Pivot Table'!X$291</f>
        <v>67869.284318379461</v>
      </c>
      <c r="M291" s="138">
        <f t="shared" ref="M291" si="540">IF(L291&gt;0,RANK(L291,(L$280:L$298)),0)</f>
        <v>4</v>
      </c>
      <c r="N291" s="167"/>
      <c r="O291" s="186"/>
    </row>
    <row r="292" spans="1:15" s="109" customFormat="1" x14ac:dyDescent="0.25">
      <c r="A292" s="136" t="s">
        <v>205</v>
      </c>
      <c r="B292" s="189">
        <f>'Averages Pivot Table'!X$296</f>
        <v>61352.199224376731</v>
      </c>
      <c r="C292" s="138">
        <f t="shared" si="504"/>
        <v>12</v>
      </c>
      <c r="D292" s="189">
        <f>'Averages Pivot Table'!X$300</f>
        <v>54319.869476280088</v>
      </c>
      <c r="E292" s="138">
        <f t="shared" si="504"/>
        <v>11</v>
      </c>
      <c r="F292" s="189">
        <f>'Averages Pivot Table'!X$304</f>
        <v>46949.987717378353</v>
      </c>
      <c r="G292" s="138">
        <f t="shared" ref="G292" si="541">IF(F292&gt;0,RANK(F292,(F$280:F$298)),0)</f>
        <v>11</v>
      </c>
      <c r="H292" s="189">
        <f>'Averages Pivot Table'!X$308</f>
        <v>38985.949562890281</v>
      </c>
      <c r="I292" s="138">
        <f t="shared" ref="I292" si="542">IF(H292&gt;0,RANK(H292,(H$280:H$298)),0)</f>
        <v>11</v>
      </c>
      <c r="J292" s="189">
        <f>'Averages Pivot Table'!X$312</f>
        <v>0</v>
      </c>
      <c r="K292" s="138">
        <f t="shared" ref="K292" si="543">IF(J292&gt;0,RANK(J292,(J$280:J$298)),0)</f>
        <v>0</v>
      </c>
      <c r="L292" s="189">
        <f>'Averages Pivot Table'!X$320</f>
        <v>49735.182265966927</v>
      </c>
      <c r="M292" s="138">
        <f t="shared" ref="M292" si="544">IF(L292&gt;0,RANK(L292,(L$280:L$298)),0)</f>
        <v>11</v>
      </c>
      <c r="N292" s="167"/>
      <c r="O292" s="186"/>
    </row>
    <row r="293" spans="1:15" s="109" customFormat="1" x14ac:dyDescent="0.25">
      <c r="A293" s="136" t="s">
        <v>206</v>
      </c>
      <c r="B293" s="189">
        <f>'Averages Pivot Table'!X$325</f>
        <v>72465.373150342741</v>
      </c>
      <c r="C293" s="138">
        <f t="shared" si="504"/>
        <v>8</v>
      </c>
      <c r="D293" s="189">
        <f>'Averages Pivot Table'!X$329</f>
        <v>58202.762373065161</v>
      </c>
      <c r="E293" s="138">
        <f t="shared" si="504"/>
        <v>10</v>
      </c>
      <c r="F293" s="189">
        <f>'Averages Pivot Table'!X$333</f>
        <v>51402.257943433375</v>
      </c>
      <c r="G293" s="138">
        <f t="shared" ref="G293" si="545">IF(F293&gt;0,RANK(F293,(F$280:F$298)),0)</f>
        <v>10</v>
      </c>
      <c r="H293" s="189">
        <f>'Averages Pivot Table'!X$337</f>
        <v>44071.036794940024</v>
      </c>
      <c r="I293" s="138">
        <f t="shared" ref="I293" si="546">IF(H293&gt;0,RANK(H293,(H$280:H$298)),0)</f>
        <v>5</v>
      </c>
      <c r="J293" s="189">
        <f>'Averages Pivot Table'!X$341</f>
        <v>39168</v>
      </c>
      <c r="K293" s="138">
        <f t="shared" ref="K293" si="547">IF(J293&gt;0,RANK(J293,(J$280:J$298)),0)</f>
        <v>6</v>
      </c>
      <c r="L293" s="189">
        <f>'Averages Pivot Table'!X$349</f>
        <v>54099.177938524947</v>
      </c>
      <c r="M293" s="138">
        <f t="shared" ref="M293" si="548">IF(L293&gt;0,RANK(L293,(L$280:L$298)),0)</f>
        <v>9</v>
      </c>
      <c r="N293" s="167"/>
      <c r="O293" s="186"/>
    </row>
    <row r="294" spans="1:15" s="109" customFormat="1" x14ac:dyDescent="0.25">
      <c r="A294" s="136"/>
      <c r="B294" s="189"/>
      <c r="C294" s="138"/>
      <c r="D294" s="189"/>
      <c r="E294" s="138"/>
      <c r="F294" s="189"/>
      <c r="G294" s="138"/>
      <c r="H294" s="189"/>
      <c r="I294" s="138"/>
      <c r="J294" s="189"/>
      <c r="K294" s="138"/>
      <c r="L294" s="189"/>
      <c r="M294" s="138"/>
      <c r="N294" s="167"/>
      <c r="O294" s="186"/>
    </row>
    <row r="295" spans="1:15" s="109" customFormat="1" x14ac:dyDescent="0.25">
      <c r="A295" s="136" t="s">
        <v>207</v>
      </c>
      <c r="B295" s="191">
        <f>'Averages Pivot Table'!X$354</f>
        <v>0</v>
      </c>
      <c r="C295" s="138">
        <f t="shared" si="504"/>
        <v>0</v>
      </c>
      <c r="D295" s="191">
        <f>'Averages Pivot Table'!X$358</f>
        <v>0</v>
      </c>
      <c r="E295" s="138">
        <f t="shared" si="504"/>
        <v>0</v>
      </c>
      <c r="F295" s="191">
        <f>'Averages Pivot Table'!X$362</f>
        <v>0</v>
      </c>
      <c r="G295" s="138">
        <f t="shared" ref="G295" si="549">IF(F295&gt;0,RANK(F295,(F$280:F$298)),0)</f>
        <v>0</v>
      </c>
      <c r="H295" s="191">
        <f>'Averages Pivot Table'!X$366</f>
        <v>0</v>
      </c>
      <c r="I295" s="138">
        <f t="shared" ref="I295" si="550">IF(H295&gt;0,RANK(H295,(H$280:H$298)),0)</f>
        <v>0</v>
      </c>
      <c r="J295" s="191">
        <f>'Averages Pivot Table'!X$370</f>
        <v>0</v>
      </c>
      <c r="K295" s="138">
        <f t="shared" ref="K295" si="551">IF(J295&gt;0,RANK(J295,(J$280:J$298)),0)</f>
        <v>0</v>
      </c>
      <c r="L295" s="191">
        <f>'Averages Pivot Table'!X$378</f>
        <v>0</v>
      </c>
      <c r="M295" s="138">
        <f t="shared" ref="M295" si="552">IF(L295&gt;0,RANK(L295,(L$280:L$298)),0)</f>
        <v>0</v>
      </c>
      <c r="N295" s="167"/>
      <c r="O295" s="186"/>
    </row>
    <row r="296" spans="1:15" s="109" customFormat="1" x14ac:dyDescent="0.25">
      <c r="A296" s="136" t="s">
        <v>208</v>
      </c>
      <c r="B296" s="191">
        <f>'Averages Pivot Table'!X$383</f>
        <v>101952.28458498024</v>
      </c>
      <c r="C296" s="138">
        <f t="shared" si="504"/>
        <v>1</v>
      </c>
      <c r="D296" s="191">
        <f>'Averages Pivot Table'!X$387</f>
        <v>67346.142857142855</v>
      </c>
      <c r="E296" s="138">
        <f t="shared" si="504"/>
        <v>2</v>
      </c>
      <c r="F296" s="191">
        <f>'Averages Pivot Table'!X$391</f>
        <v>65071.6</v>
      </c>
      <c r="G296" s="138">
        <f t="shared" ref="G296" si="553">IF(F296&gt;0,RANK(F296,(F$280:F$298)),0)</f>
        <v>1</v>
      </c>
      <c r="H296" s="191">
        <f>'Averages Pivot Table'!X$395</f>
        <v>0</v>
      </c>
      <c r="I296" s="138">
        <f t="shared" ref="I296" si="554">IF(H296&gt;0,RANK(H296,(H$280:H$298)),0)</f>
        <v>0</v>
      </c>
      <c r="J296" s="191">
        <f>'Averages Pivot Table'!X$399</f>
        <v>34690.443474558226</v>
      </c>
      <c r="K296" s="138">
        <f t="shared" ref="K296" si="555">IF(J296&gt;0,RANK(J296,(J$280:J$298)),0)</f>
        <v>7</v>
      </c>
      <c r="L296" s="191">
        <f>'Averages Pivot Table'!X$407</f>
        <v>61709.917229203827</v>
      </c>
      <c r="M296" s="138">
        <f t="shared" ref="M296" si="556">IF(L296&gt;0,RANK(L296,(L$280:L$298)),0)</f>
        <v>5</v>
      </c>
      <c r="N296" s="167"/>
      <c r="O296" s="186"/>
    </row>
    <row r="297" spans="1:15" s="109" customFormat="1" x14ac:dyDescent="0.25">
      <c r="A297" s="136" t="s">
        <v>209</v>
      </c>
      <c r="B297" s="191">
        <f>'Averages Pivot Table'!X$412</f>
        <v>76540</v>
      </c>
      <c r="C297" s="138">
        <f t="shared" si="504"/>
        <v>7</v>
      </c>
      <c r="D297" s="191">
        <f>'Averages Pivot Table'!X$416</f>
        <v>61571.850533807832</v>
      </c>
      <c r="E297" s="138">
        <f t="shared" si="504"/>
        <v>8</v>
      </c>
      <c r="F297" s="191">
        <f>'Averages Pivot Table'!X$420</f>
        <v>56807</v>
      </c>
      <c r="G297" s="138">
        <f t="shared" ref="G297" si="557">IF(F297&gt;0,RANK(F297,(F$280:F$298)),0)</f>
        <v>5</v>
      </c>
      <c r="H297" s="191">
        <f>'Averages Pivot Table'!X$424</f>
        <v>43985.180616740094</v>
      </c>
      <c r="I297" s="138">
        <f t="shared" ref="I297" si="558">IF(H297&gt;0,RANK(H297,(H$280:H$298)),0)</f>
        <v>7</v>
      </c>
      <c r="J297" s="191">
        <f>'Averages Pivot Table'!X$428</f>
        <v>60300</v>
      </c>
      <c r="K297" s="138">
        <f t="shared" ref="K297" si="559">IF(J297&gt;0,RANK(J297,(J$280:J$298)),0)</f>
        <v>1</v>
      </c>
      <c r="L297" s="191">
        <f>'Averages Pivot Table'!X$436</f>
        <v>58262.780252489028</v>
      </c>
      <c r="M297" s="138">
        <f t="shared" ref="M297" si="560">IF(L297&gt;0,RANK(L297,(L$280:L$298)),0)</f>
        <v>7</v>
      </c>
      <c r="N297" s="167"/>
      <c r="O297" s="167"/>
    </row>
    <row r="298" spans="1:15" s="109" customFormat="1" x14ac:dyDescent="0.25">
      <c r="A298" s="161" t="s">
        <v>210</v>
      </c>
      <c r="B298" s="192">
        <f>'Averages Pivot Table'!X$441</f>
        <v>68946.927341380957</v>
      </c>
      <c r="C298" s="141">
        <f t="shared" si="504"/>
        <v>9</v>
      </c>
      <c r="D298" s="192">
        <f>'Averages Pivot Table'!X$445</f>
        <v>58706.791023705853</v>
      </c>
      <c r="E298" s="141">
        <f t="shared" si="504"/>
        <v>9</v>
      </c>
      <c r="F298" s="192">
        <f>'Averages Pivot Table'!X$449</f>
        <v>51544.652518699906</v>
      </c>
      <c r="G298" s="141">
        <f t="shared" ref="G298" si="561">IF(F298&gt;0,RANK(F298,(F$280:F$298)),0)</f>
        <v>9</v>
      </c>
      <c r="H298" s="192">
        <f>'Averages Pivot Table'!X$453</f>
        <v>43995.343195773297</v>
      </c>
      <c r="I298" s="141">
        <f t="shared" ref="I298" si="562">IF(H298&gt;0,RANK(H298,(H$280:H$298)),0)</f>
        <v>6</v>
      </c>
      <c r="J298" s="192">
        <f>'Averages Pivot Table'!X$457</f>
        <v>43557.977272727272</v>
      </c>
      <c r="K298" s="141">
        <f t="shared" ref="K298" si="563">IF(J298&gt;0,RANK(J298,(J$280:J$298)),0)</f>
        <v>4</v>
      </c>
      <c r="L298" s="192">
        <f>'Averages Pivot Table'!X$465</f>
        <v>55964.740477002619</v>
      </c>
      <c r="M298" s="141">
        <f t="shared" ref="M298" si="564">IF(L298&gt;0,RANK(L298,(L$280:L$298)),0)</f>
        <v>8</v>
      </c>
      <c r="N298" s="167"/>
      <c r="O298" s="167"/>
    </row>
    <row r="299" spans="1:15" s="109" customFormat="1" ht="28.5" customHeight="1" x14ac:dyDescent="0.25">
      <c r="A299" s="716" t="s">
        <v>187</v>
      </c>
      <c r="B299" s="722"/>
      <c r="C299" s="722"/>
      <c r="D299" s="722"/>
      <c r="E299" s="722"/>
      <c r="F299" s="722"/>
      <c r="G299" s="722"/>
      <c r="H299" s="722"/>
      <c r="I299" s="722"/>
      <c r="J299" s="722"/>
      <c r="K299" s="722"/>
      <c r="L299" s="722"/>
      <c r="M299" s="722"/>
      <c r="N299" s="136"/>
      <c r="O299" s="136"/>
    </row>
    <row r="300" spans="1:15" s="109" customFormat="1" x14ac:dyDescent="0.25">
      <c r="M300" s="102" t="s">
        <v>1124</v>
      </c>
      <c r="O300" s="193"/>
    </row>
    <row r="301" spans="1:15" s="109" customFormat="1" ht="18" x14ac:dyDescent="0.25">
      <c r="A301" s="82" t="s">
        <v>234</v>
      </c>
      <c r="B301" s="82"/>
      <c r="C301" s="82"/>
      <c r="D301" s="82"/>
      <c r="E301" s="82"/>
      <c r="F301" s="82"/>
      <c r="G301" s="82"/>
      <c r="H301" s="82"/>
      <c r="I301" s="82"/>
      <c r="J301" s="82"/>
      <c r="K301" s="82"/>
      <c r="L301" s="82"/>
      <c r="M301" s="82"/>
      <c r="N301" s="82"/>
      <c r="O301" s="82"/>
    </row>
    <row r="302" spans="1:15" s="109" customFormat="1" x14ac:dyDescent="0.25">
      <c r="A302" s="180"/>
      <c r="B302" s="87"/>
      <c r="C302" s="87"/>
      <c r="D302" s="87"/>
      <c r="E302" s="87"/>
      <c r="F302" s="87"/>
      <c r="G302" s="87"/>
      <c r="H302" s="87"/>
      <c r="I302" s="87"/>
      <c r="J302" s="87"/>
      <c r="K302" s="87"/>
      <c r="L302" s="87"/>
      <c r="M302" s="87"/>
      <c r="N302" s="87"/>
      <c r="O302" s="87"/>
    </row>
    <row r="303" spans="1:15" s="109" customFormat="1" x14ac:dyDescent="0.25">
      <c r="A303" s="707" t="s">
        <v>218</v>
      </c>
      <c r="B303" s="707"/>
      <c r="C303" s="707"/>
      <c r="D303" s="707"/>
      <c r="E303" s="707"/>
      <c r="F303" s="707"/>
      <c r="G303" s="707"/>
      <c r="H303" s="707"/>
      <c r="I303" s="707"/>
      <c r="J303" s="707"/>
      <c r="K303" s="707"/>
      <c r="L303" s="707"/>
      <c r="M303" s="707"/>
      <c r="N303" s="707"/>
      <c r="O303" s="707"/>
    </row>
    <row r="304" spans="1:15" s="109" customFormat="1" x14ac:dyDescent="0.25">
      <c r="A304" s="707" t="s">
        <v>235</v>
      </c>
      <c r="B304" s="707"/>
      <c r="C304" s="707"/>
      <c r="D304" s="707"/>
      <c r="E304" s="707"/>
      <c r="F304" s="707"/>
      <c r="G304" s="707"/>
      <c r="H304" s="707"/>
      <c r="I304" s="707"/>
      <c r="J304" s="707"/>
      <c r="K304" s="707"/>
      <c r="L304" s="707"/>
      <c r="M304" s="707"/>
      <c r="N304" s="707"/>
      <c r="O304" s="707"/>
    </row>
    <row r="305" spans="1:19" x14ac:dyDescent="0.25">
      <c r="A305" s="136"/>
      <c r="B305" s="136"/>
      <c r="C305" s="136"/>
      <c r="D305" s="136"/>
      <c r="E305" s="136"/>
      <c r="F305" s="136"/>
      <c r="G305" s="136"/>
      <c r="H305" s="136"/>
      <c r="I305" s="136"/>
      <c r="J305" s="136"/>
      <c r="K305" s="136"/>
      <c r="L305" s="136"/>
      <c r="M305" s="136"/>
      <c r="N305" s="136"/>
      <c r="O305" s="136"/>
    </row>
    <row r="306" spans="1:19" ht="33" customHeight="1" x14ac:dyDescent="0.25">
      <c r="A306" s="114"/>
      <c r="B306" s="182" t="s">
        <v>3</v>
      </c>
      <c r="C306" s="183"/>
      <c r="D306" s="184" t="s">
        <v>4</v>
      </c>
      <c r="E306" s="185"/>
      <c r="F306" s="184" t="s">
        <v>5</v>
      </c>
      <c r="G306" s="185"/>
      <c r="H306" s="182" t="s">
        <v>6</v>
      </c>
      <c r="I306" s="183"/>
      <c r="J306" s="184" t="s">
        <v>219</v>
      </c>
      <c r="K306" s="185"/>
      <c r="L306" s="183" t="s">
        <v>23</v>
      </c>
      <c r="M306" s="183"/>
      <c r="N306" s="183" t="s">
        <v>220</v>
      </c>
      <c r="O306" s="183"/>
    </row>
    <row r="307" spans="1:19" x14ac:dyDescent="0.25">
      <c r="A307" s="120"/>
      <c r="B307" s="116" t="s">
        <v>193</v>
      </c>
      <c r="C307" s="115" t="s">
        <v>170</v>
      </c>
      <c r="D307" s="116" t="s">
        <v>193</v>
      </c>
      <c r="E307" s="115" t="s">
        <v>170</v>
      </c>
      <c r="F307" s="116" t="s">
        <v>193</v>
      </c>
      <c r="G307" s="115" t="s">
        <v>170</v>
      </c>
      <c r="H307" s="116" t="s">
        <v>193</v>
      </c>
      <c r="I307" s="115" t="s">
        <v>170</v>
      </c>
      <c r="J307" s="116" t="s">
        <v>193</v>
      </c>
      <c r="K307" s="115" t="s">
        <v>170</v>
      </c>
      <c r="L307" s="116" t="s">
        <v>193</v>
      </c>
      <c r="M307" s="115" t="s">
        <v>170</v>
      </c>
      <c r="N307" s="116" t="s">
        <v>193</v>
      </c>
      <c r="O307" s="115" t="s">
        <v>170</v>
      </c>
    </row>
    <row r="308" spans="1:19" s="127" customFormat="1" ht="18" customHeight="1" x14ac:dyDescent="0.25">
      <c r="A308" s="124" t="s">
        <v>194</v>
      </c>
      <c r="B308" s="151">
        <f>'Averages Pivot Table'!AE$469</f>
        <v>65713.153438178022</v>
      </c>
      <c r="C308" s="151"/>
      <c r="D308" s="151">
        <f>'Averages Pivot Table'!AE$473</f>
        <v>54997.60177260112</v>
      </c>
      <c r="E308" s="151"/>
      <c r="F308" s="151">
        <f>'Averages Pivot Table'!AE$477</f>
        <v>49545.064178184781</v>
      </c>
      <c r="G308" s="151"/>
      <c r="H308" s="151">
        <f>'Averages Pivot Table'!AE$481</f>
        <v>46463.230038330366</v>
      </c>
      <c r="I308" s="151"/>
      <c r="J308" s="151">
        <f>'Averages Pivot Table'!AE$485</f>
        <v>43061.382518496321</v>
      </c>
      <c r="K308" s="151"/>
      <c r="L308" s="151">
        <f>'Averages Pivot Table'!AE$489</f>
        <v>51103.291064162484</v>
      </c>
      <c r="M308" s="151"/>
      <c r="N308" s="151">
        <f>'Averages Pivot Table'!AE$493</f>
        <v>51722.850244398367</v>
      </c>
      <c r="O308" s="187"/>
      <c r="Q308" s="129"/>
      <c r="R308" s="129"/>
      <c r="S308" s="129"/>
    </row>
    <row r="309" spans="1:19" ht="12.95" customHeight="1" x14ac:dyDescent="0.25">
      <c r="A309" s="136"/>
      <c r="B309" s="131"/>
      <c r="C309" s="155"/>
      <c r="D309" s="131"/>
      <c r="E309" s="155"/>
      <c r="F309" s="131"/>
      <c r="G309" s="155"/>
      <c r="H309" s="131"/>
      <c r="I309" s="155"/>
      <c r="J309" s="131"/>
      <c r="K309" s="155"/>
      <c r="L309" s="131"/>
      <c r="M309" s="155"/>
      <c r="N309" s="131"/>
      <c r="O309" s="155"/>
    </row>
    <row r="310" spans="1:19" ht="12.95" customHeight="1" x14ac:dyDescent="0.25">
      <c r="A310" s="136" t="s">
        <v>195</v>
      </c>
      <c r="B310" s="189">
        <f>'Averages Pivot Table'!AE$6</f>
        <v>0</v>
      </c>
      <c r="C310" s="138">
        <f>IF(B310&gt;0,RANK(B310,(B$310:B$328)),0)</f>
        <v>0</v>
      </c>
      <c r="D310" s="189">
        <f>'Averages Pivot Table'!AE$10</f>
        <v>0</v>
      </c>
      <c r="E310" s="138">
        <f>IF(D310&gt;0,RANK(D310,(D$310:D$328)),0)</f>
        <v>0</v>
      </c>
      <c r="F310" s="189">
        <f>'Averages Pivot Table'!AE$14</f>
        <v>0</v>
      </c>
      <c r="G310" s="138">
        <f>IF(F310&gt;0,RANK(F310,(F$310:F$328)),0)</f>
        <v>0</v>
      </c>
      <c r="H310" s="189">
        <f>'Averages Pivot Table'!AE$18</f>
        <v>0</v>
      </c>
      <c r="I310" s="138">
        <f>IF(H310&gt;0,RANK(H310,(H$310:H$328)),0)</f>
        <v>0</v>
      </c>
      <c r="J310" s="189">
        <f>'Averages Pivot Table'!AE$22</f>
        <v>0</v>
      </c>
      <c r="K310" s="138">
        <f>IF(J310&gt;0,RANK(J310,(J$310:J$328)),0)</f>
        <v>0</v>
      </c>
      <c r="L310" s="167">
        <f>'Averages Pivot Table'!AE$26</f>
        <v>53101.644505192431</v>
      </c>
      <c r="M310" s="138">
        <f>IF(L310&gt;0,RANK(L310,(L$310:L$328)),0)</f>
        <v>4</v>
      </c>
      <c r="N310" s="189">
        <f>'Averages Pivot Table'!AE$30</f>
        <v>53101.644505192431</v>
      </c>
      <c r="O310" s="138">
        <f>IF(N310&gt;0,RANK(N310,(N$310:N$328)),0)</f>
        <v>5</v>
      </c>
    </row>
    <row r="311" spans="1:19" ht="12.95" customHeight="1" x14ac:dyDescent="0.25">
      <c r="A311" s="136" t="s">
        <v>196</v>
      </c>
      <c r="B311" s="189">
        <f>'Averages Pivot Table'!AE$35</f>
        <v>52339.82931034483</v>
      </c>
      <c r="C311" s="138">
        <f t="shared" ref="C311:E328" si="565">IF(B311&gt;0,RANK(B311,(B$310:B$328)),0)</f>
        <v>10</v>
      </c>
      <c r="D311" s="189">
        <f>'Averages Pivot Table'!AE$39</f>
        <v>53503.114723032071</v>
      </c>
      <c r="E311" s="138">
        <f t="shared" si="565"/>
        <v>6</v>
      </c>
      <c r="F311" s="189">
        <f>'Averages Pivot Table'!AE$43</f>
        <v>41635.839762740252</v>
      </c>
      <c r="G311" s="138">
        <f t="shared" ref="G311" si="566">IF(F311&gt;0,RANK(F311,(F$310:F$328)),0)</f>
        <v>10</v>
      </c>
      <c r="H311" s="189">
        <f>'Averages Pivot Table'!AE$47</f>
        <v>39952.85821416659</v>
      </c>
      <c r="I311" s="138">
        <f t="shared" ref="I311" si="567">IF(H311&gt;0,RANK(H311,(H$310:H$328)),0)</f>
        <v>6</v>
      </c>
      <c r="J311" s="189">
        <f>'Averages Pivot Table'!AE$51</f>
        <v>0</v>
      </c>
      <c r="K311" s="138">
        <f t="shared" ref="K311" si="568">IF(J311&gt;0,RANK(J311,(J$310:J$328)),0)</f>
        <v>0</v>
      </c>
      <c r="L311" s="167">
        <f>'Averages Pivot Table'!AE$55</f>
        <v>44533.957632425067</v>
      </c>
      <c r="M311" s="138">
        <f t="shared" ref="M311" si="569">IF(L311&gt;0,RANK(L311,(L$310:L$328)),0)</f>
        <v>8</v>
      </c>
      <c r="N311" s="189">
        <f>'Averages Pivot Table'!AE$59</f>
        <v>43992.210756031571</v>
      </c>
      <c r="O311" s="138">
        <f t="shared" ref="O311" si="570">IF(N311&gt;0,RANK(N311,(N$310:N$328)),0)</f>
        <v>16</v>
      </c>
    </row>
    <row r="312" spans="1:19" ht="12.95" customHeight="1" x14ac:dyDescent="0.25">
      <c r="A312" s="136" t="s">
        <v>197</v>
      </c>
      <c r="B312" s="189">
        <f>'Averages Pivot Table'!AE$64</f>
        <v>0</v>
      </c>
      <c r="C312" s="138">
        <f t="shared" si="565"/>
        <v>0</v>
      </c>
      <c r="D312" s="189">
        <f>'Averages Pivot Table'!AE$68</f>
        <v>0</v>
      </c>
      <c r="E312" s="138">
        <f t="shared" si="565"/>
        <v>0</v>
      </c>
      <c r="F312" s="189">
        <f>'Averages Pivot Table'!AE$72</f>
        <v>0</v>
      </c>
      <c r="G312" s="138">
        <f t="shared" ref="G312" si="571">IF(F312&gt;0,RANK(F312,(F$310:F$328)),0)</f>
        <v>0</v>
      </c>
      <c r="H312" s="189">
        <f>'Averages Pivot Table'!AE$76</f>
        <v>0</v>
      </c>
      <c r="I312" s="138">
        <f t="shared" ref="I312" si="572">IF(H312&gt;0,RANK(H312,(H$310:H$328)),0)</f>
        <v>0</v>
      </c>
      <c r="J312" s="189">
        <f>'Averages Pivot Table'!AE$80</f>
        <v>0</v>
      </c>
      <c r="K312" s="138">
        <f t="shared" ref="K312" si="573">IF(J312&gt;0,RANK(J312,(J$310:J$328)),0)</f>
        <v>0</v>
      </c>
      <c r="L312" s="167">
        <f>'Averages Pivot Table'!AE$84</f>
        <v>64145.650790581931</v>
      </c>
      <c r="M312" s="138">
        <f t="shared" ref="M312" si="574">IF(L312&gt;0,RANK(L312,(L$310:L$328)),0)</f>
        <v>1</v>
      </c>
      <c r="N312" s="189">
        <f>'Averages Pivot Table'!AE$88</f>
        <v>64145.650790581931</v>
      </c>
      <c r="O312" s="138">
        <f t="shared" ref="O312" si="575">IF(N312&gt;0,RANK(N312,(N$310:N$328)),0)</f>
        <v>2</v>
      </c>
    </row>
    <row r="313" spans="1:19" ht="12.95" customHeight="1" x14ac:dyDescent="0.25">
      <c r="A313" s="136" t="s">
        <v>198</v>
      </c>
      <c r="B313" s="189">
        <f>'Averages Pivot Table'!AE$93</f>
        <v>0</v>
      </c>
      <c r="C313" s="138">
        <f t="shared" si="565"/>
        <v>0</v>
      </c>
      <c r="D313" s="189">
        <f>'Averages Pivot Table'!AE$97</f>
        <v>0</v>
      </c>
      <c r="E313" s="138">
        <f t="shared" si="565"/>
        <v>0</v>
      </c>
      <c r="F313" s="189">
        <f>'Averages Pivot Table'!AE$101</f>
        <v>0</v>
      </c>
      <c r="G313" s="138">
        <f t="shared" ref="G313" si="576">IF(F313&gt;0,RANK(F313,(F$310:F$328)),0)</f>
        <v>0</v>
      </c>
      <c r="H313" s="189">
        <f>'Averages Pivot Table'!AE$105</f>
        <v>0</v>
      </c>
      <c r="I313" s="138">
        <f t="shared" ref="I313" si="577">IF(H313&gt;0,RANK(H313,(H$310:H$328)),0)</f>
        <v>0</v>
      </c>
      <c r="J313" s="189">
        <f>'Averages Pivot Table'!AE$109</f>
        <v>0</v>
      </c>
      <c r="K313" s="138">
        <f t="shared" ref="K313" si="578">IF(J313&gt;0,RANK(J313,(J$310:J$328)),0)</f>
        <v>0</v>
      </c>
      <c r="L313" s="167">
        <f>'Averages Pivot Table'!AE$113</f>
        <v>54585.753821823935</v>
      </c>
      <c r="M313" s="138">
        <f t="shared" ref="M313" si="579">IF(L313&gt;0,RANK(L313,(L$310:L$328)),0)</f>
        <v>2</v>
      </c>
      <c r="N313" s="189">
        <f>'Averages Pivot Table'!AE$117</f>
        <v>54585.753821823935</v>
      </c>
      <c r="O313" s="138">
        <f t="shared" ref="O313" si="580">IF(N313&gt;0,RANK(N313,(N$310:N$328)),0)</f>
        <v>4</v>
      </c>
    </row>
    <row r="314" spans="1:19" ht="12.95" customHeight="1" x14ac:dyDescent="0.25">
      <c r="A314" s="136"/>
      <c r="B314" s="189"/>
      <c r="C314" s="138"/>
      <c r="D314" s="189"/>
      <c r="E314" s="138"/>
      <c r="F314" s="189"/>
      <c r="G314" s="138"/>
      <c r="H314" s="189"/>
      <c r="I314" s="138"/>
      <c r="J314" s="189"/>
      <c r="K314" s="138"/>
      <c r="L314" s="167"/>
      <c r="M314" s="138"/>
      <c r="N314" s="189"/>
      <c r="O314" s="138"/>
    </row>
    <row r="315" spans="1:19" ht="12.95" customHeight="1" x14ac:dyDescent="0.25">
      <c r="A315" s="136" t="s">
        <v>199</v>
      </c>
      <c r="B315" s="189">
        <f>'Averages Pivot Table'!AE$122</f>
        <v>63595.168925835955</v>
      </c>
      <c r="C315" s="138">
        <f t="shared" si="565"/>
        <v>6</v>
      </c>
      <c r="D315" s="189">
        <f>'Averages Pivot Table'!AE$126</f>
        <v>53065.858773554042</v>
      </c>
      <c r="E315" s="138">
        <f t="shared" si="565"/>
        <v>7</v>
      </c>
      <c r="F315" s="189">
        <f>'Averages Pivot Table'!AE$130</f>
        <v>44937.561726452797</v>
      </c>
      <c r="G315" s="138">
        <f t="shared" ref="G315" si="581">IF(F315&gt;0,RANK(F315,(F$310:F$328)),0)</f>
        <v>7</v>
      </c>
      <c r="H315" s="189">
        <f>'Averages Pivot Table'!AE$134</f>
        <v>39834.629163005084</v>
      </c>
      <c r="I315" s="138">
        <f t="shared" ref="I315" si="582">IF(H315&gt;0,RANK(H315,(H$310:H$328)),0)</f>
        <v>7</v>
      </c>
      <c r="J315" s="189">
        <f>'Averages Pivot Table'!AE$138</f>
        <v>35745.265899122809</v>
      </c>
      <c r="K315" s="138">
        <f t="shared" ref="K315" si="583">IF(J315&gt;0,RANK(J315,(J$310:J$328)),0)</f>
        <v>6</v>
      </c>
      <c r="L315" s="167">
        <f>'Averages Pivot Table'!AE$142</f>
        <v>0</v>
      </c>
      <c r="M315" s="138">
        <f t="shared" ref="M315" si="584">IF(L315&gt;0,RANK(L315,(L$310:L$328)),0)</f>
        <v>0</v>
      </c>
      <c r="N315" s="189">
        <f>'Averages Pivot Table'!AE$146</f>
        <v>46721.093011867568</v>
      </c>
      <c r="O315" s="138">
        <f t="shared" ref="O315" si="585">IF(N315&gt;0,RANK(N315,(N$310:N$328)),0)</f>
        <v>13</v>
      </c>
    </row>
    <row r="316" spans="1:19" ht="12.95" customHeight="1" x14ac:dyDescent="0.25">
      <c r="A316" s="136" t="s">
        <v>200</v>
      </c>
      <c r="B316" s="189">
        <f>'Averages Pivot Table'!AE$151</f>
        <v>59779.632754996317</v>
      </c>
      <c r="C316" s="138">
        <f t="shared" si="565"/>
        <v>9</v>
      </c>
      <c r="D316" s="189">
        <f>'Averages Pivot Table'!AE$155</f>
        <v>48831.367149567188</v>
      </c>
      <c r="E316" s="138">
        <f t="shared" si="565"/>
        <v>10</v>
      </c>
      <c r="F316" s="189">
        <f>'Averages Pivot Table'!AE$159</f>
        <v>41948.054056977366</v>
      </c>
      <c r="G316" s="138">
        <f t="shared" ref="G316" si="586">IF(F316&gt;0,RANK(F316,(F$310:F$328)),0)</f>
        <v>9</v>
      </c>
      <c r="H316" s="189">
        <f>'Averages Pivot Table'!AE$163</f>
        <v>38330.246212104081</v>
      </c>
      <c r="I316" s="138">
        <f t="shared" ref="I316" si="587">IF(H316&gt;0,RANK(H316,(H$310:H$328)),0)</f>
        <v>10</v>
      </c>
      <c r="J316" s="189">
        <f>'Averages Pivot Table'!AE$167</f>
        <v>0</v>
      </c>
      <c r="K316" s="138">
        <f t="shared" ref="K316" si="588">IF(J316&gt;0,RANK(J316,(J$310:J$328)),0)</f>
        <v>0</v>
      </c>
      <c r="L316" s="167">
        <f>'Averages Pivot Table'!AE$171</f>
        <v>0</v>
      </c>
      <c r="M316" s="138">
        <f t="shared" ref="M316" si="589">IF(L316&gt;0,RANK(L316,(L$310:L$328)),0)</f>
        <v>0</v>
      </c>
      <c r="N316" s="189">
        <f>'Averages Pivot Table'!AE$175</f>
        <v>49350.464994083901</v>
      </c>
      <c r="O316" s="138">
        <f t="shared" ref="O316" si="590">IF(N316&gt;0,RANK(N316,(N$310:N$328)),0)</f>
        <v>8</v>
      </c>
    </row>
    <row r="317" spans="1:19" ht="12.95" customHeight="1" x14ac:dyDescent="0.25">
      <c r="A317" s="136" t="s">
        <v>201</v>
      </c>
      <c r="B317" s="189">
        <f>'Averages Pivot Table'!AE$180</f>
        <v>70969.928573631201</v>
      </c>
      <c r="C317" s="138">
        <f t="shared" si="565"/>
        <v>2</v>
      </c>
      <c r="D317" s="189">
        <f>'Averages Pivot Table'!AE$184</f>
        <v>57094.386281840278</v>
      </c>
      <c r="E317" s="138">
        <f t="shared" si="565"/>
        <v>3</v>
      </c>
      <c r="F317" s="189">
        <f>'Averages Pivot Table'!AE$188</f>
        <v>52034.21382537872</v>
      </c>
      <c r="G317" s="138">
        <f t="shared" ref="G317" si="591">IF(F317&gt;0,RANK(F317,(F$310:F$328)),0)</f>
        <v>3</v>
      </c>
      <c r="H317" s="189">
        <f>'Averages Pivot Table'!AE$192</f>
        <v>44045.720736508541</v>
      </c>
      <c r="I317" s="138">
        <f t="shared" ref="I317" si="592">IF(H317&gt;0,RANK(H317,(H$310:H$328)),0)</f>
        <v>4</v>
      </c>
      <c r="J317" s="189">
        <f>'Averages Pivot Table'!AE$196</f>
        <v>0</v>
      </c>
      <c r="K317" s="138">
        <f t="shared" ref="K317" si="593">IF(J317&gt;0,RANK(J317,(J$310:J$328)),0)</f>
        <v>0</v>
      </c>
      <c r="L317" s="167">
        <f>'Averages Pivot Table'!AE$200</f>
        <v>0</v>
      </c>
      <c r="M317" s="138">
        <f t="shared" ref="M317" si="594">IF(L317&gt;0,RANK(L317,(L$310:L$328)),0)</f>
        <v>0</v>
      </c>
      <c r="N317" s="189">
        <f>'Averages Pivot Table'!AE$204</f>
        <v>46096.837595652563</v>
      </c>
      <c r="O317" s="138">
        <f t="shared" ref="O317" si="595">IF(N317&gt;0,RANK(N317,(N$310:N$328)),0)</f>
        <v>15</v>
      </c>
    </row>
    <row r="318" spans="1:19" ht="12.95" customHeight="1" x14ac:dyDescent="0.25">
      <c r="A318" s="136" t="s">
        <v>202</v>
      </c>
      <c r="B318" s="189">
        <f>'Averages Pivot Table'!AE$209</f>
        <v>80967.656611465078</v>
      </c>
      <c r="C318" s="138">
        <f t="shared" si="565"/>
        <v>1</v>
      </c>
      <c r="D318" s="189">
        <f>'Averages Pivot Table'!AE$213</f>
        <v>64692.824934725439</v>
      </c>
      <c r="E318" s="138">
        <f t="shared" si="565"/>
        <v>1</v>
      </c>
      <c r="F318" s="189">
        <f>'Averages Pivot Table'!AE$217</f>
        <v>55924.398453214228</v>
      </c>
      <c r="G318" s="138">
        <f t="shared" ref="G318" si="596">IF(F318&gt;0,RANK(F318,(F$310:F$328)),0)</f>
        <v>1</v>
      </c>
      <c r="H318" s="189">
        <f>'Averages Pivot Table'!AE$221</f>
        <v>48946.854809858211</v>
      </c>
      <c r="I318" s="138">
        <f t="shared" ref="I318" si="597">IF(H318&gt;0,RANK(H318,(H$310:H$328)),0)</f>
        <v>3</v>
      </c>
      <c r="J318" s="189">
        <f>'Averages Pivot Table'!AE$225</f>
        <v>43931.372727272726</v>
      </c>
      <c r="K318" s="138">
        <f t="shared" ref="K318" si="598">IF(J318&gt;0,RANK(J318,(J$310:J$328)),0)</f>
        <v>3</v>
      </c>
      <c r="L318" s="167">
        <f>'Averages Pivot Table'!AE$229</f>
        <v>0</v>
      </c>
      <c r="M318" s="138">
        <f t="shared" ref="M318" si="599">IF(L318&gt;0,RANK(L318,(L$310:L$328)),0)</f>
        <v>0</v>
      </c>
      <c r="N318" s="189">
        <f>'Averages Pivot Table'!AE$233</f>
        <v>66091.621100539749</v>
      </c>
      <c r="O318" s="138">
        <f t="shared" ref="O318" si="600">IF(N318&gt;0,RANK(N318,(N$310:N$328)),0)</f>
        <v>1</v>
      </c>
    </row>
    <row r="319" spans="1:19" ht="12.95" customHeight="1" x14ac:dyDescent="0.25">
      <c r="A319" s="136"/>
      <c r="B319" s="189"/>
      <c r="C319" s="138"/>
      <c r="D319" s="189"/>
      <c r="E319" s="138"/>
      <c r="F319" s="189"/>
      <c r="G319" s="138"/>
      <c r="H319" s="189"/>
      <c r="I319" s="138"/>
      <c r="J319" s="189"/>
      <c r="K319" s="138"/>
      <c r="L319" s="167"/>
      <c r="M319" s="138"/>
      <c r="N319" s="189"/>
      <c r="O319" s="138"/>
    </row>
    <row r="320" spans="1:19" ht="12.95" customHeight="1" x14ac:dyDescent="0.25">
      <c r="A320" s="136" t="s">
        <v>203</v>
      </c>
      <c r="B320" s="189">
        <f>'Averages Pivot Table'!AE$238</f>
        <v>0</v>
      </c>
      <c r="C320" s="138">
        <f t="shared" si="565"/>
        <v>0</v>
      </c>
      <c r="D320" s="189">
        <f>'Averages Pivot Table'!AE$242</f>
        <v>0</v>
      </c>
      <c r="E320" s="138">
        <f t="shared" si="565"/>
        <v>0</v>
      </c>
      <c r="F320" s="189">
        <f>'Averages Pivot Table'!AE$246</f>
        <v>0</v>
      </c>
      <c r="G320" s="138">
        <f t="shared" ref="G320" si="601">IF(F320&gt;0,RANK(F320,(F$310:F$328)),0)</f>
        <v>0</v>
      </c>
      <c r="H320" s="189">
        <f>'Averages Pivot Table'!AE$250</f>
        <v>0</v>
      </c>
      <c r="I320" s="138">
        <f t="shared" ref="I320" si="602">IF(H320&gt;0,RANK(H320,(H$310:H$328)),0)</f>
        <v>0</v>
      </c>
      <c r="J320" s="189">
        <f>'Averages Pivot Table'!AE$254</f>
        <v>0</v>
      </c>
      <c r="K320" s="138">
        <f t="shared" ref="K320" si="603">IF(J320&gt;0,RANK(J320,(J$310:J$328)),0)</f>
        <v>0</v>
      </c>
      <c r="L320" s="167">
        <f>'Averages Pivot Table'!AE$258</f>
        <v>49863.362756856957</v>
      </c>
      <c r="M320" s="138">
        <f t="shared" ref="M320" si="604">IF(L320&gt;0,RANK(L320,(L$310:L$328)),0)</f>
        <v>5</v>
      </c>
      <c r="N320" s="189">
        <f>'Averages Pivot Table'!AE$262</f>
        <v>49863.362756856957</v>
      </c>
      <c r="O320" s="138">
        <f t="shared" ref="O320" si="605">IF(N320&gt;0,RANK(N320,(N$310:N$328)),0)</f>
        <v>7</v>
      </c>
    </row>
    <row r="321" spans="1:16" s="109" customFormat="1" x14ac:dyDescent="0.25">
      <c r="A321" s="136" t="s">
        <v>204</v>
      </c>
      <c r="B321" s="189">
        <f>'Averages Pivot Table'!AE$267</f>
        <v>0</v>
      </c>
      <c r="C321" s="138">
        <f t="shared" si="565"/>
        <v>0</v>
      </c>
      <c r="D321" s="189">
        <f>'Averages Pivot Table'!AE$271</f>
        <v>0</v>
      </c>
      <c r="E321" s="138">
        <f t="shared" si="565"/>
        <v>0</v>
      </c>
      <c r="F321" s="189">
        <f>'Averages Pivot Table'!AE$275</f>
        <v>0</v>
      </c>
      <c r="G321" s="138">
        <f t="shared" ref="G321" si="606">IF(F321&gt;0,RANK(F321,(F$310:F$328)),0)</f>
        <v>0</v>
      </c>
      <c r="H321" s="189">
        <f>'Averages Pivot Table'!AE$279</f>
        <v>0</v>
      </c>
      <c r="I321" s="138">
        <f t="shared" ref="I321" si="607">IF(H321&gt;0,RANK(H321,(H$310:H$328)),0)</f>
        <v>0</v>
      </c>
      <c r="J321" s="189">
        <f>'Averages Pivot Table'!AE$283</f>
        <v>0</v>
      </c>
      <c r="K321" s="138">
        <f t="shared" ref="K321" si="608">IF(J321&gt;0,RANK(J321,(J$310:J$328)),0)</f>
        <v>0</v>
      </c>
      <c r="L321" s="167">
        <f>'Averages Pivot Table'!AE$287</f>
        <v>47272.222963320462</v>
      </c>
      <c r="M321" s="138">
        <f t="shared" ref="M321" si="609">IF(L321&gt;0,RANK(L321,(L$310:L$328)),0)</f>
        <v>7</v>
      </c>
      <c r="N321" s="189">
        <f>'Averages Pivot Table'!AE$291</f>
        <v>47272.222963320462</v>
      </c>
      <c r="O321" s="138">
        <f t="shared" ref="O321" si="610">IF(N321&gt;0,RANK(N321,(N$310:N$328)),0)</f>
        <v>11</v>
      </c>
    </row>
    <row r="322" spans="1:16" s="109" customFormat="1" x14ac:dyDescent="0.25">
      <c r="A322" s="136" t="s">
        <v>205</v>
      </c>
      <c r="B322" s="189">
        <f>'Averages Pivot Table'!AE$296</f>
        <v>0</v>
      </c>
      <c r="C322" s="138">
        <f t="shared" si="565"/>
        <v>0</v>
      </c>
      <c r="D322" s="189">
        <f>'Averages Pivot Table'!AE$300</f>
        <v>0</v>
      </c>
      <c r="E322" s="138">
        <f t="shared" si="565"/>
        <v>0</v>
      </c>
      <c r="F322" s="189">
        <f>'Averages Pivot Table'!AE$304</f>
        <v>0</v>
      </c>
      <c r="G322" s="138">
        <f t="shared" ref="G322" si="611">IF(F322&gt;0,RANK(F322,(F$310:F$328)),0)</f>
        <v>0</v>
      </c>
      <c r="H322" s="189">
        <f>'Averages Pivot Table'!AE$308</f>
        <v>0</v>
      </c>
      <c r="I322" s="138">
        <f t="shared" ref="I322" si="612">IF(H322&gt;0,RANK(H322,(H$310:H$328)),0)</f>
        <v>0</v>
      </c>
      <c r="J322" s="189">
        <f>'Averages Pivot Table'!AE$312</f>
        <v>0</v>
      </c>
      <c r="K322" s="138">
        <f t="shared" ref="K322" si="613">IF(J322&gt;0,RANK(J322,(J$310:J$328)),0)</f>
        <v>0</v>
      </c>
      <c r="L322" s="167">
        <f>'Averages Pivot Table'!AE$316</f>
        <v>49286.332586449695</v>
      </c>
      <c r="M322" s="138">
        <f t="shared" ref="M322" si="614">IF(L322&gt;0,RANK(L322,(L$310:L$328)),0)</f>
        <v>6</v>
      </c>
      <c r="N322" s="189">
        <f>'Averages Pivot Table'!AE$320</f>
        <v>49286.332586449695</v>
      </c>
      <c r="O322" s="138">
        <f t="shared" ref="O322" si="615">IF(N322&gt;0,RANK(N322,(N$310:N$328)),0)</f>
        <v>9</v>
      </c>
    </row>
    <row r="323" spans="1:16" s="109" customFormat="1" x14ac:dyDescent="0.25">
      <c r="A323" s="136" t="s">
        <v>206</v>
      </c>
      <c r="B323" s="189">
        <f>'Averages Pivot Table'!AE$325</f>
        <v>67960.237007424337</v>
      </c>
      <c r="C323" s="138">
        <f t="shared" si="565"/>
        <v>4</v>
      </c>
      <c r="D323" s="189">
        <f>'Averages Pivot Table'!AE$329</f>
        <v>54720.912658602727</v>
      </c>
      <c r="E323" s="138">
        <f t="shared" si="565"/>
        <v>4</v>
      </c>
      <c r="F323" s="189">
        <f>'Averages Pivot Table'!AE$333</f>
        <v>46327.213414634149</v>
      </c>
      <c r="G323" s="138">
        <f t="shared" ref="G323" si="616">IF(F323&gt;0,RANK(F323,(F$310:F$328)),0)</f>
        <v>5</v>
      </c>
      <c r="H323" s="189">
        <f>'Averages Pivot Table'!AE$337</f>
        <v>41714.785121352601</v>
      </c>
      <c r="I323" s="138">
        <f t="shared" ref="I323" si="617">IF(H323&gt;0,RANK(H323,(H$310:H$328)),0)</f>
        <v>5</v>
      </c>
      <c r="J323" s="189">
        <f>'Averages Pivot Table'!AE$341</f>
        <v>46249.62086513995</v>
      </c>
      <c r="K323" s="138">
        <f t="shared" ref="K323" si="618">IF(J323&gt;0,RANK(J323,(J$310:J$328)),0)</f>
        <v>2</v>
      </c>
      <c r="L323" s="167">
        <f>'Averages Pivot Table'!AE$345</f>
        <v>0</v>
      </c>
      <c r="M323" s="138">
        <f t="shared" ref="M323" si="619">IF(L323&gt;0,RANK(L323,(L$310:L$328)),0)</f>
        <v>0</v>
      </c>
      <c r="N323" s="189">
        <f>'Averages Pivot Table'!AE$349</f>
        <v>46416.180627116228</v>
      </c>
      <c r="O323" s="138">
        <f t="shared" ref="O323" si="620">IF(N323&gt;0,RANK(N323,(N$310:N$328)),0)</f>
        <v>14</v>
      </c>
    </row>
    <row r="324" spans="1:16" s="109" customFormat="1" x14ac:dyDescent="0.25">
      <c r="A324" s="136"/>
      <c r="B324" s="189"/>
      <c r="C324" s="138"/>
      <c r="D324" s="189"/>
      <c r="E324" s="138"/>
      <c r="F324" s="189"/>
      <c r="G324" s="138"/>
      <c r="H324" s="189"/>
      <c r="I324" s="138"/>
      <c r="J324" s="189"/>
      <c r="K324" s="138"/>
      <c r="L324" s="167"/>
      <c r="M324" s="138"/>
      <c r="N324" s="189"/>
      <c r="O324" s="138"/>
    </row>
    <row r="325" spans="1:16" s="109" customFormat="1" x14ac:dyDescent="0.25">
      <c r="A325" s="136" t="s">
        <v>207</v>
      </c>
      <c r="B325" s="191">
        <f>'Averages Pivot Table'!AE$354</f>
        <v>60778.664933112668</v>
      </c>
      <c r="C325" s="138">
        <f t="shared" si="565"/>
        <v>8</v>
      </c>
      <c r="D325" s="191">
        <f>'Averages Pivot Table'!AE$358</f>
        <v>50313.274064586767</v>
      </c>
      <c r="E325" s="138">
        <f t="shared" si="565"/>
        <v>9</v>
      </c>
      <c r="F325" s="191">
        <f>'Averages Pivot Table'!AE$362</f>
        <v>43208.219846881875</v>
      </c>
      <c r="G325" s="138">
        <f t="shared" ref="G325" si="621">IF(F325&gt;0,RANK(F325,(F$310:F$328)),0)</f>
        <v>8</v>
      </c>
      <c r="H325" s="191">
        <f>'Averages Pivot Table'!AE$366</f>
        <v>38914.184562940296</v>
      </c>
      <c r="I325" s="138">
        <f t="shared" ref="I325" si="622">IF(H325&gt;0,RANK(H325,(H$310:H$328)),0)</f>
        <v>9</v>
      </c>
      <c r="J325" s="191">
        <f>'Averages Pivot Table'!AE$370</f>
        <v>0</v>
      </c>
      <c r="K325" s="138">
        <f t="shared" ref="K325" si="623">IF(J325&gt;0,RANK(J325,(J$310:J$328)),0)</f>
        <v>0</v>
      </c>
      <c r="L325" s="137">
        <f>'Averages Pivot Table'!AE$374</f>
        <v>0</v>
      </c>
      <c r="M325" s="138">
        <f t="shared" ref="M325" si="624">IF(L325&gt;0,RANK(L325,(L$310:L$328)),0)</f>
        <v>0</v>
      </c>
      <c r="N325" s="191">
        <f>'Averages Pivot Table'!AE$378</f>
        <v>47190.804438172861</v>
      </c>
      <c r="O325" s="138">
        <f t="shared" ref="O325" si="625">IF(N325&gt;0,RANK(N325,(N$310:N$328)),0)</f>
        <v>12</v>
      </c>
    </row>
    <row r="326" spans="1:16" s="109" customFormat="1" x14ac:dyDescent="0.25">
      <c r="A326" s="136" t="s">
        <v>208</v>
      </c>
      <c r="B326" s="191">
        <f>'Averages Pivot Table'!AE$383</f>
        <v>61647.577462446083</v>
      </c>
      <c r="C326" s="138">
        <f t="shared" si="565"/>
        <v>7</v>
      </c>
      <c r="D326" s="191">
        <f>'Averages Pivot Table'!AE$387</f>
        <v>51982.147063936667</v>
      </c>
      <c r="E326" s="138">
        <f t="shared" si="565"/>
        <v>8</v>
      </c>
      <c r="F326" s="191">
        <f>'Averages Pivot Table'!AE$391</f>
        <v>48440.072866164192</v>
      </c>
      <c r="G326" s="138">
        <f t="shared" ref="G326" si="626">IF(F326&gt;0,RANK(F326,(F$310:F$328)),0)</f>
        <v>4</v>
      </c>
      <c r="H326" s="191">
        <f>'Averages Pivot Table'!AE$395</f>
        <v>49138.82943476041</v>
      </c>
      <c r="I326" s="138">
        <f t="shared" ref="I326" si="627">IF(H326&gt;0,RANK(H326,(H$310:H$328)),0)</f>
        <v>2</v>
      </c>
      <c r="J326" s="191">
        <f>'Averages Pivot Table'!AE$399</f>
        <v>40139.674547983312</v>
      </c>
      <c r="K326" s="138">
        <f t="shared" ref="K326" si="628">IF(J326&gt;0,RANK(J326,(J$310:J$328)),0)</f>
        <v>4</v>
      </c>
      <c r="L326" s="137">
        <f>'Averages Pivot Table'!AE$403</f>
        <v>53776.658684268616</v>
      </c>
      <c r="M326" s="138">
        <f t="shared" ref="M326" si="629">IF(L326&gt;0,RANK(L326,(L$310:L$328)),0)</f>
        <v>3</v>
      </c>
      <c r="N326" s="191">
        <f>'Averages Pivot Table'!AE$407</f>
        <v>52811.83831584268</v>
      </c>
      <c r="O326" s="138">
        <f t="shared" ref="O326" si="630">IF(N326&gt;0,RANK(N326,(N$310:N$328)),0)</f>
        <v>6</v>
      </c>
    </row>
    <row r="327" spans="1:16" s="109" customFormat="1" x14ac:dyDescent="0.25">
      <c r="A327" s="136" t="s">
        <v>209</v>
      </c>
      <c r="B327" s="191">
        <f>'Averages Pivot Table'!AE$412</f>
        <v>68361.39560863997</v>
      </c>
      <c r="C327" s="138">
        <f t="shared" si="565"/>
        <v>3</v>
      </c>
      <c r="D327" s="191">
        <f>'Averages Pivot Table'!AE$416</f>
        <v>61348.298885663928</v>
      </c>
      <c r="E327" s="138">
        <f t="shared" si="565"/>
        <v>2</v>
      </c>
      <c r="F327" s="191">
        <f>'Averages Pivot Table'!AE$420</f>
        <v>55023.378005343664</v>
      </c>
      <c r="G327" s="138">
        <f t="shared" ref="G327" si="631">IF(F327&gt;0,RANK(F327,(F$310:F$328)),0)</f>
        <v>2</v>
      </c>
      <c r="H327" s="191">
        <f>'Averages Pivot Table'!AE$424</f>
        <v>49868.269613947698</v>
      </c>
      <c r="I327" s="138">
        <f t="shared" ref="I327" si="632">IF(H327&gt;0,RANK(H327,(H$310:H$328)),0)</f>
        <v>1</v>
      </c>
      <c r="J327" s="191">
        <f>'Averages Pivot Table'!AE$428</f>
        <v>54371.700000000004</v>
      </c>
      <c r="K327" s="138">
        <f t="shared" ref="K327" si="633">IF(J327&gt;0,RANK(J327,(J$310:J$328)),0)</f>
        <v>1</v>
      </c>
      <c r="L327" s="137">
        <f>'Averages Pivot Table'!AE$432</f>
        <v>0</v>
      </c>
      <c r="M327" s="138">
        <f t="shared" ref="M327" si="634">IF(L327&gt;0,RANK(L327,(L$310:L$328)),0)</f>
        <v>0</v>
      </c>
      <c r="N327" s="191">
        <f>'Averages Pivot Table'!AE$436</f>
        <v>58338.548013402571</v>
      </c>
      <c r="O327" s="138">
        <f t="shared" ref="O327" si="635">IF(N327&gt;0,RANK(N327,(N$310:N$328)),0)</f>
        <v>3</v>
      </c>
    </row>
    <row r="328" spans="1:16" s="109" customFormat="1" x14ac:dyDescent="0.25">
      <c r="A328" s="161" t="s">
        <v>210</v>
      </c>
      <c r="B328" s="192">
        <f>'Averages Pivot Table'!AE$441</f>
        <v>63598.233663507315</v>
      </c>
      <c r="C328" s="141">
        <f t="shared" si="565"/>
        <v>5</v>
      </c>
      <c r="D328" s="192">
        <f>'Averages Pivot Table'!AE$445</f>
        <v>54362.097623645328</v>
      </c>
      <c r="E328" s="141">
        <f t="shared" si="565"/>
        <v>5</v>
      </c>
      <c r="F328" s="192">
        <f>'Averages Pivot Table'!AE$449</f>
        <v>45708.787933356034</v>
      </c>
      <c r="G328" s="141">
        <f t="shared" ref="G328" si="636">IF(F328&gt;0,RANK(F328,(F$310:F$328)),0)</f>
        <v>6</v>
      </c>
      <c r="H328" s="192">
        <f>'Averages Pivot Table'!AE$453</f>
        <v>39355.768219838261</v>
      </c>
      <c r="I328" s="141">
        <f t="shared" ref="I328" si="637">IF(H328&gt;0,RANK(H328,(H$310:H$328)),0)</f>
        <v>8</v>
      </c>
      <c r="J328" s="192">
        <f>'Averages Pivot Table'!AE$457</f>
        <v>39658.055727533494</v>
      </c>
      <c r="K328" s="141">
        <f t="shared" ref="K328" si="638">IF(J328&gt;0,RANK(J328,(J$310:J$328)),0)</f>
        <v>5</v>
      </c>
      <c r="L328" s="140">
        <f>'Averages Pivot Table'!AE$461</f>
        <v>0</v>
      </c>
      <c r="M328" s="141">
        <f t="shared" ref="M328" si="639">IF(L328&gt;0,RANK(L328,(L$310:L$328)),0)</f>
        <v>0</v>
      </c>
      <c r="N328" s="192">
        <f>'Averages Pivot Table'!AE$465</f>
        <v>47829.981875728474</v>
      </c>
      <c r="O328" s="141">
        <f t="shared" ref="O328" si="640">IF(N328&gt;0,RANK(N328,(N$310:N$328)),0)</f>
        <v>10</v>
      </c>
    </row>
    <row r="329" spans="1:16" s="109" customFormat="1" ht="28.5" customHeight="1" x14ac:dyDescent="0.25">
      <c r="A329" s="723" t="s">
        <v>187</v>
      </c>
      <c r="B329" s="723"/>
      <c r="C329" s="723"/>
      <c r="D329" s="723"/>
      <c r="E329" s="723"/>
      <c r="F329" s="723"/>
      <c r="G329" s="723"/>
      <c r="H329" s="723"/>
      <c r="I329" s="723"/>
      <c r="J329" s="723"/>
      <c r="K329" s="723"/>
      <c r="L329" s="723"/>
      <c r="M329" s="723"/>
      <c r="N329" s="723"/>
      <c r="O329" s="723"/>
    </row>
    <row r="330" spans="1:16" s="109" customFormat="1" x14ac:dyDescent="0.25">
      <c r="O330" s="102" t="s">
        <v>1124</v>
      </c>
    </row>
    <row r="331" spans="1:16" s="109" customFormat="1" ht="18" x14ac:dyDescent="0.25">
      <c r="A331" s="82" t="s">
        <v>236</v>
      </c>
      <c r="B331" s="82"/>
      <c r="C331" s="82"/>
      <c r="D331" s="82"/>
      <c r="E331" s="82"/>
      <c r="F331" s="82"/>
      <c r="G331" s="82"/>
      <c r="H331" s="82"/>
      <c r="I331" s="82"/>
      <c r="J331" s="82"/>
      <c r="K331" s="82"/>
      <c r="L331" s="82"/>
      <c r="M331" s="82"/>
      <c r="N331" s="82"/>
      <c r="O331" s="82"/>
      <c r="P331" s="200" t="s">
        <v>7</v>
      </c>
    </row>
    <row r="332" spans="1:16" s="109" customFormat="1" x14ac:dyDescent="0.25">
      <c r="A332" s="180"/>
      <c r="B332" s="87"/>
      <c r="C332" s="87"/>
      <c r="D332" s="87"/>
      <c r="E332" s="87"/>
      <c r="F332" s="87"/>
      <c r="G332" s="87"/>
      <c r="H332" s="87"/>
      <c r="I332" s="87"/>
      <c r="J332" s="87"/>
      <c r="K332" s="87"/>
      <c r="L332" s="87"/>
      <c r="M332" s="87"/>
      <c r="N332" s="87"/>
      <c r="O332" s="87"/>
    </row>
    <row r="333" spans="1:16" s="109" customFormat="1" x14ac:dyDescent="0.25">
      <c r="A333" s="707" t="s">
        <v>218</v>
      </c>
      <c r="B333" s="707"/>
      <c r="C333" s="707"/>
      <c r="D333" s="707"/>
      <c r="E333" s="707"/>
      <c r="F333" s="707"/>
      <c r="G333" s="707"/>
      <c r="H333" s="707"/>
      <c r="I333" s="707"/>
      <c r="J333" s="707"/>
      <c r="K333" s="707"/>
      <c r="L333" s="707"/>
      <c r="M333" s="707"/>
      <c r="N333" s="707"/>
      <c r="O333" s="707"/>
    </row>
    <row r="334" spans="1:16" s="109" customFormat="1" x14ac:dyDescent="0.25">
      <c r="A334" s="707" t="s">
        <v>237</v>
      </c>
      <c r="B334" s="707"/>
      <c r="C334" s="707"/>
      <c r="D334" s="707"/>
      <c r="E334" s="707"/>
      <c r="F334" s="707"/>
      <c r="G334" s="707"/>
      <c r="H334" s="707"/>
      <c r="I334" s="707"/>
      <c r="J334" s="707"/>
      <c r="K334" s="707"/>
      <c r="L334" s="707"/>
      <c r="M334" s="707"/>
      <c r="N334" s="707"/>
      <c r="O334" s="707"/>
    </row>
    <row r="335" spans="1:16" s="109" customFormat="1" x14ac:dyDescent="0.25">
      <c r="A335" s="136"/>
      <c r="B335" s="136"/>
      <c r="C335" s="136"/>
      <c r="D335" s="136"/>
      <c r="E335" s="136"/>
      <c r="F335" s="136"/>
      <c r="G335" s="136"/>
      <c r="H335" s="136"/>
      <c r="I335" s="136"/>
      <c r="J335" s="136"/>
      <c r="K335" s="136"/>
      <c r="L335" s="136"/>
      <c r="M335" s="136"/>
      <c r="N335" s="136"/>
      <c r="O335" s="136"/>
    </row>
    <row r="336" spans="1:16" s="109" customFormat="1" x14ac:dyDescent="0.25">
      <c r="A336" s="114"/>
      <c r="B336" s="182" t="s">
        <v>3</v>
      </c>
      <c r="C336" s="183"/>
      <c r="D336" s="184" t="s">
        <v>4</v>
      </c>
      <c r="E336" s="185"/>
      <c r="F336" s="184" t="s">
        <v>5</v>
      </c>
      <c r="G336" s="185"/>
      <c r="H336" s="182" t="s">
        <v>6</v>
      </c>
      <c r="I336" s="183"/>
      <c r="J336" s="184" t="s">
        <v>219</v>
      </c>
      <c r="K336" s="185"/>
      <c r="L336" s="183" t="s">
        <v>23</v>
      </c>
      <c r="M336" s="183"/>
      <c r="N336" s="183" t="s">
        <v>220</v>
      </c>
      <c r="O336" s="183"/>
    </row>
    <row r="337" spans="1:19" x14ac:dyDescent="0.25">
      <c r="A337" s="120"/>
      <c r="B337" s="116" t="s">
        <v>193</v>
      </c>
      <c r="C337" s="115" t="s">
        <v>170</v>
      </c>
      <c r="D337" s="116" t="s">
        <v>193</v>
      </c>
      <c r="E337" s="115" t="s">
        <v>170</v>
      </c>
      <c r="F337" s="116" t="s">
        <v>193</v>
      </c>
      <c r="G337" s="115" t="s">
        <v>170</v>
      </c>
      <c r="H337" s="116" t="s">
        <v>193</v>
      </c>
      <c r="I337" s="115" t="s">
        <v>170</v>
      </c>
      <c r="J337" s="116" t="s">
        <v>193</v>
      </c>
      <c r="K337" s="115" t="s">
        <v>170</v>
      </c>
      <c r="L337" s="116" t="s">
        <v>193</v>
      </c>
      <c r="M337" s="115" t="s">
        <v>170</v>
      </c>
      <c r="N337" s="116" t="s">
        <v>193</v>
      </c>
      <c r="O337" s="115" t="s">
        <v>170</v>
      </c>
    </row>
    <row r="338" spans="1:19" s="127" customFormat="1" ht="18" customHeight="1" x14ac:dyDescent="0.25">
      <c r="A338" s="124" t="s">
        <v>194</v>
      </c>
      <c r="B338" s="151">
        <f>'Averages Pivot Table'!Z$469</f>
        <v>64906.800450636423</v>
      </c>
      <c r="C338" s="151"/>
      <c r="D338" s="151">
        <f>'Averages Pivot Table'!Z$473</f>
        <v>52969.762290537408</v>
      </c>
      <c r="E338" s="151"/>
      <c r="F338" s="151">
        <f>'Averages Pivot Table'!Z$477</f>
        <v>46440.70137479344</v>
      </c>
      <c r="G338" s="151"/>
      <c r="H338" s="151">
        <f>'Averages Pivot Table'!Z$481</f>
        <v>49580.39225348879</v>
      </c>
      <c r="I338" s="151"/>
      <c r="J338" s="151">
        <f>'Averages Pivot Table'!Z$485</f>
        <v>35596.028355387527</v>
      </c>
      <c r="K338" s="151"/>
      <c r="L338" s="151">
        <f>'Averages Pivot Table'!Z$489</f>
        <v>57977.926590538336</v>
      </c>
      <c r="M338" s="151"/>
      <c r="N338" s="151">
        <f>'Averages Pivot Table'!Z$493</f>
        <v>55581.861796773417</v>
      </c>
      <c r="O338" s="187"/>
      <c r="Q338" s="129"/>
      <c r="R338" s="129"/>
      <c r="S338" s="129"/>
    </row>
    <row r="339" spans="1:19" ht="12.95" customHeight="1" x14ac:dyDescent="0.25">
      <c r="A339" s="136"/>
      <c r="B339" s="131"/>
      <c r="C339" s="155"/>
      <c r="D339" s="131"/>
      <c r="E339" s="155"/>
      <c r="F339" s="131"/>
      <c r="G339" s="155"/>
      <c r="H339" s="131"/>
      <c r="I339" s="155"/>
      <c r="J339" s="131"/>
      <c r="K339" s="155"/>
      <c r="L339" s="131"/>
      <c r="M339" s="155"/>
      <c r="N339" s="131"/>
      <c r="O339" s="155"/>
    </row>
    <row r="340" spans="1:19" ht="12.95" customHeight="1" x14ac:dyDescent="0.25">
      <c r="A340" s="136" t="s">
        <v>195</v>
      </c>
      <c r="B340" s="189">
        <f>'Averages Pivot Table'!Z$6</f>
        <v>0</v>
      </c>
      <c r="C340" s="138">
        <f>IF(B340&gt;0,RANK(B340,(B$340:B$358)),0)</f>
        <v>0</v>
      </c>
      <c r="D340" s="189">
        <f>'Averages Pivot Table'!Z$10</f>
        <v>0</v>
      </c>
      <c r="E340" s="138">
        <f>IF(D340&gt;0,RANK(D340,(D$340:D$358)),0)</f>
        <v>0</v>
      </c>
      <c r="F340" s="189">
        <f>'Averages Pivot Table'!Z$14</f>
        <v>0</v>
      </c>
      <c r="G340" s="138">
        <f>IF(F340&gt;0,RANK(F340,(F$340:F$358)),0)</f>
        <v>0</v>
      </c>
      <c r="H340" s="189">
        <f>'Averages Pivot Table'!Z$18</f>
        <v>0</v>
      </c>
      <c r="I340" s="138">
        <f>IF(H340&gt;0,RANK(H340,(H$340:H$358)),0)</f>
        <v>0</v>
      </c>
      <c r="J340" s="189">
        <f>'Averages Pivot Table'!Z$22</f>
        <v>0</v>
      </c>
      <c r="K340" s="138">
        <f>IF(J340&gt;0,RANK(J340,(J$340:J$358)),0)</f>
        <v>0</v>
      </c>
      <c r="L340" s="167">
        <f>'Averages Pivot Table'!Z$26</f>
        <v>0</v>
      </c>
      <c r="M340" s="138">
        <f>IF(L340&gt;0,RANK(L340,(L$340:L$358)),0)</f>
        <v>0</v>
      </c>
      <c r="N340" s="189">
        <f>'Averages Pivot Table'!Z$30</f>
        <v>0</v>
      </c>
      <c r="O340" s="138">
        <f>IF(N340&gt;0,RANK(N340,(N$340:N$358)),0)</f>
        <v>0</v>
      </c>
    </row>
    <row r="341" spans="1:19" ht="12.95" customHeight="1" x14ac:dyDescent="0.25">
      <c r="A341" s="136" t="s">
        <v>196</v>
      </c>
      <c r="B341" s="189">
        <f>'Averages Pivot Table'!Z$35</f>
        <v>0</v>
      </c>
      <c r="C341" s="138">
        <f t="shared" ref="C341:E358" si="641">IF(B341&gt;0,RANK(B341,(B$340:B$358)),0)</f>
        <v>0</v>
      </c>
      <c r="D341" s="189">
        <f>'Averages Pivot Table'!Z$39</f>
        <v>0</v>
      </c>
      <c r="E341" s="138">
        <f t="shared" si="641"/>
        <v>0</v>
      </c>
      <c r="F341" s="189">
        <f>'Averages Pivot Table'!Z$43</f>
        <v>0</v>
      </c>
      <c r="G341" s="138">
        <f t="shared" ref="G341" si="642">IF(F341&gt;0,RANK(F341,(F$340:F$358)),0)</f>
        <v>0</v>
      </c>
      <c r="H341" s="189">
        <f>'Averages Pivot Table'!Z$47</f>
        <v>0</v>
      </c>
      <c r="I341" s="138">
        <f t="shared" ref="I341" si="643">IF(H341&gt;0,RANK(H341,(H$340:H$358)),0)</f>
        <v>0</v>
      </c>
      <c r="J341" s="189">
        <f>'Averages Pivot Table'!Z$51</f>
        <v>0</v>
      </c>
      <c r="K341" s="138">
        <f t="shared" ref="K341" si="644">IF(J341&gt;0,RANK(J341,(J$340:J$358)),0)</f>
        <v>0</v>
      </c>
      <c r="L341" s="167">
        <f>'Averages Pivot Table'!Z$55</f>
        <v>0</v>
      </c>
      <c r="M341" s="138">
        <f t="shared" ref="M341" si="645">IF(L341&gt;0,RANK(L341,(L$340:L$358)),0)</f>
        <v>0</v>
      </c>
      <c r="N341" s="189">
        <f>'Averages Pivot Table'!Z$59</f>
        <v>0</v>
      </c>
      <c r="O341" s="138">
        <f t="shared" ref="O341" si="646">IF(N341&gt;0,RANK(N341,(N$340:N$358)),0)</f>
        <v>0</v>
      </c>
    </row>
    <row r="342" spans="1:19" ht="12.95" customHeight="1" x14ac:dyDescent="0.25">
      <c r="A342" s="136" t="s">
        <v>197</v>
      </c>
      <c r="B342" s="189">
        <f>'Averages Pivot Table'!Z$64</f>
        <v>0</v>
      </c>
      <c r="C342" s="138">
        <f t="shared" si="641"/>
        <v>0</v>
      </c>
      <c r="D342" s="189">
        <f>'Averages Pivot Table'!Z$68</f>
        <v>0</v>
      </c>
      <c r="E342" s="138">
        <f t="shared" si="641"/>
        <v>0</v>
      </c>
      <c r="F342" s="189">
        <f>'Averages Pivot Table'!Z$72</f>
        <v>0</v>
      </c>
      <c r="G342" s="138">
        <f t="shared" ref="G342" si="647">IF(F342&gt;0,RANK(F342,(F$340:F$358)),0)</f>
        <v>0</v>
      </c>
      <c r="H342" s="189">
        <f>'Averages Pivot Table'!Z$76</f>
        <v>0</v>
      </c>
      <c r="I342" s="138">
        <f t="shared" ref="I342" si="648">IF(H342&gt;0,RANK(H342,(H$340:H$358)),0)</f>
        <v>0</v>
      </c>
      <c r="J342" s="189">
        <f>'Averages Pivot Table'!Z$80</f>
        <v>0</v>
      </c>
      <c r="K342" s="138">
        <f t="shared" ref="K342" si="649">IF(J342&gt;0,RANK(J342,(J$340:J$358)),0)</f>
        <v>0</v>
      </c>
      <c r="L342" s="167">
        <f>'Averages Pivot Table'!Z$84</f>
        <v>0</v>
      </c>
      <c r="M342" s="138">
        <f t="shared" ref="M342" si="650">IF(L342&gt;0,RANK(L342,(L$340:L$358)),0)</f>
        <v>0</v>
      </c>
      <c r="N342" s="189">
        <f>'Averages Pivot Table'!Z$88</f>
        <v>0</v>
      </c>
      <c r="O342" s="138">
        <f t="shared" ref="O342" si="651">IF(N342&gt;0,RANK(N342,(N$340:N$358)),0)</f>
        <v>0</v>
      </c>
    </row>
    <row r="343" spans="1:19" ht="12.95" customHeight="1" x14ac:dyDescent="0.25">
      <c r="A343" s="136" t="s">
        <v>198</v>
      </c>
      <c r="B343" s="189">
        <f>'Averages Pivot Table'!Z$93</f>
        <v>0</v>
      </c>
      <c r="C343" s="138">
        <f t="shared" si="641"/>
        <v>0</v>
      </c>
      <c r="D343" s="189">
        <f>'Averages Pivot Table'!Z$97</f>
        <v>0</v>
      </c>
      <c r="E343" s="138">
        <f t="shared" si="641"/>
        <v>0</v>
      </c>
      <c r="F343" s="189">
        <f>'Averages Pivot Table'!Z$101</f>
        <v>0</v>
      </c>
      <c r="G343" s="138">
        <f t="shared" ref="G343" si="652">IF(F343&gt;0,RANK(F343,(F$340:F$358)),0)</f>
        <v>0</v>
      </c>
      <c r="H343" s="189">
        <f>'Averages Pivot Table'!Z$105</f>
        <v>0</v>
      </c>
      <c r="I343" s="138">
        <f t="shared" ref="I343" si="653">IF(H343&gt;0,RANK(H343,(H$340:H$358)),0)</f>
        <v>0</v>
      </c>
      <c r="J343" s="189">
        <f>'Averages Pivot Table'!Z$109</f>
        <v>0</v>
      </c>
      <c r="K343" s="138">
        <f t="shared" ref="K343" si="654">IF(J343&gt;0,RANK(J343,(J$340:J$358)),0)</f>
        <v>0</v>
      </c>
      <c r="L343" s="167">
        <f>'Averages Pivot Table'!Z$113</f>
        <v>58249.675336322871</v>
      </c>
      <c r="M343" s="138">
        <f t="shared" ref="M343" si="655">IF(L343&gt;0,RANK(L343,(L$340:L$358)),0)</f>
        <v>1</v>
      </c>
      <c r="N343" s="189">
        <f>'Averages Pivot Table'!Z$117</f>
        <v>58249.675336322871</v>
      </c>
      <c r="O343" s="138">
        <f t="shared" ref="O343" si="656">IF(N343&gt;0,RANK(N343,(N$340:N$358)),0)</f>
        <v>1</v>
      </c>
    </row>
    <row r="344" spans="1:19" ht="12.95" customHeight="1" x14ac:dyDescent="0.25">
      <c r="A344" s="136"/>
      <c r="B344" s="189"/>
      <c r="C344" s="138"/>
      <c r="D344" s="189"/>
      <c r="E344" s="138"/>
      <c r="F344" s="189"/>
      <c r="G344" s="138"/>
      <c r="H344" s="189"/>
      <c r="I344" s="138"/>
      <c r="J344" s="189"/>
      <c r="K344" s="138"/>
      <c r="L344" s="167"/>
      <c r="M344" s="138"/>
      <c r="N344" s="189"/>
      <c r="O344" s="138"/>
    </row>
    <row r="345" spans="1:19" ht="12.95" customHeight="1" x14ac:dyDescent="0.25">
      <c r="A345" s="136" t="s">
        <v>199</v>
      </c>
      <c r="B345" s="189">
        <f>'Averages Pivot Table'!Z$122</f>
        <v>65946.106019126571</v>
      </c>
      <c r="C345" s="138">
        <f t="shared" si="641"/>
        <v>1</v>
      </c>
      <c r="D345" s="189">
        <f>'Averages Pivot Table'!Z$126</f>
        <v>53181.943577953149</v>
      </c>
      <c r="E345" s="138">
        <f t="shared" si="641"/>
        <v>2</v>
      </c>
      <c r="F345" s="189">
        <f>'Averages Pivot Table'!Z$130</f>
        <v>45373.37168954056</v>
      </c>
      <c r="G345" s="138">
        <f t="shared" ref="G345" si="657">IF(F345&gt;0,RANK(F345,(F$340:F$358)),0)</f>
        <v>2</v>
      </c>
      <c r="H345" s="189">
        <f>'Averages Pivot Table'!Z$134</f>
        <v>41034.088235294119</v>
      </c>
      <c r="I345" s="138">
        <f t="shared" ref="I345" si="658">IF(H345&gt;0,RANK(H345,(H$340:H$358)),0)</f>
        <v>2</v>
      </c>
      <c r="J345" s="189">
        <f>'Averages Pivot Table'!Z$138</f>
        <v>35327.970588235294</v>
      </c>
      <c r="K345" s="138">
        <f t="shared" ref="K345" si="659">IF(J345&gt;0,RANK(J345,(J$340:J$358)),0)</f>
        <v>2</v>
      </c>
      <c r="L345" s="167">
        <f>'Averages Pivot Table'!Z$142</f>
        <v>0</v>
      </c>
      <c r="M345" s="138">
        <f t="shared" ref="M345" si="660">IF(L345&gt;0,RANK(L345,(L$340:L$358)),0)</f>
        <v>0</v>
      </c>
      <c r="N345" s="189">
        <f>'Averages Pivot Table'!Z$146</f>
        <v>50162.290321866407</v>
      </c>
      <c r="O345" s="138">
        <f t="shared" ref="O345" si="661">IF(N345&gt;0,RANK(N345,(N$340:N$358)),0)</f>
        <v>4</v>
      </c>
    </row>
    <row r="346" spans="1:19" ht="12.95" customHeight="1" x14ac:dyDescent="0.25">
      <c r="A346" s="136" t="s">
        <v>200</v>
      </c>
      <c r="B346" s="189">
        <f>'Averages Pivot Table'!Z$151</f>
        <v>0</v>
      </c>
      <c r="C346" s="138">
        <f t="shared" si="641"/>
        <v>0</v>
      </c>
      <c r="D346" s="189">
        <f>'Averages Pivot Table'!Z$155</f>
        <v>0</v>
      </c>
      <c r="E346" s="138">
        <f t="shared" si="641"/>
        <v>0</v>
      </c>
      <c r="F346" s="189">
        <f>'Averages Pivot Table'!Z$159</f>
        <v>0</v>
      </c>
      <c r="G346" s="138">
        <f t="shared" ref="G346" si="662">IF(F346&gt;0,RANK(F346,(F$340:F$358)),0)</f>
        <v>0</v>
      </c>
      <c r="H346" s="189">
        <f>'Averages Pivot Table'!Z$163</f>
        <v>0</v>
      </c>
      <c r="I346" s="138">
        <f t="shared" ref="I346" si="663">IF(H346&gt;0,RANK(H346,(H$340:H$358)),0)</f>
        <v>0</v>
      </c>
      <c r="J346" s="189">
        <f>'Averages Pivot Table'!Z$167</f>
        <v>0</v>
      </c>
      <c r="K346" s="138">
        <f t="shared" ref="K346" si="664">IF(J346&gt;0,RANK(J346,(J$340:J$358)),0)</f>
        <v>0</v>
      </c>
      <c r="L346" s="167">
        <f>'Averages Pivot Table'!Z$171</f>
        <v>0</v>
      </c>
      <c r="M346" s="138">
        <f t="shared" ref="M346" si="665">IF(L346&gt;0,RANK(L346,(L$340:L$358)),0)</f>
        <v>0</v>
      </c>
      <c r="N346" s="189">
        <f>'Averages Pivot Table'!Z$175</f>
        <v>0</v>
      </c>
      <c r="O346" s="138">
        <f t="shared" ref="O346" si="666">IF(N346&gt;0,RANK(N346,(N$340:N$358)),0)</f>
        <v>0</v>
      </c>
    </row>
    <row r="347" spans="1:19" ht="12.95" customHeight="1" x14ac:dyDescent="0.25">
      <c r="A347" s="136" t="s">
        <v>201</v>
      </c>
      <c r="B347" s="189">
        <f>'Averages Pivot Table'!Z$180</f>
        <v>0</v>
      </c>
      <c r="C347" s="138">
        <f t="shared" si="641"/>
        <v>0</v>
      </c>
      <c r="D347" s="189">
        <f>'Averages Pivot Table'!Z$184</f>
        <v>0</v>
      </c>
      <c r="E347" s="138">
        <f t="shared" si="641"/>
        <v>0</v>
      </c>
      <c r="F347" s="189">
        <f>'Averages Pivot Table'!Z$188</f>
        <v>0</v>
      </c>
      <c r="G347" s="138">
        <f t="shared" ref="G347" si="667">IF(F347&gt;0,RANK(F347,(F$340:F$358)),0)</f>
        <v>0</v>
      </c>
      <c r="H347" s="189">
        <f>'Averages Pivot Table'!Z$192</f>
        <v>0</v>
      </c>
      <c r="I347" s="138">
        <f t="shared" ref="I347" si="668">IF(H347&gt;0,RANK(H347,(H$340:H$358)),0)</f>
        <v>0</v>
      </c>
      <c r="J347" s="189">
        <f>'Averages Pivot Table'!Z$196</f>
        <v>0</v>
      </c>
      <c r="K347" s="138">
        <f t="shared" ref="K347" si="669">IF(J347&gt;0,RANK(J347,(J$340:J$358)),0)</f>
        <v>0</v>
      </c>
      <c r="L347" s="167">
        <f>'Averages Pivot Table'!Z$200</f>
        <v>0</v>
      </c>
      <c r="M347" s="138">
        <f t="shared" ref="M347" si="670">IF(L347&gt;0,RANK(L347,(L$340:L$358)),0)</f>
        <v>0</v>
      </c>
      <c r="N347" s="189">
        <f>'Averages Pivot Table'!Z$204</f>
        <v>0</v>
      </c>
      <c r="O347" s="138">
        <f t="shared" ref="O347" si="671">IF(N347&gt;0,RANK(N347,(N$340:N$358)),0)</f>
        <v>0</v>
      </c>
    </row>
    <row r="348" spans="1:19" ht="12.95" customHeight="1" x14ac:dyDescent="0.25">
      <c r="A348" s="136" t="s">
        <v>202</v>
      </c>
      <c r="B348" s="189">
        <f>'Averages Pivot Table'!Z$209</f>
        <v>0</v>
      </c>
      <c r="C348" s="138">
        <f t="shared" si="641"/>
        <v>0</v>
      </c>
      <c r="D348" s="189">
        <f>'Averages Pivot Table'!Z$213</f>
        <v>0</v>
      </c>
      <c r="E348" s="138">
        <f t="shared" si="641"/>
        <v>0</v>
      </c>
      <c r="F348" s="189">
        <f>'Averages Pivot Table'!Z$217</f>
        <v>0</v>
      </c>
      <c r="G348" s="138">
        <f t="shared" ref="G348" si="672">IF(F348&gt;0,RANK(F348,(F$340:F$358)),0)</f>
        <v>0</v>
      </c>
      <c r="H348" s="189">
        <f>'Averages Pivot Table'!Z$221</f>
        <v>0</v>
      </c>
      <c r="I348" s="138">
        <f t="shared" ref="I348" si="673">IF(H348&gt;0,RANK(H348,(H$340:H$358)),0)</f>
        <v>0</v>
      </c>
      <c r="J348" s="189">
        <f>'Averages Pivot Table'!Z$225</f>
        <v>0</v>
      </c>
      <c r="K348" s="138">
        <f t="shared" ref="K348" si="674">IF(J348&gt;0,RANK(J348,(J$340:J$358)),0)</f>
        <v>0</v>
      </c>
      <c r="L348" s="167">
        <f>'Averages Pivot Table'!Z$229</f>
        <v>0</v>
      </c>
      <c r="M348" s="138">
        <f t="shared" ref="M348" si="675">IF(L348&gt;0,RANK(L348,(L$340:L$358)),0)</f>
        <v>0</v>
      </c>
      <c r="N348" s="189">
        <f>'Averages Pivot Table'!Z$233</f>
        <v>0</v>
      </c>
      <c r="O348" s="138">
        <f t="shared" ref="O348" si="676">IF(N348&gt;0,RANK(N348,(N$340:N$358)),0)</f>
        <v>0</v>
      </c>
    </row>
    <row r="349" spans="1:19" ht="12.95" customHeight="1" x14ac:dyDescent="0.25">
      <c r="A349" s="136"/>
      <c r="B349" s="189"/>
      <c r="C349" s="138"/>
      <c r="D349" s="189"/>
      <c r="E349" s="138"/>
      <c r="F349" s="189"/>
      <c r="G349" s="138"/>
      <c r="H349" s="189"/>
      <c r="I349" s="138"/>
      <c r="J349" s="189"/>
      <c r="K349" s="138"/>
      <c r="L349" s="167"/>
      <c r="M349" s="138"/>
      <c r="N349" s="189"/>
      <c r="O349" s="138"/>
    </row>
    <row r="350" spans="1:19" ht="12.95" customHeight="1" x14ac:dyDescent="0.25">
      <c r="A350" s="136" t="s">
        <v>203</v>
      </c>
      <c r="B350" s="189">
        <f>'Averages Pivot Table'!Z$238</f>
        <v>0</v>
      </c>
      <c r="C350" s="138">
        <f t="shared" si="641"/>
        <v>0</v>
      </c>
      <c r="D350" s="189">
        <f>'Averages Pivot Table'!Z$242</f>
        <v>0</v>
      </c>
      <c r="E350" s="138">
        <f t="shared" si="641"/>
        <v>0</v>
      </c>
      <c r="F350" s="189">
        <f>'Averages Pivot Table'!Z$246</f>
        <v>0</v>
      </c>
      <c r="G350" s="138">
        <f t="shared" ref="G350" si="677">IF(F350&gt;0,RANK(F350,(F$340:F$358)),0)</f>
        <v>0</v>
      </c>
      <c r="H350" s="189">
        <f>'Averages Pivot Table'!Z$250</f>
        <v>0</v>
      </c>
      <c r="I350" s="138">
        <f t="shared" ref="I350" si="678">IF(H350&gt;0,RANK(H350,(H$340:H$358)),0)</f>
        <v>0</v>
      </c>
      <c r="J350" s="189">
        <f>'Averages Pivot Table'!Z$254</f>
        <v>0</v>
      </c>
      <c r="K350" s="138">
        <f t="shared" ref="K350" si="679">IF(J350&gt;0,RANK(J350,(J$340:J$358)),0)</f>
        <v>0</v>
      </c>
      <c r="L350" s="167">
        <f>'Averages Pivot Table'!Z$258</f>
        <v>0</v>
      </c>
      <c r="M350" s="138">
        <f t="shared" ref="M350" si="680">IF(L350&gt;0,RANK(L350,(L$340:L$358)),0)</f>
        <v>0</v>
      </c>
      <c r="N350" s="189">
        <f>'Averages Pivot Table'!Z$262</f>
        <v>0</v>
      </c>
      <c r="O350" s="138">
        <f t="shared" ref="O350" si="681">IF(N350&gt;0,RANK(N350,(N$340:N$358)),0)</f>
        <v>0</v>
      </c>
    </row>
    <row r="351" spans="1:19" ht="12.95" customHeight="1" x14ac:dyDescent="0.25">
      <c r="A351" s="136" t="s">
        <v>204</v>
      </c>
      <c r="B351" s="189">
        <f>'Averages Pivot Table'!Z$267</f>
        <v>0</v>
      </c>
      <c r="C351" s="138">
        <f t="shared" si="641"/>
        <v>0</v>
      </c>
      <c r="D351" s="189">
        <f>'Averages Pivot Table'!Z$271</f>
        <v>0</v>
      </c>
      <c r="E351" s="138">
        <f t="shared" si="641"/>
        <v>0</v>
      </c>
      <c r="F351" s="189">
        <f>'Averages Pivot Table'!Z$275</f>
        <v>0</v>
      </c>
      <c r="G351" s="138">
        <f t="shared" ref="G351" si="682">IF(F351&gt;0,RANK(F351,(F$340:F$358)),0)</f>
        <v>0</v>
      </c>
      <c r="H351" s="189">
        <f>'Averages Pivot Table'!Z$279</f>
        <v>0</v>
      </c>
      <c r="I351" s="138">
        <f t="shared" ref="I351" si="683">IF(H351&gt;0,RANK(H351,(H$340:H$358)),0)</f>
        <v>0</v>
      </c>
      <c r="J351" s="189">
        <f>'Averages Pivot Table'!Z$283</f>
        <v>0</v>
      </c>
      <c r="K351" s="138">
        <f t="shared" ref="K351" si="684">IF(J351&gt;0,RANK(J351,(J$340:J$358)),0)</f>
        <v>0</v>
      </c>
      <c r="L351" s="167">
        <f>'Averages Pivot Table'!Z$287</f>
        <v>0</v>
      </c>
      <c r="M351" s="138">
        <f t="shared" ref="M351" si="685">IF(L351&gt;0,RANK(L351,(L$340:L$358)),0)</f>
        <v>0</v>
      </c>
      <c r="N351" s="189">
        <f>'Averages Pivot Table'!Z$291</f>
        <v>0</v>
      </c>
      <c r="O351" s="138">
        <f t="shared" ref="O351" si="686">IF(N351&gt;0,RANK(N351,(N$340:N$358)),0)</f>
        <v>0</v>
      </c>
    </row>
    <row r="352" spans="1:19" ht="12.95" customHeight="1" x14ac:dyDescent="0.25">
      <c r="A352" s="136" t="s">
        <v>205</v>
      </c>
      <c r="B352" s="189">
        <f>'Averages Pivot Table'!Z$296</f>
        <v>0</v>
      </c>
      <c r="C352" s="138">
        <f t="shared" si="641"/>
        <v>0</v>
      </c>
      <c r="D352" s="189">
        <f>'Averages Pivot Table'!Z$300</f>
        <v>0</v>
      </c>
      <c r="E352" s="138">
        <f t="shared" si="641"/>
        <v>0</v>
      </c>
      <c r="F352" s="189">
        <f>'Averages Pivot Table'!Z$304</f>
        <v>0</v>
      </c>
      <c r="G352" s="138">
        <f t="shared" ref="G352" si="687">IF(F352&gt;0,RANK(F352,(F$340:F$358)),0)</f>
        <v>0</v>
      </c>
      <c r="H352" s="189">
        <f>'Averages Pivot Table'!Z$308</f>
        <v>0</v>
      </c>
      <c r="I352" s="138">
        <f t="shared" ref="I352" si="688">IF(H352&gt;0,RANK(H352,(H$340:H$358)),0)</f>
        <v>0</v>
      </c>
      <c r="J352" s="189">
        <f>'Averages Pivot Table'!Z$312</f>
        <v>0</v>
      </c>
      <c r="K352" s="138">
        <f t="shared" ref="K352" si="689">IF(J352&gt;0,RANK(J352,(J$340:J$358)),0)</f>
        <v>0</v>
      </c>
      <c r="L352" s="167">
        <f>'Averages Pivot Table'!Z$316</f>
        <v>55818.207547169812</v>
      </c>
      <c r="M352" s="138">
        <f t="shared" ref="M352" si="690">IF(L352&gt;0,RANK(L352,(L$340:L$358)),0)</f>
        <v>2</v>
      </c>
      <c r="N352" s="189">
        <f>'Averages Pivot Table'!Z$320</f>
        <v>55818.207547169812</v>
      </c>
      <c r="O352" s="138">
        <f t="shared" ref="O352" si="691">IF(N352&gt;0,RANK(N352,(N$340:N$358)),0)</f>
        <v>2</v>
      </c>
    </row>
    <row r="353" spans="1:19" ht="12.95" customHeight="1" x14ac:dyDescent="0.25">
      <c r="A353" s="136" t="s">
        <v>206</v>
      </c>
      <c r="B353" s="189">
        <f>'Averages Pivot Table'!Z$325</f>
        <v>0</v>
      </c>
      <c r="C353" s="138">
        <f t="shared" si="641"/>
        <v>0</v>
      </c>
      <c r="D353" s="189">
        <f>'Averages Pivot Table'!Z$329</f>
        <v>0</v>
      </c>
      <c r="E353" s="138">
        <f t="shared" si="641"/>
        <v>0</v>
      </c>
      <c r="F353" s="189">
        <f>'Averages Pivot Table'!Z$333</f>
        <v>0</v>
      </c>
      <c r="G353" s="138">
        <f t="shared" ref="G353" si="692">IF(F353&gt;0,RANK(F353,(F$340:F$358)),0)</f>
        <v>0</v>
      </c>
      <c r="H353" s="189">
        <f>'Averages Pivot Table'!Z$337</f>
        <v>0</v>
      </c>
      <c r="I353" s="138">
        <f t="shared" ref="I353" si="693">IF(H353&gt;0,RANK(H353,(H$340:H$358)),0)</f>
        <v>0</v>
      </c>
      <c r="J353" s="189">
        <f>'Averages Pivot Table'!Z$341</f>
        <v>0</v>
      </c>
      <c r="K353" s="138">
        <f t="shared" ref="K353" si="694">IF(J353&gt;0,RANK(J353,(J$340:J$358)),0)</f>
        <v>0</v>
      </c>
      <c r="L353" s="167">
        <f>'Averages Pivot Table'!Z$345</f>
        <v>0</v>
      </c>
      <c r="M353" s="138">
        <f t="shared" ref="M353" si="695">IF(L353&gt;0,RANK(L353,(L$340:L$358)),0)</f>
        <v>0</v>
      </c>
      <c r="N353" s="189">
        <f>'Averages Pivot Table'!Z$349</f>
        <v>0</v>
      </c>
      <c r="O353" s="138">
        <f t="shared" ref="O353" si="696">IF(N353&gt;0,RANK(N353,(N$340:N$358)),0)</f>
        <v>0</v>
      </c>
    </row>
    <row r="354" spans="1:19" ht="12.95" customHeight="1" x14ac:dyDescent="0.25">
      <c r="A354" s="136"/>
      <c r="B354" s="189"/>
      <c r="C354" s="138"/>
      <c r="D354" s="189"/>
      <c r="E354" s="138"/>
      <c r="F354" s="189"/>
      <c r="G354" s="138"/>
      <c r="H354" s="189"/>
      <c r="I354" s="138"/>
      <c r="J354" s="189"/>
      <c r="K354" s="138"/>
      <c r="L354" s="167"/>
      <c r="M354" s="138"/>
      <c r="N354" s="189"/>
      <c r="O354" s="138"/>
    </row>
    <row r="355" spans="1:19" ht="12.95" customHeight="1" x14ac:dyDescent="0.25">
      <c r="A355" s="136" t="s">
        <v>207</v>
      </c>
      <c r="B355" s="191">
        <f>'Averages Pivot Table'!Z$354</f>
        <v>0</v>
      </c>
      <c r="C355" s="138">
        <f t="shared" si="641"/>
        <v>0</v>
      </c>
      <c r="D355" s="191">
        <f>'Averages Pivot Table'!Z$358</f>
        <v>0</v>
      </c>
      <c r="E355" s="138">
        <f t="shared" si="641"/>
        <v>0</v>
      </c>
      <c r="F355" s="191">
        <f>'Averages Pivot Table'!Z$362</f>
        <v>0</v>
      </c>
      <c r="G355" s="138">
        <f t="shared" ref="G355" si="697">IF(F355&gt;0,RANK(F355,(F$340:F$358)),0)</f>
        <v>0</v>
      </c>
      <c r="H355" s="191">
        <f>'Averages Pivot Table'!Z$366</f>
        <v>0</v>
      </c>
      <c r="I355" s="138">
        <f t="shared" ref="I355" si="698">IF(H355&gt;0,RANK(H355,(H$340:H$358)),0)</f>
        <v>0</v>
      </c>
      <c r="J355" s="191">
        <f>'Averages Pivot Table'!Z$370</f>
        <v>0</v>
      </c>
      <c r="K355" s="138">
        <f t="shared" ref="K355" si="699">IF(J355&gt;0,RANK(J355,(J$340:J$358)),0)</f>
        <v>0</v>
      </c>
      <c r="L355" s="137">
        <f>'Averages Pivot Table'!Z$374</f>
        <v>0</v>
      </c>
      <c r="M355" s="138">
        <f t="shared" ref="M355" si="700">IF(L355&gt;0,RANK(L355,(L$340:L$358)),0)</f>
        <v>0</v>
      </c>
      <c r="N355" s="191">
        <f>'Averages Pivot Table'!Z$378</f>
        <v>0</v>
      </c>
      <c r="O355" s="138">
        <f t="shared" ref="O355" si="701">IF(N355&gt;0,RANK(N355,(N$340:N$358)),0)</f>
        <v>0</v>
      </c>
    </row>
    <row r="356" spans="1:19" ht="12.95" customHeight="1" x14ac:dyDescent="0.25">
      <c r="A356" s="136" t="s">
        <v>208</v>
      </c>
      <c r="B356" s="191">
        <f>'Averages Pivot Table'!Z$383</f>
        <v>65874.134284651853</v>
      </c>
      <c r="C356" s="138">
        <f t="shared" si="641"/>
        <v>2</v>
      </c>
      <c r="D356" s="191">
        <f>'Averages Pivot Table'!Z$387</f>
        <v>52454.347073910641</v>
      </c>
      <c r="E356" s="138">
        <f t="shared" si="641"/>
        <v>3</v>
      </c>
      <c r="F356" s="191">
        <f>'Averages Pivot Table'!Z$391</f>
        <v>49521.503716216212</v>
      </c>
      <c r="G356" s="138">
        <f t="shared" ref="G356" si="702">IF(F356&gt;0,RANK(F356,(F$340:F$358)),0)</f>
        <v>1</v>
      </c>
      <c r="H356" s="191">
        <f>'Averages Pivot Table'!Z$395</f>
        <v>50930.905150446473</v>
      </c>
      <c r="I356" s="138">
        <f t="shared" ref="I356" si="703">IF(H356&gt;0,RANK(H356,(H$340:H$358)),0)</f>
        <v>1</v>
      </c>
      <c r="J356" s="191">
        <f>'Averages Pivot Table'!Z$399</f>
        <v>0</v>
      </c>
      <c r="K356" s="138">
        <f t="shared" ref="K356" si="704">IF(J356&gt;0,RANK(J356,(J$340:J$358)),0)</f>
        <v>0</v>
      </c>
      <c r="L356" s="137">
        <f>'Averages Pivot Table'!Z$403</f>
        <v>43164</v>
      </c>
      <c r="M356" s="138">
        <f t="shared" ref="M356" si="705">IF(L356&gt;0,RANK(L356,(L$340:L$358)),0)</f>
        <v>3</v>
      </c>
      <c r="N356" s="191">
        <f>'Averages Pivot Table'!Z$407</f>
        <v>52103.272197979895</v>
      </c>
      <c r="O356" s="138">
        <f t="shared" ref="O356" si="706">IF(N356&gt;0,RANK(N356,(N$340:N$358)),0)</f>
        <v>3</v>
      </c>
    </row>
    <row r="357" spans="1:19" ht="12.95" customHeight="1" x14ac:dyDescent="0.25">
      <c r="A357" s="136" t="s">
        <v>209</v>
      </c>
      <c r="B357" s="191">
        <f>'Averages Pivot Table'!Z$412</f>
        <v>0</v>
      </c>
      <c r="C357" s="138">
        <f t="shared" si="641"/>
        <v>0</v>
      </c>
      <c r="D357" s="191">
        <f>'Averages Pivot Table'!Z$416</f>
        <v>0</v>
      </c>
      <c r="E357" s="138">
        <f t="shared" si="641"/>
        <v>0</v>
      </c>
      <c r="F357" s="191">
        <f>'Averages Pivot Table'!Z$420</f>
        <v>0</v>
      </c>
      <c r="G357" s="138">
        <f t="shared" ref="G357" si="707">IF(F357&gt;0,RANK(F357,(F$340:F$358)),0)</f>
        <v>0</v>
      </c>
      <c r="H357" s="191">
        <f>'Averages Pivot Table'!Z$424</f>
        <v>0</v>
      </c>
      <c r="I357" s="138">
        <f t="shared" ref="I357" si="708">IF(H357&gt;0,RANK(H357,(H$340:H$358)),0)</f>
        <v>0</v>
      </c>
      <c r="J357" s="191">
        <f>'Averages Pivot Table'!Z$428</f>
        <v>0</v>
      </c>
      <c r="K357" s="138">
        <f t="shared" ref="K357" si="709">IF(J357&gt;0,RANK(J357,(J$340:J$358)),0)</f>
        <v>0</v>
      </c>
      <c r="L357" s="137">
        <f>'Averages Pivot Table'!Z$432</f>
        <v>0</v>
      </c>
      <c r="M357" s="138">
        <f t="shared" ref="M357" si="710">IF(L357&gt;0,RANK(L357,(L$340:L$358)),0)</f>
        <v>0</v>
      </c>
      <c r="N357" s="191">
        <f>'Averages Pivot Table'!Z$436</f>
        <v>0</v>
      </c>
      <c r="O357" s="138">
        <f t="shared" ref="O357" si="711">IF(N357&gt;0,RANK(N357,(N$340:N$358)),0)</f>
        <v>0</v>
      </c>
    </row>
    <row r="358" spans="1:19" ht="12.95" customHeight="1" x14ac:dyDescent="0.25">
      <c r="A358" s="161" t="s">
        <v>210</v>
      </c>
      <c r="B358" s="192">
        <f>'Averages Pivot Table'!Z$441</f>
        <v>61365.391808559594</v>
      </c>
      <c r="C358" s="141">
        <f t="shared" si="641"/>
        <v>3</v>
      </c>
      <c r="D358" s="192">
        <f>'Averages Pivot Table'!Z$445</f>
        <v>53871.63636363636</v>
      </c>
      <c r="E358" s="141">
        <f t="shared" si="641"/>
        <v>1</v>
      </c>
      <c r="F358" s="192">
        <f>'Averages Pivot Table'!Z$449</f>
        <v>44825.361851332396</v>
      </c>
      <c r="G358" s="141">
        <f t="shared" ref="G358" si="712">IF(F358&gt;0,RANK(F358,(F$340:F$358)),0)</f>
        <v>3</v>
      </c>
      <c r="H358" s="192">
        <f>'Averages Pivot Table'!Z$453</f>
        <v>39256.579116561494</v>
      </c>
      <c r="I358" s="141">
        <f t="shared" ref="I358" si="713">IF(H358&gt;0,RANK(H358,(H$340:H$358)),0)</f>
        <v>3</v>
      </c>
      <c r="J358" s="192">
        <f>'Averages Pivot Table'!Z$457</f>
        <v>36355.52536231884</v>
      </c>
      <c r="K358" s="141">
        <f t="shared" ref="K358" si="714">IF(J358&gt;0,RANK(J358,(J$340:J$358)),0)</f>
        <v>1</v>
      </c>
      <c r="L358" s="140">
        <f>'Averages Pivot Table'!Z$461</f>
        <v>0</v>
      </c>
      <c r="M358" s="141">
        <f t="shared" ref="M358" si="715">IF(L358&gt;0,RANK(L358,(L$340:L$358)),0)</f>
        <v>0</v>
      </c>
      <c r="N358" s="192">
        <f>'Averages Pivot Table'!Z$465</f>
        <v>48385.719796991281</v>
      </c>
      <c r="O358" s="141">
        <f t="shared" ref="O358" si="716">IF(N358&gt;0,RANK(N358,(N$340:N$358)),0)</f>
        <v>5</v>
      </c>
    </row>
    <row r="359" spans="1:19" ht="30" customHeight="1" x14ac:dyDescent="0.25">
      <c r="A359" s="723" t="s">
        <v>187</v>
      </c>
      <c r="B359" s="723"/>
      <c r="C359" s="723"/>
      <c r="D359" s="723"/>
      <c r="E359" s="723"/>
      <c r="F359" s="723"/>
      <c r="G359" s="723"/>
      <c r="H359" s="723"/>
      <c r="I359" s="723"/>
      <c r="J359" s="723"/>
      <c r="K359" s="723"/>
      <c r="L359" s="723"/>
      <c r="M359" s="723"/>
      <c r="N359" s="723"/>
      <c r="O359" s="723"/>
    </row>
    <row r="360" spans="1:19" x14ac:dyDescent="0.25">
      <c r="O360" s="102" t="s">
        <v>1124</v>
      </c>
    </row>
    <row r="361" spans="1:19" ht="18" x14ac:dyDescent="0.25">
      <c r="A361" s="82" t="s">
        <v>238</v>
      </c>
      <c r="B361" s="82"/>
      <c r="C361" s="82"/>
      <c r="D361" s="82"/>
      <c r="E361" s="82"/>
      <c r="F361" s="82"/>
      <c r="G361" s="82"/>
      <c r="H361" s="82"/>
      <c r="I361" s="82"/>
      <c r="J361" s="82"/>
      <c r="K361" s="82"/>
      <c r="L361" s="82"/>
      <c r="M361" s="82"/>
      <c r="N361" s="82"/>
      <c r="O361" s="82"/>
    </row>
    <row r="362" spans="1:19" x14ac:dyDescent="0.25">
      <c r="A362" s="180"/>
      <c r="B362" s="87"/>
      <c r="C362" s="87"/>
      <c r="D362" s="87"/>
      <c r="E362" s="87"/>
      <c r="F362" s="87"/>
      <c r="G362" s="87"/>
      <c r="H362" s="87"/>
      <c r="I362" s="87"/>
      <c r="J362" s="87"/>
      <c r="K362" s="87"/>
      <c r="L362" s="87"/>
      <c r="M362" s="87"/>
      <c r="N362" s="87"/>
      <c r="O362" s="87"/>
    </row>
    <row r="363" spans="1:19" x14ac:dyDescent="0.25">
      <c r="A363" s="707" t="s">
        <v>218</v>
      </c>
      <c r="B363" s="707"/>
      <c r="C363" s="707"/>
      <c r="D363" s="707"/>
      <c r="E363" s="707"/>
      <c r="F363" s="707"/>
      <c r="G363" s="707"/>
      <c r="H363" s="707"/>
      <c r="I363" s="707"/>
      <c r="J363" s="707"/>
      <c r="K363" s="707"/>
      <c r="L363" s="707"/>
      <c r="M363" s="707"/>
      <c r="N363" s="707"/>
      <c r="O363" s="707"/>
    </row>
    <row r="364" spans="1:19" x14ac:dyDescent="0.25">
      <c r="A364" s="707" t="s">
        <v>239</v>
      </c>
      <c r="B364" s="707"/>
      <c r="C364" s="707"/>
      <c r="D364" s="707"/>
      <c r="E364" s="707"/>
      <c r="F364" s="707"/>
      <c r="G364" s="707"/>
      <c r="H364" s="707"/>
      <c r="I364" s="707"/>
      <c r="J364" s="707"/>
      <c r="K364" s="707"/>
      <c r="L364" s="707"/>
      <c r="M364" s="707"/>
      <c r="N364" s="707"/>
      <c r="O364" s="707"/>
    </row>
    <row r="365" spans="1:19" x14ac:dyDescent="0.25">
      <c r="A365" s="136"/>
      <c r="B365" s="136"/>
      <c r="C365" s="136"/>
      <c r="D365" s="136"/>
      <c r="E365" s="136"/>
      <c r="F365" s="136"/>
      <c r="G365" s="136"/>
      <c r="H365" s="136"/>
      <c r="I365" s="136"/>
      <c r="J365" s="136"/>
      <c r="K365" s="136"/>
      <c r="L365" s="136"/>
      <c r="M365" s="136"/>
      <c r="N365" s="136"/>
      <c r="O365" s="136"/>
    </row>
    <row r="366" spans="1:19" ht="31.5" customHeight="1" x14ac:dyDescent="0.25">
      <c r="A366" s="114"/>
      <c r="B366" s="182" t="s">
        <v>3</v>
      </c>
      <c r="C366" s="183"/>
      <c r="D366" s="184" t="s">
        <v>4</v>
      </c>
      <c r="E366" s="185"/>
      <c r="F366" s="184" t="s">
        <v>5</v>
      </c>
      <c r="G366" s="185"/>
      <c r="H366" s="182" t="s">
        <v>6</v>
      </c>
      <c r="I366" s="183"/>
      <c r="J366" s="184" t="s">
        <v>219</v>
      </c>
      <c r="K366" s="185"/>
      <c r="L366" s="183" t="s">
        <v>23</v>
      </c>
      <c r="M366" s="183"/>
      <c r="N366" s="183" t="s">
        <v>220</v>
      </c>
      <c r="O366" s="183"/>
    </row>
    <row r="367" spans="1:19" x14ac:dyDescent="0.25">
      <c r="A367" s="120"/>
      <c r="B367" s="116" t="s">
        <v>193</v>
      </c>
      <c r="C367" s="115" t="s">
        <v>170</v>
      </c>
      <c r="D367" s="116" t="s">
        <v>193</v>
      </c>
      <c r="E367" s="115" t="s">
        <v>170</v>
      </c>
      <c r="F367" s="116" t="s">
        <v>193</v>
      </c>
      <c r="G367" s="115" t="s">
        <v>170</v>
      </c>
      <c r="H367" s="116" t="s">
        <v>193</v>
      </c>
      <c r="I367" s="115" t="s">
        <v>170</v>
      </c>
      <c r="J367" s="116" t="s">
        <v>193</v>
      </c>
      <c r="K367" s="115" t="s">
        <v>170</v>
      </c>
      <c r="L367" s="116" t="s">
        <v>193</v>
      </c>
      <c r="M367" s="115" t="s">
        <v>170</v>
      </c>
      <c r="N367" s="116" t="s">
        <v>193</v>
      </c>
      <c r="O367" s="115" t="s">
        <v>170</v>
      </c>
    </row>
    <row r="368" spans="1:19" s="127" customFormat="1" ht="18" customHeight="1" x14ac:dyDescent="0.25">
      <c r="A368" s="124" t="s">
        <v>194</v>
      </c>
      <c r="B368" s="151">
        <f>'Averages Pivot Table'!AA$469</f>
        <v>69083.250259977402</v>
      </c>
      <c r="C368" s="151"/>
      <c r="D368" s="151">
        <f>'Averages Pivot Table'!AA$473</f>
        <v>55416.499175070945</v>
      </c>
      <c r="E368" s="151"/>
      <c r="F368" s="151">
        <f>'Averages Pivot Table'!AA$477</f>
        <v>50927.179283945152</v>
      </c>
      <c r="G368" s="151"/>
      <c r="H368" s="151">
        <f>'Averages Pivot Table'!AA$481</f>
        <v>48457.819557151597</v>
      </c>
      <c r="I368" s="151"/>
      <c r="J368" s="151">
        <f>'Averages Pivot Table'!AA$485</f>
        <v>42907.92054335522</v>
      </c>
      <c r="K368" s="151"/>
      <c r="L368" s="151">
        <f>'Averages Pivot Table'!AA$489</f>
        <v>51697.846039436132</v>
      </c>
      <c r="M368" s="151"/>
      <c r="N368" s="151">
        <f>'Averages Pivot Table'!AA$493</f>
        <v>53003.10844698143</v>
      </c>
      <c r="O368" s="187"/>
      <c r="Q368" s="129"/>
      <c r="R368" s="129"/>
      <c r="S368" s="129"/>
    </row>
    <row r="369" spans="1:15" s="109" customFormat="1" x14ac:dyDescent="0.25">
      <c r="A369" s="136"/>
      <c r="B369" s="131"/>
      <c r="C369" s="155"/>
      <c r="D369" s="131"/>
      <c r="E369" s="155"/>
      <c r="F369" s="131"/>
      <c r="G369" s="155"/>
      <c r="H369" s="131"/>
      <c r="I369" s="155"/>
      <c r="J369" s="131"/>
      <c r="K369" s="155"/>
      <c r="L369" s="131"/>
      <c r="M369" s="155"/>
      <c r="N369" s="131"/>
      <c r="O369" s="155"/>
    </row>
    <row r="370" spans="1:15" s="109" customFormat="1" x14ac:dyDescent="0.25">
      <c r="A370" s="136" t="s">
        <v>195</v>
      </c>
      <c r="B370" s="189">
        <f>'Averages Pivot Table'!AA$6</f>
        <v>0</v>
      </c>
      <c r="C370" s="138">
        <f>IF(B370&gt;0,RANK(B370,(B$370:B$388)),0)</f>
        <v>0</v>
      </c>
      <c r="D370" s="189">
        <f>'Averages Pivot Table'!AA$10</f>
        <v>0</v>
      </c>
      <c r="E370" s="138">
        <f>IF(D370&gt;0,RANK(D370,(D$370:D$388)),0)</f>
        <v>0</v>
      </c>
      <c r="F370" s="189">
        <f>'Averages Pivot Table'!AA$14</f>
        <v>0</v>
      </c>
      <c r="G370" s="138">
        <f>IF(F370&gt;0,RANK(F370,(F$370:F$388)),0)</f>
        <v>0</v>
      </c>
      <c r="H370" s="189">
        <f>'Averages Pivot Table'!AA$18</f>
        <v>0</v>
      </c>
      <c r="I370" s="138">
        <f>IF(H370&gt;0,RANK(H370,(H$370:H$388)),0)</f>
        <v>0</v>
      </c>
      <c r="J370" s="189">
        <f>'Averages Pivot Table'!AA$22</f>
        <v>0</v>
      </c>
      <c r="K370" s="138">
        <f>IF(J370&gt;0,RANK(J370,(J$370:J$388)),0)</f>
        <v>0</v>
      </c>
      <c r="L370" s="167">
        <f>'Averages Pivot Table'!AA$26</f>
        <v>53651.210518833046</v>
      </c>
      <c r="M370" s="138">
        <f>IF(L370&gt;0,RANK(L370,(L$370:L$388)),0)</f>
        <v>3</v>
      </c>
      <c r="N370" s="189">
        <f>'Averages Pivot Table'!AA$30</f>
        <v>53651.210518833046</v>
      </c>
      <c r="O370" s="138">
        <f>IF(N370&gt;0,RANK(N370,(N$370:N$388)),0)</f>
        <v>4</v>
      </c>
    </row>
    <row r="371" spans="1:15" s="109" customFormat="1" x14ac:dyDescent="0.25">
      <c r="A371" s="136" t="s">
        <v>196</v>
      </c>
      <c r="B371" s="189">
        <f>'Averages Pivot Table'!AA$35</f>
        <v>0</v>
      </c>
      <c r="C371" s="138">
        <f t="shared" ref="C371:E388" si="717">IF(B371&gt;0,RANK(B371,(B$370:B$388)),0)</f>
        <v>0</v>
      </c>
      <c r="D371" s="189">
        <f>'Averages Pivot Table'!AA$39</f>
        <v>0</v>
      </c>
      <c r="E371" s="138">
        <f t="shared" si="717"/>
        <v>0</v>
      </c>
      <c r="F371" s="189">
        <f>'Averages Pivot Table'!AA$43</f>
        <v>0</v>
      </c>
      <c r="G371" s="138">
        <f t="shared" ref="G371" si="718">IF(F371&gt;0,RANK(F371,(F$370:F$388)),0)</f>
        <v>0</v>
      </c>
      <c r="H371" s="189">
        <f>'Averages Pivot Table'!AA$47</f>
        <v>0</v>
      </c>
      <c r="I371" s="138">
        <f t="shared" ref="I371" si="719">IF(H371&gt;0,RANK(H371,(H$370:H$388)),0)</f>
        <v>0</v>
      </c>
      <c r="J371" s="189">
        <f>'Averages Pivot Table'!AA$51</f>
        <v>0</v>
      </c>
      <c r="K371" s="138">
        <f t="shared" ref="K371" si="720">IF(J371&gt;0,RANK(J371,(J$370:J$388)),0)</f>
        <v>0</v>
      </c>
      <c r="L371" s="167">
        <f>'Averages Pivot Table'!AA$55</f>
        <v>50264.150738843142</v>
      </c>
      <c r="M371" s="138">
        <f t="shared" ref="M371" si="721">IF(L371&gt;0,RANK(L371,(L$370:L$388)),0)</f>
        <v>6</v>
      </c>
      <c r="N371" s="189">
        <f>'Averages Pivot Table'!AA$59</f>
        <v>50264.150738843142</v>
      </c>
      <c r="O371" s="138">
        <f t="shared" ref="O371" si="722">IF(N371&gt;0,RANK(N371,(N$370:N$388)),0)</f>
        <v>8</v>
      </c>
    </row>
    <row r="372" spans="1:15" s="109" customFormat="1" x14ac:dyDescent="0.25">
      <c r="A372" s="136" t="s">
        <v>197</v>
      </c>
      <c r="B372" s="189">
        <f>'Averages Pivot Table'!AA$64</f>
        <v>0</v>
      </c>
      <c r="C372" s="138">
        <f t="shared" si="717"/>
        <v>0</v>
      </c>
      <c r="D372" s="189">
        <f>'Averages Pivot Table'!AA$68</f>
        <v>0</v>
      </c>
      <c r="E372" s="138">
        <f t="shared" si="717"/>
        <v>0</v>
      </c>
      <c r="F372" s="189">
        <f>'Averages Pivot Table'!AA$72</f>
        <v>0</v>
      </c>
      <c r="G372" s="138">
        <f t="shared" ref="G372" si="723">IF(F372&gt;0,RANK(F372,(F$370:F$388)),0)</f>
        <v>0</v>
      </c>
      <c r="H372" s="189">
        <f>'Averages Pivot Table'!AA$76</f>
        <v>0</v>
      </c>
      <c r="I372" s="138">
        <f t="shared" ref="I372" si="724">IF(H372&gt;0,RANK(H372,(H$370:H$388)),0)</f>
        <v>0</v>
      </c>
      <c r="J372" s="189">
        <f>'Averages Pivot Table'!AA$80</f>
        <v>0</v>
      </c>
      <c r="K372" s="138">
        <f t="shared" ref="K372" si="725">IF(J372&gt;0,RANK(J372,(J$370:J$388)),0)</f>
        <v>0</v>
      </c>
      <c r="L372" s="167">
        <f>'Averages Pivot Table'!AA$84</f>
        <v>64151.829181494664</v>
      </c>
      <c r="M372" s="138">
        <f t="shared" ref="M372" si="726">IF(L372&gt;0,RANK(L372,(L$370:L$388)),0)</f>
        <v>1</v>
      </c>
      <c r="N372" s="189">
        <f>'Averages Pivot Table'!AA$88</f>
        <v>64151.829181494664</v>
      </c>
      <c r="O372" s="138">
        <f t="shared" ref="O372" si="727">IF(N372&gt;0,RANK(N372,(N$370:N$388)),0)</f>
        <v>2</v>
      </c>
    </row>
    <row r="373" spans="1:15" s="109" customFormat="1" x14ac:dyDescent="0.25">
      <c r="A373" s="136" t="s">
        <v>198</v>
      </c>
      <c r="B373" s="189">
        <f>'Averages Pivot Table'!AA$93</f>
        <v>0</v>
      </c>
      <c r="C373" s="138">
        <f t="shared" si="717"/>
        <v>0</v>
      </c>
      <c r="D373" s="189">
        <f>'Averages Pivot Table'!AA$97</f>
        <v>0</v>
      </c>
      <c r="E373" s="138">
        <f t="shared" si="717"/>
        <v>0</v>
      </c>
      <c r="F373" s="189">
        <f>'Averages Pivot Table'!AA$101</f>
        <v>0</v>
      </c>
      <c r="G373" s="138">
        <f t="shared" ref="G373" si="728">IF(F373&gt;0,RANK(F373,(F$370:F$388)),0)</f>
        <v>0</v>
      </c>
      <c r="H373" s="189">
        <f>'Averages Pivot Table'!AA$105</f>
        <v>0</v>
      </c>
      <c r="I373" s="138">
        <f t="shared" ref="I373" si="729">IF(H373&gt;0,RANK(H373,(H$370:H$388)),0)</f>
        <v>0</v>
      </c>
      <c r="J373" s="189">
        <f>'Averages Pivot Table'!AA$109</f>
        <v>0</v>
      </c>
      <c r="K373" s="138">
        <f t="shared" ref="K373" si="730">IF(J373&gt;0,RANK(J373,(J$370:J$388)),0)</f>
        <v>0</v>
      </c>
      <c r="L373" s="167">
        <f>'Averages Pivot Table'!AA$113</f>
        <v>52980.109686128926</v>
      </c>
      <c r="M373" s="138">
        <f t="shared" ref="M373" si="731">IF(L373&gt;0,RANK(L373,(L$370:L$388)),0)</f>
        <v>4</v>
      </c>
      <c r="N373" s="189">
        <f>'Averages Pivot Table'!AA$117</f>
        <v>52980.109686128926</v>
      </c>
      <c r="O373" s="138">
        <f t="shared" ref="O373" si="732">IF(N373&gt;0,RANK(N373,(N$370:N$388)),0)</f>
        <v>5</v>
      </c>
    </row>
    <row r="374" spans="1:15" s="109" customFormat="1" x14ac:dyDescent="0.25">
      <c r="A374" s="136"/>
      <c r="B374" s="189"/>
      <c r="C374" s="138"/>
      <c r="D374" s="189"/>
      <c r="E374" s="138"/>
      <c r="F374" s="189"/>
      <c r="G374" s="138"/>
      <c r="H374" s="189"/>
      <c r="I374" s="138"/>
      <c r="J374" s="189"/>
      <c r="K374" s="138"/>
      <c r="L374" s="167"/>
      <c r="M374" s="138"/>
      <c r="N374" s="189"/>
      <c r="O374" s="138"/>
    </row>
    <row r="375" spans="1:15" s="109" customFormat="1" x14ac:dyDescent="0.25">
      <c r="A375" s="136" t="s">
        <v>199</v>
      </c>
      <c r="B375" s="189">
        <f>'Averages Pivot Table'!AA$122</f>
        <v>63137.722419928825</v>
      </c>
      <c r="C375" s="138">
        <f t="shared" si="717"/>
        <v>4</v>
      </c>
      <c r="D375" s="189">
        <f>'Averages Pivot Table'!AA$126</f>
        <v>55797.472906403942</v>
      </c>
      <c r="E375" s="138">
        <f t="shared" si="717"/>
        <v>3</v>
      </c>
      <c r="F375" s="189">
        <f>'Averages Pivot Table'!AA$130</f>
        <v>44936.854285714282</v>
      </c>
      <c r="G375" s="138">
        <f t="shared" ref="G375" si="733">IF(F375&gt;0,RANK(F375,(F$370:F$388)),0)</f>
        <v>4</v>
      </c>
      <c r="H375" s="189">
        <f>'Averages Pivot Table'!AA$134</f>
        <v>38723.736585365856</v>
      </c>
      <c r="I375" s="138">
        <f t="shared" ref="I375" si="734">IF(H375&gt;0,RANK(H375,(H$370:H$388)),0)</f>
        <v>6</v>
      </c>
      <c r="J375" s="189">
        <f>'Averages Pivot Table'!AA$138</f>
        <v>37534.026315789473</v>
      </c>
      <c r="K375" s="138">
        <f t="shared" ref="K375" si="735">IF(J375&gt;0,RANK(J375,(J$370:J$388)),0)</f>
        <v>4</v>
      </c>
      <c r="L375" s="167">
        <f>'Averages Pivot Table'!AA$142</f>
        <v>0</v>
      </c>
      <c r="M375" s="138">
        <f t="shared" ref="M375" si="736">IF(L375&gt;0,RANK(L375,(L$370:L$388)),0)</f>
        <v>0</v>
      </c>
      <c r="N375" s="189">
        <f>'Averages Pivot Table'!AA$146</f>
        <v>45253.652249832601</v>
      </c>
      <c r="O375" s="138">
        <f t="shared" ref="O375" si="737">IF(N375&gt;0,RANK(N375,(N$370:N$388)),0)</f>
        <v>14</v>
      </c>
    </row>
    <row r="376" spans="1:15" s="109" customFormat="1" x14ac:dyDescent="0.25">
      <c r="A376" s="136" t="s">
        <v>200</v>
      </c>
      <c r="B376" s="189">
        <f>'Averages Pivot Table'!AA$151</f>
        <v>60508.436255635395</v>
      </c>
      <c r="C376" s="138">
        <f t="shared" si="717"/>
        <v>5</v>
      </c>
      <c r="D376" s="189">
        <f>'Averages Pivot Table'!AA$155</f>
        <v>49955.312834097429</v>
      </c>
      <c r="E376" s="138">
        <f t="shared" si="717"/>
        <v>6</v>
      </c>
      <c r="F376" s="189">
        <f>'Averages Pivot Table'!AA$159</f>
        <v>44038.115371763939</v>
      </c>
      <c r="G376" s="138">
        <f t="shared" ref="G376" si="738">IF(F376&gt;0,RANK(F376,(F$370:F$388)),0)</f>
        <v>5</v>
      </c>
      <c r="H376" s="189">
        <f>'Averages Pivot Table'!AA$163</f>
        <v>40300.322406479223</v>
      </c>
      <c r="I376" s="138">
        <f t="shared" ref="I376" si="739">IF(H376&gt;0,RANK(H376,(H$370:H$388)),0)</f>
        <v>4</v>
      </c>
      <c r="J376" s="189">
        <f>'Averages Pivot Table'!AA$167</f>
        <v>0</v>
      </c>
      <c r="K376" s="138">
        <f t="shared" ref="K376" si="740">IF(J376&gt;0,RANK(J376,(J$370:J$388)),0)</f>
        <v>0</v>
      </c>
      <c r="L376" s="167">
        <f>'Averages Pivot Table'!AA$171</f>
        <v>0</v>
      </c>
      <c r="M376" s="138">
        <f t="shared" ref="M376" si="741">IF(L376&gt;0,RANK(L376,(L$370:L$388)),0)</f>
        <v>0</v>
      </c>
      <c r="N376" s="189">
        <f>'Averages Pivot Table'!AA$175</f>
        <v>50846.689368881183</v>
      </c>
      <c r="O376" s="138">
        <f t="shared" ref="O376" si="742">IF(N376&gt;0,RANK(N376,(N$370:N$388)),0)</f>
        <v>7</v>
      </c>
    </row>
    <row r="377" spans="1:15" s="109" customFormat="1" x14ac:dyDescent="0.25">
      <c r="A377" s="136" t="s">
        <v>201</v>
      </c>
      <c r="B377" s="189">
        <f>'Averages Pivot Table'!AA$180</f>
        <v>76296.133782581921</v>
      </c>
      <c r="C377" s="138">
        <f t="shared" si="717"/>
        <v>2</v>
      </c>
      <c r="D377" s="189">
        <f>'Averages Pivot Table'!AA$184</f>
        <v>61946.425976168641</v>
      </c>
      <c r="E377" s="138">
        <f t="shared" si="717"/>
        <v>2</v>
      </c>
      <c r="F377" s="189">
        <f>'Averages Pivot Table'!AA$188</f>
        <v>56143.993500317054</v>
      </c>
      <c r="G377" s="138">
        <f t="shared" ref="G377" si="743">IF(F377&gt;0,RANK(F377,(F$370:F$388)),0)</f>
        <v>2</v>
      </c>
      <c r="H377" s="189">
        <f>'Averages Pivot Table'!AA$192</f>
        <v>48217.513386678896</v>
      </c>
      <c r="I377" s="138">
        <f t="shared" ref="I377" si="744">IF(H377&gt;0,RANK(H377,(H$370:H$388)),0)</f>
        <v>3</v>
      </c>
      <c r="J377" s="189">
        <f>'Averages Pivot Table'!AA$196</f>
        <v>0</v>
      </c>
      <c r="K377" s="138">
        <f t="shared" ref="K377" si="745">IF(J377&gt;0,RANK(J377,(J$370:J$388)),0)</f>
        <v>0</v>
      </c>
      <c r="L377" s="167">
        <f>'Averages Pivot Table'!AA$200</f>
        <v>0</v>
      </c>
      <c r="M377" s="138">
        <f t="shared" ref="M377" si="746">IF(L377&gt;0,RANK(L377,(L$370:L$388)),0)</f>
        <v>0</v>
      </c>
      <c r="N377" s="189">
        <f>'Averages Pivot Table'!AA$204</f>
        <v>47944.069622085342</v>
      </c>
      <c r="O377" s="138">
        <f t="shared" ref="O377" si="747">IF(N377&gt;0,RANK(N377,(N$370:N$388)),0)</f>
        <v>10</v>
      </c>
    </row>
    <row r="378" spans="1:15" s="109" customFormat="1" x14ac:dyDescent="0.25">
      <c r="A378" s="136" t="s">
        <v>202</v>
      </c>
      <c r="B378" s="189">
        <f>'Averages Pivot Table'!AA$209</f>
        <v>82930.328239645401</v>
      </c>
      <c r="C378" s="138">
        <f t="shared" si="717"/>
        <v>1</v>
      </c>
      <c r="D378" s="189">
        <f>'Averages Pivot Table'!AA$213</f>
        <v>65962.115240188141</v>
      </c>
      <c r="E378" s="138">
        <f t="shared" si="717"/>
        <v>1</v>
      </c>
      <c r="F378" s="189">
        <f>'Averages Pivot Table'!AA$217</f>
        <v>57789.315131751762</v>
      </c>
      <c r="G378" s="138">
        <f t="shared" ref="G378" si="748">IF(F378&gt;0,RANK(F378,(F$370:F$388)),0)</f>
        <v>1</v>
      </c>
      <c r="H378" s="189">
        <f>'Averages Pivot Table'!AA$221</f>
        <v>51319.861989445206</v>
      </c>
      <c r="I378" s="138">
        <f t="shared" ref="I378" si="749">IF(H378&gt;0,RANK(H378,(H$370:H$388)),0)</f>
        <v>1</v>
      </c>
      <c r="J378" s="189">
        <f>'Averages Pivot Table'!AA$225</f>
        <v>48944.25</v>
      </c>
      <c r="K378" s="138">
        <f t="shared" ref="K378" si="750">IF(J378&gt;0,RANK(J378,(J$370:J$388)),0)</f>
        <v>1</v>
      </c>
      <c r="L378" s="167">
        <f>'Averages Pivot Table'!AA$229</f>
        <v>0</v>
      </c>
      <c r="M378" s="138">
        <f t="shared" ref="M378" si="751">IF(L378&gt;0,RANK(L378,(L$370:L$388)),0)</f>
        <v>0</v>
      </c>
      <c r="N378" s="189">
        <f>'Averages Pivot Table'!AA$233</f>
        <v>69171.780951432738</v>
      </c>
      <c r="O378" s="138">
        <f t="shared" ref="O378" si="752">IF(N378&gt;0,RANK(N378,(N$370:N$388)),0)</f>
        <v>1</v>
      </c>
    </row>
    <row r="379" spans="1:15" s="109" customFormat="1" x14ac:dyDescent="0.25">
      <c r="A379" s="136"/>
      <c r="B379" s="189"/>
      <c r="C379" s="138"/>
      <c r="D379" s="189"/>
      <c r="E379" s="138"/>
      <c r="F379" s="189"/>
      <c r="G379" s="138"/>
      <c r="H379" s="189"/>
      <c r="I379" s="138"/>
      <c r="J379" s="189"/>
      <c r="K379" s="138"/>
      <c r="L379" s="167"/>
      <c r="M379" s="138"/>
      <c r="N379" s="189"/>
      <c r="O379" s="138"/>
    </row>
    <row r="380" spans="1:15" s="109" customFormat="1" x14ac:dyDescent="0.25">
      <c r="A380" s="136" t="s">
        <v>203</v>
      </c>
      <c r="B380" s="189">
        <f>'Averages Pivot Table'!AA$238</f>
        <v>0</v>
      </c>
      <c r="C380" s="138">
        <f t="shared" si="717"/>
        <v>0</v>
      </c>
      <c r="D380" s="189">
        <f>'Averages Pivot Table'!AA$242</f>
        <v>0</v>
      </c>
      <c r="E380" s="138">
        <f t="shared" si="717"/>
        <v>0</v>
      </c>
      <c r="F380" s="189">
        <f>'Averages Pivot Table'!AA$246</f>
        <v>0</v>
      </c>
      <c r="G380" s="138">
        <f t="shared" ref="G380" si="753">IF(F380&gt;0,RANK(F380,(F$370:F$388)),0)</f>
        <v>0</v>
      </c>
      <c r="H380" s="189">
        <f>'Averages Pivot Table'!AA$250</f>
        <v>0</v>
      </c>
      <c r="I380" s="138">
        <f t="shared" ref="I380" si="754">IF(H380&gt;0,RANK(H380,(H$370:H$388)),0)</f>
        <v>0</v>
      </c>
      <c r="J380" s="189">
        <f>'Averages Pivot Table'!AA$254</f>
        <v>0</v>
      </c>
      <c r="K380" s="138">
        <f t="shared" ref="K380" si="755">IF(J380&gt;0,RANK(J380,(J$370:J$388)),0)</f>
        <v>0</v>
      </c>
      <c r="L380" s="167">
        <f>'Averages Pivot Table'!AA$258</f>
        <v>49683.262123226828</v>
      </c>
      <c r="M380" s="138">
        <f t="shared" ref="M380" si="756">IF(L380&gt;0,RANK(L380,(L$370:L$388)),0)</f>
        <v>7</v>
      </c>
      <c r="N380" s="189">
        <f>'Averages Pivot Table'!AA$262</f>
        <v>49683.262123226828</v>
      </c>
      <c r="O380" s="138">
        <f t="shared" ref="O380" si="757">IF(N380&gt;0,RANK(N380,(N$370:N$388)),0)</f>
        <v>9</v>
      </c>
    </row>
    <row r="381" spans="1:15" s="109" customFormat="1" x14ac:dyDescent="0.25">
      <c r="A381" s="136" t="s">
        <v>204</v>
      </c>
      <c r="B381" s="189">
        <f>'Averages Pivot Table'!AA$267</f>
        <v>0</v>
      </c>
      <c r="C381" s="138">
        <f t="shared" si="717"/>
        <v>0</v>
      </c>
      <c r="D381" s="189">
        <f>'Averages Pivot Table'!AA$271</f>
        <v>0</v>
      </c>
      <c r="E381" s="138">
        <f t="shared" si="717"/>
        <v>0</v>
      </c>
      <c r="F381" s="189">
        <f>'Averages Pivot Table'!AA$275</f>
        <v>0</v>
      </c>
      <c r="G381" s="138">
        <f t="shared" ref="G381" si="758">IF(F381&gt;0,RANK(F381,(F$370:F$388)),0)</f>
        <v>0</v>
      </c>
      <c r="H381" s="189">
        <f>'Averages Pivot Table'!AA$279</f>
        <v>0</v>
      </c>
      <c r="I381" s="138">
        <f t="shared" ref="I381" si="759">IF(H381&gt;0,RANK(H381,(H$370:H$388)),0)</f>
        <v>0</v>
      </c>
      <c r="J381" s="189">
        <f>'Averages Pivot Table'!AA$283</f>
        <v>0</v>
      </c>
      <c r="K381" s="138">
        <f t="shared" ref="K381" si="760">IF(J381&gt;0,RANK(J381,(J$370:J$388)),0)</f>
        <v>0</v>
      </c>
      <c r="L381" s="167">
        <f>'Averages Pivot Table'!AA$287</f>
        <v>47573.766972405749</v>
      </c>
      <c r="M381" s="138">
        <f t="shared" ref="M381" si="761">IF(L381&gt;0,RANK(L381,(L$370:L$388)),0)</f>
        <v>8</v>
      </c>
      <c r="N381" s="189">
        <f>'Averages Pivot Table'!AA$291</f>
        <v>47573.766972405749</v>
      </c>
      <c r="O381" s="138">
        <f t="shared" ref="O381" si="762">IF(N381&gt;0,RANK(N381,(N$370:N$388)),0)</f>
        <v>11</v>
      </c>
    </row>
    <row r="382" spans="1:15" s="109" customFormat="1" x14ac:dyDescent="0.25">
      <c r="A382" s="136" t="s">
        <v>205</v>
      </c>
      <c r="B382" s="189">
        <f>'Averages Pivot Table'!AA$296</f>
        <v>0</v>
      </c>
      <c r="C382" s="138">
        <f t="shared" si="717"/>
        <v>0</v>
      </c>
      <c r="D382" s="189">
        <f>'Averages Pivot Table'!AA$300</f>
        <v>0</v>
      </c>
      <c r="E382" s="138">
        <f t="shared" si="717"/>
        <v>0</v>
      </c>
      <c r="F382" s="189">
        <f>'Averages Pivot Table'!AA$304</f>
        <v>0</v>
      </c>
      <c r="G382" s="138">
        <f t="shared" ref="G382" si="763">IF(F382&gt;0,RANK(F382,(F$370:F$388)),0)</f>
        <v>0</v>
      </c>
      <c r="H382" s="189">
        <f>'Averages Pivot Table'!AA$308</f>
        <v>0</v>
      </c>
      <c r="I382" s="138">
        <f t="shared" ref="I382" si="764">IF(H382&gt;0,RANK(H382,(H$370:H$388)),0)</f>
        <v>0</v>
      </c>
      <c r="J382" s="189">
        <f>'Averages Pivot Table'!AA$312</f>
        <v>0</v>
      </c>
      <c r="K382" s="138">
        <f t="shared" ref="K382" si="765">IF(J382&gt;0,RANK(J382,(J$370:J$388)),0)</f>
        <v>0</v>
      </c>
      <c r="L382" s="167">
        <f>'Averages Pivot Table'!AA$316</f>
        <v>51246.090328571932</v>
      </c>
      <c r="M382" s="138">
        <f t="shared" ref="M382" si="766">IF(L382&gt;0,RANK(L382,(L$370:L$388)),0)</f>
        <v>5</v>
      </c>
      <c r="N382" s="189">
        <f>'Averages Pivot Table'!AA$320</f>
        <v>51246.090328571932</v>
      </c>
      <c r="O382" s="138">
        <f t="shared" ref="O382" si="767">IF(N382&gt;0,RANK(N382,(N$370:N$388)),0)</f>
        <v>6</v>
      </c>
    </row>
    <row r="383" spans="1:15" s="109" customFormat="1" x14ac:dyDescent="0.25">
      <c r="A383" s="136" t="s">
        <v>206</v>
      </c>
      <c r="B383" s="189">
        <f>'Averages Pivot Table'!AA$325</f>
        <v>0</v>
      </c>
      <c r="C383" s="138">
        <f t="shared" si="717"/>
        <v>0</v>
      </c>
      <c r="D383" s="189">
        <f>'Averages Pivot Table'!AA$329</f>
        <v>0</v>
      </c>
      <c r="E383" s="138">
        <f t="shared" si="717"/>
        <v>0</v>
      </c>
      <c r="F383" s="189">
        <f>'Averages Pivot Table'!AA$333</f>
        <v>0</v>
      </c>
      <c r="G383" s="138">
        <f t="shared" ref="G383" si="768">IF(F383&gt;0,RANK(F383,(F$370:F$388)),0)</f>
        <v>0</v>
      </c>
      <c r="H383" s="189">
        <f>'Averages Pivot Table'!AA$337</f>
        <v>0</v>
      </c>
      <c r="I383" s="138">
        <f t="shared" ref="I383" si="769">IF(H383&gt;0,RANK(H383,(H$370:H$388)),0)</f>
        <v>0</v>
      </c>
      <c r="J383" s="189">
        <f>'Averages Pivot Table'!AA$341</f>
        <v>46948.275000000001</v>
      </c>
      <c r="K383" s="138">
        <f t="shared" ref="K383" si="770">IF(J383&gt;0,RANK(J383,(J$370:J$388)),0)</f>
        <v>2</v>
      </c>
      <c r="L383" s="167">
        <f>'Averages Pivot Table'!AA$345</f>
        <v>0</v>
      </c>
      <c r="M383" s="138">
        <f t="shared" ref="M383" si="771">IF(L383&gt;0,RANK(L383,(L$370:L$388)),0)</f>
        <v>0</v>
      </c>
      <c r="N383" s="189">
        <f>'Averages Pivot Table'!AA$349</f>
        <v>46948.275000000001</v>
      </c>
      <c r="O383" s="138">
        <f t="shared" ref="O383" si="772">IF(N383&gt;0,RANK(N383,(N$370:N$388)),0)</f>
        <v>12</v>
      </c>
    </row>
    <row r="384" spans="1:15" s="109" customFormat="1" x14ac:dyDescent="0.25">
      <c r="A384" s="136"/>
      <c r="B384" s="189"/>
      <c r="C384" s="138"/>
      <c r="D384" s="189"/>
      <c r="E384" s="138"/>
      <c r="F384" s="189"/>
      <c r="G384" s="138"/>
      <c r="H384" s="189"/>
      <c r="I384" s="138"/>
      <c r="J384" s="189"/>
      <c r="K384" s="138"/>
      <c r="L384" s="167"/>
      <c r="M384" s="138"/>
      <c r="N384" s="189"/>
      <c r="O384" s="138"/>
    </row>
    <row r="385" spans="1:19" ht="12.95" customHeight="1" x14ac:dyDescent="0.25">
      <c r="A385" s="136" t="s">
        <v>207</v>
      </c>
      <c r="B385" s="191">
        <f>'Averages Pivot Table'!AA$354</f>
        <v>60038.19972147252</v>
      </c>
      <c r="C385" s="138">
        <f t="shared" si="717"/>
        <v>6</v>
      </c>
      <c r="D385" s="191">
        <f>'Averages Pivot Table'!AA$358</f>
        <v>50061.416002088707</v>
      </c>
      <c r="E385" s="138">
        <f t="shared" si="717"/>
        <v>5</v>
      </c>
      <c r="F385" s="191">
        <f>'Averages Pivot Table'!AA$362</f>
        <v>43757.565443655883</v>
      </c>
      <c r="G385" s="138">
        <f t="shared" ref="G385" si="773">IF(F385&gt;0,RANK(F385,(F$370:F$388)),0)</f>
        <v>6</v>
      </c>
      <c r="H385" s="191">
        <f>'Averages Pivot Table'!AA$366</f>
        <v>39033.469099583417</v>
      </c>
      <c r="I385" s="138">
        <f t="shared" ref="I385" si="774">IF(H385&gt;0,RANK(H385,(H$370:H$388)),0)</f>
        <v>5</v>
      </c>
      <c r="J385" s="191">
        <f>'Averages Pivot Table'!AA$370</f>
        <v>0</v>
      </c>
      <c r="K385" s="138">
        <f t="shared" ref="K385" si="775">IF(J385&gt;0,RANK(J385,(J$370:J$388)),0)</f>
        <v>0</v>
      </c>
      <c r="L385" s="137">
        <f>'Averages Pivot Table'!AA$374</f>
        <v>0</v>
      </c>
      <c r="M385" s="138">
        <f t="shared" ref="M385" si="776">IF(L385&gt;0,RANK(L385,(L$370:L$388)),0)</f>
        <v>0</v>
      </c>
      <c r="N385" s="191">
        <f>'Averages Pivot Table'!AA$378</f>
        <v>46763.916043516721</v>
      </c>
      <c r="O385" s="138">
        <f t="shared" ref="O385" si="777">IF(N385&gt;0,RANK(N385,(N$370:N$388)),0)</f>
        <v>13</v>
      </c>
    </row>
    <row r="386" spans="1:19" ht="12.95" customHeight="1" x14ac:dyDescent="0.25">
      <c r="A386" s="136" t="s">
        <v>208</v>
      </c>
      <c r="B386" s="191">
        <f>'Averages Pivot Table'!AA$383</f>
        <v>64775.386732771301</v>
      </c>
      <c r="C386" s="138">
        <f t="shared" si="717"/>
        <v>3</v>
      </c>
      <c r="D386" s="191">
        <f>'Averages Pivot Table'!AA$387</f>
        <v>52432.078342926558</v>
      </c>
      <c r="E386" s="138">
        <f t="shared" si="717"/>
        <v>4</v>
      </c>
      <c r="F386" s="191">
        <f>'Averages Pivot Table'!AA$391</f>
        <v>48543.835055028867</v>
      </c>
      <c r="G386" s="138">
        <f t="shared" ref="G386" si="778">IF(F386&gt;0,RANK(F386,(F$370:F$388)),0)</f>
        <v>3</v>
      </c>
      <c r="H386" s="191">
        <f>'Averages Pivot Table'!AA$395</f>
        <v>50907.031667575051</v>
      </c>
      <c r="I386" s="138">
        <f t="shared" ref="I386" si="779">IF(H386&gt;0,RANK(H386,(H$370:H$388)),0)</f>
        <v>2</v>
      </c>
      <c r="J386" s="191">
        <f>'Averages Pivot Table'!AA$399</f>
        <v>40139.674547983312</v>
      </c>
      <c r="K386" s="138">
        <f t="shared" ref="K386" si="780">IF(J386&gt;0,RANK(J386,(J$370:J$388)),0)</f>
        <v>3</v>
      </c>
      <c r="L386" s="137">
        <f>'Averages Pivot Table'!AA$403</f>
        <v>54381.285735534431</v>
      </c>
      <c r="M386" s="138">
        <f t="shared" ref="M386" si="781">IF(L386&gt;0,RANK(L386,(L$370:L$388)),0)</f>
        <v>2</v>
      </c>
      <c r="N386" s="191">
        <f>'Averages Pivot Table'!AA$407</f>
        <v>54583.548893808802</v>
      </c>
      <c r="O386" s="138">
        <f t="shared" ref="O386" si="782">IF(N386&gt;0,RANK(N386,(N$370:N$388)),0)</f>
        <v>3</v>
      </c>
    </row>
    <row r="387" spans="1:19" ht="12.95" customHeight="1" x14ac:dyDescent="0.25">
      <c r="A387" s="136" t="s">
        <v>209</v>
      </c>
      <c r="B387" s="191">
        <f>'Averages Pivot Table'!AA$412</f>
        <v>0</v>
      </c>
      <c r="C387" s="138">
        <f t="shared" si="717"/>
        <v>0</v>
      </c>
      <c r="D387" s="191">
        <f>'Averages Pivot Table'!AA$416</f>
        <v>0</v>
      </c>
      <c r="E387" s="138">
        <f t="shared" si="717"/>
        <v>0</v>
      </c>
      <c r="F387" s="191">
        <f>'Averages Pivot Table'!AA$420</f>
        <v>0</v>
      </c>
      <c r="G387" s="138">
        <f t="shared" ref="G387" si="783">IF(F387&gt;0,RANK(F387,(F$370:F$388)),0)</f>
        <v>0</v>
      </c>
      <c r="H387" s="191">
        <f>'Averages Pivot Table'!AA$424</f>
        <v>0</v>
      </c>
      <c r="I387" s="138">
        <f t="shared" ref="I387" si="784">IF(H387&gt;0,RANK(H387,(H$370:H$388)),0)</f>
        <v>0</v>
      </c>
      <c r="J387" s="191">
        <f>'Averages Pivot Table'!AA$428</f>
        <v>0</v>
      </c>
      <c r="K387" s="138">
        <f t="shared" ref="K387" si="785">IF(J387&gt;0,RANK(J387,(J$370:J$388)),0)</f>
        <v>0</v>
      </c>
      <c r="L387" s="137">
        <f>'Averages Pivot Table'!AA$432</f>
        <v>0</v>
      </c>
      <c r="M387" s="138">
        <f t="shared" ref="M387" si="786">IF(L387&gt;0,RANK(L387,(L$370:L$388)),0)</f>
        <v>0</v>
      </c>
      <c r="N387" s="191">
        <f>'Averages Pivot Table'!AA$436</f>
        <v>0</v>
      </c>
      <c r="O387" s="138">
        <f t="shared" ref="O387" si="787">IF(N387&gt;0,RANK(N387,(N$370:N$388)),0)</f>
        <v>0</v>
      </c>
    </row>
    <row r="388" spans="1:19" ht="12.95" customHeight="1" x14ac:dyDescent="0.25">
      <c r="A388" s="161" t="s">
        <v>210</v>
      </c>
      <c r="B388" s="192">
        <f>'Averages Pivot Table'!AA$441</f>
        <v>0</v>
      </c>
      <c r="C388" s="141">
        <f t="shared" si="717"/>
        <v>0</v>
      </c>
      <c r="D388" s="192">
        <f>'Averages Pivot Table'!AA$445</f>
        <v>0</v>
      </c>
      <c r="E388" s="141">
        <f t="shared" si="717"/>
        <v>0</v>
      </c>
      <c r="F388" s="192">
        <f>'Averages Pivot Table'!AA$449</f>
        <v>0</v>
      </c>
      <c r="G388" s="141">
        <f t="shared" ref="G388" si="788">IF(F388&gt;0,RANK(F388,(F$370:F$388)),0)</f>
        <v>0</v>
      </c>
      <c r="H388" s="192">
        <f>'Averages Pivot Table'!AA$453</f>
        <v>0</v>
      </c>
      <c r="I388" s="141">
        <f t="shared" ref="I388" si="789">IF(H388&gt;0,RANK(H388,(H$370:H$388)),0)</f>
        <v>0</v>
      </c>
      <c r="J388" s="192">
        <f>'Averages Pivot Table'!AA$457</f>
        <v>0</v>
      </c>
      <c r="K388" s="141">
        <f t="shared" ref="K388" si="790">IF(J388&gt;0,RANK(J388,(J$370:J$388)),0)</f>
        <v>0</v>
      </c>
      <c r="L388" s="140">
        <f>'Averages Pivot Table'!AA$461</f>
        <v>0</v>
      </c>
      <c r="M388" s="141">
        <f t="shared" ref="M388" si="791">IF(L388&gt;0,RANK(L388,(L$370:L$388)),0)</f>
        <v>0</v>
      </c>
      <c r="N388" s="192">
        <f>'Averages Pivot Table'!AA$465</f>
        <v>0</v>
      </c>
      <c r="O388" s="141">
        <f t="shared" ref="O388" si="792">IF(N388&gt;0,RANK(N388,(N$370:N$388)),0)</f>
        <v>0</v>
      </c>
    </row>
    <row r="389" spans="1:19" ht="30" customHeight="1" x14ac:dyDescent="0.25">
      <c r="A389" s="723" t="s">
        <v>187</v>
      </c>
      <c r="B389" s="723"/>
      <c r="C389" s="723"/>
      <c r="D389" s="723"/>
      <c r="E389" s="723"/>
      <c r="F389" s="723"/>
      <c r="G389" s="723"/>
      <c r="H389" s="723"/>
      <c r="I389" s="723"/>
      <c r="J389" s="723"/>
      <c r="K389" s="723"/>
      <c r="L389" s="723"/>
      <c r="M389" s="723"/>
      <c r="N389" s="723"/>
      <c r="O389" s="723"/>
    </row>
    <row r="390" spans="1:19" x14ac:dyDescent="0.25">
      <c r="O390" s="102" t="s">
        <v>1124</v>
      </c>
    </row>
    <row r="391" spans="1:19" ht="18" x14ac:dyDescent="0.25">
      <c r="A391" s="82" t="s">
        <v>240</v>
      </c>
      <c r="B391" s="82"/>
      <c r="C391" s="82"/>
      <c r="D391" s="82"/>
      <c r="E391" s="82"/>
      <c r="F391" s="82"/>
      <c r="G391" s="82"/>
      <c r="H391" s="82"/>
      <c r="I391" s="82"/>
      <c r="J391" s="82"/>
      <c r="K391" s="82"/>
      <c r="L391" s="82"/>
      <c r="M391" s="82"/>
      <c r="N391" s="82"/>
      <c r="O391" s="82"/>
    </row>
    <row r="392" spans="1:19" x14ac:dyDescent="0.25">
      <c r="A392" s="180"/>
      <c r="B392" s="87"/>
      <c r="C392" s="87"/>
      <c r="D392" s="87"/>
      <c r="E392" s="87"/>
      <c r="F392" s="87"/>
      <c r="G392" s="87"/>
      <c r="H392" s="87"/>
      <c r="I392" s="87"/>
      <c r="J392" s="87"/>
      <c r="K392" s="87"/>
      <c r="L392" s="87"/>
      <c r="M392" s="87"/>
      <c r="N392" s="87"/>
      <c r="O392" s="87"/>
    </row>
    <row r="393" spans="1:19" x14ac:dyDescent="0.25">
      <c r="A393" s="707" t="s">
        <v>218</v>
      </c>
      <c r="B393" s="707"/>
      <c r="C393" s="707"/>
      <c r="D393" s="707"/>
      <c r="E393" s="707"/>
      <c r="F393" s="707"/>
      <c r="G393" s="707"/>
      <c r="H393" s="707"/>
      <c r="I393" s="707"/>
      <c r="J393" s="707"/>
      <c r="K393" s="707"/>
      <c r="L393" s="707"/>
      <c r="M393" s="707"/>
      <c r="N393" s="707"/>
      <c r="O393" s="707"/>
    </row>
    <row r="394" spans="1:19" x14ac:dyDescent="0.25">
      <c r="A394" s="707" t="s">
        <v>241</v>
      </c>
      <c r="B394" s="707"/>
      <c r="C394" s="707"/>
      <c r="D394" s="707"/>
      <c r="E394" s="707"/>
      <c r="F394" s="707"/>
      <c r="G394" s="707"/>
      <c r="H394" s="707"/>
      <c r="I394" s="707"/>
      <c r="J394" s="707"/>
      <c r="K394" s="707"/>
      <c r="L394" s="707"/>
      <c r="M394" s="707"/>
      <c r="N394" s="707"/>
      <c r="O394" s="707"/>
    </row>
    <row r="395" spans="1:19" x14ac:dyDescent="0.25">
      <c r="A395" s="136"/>
      <c r="B395" s="136"/>
      <c r="C395" s="136"/>
      <c r="D395" s="136"/>
      <c r="E395" s="136"/>
      <c r="F395" s="136"/>
      <c r="G395" s="136"/>
      <c r="H395" s="136"/>
      <c r="I395" s="136"/>
      <c r="J395" s="136"/>
      <c r="K395" s="136"/>
      <c r="L395" s="136"/>
      <c r="M395" s="136"/>
      <c r="N395" s="136"/>
      <c r="O395" s="136"/>
    </row>
    <row r="396" spans="1:19" ht="33.75" customHeight="1" x14ac:dyDescent="0.25">
      <c r="A396" s="114"/>
      <c r="B396" s="182" t="s">
        <v>3</v>
      </c>
      <c r="C396" s="183"/>
      <c r="D396" s="184" t="s">
        <v>4</v>
      </c>
      <c r="E396" s="185"/>
      <c r="F396" s="184" t="s">
        <v>5</v>
      </c>
      <c r="G396" s="185"/>
      <c r="H396" s="182" t="s">
        <v>6</v>
      </c>
      <c r="I396" s="183"/>
      <c r="J396" s="184" t="s">
        <v>219</v>
      </c>
      <c r="K396" s="185"/>
      <c r="L396" s="183" t="s">
        <v>23</v>
      </c>
      <c r="M396" s="183"/>
      <c r="N396" s="183" t="s">
        <v>220</v>
      </c>
      <c r="O396" s="183"/>
    </row>
    <row r="397" spans="1:19" x14ac:dyDescent="0.25">
      <c r="A397" s="120"/>
      <c r="B397" s="116" t="s">
        <v>193</v>
      </c>
      <c r="C397" s="115" t="s">
        <v>170</v>
      </c>
      <c r="D397" s="116" t="s">
        <v>193</v>
      </c>
      <c r="E397" s="115" t="s">
        <v>170</v>
      </c>
      <c r="F397" s="116" t="s">
        <v>193</v>
      </c>
      <c r="G397" s="115" t="s">
        <v>170</v>
      </c>
      <c r="H397" s="116" t="s">
        <v>193</v>
      </c>
      <c r="I397" s="115" t="s">
        <v>170</v>
      </c>
      <c r="J397" s="116" t="s">
        <v>193</v>
      </c>
      <c r="K397" s="115" t="s">
        <v>170</v>
      </c>
      <c r="L397" s="116" t="s">
        <v>193</v>
      </c>
      <c r="M397" s="115" t="s">
        <v>170</v>
      </c>
      <c r="N397" s="116" t="s">
        <v>193</v>
      </c>
      <c r="O397" s="115" t="s">
        <v>170</v>
      </c>
    </row>
    <row r="398" spans="1:19" s="127" customFormat="1" ht="18" customHeight="1" x14ac:dyDescent="0.25">
      <c r="A398" s="124" t="s">
        <v>194</v>
      </c>
      <c r="B398" s="151">
        <f>'Averages Pivot Table'!AB$469</f>
        <v>57741.376140075801</v>
      </c>
      <c r="C398" s="151"/>
      <c r="D398" s="151">
        <f>'Averages Pivot Table'!AB$473</f>
        <v>51093.887022759038</v>
      </c>
      <c r="E398" s="151"/>
      <c r="F398" s="151">
        <f>'Averages Pivot Table'!AB$477</f>
        <v>46279.796630449193</v>
      </c>
      <c r="G398" s="151"/>
      <c r="H398" s="151">
        <f>'Averages Pivot Table'!AB$481</f>
        <v>43552.960607387489</v>
      </c>
      <c r="I398" s="151"/>
      <c r="J398" s="151">
        <f>'Averages Pivot Table'!AB$485</f>
        <v>44747.631244483673</v>
      </c>
      <c r="K398" s="151"/>
      <c r="L398" s="151">
        <f>'Averages Pivot Table'!AB$489</f>
        <v>49790.670853167372</v>
      </c>
      <c r="M398" s="151"/>
      <c r="N398" s="151">
        <f>'Averages Pivot Table'!AB$493</f>
        <v>49074.41080160017</v>
      </c>
      <c r="O398" s="187"/>
      <c r="Q398" s="129"/>
      <c r="R398" s="129"/>
      <c r="S398" s="129"/>
    </row>
    <row r="399" spans="1:19" ht="12.95" customHeight="1" x14ac:dyDescent="0.25">
      <c r="A399" s="136"/>
      <c r="B399" s="131"/>
      <c r="C399" s="155"/>
      <c r="D399" s="131"/>
      <c r="E399" s="155"/>
      <c r="F399" s="131"/>
      <c r="G399" s="155"/>
      <c r="H399" s="131"/>
      <c r="I399" s="155"/>
      <c r="J399" s="131"/>
      <c r="K399" s="155"/>
      <c r="L399" s="131"/>
      <c r="M399" s="155"/>
      <c r="N399" s="131"/>
      <c r="O399" s="155"/>
    </row>
    <row r="400" spans="1:19" ht="12.95" customHeight="1" x14ac:dyDescent="0.25">
      <c r="A400" s="136" t="s">
        <v>195</v>
      </c>
      <c r="B400" s="189">
        <f>'Averages Pivot Table'!AB$6</f>
        <v>0</v>
      </c>
      <c r="C400" s="138">
        <f>IF(B400&gt;0,RANK(B400,(B$400:B$418)),0)</f>
        <v>0</v>
      </c>
      <c r="D400" s="189">
        <f>'Averages Pivot Table'!AB$10</f>
        <v>0</v>
      </c>
      <c r="E400" s="138">
        <f>IF(D400&gt;0,RANK(D400,(D$400:D$418)),0)</f>
        <v>0</v>
      </c>
      <c r="F400" s="189">
        <f>'Averages Pivot Table'!AB$14</f>
        <v>0</v>
      </c>
      <c r="G400" s="138">
        <f>IF(F400&gt;0,RANK(F400,(F$400:F$418)),0)</f>
        <v>0</v>
      </c>
      <c r="H400" s="189">
        <f>'Averages Pivot Table'!AB$18</f>
        <v>0</v>
      </c>
      <c r="I400" s="138">
        <f>IF(H400&gt;0,RANK(H400,(H$400:H$418)),0)</f>
        <v>0</v>
      </c>
      <c r="J400" s="189">
        <f>'Averages Pivot Table'!AB$22</f>
        <v>0</v>
      </c>
      <c r="K400" s="138">
        <f>IF(J400&gt;0,RANK(J400,(J$400:J$418)),0)</f>
        <v>0</v>
      </c>
      <c r="L400" s="167">
        <f>'Averages Pivot Table'!AB$26</f>
        <v>53086.210967332314</v>
      </c>
      <c r="M400" s="138">
        <f>IF(L400&gt;0,RANK(L400,(L$400:L$418)),0)</f>
        <v>2</v>
      </c>
      <c r="N400" s="189">
        <f>'Averages Pivot Table'!AB$30</f>
        <v>53086.210967332314</v>
      </c>
      <c r="O400" s="138">
        <f>IF(N400&gt;0,RANK(N400,(N$400:N$418)),0)</f>
        <v>3</v>
      </c>
    </row>
    <row r="401" spans="1:15" s="109" customFormat="1" x14ac:dyDescent="0.25">
      <c r="A401" s="136" t="s">
        <v>196</v>
      </c>
      <c r="B401" s="189">
        <f>'Averages Pivot Table'!AB$35</f>
        <v>46380.800000000003</v>
      </c>
      <c r="C401" s="138">
        <f t="shared" ref="C401:E418" si="793">IF(B401&gt;0,RANK(B401,(B$400:B$418)),0)</f>
        <v>8</v>
      </c>
      <c r="D401" s="189">
        <f>'Averages Pivot Table'!AB$39</f>
        <v>56410.530612244896</v>
      </c>
      <c r="E401" s="138">
        <f t="shared" si="793"/>
        <v>2</v>
      </c>
      <c r="F401" s="189">
        <f>'Averages Pivot Table'!AB$43</f>
        <v>45725.281308724829</v>
      </c>
      <c r="G401" s="138">
        <f t="shared" ref="G401" si="794">IF(F401&gt;0,RANK(F401,(F$400:F$418)),0)</f>
        <v>4</v>
      </c>
      <c r="H401" s="189">
        <f>'Averages Pivot Table'!AB$47</f>
        <v>40414.477239884392</v>
      </c>
      <c r="I401" s="138">
        <f t="shared" ref="I401" si="795">IF(H401&gt;0,RANK(H401,(H$400:H$418)),0)</f>
        <v>4</v>
      </c>
      <c r="J401" s="189">
        <f>'Averages Pivot Table'!AB$51</f>
        <v>0</v>
      </c>
      <c r="K401" s="138">
        <f t="shared" ref="K401" si="796">IF(J401&gt;0,RANK(J401,(J$400:J$418)),0)</f>
        <v>0</v>
      </c>
      <c r="L401" s="167">
        <f>'Averages Pivot Table'!AB$55</f>
        <v>43105.749299014235</v>
      </c>
      <c r="M401" s="138">
        <f t="shared" ref="M401" si="797">IF(L401&gt;0,RANK(L401,(L$400:L$418)),0)</f>
        <v>8</v>
      </c>
      <c r="N401" s="189">
        <f>'Averages Pivot Table'!AB$59</f>
        <v>43262.143604392069</v>
      </c>
      <c r="O401" s="138">
        <f t="shared" ref="O401" si="798">IF(N401&gt;0,RANK(N401,(N$400:N$418)),0)</f>
        <v>14</v>
      </c>
    </row>
    <row r="402" spans="1:15" s="109" customFormat="1" x14ac:dyDescent="0.25">
      <c r="A402" s="136" t="s">
        <v>197</v>
      </c>
      <c r="B402" s="189">
        <f>'Averages Pivot Table'!AB$64</f>
        <v>0</v>
      </c>
      <c r="C402" s="138">
        <f t="shared" si="793"/>
        <v>0</v>
      </c>
      <c r="D402" s="189">
        <f>'Averages Pivot Table'!AB$68</f>
        <v>0</v>
      </c>
      <c r="E402" s="138">
        <f t="shared" si="793"/>
        <v>0</v>
      </c>
      <c r="F402" s="189">
        <f>'Averages Pivot Table'!AB$72</f>
        <v>0</v>
      </c>
      <c r="G402" s="138">
        <f t="shared" ref="G402" si="799">IF(F402&gt;0,RANK(F402,(F$400:F$418)),0)</f>
        <v>0</v>
      </c>
      <c r="H402" s="189">
        <f>'Averages Pivot Table'!AB$76</f>
        <v>0</v>
      </c>
      <c r="I402" s="138">
        <f t="shared" ref="I402" si="800">IF(H402&gt;0,RANK(H402,(H$400:H$418)),0)</f>
        <v>0</v>
      </c>
      <c r="J402" s="189">
        <f>'Averages Pivot Table'!AB$80</f>
        <v>0</v>
      </c>
      <c r="K402" s="138">
        <f t="shared" ref="K402" si="801">IF(J402&gt;0,RANK(J402,(J$400:J$418)),0)</f>
        <v>0</v>
      </c>
      <c r="L402" s="167">
        <f>'Averages Pivot Table'!AB$84</f>
        <v>64140.397665941142</v>
      </c>
      <c r="M402" s="138">
        <f t="shared" ref="M402" si="802">IF(L402&gt;0,RANK(L402,(L$400:L$418)),0)</f>
        <v>1</v>
      </c>
      <c r="N402" s="189">
        <f>'Averages Pivot Table'!AB$88</f>
        <v>64140.397665941142</v>
      </c>
      <c r="O402" s="138">
        <f t="shared" ref="O402" si="803">IF(N402&gt;0,RANK(N402,(N$400:N$418)),0)</f>
        <v>1</v>
      </c>
    </row>
    <row r="403" spans="1:15" s="109" customFormat="1" x14ac:dyDescent="0.25">
      <c r="A403" s="136" t="s">
        <v>198</v>
      </c>
      <c r="B403" s="189">
        <f>'Averages Pivot Table'!AB$93</f>
        <v>0</v>
      </c>
      <c r="C403" s="138">
        <f t="shared" si="793"/>
        <v>0</v>
      </c>
      <c r="D403" s="189">
        <f>'Averages Pivot Table'!AB$97</f>
        <v>0</v>
      </c>
      <c r="E403" s="138">
        <f t="shared" si="793"/>
        <v>0</v>
      </c>
      <c r="F403" s="189">
        <f>'Averages Pivot Table'!AB$101</f>
        <v>0</v>
      </c>
      <c r="G403" s="138">
        <f t="shared" ref="G403" si="804">IF(F403&gt;0,RANK(F403,(F$400:F$418)),0)</f>
        <v>0</v>
      </c>
      <c r="H403" s="189">
        <f>'Averages Pivot Table'!AB$105</f>
        <v>0</v>
      </c>
      <c r="I403" s="138">
        <f t="shared" ref="I403" si="805">IF(H403&gt;0,RANK(H403,(H$400:H$418)),0)</f>
        <v>0</v>
      </c>
      <c r="J403" s="189">
        <f>'Averages Pivot Table'!AB$109</f>
        <v>0</v>
      </c>
      <c r="K403" s="138">
        <f t="shared" ref="K403" si="806">IF(J403&gt;0,RANK(J403,(J$400:J$418)),0)</f>
        <v>0</v>
      </c>
      <c r="L403" s="167">
        <f>'Averages Pivot Table'!AB$113</f>
        <v>47575.791383219956</v>
      </c>
      <c r="M403" s="138">
        <f t="shared" ref="M403" si="807">IF(L403&gt;0,RANK(L403,(L$400:L$418)),0)</f>
        <v>5</v>
      </c>
      <c r="N403" s="189">
        <f>'Averages Pivot Table'!AB$117</f>
        <v>47575.791383219956</v>
      </c>
      <c r="O403" s="138">
        <f t="shared" ref="O403" si="808">IF(N403&gt;0,RANK(N403,(N$400:N$418)),0)</f>
        <v>9</v>
      </c>
    </row>
    <row r="404" spans="1:15" s="109" customFormat="1" x14ac:dyDescent="0.25">
      <c r="A404" s="136"/>
      <c r="B404" s="189"/>
      <c r="C404" s="138"/>
      <c r="D404" s="189"/>
      <c r="E404" s="138"/>
      <c r="F404" s="189"/>
      <c r="G404" s="138"/>
      <c r="H404" s="189"/>
      <c r="I404" s="138"/>
      <c r="J404" s="189"/>
      <c r="K404" s="138"/>
      <c r="L404" s="167"/>
      <c r="M404" s="138"/>
      <c r="N404" s="189"/>
      <c r="O404" s="138"/>
    </row>
    <row r="405" spans="1:15" s="109" customFormat="1" x14ac:dyDescent="0.25">
      <c r="A405" s="136" t="s">
        <v>199</v>
      </c>
      <c r="B405" s="189">
        <f>'Averages Pivot Table'!AB$122</f>
        <v>60868.514114197962</v>
      </c>
      <c r="C405" s="138">
        <f t="shared" si="793"/>
        <v>4</v>
      </c>
      <c r="D405" s="189">
        <f>'Averages Pivot Table'!AB$126</f>
        <v>50880.722750035122</v>
      </c>
      <c r="E405" s="138">
        <f t="shared" si="793"/>
        <v>3</v>
      </c>
      <c r="F405" s="189">
        <f>'Averages Pivot Table'!AB$130</f>
        <v>44840.930942443236</v>
      </c>
      <c r="G405" s="138">
        <f t="shared" ref="G405" si="809">IF(F405&gt;0,RANK(F405,(F$400:F$418)),0)</f>
        <v>5</v>
      </c>
      <c r="H405" s="189">
        <f>'Averages Pivot Table'!AB$134</f>
        <v>41536.596351592467</v>
      </c>
      <c r="I405" s="138">
        <f t="shared" ref="I405" si="810">IF(H405&gt;0,RANK(H405,(H$400:H$418)),0)</f>
        <v>3</v>
      </c>
      <c r="J405" s="189">
        <f>'Averages Pivot Table'!AB$138</f>
        <v>34156.294117647056</v>
      </c>
      <c r="K405" s="138">
        <f t="shared" ref="K405" si="811">IF(J405&gt;0,RANK(J405,(J$400:J$418)),0)</f>
        <v>4</v>
      </c>
      <c r="L405" s="167">
        <f>'Averages Pivot Table'!AB$142</f>
        <v>0</v>
      </c>
      <c r="M405" s="138">
        <f t="shared" ref="M405" si="812">IF(L405&gt;0,RANK(L405,(L$400:L$418)),0)</f>
        <v>0</v>
      </c>
      <c r="N405" s="189">
        <f>'Averages Pivot Table'!AB$146</f>
        <v>46017.297622327969</v>
      </c>
      <c r="O405" s="138">
        <f t="shared" ref="O405" si="813">IF(N405&gt;0,RANK(N405,(N$400:N$418)),0)</f>
        <v>11</v>
      </c>
    </row>
    <row r="406" spans="1:15" s="109" customFormat="1" x14ac:dyDescent="0.25">
      <c r="A406" s="136" t="s">
        <v>200</v>
      </c>
      <c r="B406" s="189">
        <f>'Averages Pivot Table'!AB$151</f>
        <v>59455.595793480956</v>
      </c>
      <c r="C406" s="138">
        <f t="shared" si="793"/>
        <v>5</v>
      </c>
      <c r="D406" s="189">
        <f>'Averages Pivot Table'!AB$155</f>
        <v>48109.142914818651</v>
      </c>
      <c r="E406" s="138">
        <f t="shared" si="793"/>
        <v>8</v>
      </c>
      <c r="F406" s="189">
        <f>'Averages Pivot Table'!AB$159</f>
        <v>41197.816985658159</v>
      </c>
      <c r="G406" s="138">
        <f t="shared" ref="G406" si="814">IF(F406&gt;0,RANK(F406,(F$400:F$418)),0)</f>
        <v>8</v>
      </c>
      <c r="H406" s="189">
        <f>'Averages Pivot Table'!AB$163</f>
        <v>37648.901381419942</v>
      </c>
      <c r="I406" s="138">
        <f t="shared" ref="I406" si="815">IF(H406&gt;0,RANK(H406,(H$400:H$418)),0)</f>
        <v>8</v>
      </c>
      <c r="J406" s="189">
        <f>'Averages Pivot Table'!AB$167</f>
        <v>0</v>
      </c>
      <c r="K406" s="138">
        <f t="shared" ref="K406" si="816">IF(J406&gt;0,RANK(J406,(J$400:J$418)),0)</f>
        <v>0</v>
      </c>
      <c r="L406" s="167">
        <f>'Averages Pivot Table'!AB$171</f>
        <v>0</v>
      </c>
      <c r="M406" s="138">
        <f t="shared" ref="M406" si="817">IF(L406&gt;0,RANK(L406,(L$400:L$418)),0)</f>
        <v>0</v>
      </c>
      <c r="N406" s="189">
        <f>'Averages Pivot Table'!AB$175</f>
        <v>48555.071884735487</v>
      </c>
      <c r="O406" s="138">
        <f t="shared" ref="O406" si="818">IF(N406&gt;0,RANK(N406,(N$400:N$418)),0)</f>
        <v>6</v>
      </c>
    </row>
    <row r="407" spans="1:15" s="109" customFormat="1" x14ac:dyDescent="0.25">
      <c r="A407" s="136" t="s">
        <v>201</v>
      </c>
      <c r="B407" s="189">
        <f>'Averages Pivot Table'!AB$180</f>
        <v>58590.972972972973</v>
      </c>
      <c r="C407" s="138">
        <f t="shared" si="793"/>
        <v>6</v>
      </c>
      <c r="D407" s="189">
        <f>'Averages Pivot Table'!AB$184</f>
        <v>49917.018633540371</v>
      </c>
      <c r="E407" s="138">
        <f t="shared" si="793"/>
        <v>6</v>
      </c>
      <c r="F407" s="189">
        <f>'Averages Pivot Table'!AB$188</f>
        <v>44758.400000000001</v>
      </c>
      <c r="G407" s="138">
        <f t="shared" ref="G407" si="819">IF(F407&gt;0,RANK(F407,(F$400:F$418)),0)</f>
        <v>6</v>
      </c>
      <c r="H407" s="189">
        <f>'Averages Pivot Table'!AB$192</f>
        <v>37863.883534136548</v>
      </c>
      <c r="I407" s="138">
        <f t="shared" ref="I407" si="820">IF(H407&gt;0,RANK(H407,(H$400:H$418)),0)</f>
        <v>7</v>
      </c>
      <c r="J407" s="189">
        <f>'Averages Pivot Table'!AB$196</f>
        <v>0</v>
      </c>
      <c r="K407" s="138">
        <f t="shared" ref="K407" si="821">IF(J407&gt;0,RANK(J407,(J$400:J$418)),0)</f>
        <v>0</v>
      </c>
      <c r="L407" s="167">
        <f>'Averages Pivot Table'!AB$200</f>
        <v>0</v>
      </c>
      <c r="M407" s="138">
        <f t="shared" ref="M407" si="822">IF(L407&gt;0,RANK(L407,(L$400:L$418)),0)</f>
        <v>0</v>
      </c>
      <c r="N407" s="189">
        <f>'Averages Pivot Table'!AB$204</f>
        <v>42746.802020990443</v>
      </c>
      <c r="O407" s="138">
        <f t="shared" ref="O407" si="823">IF(N407&gt;0,RANK(N407,(N$400:N$418)),0)</f>
        <v>15</v>
      </c>
    </row>
    <row r="408" spans="1:15" s="109" customFormat="1" x14ac:dyDescent="0.25">
      <c r="A408" s="136" t="s">
        <v>202</v>
      </c>
      <c r="B408" s="189">
        <f>'Averages Pivot Table'!AB$209</f>
        <v>73996.099281374569</v>
      </c>
      <c r="C408" s="138">
        <f t="shared" si="793"/>
        <v>1</v>
      </c>
      <c r="D408" s="189">
        <f>'Averages Pivot Table'!AB$213</f>
        <v>61061.896619944826</v>
      </c>
      <c r="E408" s="138">
        <f t="shared" si="793"/>
        <v>1</v>
      </c>
      <c r="F408" s="189">
        <f>'Averages Pivot Table'!AB$217</f>
        <v>53097.521983449886</v>
      </c>
      <c r="G408" s="138">
        <f t="shared" ref="G408" si="824">IF(F408&gt;0,RANK(F408,(F$400:F$418)),0)</f>
        <v>1</v>
      </c>
      <c r="H408" s="189">
        <f>'Averages Pivot Table'!AB$221</f>
        <v>44676.264887307509</v>
      </c>
      <c r="I408" s="138">
        <f t="shared" ref="I408" si="825">IF(H408&gt;0,RANK(H408,(H$400:H$418)),0)</f>
        <v>2</v>
      </c>
      <c r="J408" s="189">
        <f>'Averages Pivot Table'!AB$225</f>
        <v>41739.545454545456</v>
      </c>
      <c r="K408" s="138">
        <f t="shared" ref="K408" si="826">IF(J408&gt;0,RANK(J408,(J$400:J$418)),0)</f>
        <v>2</v>
      </c>
      <c r="L408" s="167">
        <f>'Averages Pivot Table'!AB$229</f>
        <v>0</v>
      </c>
      <c r="M408" s="138">
        <f t="shared" ref="M408" si="827">IF(L408&gt;0,RANK(L408,(L$400:L$418)),0)</f>
        <v>0</v>
      </c>
      <c r="N408" s="189">
        <f>'Averages Pivot Table'!AB$233</f>
        <v>58471.973740074238</v>
      </c>
      <c r="O408" s="138">
        <f t="shared" ref="O408" si="828">IF(N408&gt;0,RANK(N408,(N$400:N$418)),0)</f>
        <v>2</v>
      </c>
    </row>
    <row r="409" spans="1:15" s="109" customFormat="1" x14ac:dyDescent="0.25">
      <c r="A409" s="136"/>
      <c r="B409" s="189"/>
      <c r="C409" s="138"/>
      <c r="D409" s="189"/>
      <c r="E409" s="138"/>
      <c r="F409" s="189"/>
      <c r="G409" s="138"/>
      <c r="H409" s="189"/>
      <c r="I409" s="138"/>
      <c r="J409" s="189"/>
      <c r="K409" s="138"/>
      <c r="L409" s="167"/>
      <c r="M409" s="138"/>
      <c r="N409" s="189"/>
      <c r="O409" s="138"/>
    </row>
    <row r="410" spans="1:15" s="109" customFormat="1" x14ac:dyDescent="0.25">
      <c r="A410" s="136" t="s">
        <v>203</v>
      </c>
      <c r="B410" s="189">
        <f>'Averages Pivot Table'!AB$238</f>
        <v>0</v>
      </c>
      <c r="C410" s="138">
        <f t="shared" si="793"/>
        <v>0</v>
      </c>
      <c r="D410" s="189">
        <f>'Averages Pivot Table'!AB$242</f>
        <v>0</v>
      </c>
      <c r="E410" s="138">
        <f t="shared" si="793"/>
        <v>0</v>
      </c>
      <c r="F410" s="189">
        <f>'Averages Pivot Table'!AB$246</f>
        <v>0</v>
      </c>
      <c r="G410" s="138">
        <f t="shared" ref="G410" si="829">IF(F410&gt;0,RANK(F410,(F$400:F$418)),0)</f>
        <v>0</v>
      </c>
      <c r="H410" s="189">
        <f>'Averages Pivot Table'!AB$250</f>
        <v>0</v>
      </c>
      <c r="I410" s="138">
        <f t="shared" ref="I410" si="830">IF(H410&gt;0,RANK(H410,(H$400:H$418)),0)</f>
        <v>0</v>
      </c>
      <c r="J410" s="189">
        <f>'Averages Pivot Table'!AB$254</f>
        <v>0</v>
      </c>
      <c r="K410" s="138">
        <f t="shared" ref="K410" si="831">IF(J410&gt;0,RANK(J410,(J$400:J$418)),0)</f>
        <v>0</v>
      </c>
      <c r="L410" s="167">
        <f>'Averages Pivot Table'!AB$258</f>
        <v>50496.533768313842</v>
      </c>
      <c r="M410" s="138">
        <f t="shared" ref="M410" si="832">IF(L410&gt;0,RANK(L410,(L$400:L$418)),0)</f>
        <v>4</v>
      </c>
      <c r="N410" s="189">
        <f>'Averages Pivot Table'!AB$262</f>
        <v>50496.533768313842</v>
      </c>
      <c r="O410" s="138">
        <f t="shared" ref="O410" si="833">IF(N410&gt;0,RANK(N410,(N$400:N$418)),0)</f>
        <v>4</v>
      </c>
    </row>
    <row r="411" spans="1:15" s="109" customFormat="1" x14ac:dyDescent="0.25">
      <c r="A411" s="136" t="s">
        <v>204</v>
      </c>
      <c r="B411" s="189">
        <f>'Averages Pivot Table'!AB$267</f>
        <v>0</v>
      </c>
      <c r="C411" s="138">
        <f t="shared" si="793"/>
        <v>0</v>
      </c>
      <c r="D411" s="189">
        <f>'Averages Pivot Table'!AB$271</f>
        <v>0</v>
      </c>
      <c r="E411" s="138">
        <f t="shared" si="793"/>
        <v>0</v>
      </c>
      <c r="F411" s="189">
        <f>'Averages Pivot Table'!AB$275</f>
        <v>0</v>
      </c>
      <c r="G411" s="138">
        <f t="shared" ref="G411" si="834">IF(F411&gt;0,RANK(F411,(F$400:F$418)),0)</f>
        <v>0</v>
      </c>
      <c r="H411" s="189">
        <f>'Averages Pivot Table'!AB$279</f>
        <v>0</v>
      </c>
      <c r="I411" s="138">
        <f t="shared" ref="I411" si="835">IF(H411&gt;0,RANK(H411,(H$400:H$418)),0)</f>
        <v>0</v>
      </c>
      <c r="J411" s="189">
        <f>'Averages Pivot Table'!AB$283</f>
        <v>0</v>
      </c>
      <c r="K411" s="138">
        <f t="shared" ref="K411" si="836">IF(J411&gt;0,RANK(J411,(J$400:J$418)),0)</f>
        <v>0</v>
      </c>
      <c r="L411" s="167">
        <f>'Averages Pivot Table'!AB$287</f>
        <v>47321.805585513081</v>
      </c>
      <c r="M411" s="138">
        <f t="shared" ref="M411" si="837">IF(L411&gt;0,RANK(L411,(L$400:L$418)),0)</f>
        <v>6</v>
      </c>
      <c r="N411" s="189">
        <f>'Averages Pivot Table'!AB$291</f>
        <v>47321.805585513081</v>
      </c>
      <c r="O411" s="138">
        <f t="shared" ref="O411" si="838">IF(N411&gt;0,RANK(N411,(N$400:N$418)),0)</f>
        <v>10</v>
      </c>
    </row>
    <row r="412" spans="1:15" s="109" customFormat="1" x14ac:dyDescent="0.25">
      <c r="A412" s="136" t="s">
        <v>205</v>
      </c>
      <c r="B412" s="189">
        <f>'Averages Pivot Table'!AB$296</f>
        <v>0</v>
      </c>
      <c r="C412" s="138">
        <f t="shared" si="793"/>
        <v>0</v>
      </c>
      <c r="D412" s="189">
        <f>'Averages Pivot Table'!AB$300</f>
        <v>0</v>
      </c>
      <c r="E412" s="138">
        <f t="shared" si="793"/>
        <v>0</v>
      </c>
      <c r="F412" s="189">
        <f>'Averages Pivot Table'!AB$304</f>
        <v>0</v>
      </c>
      <c r="G412" s="138">
        <f t="shared" ref="G412" si="839">IF(F412&gt;0,RANK(F412,(F$400:F$418)),0)</f>
        <v>0</v>
      </c>
      <c r="H412" s="189">
        <f>'Averages Pivot Table'!AB$308</f>
        <v>0</v>
      </c>
      <c r="I412" s="138">
        <f t="shared" ref="I412" si="840">IF(H412&gt;0,RANK(H412,(H$400:H$418)),0)</f>
        <v>0</v>
      </c>
      <c r="J412" s="189">
        <f>'Averages Pivot Table'!AB$312</f>
        <v>0</v>
      </c>
      <c r="K412" s="138">
        <f t="shared" ref="K412" si="841">IF(J412&gt;0,RANK(J412,(J$400:J$418)),0)</f>
        <v>0</v>
      </c>
      <c r="L412" s="167">
        <f>'Averages Pivot Table'!AB$316</f>
        <v>44059.779247502767</v>
      </c>
      <c r="M412" s="138">
        <f t="shared" ref="M412" si="842">IF(L412&gt;0,RANK(L412,(L$400:L$418)),0)</f>
        <v>7</v>
      </c>
      <c r="N412" s="189">
        <f>'Averages Pivot Table'!AB$320</f>
        <v>44059.779247502767</v>
      </c>
      <c r="O412" s="138">
        <f t="shared" ref="O412" si="843">IF(N412&gt;0,RANK(N412,(N$400:N$418)),0)</f>
        <v>13</v>
      </c>
    </row>
    <row r="413" spans="1:15" s="109" customFormat="1" x14ac:dyDescent="0.25">
      <c r="A413" s="136" t="s">
        <v>206</v>
      </c>
      <c r="B413" s="189">
        <f>'Averages Pivot Table'!AB$325</f>
        <v>0</v>
      </c>
      <c r="C413" s="138">
        <f t="shared" si="793"/>
        <v>0</v>
      </c>
      <c r="D413" s="189">
        <f>'Averages Pivot Table'!AB$329</f>
        <v>0</v>
      </c>
      <c r="E413" s="138">
        <f t="shared" si="793"/>
        <v>0</v>
      </c>
      <c r="F413" s="189">
        <f>'Averages Pivot Table'!AB$333</f>
        <v>0</v>
      </c>
      <c r="G413" s="138">
        <f t="shared" ref="G413" si="844">IF(F413&gt;0,RANK(F413,(F$400:F$418)),0)</f>
        <v>0</v>
      </c>
      <c r="H413" s="189">
        <f>'Averages Pivot Table'!AB$337</f>
        <v>0</v>
      </c>
      <c r="I413" s="138">
        <f t="shared" ref="I413" si="845">IF(H413&gt;0,RANK(H413,(H$400:H$418)),0)</f>
        <v>0</v>
      </c>
      <c r="J413" s="189">
        <f>'Averages Pivot Table'!AB$341</f>
        <v>45528.085953878406</v>
      </c>
      <c r="K413" s="138">
        <f t="shared" ref="K413" si="846">IF(J413&gt;0,RANK(J413,(J$400:J$418)),0)</f>
        <v>1</v>
      </c>
      <c r="L413" s="167">
        <f>'Averages Pivot Table'!AB$345</f>
        <v>0</v>
      </c>
      <c r="M413" s="138">
        <f t="shared" ref="M413" si="847">IF(L413&gt;0,RANK(L413,(L$400:L$418)),0)</f>
        <v>0</v>
      </c>
      <c r="N413" s="189">
        <f>'Averages Pivot Table'!AB$349</f>
        <v>45528.085953878406</v>
      </c>
      <c r="O413" s="138">
        <f t="shared" ref="O413" si="848">IF(N413&gt;0,RANK(N413,(N$400:N$418)),0)</f>
        <v>12</v>
      </c>
    </row>
    <row r="414" spans="1:15" s="109" customFormat="1" x14ac:dyDescent="0.25">
      <c r="A414" s="136"/>
      <c r="B414" s="189"/>
      <c r="C414" s="138"/>
      <c r="D414" s="189"/>
      <c r="E414" s="138"/>
      <c r="F414" s="189"/>
      <c r="G414" s="138"/>
      <c r="H414" s="189"/>
      <c r="I414" s="138"/>
      <c r="J414" s="189"/>
      <c r="K414" s="138"/>
      <c r="L414" s="167"/>
      <c r="M414" s="138"/>
      <c r="N414" s="189"/>
      <c r="O414" s="138"/>
    </row>
    <row r="415" spans="1:15" s="109" customFormat="1" x14ac:dyDescent="0.25">
      <c r="A415" s="136" t="s">
        <v>207</v>
      </c>
      <c r="B415" s="191">
        <f>'Averages Pivot Table'!AB$354</f>
        <v>61616.362950321731</v>
      </c>
      <c r="C415" s="138">
        <f t="shared" si="793"/>
        <v>3</v>
      </c>
      <c r="D415" s="191">
        <f>'Averages Pivot Table'!AB$358</f>
        <v>50598.383051066317</v>
      </c>
      <c r="E415" s="138">
        <f t="shared" si="793"/>
        <v>5</v>
      </c>
      <c r="F415" s="191">
        <f>'Averages Pivot Table'!AB$362</f>
        <v>42667.979425745005</v>
      </c>
      <c r="G415" s="138">
        <f t="shared" ref="G415" si="849">IF(F415&gt;0,RANK(F415,(F$400:F$418)),0)</f>
        <v>7</v>
      </c>
      <c r="H415" s="191">
        <f>'Averages Pivot Table'!AB$366</f>
        <v>38700.918270154107</v>
      </c>
      <c r="I415" s="138">
        <f t="shared" ref="I415" si="850">IF(H415&gt;0,RANK(H415,(H$400:H$418)),0)</f>
        <v>6</v>
      </c>
      <c r="J415" s="191">
        <f>'Averages Pivot Table'!AB$370</f>
        <v>0</v>
      </c>
      <c r="K415" s="138">
        <f t="shared" ref="K415" si="851">IF(J415&gt;0,RANK(J415,(J$400:J$418)),0)</f>
        <v>0</v>
      </c>
      <c r="L415" s="137">
        <f>'Averages Pivot Table'!AB$374</f>
        <v>0</v>
      </c>
      <c r="M415" s="138">
        <f t="shared" ref="M415" si="852">IF(L415&gt;0,RANK(L415,(L$400:L$418)),0)</f>
        <v>0</v>
      </c>
      <c r="N415" s="191">
        <f>'Averages Pivot Table'!AB$378</f>
        <v>47717.353419346728</v>
      </c>
      <c r="O415" s="138">
        <f t="shared" ref="O415" si="853">IF(N415&gt;0,RANK(N415,(N$400:N$418)),0)</f>
        <v>8</v>
      </c>
    </row>
    <row r="416" spans="1:15" s="109" customFormat="1" x14ac:dyDescent="0.25">
      <c r="A416" s="136" t="s">
        <v>208</v>
      </c>
      <c r="B416" s="191">
        <f>'Averages Pivot Table'!AB$383</f>
        <v>48941.460040452053</v>
      </c>
      <c r="C416" s="138">
        <f t="shared" si="793"/>
        <v>7</v>
      </c>
      <c r="D416" s="191">
        <f>'Averages Pivot Table'!AB$387</f>
        <v>49420.619861842468</v>
      </c>
      <c r="E416" s="138">
        <f t="shared" si="793"/>
        <v>7</v>
      </c>
      <c r="F416" s="191">
        <f>'Averages Pivot Table'!AB$391</f>
        <v>46933.854137819049</v>
      </c>
      <c r="G416" s="138">
        <f t="shared" ref="G416" si="854">IF(F416&gt;0,RANK(F416,(F$400:F$418)),0)</f>
        <v>3</v>
      </c>
      <c r="H416" s="191">
        <f>'Averages Pivot Table'!AB$395</f>
        <v>46889.086578557566</v>
      </c>
      <c r="I416" s="138">
        <f t="shared" ref="I416" si="855">IF(H416&gt;0,RANK(H416,(H$400:H$418)),0)</f>
        <v>1</v>
      </c>
      <c r="J416" s="191">
        <f>'Averages Pivot Table'!AB$399</f>
        <v>0</v>
      </c>
      <c r="K416" s="138">
        <f t="shared" ref="K416" si="856">IF(J416&gt;0,RANK(J416,(J$400:J$418)),0)</f>
        <v>0</v>
      </c>
      <c r="L416" s="137">
        <f>'Averages Pivot Table'!AB$403</f>
        <v>52308.502738732808</v>
      </c>
      <c r="M416" s="138">
        <f t="shared" ref="M416" si="857">IF(L416&gt;0,RANK(L416,(L$400:L$418)),0)</f>
        <v>3</v>
      </c>
      <c r="N416" s="191">
        <f>'Averages Pivot Table'!AB$407</f>
        <v>48817.014303140102</v>
      </c>
      <c r="O416" s="138">
        <f t="shared" ref="O416" si="858">IF(N416&gt;0,RANK(N416,(N$400:N$418)),0)</f>
        <v>5</v>
      </c>
    </row>
    <row r="417" spans="1:19" ht="12.95" customHeight="1" x14ac:dyDescent="0.25">
      <c r="A417" s="136" t="s">
        <v>209</v>
      </c>
      <c r="B417" s="191">
        <f>'Averages Pivot Table'!AB$412</f>
        <v>0</v>
      </c>
      <c r="C417" s="138">
        <f t="shared" si="793"/>
        <v>0</v>
      </c>
      <c r="D417" s="191">
        <f>'Averages Pivot Table'!AB$416</f>
        <v>0</v>
      </c>
      <c r="E417" s="138">
        <f t="shared" si="793"/>
        <v>0</v>
      </c>
      <c r="F417" s="191">
        <f>'Averages Pivot Table'!AB$420</f>
        <v>0</v>
      </c>
      <c r="G417" s="138">
        <f t="shared" ref="G417" si="859">IF(F417&gt;0,RANK(F417,(F$400:F$418)),0)</f>
        <v>0</v>
      </c>
      <c r="H417" s="191">
        <f>'Averages Pivot Table'!AB$424</f>
        <v>0</v>
      </c>
      <c r="I417" s="138">
        <f t="shared" ref="I417" si="860">IF(H417&gt;0,RANK(H417,(H$400:H$418)),0)</f>
        <v>0</v>
      </c>
      <c r="J417" s="191">
        <f>'Averages Pivot Table'!AB$428</f>
        <v>0</v>
      </c>
      <c r="K417" s="138">
        <f t="shared" ref="K417" si="861">IF(J417&gt;0,RANK(J417,(J$400:J$418)),0)</f>
        <v>0</v>
      </c>
      <c r="L417" s="137">
        <f>'Averages Pivot Table'!AB$432</f>
        <v>0</v>
      </c>
      <c r="M417" s="138">
        <f t="shared" ref="M417" si="862">IF(L417&gt;0,RANK(L417,(L$400:L$418)),0)</f>
        <v>0</v>
      </c>
      <c r="N417" s="191">
        <f>'Averages Pivot Table'!AB$436</f>
        <v>0</v>
      </c>
      <c r="O417" s="138">
        <f t="shared" ref="O417" si="863">IF(N417&gt;0,RANK(N417,(N$400:N$418)),0)</f>
        <v>0</v>
      </c>
    </row>
    <row r="418" spans="1:19" ht="12.95" customHeight="1" x14ac:dyDescent="0.25">
      <c r="A418" s="161" t="s">
        <v>210</v>
      </c>
      <c r="B418" s="192">
        <f>'Averages Pivot Table'!AB$441</f>
        <v>64502.011345852894</v>
      </c>
      <c r="C418" s="141">
        <f t="shared" si="793"/>
        <v>2</v>
      </c>
      <c r="D418" s="192">
        <f>'Averages Pivot Table'!AB$445</f>
        <v>50794.424089068823</v>
      </c>
      <c r="E418" s="141">
        <f t="shared" si="793"/>
        <v>4</v>
      </c>
      <c r="F418" s="192">
        <f>'Averages Pivot Table'!AB$449</f>
        <v>48019.142397782394</v>
      </c>
      <c r="G418" s="141">
        <f t="shared" ref="G418" si="864">IF(F418&gt;0,RANK(F418,(F$400:F$418)),0)</f>
        <v>2</v>
      </c>
      <c r="H418" s="192">
        <f>'Averages Pivot Table'!AB$453</f>
        <v>39243.211171096344</v>
      </c>
      <c r="I418" s="141">
        <f t="shared" ref="I418" si="865">IF(H418&gt;0,RANK(H418,(H$400:H$418)),0)</f>
        <v>5</v>
      </c>
      <c r="J418" s="192">
        <f>'Averages Pivot Table'!AB$457</f>
        <v>41670</v>
      </c>
      <c r="K418" s="141">
        <f t="shared" ref="K418" si="866">IF(J418&gt;0,RANK(J418,(J$400:J$418)),0)</f>
        <v>3</v>
      </c>
      <c r="L418" s="140">
        <f>'Averages Pivot Table'!AB$461</f>
        <v>0</v>
      </c>
      <c r="M418" s="141">
        <f t="shared" ref="M418" si="867">IF(L418&gt;0,RANK(L418,(L$400:L$418)),0)</f>
        <v>0</v>
      </c>
      <c r="N418" s="192">
        <f>'Averages Pivot Table'!AB$465</f>
        <v>48043.848585435575</v>
      </c>
      <c r="O418" s="141">
        <f t="shared" ref="O418" si="868">IF(N418&gt;0,RANK(N418,(N$400:N$418)),0)</f>
        <v>7</v>
      </c>
    </row>
    <row r="419" spans="1:19" ht="30" customHeight="1" x14ac:dyDescent="0.25">
      <c r="A419" s="723" t="s">
        <v>187</v>
      </c>
      <c r="B419" s="723"/>
      <c r="C419" s="723"/>
      <c r="D419" s="723"/>
      <c r="E419" s="723"/>
      <c r="F419" s="723"/>
      <c r="G419" s="723"/>
      <c r="H419" s="723"/>
      <c r="I419" s="723"/>
      <c r="J419" s="723"/>
      <c r="K419" s="723"/>
      <c r="L419" s="723"/>
      <c r="M419" s="723"/>
      <c r="N419" s="723"/>
      <c r="O419" s="723"/>
    </row>
    <row r="420" spans="1:19" x14ac:dyDescent="0.25">
      <c r="O420" s="102" t="s">
        <v>1124</v>
      </c>
    </row>
    <row r="421" spans="1:19" ht="18" x14ac:dyDescent="0.25">
      <c r="A421" s="82" t="s">
        <v>242</v>
      </c>
      <c r="B421" s="82"/>
      <c r="C421" s="82"/>
      <c r="D421" s="82"/>
      <c r="E421" s="82"/>
      <c r="F421" s="82"/>
      <c r="G421" s="82"/>
      <c r="H421" s="82"/>
      <c r="I421" s="82"/>
      <c r="J421" s="82"/>
      <c r="K421" s="82"/>
      <c r="L421" s="82"/>
      <c r="M421" s="82"/>
      <c r="N421" s="82"/>
      <c r="O421" s="82"/>
    </row>
    <row r="422" spans="1:19" x14ac:dyDescent="0.25">
      <c r="A422" s="180"/>
      <c r="B422" s="87"/>
      <c r="C422" s="87"/>
      <c r="D422" s="87"/>
      <c r="E422" s="87"/>
      <c r="F422" s="87"/>
      <c r="G422" s="87"/>
      <c r="H422" s="87"/>
      <c r="I422" s="87"/>
      <c r="J422" s="87"/>
      <c r="K422" s="87"/>
      <c r="L422" s="87"/>
      <c r="M422" s="87"/>
      <c r="N422" s="87"/>
      <c r="O422" s="87"/>
    </row>
    <row r="423" spans="1:19" x14ac:dyDescent="0.25">
      <c r="A423" s="707" t="s">
        <v>218</v>
      </c>
      <c r="B423" s="707"/>
      <c r="C423" s="707"/>
      <c r="D423" s="707"/>
      <c r="E423" s="707"/>
      <c r="F423" s="707"/>
      <c r="G423" s="707"/>
      <c r="H423" s="707"/>
      <c r="I423" s="707"/>
      <c r="J423" s="707"/>
      <c r="K423" s="707"/>
      <c r="L423" s="707"/>
      <c r="M423" s="707"/>
      <c r="N423" s="707"/>
      <c r="O423" s="707"/>
    </row>
    <row r="424" spans="1:19" x14ac:dyDescent="0.25">
      <c r="A424" s="707" t="s">
        <v>243</v>
      </c>
      <c r="B424" s="707"/>
      <c r="C424" s="707"/>
      <c r="D424" s="707"/>
      <c r="E424" s="707"/>
      <c r="F424" s="707"/>
      <c r="G424" s="707"/>
      <c r="H424" s="707"/>
      <c r="I424" s="707"/>
      <c r="J424" s="707"/>
      <c r="K424" s="707"/>
      <c r="L424" s="707"/>
      <c r="M424" s="707"/>
      <c r="N424" s="707"/>
      <c r="O424" s="707"/>
    </row>
    <row r="425" spans="1:19" x14ac:dyDescent="0.25">
      <c r="A425" s="136"/>
      <c r="B425" s="136"/>
      <c r="C425" s="136"/>
      <c r="D425" s="136"/>
      <c r="E425" s="136"/>
      <c r="F425" s="136"/>
      <c r="G425" s="136"/>
      <c r="H425" s="136"/>
      <c r="I425" s="136"/>
      <c r="J425" s="136"/>
      <c r="K425" s="136"/>
      <c r="L425" s="136"/>
      <c r="M425" s="136"/>
      <c r="N425" s="136"/>
      <c r="O425" s="136"/>
    </row>
    <row r="426" spans="1:19" ht="33" customHeight="1" x14ac:dyDescent="0.25">
      <c r="A426" s="114"/>
      <c r="B426" s="182" t="s">
        <v>3</v>
      </c>
      <c r="C426" s="183"/>
      <c r="D426" s="184" t="s">
        <v>4</v>
      </c>
      <c r="E426" s="185"/>
      <c r="F426" s="184" t="s">
        <v>5</v>
      </c>
      <c r="G426" s="185"/>
      <c r="H426" s="182" t="s">
        <v>6</v>
      </c>
      <c r="I426" s="183"/>
      <c r="J426" s="184" t="s">
        <v>219</v>
      </c>
      <c r="K426" s="185"/>
      <c r="L426" s="183" t="s">
        <v>23</v>
      </c>
      <c r="M426" s="183"/>
      <c r="N426" s="183" t="s">
        <v>220</v>
      </c>
      <c r="O426" s="183"/>
    </row>
    <row r="427" spans="1:19" x14ac:dyDescent="0.25">
      <c r="A427" s="120"/>
      <c r="B427" s="116" t="s">
        <v>193</v>
      </c>
      <c r="C427" s="115" t="s">
        <v>170</v>
      </c>
      <c r="D427" s="116" t="s">
        <v>193</v>
      </c>
      <c r="E427" s="115" t="s">
        <v>170</v>
      </c>
      <c r="F427" s="116" t="s">
        <v>193</v>
      </c>
      <c r="G427" s="115" t="s">
        <v>170</v>
      </c>
      <c r="H427" s="116" t="s">
        <v>193</v>
      </c>
      <c r="I427" s="115" t="s">
        <v>170</v>
      </c>
      <c r="J427" s="116" t="s">
        <v>193</v>
      </c>
      <c r="K427" s="115" t="s">
        <v>170</v>
      </c>
      <c r="L427" s="116" t="s">
        <v>193</v>
      </c>
      <c r="M427" s="115" t="s">
        <v>170</v>
      </c>
      <c r="N427" s="116" t="s">
        <v>193</v>
      </c>
      <c r="O427" s="115" t="s">
        <v>170</v>
      </c>
    </row>
    <row r="428" spans="1:19" s="127" customFormat="1" ht="18" customHeight="1" x14ac:dyDescent="0.25">
      <c r="A428" s="124" t="s">
        <v>194</v>
      </c>
      <c r="B428" s="151">
        <f>'Averages Pivot Table'!AC$469</f>
        <v>61250.441352336646</v>
      </c>
      <c r="C428" s="151"/>
      <c r="D428" s="151">
        <f>'Averages Pivot Table'!AC$473</f>
        <v>53247.403137505476</v>
      </c>
      <c r="E428" s="151"/>
      <c r="F428" s="151">
        <f>'Averages Pivot Table'!AC$477</f>
        <v>44988.974728979185</v>
      </c>
      <c r="G428" s="151"/>
      <c r="H428" s="151">
        <f>'Averages Pivot Table'!AC$481</f>
        <v>39987.430128511485</v>
      </c>
      <c r="I428" s="151"/>
      <c r="J428" s="151">
        <f>'Averages Pivot Table'!AC$485</f>
        <v>41264.503456314829</v>
      </c>
      <c r="K428" s="151"/>
      <c r="L428" s="151">
        <f>'Averages Pivot Table'!AC$489</f>
        <v>45514.302542040707</v>
      </c>
      <c r="M428" s="151"/>
      <c r="N428" s="151">
        <f>'Averages Pivot Table'!AC$493</f>
        <v>45599.608710317181</v>
      </c>
      <c r="O428" s="187"/>
      <c r="Q428" s="129"/>
      <c r="R428" s="129"/>
      <c r="S428" s="129"/>
    </row>
    <row r="429" spans="1:19" ht="12.95" customHeight="1" x14ac:dyDescent="0.25">
      <c r="A429" s="136"/>
      <c r="B429" s="131"/>
      <c r="C429" s="155"/>
      <c r="D429" s="131"/>
      <c r="E429" s="155"/>
      <c r="F429" s="131"/>
      <c r="G429" s="155"/>
      <c r="H429" s="131"/>
      <c r="I429" s="155"/>
      <c r="J429" s="131"/>
      <c r="K429" s="155"/>
      <c r="L429" s="131"/>
      <c r="M429" s="155"/>
      <c r="N429" s="131"/>
      <c r="O429" s="155"/>
    </row>
    <row r="430" spans="1:19" ht="12.95" customHeight="1" x14ac:dyDescent="0.25">
      <c r="A430" s="136" t="s">
        <v>195</v>
      </c>
      <c r="B430" s="189">
        <f>'Averages Pivot Table'!AC$6</f>
        <v>0</v>
      </c>
      <c r="C430" s="138">
        <f>IF(B430&gt;0,RANK(B430,(B$430:B$448)),0)</f>
        <v>0</v>
      </c>
      <c r="D430" s="189">
        <f>'Averages Pivot Table'!AC$10</f>
        <v>0</v>
      </c>
      <c r="E430" s="138">
        <f>IF(D430&gt;0,RANK(D430,(D$430:D$448)),0)</f>
        <v>0</v>
      </c>
      <c r="F430" s="189">
        <f>'Averages Pivot Table'!AC$14</f>
        <v>0</v>
      </c>
      <c r="G430" s="138">
        <f>IF(F430&gt;0,RANK(F430,(F$430:F$448)),0)</f>
        <v>0</v>
      </c>
      <c r="H430" s="189">
        <f>'Averages Pivot Table'!AC$18</f>
        <v>0</v>
      </c>
      <c r="I430" s="138">
        <f>IF(H430&gt;0,RANK(H430,(H$430:H$448)),0)</f>
        <v>0</v>
      </c>
      <c r="J430" s="189">
        <f>'Averages Pivot Table'!AC$22</f>
        <v>0</v>
      </c>
      <c r="K430" s="138">
        <f>IF(J430&gt;0,RANK(J430,(J$430:J$448)),0)</f>
        <v>0</v>
      </c>
      <c r="L430" s="167">
        <f>'Averages Pivot Table'!AC$26</f>
        <v>52019.657143662858</v>
      </c>
      <c r="M430" s="138">
        <f>IF(L430&gt;0,RANK(L430,(L$430:L$448)),0)</f>
        <v>1</v>
      </c>
      <c r="N430" s="189">
        <f>'Averages Pivot Table'!AC$30</f>
        <v>52019.657143662858</v>
      </c>
      <c r="O430" s="138">
        <f>IF(N430&gt;0,RANK(N430,(N$430:N$448)),0)</f>
        <v>4</v>
      </c>
    </row>
    <row r="431" spans="1:19" ht="12.95" customHeight="1" x14ac:dyDescent="0.25">
      <c r="A431" s="136" t="s">
        <v>196</v>
      </c>
      <c r="B431" s="189">
        <f>'Averages Pivot Table'!AC$35</f>
        <v>54326.172413793109</v>
      </c>
      <c r="C431" s="138">
        <f t="shared" ref="C431:E448" si="869">IF(B431&gt;0,RANK(B431,(B$430:B$448)),0)</f>
        <v>8</v>
      </c>
      <c r="D431" s="189">
        <f>'Averages Pivot Table'!AC$39</f>
        <v>46234.575000000004</v>
      </c>
      <c r="E431" s="138">
        <f t="shared" si="869"/>
        <v>9</v>
      </c>
      <c r="F431" s="189">
        <f>'Averages Pivot Table'!AC$43</f>
        <v>38661.700456569655</v>
      </c>
      <c r="G431" s="138">
        <f t="shared" ref="G431" si="870">IF(F431&gt;0,RANK(F431,(F$430:F$448)),0)</f>
        <v>9</v>
      </c>
      <c r="H431" s="189">
        <f>'Averages Pivot Table'!AC$47</f>
        <v>39645.112197021394</v>
      </c>
      <c r="I431" s="138">
        <f t="shared" ref="I431" si="871">IF(H431&gt;0,RANK(H431,(H$430:H$448)),0)</f>
        <v>5</v>
      </c>
      <c r="J431" s="189">
        <f>'Averages Pivot Table'!AC$51</f>
        <v>0</v>
      </c>
      <c r="K431" s="138">
        <f t="shared" ref="K431" si="872">IF(J431&gt;0,RANK(J431,(J$430:J$448)),0)</f>
        <v>0</v>
      </c>
      <c r="L431" s="167">
        <f>'Averages Pivot Table'!AC$55</f>
        <v>42163.415368138369</v>
      </c>
      <c r="M431" s="138">
        <f t="shared" ref="M431" si="873">IF(L431&gt;0,RANK(L431,(L$430:L$448)),0)</f>
        <v>6</v>
      </c>
      <c r="N431" s="189">
        <f>'Averages Pivot Table'!AC$59</f>
        <v>41904.164690554782</v>
      </c>
      <c r="O431" s="138">
        <f t="shared" ref="O431" si="874">IF(N431&gt;0,RANK(N431,(N$430:N$448)),0)</f>
        <v>13</v>
      </c>
    </row>
    <row r="432" spans="1:19" ht="12.95" customHeight="1" x14ac:dyDescent="0.25">
      <c r="A432" s="136" t="s">
        <v>197</v>
      </c>
      <c r="B432" s="189">
        <f>'Averages Pivot Table'!AC$64</f>
        <v>0</v>
      </c>
      <c r="C432" s="138">
        <f t="shared" si="869"/>
        <v>0</v>
      </c>
      <c r="D432" s="189">
        <f>'Averages Pivot Table'!AC$68</f>
        <v>0</v>
      </c>
      <c r="E432" s="138">
        <f t="shared" si="869"/>
        <v>0</v>
      </c>
      <c r="F432" s="189">
        <f>'Averages Pivot Table'!AC$72</f>
        <v>0</v>
      </c>
      <c r="G432" s="138">
        <f t="shared" ref="G432" si="875">IF(F432&gt;0,RANK(F432,(F$430:F$448)),0)</f>
        <v>0</v>
      </c>
      <c r="H432" s="189">
        <f>'Averages Pivot Table'!AC$76</f>
        <v>0</v>
      </c>
      <c r="I432" s="138">
        <f t="shared" ref="I432" si="876">IF(H432&gt;0,RANK(H432,(H$430:H$448)),0)</f>
        <v>0</v>
      </c>
      <c r="J432" s="189">
        <f>'Averages Pivot Table'!AC$80</f>
        <v>0</v>
      </c>
      <c r="K432" s="138">
        <f t="shared" ref="K432" si="877">IF(J432&gt;0,RANK(J432,(J$430:J$448)),0)</f>
        <v>0</v>
      </c>
      <c r="L432" s="167">
        <f>'Averages Pivot Table'!AC$84</f>
        <v>0</v>
      </c>
      <c r="M432" s="138">
        <f t="shared" ref="M432" si="878">IF(L432&gt;0,RANK(L432,(L$430:L$448)),0)</f>
        <v>0</v>
      </c>
      <c r="N432" s="189">
        <f>'Averages Pivot Table'!AC$88</f>
        <v>0</v>
      </c>
      <c r="O432" s="138">
        <f t="shared" ref="O432" si="879">IF(N432&gt;0,RANK(N432,(N$430:N$448)),0)</f>
        <v>0</v>
      </c>
    </row>
    <row r="433" spans="1:15" s="109" customFormat="1" x14ac:dyDescent="0.25">
      <c r="A433" s="136" t="s">
        <v>198</v>
      </c>
      <c r="B433" s="189">
        <f>'Averages Pivot Table'!AC$93</f>
        <v>0</v>
      </c>
      <c r="C433" s="138">
        <f t="shared" si="869"/>
        <v>0</v>
      </c>
      <c r="D433" s="189">
        <f>'Averages Pivot Table'!AC$97</f>
        <v>0</v>
      </c>
      <c r="E433" s="138">
        <f t="shared" si="869"/>
        <v>0</v>
      </c>
      <c r="F433" s="189">
        <f>'Averages Pivot Table'!AC$101</f>
        <v>0</v>
      </c>
      <c r="G433" s="138">
        <f t="shared" ref="G433" si="880">IF(F433&gt;0,RANK(F433,(F$430:F$448)),0)</f>
        <v>0</v>
      </c>
      <c r="H433" s="189">
        <f>'Averages Pivot Table'!AC$105</f>
        <v>0</v>
      </c>
      <c r="I433" s="138">
        <f t="shared" ref="I433" si="881">IF(H433&gt;0,RANK(H433,(H$430:H$448)),0)</f>
        <v>0</v>
      </c>
      <c r="J433" s="189">
        <f>'Averages Pivot Table'!AC$109</f>
        <v>0</v>
      </c>
      <c r="K433" s="138">
        <f t="shared" ref="K433" si="882">IF(J433&gt;0,RANK(J433,(J$430:J$448)),0)</f>
        <v>0</v>
      </c>
      <c r="L433" s="167">
        <f>'Averages Pivot Table'!AC$113</f>
        <v>48943.15789473684</v>
      </c>
      <c r="M433" s="138">
        <f t="shared" ref="M433" si="883">IF(L433&gt;0,RANK(L433,(L$430:L$448)),0)</f>
        <v>2</v>
      </c>
      <c r="N433" s="189">
        <f>'Averages Pivot Table'!AC$117</f>
        <v>48943.15789473684</v>
      </c>
      <c r="O433" s="138">
        <f t="shared" ref="O433" si="884">IF(N433&gt;0,RANK(N433,(N$430:N$448)),0)</f>
        <v>5</v>
      </c>
    </row>
    <row r="434" spans="1:15" s="109" customFormat="1" x14ac:dyDescent="0.25">
      <c r="A434" s="136"/>
      <c r="B434" s="189"/>
      <c r="C434" s="138"/>
      <c r="D434" s="189"/>
      <c r="E434" s="138"/>
      <c r="F434" s="189"/>
      <c r="G434" s="138"/>
      <c r="H434" s="189"/>
      <c r="I434" s="138"/>
      <c r="J434" s="189"/>
      <c r="K434" s="138"/>
      <c r="L434" s="167"/>
      <c r="M434" s="138"/>
      <c r="N434" s="189"/>
      <c r="O434" s="138"/>
    </row>
    <row r="435" spans="1:15" s="109" customFormat="1" x14ac:dyDescent="0.25">
      <c r="A435" s="136" t="s">
        <v>199</v>
      </c>
      <c r="B435" s="189">
        <f>'Averages Pivot Table'!AC$122</f>
        <v>57801</v>
      </c>
      <c r="C435" s="138">
        <f t="shared" si="869"/>
        <v>6</v>
      </c>
      <c r="D435" s="189">
        <f>'Averages Pivot Table'!AC$126</f>
        <v>48408.333333333336</v>
      </c>
      <c r="E435" s="138">
        <f t="shared" si="869"/>
        <v>7</v>
      </c>
      <c r="F435" s="189">
        <f>'Averages Pivot Table'!AC$130</f>
        <v>42554</v>
      </c>
      <c r="G435" s="138">
        <f t="shared" ref="G435" si="885">IF(F435&gt;0,RANK(F435,(F$430:F$448)),0)</f>
        <v>8</v>
      </c>
      <c r="H435" s="189">
        <f>'Averages Pivot Table'!AC$134</f>
        <v>37557.210526315786</v>
      </c>
      <c r="I435" s="138">
        <f t="shared" ref="I435" si="886">IF(H435&gt;0,RANK(H435,(H$430:H$448)),0)</f>
        <v>7</v>
      </c>
      <c r="J435" s="189">
        <f>'Averages Pivot Table'!AC$138</f>
        <v>39800</v>
      </c>
      <c r="K435" s="138">
        <f t="shared" ref="K435" si="887">IF(J435&gt;0,RANK(J435,(J$430:J$448)),0)</f>
        <v>3</v>
      </c>
      <c r="L435" s="167">
        <f>'Averages Pivot Table'!AC$142</f>
        <v>0</v>
      </c>
      <c r="M435" s="138">
        <f t="shared" ref="M435" si="888">IF(L435&gt;0,RANK(L435,(L$430:L$448)),0)</f>
        <v>0</v>
      </c>
      <c r="N435" s="189">
        <f>'Averages Pivot Table'!AC$146</f>
        <v>42776.953125</v>
      </c>
      <c r="O435" s="138">
        <f t="shared" ref="O435" si="889">IF(N435&gt;0,RANK(N435,(N$430:N$448)),0)</f>
        <v>12</v>
      </c>
    </row>
    <row r="436" spans="1:15" s="109" customFormat="1" x14ac:dyDescent="0.25">
      <c r="A436" s="136" t="s">
        <v>200</v>
      </c>
      <c r="B436" s="189">
        <f>'Averages Pivot Table'!AC$151</f>
        <v>60617.415584415576</v>
      </c>
      <c r="C436" s="138">
        <f t="shared" si="869"/>
        <v>5</v>
      </c>
      <c r="D436" s="189">
        <f>'Averages Pivot Table'!AC$155</f>
        <v>49671.3</v>
      </c>
      <c r="E436" s="138">
        <f t="shared" si="869"/>
        <v>5</v>
      </c>
      <c r="F436" s="189">
        <f>'Averages Pivot Table'!AC$159</f>
        <v>42911.723076923088</v>
      </c>
      <c r="G436" s="138">
        <f t="shared" ref="G436" si="890">IF(F436&gt;0,RANK(F436,(F$430:F$448)),0)</f>
        <v>7</v>
      </c>
      <c r="H436" s="189">
        <f>'Averages Pivot Table'!AC$163</f>
        <v>42165</v>
      </c>
      <c r="I436" s="138">
        <f t="shared" ref="I436" si="891">IF(H436&gt;0,RANK(H436,(H$430:H$448)),0)</f>
        <v>2</v>
      </c>
      <c r="J436" s="189">
        <f>'Averages Pivot Table'!AC$167</f>
        <v>0</v>
      </c>
      <c r="K436" s="138">
        <f t="shared" ref="K436" si="892">IF(J436&gt;0,RANK(J436,(J$430:J$448)),0)</f>
        <v>0</v>
      </c>
      <c r="L436" s="167">
        <f>'Averages Pivot Table'!AC$171</f>
        <v>0</v>
      </c>
      <c r="M436" s="138">
        <f t="shared" ref="M436" si="893">IF(L436&gt;0,RANK(L436,(L$430:L$448)),0)</f>
        <v>0</v>
      </c>
      <c r="N436" s="189">
        <f>'Averages Pivot Table'!AC$175</f>
        <v>53448.342732267723</v>
      </c>
      <c r="O436" s="138">
        <f t="shared" ref="O436" si="894">IF(N436&gt;0,RANK(N436,(N$430:N$448)),0)</f>
        <v>3</v>
      </c>
    </row>
    <row r="437" spans="1:15" s="109" customFormat="1" x14ac:dyDescent="0.25">
      <c r="A437" s="136" t="s">
        <v>201</v>
      </c>
      <c r="B437" s="189">
        <f>'Averages Pivot Table'!AC$180</f>
        <v>49355.642857142855</v>
      </c>
      <c r="C437" s="138">
        <f t="shared" si="869"/>
        <v>9</v>
      </c>
      <c r="D437" s="189">
        <f>'Averages Pivot Table'!AC$184</f>
        <v>46983.91773852217</v>
      </c>
      <c r="E437" s="138">
        <f t="shared" si="869"/>
        <v>8</v>
      </c>
      <c r="F437" s="189">
        <f>'Averages Pivot Table'!AC$188</f>
        <v>43327.566857007609</v>
      </c>
      <c r="G437" s="138">
        <f t="shared" ref="G437" si="895">IF(F437&gt;0,RANK(F437,(F$430:F$448)),0)</f>
        <v>6</v>
      </c>
      <c r="H437" s="189">
        <f>'Averages Pivot Table'!AC$192</f>
        <v>37223.75794764758</v>
      </c>
      <c r="I437" s="138">
        <f t="shared" ref="I437" si="896">IF(H437&gt;0,RANK(H437,(H$430:H$448)),0)</f>
        <v>8</v>
      </c>
      <c r="J437" s="189">
        <f>'Averages Pivot Table'!AC$196</f>
        <v>0</v>
      </c>
      <c r="K437" s="138">
        <f t="shared" ref="K437" si="897">IF(J437&gt;0,RANK(J437,(J$430:J$448)),0)</f>
        <v>0</v>
      </c>
      <c r="L437" s="167">
        <f>'Averages Pivot Table'!AC$200</f>
        <v>0</v>
      </c>
      <c r="M437" s="138">
        <f t="shared" ref="M437" si="898">IF(L437&gt;0,RANK(L437,(L$430:L$448)),0)</f>
        <v>0</v>
      </c>
      <c r="N437" s="189">
        <f>'Averages Pivot Table'!AC$204</f>
        <v>41637.59914076305</v>
      </c>
      <c r="O437" s="138">
        <f t="shared" ref="O437" si="899">IF(N437&gt;0,RANK(N437,(N$430:N$448)),0)</f>
        <v>14</v>
      </c>
    </row>
    <row r="438" spans="1:15" s="109" customFormat="1" x14ac:dyDescent="0.25">
      <c r="A438" s="136" t="s">
        <v>202</v>
      </c>
      <c r="B438" s="189">
        <f>'Averages Pivot Table'!AC$209</f>
        <v>70282.126337224123</v>
      </c>
      <c r="C438" s="138">
        <f t="shared" si="869"/>
        <v>1</v>
      </c>
      <c r="D438" s="189">
        <f>'Averages Pivot Table'!AC$213</f>
        <v>62226.788667034074</v>
      </c>
      <c r="E438" s="138">
        <f t="shared" si="869"/>
        <v>1</v>
      </c>
      <c r="F438" s="189">
        <f>'Averages Pivot Table'!AC$217</f>
        <v>51503.532873654825</v>
      </c>
      <c r="G438" s="138">
        <f t="shared" ref="G438" si="900">IF(F438&gt;0,RANK(F438,(F$430:F$448)),0)</f>
        <v>1</v>
      </c>
      <c r="H438" s="189">
        <f>'Averages Pivot Table'!AC$221</f>
        <v>50968.199733333335</v>
      </c>
      <c r="I438" s="138">
        <f t="shared" ref="I438" si="901">IF(H438&gt;0,RANK(H438,(H$430:H$448)),0)</f>
        <v>1</v>
      </c>
      <c r="J438" s="189">
        <f>'Averages Pivot Table'!AC$225</f>
        <v>38289.272727272721</v>
      </c>
      <c r="K438" s="138">
        <f t="shared" ref="K438" si="902">IF(J438&gt;0,RANK(J438,(J$430:J$448)),0)</f>
        <v>4</v>
      </c>
      <c r="L438" s="167">
        <f>'Averages Pivot Table'!AC$229</f>
        <v>0</v>
      </c>
      <c r="M438" s="138">
        <f t="shared" ref="M438" si="903">IF(L438&gt;0,RANK(L438,(L$430:L$448)),0)</f>
        <v>0</v>
      </c>
      <c r="N438" s="189">
        <f>'Averages Pivot Table'!AC$233</f>
        <v>60112.441945796061</v>
      </c>
      <c r="O438" s="138">
        <f t="shared" ref="O438" si="904">IF(N438&gt;0,RANK(N438,(N$430:N$448)),0)</f>
        <v>1</v>
      </c>
    </row>
    <row r="439" spans="1:15" s="109" customFormat="1" x14ac:dyDescent="0.25">
      <c r="A439" s="136"/>
      <c r="B439" s="189"/>
      <c r="C439" s="138"/>
      <c r="D439" s="189"/>
      <c r="E439" s="138"/>
      <c r="F439" s="189"/>
      <c r="G439" s="138"/>
      <c r="H439" s="189"/>
      <c r="I439" s="138"/>
      <c r="J439" s="189"/>
      <c r="K439" s="138"/>
      <c r="L439" s="167"/>
      <c r="M439" s="138"/>
      <c r="N439" s="189"/>
      <c r="O439" s="138"/>
    </row>
    <row r="440" spans="1:15" s="109" customFormat="1" x14ac:dyDescent="0.25">
      <c r="A440" s="136" t="s">
        <v>203</v>
      </c>
      <c r="B440" s="189">
        <f>'Averages Pivot Table'!AC$238</f>
        <v>0</v>
      </c>
      <c r="C440" s="138">
        <f t="shared" si="869"/>
        <v>0</v>
      </c>
      <c r="D440" s="189">
        <f>'Averages Pivot Table'!AC$242</f>
        <v>0</v>
      </c>
      <c r="E440" s="138">
        <f t="shared" si="869"/>
        <v>0</v>
      </c>
      <c r="F440" s="189">
        <f>'Averages Pivot Table'!AC$246</f>
        <v>0</v>
      </c>
      <c r="G440" s="138">
        <f t="shared" ref="G440" si="905">IF(F440&gt;0,RANK(F440,(F$430:F$448)),0)</f>
        <v>0</v>
      </c>
      <c r="H440" s="189">
        <f>'Averages Pivot Table'!AC$250</f>
        <v>0</v>
      </c>
      <c r="I440" s="138">
        <f t="shared" ref="I440" si="906">IF(H440&gt;0,RANK(H440,(H$430:H$448)),0)</f>
        <v>0</v>
      </c>
      <c r="J440" s="189">
        <f>'Averages Pivot Table'!AC$254</f>
        <v>0</v>
      </c>
      <c r="K440" s="138">
        <f t="shared" ref="K440" si="907">IF(J440&gt;0,RANK(J440,(J$430:J$448)),0)</f>
        <v>0</v>
      </c>
      <c r="L440" s="167">
        <f>'Averages Pivot Table'!AC$258</f>
        <v>46187.175448679744</v>
      </c>
      <c r="M440" s="138">
        <f t="shared" ref="M440" si="908">IF(L440&gt;0,RANK(L440,(L$430:L$448)),0)</f>
        <v>4</v>
      </c>
      <c r="N440" s="189">
        <f>'Averages Pivot Table'!AC$262</f>
        <v>46187.175448679744</v>
      </c>
      <c r="O440" s="138">
        <f t="shared" ref="O440" si="909">IF(N440&gt;0,RANK(N440,(N$430:N$448)),0)</f>
        <v>8</v>
      </c>
    </row>
    <row r="441" spans="1:15" s="109" customFormat="1" x14ac:dyDescent="0.25">
      <c r="A441" s="136" t="s">
        <v>204</v>
      </c>
      <c r="B441" s="189">
        <f>'Averages Pivot Table'!AC$267</f>
        <v>0</v>
      </c>
      <c r="C441" s="138">
        <f t="shared" si="869"/>
        <v>0</v>
      </c>
      <c r="D441" s="189">
        <f>'Averages Pivot Table'!AC$271</f>
        <v>0</v>
      </c>
      <c r="E441" s="138">
        <f t="shared" si="869"/>
        <v>0</v>
      </c>
      <c r="F441" s="189">
        <f>'Averages Pivot Table'!AC$275</f>
        <v>0</v>
      </c>
      <c r="G441" s="138">
        <f t="shared" ref="G441" si="910">IF(F441&gt;0,RANK(F441,(F$430:F$448)),0)</f>
        <v>0</v>
      </c>
      <c r="H441" s="189">
        <f>'Averages Pivot Table'!AC$279</f>
        <v>0</v>
      </c>
      <c r="I441" s="138">
        <f t="shared" ref="I441" si="911">IF(H441&gt;0,RANK(H441,(H$430:H$448)),0)</f>
        <v>0</v>
      </c>
      <c r="J441" s="189">
        <f>'Averages Pivot Table'!AC$283</f>
        <v>0</v>
      </c>
      <c r="K441" s="138">
        <f t="shared" ref="K441" si="912">IF(J441&gt;0,RANK(J441,(J$430:J$448)),0)</f>
        <v>0</v>
      </c>
      <c r="L441" s="167">
        <f>'Averages Pivot Table'!AC$287</f>
        <v>46495.810569948189</v>
      </c>
      <c r="M441" s="138">
        <f t="shared" ref="M441" si="913">IF(L441&gt;0,RANK(L441,(L$430:L$448)),0)</f>
        <v>3</v>
      </c>
      <c r="N441" s="189">
        <f>'Averages Pivot Table'!AC$291</f>
        <v>46495.810569948189</v>
      </c>
      <c r="O441" s="138">
        <f t="shared" ref="O441" si="914">IF(N441&gt;0,RANK(N441,(N$430:N$448)),0)</f>
        <v>7</v>
      </c>
    </row>
    <row r="442" spans="1:15" s="109" customFormat="1" x14ac:dyDescent="0.25">
      <c r="A442" s="136" t="s">
        <v>205</v>
      </c>
      <c r="B442" s="189">
        <f>'Averages Pivot Table'!AC$296</f>
        <v>0</v>
      </c>
      <c r="C442" s="138">
        <f t="shared" si="869"/>
        <v>0</v>
      </c>
      <c r="D442" s="189">
        <f>'Averages Pivot Table'!AC$300</f>
        <v>0</v>
      </c>
      <c r="E442" s="138">
        <f t="shared" si="869"/>
        <v>0</v>
      </c>
      <c r="F442" s="189">
        <f>'Averages Pivot Table'!AC$304</f>
        <v>0</v>
      </c>
      <c r="G442" s="138">
        <f t="shared" ref="G442" si="915">IF(F442&gt;0,RANK(F442,(F$430:F$448)),0)</f>
        <v>0</v>
      </c>
      <c r="H442" s="189">
        <f>'Averages Pivot Table'!AC$308</f>
        <v>0</v>
      </c>
      <c r="I442" s="138">
        <f t="shared" ref="I442" si="916">IF(H442&gt;0,RANK(H442,(H$430:H$448)),0)</f>
        <v>0</v>
      </c>
      <c r="J442" s="189">
        <f>'Averages Pivot Table'!AC$312</f>
        <v>0</v>
      </c>
      <c r="K442" s="138">
        <f t="shared" ref="K442" si="917">IF(J442&gt;0,RANK(J442,(J$430:J$448)),0)</f>
        <v>0</v>
      </c>
      <c r="L442" s="167">
        <f>'Averages Pivot Table'!AC$316</f>
        <v>44064.96109101874</v>
      </c>
      <c r="M442" s="138">
        <f t="shared" ref="M442" si="918">IF(L442&gt;0,RANK(L442,(L$430:L$448)),0)</f>
        <v>5</v>
      </c>
      <c r="N442" s="189">
        <f>'Averages Pivot Table'!AC$320</f>
        <v>44064.96109101874</v>
      </c>
      <c r="O442" s="138">
        <f t="shared" ref="O442" si="919">IF(N442&gt;0,RANK(N442,(N$430:N$448)),0)</f>
        <v>10</v>
      </c>
    </row>
    <row r="443" spans="1:15" s="109" customFormat="1" x14ac:dyDescent="0.25">
      <c r="A443" s="136" t="s">
        <v>206</v>
      </c>
      <c r="B443" s="189">
        <f>'Averages Pivot Table'!AC$325</f>
        <v>67960.237007424337</v>
      </c>
      <c r="C443" s="138">
        <f t="shared" si="869"/>
        <v>2</v>
      </c>
      <c r="D443" s="189">
        <f>'Averages Pivot Table'!AC$329</f>
        <v>54720.912658602727</v>
      </c>
      <c r="E443" s="138">
        <f t="shared" si="869"/>
        <v>3</v>
      </c>
      <c r="F443" s="189">
        <f>'Averages Pivot Table'!AC$333</f>
        <v>46327.213414634149</v>
      </c>
      <c r="G443" s="138">
        <f t="shared" ref="G443" si="920">IF(F443&gt;0,RANK(F443,(F$430:F$448)),0)</f>
        <v>3</v>
      </c>
      <c r="H443" s="189">
        <f>'Averages Pivot Table'!AC$337</f>
        <v>41714.785121352601</v>
      </c>
      <c r="I443" s="138">
        <f t="shared" ref="I443" si="921">IF(H443&gt;0,RANK(H443,(H$430:H$448)),0)</f>
        <v>3</v>
      </c>
      <c r="J443" s="189">
        <f>'Averages Pivot Table'!AC$341</f>
        <v>41515.265625</v>
      </c>
      <c r="K443" s="138">
        <f t="shared" ref="K443" si="922">IF(J443&gt;0,RANK(J443,(J$430:J$448)),0)</f>
        <v>1</v>
      </c>
      <c r="L443" s="167">
        <f>'Averages Pivot Table'!AC$345</f>
        <v>0</v>
      </c>
      <c r="M443" s="138">
        <f t="shared" ref="M443" si="923">IF(L443&gt;0,RANK(L443,(L$430:L$448)),0)</f>
        <v>0</v>
      </c>
      <c r="N443" s="189">
        <f>'Averages Pivot Table'!AC$349</f>
        <v>45239.603419322113</v>
      </c>
      <c r="O443" s="138">
        <f t="shared" ref="O443" si="924">IF(N443&gt;0,RANK(N443,(N$430:N$448)),0)</f>
        <v>9</v>
      </c>
    </row>
    <row r="444" spans="1:15" s="109" customFormat="1" x14ac:dyDescent="0.25">
      <c r="A444" s="136"/>
      <c r="B444" s="189"/>
      <c r="C444" s="138"/>
      <c r="D444" s="189"/>
      <c r="E444" s="138"/>
      <c r="F444" s="189"/>
      <c r="G444" s="138"/>
      <c r="H444" s="189"/>
      <c r="I444" s="138"/>
      <c r="J444" s="189"/>
      <c r="K444" s="138"/>
      <c r="L444" s="167"/>
      <c r="M444" s="138"/>
      <c r="N444" s="189"/>
      <c r="O444" s="138"/>
    </row>
    <row r="445" spans="1:15" s="109" customFormat="1" x14ac:dyDescent="0.25">
      <c r="A445" s="136" t="s">
        <v>207</v>
      </c>
      <c r="B445" s="191">
        <f>'Averages Pivot Table'!AC$354</f>
        <v>0</v>
      </c>
      <c r="C445" s="138">
        <f t="shared" si="869"/>
        <v>0</v>
      </c>
      <c r="D445" s="191">
        <f>'Averages Pivot Table'!AC$358</f>
        <v>0</v>
      </c>
      <c r="E445" s="138">
        <f t="shared" si="869"/>
        <v>0</v>
      </c>
      <c r="F445" s="191">
        <f>'Averages Pivot Table'!AC$362</f>
        <v>0</v>
      </c>
      <c r="G445" s="138">
        <f t="shared" ref="G445" si="925">IF(F445&gt;0,RANK(F445,(F$430:F$448)),0)</f>
        <v>0</v>
      </c>
      <c r="H445" s="191">
        <f>'Averages Pivot Table'!AC$366</f>
        <v>0</v>
      </c>
      <c r="I445" s="138">
        <f t="shared" ref="I445" si="926">IF(H445&gt;0,RANK(H445,(H$430:H$448)),0)</f>
        <v>0</v>
      </c>
      <c r="J445" s="191">
        <f>'Averages Pivot Table'!AC$370</f>
        <v>0</v>
      </c>
      <c r="K445" s="138">
        <f t="shared" ref="K445" si="927">IF(J445&gt;0,RANK(J445,(J$430:J$448)),0)</f>
        <v>0</v>
      </c>
      <c r="L445" s="137">
        <f>'Averages Pivot Table'!AC$374</f>
        <v>0</v>
      </c>
      <c r="M445" s="138">
        <f t="shared" ref="M445" si="928">IF(L445&gt;0,RANK(L445,(L$430:L$448)),0)</f>
        <v>0</v>
      </c>
      <c r="N445" s="191">
        <f>'Averages Pivot Table'!AC$378</f>
        <v>0</v>
      </c>
      <c r="O445" s="138">
        <f t="shared" ref="O445" si="929">IF(N445&gt;0,RANK(N445,(N$430:N$448)),0)</f>
        <v>0</v>
      </c>
    </row>
    <row r="446" spans="1:15" s="109" customFormat="1" x14ac:dyDescent="0.25">
      <c r="A446" s="136" t="s">
        <v>208</v>
      </c>
      <c r="B446" s="191">
        <f>'Averages Pivot Table'!AC$383</f>
        <v>54443.926988636362</v>
      </c>
      <c r="C446" s="138">
        <f t="shared" si="869"/>
        <v>7</v>
      </c>
      <c r="D446" s="191">
        <f>'Averages Pivot Table'!AC$387</f>
        <v>48752.892094861658</v>
      </c>
      <c r="E446" s="138">
        <f t="shared" si="869"/>
        <v>6</v>
      </c>
      <c r="F446" s="191">
        <f>'Averages Pivot Table'!AC$391</f>
        <v>50418.310332083842</v>
      </c>
      <c r="G446" s="138">
        <f t="shared" ref="G446" si="930">IF(F446&gt;0,RANK(F446,(F$430:F$448)),0)</f>
        <v>2</v>
      </c>
      <c r="H446" s="191">
        <f>'Averages Pivot Table'!AC$395</f>
        <v>40496.108581456225</v>
      </c>
      <c r="I446" s="138">
        <f t="shared" ref="I446" si="931">IF(H446&gt;0,RANK(H446,(H$430:H$448)),0)</f>
        <v>4</v>
      </c>
      <c r="J446" s="191">
        <f>'Averages Pivot Table'!AC$399</f>
        <v>0</v>
      </c>
      <c r="K446" s="138">
        <f t="shared" ref="K446" si="932">IF(J446&gt;0,RANK(J446,(J$430:J$448)),0)</f>
        <v>0</v>
      </c>
      <c r="L446" s="137">
        <f>'Averages Pivot Table'!AC$403</f>
        <v>27713.848920863311</v>
      </c>
      <c r="M446" s="138">
        <f t="shared" ref="M446" si="933">IF(L446&gt;0,RANK(L446,(L$430:L$448)),0)</f>
        <v>7</v>
      </c>
      <c r="N446" s="191">
        <f>'Averages Pivot Table'!AC$407</f>
        <v>43078.443470954298</v>
      </c>
      <c r="O446" s="138">
        <f t="shared" ref="O446" si="934">IF(N446&gt;0,RANK(N446,(N$430:N$448)),0)</f>
        <v>11</v>
      </c>
    </row>
    <row r="447" spans="1:15" s="109" customFormat="1" x14ac:dyDescent="0.25">
      <c r="A447" s="136" t="s">
        <v>209</v>
      </c>
      <c r="B447" s="191">
        <f>'Averages Pivot Table'!AC$412</f>
        <v>67085</v>
      </c>
      <c r="C447" s="138">
        <f t="shared" si="869"/>
        <v>3</v>
      </c>
      <c r="D447" s="191">
        <f>'Averages Pivot Table'!AC$416</f>
        <v>54003</v>
      </c>
      <c r="E447" s="138">
        <f t="shared" si="869"/>
        <v>4</v>
      </c>
      <c r="F447" s="191">
        <f>'Averages Pivot Table'!AC$420</f>
        <v>46268</v>
      </c>
      <c r="G447" s="138">
        <f t="shared" ref="G447" si="935">IF(F447&gt;0,RANK(F447,(F$430:F$448)),0)</f>
        <v>4</v>
      </c>
      <c r="H447" s="191">
        <f>'Averages Pivot Table'!AC$424</f>
        <v>0</v>
      </c>
      <c r="I447" s="138">
        <f t="shared" ref="I447" si="936">IF(H447&gt;0,RANK(H447,(H$430:H$448)),0)</f>
        <v>0</v>
      </c>
      <c r="J447" s="191">
        <f>'Averages Pivot Table'!AC$428</f>
        <v>0</v>
      </c>
      <c r="K447" s="138">
        <f t="shared" ref="K447" si="937">IF(J447&gt;0,RANK(J447,(J$430:J$448)),0)</f>
        <v>0</v>
      </c>
      <c r="L447" s="137">
        <f>'Averages Pivot Table'!AC$432</f>
        <v>0</v>
      </c>
      <c r="M447" s="138">
        <f t="shared" ref="M447" si="938">IF(L447&gt;0,RANK(L447,(L$430:L$448)),0)</f>
        <v>0</v>
      </c>
      <c r="N447" s="191">
        <f>'Averages Pivot Table'!AC$436</f>
        <v>55960.411764705881</v>
      </c>
      <c r="O447" s="138">
        <f t="shared" ref="O447" si="939">IF(N447&gt;0,RANK(N447,(N$430:N$448)),0)</f>
        <v>2</v>
      </c>
    </row>
    <row r="448" spans="1:15" s="109" customFormat="1" x14ac:dyDescent="0.25">
      <c r="A448" s="161" t="s">
        <v>210</v>
      </c>
      <c r="B448" s="192">
        <f>'Averages Pivot Table'!AC$441</f>
        <v>65073.496650717709</v>
      </c>
      <c r="C448" s="141">
        <f t="shared" si="869"/>
        <v>4</v>
      </c>
      <c r="D448" s="192">
        <f>'Averages Pivot Table'!AC$445</f>
        <v>56436.382611527188</v>
      </c>
      <c r="E448" s="141">
        <f t="shared" si="869"/>
        <v>2</v>
      </c>
      <c r="F448" s="192">
        <f>'Averages Pivot Table'!AC$449</f>
        <v>44739.424106059152</v>
      </c>
      <c r="G448" s="141">
        <f t="shared" ref="G448" si="940">IF(F448&gt;0,RANK(F448,(F$430:F$448)),0)</f>
        <v>5</v>
      </c>
      <c r="H448" s="192">
        <f>'Averages Pivot Table'!AC$453</f>
        <v>39508.678665690968</v>
      </c>
      <c r="I448" s="141">
        <f t="shared" ref="I448" si="941">IF(H448&gt;0,RANK(H448,(H$430:H$448)),0)</f>
        <v>6</v>
      </c>
      <c r="J448" s="192">
        <f>'Averages Pivot Table'!AC$457</f>
        <v>40737.039843825696</v>
      </c>
      <c r="K448" s="141">
        <f t="shared" ref="K448" si="942">IF(J448&gt;0,RANK(J448,(J$430:J$448)),0)</f>
        <v>2</v>
      </c>
      <c r="L448" s="140">
        <f>'Averages Pivot Table'!AC$461</f>
        <v>0</v>
      </c>
      <c r="M448" s="141">
        <f t="shared" ref="M448" si="943">IF(L448&gt;0,RANK(L448,(L$430:L$448)),0)</f>
        <v>0</v>
      </c>
      <c r="N448" s="192">
        <f>'Averages Pivot Table'!AC$465</f>
        <v>47413.500372700517</v>
      </c>
      <c r="O448" s="141">
        <f t="shared" ref="O448" si="944">IF(N448&gt;0,RANK(N448,(N$430:N$448)),0)</f>
        <v>6</v>
      </c>
    </row>
    <row r="449" spans="1:19" ht="30" customHeight="1" x14ac:dyDescent="0.25">
      <c r="A449" s="723" t="s">
        <v>187</v>
      </c>
      <c r="B449" s="723"/>
      <c r="C449" s="723"/>
      <c r="D449" s="723"/>
      <c r="E449" s="723"/>
      <c r="F449" s="723"/>
      <c r="G449" s="723"/>
      <c r="H449" s="723"/>
      <c r="I449" s="723"/>
      <c r="J449" s="723"/>
      <c r="K449" s="723"/>
      <c r="L449" s="723"/>
      <c r="M449" s="723"/>
      <c r="N449" s="723"/>
      <c r="O449" s="723"/>
    </row>
    <row r="450" spans="1:19" x14ac:dyDescent="0.25">
      <c r="O450" s="102" t="s">
        <v>1124</v>
      </c>
    </row>
    <row r="451" spans="1:19" ht="18" x14ac:dyDescent="0.25">
      <c r="A451" s="82" t="s">
        <v>244</v>
      </c>
      <c r="B451" s="82"/>
      <c r="C451" s="82"/>
      <c r="D451" s="82"/>
      <c r="E451" s="82"/>
      <c r="F451" s="82"/>
      <c r="G451" s="82"/>
      <c r="H451" s="82"/>
      <c r="I451" s="82"/>
      <c r="J451" s="82"/>
      <c r="K451" s="82"/>
      <c r="L451" s="82"/>
      <c r="M451" s="82"/>
      <c r="N451" s="82"/>
      <c r="O451" s="82"/>
    </row>
    <row r="452" spans="1:19" x14ac:dyDescent="0.25">
      <c r="A452" s="180"/>
      <c r="B452" s="87"/>
      <c r="C452" s="87"/>
      <c r="D452" s="87"/>
      <c r="E452" s="87"/>
      <c r="F452" s="87"/>
      <c r="G452" s="87"/>
      <c r="H452" s="87"/>
      <c r="I452" s="87"/>
      <c r="J452" s="87"/>
      <c r="K452" s="87"/>
      <c r="L452" s="87"/>
      <c r="M452" s="87"/>
      <c r="N452" s="87"/>
      <c r="O452" s="87"/>
    </row>
    <row r="453" spans="1:19" x14ac:dyDescent="0.25">
      <c r="A453" s="707" t="s">
        <v>218</v>
      </c>
      <c r="B453" s="707"/>
      <c r="C453" s="707"/>
      <c r="D453" s="707"/>
      <c r="E453" s="707"/>
      <c r="F453" s="707"/>
      <c r="G453" s="707"/>
      <c r="H453" s="707"/>
      <c r="I453" s="707"/>
      <c r="J453" s="707"/>
      <c r="K453" s="707"/>
      <c r="L453" s="707"/>
      <c r="M453" s="707"/>
      <c r="N453" s="707"/>
      <c r="O453" s="707"/>
    </row>
    <row r="454" spans="1:19" x14ac:dyDescent="0.25">
      <c r="A454" s="707" t="s">
        <v>245</v>
      </c>
      <c r="B454" s="707"/>
      <c r="C454" s="707"/>
      <c r="D454" s="707"/>
      <c r="E454" s="707"/>
      <c r="F454" s="707"/>
      <c r="G454" s="707"/>
      <c r="H454" s="707"/>
      <c r="I454" s="707"/>
      <c r="J454" s="707"/>
      <c r="K454" s="707"/>
      <c r="L454" s="707"/>
      <c r="M454" s="707"/>
      <c r="N454" s="707"/>
      <c r="O454" s="707"/>
    </row>
    <row r="455" spans="1:19" x14ac:dyDescent="0.25">
      <c r="A455" s="136"/>
      <c r="B455" s="136"/>
      <c r="C455" s="136"/>
      <c r="D455" s="136"/>
      <c r="E455" s="136"/>
      <c r="F455" s="136"/>
      <c r="G455" s="136"/>
      <c r="H455" s="136"/>
      <c r="I455" s="136"/>
      <c r="J455" s="136"/>
      <c r="K455" s="136"/>
      <c r="L455" s="136"/>
      <c r="M455" s="136"/>
      <c r="N455" s="136"/>
      <c r="O455" s="136"/>
    </row>
    <row r="456" spans="1:19" ht="30.75" customHeight="1" x14ac:dyDescent="0.25">
      <c r="A456" s="114"/>
      <c r="B456" s="182" t="s">
        <v>3</v>
      </c>
      <c r="C456" s="183"/>
      <c r="D456" s="184" t="s">
        <v>4</v>
      </c>
      <c r="E456" s="185"/>
      <c r="F456" s="184" t="s">
        <v>5</v>
      </c>
      <c r="G456" s="185"/>
      <c r="H456" s="182" t="s">
        <v>6</v>
      </c>
      <c r="I456" s="183"/>
      <c r="J456" s="184" t="s">
        <v>219</v>
      </c>
      <c r="K456" s="185"/>
      <c r="L456" s="183" t="s">
        <v>23</v>
      </c>
      <c r="M456" s="183"/>
      <c r="N456" s="183" t="s">
        <v>220</v>
      </c>
      <c r="O456" s="183"/>
    </row>
    <row r="457" spans="1:19" x14ac:dyDescent="0.25">
      <c r="A457" s="120"/>
      <c r="B457" s="116" t="s">
        <v>193</v>
      </c>
      <c r="C457" s="115" t="s">
        <v>170</v>
      </c>
      <c r="D457" s="116" t="s">
        <v>193</v>
      </c>
      <c r="E457" s="115" t="s">
        <v>170</v>
      </c>
      <c r="F457" s="116" t="s">
        <v>193</v>
      </c>
      <c r="G457" s="115" t="s">
        <v>170</v>
      </c>
      <c r="H457" s="116" t="s">
        <v>193</v>
      </c>
      <c r="I457" s="115" t="s">
        <v>170</v>
      </c>
      <c r="J457" s="116" t="s">
        <v>193</v>
      </c>
      <c r="K457" s="115" t="s">
        <v>170</v>
      </c>
      <c r="L457" s="116" t="s">
        <v>193</v>
      </c>
      <c r="M457" s="115" t="s">
        <v>170</v>
      </c>
      <c r="N457" s="116" t="s">
        <v>193</v>
      </c>
      <c r="O457" s="115" t="s">
        <v>170</v>
      </c>
    </row>
    <row r="458" spans="1:19" s="127" customFormat="1" ht="18" customHeight="1" x14ac:dyDescent="0.25">
      <c r="A458" s="124" t="s">
        <v>194</v>
      </c>
      <c r="B458" s="151" t="s">
        <v>1125</v>
      </c>
      <c r="C458" s="151"/>
      <c r="D458" s="151" t="s">
        <v>1125</v>
      </c>
      <c r="E458" s="151"/>
      <c r="F458" s="151" t="s">
        <v>1125</v>
      </c>
      <c r="G458" s="151"/>
      <c r="H458" s="151" t="s">
        <v>1125</v>
      </c>
      <c r="I458" s="151"/>
      <c r="J458" s="151" t="s">
        <v>1125</v>
      </c>
      <c r="K458" s="151"/>
      <c r="L458" s="151" t="s">
        <v>1125</v>
      </c>
      <c r="M458" s="151"/>
      <c r="N458" s="151" t="s">
        <v>1125</v>
      </c>
      <c r="O458" s="187"/>
      <c r="Q458" s="129"/>
      <c r="R458" s="129"/>
      <c r="S458" s="129"/>
    </row>
    <row r="459" spans="1:19" ht="12.95" customHeight="1" x14ac:dyDescent="0.25">
      <c r="A459" s="136"/>
      <c r="B459" s="131"/>
      <c r="C459" s="155"/>
      <c r="D459" s="131"/>
      <c r="E459" s="155"/>
      <c r="F459" s="131"/>
      <c r="G459" s="155"/>
      <c r="H459" s="131"/>
      <c r="I459" s="155"/>
      <c r="J459" s="131"/>
      <c r="K459" s="155"/>
      <c r="L459" s="131"/>
      <c r="M459" s="155"/>
      <c r="N459" s="131"/>
      <c r="O459" s="155"/>
    </row>
    <row r="460" spans="1:19" ht="12.95" customHeight="1" x14ac:dyDescent="0.25">
      <c r="A460" s="136" t="s">
        <v>195</v>
      </c>
      <c r="B460" s="151" t="s">
        <v>1125</v>
      </c>
      <c r="C460" s="138"/>
      <c r="D460" s="151" t="s">
        <v>1125</v>
      </c>
      <c r="E460" s="138"/>
      <c r="F460" s="151" t="s">
        <v>1125</v>
      </c>
      <c r="G460" s="138"/>
      <c r="H460" s="151" t="s">
        <v>1125</v>
      </c>
      <c r="I460" s="138"/>
      <c r="J460" s="151" t="s">
        <v>1125</v>
      </c>
      <c r="K460" s="138"/>
      <c r="L460" s="151" t="s">
        <v>1125</v>
      </c>
      <c r="M460" s="138"/>
      <c r="N460" s="151" t="s">
        <v>1125</v>
      </c>
      <c r="O460" s="138"/>
    </row>
    <row r="461" spans="1:19" ht="12.95" customHeight="1" x14ac:dyDescent="0.25">
      <c r="A461" s="136" t="s">
        <v>196</v>
      </c>
      <c r="B461" s="151" t="s">
        <v>1125</v>
      </c>
      <c r="C461" s="138"/>
      <c r="D461" s="151" t="s">
        <v>1125</v>
      </c>
      <c r="E461" s="138"/>
      <c r="F461" s="151" t="s">
        <v>1125</v>
      </c>
      <c r="G461" s="138"/>
      <c r="H461" s="151" t="s">
        <v>1125</v>
      </c>
      <c r="I461" s="138"/>
      <c r="J461" s="151" t="s">
        <v>1125</v>
      </c>
      <c r="K461" s="138"/>
      <c r="L461" s="151" t="s">
        <v>1125</v>
      </c>
      <c r="M461" s="138"/>
      <c r="N461" s="151" t="s">
        <v>1125</v>
      </c>
      <c r="O461" s="138"/>
    </row>
    <row r="462" spans="1:19" ht="12.95" customHeight="1" x14ac:dyDescent="0.25">
      <c r="A462" s="136" t="s">
        <v>197</v>
      </c>
      <c r="B462" s="151" t="s">
        <v>1125</v>
      </c>
      <c r="C462" s="138"/>
      <c r="D462" s="151" t="s">
        <v>1125</v>
      </c>
      <c r="E462" s="138"/>
      <c r="F462" s="151" t="s">
        <v>1125</v>
      </c>
      <c r="G462" s="138"/>
      <c r="H462" s="151" t="s">
        <v>1125</v>
      </c>
      <c r="I462" s="138"/>
      <c r="J462" s="151" t="s">
        <v>1125</v>
      </c>
      <c r="K462" s="138"/>
      <c r="L462" s="151" t="s">
        <v>1125</v>
      </c>
      <c r="M462" s="138"/>
      <c r="N462" s="151" t="s">
        <v>1125</v>
      </c>
      <c r="O462" s="138"/>
    </row>
    <row r="463" spans="1:19" ht="12.95" customHeight="1" x14ac:dyDescent="0.25">
      <c r="A463" s="136" t="s">
        <v>198</v>
      </c>
      <c r="B463" s="151" t="s">
        <v>1125</v>
      </c>
      <c r="C463" s="138"/>
      <c r="D463" s="151" t="s">
        <v>1125</v>
      </c>
      <c r="E463" s="138"/>
      <c r="F463" s="151" t="s">
        <v>1125</v>
      </c>
      <c r="G463" s="138"/>
      <c r="H463" s="151" t="s">
        <v>1125</v>
      </c>
      <c r="I463" s="138"/>
      <c r="J463" s="151" t="s">
        <v>1125</v>
      </c>
      <c r="K463" s="138"/>
      <c r="L463" s="151" t="s">
        <v>1125</v>
      </c>
      <c r="M463" s="138"/>
      <c r="N463" s="151" t="s">
        <v>1125</v>
      </c>
      <c r="O463" s="138"/>
    </row>
    <row r="464" spans="1:19" ht="12.95" customHeight="1" x14ac:dyDescent="0.25">
      <c r="A464" s="136"/>
      <c r="B464" s="189"/>
      <c r="C464" s="138"/>
      <c r="D464" s="189"/>
      <c r="E464" s="138"/>
      <c r="F464" s="189"/>
      <c r="G464" s="138"/>
      <c r="H464" s="189"/>
      <c r="I464" s="138"/>
      <c r="J464" s="189"/>
      <c r="K464" s="138"/>
      <c r="L464" s="189"/>
      <c r="M464" s="138"/>
      <c r="N464" s="189"/>
      <c r="O464" s="138"/>
    </row>
    <row r="465" spans="1:15" s="109" customFormat="1" x14ac:dyDescent="0.25">
      <c r="A465" s="136" t="s">
        <v>199</v>
      </c>
      <c r="B465" s="151" t="s">
        <v>1125</v>
      </c>
      <c r="C465" s="138"/>
      <c r="D465" s="151" t="s">
        <v>1125</v>
      </c>
      <c r="E465" s="138"/>
      <c r="F465" s="151" t="s">
        <v>1125</v>
      </c>
      <c r="G465" s="138"/>
      <c r="H465" s="151" t="s">
        <v>1125</v>
      </c>
      <c r="I465" s="138"/>
      <c r="J465" s="151" t="s">
        <v>1125</v>
      </c>
      <c r="K465" s="138"/>
      <c r="L465" s="151" t="s">
        <v>1125</v>
      </c>
      <c r="M465" s="138"/>
      <c r="N465" s="151" t="s">
        <v>1125</v>
      </c>
      <c r="O465" s="138"/>
    </row>
    <row r="466" spans="1:15" s="109" customFormat="1" x14ac:dyDescent="0.25">
      <c r="A466" s="136" t="s">
        <v>200</v>
      </c>
      <c r="B466" s="151" t="s">
        <v>1125</v>
      </c>
      <c r="C466" s="138"/>
      <c r="D466" s="151" t="s">
        <v>1125</v>
      </c>
      <c r="E466" s="138"/>
      <c r="F466" s="151" t="s">
        <v>1125</v>
      </c>
      <c r="G466" s="138"/>
      <c r="H466" s="151" t="s">
        <v>1125</v>
      </c>
      <c r="I466" s="138"/>
      <c r="J466" s="151" t="s">
        <v>1125</v>
      </c>
      <c r="K466" s="138"/>
      <c r="L466" s="151" t="s">
        <v>1125</v>
      </c>
      <c r="M466" s="138"/>
      <c r="N466" s="151" t="s">
        <v>1125</v>
      </c>
      <c r="O466" s="138"/>
    </row>
    <row r="467" spans="1:15" s="109" customFormat="1" x14ac:dyDescent="0.25">
      <c r="A467" s="136" t="s">
        <v>201</v>
      </c>
      <c r="B467" s="151" t="s">
        <v>1125</v>
      </c>
      <c r="C467" s="138"/>
      <c r="D467" s="151" t="s">
        <v>1125</v>
      </c>
      <c r="E467" s="138"/>
      <c r="F467" s="151" t="s">
        <v>1125</v>
      </c>
      <c r="G467" s="138"/>
      <c r="H467" s="151" t="s">
        <v>1125</v>
      </c>
      <c r="I467" s="138"/>
      <c r="J467" s="151" t="s">
        <v>1125</v>
      </c>
      <c r="K467" s="138"/>
      <c r="L467" s="151" t="s">
        <v>1125</v>
      </c>
      <c r="M467" s="138"/>
      <c r="N467" s="151" t="s">
        <v>1125</v>
      </c>
      <c r="O467" s="138"/>
    </row>
    <row r="468" spans="1:15" s="109" customFormat="1" x14ac:dyDescent="0.25">
      <c r="A468" s="136" t="s">
        <v>202</v>
      </c>
      <c r="B468" s="151" t="s">
        <v>1125</v>
      </c>
      <c r="C468" s="138"/>
      <c r="D468" s="151" t="s">
        <v>1125</v>
      </c>
      <c r="E468" s="138"/>
      <c r="F468" s="151" t="s">
        <v>1125</v>
      </c>
      <c r="G468" s="138"/>
      <c r="H468" s="151" t="s">
        <v>1125</v>
      </c>
      <c r="I468" s="138"/>
      <c r="J468" s="151" t="s">
        <v>1125</v>
      </c>
      <c r="K468" s="138"/>
      <c r="L468" s="151" t="s">
        <v>1125</v>
      </c>
      <c r="M468" s="138"/>
      <c r="N468" s="151" t="s">
        <v>1125</v>
      </c>
      <c r="O468" s="138"/>
    </row>
    <row r="469" spans="1:15" s="109" customFormat="1" x14ac:dyDescent="0.25">
      <c r="A469" s="136"/>
      <c r="B469" s="189"/>
      <c r="C469" s="138"/>
      <c r="D469" s="189"/>
      <c r="E469" s="138"/>
      <c r="F469" s="189"/>
      <c r="G469" s="138"/>
      <c r="H469" s="189"/>
      <c r="I469" s="138"/>
      <c r="J469" s="189"/>
      <c r="K469" s="138"/>
      <c r="L469" s="189"/>
      <c r="M469" s="138"/>
      <c r="N469" s="189"/>
      <c r="O469" s="138"/>
    </row>
    <row r="470" spans="1:15" s="109" customFormat="1" x14ac:dyDescent="0.25">
      <c r="A470" s="136" t="s">
        <v>203</v>
      </c>
      <c r="B470" s="151" t="s">
        <v>1125</v>
      </c>
      <c r="C470" s="138"/>
      <c r="D470" s="151" t="s">
        <v>1125</v>
      </c>
      <c r="E470" s="138"/>
      <c r="F470" s="151" t="s">
        <v>1125</v>
      </c>
      <c r="G470" s="138"/>
      <c r="H470" s="151" t="s">
        <v>1125</v>
      </c>
      <c r="I470" s="138"/>
      <c r="J470" s="151" t="s">
        <v>1125</v>
      </c>
      <c r="K470" s="138"/>
      <c r="L470" s="151" t="s">
        <v>1125</v>
      </c>
      <c r="M470" s="138"/>
      <c r="N470" s="151" t="s">
        <v>1125</v>
      </c>
      <c r="O470" s="138"/>
    </row>
    <row r="471" spans="1:15" s="109" customFormat="1" x14ac:dyDescent="0.25">
      <c r="A471" s="136" t="s">
        <v>204</v>
      </c>
      <c r="B471" s="151" t="s">
        <v>1125</v>
      </c>
      <c r="C471" s="138"/>
      <c r="D471" s="151" t="s">
        <v>1125</v>
      </c>
      <c r="E471" s="138"/>
      <c r="F471" s="151" t="s">
        <v>1125</v>
      </c>
      <c r="G471" s="138"/>
      <c r="H471" s="151" t="s">
        <v>1125</v>
      </c>
      <c r="I471" s="138"/>
      <c r="J471" s="151" t="s">
        <v>1125</v>
      </c>
      <c r="K471" s="138"/>
      <c r="L471" s="151" t="s">
        <v>1125</v>
      </c>
      <c r="M471" s="138"/>
      <c r="N471" s="151" t="s">
        <v>1125</v>
      </c>
      <c r="O471" s="138"/>
    </row>
    <row r="472" spans="1:15" s="109" customFormat="1" x14ac:dyDescent="0.25">
      <c r="A472" s="136" t="s">
        <v>205</v>
      </c>
      <c r="B472" s="151" t="s">
        <v>1125</v>
      </c>
      <c r="C472" s="138"/>
      <c r="D472" s="151" t="s">
        <v>1125</v>
      </c>
      <c r="E472" s="138"/>
      <c r="F472" s="151" t="s">
        <v>1125</v>
      </c>
      <c r="G472" s="138"/>
      <c r="H472" s="151" t="s">
        <v>1125</v>
      </c>
      <c r="I472" s="138"/>
      <c r="J472" s="151" t="s">
        <v>1125</v>
      </c>
      <c r="K472" s="138"/>
      <c r="L472" s="151" t="s">
        <v>1125</v>
      </c>
      <c r="M472" s="138"/>
      <c r="N472" s="151" t="s">
        <v>1125</v>
      </c>
      <c r="O472" s="138"/>
    </row>
    <row r="473" spans="1:15" s="109" customFormat="1" x14ac:dyDescent="0.25">
      <c r="A473" s="136" t="s">
        <v>206</v>
      </c>
      <c r="B473" s="151" t="s">
        <v>1125</v>
      </c>
      <c r="C473" s="138"/>
      <c r="D473" s="151" t="s">
        <v>1125</v>
      </c>
      <c r="E473" s="138"/>
      <c r="F473" s="151" t="s">
        <v>1125</v>
      </c>
      <c r="G473" s="138"/>
      <c r="H473" s="151" t="s">
        <v>1125</v>
      </c>
      <c r="I473" s="138"/>
      <c r="J473" s="151" t="s">
        <v>1125</v>
      </c>
      <c r="K473" s="138"/>
      <c r="L473" s="151" t="s">
        <v>1125</v>
      </c>
      <c r="M473" s="138"/>
      <c r="N473" s="151" t="s">
        <v>1125</v>
      </c>
      <c r="O473" s="138"/>
    </row>
    <row r="474" spans="1:15" s="109" customFormat="1" x14ac:dyDescent="0.25">
      <c r="A474" s="136"/>
      <c r="B474" s="189"/>
      <c r="C474" s="138"/>
      <c r="D474" s="189"/>
      <c r="E474" s="138"/>
      <c r="F474" s="189"/>
      <c r="G474" s="138"/>
      <c r="H474" s="189"/>
      <c r="I474" s="138"/>
      <c r="J474" s="189"/>
      <c r="K474" s="138"/>
      <c r="L474" s="189"/>
      <c r="M474" s="138"/>
      <c r="N474" s="189"/>
      <c r="O474" s="138"/>
    </row>
    <row r="475" spans="1:15" s="109" customFormat="1" x14ac:dyDescent="0.25">
      <c r="A475" s="136" t="s">
        <v>207</v>
      </c>
      <c r="B475" s="151" t="s">
        <v>1125</v>
      </c>
      <c r="C475" s="138"/>
      <c r="D475" s="151" t="s">
        <v>1125</v>
      </c>
      <c r="E475" s="138"/>
      <c r="F475" s="151" t="s">
        <v>1125</v>
      </c>
      <c r="G475" s="138"/>
      <c r="H475" s="151" t="s">
        <v>1125</v>
      </c>
      <c r="I475" s="138"/>
      <c r="J475" s="151" t="s">
        <v>1125</v>
      </c>
      <c r="K475" s="138"/>
      <c r="L475" s="151" t="s">
        <v>1125</v>
      </c>
      <c r="M475" s="138"/>
      <c r="N475" s="151" t="s">
        <v>1125</v>
      </c>
      <c r="O475" s="138"/>
    </row>
    <row r="476" spans="1:15" s="109" customFormat="1" x14ac:dyDescent="0.25">
      <c r="A476" s="136" t="s">
        <v>208</v>
      </c>
      <c r="B476" s="151" t="s">
        <v>1125</v>
      </c>
      <c r="C476" s="138"/>
      <c r="D476" s="151" t="s">
        <v>1125</v>
      </c>
      <c r="E476" s="138"/>
      <c r="F476" s="151" t="s">
        <v>1125</v>
      </c>
      <c r="G476" s="138"/>
      <c r="H476" s="151" t="s">
        <v>1125</v>
      </c>
      <c r="I476" s="138"/>
      <c r="J476" s="151" t="s">
        <v>1125</v>
      </c>
      <c r="K476" s="138"/>
      <c r="L476" s="151" t="s">
        <v>1125</v>
      </c>
      <c r="M476" s="138"/>
      <c r="N476" s="151" t="s">
        <v>1125</v>
      </c>
      <c r="O476" s="138"/>
    </row>
    <row r="477" spans="1:15" s="109" customFormat="1" x14ac:dyDescent="0.25">
      <c r="A477" s="136" t="s">
        <v>209</v>
      </c>
      <c r="B477" s="151">
        <f>'Averages Pivot Table'!AD$412</f>
        <v>68393.089404791303</v>
      </c>
      <c r="C477" s="138"/>
      <c r="D477" s="151">
        <f>'Averages Pivot Table'!AD$416</f>
        <v>61484.906733322918</v>
      </c>
      <c r="E477" s="138"/>
      <c r="F477" s="151">
        <f>'Averages Pivot Table'!AD$420</f>
        <v>55152.513374154041</v>
      </c>
      <c r="G477" s="138"/>
      <c r="H477" s="151">
        <f>'Averages Pivot Table'!AD$424</f>
        <v>49868.269613947698</v>
      </c>
      <c r="I477" s="138"/>
      <c r="J477" s="151">
        <f>'Averages Pivot Table'!AD$428</f>
        <v>54371.700000000004</v>
      </c>
      <c r="K477" s="138"/>
      <c r="L477" s="151">
        <f>'Averages Pivot Table'!AD$432</f>
        <v>0</v>
      </c>
      <c r="M477" s="138"/>
      <c r="N477" s="151">
        <f>'Averages Pivot Table'!AD$436</f>
        <v>58373.072621624466</v>
      </c>
      <c r="O477" s="138"/>
    </row>
    <row r="478" spans="1:15" s="109" customFormat="1" x14ac:dyDescent="0.25">
      <c r="A478" s="161" t="s">
        <v>210</v>
      </c>
      <c r="B478" s="201" t="s">
        <v>1125</v>
      </c>
      <c r="C478" s="141"/>
      <c r="D478" s="201" t="s">
        <v>1125</v>
      </c>
      <c r="E478" s="141"/>
      <c r="F478" s="201" t="s">
        <v>1125</v>
      </c>
      <c r="G478" s="141"/>
      <c r="H478" s="201" t="s">
        <v>1125</v>
      </c>
      <c r="I478" s="141"/>
      <c r="J478" s="201" t="s">
        <v>1125</v>
      </c>
      <c r="K478" s="141"/>
      <c r="L478" s="201" t="s">
        <v>1125</v>
      </c>
      <c r="M478" s="141"/>
      <c r="N478" s="201" t="s">
        <v>1125</v>
      </c>
      <c r="O478" s="141"/>
    </row>
    <row r="479" spans="1:15" s="109" customFormat="1" ht="30.75" customHeight="1" x14ac:dyDescent="0.25">
      <c r="A479" s="723" t="s">
        <v>187</v>
      </c>
      <c r="B479" s="723"/>
      <c r="C479" s="723"/>
      <c r="D479" s="723"/>
      <c r="E479" s="723"/>
      <c r="F479" s="723"/>
      <c r="G479" s="723"/>
      <c r="H479" s="723"/>
      <c r="I479" s="723"/>
      <c r="J479" s="723"/>
      <c r="K479" s="723"/>
      <c r="L479" s="723"/>
      <c r="M479" s="723"/>
      <c r="N479" s="723"/>
      <c r="O479" s="723"/>
    </row>
    <row r="480" spans="1:15" s="109" customFormat="1" x14ac:dyDescent="0.25">
      <c r="O480" s="102" t="s">
        <v>1124</v>
      </c>
    </row>
    <row r="481" spans="1:19" ht="18" x14ac:dyDescent="0.25">
      <c r="A481" s="82" t="s">
        <v>246</v>
      </c>
      <c r="B481" s="82"/>
      <c r="C481" s="82"/>
      <c r="D481" s="82"/>
      <c r="E481" s="82"/>
      <c r="F481" s="82"/>
      <c r="G481" s="82"/>
      <c r="H481" s="82"/>
      <c r="I481" s="82"/>
      <c r="J481" s="82"/>
      <c r="K481" s="82"/>
      <c r="L481" s="82"/>
      <c r="M481" s="82"/>
      <c r="N481" s="82"/>
      <c r="O481" s="82"/>
    </row>
    <row r="482" spans="1:19" x14ac:dyDescent="0.25">
      <c r="A482" s="180"/>
      <c r="B482" s="87"/>
      <c r="C482" s="87"/>
      <c r="D482" s="87"/>
      <c r="E482" s="87"/>
      <c r="F482" s="87"/>
      <c r="G482" s="87"/>
      <c r="H482" s="87"/>
      <c r="I482" s="87"/>
      <c r="J482" s="87"/>
      <c r="K482" s="87"/>
      <c r="L482" s="87"/>
      <c r="M482" s="87"/>
      <c r="N482" s="87"/>
      <c r="O482" s="87"/>
    </row>
    <row r="483" spans="1:19" x14ac:dyDescent="0.25">
      <c r="A483" s="707" t="s">
        <v>218</v>
      </c>
      <c r="B483" s="707"/>
      <c r="C483" s="707"/>
      <c r="D483" s="707"/>
      <c r="E483" s="707"/>
      <c r="F483" s="707"/>
      <c r="G483" s="707"/>
      <c r="H483" s="707"/>
      <c r="I483" s="707"/>
      <c r="J483" s="707"/>
      <c r="K483" s="707"/>
      <c r="L483" s="707"/>
      <c r="M483" s="707"/>
      <c r="N483" s="707"/>
      <c r="O483" s="707"/>
    </row>
    <row r="484" spans="1:19" x14ac:dyDescent="0.25">
      <c r="A484" s="707" t="s">
        <v>214</v>
      </c>
      <c r="B484" s="707"/>
      <c r="C484" s="707"/>
      <c r="D484" s="707"/>
      <c r="E484" s="707"/>
      <c r="F484" s="707"/>
      <c r="G484" s="707"/>
      <c r="H484" s="707"/>
      <c r="I484" s="707"/>
      <c r="J484" s="707"/>
      <c r="K484" s="707"/>
      <c r="L484" s="707"/>
      <c r="M484" s="707"/>
      <c r="N484" s="707"/>
      <c r="O484" s="707"/>
    </row>
    <row r="485" spans="1:19" x14ac:dyDescent="0.25">
      <c r="A485" s="136"/>
      <c r="B485" s="87"/>
      <c r="C485" s="87"/>
      <c r="D485" s="87"/>
      <c r="E485" s="87"/>
      <c r="F485" s="87"/>
      <c r="G485" s="87"/>
      <c r="H485" s="87"/>
      <c r="I485" s="87"/>
      <c r="J485" s="87"/>
      <c r="K485" s="87"/>
      <c r="L485" s="87"/>
      <c r="M485" s="87"/>
      <c r="N485" s="87"/>
      <c r="O485" s="87"/>
    </row>
    <row r="486" spans="1:19" ht="31.5" customHeight="1" x14ac:dyDescent="0.25">
      <c r="A486" s="114"/>
      <c r="B486" s="182" t="s">
        <v>3</v>
      </c>
      <c r="C486" s="183"/>
      <c r="D486" s="184" t="s">
        <v>4</v>
      </c>
      <c r="E486" s="185"/>
      <c r="F486" s="184" t="s">
        <v>5</v>
      </c>
      <c r="G486" s="185"/>
      <c r="H486" s="182" t="s">
        <v>6</v>
      </c>
      <c r="I486" s="183"/>
      <c r="J486" s="184" t="s">
        <v>219</v>
      </c>
      <c r="K486" s="185"/>
      <c r="L486" s="183" t="s">
        <v>23</v>
      </c>
      <c r="M486" s="183"/>
      <c r="N486" s="183" t="s">
        <v>220</v>
      </c>
      <c r="O486" s="183"/>
    </row>
    <row r="487" spans="1:19" x14ac:dyDescent="0.25">
      <c r="A487" s="202"/>
      <c r="B487" s="116" t="s">
        <v>193</v>
      </c>
      <c r="C487" s="115" t="s">
        <v>170</v>
      </c>
      <c r="D487" s="116" t="s">
        <v>193</v>
      </c>
      <c r="E487" s="115" t="s">
        <v>170</v>
      </c>
      <c r="F487" s="116" t="s">
        <v>193</v>
      </c>
      <c r="G487" s="115" t="s">
        <v>170</v>
      </c>
      <c r="H487" s="116" t="s">
        <v>193</v>
      </c>
      <c r="I487" s="115" t="s">
        <v>170</v>
      </c>
      <c r="J487" s="116" t="s">
        <v>193</v>
      </c>
      <c r="K487" s="115" t="s">
        <v>170</v>
      </c>
      <c r="L487" s="116" t="s">
        <v>193</v>
      </c>
      <c r="M487" s="115" t="s">
        <v>170</v>
      </c>
      <c r="N487" s="116" t="s">
        <v>193</v>
      </c>
      <c r="O487" s="115" t="s">
        <v>170</v>
      </c>
    </row>
    <row r="488" spans="1:19" s="127" customFormat="1" ht="18" customHeight="1" x14ac:dyDescent="0.25">
      <c r="A488" s="124" t="s">
        <v>194</v>
      </c>
      <c r="B488" s="151">
        <f>'Averages Pivot Table'!AH$469</f>
        <v>45247.392325821093</v>
      </c>
      <c r="C488" s="151"/>
      <c r="D488" s="151">
        <f>'Averages Pivot Table'!AH$473</f>
        <v>46397.808514579512</v>
      </c>
      <c r="E488" s="151"/>
      <c r="F488" s="151">
        <f>'Averages Pivot Table'!AH$477</f>
        <v>42979.468530137245</v>
      </c>
      <c r="G488" s="151"/>
      <c r="H488" s="151">
        <f>'Averages Pivot Table'!AH$481</f>
        <v>37009.694496212447</v>
      </c>
      <c r="I488" s="151"/>
      <c r="J488" s="151">
        <f>'Averages Pivot Table'!AH$485</f>
        <v>1974.9749999999999</v>
      </c>
      <c r="K488" s="151"/>
      <c r="L488" s="151">
        <f>'Averages Pivot Table'!AH$489</f>
        <v>44251.05750925844</v>
      </c>
      <c r="M488" s="151"/>
      <c r="N488" s="151">
        <f>'Averages Pivot Table'!AH$493</f>
        <v>42787.539888618296</v>
      </c>
      <c r="O488" s="187"/>
      <c r="Q488" s="129"/>
      <c r="R488" s="129"/>
      <c r="S488" s="129"/>
    </row>
    <row r="489" spans="1:19" ht="12.95" customHeight="1" x14ac:dyDescent="0.25">
      <c r="A489" s="136"/>
      <c r="B489" s="131"/>
      <c r="C489" s="155"/>
      <c r="D489" s="131"/>
      <c r="E489" s="155"/>
      <c r="F489" s="131"/>
      <c r="G489" s="155"/>
      <c r="H489" s="131"/>
      <c r="I489" s="155"/>
      <c r="J489" s="131"/>
      <c r="K489" s="155"/>
      <c r="L489" s="131"/>
      <c r="M489" s="155"/>
      <c r="N489" s="131"/>
      <c r="O489" s="155"/>
    </row>
    <row r="490" spans="1:19" ht="12.95" customHeight="1" x14ac:dyDescent="0.25">
      <c r="A490" s="136" t="s">
        <v>195</v>
      </c>
      <c r="B490" s="189">
        <f>'Averages Pivot Table'!AH$6</f>
        <v>0</v>
      </c>
      <c r="C490" s="138">
        <f>IF(B490&gt;0,RANK(B490,(B$490:B$508)),0)</f>
        <v>0</v>
      </c>
      <c r="D490" s="189">
        <f>'Averages Pivot Table'!AH$10</f>
        <v>0</v>
      </c>
      <c r="E490" s="138">
        <f>IF(D490&gt;0,RANK(D490,(D$490:D$508)),0)</f>
        <v>0</v>
      </c>
      <c r="F490" s="189">
        <f>'Averages Pivot Table'!AH$14</f>
        <v>0</v>
      </c>
      <c r="G490" s="138">
        <f>IF(F490&gt;0,RANK(F490,(F$490:F$508)),0)</f>
        <v>0</v>
      </c>
      <c r="H490" s="189">
        <f>'Averages Pivot Table'!AH$18</f>
        <v>0</v>
      </c>
      <c r="I490" s="138">
        <f>IF(H490&gt;0,RANK(H490,(H$490:H$508)),0)</f>
        <v>0</v>
      </c>
      <c r="J490" s="189">
        <f>'Averages Pivot Table'!AH$22</f>
        <v>0</v>
      </c>
      <c r="K490" s="138">
        <f>IF(J490&gt;0,RANK(J490,(J$490:J$508)),0)</f>
        <v>0</v>
      </c>
      <c r="L490" s="167">
        <f>'Averages Pivot Table'!AH$26</f>
        <v>53351.328730023284</v>
      </c>
      <c r="M490" s="138">
        <f>IF(L490&gt;0,RANK(L490,(L$490:L$508)),0)</f>
        <v>1</v>
      </c>
      <c r="N490" s="189">
        <f>'Averages Pivot Table'!AH$30</f>
        <v>53351.328730023284</v>
      </c>
      <c r="O490" s="138">
        <f>IF(N490&gt;0,RANK(N490,(N$490:N$508)),0)</f>
        <v>1</v>
      </c>
    </row>
    <row r="491" spans="1:19" ht="12.95" customHeight="1" x14ac:dyDescent="0.25">
      <c r="A491" s="136" t="s">
        <v>196</v>
      </c>
      <c r="B491" s="189">
        <f>'Averages Pivot Table'!AH$35</f>
        <v>0</v>
      </c>
      <c r="C491" s="138">
        <f t="shared" ref="C491:E508" si="945">IF(B491&gt;0,RANK(B491,(B$490:B$508)),0)</f>
        <v>0</v>
      </c>
      <c r="D491" s="189">
        <f>'Averages Pivot Table'!AH$39</f>
        <v>0</v>
      </c>
      <c r="E491" s="138">
        <f t="shared" si="945"/>
        <v>0</v>
      </c>
      <c r="F491" s="189">
        <f>'Averages Pivot Table'!AH$43</f>
        <v>0</v>
      </c>
      <c r="G491" s="138">
        <f t="shared" ref="G491" si="946">IF(F491&gt;0,RANK(F491,(F$490:F$508)),0)</f>
        <v>0</v>
      </c>
      <c r="H491" s="189">
        <f>'Averages Pivot Table'!AH$47</f>
        <v>0</v>
      </c>
      <c r="I491" s="138">
        <f t="shared" ref="I491" si="947">IF(H491&gt;0,RANK(H491,(H$490:H$508)),0)</f>
        <v>0</v>
      </c>
      <c r="J491" s="189">
        <f>'Averages Pivot Table'!AH$51</f>
        <v>0</v>
      </c>
      <c r="K491" s="138">
        <f t="shared" ref="K491" si="948">IF(J491&gt;0,RANK(J491,(J$490:J$508)),0)</f>
        <v>0</v>
      </c>
      <c r="L491" s="167">
        <f>'Averages Pivot Table'!AH$55</f>
        <v>0</v>
      </c>
      <c r="M491" s="138">
        <f t="shared" ref="M491" si="949">IF(L491&gt;0,RANK(L491,(L$490:L$508)),0)</f>
        <v>0</v>
      </c>
      <c r="N491" s="189">
        <f>'Averages Pivot Table'!AH$59</f>
        <v>0</v>
      </c>
      <c r="O491" s="138">
        <f t="shared" ref="O491" si="950">IF(N491&gt;0,RANK(N491,(N$490:N$508)),0)</f>
        <v>0</v>
      </c>
    </row>
    <row r="492" spans="1:19" ht="12.95" customHeight="1" x14ac:dyDescent="0.25">
      <c r="A492" s="136" t="s">
        <v>197</v>
      </c>
      <c r="B492" s="189">
        <f>'Averages Pivot Table'!AH$64</f>
        <v>0</v>
      </c>
      <c r="C492" s="138">
        <f t="shared" si="945"/>
        <v>0</v>
      </c>
      <c r="D492" s="189">
        <f>'Averages Pivot Table'!AH$68</f>
        <v>0</v>
      </c>
      <c r="E492" s="138">
        <f t="shared" si="945"/>
        <v>0</v>
      </c>
      <c r="F492" s="189">
        <f>'Averages Pivot Table'!AH$72</f>
        <v>0</v>
      </c>
      <c r="G492" s="138">
        <f t="shared" ref="G492" si="951">IF(F492&gt;0,RANK(F492,(F$490:F$508)),0)</f>
        <v>0</v>
      </c>
      <c r="H492" s="189">
        <f>'Averages Pivot Table'!AH$76</f>
        <v>0</v>
      </c>
      <c r="I492" s="138">
        <f t="shared" ref="I492" si="952">IF(H492&gt;0,RANK(H492,(H$490:H$508)),0)</f>
        <v>0</v>
      </c>
      <c r="J492" s="189">
        <f>'Averages Pivot Table'!AH$80</f>
        <v>0</v>
      </c>
      <c r="K492" s="138">
        <f t="shared" ref="K492" si="953">IF(J492&gt;0,RANK(J492,(J$490:J$508)),0)</f>
        <v>0</v>
      </c>
      <c r="L492" s="167">
        <f>'Averages Pivot Table'!AH$84</f>
        <v>0</v>
      </c>
      <c r="M492" s="138">
        <f t="shared" ref="M492" si="954">IF(L492&gt;0,RANK(L492,(L$490:L$508)),0)</f>
        <v>0</v>
      </c>
      <c r="N492" s="189">
        <f>'Averages Pivot Table'!AH$88</f>
        <v>0</v>
      </c>
      <c r="O492" s="138">
        <f t="shared" ref="O492" si="955">IF(N492&gt;0,RANK(N492,(N$490:N$508)),0)</f>
        <v>0</v>
      </c>
    </row>
    <row r="493" spans="1:19" ht="12.95" customHeight="1" x14ac:dyDescent="0.25">
      <c r="A493" s="136" t="s">
        <v>198</v>
      </c>
      <c r="B493" s="189">
        <f>'Averages Pivot Table'!AH$93</f>
        <v>0</v>
      </c>
      <c r="C493" s="138">
        <f t="shared" si="945"/>
        <v>0</v>
      </c>
      <c r="D493" s="189">
        <f>'Averages Pivot Table'!AH$97</f>
        <v>0</v>
      </c>
      <c r="E493" s="138">
        <f t="shared" si="945"/>
        <v>0</v>
      </c>
      <c r="F493" s="189">
        <f>'Averages Pivot Table'!AH$101</f>
        <v>0</v>
      </c>
      <c r="G493" s="138">
        <f t="shared" ref="G493" si="956">IF(F493&gt;0,RANK(F493,(F$490:F$508)),0)</f>
        <v>0</v>
      </c>
      <c r="H493" s="189">
        <f>'Averages Pivot Table'!AH$105</f>
        <v>0</v>
      </c>
      <c r="I493" s="138">
        <f t="shared" ref="I493" si="957">IF(H493&gt;0,RANK(H493,(H$490:H$508)),0)</f>
        <v>0</v>
      </c>
      <c r="J493" s="189">
        <f>'Averages Pivot Table'!AH$109</f>
        <v>0</v>
      </c>
      <c r="K493" s="138">
        <f t="shared" ref="K493" si="958">IF(J493&gt;0,RANK(J493,(J$490:J$508)),0)</f>
        <v>0</v>
      </c>
      <c r="L493" s="167">
        <f>'Averages Pivot Table'!AH$113</f>
        <v>0</v>
      </c>
      <c r="M493" s="138">
        <f t="shared" ref="M493" si="959">IF(L493&gt;0,RANK(L493,(L$490:L$508)),0)</f>
        <v>0</v>
      </c>
      <c r="N493" s="189">
        <f>'Averages Pivot Table'!AH$117</f>
        <v>0</v>
      </c>
      <c r="O493" s="138">
        <f t="shared" ref="O493" si="960">IF(N493&gt;0,RANK(N493,(N$490:N$508)),0)</f>
        <v>0</v>
      </c>
    </row>
    <row r="494" spans="1:19" ht="12.95" customHeight="1" x14ac:dyDescent="0.25">
      <c r="A494" s="136"/>
      <c r="B494" s="189"/>
      <c r="C494" s="138"/>
      <c r="D494" s="189"/>
      <c r="E494" s="138"/>
      <c r="F494" s="189"/>
      <c r="G494" s="138"/>
      <c r="H494" s="189"/>
      <c r="I494" s="138"/>
      <c r="J494" s="189"/>
      <c r="K494" s="138"/>
      <c r="L494" s="167"/>
      <c r="M494" s="138"/>
      <c r="N494" s="189"/>
      <c r="O494" s="138"/>
    </row>
    <row r="495" spans="1:19" ht="12.95" customHeight="1" x14ac:dyDescent="0.25">
      <c r="A495" s="136" t="s">
        <v>199</v>
      </c>
      <c r="B495" s="189">
        <f>'Averages Pivot Table'!AH$122</f>
        <v>0</v>
      </c>
      <c r="C495" s="138">
        <f t="shared" si="945"/>
        <v>0</v>
      </c>
      <c r="D495" s="189">
        <f>'Averages Pivot Table'!AH$126</f>
        <v>0</v>
      </c>
      <c r="E495" s="138">
        <f t="shared" si="945"/>
        <v>0</v>
      </c>
      <c r="F495" s="189">
        <f>'Averages Pivot Table'!AH$130</f>
        <v>0</v>
      </c>
      <c r="G495" s="138">
        <f t="shared" ref="G495" si="961">IF(F495&gt;0,RANK(F495,(F$490:F$508)),0)</f>
        <v>0</v>
      </c>
      <c r="H495" s="189">
        <f>'Averages Pivot Table'!AH$134</f>
        <v>0</v>
      </c>
      <c r="I495" s="138">
        <f t="shared" ref="I495" si="962">IF(H495&gt;0,RANK(H495,(H$490:H$508)),0)</f>
        <v>0</v>
      </c>
      <c r="J495" s="189">
        <f>'Averages Pivot Table'!AH$138</f>
        <v>0</v>
      </c>
      <c r="K495" s="138">
        <f t="shared" ref="K495" si="963">IF(J495&gt;0,RANK(J495,(J$490:J$508)),0)</f>
        <v>0</v>
      </c>
      <c r="L495" s="167">
        <f>'Averages Pivot Table'!AH$142</f>
        <v>44683.856114851624</v>
      </c>
      <c r="M495" s="138">
        <f t="shared" ref="M495" si="964">IF(L495&gt;0,RANK(L495,(L$490:L$508)),0)</f>
        <v>3</v>
      </c>
      <c r="N495" s="189">
        <f>'Averages Pivot Table'!AH$146</f>
        <v>44683.856114851624</v>
      </c>
      <c r="O495" s="138">
        <f t="shared" ref="O495" si="965">IF(N495&gt;0,RANK(N495,(N$490:N$508)),0)</f>
        <v>3</v>
      </c>
    </row>
    <row r="496" spans="1:19" ht="12.95" customHeight="1" x14ac:dyDescent="0.25">
      <c r="A496" s="136" t="s">
        <v>200</v>
      </c>
      <c r="B496" s="189">
        <f>'Averages Pivot Table'!AH$151</f>
        <v>60736.318840579712</v>
      </c>
      <c r="C496" s="138">
        <f t="shared" si="945"/>
        <v>1</v>
      </c>
      <c r="D496" s="189">
        <f>'Averages Pivot Table'!AH$155</f>
        <v>49211.503770717442</v>
      </c>
      <c r="E496" s="138">
        <f t="shared" si="945"/>
        <v>1</v>
      </c>
      <c r="F496" s="189">
        <f>'Averages Pivot Table'!AH$159</f>
        <v>44464.881750423483</v>
      </c>
      <c r="G496" s="138">
        <f t="shared" ref="G496" si="966">IF(F496&gt;0,RANK(F496,(F$490:F$508)),0)</f>
        <v>1</v>
      </c>
      <c r="H496" s="189">
        <f>'Averages Pivot Table'!AH$163</f>
        <v>38944.91878995228</v>
      </c>
      <c r="I496" s="138">
        <f t="shared" ref="I496" si="967">IF(H496&gt;0,RANK(H496,(H$490:H$508)),0)</f>
        <v>1</v>
      </c>
      <c r="J496" s="189">
        <f>'Averages Pivot Table'!AH$167</f>
        <v>0</v>
      </c>
      <c r="K496" s="138">
        <f t="shared" ref="K496" si="968">IF(J496&gt;0,RANK(J496,(J$490:J$508)),0)</f>
        <v>0</v>
      </c>
      <c r="L496" s="167">
        <f>'Averages Pivot Table'!AH$171</f>
        <v>0</v>
      </c>
      <c r="M496" s="138">
        <f t="shared" ref="M496" si="969">IF(L496&gt;0,RANK(L496,(L$490:L$508)),0)</f>
        <v>0</v>
      </c>
      <c r="N496" s="189">
        <f>'Averages Pivot Table'!AH$175</f>
        <v>44447.881971991519</v>
      </c>
      <c r="O496" s="138">
        <f t="shared" ref="O496" si="970">IF(N496&gt;0,RANK(N496,(N$490:N$508)),0)</f>
        <v>4</v>
      </c>
    </row>
    <row r="497" spans="1:15" s="109" customFormat="1" x14ac:dyDescent="0.25">
      <c r="A497" s="136" t="s">
        <v>201</v>
      </c>
      <c r="B497" s="189">
        <f>'Averages Pivot Table'!AH$180</f>
        <v>43060.720347266935</v>
      </c>
      <c r="C497" s="138">
        <f t="shared" si="945"/>
        <v>2</v>
      </c>
      <c r="D497" s="189">
        <f>'Averages Pivot Table'!AH$184</f>
        <v>39832.519583591005</v>
      </c>
      <c r="E497" s="138">
        <f t="shared" si="945"/>
        <v>2</v>
      </c>
      <c r="F497" s="189">
        <f>'Averages Pivot Table'!AH$188</f>
        <v>41329.009396485868</v>
      </c>
      <c r="G497" s="138">
        <f t="shared" ref="G497" si="971">IF(F497&gt;0,RANK(F497,(F$490:F$508)),0)</f>
        <v>2</v>
      </c>
      <c r="H497" s="189">
        <f>'Averages Pivot Table'!AH$192</f>
        <v>36709.401071321787</v>
      </c>
      <c r="I497" s="138">
        <f t="shared" ref="I497" si="972">IF(H497&gt;0,RANK(H497,(H$490:H$508)),0)</f>
        <v>2</v>
      </c>
      <c r="J497" s="189">
        <f>'Averages Pivot Table'!AH$196</f>
        <v>1974.9749999999999</v>
      </c>
      <c r="K497" s="138">
        <f t="shared" ref="K497" si="973">IF(J497&gt;0,RANK(J497,(J$490:J$508)),0)</f>
        <v>1</v>
      </c>
      <c r="L497" s="167">
        <f>'Averages Pivot Table'!AH$200</f>
        <v>0</v>
      </c>
      <c r="M497" s="138">
        <f t="shared" ref="M497" si="974">IF(L497&gt;0,RANK(L497,(L$490:L$508)),0)</f>
        <v>0</v>
      </c>
      <c r="N497" s="189">
        <f>'Averages Pivot Table'!AH$204</f>
        <v>33757.175720921136</v>
      </c>
      <c r="O497" s="138">
        <f t="shared" ref="O497" si="975">IF(N497&gt;0,RANK(N497,(N$490:N$508)),0)</f>
        <v>6</v>
      </c>
    </row>
    <row r="498" spans="1:15" s="109" customFormat="1" x14ac:dyDescent="0.25">
      <c r="A498" s="136" t="s">
        <v>202</v>
      </c>
      <c r="B498" s="189">
        <f>'Averages Pivot Table'!AH$209</f>
        <v>0</v>
      </c>
      <c r="C498" s="138">
        <f t="shared" si="945"/>
        <v>0</v>
      </c>
      <c r="D498" s="189">
        <f>'Averages Pivot Table'!AH$213</f>
        <v>0</v>
      </c>
      <c r="E498" s="138">
        <f t="shared" si="945"/>
        <v>0</v>
      </c>
      <c r="F498" s="189">
        <f>'Averages Pivot Table'!AH$217</f>
        <v>0</v>
      </c>
      <c r="G498" s="138">
        <f t="shared" ref="G498" si="976">IF(F498&gt;0,RANK(F498,(F$490:F$508)),0)</f>
        <v>0</v>
      </c>
      <c r="H498" s="189">
        <f>'Averages Pivot Table'!AH$221</f>
        <v>0</v>
      </c>
      <c r="I498" s="138">
        <f t="shared" ref="I498" si="977">IF(H498&gt;0,RANK(H498,(H$490:H$508)),0)</f>
        <v>0</v>
      </c>
      <c r="J498" s="189">
        <f>'Averages Pivot Table'!AH$225</f>
        <v>0</v>
      </c>
      <c r="K498" s="138">
        <f t="shared" ref="K498" si="978">IF(J498&gt;0,RANK(J498,(J$490:J$508)),0)</f>
        <v>0</v>
      </c>
      <c r="L498" s="167">
        <f>'Averages Pivot Table'!AH$229</f>
        <v>0</v>
      </c>
      <c r="M498" s="138">
        <f t="shared" ref="M498" si="979">IF(L498&gt;0,RANK(L498,(L$490:L$508)),0)</f>
        <v>0</v>
      </c>
      <c r="N498" s="189">
        <f>'Averages Pivot Table'!AH$233</f>
        <v>0</v>
      </c>
      <c r="O498" s="138">
        <f t="shared" ref="O498" si="980">IF(N498&gt;0,RANK(N498,(N$490:N$508)),0)</f>
        <v>0</v>
      </c>
    </row>
    <row r="499" spans="1:15" s="109" customFormat="1" x14ac:dyDescent="0.25">
      <c r="A499" s="136"/>
      <c r="B499" s="189"/>
      <c r="C499" s="138"/>
      <c r="D499" s="189"/>
      <c r="E499" s="138"/>
      <c r="F499" s="189"/>
      <c r="G499" s="138"/>
      <c r="H499" s="189"/>
      <c r="I499" s="138"/>
      <c r="J499" s="189"/>
      <c r="K499" s="138"/>
      <c r="L499" s="167"/>
      <c r="M499" s="138"/>
      <c r="N499" s="189"/>
      <c r="O499" s="138"/>
    </row>
    <row r="500" spans="1:15" s="109" customFormat="1" x14ac:dyDescent="0.25">
      <c r="A500" s="136" t="s">
        <v>203</v>
      </c>
      <c r="B500" s="189">
        <f>'Averages Pivot Table'!AH$238</f>
        <v>0</v>
      </c>
      <c r="C500" s="138">
        <f t="shared" si="945"/>
        <v>0</v>
      </c>
      <c r="D500" s="189">
        <f>'Averages Pivot Table'!AH$242</f>
        <v>0</v>
      </c>
      <c r="E500" s="138">
        <f t="shared" si="945"/>
        <v>0</v>
      </c>
      <c r="F500" s="189">
        <f>'Averages Pivot Table'!AH$246</f>
        <v>0</v>
      </c>
      <c r="G500" s="138">
        <f t="shared" ref="G500" si="981">IF(F500&gt;0,RANK(F500,(F$490:F$508)),0)</f>
        <v>0</v>
      </c>
      <c r="H500" s="189">
        <f>'Averages Pivot Table'!AH$250</f>
        <v>0</v>
      </c>
      <c r="I500" s="138">
        <f t="shared" ref="I500" si="982">IF(H500&gt;0,RANK(H500,(H$490:H$508)),0)</f>
        <v>0</v>
      </c>
      <c r="J500" s="189">
        <f>'Averages Pivot Table'!AH$254</f>
        <v>0</v>
      </c>
      <c r="K500" s="138">
        <f t="shared" ref="K500" si="983">IF(J500&gt;0,RANK(J500,(J$490:J$508)),0)</f>
        <v>0</v>
      </c>
      <c r="L500" s="167">
        <f>'Averages Pivot Table'!AH$258</f>
        <v>0</v>
      </c>
      <c r="M500" s="138">
        <f t="shared" ref="M500" si="984">IF(L500&gt;0,RANK(L500,(L$490:L$508)),0)</f>
        <v>0</v>
      </c>
      <c r="N500" s="189">
        <f>'Averages Pivot Table'!AH$262</f>
        <v>0</v>
      </c>
      <c r="O500" s="138">
        <f t="shared" ref="O500" si="985">IF(N500&gt;0,RANK(N500,(N$490:N$508)),0)</f>
        <v>0</v>
      </c>
    </row>
    <row r="501" spans="1:15" s="109" customFormat="1" x14ac:dyDescent="0.25">
      <c r="A501" s="136" t="s">
        <v>204</v>
      </c>
      <c r="B501" s="189">
        <f>'Averages Pivot Table'!AH$267</f>
        <v>0</v>
      </c>
      <c r="C501" s="138">
        <f t="shared" si="945"/>
        <v>0</v>
      </c>
      <c r="D501" s="189">
        <f>'Averages Pivot Table'!AH$271</f>
        <v>0</v>
      </c>
      <c r="E501" s="138">
        <f t="shared" si="945"/>
        <v>0</v>
      </c>
      <c r="F501" s="189">
        <f>'Averages Pivot Table'!AH$275</f>
        <v>0</v>
      </c>
      <c r="G501" s="138">
        <f t="shared" ref="G501" si="986">IF(F501&gt;0,RANK(F501,(F$490:F$508)),0)</f>
        <v>0</v>
      </c>
      <c r="H501" s="189">
        <f>'Averages Pivot Table'!AH$279</f>
        <v>0</v>
      </c>
      <c r="I501" s="138">
        <f t="shared" ref="I501" si="987">IF(H501&gt;0,RANK(H501,(H$490:H$508)),0)</f>
        <v>0</v>
      </c>
      <c r="J501" s="189">
        <f>'Averages Pivot Table'!AH$283</f>
        <v>0</v>
      </c>
      <c r="K501" s="138">
        <f t="shared" ref="K501" si="988">IF(J501&gt;0,RANK(J501,(J$490:J$508)),0)</f>
        <v>0</v>
      </c>
      <c r="L501" s="167">
        <f>'Averages Pivot Table'!AH$287</f>
        <v>0</v>
      </c>
      <c r="M501" s="138">
        <f t="shared" ref="M501" si="989">IF(L501&gt;0,RANK(L501,(L$490:L$508)),0)</f>
        <v>0</v>
      </c>
      <c r="N501" s="189">
        <f>'Averages Pivot Table'!AH$291</f>
        <v>0</v>
      </c>
      <c r="O501" s="138">
        <f t="shared" ref="O501" si="990">IF(N501&gt;0,RANK(N501,(N$490:N$508)),0)</f>
        <v>0</v>
      </c>
    </row>
    <row r="502" spans="1:15" s="109" customFormat="1" x14ac:dyDescent="0.25">
      <c r="A502" s="136" t="s">
        <v>205</v>
      </c>
      <c r="B502" s="189">
        <f>'Averages Pivot Table'!AH$296</f>
        <v>0</v>
      </c>
      <c r="C502" s="138">
        <f t="shared" si="945"/>
        <v>0</v>
      </c>
      <c r="D502" s="189">
        <f>'Averages Pivot Table'!AH$300</f>
        <v>0</v>
      </c>
      <c r="E502" s="138">
        <f t="shared" si="945"/>
        <v>0</v>
      </c>
      <c r="F502" s="189">
        <f>'Averages Pivot Table'!AH$304</f>
        <v>0</v>
      </c>
      <c r="G502" s="138">
        <f t="shared" ref="G502" si="991">IF(F502&gt;0,RANK(F502,(F$490:F$508)),0)</f>
        <v>0</v>
      </c>
      <c r="H502" s="189">
        <f>'Averages Pivot Table'!AH$308</f>
        <v>0</v>
      </c>
      <c r="I502" s="138">
        <f t="shared" ref="I502" si="992">IF(H502&gt;0,RANK(H502,(H$490:H$508)),0)</f>
        <v>0</v>
      </c>
      <c r="J502" s="189">
        <f>'Averages Pivot Table'!AH$312</f>
        <v>0</v>
      </c>
      <c r="K502" s="138">
        <f t="shared" ref="K502" si="993">IF(J502&gt;0,RANK(J502,(J$490:J$508)),0)</f>
        <v>0</v>
      </c>
      <c r="L502" s="167">
        <f>'Averages Pivot Table'!AH$316</f>
        <v>45843.451373316107</v>
      </c>
      <c r="M502" s="138">
        <f t="shared" ref="M502" si="994">IF(L502&gt;0,RANK(L502,(L$490:L$508)),0)</f>
        <v>2</v>
      </c>
      <c r="N502" s="189">
        <f>'Averages Pivot Table'!AH$320</f>
        <v>45843.451373316107</v>
      </c>
      <c r="O502" s="138">
        <f t="shared" ref="O502" si="995">IF(N502&gt;0,RANK(N502,(N$490:N$508)),0)</f>
        <v>2</v>
      </c>
    </row>
    <row r="503" spans="1:15" s="109" customFormat="1" x14ac:dyDescent="0.25">
      <c r="A503" s="136" t="s">
        <v>206</v>
      </c>
      <c r="B503" s="189">
        <f>'Averages Pivot Table'!AH$325</f>
        <v>0</v>
      </c>
      <c r="C503" s="138">
        <f t="shared" si="945"/>
        <v>0</v>
      </c>
      <c r="D503" s="189">
        <f>'Averages Pivot Table'!AH$329</f>
        <v>0</v>
      </c>
      <c r="E503" s="138">
        <f t="shared" si="945"/>
        <v>0</v>
      </c>
      <c r="F503" s="189">
        <f>'Averages Pivot Table'!AH$333</f>
        <v>0</v>
      </c>
      <c r="G503" s="138">
        <f t="shared" ref="G503" si="996">IF(F503&gt;0,RANK(F503,(F$490:F$508)),0)</f>
        <v>0</v>
      </c>
      <c r="H503" s="189">
        <f>'Averages Pivot Table'!AH$337</f>
        <v>0</v>
      </c>
      <c r="I503" s="138">
        <f t="shared" ref="I503" si="997">IF(H503&gt;0,RANK(H503,(H$490:H$508)),0)</f>
        <v>0</v>
      </c>
      <c r="J503" s="189">
        <f>'Averages Pivot Table'!AH$341</f>
        <v>0</v>
      </c>
      <c r="K503" s="138">
        <f t="shared" ref="K503" si="998">IF(J503&gt;0,RANK(J503,(J$490:J$508)),0)</f>
        <v>0</v>
      </c>
      <c r="L503" s="167">
        <f>'Averages Pivot Table'!AH$345</f>
        <v>0</v>
      </c>
      <c r="M503" s="138">
        <f t="shared" ref="M503" si="999">IF(L503&gt;0,RANK(L503,(L$490:L$508)),0)</f>
        <v>0</v>
      </c>
      <c r="N503" s="189">
        <f>'Averages Pivot Table'!AH$349</f>
        <v>0</v>
      </c>
      <c r="O503" s="138">
        <f t="shared" ref="O503" si="1000">IF(N503&gt;0,RANK(N503,(N$490:N$508)),0)</f>
        <v>0</v>
      </c>
    </row>
    <row r="504" spans="1:15" s="109" customFormat="1" x14ac:dyDescent="0.25">
      <c r="A504" s="136"/>
      <c r="B504" s="189"/>
      <c r="C504" s="138"/>
      <c r="D504" s="189"/>
      <c r="E504" s="138"/>
      <c r="F504" s="189"/>
      <c r="G504" s="138"/>
      <c r="H504" s="189"/>
      <c r="I504" s="138"/>
      <c r="J504" s="189"/>
      <c r="K504" s="138"/>
      <c r="L504" s="167"/>
      <c r="M504" s="138"/>
      <c r="N504" s="189"/>
      <c r="O504" s="138"/>
    </row>
    <row r="505" spans="1:15" s="109" customFormat="1" x14ac:dyDescent="0.25">
      <c r="A505" s="136" t="s">
        <v>207</v>
      </c>
      <c r="B505" s="191">
        <f>'Averages Pivot Table'!AH$354</f>
        <v>0</v>
      </c>
      <c r="C505" s="138">
        <f t="shared" si="945"/>
        <v>0</v>
      </c>
      <c r="D505" s="191">
        <f>'Averages Pivot Table'!AH$358</f>
        <v>0</v>
      </c>
      <c r="E505" s="138">
        <f t="shared" si="945"/>
        <v>0</v>
      </c>
      <c r="F505" s="191">
        <f>'Averages Pivot Table'!AH$362</f>
        <v>0</v>
      </c>
      <c r="G505" s="138">
        <f t="shared" ref="G505" si="1001">IF(F505&gt;0,RANK(F505,(F$490:F$508)),0)</f>
        <v>0</v>
      </c>
      <c r="H505" s="191">
        <f>'Averages Pivot Table'!AH$366</f>
        <v>0</v>
      </c>
      <c r="I505" s="138">
        <f t="shared" ref="I505" si="1002">IF(H505&gt;0,RANK(H505,(H$490:H$508)),0)</f>
        <v>0</v>
      </c>
      <c r="J505" s="191">
        <f>'Averages Pivot Table'!AH$370</f>
        <v>0</v>
      </c>
      <c r="K505" s="138">
        <f t="shared" ref="K505" si="1003">IF(J505&gt;0,RANK(J505,(J$490:J$508)),0)</f>
        <v>0</v>
      </c>
      <c r="L505" s="137">
        <f>'Averages Pivot Table'!AH$374</f>
        <v>35196.076981441045</v>
      </c>
      <c r="M505" s="138">
        <f t="shared" ref="M505" si="1004">IF(L505&gt;0,RANK(L505,(L$490:L$508)),0)</f>
        <v>4</v>
      </c>
      <c r="N505" s="191">
        <f>'Averages Pivot Table'!AH$378</f>
        <v>35196.076981441045</v>
      </c>
      <c r="O505" s="138">
        <f t="shared" ref="O505" si="1005">IF(N505&gt;0,RANK(N505,(N$490:N$508)),0)</f>
        <v>5</v>
      </c>
    </row>
    <row r="506" spans="1:15" s="109" customFormat="1" x14ac:dyDescent="0.25">
      <c r="A506" s="136" t="s">
        <v>208</v>
      </c>
      <c r="B506" s="191">
        <f>'Averages Pivot Table'!AH$383</f>
        <v>0</v>
      </c>
      <c r="C506" s="138">
        <f t="shared" si="945"/>
        <v>0</v>
      </c>
      <c r="D506" s="191">
        <f>'Averages Pivot Table'!AH$387</f>
        <v>0</v>
      </c>
      <c r="E506" s="138">
        <f t="shared" si="945"/>
        <v>0</v>
      </c>
      <c r="F506" s="191">
        <f>'Averages Pivot Table'!AH$391</f>
        <v>0</v>
      </c>
      <c r="G506" s="138">
        <f t="shared" ref="G506" si="1006">IF(F506&gt;0,RANK(F506,(F$490:F$508)),0)</f>
        <v>0</v>
      </c>
      <c r="H506" s="191">
        <f>'Averages Pivot Table'!AH$395</f>
        <v>0</v>
      </c>
      <c r="I506" s="138">
        <f t="shared" ref="I506" si="1007">IF(H506&gt;0,RANK(H506,(H$490:H$508)),0)</f>
        <v>0</v>
      </c>
      <c r="J506" s="191">
        <f>'Averages Pivot Table'!AH$399</f>
        <v>0</v>
      </c>
      <c r="K506" s="138">
        <f t="shared" ref="K506" si="1008">IF(J506&gt;0,RANK(J506,(J$490:J$508)),0)</f>
        <v>0</v>
      </c>
      <c r="L506" s="137">
        <f>'Averages Pivot Table'!AH$403</f>
        <v>0</v>
      </c>
      <c r="M506" s="138">
        <f t="shared" ref="M506" si="1009">IF(L506&gt;0,RANK(L506,(L$490:L$508)),0)</f>
        <v>0</v>
      </c>
      <c r="N506" s="191">
        <f>'Averages Pivot Table'!AH$407</f>
        <v>0</v>
      </c>
      <c r="O506" s="138">
        <f t="shared" ref="O506" si="1010">IF(N506&gt;0,RANK(N506,(N$490:N$508)),0)</f>
        <v>0</v>
      </c>
    </row>
    <row r="507" spans="1:15" s="109" customFormat="1" x14ac:dyDescent="0.25">
      <c r="A507" s="136" t="s">
        <v>209</v>
      </c>
      <c r="B507" s="191">
        <f>'Averages Pivot Table'!AH$412</f>
        <v>0</v>
      </c>
      <c r="C507" s="138">
        <f t="shared" si="945"/>
        <v>0</v>
      </c>
      <c r="D507" s="191">
        <f>'Averages Pivot Table'!AH$416</f>
        <v>0</v>
      </c>
      <c r="E507" s="138">
        <f t="shared" si="945"/>
        <v>0</v>
      </c>
      <c r="F507" s="191">
        <f>'Averages Pivot Table'!AH$420</f>
        <v>0</v>
      </c>
      <c r="G507" s="138">
        <f t="shared" ref="G507" si="1011">IF(F507&gt;0,RANK(F507,(F$490:F$508)),0)</f>
        <v>0</v>
      </c>
      <c r="H507" s="191">
        <f>'Averages Pivot Table'!AH$424</f>
        <v>0</v>
      </c>
      <c r="I507" s="138">
        <f t="shared" ref="I507" si="1012">IF(H507&gt;0,RANK(H507,(H$490:H$508)),0)</f>
        <v>0</v>
      </c>
      <c r="J507" s="191">
        <f>'Averages Pivot Table'!AH$428</f>
        <v>0</v>
      </c>
      <c r="K507" s="138">
        <f t="shared" ref="K507" si="1013">IF(J507&gt;0,RANK(J507,(J$490:J$508)),0)</f>
        <v>0</v>
      </c>
      <c r="L507" s="137">
        <f>'Averages Pivot Table'!AH$432</f>
        <v>0</v>
      </c>
      <c r="M507" s="138">
        <f t="shared" ref="M507" si="1014">IF(L507&gt;0,RANK(L507,(L$490:L$508)),0)</f>
        <v>0</v>
      </c>
      <c r="N507" s="191">
        <f>'Averages Pivot Table'!AH$436</f>
        <v>0</v>
      </c>
      <c r="O507" s="138">
        <f t="shared" ref="O507" si="1015">IF(N507&gt;0,RANK(N507,(N$490:N$508)),0)</f>
        <v>0</v>
      </c>
    </row>
    <row r="508" spans="1:15" s="109" customFormat="1" x14ac:dyDescent="0.25">
      <c r="A508" s="161" t="s">
        <v>210</v>
      </c>
      <c r="B508" s="192">
        <f>'Averages Pivot Table'!AH$441</f>
        <v>0</v>
      </c>
      <c r="C508" s="141">
        <f t="shared" si="945"/>
        <v>0</v>
      </c>
      <c r="D508" s="192">
        <f>'Averages Pivot Table'!AH$445</f>
        <v>0</v>
      </c>
      <c r="E508" s="141">
        <f t="shared" si="945"/>
        <v>0</v>
      </c>
      <c r="F508" s="192">
        <f>'Averages Pivot Table'!AH$449</f>
        <v>0</v>
      </c>
      <c r="G508" s="141">
        <f t="shared" ref="G508" si="1016">IF(F508&gt;0,RANK(F508,(F$490:F$508)),0)</f>
        <v>0</v>
      </c>
      <c r="H508" s="192">
        <f>'Averages Pivot Table'!AH$453</f>
        <v>0</v>
      </c>
      <c r="I508" s="141">
        <f t="shared" ref="I508" si="1017">IF(H508&gt;0,RANK(H508,(H$490:H$508)),0)</f>
        <v>0</v>
      </c>
      <c r="J508" s="192">
        <f>'Averages Pivot Table'!AH$457</f>
        <v>0</v>
      </c>
      <c r="K508" s="141">
        <f t="shared" ref="K508" si="1018">IF(J508&gt;0,RANK(J508,(J$490:J$508)),0)</f>
        <v>0</v>
      </c>
      <c r="L508" s="140">
        <f>'Averages Pivot Table'!AH$461</f>
        <v>0</v>
      </c>
      <c r="M508" s="141">
        <f t="shared" ref="M508" si="1019">IF(L508&gt;0,RANK(L508,(L$490:L$508)),0)</f>
        <v>0</v>
      </c>
      <c r="N508" s="192">
        <f>'Averages Pivot Table'!AH$465</f>
        <v>0</v>
      </c>
      <c r="O508" s="141">
        <f t="shared" ref="O508" si="1020">IF(N508&gt;0,RANK(N508,(N$490:N$508)),0)</f>
        <v>0</v>
      </c>
    </row>
    <row r="509" spans="1:15" s="109" customFormat="1" ht="29.25" customHeight="1" x14ac:dyDescent="0.25">
      <c r="A509" s="723" t="s">
        <v>187</v>
      </c>
      <c r="B509" s="723"/>
      <c r="C509" s="723"/>
      <c r="D509" s="723"/>
      <c r="E509" s="723"/>
      <c r="F509" s="723"/>
      <c r="G509" s="723"/>
      <c r="H509" s="723"/>
      <c r="I509" s="723"/>
      <c r="J509" s="723"/>
      <c r="K509" s="723"/>
      <c r="L509" s="723"/>
      <c r="M509" s="723"/>
      <c r="N509" s="723"/>
      <c r="O509" s="723"/>
    </row>
    <row r="510" spans="1:15" s="109" customFormat="1" x14ac:dyDescent="0.25">
      <c r="O510" s="102" t="s">
        <v>1124</v>
      </c>
    </row>
    <row r="511" spans="1:15" s="109" customFormat="1" ht="18" x14ac:dyDescent="0.25">
      <c r="A511" s="82" t="s">
        <v>247</v>
      </c>
      <c r="B511" s="82"/>
      <c r="C511" s="82"/>
      <c r="D511" s="82"/>
      <c r="E511" s="82"/>
      <c r="F511" s="82"/>
      <c r="G511" s="82"/>
      <c r="H511" s="82"/>
      <c r="I511" s="82"/>
      <c r="J511" s="82"/>
      <c r="K511" s="82"/>
      <c r="L511" s="82"/>
      <c r="M511" s="82"/>
      <c r="N511" s="82"/>
      <c r="O511" s="82"/>
    </row>
    <row r="512" spans="1:15" s="109" customFormat="1" x14ac:dyDescent="0.25">
      <c r="A512" s="180"/>
      <c r="B512" s="87"/>
      <c r="C512" s="87"/>
      <c r="D512" s="87"/>
      <c r="E512" s="87"/>
      <c r="F512" s="87"/>
      <c r="G512" s="87"/>
      <c r="H512" s="87"/>
      <c r="I512" s="87"/>
      <c r="J512" s="87"/>
      <c r="K512" s="87"/>
      <c r="L512" s="87"/>
      <c r="M512" s="87"/>
      <c r="N512" s="87"/>
      <c r="O512" s="87"/>
    </row>
    <row r="513" spans="1:19" x14ac:dyDescent="0.25">
      <c r="A513" s="707" t="s">
        <v>218</v>
      </c>
      <c r="B513" s="707"/>
      <c r="C513" s="707"/>
      <c r="D513" s="707"/>
      <c r="E513" s="707"/>
      <c r="F513" s="707"/>
      <c r="G513" s="707"/>
      <c r="H513" s="707"/>
      <c r="I513" s="707"/>
      <c r="J513" s="707"/>
      <c r="K513" s="707"/>
      <c r="L513" s="707"/>
      <c r="M513" s="707"/>
      <c r="N513" s="707"/>
      <c r="O513" s="707"/>
    </row>
    <row r="514" spans="1:19" x14ac:dyDescent="0.25">
      <c r="A514" s="707" t="s">
        <v>248</v>
      </c>
      <c r="B514" s="707"/>
      <c r="C514" s="707"/>
      <c r="D514" s="707"/>
      <c r="E514" s="707"/>
      <c r="F514" s="707"/>
      <c r="G514" s="707"/>
      <c r="H514" s="707"/>
      <c r="I514" s="707"/>
      <c r="J514" s="707"/>
      <c r="K514" s="707"/>
      <c r="L514" s="707"/>
      <c r="M514" s="707"/>
      <c r="N514" s="707"/>
      <c r="O514" s="707"/>
    </row>
    <row r="515" spans="1:19" x14ac:dyDescent="0.25">
      <c r="A515" s="136"/>
      <c r="B515" s="87"/>
      <c r="C515" s="87"/>
      <c r="D515" s="87"/>
      <c r="E515" s="87"/>
      <c r="F515" s="87"/>
      <c r="G515" s="87"/>
      <c r="H515" s="87"/>
      <c r="I515" s="87"/>
      <c r="J515" s="87"/>
      <c r="K515" s="87"/>
      <c r="L515" s="87"/>
      <c r="M515" s="87"/>
      <c r="N515" s="87"/>
      <c r="O515" s="87"/>
    </row>
    <row r="516" spans="1:19" ht="31.5" customHeight="1" x14ac:dyDescent="0.25">
      <c r="A516" s="114"/>
      <c r="B516" s="182" t="s">
        <v>3</v>
      </c>
      <c r="C516" s="183"/>
      <c r="D516" s="184" t="s">
        <v>4</v>
      </c>
      <c r="E516" s="185"/>
      <c r="F516" s="184" t="s">
        <v>5</v>
      </c>
      <c r="G516" s="185"/>
      <c r="H516" s="182" t="s">
        <v>6</v>
      </c>
      <c r="I516" s="183"/>
      <c r="J516" s="184" t="s">
        <v>219</v>
      </c>
      <c r="K516" s="185"/>
      <c r="L516" s="183" t="s">
        <v>23</v>
      </c>
      <c r="M516" s="183"/>
      <c r="N516" s="183" t="s">
        <v>220</v>
      </c>
      <c r="O516" s="183"/>
    </row>
    <row r="517" spans="1:19" x14ac:dyDescent="0.25">
      <c r="A517" s="202"/>
      <c r="B517" s="116" t="s">
        <v>193</v>
      </c>
      <c r="C517" s="115" t="s">
        <v>170</v>
      </c>
      <c r="D517" s="116" t="s">
        <v>193</v>
      </c>
      <c r="E517" s="115" t="s">
        <v>170</v>
      </c>
      <c r="F517" s="116" t="s">
        <v>193</v>
      </c>
      <c r="G517" s="115" t="s">
        <v>170</v>
      </c>
      <c r="H517" s="116" t="s">
        <v>193</v>
      </c>
      <c r="I517" s="115" t="s">
        <v>170</v>
      </c>
      <c r="J517" s="116" t="s">
        <v>193</v>
      </c>
      <c r="K517" s="115" t="s">
        <v>170</v>
      </c>
      <c r="L517" s="116" t="s">
        <v>193</v>
      </c>
      <c r="M517" s="115" t="s">
        <v>170</v>
      </c>
      <c r="N517" s="116" t="s">
        <v>193</v>
      </c>
      <c r="O517" s="115" t="s">
        <v>170</v>
      </c>
    </row>
    <row r="518" spans="1:19" s="127" customFormat="1" ht="18" customHeight="1" x14ac:dyDescent="0.25">
      <c r="A518" s="124" t="s">
        <v>194</v>
      </c>
      <c r="B518" s="151">
        <f>'Averages Pivot Table'!AF$469</f>
        <v>45247.392325821093</v>
      </c>
      <c r="C518" s="151"/>
      <c r="D518" s="151">
        <f>'Averages Pivot Table'!AF$473</f>
        <v>46397.808514579512</v>
      </c>
      <c r="E518" s="151"/>
      <c r="F518" s="151">
        <f>'Averages Pivot Table'!AF$477</f>
        <v>42979.468530137245</v>
      </c>
      <c r="G518" s="151"/>
      <c r="H518" s="151">
        <f>'Averages Pivot Table'!AF$481</f>
        <v>37009.694496212447</v>
      </c>
      <c r="I518" s="151"/>
      <c r="J518" s="151">
        <f>'Averages Pivot Table'!AF$485</f>
        <v>1974.9749999999999</v>
      </c>
      <c r="K518" s="151"/>
      <c r="L518" s="151">
        <f>'Averages Pivot Table'!AF$489</f>
        <v>45302.002858972905</v>
      </c>
      <c r="M518" s="151"/>
      <c r="N518" s="151">
        <f>'Averages Pivot Table'!AF$493</f>
        <v>42974.690303876276</v>
      </c>
      <c r="O518" s="187"/>
      <c r="Q518" s="129"/>
      <c r="R518" s="129"/>
      <c r="S518" s="129"/>
    </row>
    <row r="519" spans="1:19" ht="12.95" customHeight="1" x14ac:dyDescent="0.25">
      <c r="A519" s="136"/>
      <c r="B519" s="131"/>
      <c r="C519" s="155"/>
      <c r="D519" s="131"/>
      <c r="E519" s="155"/>
      <c r="F519" s="131"/>
      <c r="G519" s="155"/>
      <c r="H519" s="131"/>
      <c r="I519" s="155"/>
      <c r="J519" s="131"/>
      <c r="K519" s="155"/>
      <c r="L519" s="131"/>
      <c r="M519" s="155"/>
      <c r="N519" s="131"/>
      <c r="O519" s="155"/>
    </row>
    <row r="520" spans="1:19" ht="12.95" customHeight="1" x14ac:dyDescent="0.25">
      <c r="A520" s="136" t="s">
        <v>195</v>
      </c>
      <c r="B520" s="189">
        <f>'Averages Pivot Table'!AF$6</f>
        <v>0</v>
      </c>
      <c r="C520" s="138">
        <f>IF(B520&gt;0,RANK(B520,(B$520:B$538)),0)</f>
        <v>0</v>
      </c>
      <c r="D520" s="189">
        <f>'Averages Pivot Table'!AF$10</f>
        <v>0</v>
      </c>
      <c r="E520" s="138">
        <f>IF(D520&gt;0,RANK(D520,(D$520:D$538)),0)</f>
        <v>0</v>
      </c>
      <c r="F520" s="189">
        <f>'Averages Pivot Table'!AF$14</f>
        <v>0</v>
      </c>
      <c r="G520" s="138">
        <f>IF(F520&gt;0,RANK(F520,(F$520:F$538)),0)</f>
        <v>0</v>
      </c>
      <c r="H520" s="189">
        <f>'Averages Pivot Table'!AF$18</f>
        <v>0</v>
      </c>
      <c r="I520" s="138">
        <f>IF(H520&gt;0,RANK(H520,(H$520:H$538)),0)</f>
        <v>0</v>
      </c>
      <c r="J520" s="189">
        <f>'Averages Pivot Table'!AF$22</f>
        <v>0</v>
      </c>
      <c r="K520" s="138">
        <f>IF(J520&gt;0,RANK(J520,(J$520:J$538)),0)</f>
        <v>0</v>
      </c>
      <c r="L520" s="167">
        <f>'Averages Pivot Table'!AF$26</f>
        <v>53721.906360424029</v>
      </c>
      <c r="M520" s="138">
        <f>IF(L520&gt;0,RANK(L520,(L$520:L$538)),0)</f>
        <v>1</v>
      </c>
      <c r="N520" s="189">
        <f>'Averages Pivot Table'!AF$30</f>
        <v>53721.906360424029</v>
      </c>
      <c r="O520" s="138">
        <f>IF(N520&gt;0,RANK(N520,(N$520:N$538)),0)</f>
        <v>1</v>
      </c>
    </row>
    <row r="521" spans="1:19" ht="12.95" customHeight="1" x14ac:dyDescent="0.25">
      <c r="A521" s="136" t="s">
        <v>196</v>
      </c>
      <c r="B521" s="189">
        <f>'Averages Pivot Table'!AF$35</f>
        <v>0</v>
      </c>
      <c r="C521" s="138">
        <f t="shared" ref="C521:E538" si="1021">IF(B521&gt;0,RANK(B521,(B$520:B$538)),0)</f>
        <v>0</v>
      </c>
      <c r="D521" s="189">
        <f>'Averages Pivot Table'!AF$39</f>
        <v>0</v>
      </c>
      <c r="E521" s="138">
        <f t="shared" si="1021"/>
        <v>0</v>
      </c>
      <c r="F521" s="189">
        <f>'Averages Pivot Table'!AF$43</f>
        <v>0</v>
      </c>
      <c r="G521" s="138">
        <f t="shared" ref="G521" si="1022">IF(F521&gt;0,RANK(F521,(F$520:F$538)),0)</f>
        <v>0</v>
      </c>
      <c r="H521" s="189">
        <f>'Averages Pivot Table'!AF$47</f>
        <v>0</v>
      </c>
      <c r="I521" s="138">
        <f t="shared" ref="I521" si="1023">IF(H521&gt;0,RANK(H521,(H$520:H$538)),0)</f>
        <v>0</v>
      </c>
      <c r="J521" s="189">
        <f>'Averages Pivot Table'!AF$51</f>
        <v>0</v>
      </c>
      <c r="K521" s="138">
        <f t="shared" ref="K521" si="1024">IF(J521&gt;0,RANK(J521,(J$520:J$538)),0)</f>
        <v>0</v>
      </c>
      <c r="L521" s="167">
        <f>'Averages Pivot Table'!AF$55</f>
        <v>0</v>
      </c>
      <c r="M521" s="138">
        <f t="shared" ref="M521" si="1025">IF(L521&gt;0,RANK(L521,(L$520:L$538)),0)</f>
        <v>0</v>
      </c>
      <c r="N521" s="189">
        <f>'Averages Pivot Table'!AF$59</f>
        <v>0</v>
      </c>
      <c r="O521" s="138">
        <f t="shared" ref="O521" si="1026">IF(N521&gt;0,RANK(N521,(N$520:N$538)),0)</f>
        <v>0</v>
      </c>
    </row>
    <row r="522" spans="1:19" ht="12.95" customHeight="1" x14ac:dyDescent="0.25">
      <c r="A522" s="136" t="s">
        <v>197</v>
      </c>
      <c r="B522" s="189">
        <f>'Averages Pivot Table'!AF$64</f>
        <v>0</v>
      </c>
      <c r="C522" s="138">
        <f t="shared" si="1021"/>
        <v>0</v>
      </c>
      <c r="D522" s="189">
        <f>'Averages Pivot Table'!AF$68</f>
        <v>0</v>
      </c>
      <c r="E522" s="138">
        <f t="shared" si="1021"/>
        <v>0</v>
      </c>
      <c r="F522" s="189">
        <f>'Averages Pivot Table'!AF$72</f>
        <v>0</v>
      </c>
      <c r="G522" s="138">
        <f t="shared" ref="G522" si="1027">IF(F522&gt;0,RANK(F522,(F$520:F$538)),0)</f>
        <v>0</v>
      </c>
      <c r="H522" s="189">
        <f>'Averages Pivot Table'!AF$76</f>
        <v>0</v>
      </c>
      <c r="I522" s="138">
        <f t="shared" ref="I522" si="1028">IF(H522&gt;0,RANK(H522,(H$520:H$538)),0)</f>
        <v>0</v>
      </c>
      <c r="J522" s="189">
        <f>'Averages Pivot Table'!AF$80</f>
        <v>0</v>
      </c>
      <c r="K522" s="138">
        <f t="shared" ref="K522" si="1029">IF(J522&gt;0,RANK(J522,(J$520:J$538)),0)</f>
        <v>0</v>
      </c>
      <c r="L522" s="167">
        <f>'Averages Pivot Table'!AF$84</f>
        <v>0</v>
      </c>
      <c r="M522" s="138">
        <f t="shared" ref="M522" si="1030">IF(L522&gt;0,RANK(L522,(L$520:L$538)),0)</f>
        <v>0</v>
      </c>
      <c r="N522" s="189">
        <f>'Averages Pivot Table'!AF$88</f>
        <v>0</v>
      </c>
      <c r="O522" s="138">
        <f t="shared" ref="O522" si="1031">IF(N522&gt;0,RANK(N522,(N$520:N$538)),0)</f>
        <v>0</v>
      </c>
    </row>
    <row r="523" spans="1:19" ht="12.95" customHeight="1" x14ac:dyDescent="0.25">
      <c r="A523" s="136" t="s">
        <v>198</v>
      </c>
      <c r="B523" s="189">
        <f>'Averages Pivot Table'!AF$93</f>
        <v>0</v>
      </c>
      <c r="C523" s="138">
        <f t="shared" si="1021"/>
        <v>0</v>
      </c>
      <c r="D523" s="189">
        <f>'Averages Pivot Table'!AF$97</f>
        <v>0</v>
      </c>
      <c r="E523" s="138">
        <f t="shared" si="1021"/>
        <v>0</v>
      </c>
      <c r="F523" s="189">
        <f>'Averages Pivot Table'!AF$101</f>
        <v>0</v>
      </c>
      <c r="G523" s="138">
        <f t="shared" ref="G523" si="1032">IF(F523&gt;0,RANK(F523,(F$520:F$538)),0)</f>
        <v>0</v>
      </c>
      <c r="H523" s="189">
        <f>'Averages Pivot Table'!AF$105</f>
        <v>0</v>
      </c>
      <c r="I523" s="138">
        <f t="shared" ref="I523" si="1033">IF(H523&gt;0,RANK(H523,(H$520:H$538)),0)</f>
        <v>0</v>
      </c>
      <c r="J523" s="189">
        <f>'Averages Pivot Table'!AF$109</f>
        <v>0</v>
      </c>
      <c r="K523" s="138">
        <f t="shared" ref="K523" si="1034">IF(J523&gt;0,RANK(J523,(J$520:J$538)),0)</f>
        <v>0</v>
      </c>
      <c r="L523" s="167">
        <f>'Averages Pivot Table'!AF$113</f>
        <v>0</v>
      </c>
      <c r="M523" s="138">
        <f t="shared" ref="M523" si="1035">IF(L523&gt;0,RANK(L523,(L$520:L$538)),0)</f>
        <v>0</v>
      </c>
      <c r="N523" s="189">
        <f>'Averages Pivot Table'!AF$117</f>
        <v>0</v>
      </c>
      <c r="O523" s="138">
        <f t="shared" ref="O523" si="1036">IF(N523&gt;0,RANK(N523,(N$520:N$538)),0)</f>
        <v>0</v>
      </c>
    </row>
    <row r="524" spans="1:19" ht="12.95" customHeight="1" x14ac:dyDescent="0.25">
      <c r="A524" s="136"/>
      <c r="B524" s="189"/>
      <c r="C524" s="138"/>
      <c r="D524" s="189"/>
      <c r="E524" s="138"/>
      <c r="F524" s="189"/>
      <c r="G524" s="138"/>
      <c r="H524" s="189"/>
      <c r="I524" s="138"/>
      <c r="J524" s="189"/>
      <c r="K524" s="138"/>
      <c r="L524" s="167"/>
      <c r="M524" s="138"/>
      <c r="N524" s="189"/>
      <c r="O524" s="138"/>
    </row>
    <row r="525" spans="1:19" ht="12.95" customHeight="1" x14ac:dyDescent="0.25">
      <c r="A525" s="136" t="s">
        <v>199</v>
      </c>
      <c r="B525" s="189">
        <f>'Averages Pivot Table'!AF$122</f>
        <v>0</v>
      </c>
      <c r="C525" s="138">
        <f t="shared" si="1021"/>
        <v>0</v>
      </c>
      <c r="D525" s="189">
        <f>'Averages Pivot Table'!AF$126</f>
        <v>0</v>
      </c>
      <c r="E525" s="138">
        <f t="shared" si="1021"/>
        <v>0</v>
      </c>
      <c r="F525" s="189">
        <f>'Averages Pivot Table'!AF$130</f>
        <v>0</v>
      </c>
      <c r="G525" s="138">
        <f t="shared" ref="G525" si="1037">IF(F525&gt;0,RANK(F525,(F$520:F$538)),0)</f>
        <v>0</v>
      </c>
      <c r="H525" s="189">
        <f>'Averages Pivot Table'!AF$134</f>
        <v>0</v>
      </c>
      <c r="I525" s="138">
        <f t="shared" ref="I525" si="1038">IF(H525&gt;0,RANK(H525,(H$520:H$538)),0)</f>
        <v>0</v>
      </c>
      <c r="J525" s="189">
        <f>'Averages Pivot Table'!AF$138</f>
        <v>0</v>
      </c>
      <c r="K525" s="138">
        <f t="shared" ref="K525" si="1039">IF(J525&gt;0,RANK(J525,(J$520:J$538)),0)</f>
        <v>0</v>
      </c>
      <c r="L525" s="167">
        <f>'Averages Pivot Table'!AF$142</f>
        <v>44683.856114851624</v>
      </c>
      <c r="M525" s="138">
        <f t="shared" ref="M525" si="1040">IF(L525&gt;0,RANK(L525,(L$520:L$538)),0)</f>
        <v>3</v>
      </c>
      <c r="N525" s="189">
        <f>'Averages Pivot Table'!AF$146</f>
        <v>44683.856114851624</v>
      </c>
      <c r="O525" s="138">
        <f t="shared" ref="O525" si="1041">IF(N525&gt;0,RANK(N525,(N$520:N$538)),0)</f>
        <v>3</v>
      </c>
    </row>
    <row r="526" spans="1:19" ht="12.95" customHeight="1" x14ac:dyDescent="0.25">
      <c r="A526" s="136" t="s">
        <v>200</v>
      </c>
      <c r="B526" s="189">
        <f>'Averages Pivot Table'!AF$151</f>
        <v>60736.318840579712</v>
      </c>
      <c r="C526" s="138">
        <f t="shared" si="1021"/>
        <v>1</v>
      </c>
      <c r="D526" s="189">
        <f>'Averages Pivot Table'!AF$155</f>
        <v>49211.503770717442</v>
      </c>
      <c r="E526" s="138">
        <f t="shared" si="1021"/>
        <v>1</v>
      </c>
      <c r="F526" s="189">
        <f>'Averages Pivot Table'!AF$159</f>
        <v>44464.881750423483</v>
      </c>
      <c r="G526" s="138">
        <f t="shared" ref="G526" si="1042">IF(F526&gt;0,RANK(F526,(F$520:F$538)),0)</f>
        <v>1</v>
      </c>
      <c r="H526" s="189">
        <f>'Averages Pivot Table'!AF$163</f>
        <v>38944.91878995228</v>
      </c>
      <c r="I526" s="138">
        <f t="shared" ref="I526" si="1043">IF(H526&gt;0,RANK(H526,(H$520:H$538)),0)</f>
        <v>1</v>
      </c>
      <c r="J526" s="189">
        <f>'Averages Pivot Table'!AF$167</f>
        <v>0</v>
      </c>
      <c r="K526" s="138">
        <f t="shared" ref="K526" si="1044">IF(J526&gt;0,RANK(J526,(J$520:J$538)),0)</f>
        <v>0</v>
      </c>
      <c r="L526" s="167">
        <f>'Averages Pivot Table'!AF$171</f>
        <v>0</v>
      </c>
      <c r="M526" s="138">
        <f t="shared" ref="M526" si="1045">IF(L526&gt;0,RANK(L526,(L$520:L$538)),0)</f>
        <v>0</v>
      </c>
      <c r="N526" s="189">
        <f>'Averages Pivot Table'!AF$175</f>
        <v>44447.881971991519</v>
      </c>
      <c r="O526" s="138">
        <f t="shared" ref="O526" si="1046">IF(N526&gt;0,RANK(N526,(N$520:N$538)),0)</f>
        <v>4</v>
      </c>
    </row>
    <row r="527" spans="1:19" ht="12.95" customHeight="1" x14ac:dyDescent="0.25">
      <c r="A527" s="136" t="s">
        <v>201</v>
      </c>
      <c r="B527" s="189">
        <f>'Averages Pivot Table'!AF$180</f>
        <v>43060.720347266935</v>
      </c>
      <c r="C527" s="138">
        <f t="shared" si="1021"/>
        <v>2</v>
      </c>
      <c r="D527" s="189">
        <f>'Averages Pivot Table'!AF$184</f>
        <v>39832.519583591005</v>
      </c>
      <c r="E527" s="138">
        <f t="shared" si="1021"/>
        <v>2</v>
      </c>
      <c r="F527" s="189">
        <f>'Averages Pivot Table'!AF$188</f>
        <v>41329.009396485868</v>
      </c>
      <c r="G527" s="138">
        <f t="shared" ref="G527" si="1047">IF(F527&gt;0,RANK(F527,(F$520:F$538)),0)</f>
        <v>2</v>
      </c>
      <c r="H527" s="189">
        <f>'Averages Pivot Table'!AF$192</f>
        <v>36709.401071321787</v>
      </c>
      <c r="I527" s="138">
        <f t="shared" ref="I527" si="1048">IF(H527&gt;0,RANK(H527,(H$520:H$538)),0)</f>
        <v>2</v>
      </c>
      <c r="J527" s="189">
        <f>'Averages Pivot Table'!AF$196</f>
        <v>1974.9749999999999</v>
      </c>
      <c r="K527" s="138">
        <f t="shared" ref="K527" si="1049">IF(J527&gt;0,RANK(J527,(J$520:J$538)),0)</f>
        <v>1</v>
      </c>
      <c r="L527" s="167">
        <f>'Averages Pivot Table'!AF$200</f>
        <v>0</v>
      </c>
      <c r="M527" s="138">
        <f t="shared" ref="M527" si="1050">IF(L527&gt;0,RANK(L527,(L$520:L$538)),0)</f>
        <v>0</v>
      </c>
      <c r="N527" s="189">
        <f>'Averages Pivot Table'!AF$204</f>
        <v>33757.175720921136</v>
      </c>
      <c r="O527" s="138">
        <f t="shared" ref="O527" si="1051">IF(N527&gt;0,RANK(N527,(N$520:N$538)),0)</f>
        <v>6</v>
      </c>
    </row>
    <row r="528" spans="1:19" ht="12.95" customHeight="1" x14ac:dyDescent="0.25">
      <c r="A528" s="136" t="s">
        <v>202</v>
      </c>
      <c r="B528" s="189">
        <f>'Averages Pivot Table'!AF$209</f>
        <v>0</v>
      </c>
      <c r="C528" s="138">
        <f t="shared" si="1021"/>
        <v>0</v>
      </c>
      <c r="D528" s="189">
        <f>'Averages Pivot Table'!AF$213</f>
        <v>0</v>
      </c>
      <c r="E528" s="138">
        <f t="shared" si="1021"/>
        <v>0</v>
      </c>
      <c r="F528" s="189">
        <f>'Averages Pivot Table'!AF$217</f>
        <v>0</v>
      </c>
      <c r="G528" s="138">
        <f t="shared" ref="G528" si="1052">IF(F528&gt;0,RANK(F528,(F$520:F$538)),0)</f>
        <v>0</v>
      </c>
      <c r="H528" s="189">
        <f>'Averages Pivot Table'!AF$221</f>
        <v>0</v>
      </c>
      <c r="I528" s="138">
        <f t="shared" ref="I528" si="1053">IF(H528&gt;0,RANK(H528,(H$520:H$538)),0)</f>
        <v>0</v>
      </c>
      <c r="J528" s="189">
        <f>'Averages Pivot Table'!AF$225</f>
        <v>0</v>
      </c>
      <c r="K528" s="138">
        <f t="shared" ref="K528" si="1054">IF(J528&gt;0,RANK(J528,(J$520:J$538)),0)</f>
        <v>0</v>
      </c>
      <c r="L528" s="167">
        <f>'Averages Pivot Table'!AF$229</f>
        <v>0</v>
      </c>
      <c r="M528" s="138">
        <f t="shared" ref="M528" si="1055">IF(L528&gt;0,RANK(L528,(L$520:L$538)),0)</f>
        <v>0</v>
      </c>
      <c r="N528" s="189">
        <f>'Averages Pivot Table'!AF$233</f>
        <v>0</v>
      </c>
      <c r="O528" s="138">
        <f t="shared" ref="O528" si="1056">IF(N528&gt;0,RANK(N528,(N$520:N$538)),0)</f>
        <v>0</v>
      </c>
    </row>
    <row r="529" spans="1:15" s="109" customFormat="1" x14ac:dyDescent="0.25">
      <c r="A529" s="136"/>
      <c r="B529" s="189"/>
      <c r="C529" s="138"/>
      <c r="D529" s="189"/>
      <c r="E529" s="138"/>
      <c r="F529" s="189"/>
      <c r="G529" s="138"/>
      <c r="H529" s="189"/>
      <c r="I529" s="138"/>
      <c r="J529" s="189"/>
      <c r="K529" s="138"/>
      <c r="L529" s="167"/>
      <c r="M529" s="138"/>
      <c r="N529" s="189"/>
      <c r="O529" s="138"/>
    </row>
    <row r="530" spans="1:15" s="109" customFormat="1" x14ac:dyDescent="0.25">
      <c r="A530" s="136" t="s">
        <v>203</v>
      </c>
      <c r="B530" s="189">
        <f>'Averages Pivot Table'!AF$238</f>
        <v>0</v>
      </c>
      <c r="C530" s="138">
        <f t="shared" si="1021"/>
        <v>0</v>
      </c>
      <c r="D530" s="189">
        <f>'Averages Pivot Table'!AF$242</f>
        <v>0</v>
      </c>
      <c r="E530" s="138">
        <f t="shared" si="1021"/>
        <v>0</v>
      </c>
      <c r="F530" s="189">
        <f>'Averages Pivot Table'!AF$246</f>
        <v>0</v>
      </c>
      <c r="G530" s="138">
        <f t="shared" ref="G530" si="1057">IF(F530&gt;0,RANK(F530,(F$520:F$538)),0)</f>
        <v>0</v>
      </c>
      <c r="H530" s="189">
        <f>'Averages Pivot Table'!AF$250</f>
        <v>0</v>
      </c>
      <c r="I530" s="138">
        <f t="shared" ref="I530" si="1058">IF(H530&gt;0,RANK(H530,(H$520:H$538)),0)</f>
        <v>0</v>
      </c>
      <c r="J530" s="189">
        <f>'Averages Pivot Table'!AF$254</f>
        <v>0</v>
      </c>
      <c r="K530" s="138">
        <f t="shared" ref="K530" si="1059">IF(J530&gt;0,RANK(J530,(J$520:J$538)),0)</f>
        <v>0</v>
      </c>
      <c r="L530" s="167">
        <f>'Averages Pivot Table'!AF$258</f>
        <v>0</v>
      </c>
      <c r="M530" s="138">
        <f t="shared" ref="M530" si="1060">IF(L530&gt;0,RANK(L530,(L$520:L$538)),0)</f>
        <v>0</v>
      </c>
      <c r="N530" s="189">
        <f>'Averages Pivot Table'!AF$262</f>
        <v>0</v>
      </c>
      <c r="O530" s="138">
        <f t="shared" ref="O530" si="1061">IF(N530&gt;0,RANK(N530,(N$520:N$538)),0)</f>
        <v>0</v>
      </c>
    </row>
    <row r="531" spans="1:15" s="109" customFormat="1" x14ac:dyDescent="0.25">
      <c r="A531" s="136" t="s">
        <v>204</v>
      </c>
      <c r="B531" s="189">
        <f>'Averages Pivot Table'!AF$267</f>
        <v>0</v>
      </c>
      <c r="C531" s="138">
        <f t="shared" si="1021"/>
        <v>0</v>
      </c>
      <c r="D531" s="189">
        <f>'Averages Pivot Table'!AF$271</f>
        <v>0</v>
      </c>
      <c r="E531" s="138">
        <f t="shared" si="1021"/>
        <v>0</v>
      </c>
      <c r="F531" s="189">
        <f>'Averages Pivot Table'!AF$275</f>
        <v>0</v>
      </c>
      <c r="G531" s="138">
        <f t="shared" ref="G531" si="1062">IF(F531&gt;0,RANK(F531,(F$520:F$538)),0)</f>
        <v>0</v>
      </c>
      <c r="H531" s="189">
        <f>'Averages Pivot Table'!AF$279</f>
        <v>0</v>
      </c>
      <c r="I531" s="138">
        <f t="shared" ref="I531" si="1063">IF(H531&gt;0,RANK(H531,(H$520:H$538)),0)</f>
        <v>0</v>
      </c>
      <c r="J531" s="189">
        <f>'Averages Pivot Table'!AF$283</f>
        <v>0</v>
      </c>
      <c r="K531" s="138">
        <f t="shared" ref="K531" si="1064">IF(J531&gt;0,RANK(J531,(J$520:J$538)),0)</f>
        <v>0</v>
      </c>
      <c r="L531" s="167">
        <f>'Averages Pivot Table'!AF$287</f>
        <v>0</v>
      </c>
      <c r="M531" s="138">
        <f t="shared" ref="M531" si="1065">IF(L531&gt;0,RANK(L531,(L$520:L$538)),0)</f>
        <v>0</v>
      </c>
      <c r="N531" s="189">
        <f>'Averages Pivot Table'!AF$291</f>
        <v>0</v>
      </c>
      <c r="O531" s="138">
        <f t="shared" ref="O531" si="1066">IF(N531&gt;0,RANK(N531,(N$520:N$538)),0)</f>
        <v>0</v>
      </c>
    </row>
    <row r="532" spans="1:15" s="109" customFormat="1" x14ac:dyDescent="0.25">
      <c r="A532" s="136" t="s">
        <v>205</v>
      </c>
      <c r="B532" s="189">
        <f>'Averages Pivot Table'!AF$296</f>
        <v>0</v>
      </c>
      <c r="C532" s="138">
        <f t="shared" si="1021"/>
        <v>0</v>
      </c>
      <c r="D532" s="189">
        <f>'Averages Pivot Table'!AF$300</f>
        <v>0</v>
      </c>
      <c r="E532" s="138">
        <f t="shared" si="1021"/>
        <v>0</v>
      </c>
      <c r="F532" s="189">
        <f>'Averages Pivot Table'!AF$304</f>
        <v>0</v>
      </c>
      <c r="G532" s="138">
        <f t="shared" ref="G532" si="1067">IF(F532&gt;0,RANK(F532,(F$520:F$538)),0)</f>
        <v>0</v>
      </c>
      <c r="H532" s="189">
        <f>'Averages Pivot Table'!AF$308</f>
        <v>0</v>
      </c>
      <c r="I532" s="138">
        <f t="shared" ref="I532" si="1068">IF(H532&gt;0,RANK(H532,(H$520:H$538)),0)</f>
        <v>0</v>
      </c>
      <c r="J532" s="189">
        <f>'Averages Pivot Table'!AF$312</f>
        <v>0</v>
      </c>
      <c r="K532" s="138">
        <f t="shared" ref="K532" si="1069">IF(J532&gt;0,RANK(J532,(J$520:J$538)),0)</f>
        <v>0</v>
      </c>
      <c r="L532" s="167">
        <f>'Averages Pivot Table'!AF$316</f>
        <v>51005.345399644626</v>
      </c>
      <c r="M532" s="138">
        <f t="shared" ref="M532" si="1070">IF(L532&gt;0,RANK(L532,(L$520:L$538)),0)</f>
        <v>2</v>
      </c>
      <c r="N532" s="189">
        <f>'Averages Pivot Table'!AF$320</f>
        <v>51005.345399644626</v>
      </c>
      <c r="O532" s="138">
        <f t="shared" ref="O532" si="1071">IF(N532&gt;0,RANK(N532,(N$520:N$538)),0)</f>
        <v>2</v>
      </c>
    </row>
    <row r="533" spans="1:15" s="109" customFormat="1" x14ac:dyDescent="0.25">
      <c r="A533" s="136" t="s">
        <v>206</v>
      </c>
      <c r="B533" s="189">
        <f>'Averages Pivot Table'!AF$325</f>
        <v>0</v>
      </c>
      <c r="C533" s="138">
        <f t="shared" si="1021"/>
        <v>0</v>
      </c>
      <c r="D533" s="189">
        <f>'Averages Pivot Table'!AF$329</f>
        <v>0</v>
      </c>
      <c r="E533" s="138">
        <f t="shared" si="1021"/>
        <v>0</v>
      </c>
      <c r="F533" s="189">
        <f>'Averages Pivot Table'!AF$333</f>
        <v>0</v>
      </c>
      <c r="G533" s="138">
        <f t="shared" ref="G533" si="1072">IF(F533&gt;0,RANK(F533,(F$520:F$538)),0)</f>
        <v>0</v>
      </c>
      <c r="H533" s="189">
        <f>'Averages Pivot Table'!AF$337</f>
        <v>0</v>
      </c>
      <c r="I533" s="138">
        <f t="shared" ref="I533" si="1073">IF(H533&gt;0,RANK(H533,(H$520:H$538)),0)</f>
        <v>0</v>
      </c>
      <c r="J533" s="189">
        <f>'Averages Pivot Table'!AF$341</f>
        <v>0</v>
      </c>
      <c r="K533" s="138">
        <f t="shared" ref="K533" si="1074">IF(J533&gt;0,RANK(J533,(J$520:J$538)),0)</f>
        <v>0</v>
      </c>
      <c r="L533" s="167">
        <f>'Averages Pivot Table'!AF$345</f>
        <v>0</v>
      </c>
      <c r="M533" s="138">
        <f t="shared" ref="M533" si="1075">IF(L533&gt;0,RANK(L533,(L$520:L$538)),0)</f>
        <v>0</v>
      </c>
      <c r="N533" s="189">
        <f>'Averages Pivot Table'!AF$349</f>
        <v>0</v>
      </c>
      <c r="O533" s="138">
        <f t="shared" ref="O533" si="1076">IF(N533&gt;0,RANK(N533,(N$520:N$538)),0)</f>
        <v>0</v>
      </c>
    </row>
    <row r="534" spans="1:15" s="109" customFormat="1" x14ac:dyDescent="0.25">
      <c r="A534" s="136"/>
      <c r="B534" s="189"/>
      <c r="C534" s="138"/>
      <c r="D534" s="189"/>
      <c r="E534" s="138"/>
      <c r="F534" s="189"/>
      <c r="G534" s="138"/>
      <c r="H534" s="189"/>
      <c r="I534" s="138"/>
      <c r="J534" s="189"/>
      <c r="K534" s="138"/>
      <c r="L534" s="167"/>
      <c r="M534" s="138"/>
      <c r="N534" s="189"/>
      <c r="O534" s="138"/>
    </row>
    <row r="535" spans="1:15" s="109" customFormat="1" x14ac:dyDescent="0.25">
      <c r="A535" s="136" t="s">
        <v>207</v>
      </c>
      <c r="B535" s="191">
        <f>'Averages Pivot Table'!AF$354</f>
        <v>0</v>
      </c>
      <c r="C535" s="138">
        <f t="shared" si="1021"/>
        <v>0</v>
      </c>
      <c r="D535" s="191">
        <f>'Averages Pivot Table'!AF$358</f>
        <v>0</v>
      </c>
      <c r="E535" s="138">
        <f t="shared" si="1021"/>
        <v>0</v>
      </c>
      <c r="F535" s="191">
        <f>'Averages Pivot Table'!AF$362</f>
        <v>0</v>
      </c>
      <c r="G535" s="138">
        <f t="shared" ref="G535" si="1077">IF(F535&gt;0,RANK(F535,(F$520:F$538)),0)</f>
        <v>0</v>
      </c>
      <c r="H535" s="191">
        <f>'Averages Pivot Table'!AF$366</f>
        <v>0</v>
      </c>
      <c r="I535" s="138">
        <f t="shared" ref="I535" si="1078">IF(H535&gt;0,RANK(H535,(H$520:H$538)),0)</f>
        <v>0</v>
      </c>
      <c r="J535" s="191">
        <f>'Averages Pivot Table'!AF$370</f>
        <v>0</v>
      </c>
      <c r="K535" s="138">
        <f t="shared" ref="K535" si="1079">IF(J535&gt;0,RANK(J535,(J$520:J$538)),0)</f>
        <v>0</v>
      </c>
      <c r="L535" s="137">
        <f>'Averages Pivot Table'!AF$374</f>
        <v>36731.91891891892</v>
      </c>
      <c r="M535" s="138">
        <f t="shared" ref="M535" si="1080">IF(L535&gt;0,RANK(L535,(L$520:L$538)),0)</f>
        <v>4</v>
      </c>
      <c r="N535" s="191">
        <f>'Averages Pivot Table'!AF$378</f>
        <v>36731.91891891892</v>
      </c>
      <c r="O535" s="138">
        <f t="shared" ref="O535" si="1081">IF(N535&gt;0,RANK(N535,(N$520:N$538)),0)</f>
        <v>5</v>
      </c>
    </row>
    <row r="536" spans="1:15" s="109" customFormat="1" x14ac:dyDescent="0.25">
      <c r="A536" s="136" t="s">
        <v>208</v>
      </c>
      <c r="B536" s="191">
        <f>'Averages Pivot Table'!AF$383</f>
        <v>0</v>
      </c>
      <c r="C536" s="138">
        <f t="shared" si="1021"/>
        <v>0</v>
      </c>
      <c r="D536" s="191">
        <f>'Averages Pivot Table'!AF$387</f>
        <v>0</v>
      </c>
      <c r="E536" s="138">
        <f t="shared" si="1021"/>
        <v>0</v>
      </c>
      <c r="F536" s="191">
        <f>'Averages Pivot Table'!AF$391</f>
        <v>0</v>
      </c>
      <c r="G536" s="138">
        <f t="shared" ref="G536" si="1082">IF(F536&gt;0,RANK(F536,(F$520:F$538)),0)</f>
        <v>0</v>
      </c>
      <c r="H536" s="191">
        <f>'Averages Pivot Table'!AF$395</f>
        <v>0</v>
      </c>
      <c r="I536" s="138">
        <f t="shared" ref="I536" si="1083">IF(H536&gt;0,RANK(H536,(H$520:H$538)),0)</f>
        <v>0</v>
      </c>
      <c r="J536" s="191">
        <f>'Averages Pivot Table'!AF$399</f>
        <v>0</v>
      </c>
      <c r="K536" s="138">
        <f t="shared" ref="K536" si="1084">IF(J536&gt;0,RANK(J536,(J$520:J$538)),0)</f>
        <v>0</v>
      </c>
      <c r="L536" s="137">
        <f>'Averages Pivot Table'!AF$403</f>
        <v>0</v>
      </c>
      <c r="M536" s="138">
        <f t="shared" ref="M536" si="1085">IF(L536&gt;0,RANK(L536,(L$520:L$538)),0)</f>
        <v>0</v>
      </c>
      <c r="N536" s="191">
        <f>'Averages Pivot Table'!AF$407</f>
        <v>0</v>
      </c>
      <c r="O536" s="138">
        <f t="shared" ref="O536" si="1086">IF(N536&gt;0,RANK(N536,(N$520:N$538)),0)</f>
        <v>0</v>
      </c>
    </row>
    <row r="537" spans="1:15" s="109" customFormat="1" x14ac:dyDescent="0.25">
      <c r="A537" s="136" t="s">
        <v>209</v>
      </c>
      <c r="B537" s="191">
        <f>'Averages Pivot Table'!AF$412</f>
        <v>0</v>
      </c>
      <c r="C537" s="138">
        <f t="shared" si="1021"/>
        <v>0</v>
      </c>
      <c r="D537" s="191">
        <f>'Averages Pivot Table'!AF$416</f>
        <v>0</v>
      </c>
      <c r="E537" s="138">
        <f t="shared" si="1021"/>
        <v>0</v>
      </c>
      <c r="F537" s="191">
        <f>'Averages Pivot Table'!AF$420</f>
        <v>0</v>
      </c>
      <c r="G537" s="138">
        <f t="shared" ref="G537" si="1087">IF(F537&gt;0,RANK(F537,(F$520:F$538)),0)</f>
        <v>0</v>
      </c>
      <c r="H537" s="191">
        <f>'Averages Pivot Table'!AF$424</f>
        <v>0</v>
      </c>
      <c r="I537" s="138">
        <f t="shared" ref="I537" si="1088">IF(H537&gt;0,RANK(H537,(H$520:H$538)),0)</f>
        <v>0</v>
      </c>
      <c r="J537" s="191">
        <f>'Averages Pivot Table'!AF$428</f>
        <v>0</v>
      </c>
      <c r="K537" s="138">
        <f t="shared" ref="K537" si="1089">IF(J537&gt;0,RANK(J537,(J$520:J$538)),0)</f>
        <v>0</v>
      </c>
      <c r="L537" s="137">
        <f>'Averages Pivot Table'!AF$432</f>
        <v>0</v>
      </c>
      <c r="M537" s="138">
        <f t="shared" ref="M537" si="1090">IF(L537&gt;0,RANK(L537,(L$520:L$538)),0)</f>
        <v>0</v>
      </c>
      <c r="N537" s="191">
        <f>'Averages Pivot Table'!AF$436</f>
        <v>0</v>
      </c>
      <c r="O537" s="138">
        <f t="shared" ref="O537" si="1091">IF(N537&gt;0,RANK(N537,(N$520:N$538)),0)</f>
        <v>0</v>
      </c>
    </row>
    <row r="538" spans="1:15" s="109" customFormat="1" x14ac:dyDescent="0.25">
      <c r="A538" s="161" t="s">
        <v>210</v>
      </c>
      <c r="B538" s="192">
        <f>'Averages Pivot Table'!AF$441</f>
        <v>0</v>
      </c>
      <c r="C538" s="141">
        <f t="shared" si="1021"/>
        <v>0</v>
      </c>
      <c r="D538" s="192">
        <f>'Averages Pivot Table'!AF$445</f>
        <v>0</v>
      </c>
      <c r="E538" s="141">
        <f t="shared" si="1021"/>
        <v>0</v>
      </c>
      <c r="F538" s="192">
        <f>'Averages Pivot Table'!AF$449</f>
        <v>0</v>
      </c>
      <c r="G538" s="141">
        <f t="shared" ref="G538" si="1092">IF(F538&gt;0,RANK(F538,(F$520:F$538)),0)</f>
        <v>0</v>
      </c>
      <c r="H538" s="192">
        <f>'Averages Pivot Table'!AF$453</f>
        <v>0</v>
      </c>
      <c r="I538" s="141">
        <f t="shared" ref="I538" si="1093">IF(H538&gt;0,RANK(H538,(H$520:H$538)),0)</f>
        <v>0</v>
      </c>
      <c r="J538" s="192">
        <f>'Averages Pivot Table'!AF$457</f>
        <v>0</v>
      </c>
      <c r="K538" s="141">
        <f t="shared" ref="K538" si="1094">IF(J538&gt;0,RANK(J538,(J$520:J$538)),0)</f>
        <v>0</v>
      </c>
      <c r="L538" s="140">
        <f>'Averages Pivot Table'!AF$461</f>
        <v>0</v>
      </c>
      <c r="M538" s="141">
        <f t="shared" ref="M538" si="1095">IF(L538&gt;0,RANK(L538,(L$520:L$538)),0)</f>
        <v>0</v>
      </c>
      <c r="N538" s="192">
        <f>'Averages Pivot Table'!AF$465</f>
        <v>0</v>
      </c>
      <c r="O538" s="141">
        <f t="shared" ref="O538" si="1096">IF(N538&gt;0,RANK(N538,(N$520:N$538)),0)</f>
        <v>0</v>
      </c>
    </row>
    <row r="539" spans="1:15" s="109" customFormat="1" ht="25.5" customHeight="1" x14ac:dyDescent="0.25">
      <c r="A539" s="723" t="s">
        <v>187</v>
      </c>
      <c r="B539" s="723"/>
      <c r="C539" s="723"/>
      <c r="D539" s="723"/>
      <c r="E539" s="723"/>
      <c r="F539" s="723"/>
      <c r="G539" s="723"/>
      <c r="H539" s="723"/>
      <c r="I539" s="723"/>
      <c r="J539" s="723"/>
      <c r="K539" s="723"/>
      <c r="L539" s="723"/>
      <c r="M539" s="723"/>
      <c r="N539" s="723"/>
      <c r="O539" s="723"/>
    </row>
    <row r="540" spans="1:15" s="109" customFormat="1" x14ac:dyDescent="0.25">
      <c r="O540" s="102" t="s">
        <v>1124</v>
      </c>
    </row>
    <row r="541" spans="1:15" s="109" customFormat="1" ht="18" x14ac:dyDescent="0.25">
      <c r="A541" s="82" t="s">
        <v>249</v>
      </c>
      <c r="B541" s="82"/>
      <c r="C541" s="82"/>
      <c r="D541" s="82"/>
      <c r="E541" s="82"/>
      <c r="F541" s="82"/>
      <c r="G541" s="82"/>
      <c r="H541" s="82"/>
      <c r="I541" s="82"/>
      <c r="J541" s="82"/>
      <c r="K541" s="82"/>
      <c r="L541" s="82"/>
      <c r="M541" s="82"/>
      <c r="N541" s="82"/>
      <c r="O541" s="82"/>
    </row>
    <row r="542" spans="1:15" s="109" customFormat="1" x14ac:dyDescent="0.25">
      <c r="A542" s="180"/>
      <c r="B542" s="87"/>
      <c r="C542" s="87"/>
      <c r="D542" s="87"/>
      <c r="E542" s="87"/>
      <c r="F542" s="87"/>
      <c r="G542" s="87"/>
      <c r="H542" s="87"/>
      <c r="I542" s="87"/>
      <c r="J542" s="87"/>
      <c r="K542" s="87"/>
      <c r="L542" s="87"/>
      <c r="M542" s="87"/>
      <c r="N542" s="87"/>
      <c r="O542" s="87"/>
    </row>
    <row r="543" spans="1:15" s="109" customFormat="1" x14ac:dyDescent="0.25">
      <c r="A543" s="707" t="s">
        <v>218</v>
      </c>
      <c r="B543" s="707"/>
      <c r="C543" s="707"/>
      <c r="D543" s="707"/>
      <c r="E543" s="707"/>
      <c r="F543" s="707"/>
      <c r="G543" s="707"/>
      <c r="H543" s="707"/>
      <c r="I543" s="707"/>
      <c r="J543" s="707"/>
      <c r="K543" s="707"/>
      <c r="L543" s="707"/>
      <c r="M543" s="707"/>
      <c r="N543" s="707"/>
      <c r="O543" s="707"/>
    </row>
    <row r="544" spans="1:15" s="109" customFormat="1" x14ac:dyDescent="0.25">
      <c r="A544" s="707" t="s">
        <v>250</v>
      </c>
      <c r="B544" s="707"/>
      <c r="C544" s="707"/>
      <c r="D544" s="707"/>
      <c r="E544" s="707"/>
      <c r="F544" s="707"/>
      <c r="G544" s="707"/>
      <c r="H544" s="707"/>
      <c r="I544" s="707"/>
      <c r="J544" s="707"/>
      <c r="K544" s="707"/>
      <c r="L544" s="707"/>
      <c r="M544" s="707"/>
      <c r="N544" s="707"/>
      <c r="O544" s="707"/>
    </row>
    <row r="545" spans="1:19" x14ac:dyDescent="0.25">
      <c r="A545" s="136"/>
      <c r="B545" s="87"/>
      <c r="C545" s="87"/>
      <c r="D545" s="87"/>
      <c r="E545" s="87"/>
      <c r="F545" s="87"/>
      <c r="G545" s="87"/>
      <c r="H545" s="87"/>
      <c r="I545" s="87"/>
      <c r="J545" s="87"/>
      <c r="K545" s="87"/>
      <c r="L545" s="87"/>
      <c r="M545" s="87"/>
      <c r="N545" s="87"/>
      <c r="O545" s="87"/>
    </row>
    <row r="546" spans="1:19" ht="31.5" customHeight="1" x14ac:dyDescent="0.25">
      <c r="A546" s="114"/>
      <c r="B546" s="182" t="s">
        <v>3</v>
      </c>
      <c r="C546" s="183"/>
      <c r="D546" s="184" t="s">
        <v>4</v>
      </c>
      <c r="E546" s="185"/>
      <c r="F546" s="184" t="s">
        <v>5</v>
      </c>
      <c r="G546" s="185"/>
      <c r="H546" s="182" t="s">
        <v>6</v>
      </c>
      <c r="I546" s="183"/>
      <c r="J546" s="184" t="s">
        <v>219</v>
      </c>
      <c r="K546" s="185"/>
      <c r="L546" s="183" t="s">
        <v>23</v>
      </c>
      <c r="M546" s="183"/>
      <c r="N546" s="183" t="s">
        <v>220</v>
      </c>
      <c r="O546" s="183"/>
    </row>
    <row r="547" spans="1:19" x14ac:dyDescent="0.25">
      <c r="A547" s="202"/>
      <c r="B547" s="116" t="s">
        <v>193</v>
      </c>
      <c r="C547" s="115" t="s">
        <v>170</v>
      </c>
      <c r="D547" s="116" t="s">
        <v>193</v>
      </c>
      <c r="E547" s="115" t="s">
        <v>170</v>
      </c>
      <c r="F547" s="116" t="s">
        <v>193</v>
      </c>
      <c r="G547" s="115" t="s">
        <v>170</v>
      </c>
      <c r="H547" s="116" t="s">
        <v>193</v>
      </c>
      <c r="I547" s="115" t="s">
        <v>170</v>
      </c>
      <c r="J547" s="116" t="s">
        <v>193</v>
      </c>
      <c r="K547" s="115" t="s">
        <v>170</v>
      </c>
      <c r="L547" s="116" t="s">
        <v>193</v>
      </c>
      <c r="M547" s="115" t="s">
        <v>170</v>
      </c>
      <c r="N547" s="116" t="s">
        <v>193</v>
      </c>
      <c r="O547" s="115" t="s">
        <v>170</v>
      </c>
    </row>
    <row r="548" spans="1:19" s="127" customFormat="1" ht="18" customHeight="1" x14ac:dyDescent="0.25">
      <c r="A548" s="124" t="s">
        <v>194</v>
      </c>
      <c r="B548" s="151">
        <f>'Averages Pivot Table'!AG$469</f>
        <v>0</v>
      </c>
      <c r="C548" s="151"/>
      <c r="D548" s="151">
        <f>'Averages Pivot Table'!AG$473</f>
        <v>0</v>
      </c>
      <c r="E548" s="151"/>
      <c r="F548" s="151">
        <f>'Averages Pivot Table'!AG$477</f>
        <v>0</v>
      </c>
      <c r="G548" s="151"/>
      <c r="H548" s="151">
        <f>'Averages Pivot Table'!AG$481</f>
        <v>0</v>
      </c>
      <c r="I548" s="151"/>
      <c r="J548" s="151">
        <f>'Averages Pivot Table'!AG$485</f>
        <v>0</v>
      </c>
      <c r="K548" s="151"/>
      <c r="L548" s="151">
        <f>'Averages Pivot Table'!AG$489</f>
        <v>42334.887867422825</v>
      </c>
      <c r="M548" s="151"/>
      <c r="N548" s="151">
        <f>'Averages Pivot Table'!AG$493</f>
        <v>42334.887867422825</v>
      </c>
      <c r="O548" s="187"/>
      <c r="Q548" s="129"/>
      <c r="R548" s="129"/>
      <c r="S548" s="129"/>
    </row>
    <row r="549" spans="1:19" ht="12.95" customHeight="1" x14ac:dyDescent="0.25">
      <c r="A549" s="136"/>
      <c r="B549" s="131"/>
      <c r="C549" s="155"/>
      <c r="D549" s="131"/>
      <c r="E549" s="155"/>
      <c r="F549" s="131"/>
      <c r="G549" s="155"/>
      <c r="H549" s="131"/>
      <c r="I549" s="155"/>
      <c r="J549" s="131"/>
      <c r="K549" s="155"/>
      <c r="L549" s="131"/>
      <c r="M549" s="155"/>
      <c r="N549" s="131"/>
      <c r="O549" s="155"/>
    </row>
    <row r="550" spans="1:19" ht="12.95" customHeight="1" x14ac:dyDescent="0.25">
      <c r="A550" s="136" t="s">
        <v>195</v>
      </c>
      <c r="B550" s="189">
        <f>'Averages Pivot Table'!AG$6</f>
        <v>0</v>
      </c>
      <c r="C550" s="138">
        <f>IF(B550&gt;0,RANK(B550,(B$550:B$568)),0)</f>
        <v>0</v>
      </c>
      <c r="D550" s="189">
        <f>'Averages Pivot Table'!AG$10</f>
        <v>0</v>
      </c>
      <c r="E550" s="138">
        <f>IF(D550&gt;0,RANK(D550,(D$550:D$568)),0)</f>
        <v>0</v>
      </c>
      <c r="F550" s="189">
        <f>'Averages Pivot Table'!AG$14</f>
        <v>0</v>
      </c>
      <c r="G550" s="138">
        <f>IF(F550&gt;0,RANK(F550,(F$550:F$568)),0)</f>
        <v>0</v>
      </c>
      <c r="H550" s="189">
        <f>'Averages Pivot Table'!AG$18</f>
        <v>0</v>
      </c>
      <c r="I550" s="138">
        <f>IF(H550&gt;0,RANK(H550,(H$550:H$568)),0)</f>
        <v>0</v>
      </c>
      <c r="J550" s="189">
        <f>'Averages Pivot Table'!AG$22</f>
        <v>0</v>
      </c>
      <c r="K550" s="138">
        <f>IF(J550&gt;0,RANK(J550,(J$550:J$568)),0)</f>
        <v>0</v>
      </c>
      <c r="L550" s="167">
        <f>'Averages Pivot Table'!AG$26</f>
        <v>53101.50111402278</v>
      </c>
      <c r="M550" s="138">
        <f>IF(L550&gt;0,RANK(L550,(L$550:L$568)),0)</f>
        <v>1</v>
      </c>
      <c r="N550" s="189">
        <f>'Averages Pivot Table'!AG$30</f>
        <v>53101.50111402278</v>
      </c>
      <c r="O550" s="138">
        <f>IF(N550&gt;0,RANK(N550,(N$550:N$568)),0)</f>
        <v>1</v>
      </c>
    </row>
    <row r="551" spans="1:19" ht="12.95" customHeight="1" x14ac:dyDescent="0.25">
      <c r="A551" s="136" t="s">
        <v>196</v>
      </c>
      <c r="B551" s="189">
        <f>'Averages Pivot Table'!AG$35</f>
        <v>0</v>
      </c>
      <c r="C551" s="138">
        <f t="shared" ref="C551:E568" si="1097">IF(B551&gt;0,RANK(B551,(B$550:B$568)),0)</f>
        <v>0</v>
      </c>
      <c r="D551" s="189">
        <f>'Averages Pivot Table'!AG$39</f>
        <v>0</v>
      </c>
      <c r="E551" s="138">
        <f t="shared" si="1097"/>
        <v>0</v>
      </c>
      <c r="F551" s="189">
        <f>'Averages Pivot Table'!AG$43</f>
        <v>0</v>
      </c>
      <c r="G551" s="138">
        <f t="shared" ref="G551" si="1098">IF(F551&gt;0,RANK(F551,(F$550:F$568)),0)</f>
        <v>0</v>
      </c>
      <c r="H551" s="189">
        <f>'Averages Pivot Table'!AG$47</f>
        <v>0</v>
      </c>
      <c r="I551" s="138">
        <f t="shared" ref="I551" si="1099">IF(H551&gt;0,RANK(H551,(H$550:H$568)),0)</f>
        <v>0</v>
      </c>
      <c r="J551" s="189">
        <f>'Averages Pivot Table'!AG$51</f>
        <v>0</v>
      </c>
      <c r="K551" s="138">
        <f t="shared" ref="K551" si="1100">IF(J551&gt;0,RANK(J551,(J$550:J$568)),0)</f>
        <v>0</v>
      </c>
      <c r="L551" s="167">
        <f>'Averages Pivot Table'!AG$55</f>
        <v>0</v>
      </c>
      <c r="M551" s="138">
        <f t="shared" ref="M551" si="1101">IF(L551&gt;0,RANK(L551,(L$550:L$568)),0)</f>
        <v>0</v>
      </c>
      <c r="N551" s="189">
        <f>'Averages Pivot Table'!AG$59</f>
        <v>0</v>
      </c>
      <c r="O551" s="138">
        <f t="shared" ref="O551" si="1102">IF(N551&gt;0,RANK(N551,(N$550:N$568)),0)</f>
        <v>0</v>
      </c>
    </row>
    <row r="552" spans="1:19" ht="12.95" customHeight="1" x14ac:dyDescent="0.25">
      <c r="A552" s="136" t="s">
        <v>197</v>
      </c>
      <c r="B552" s="189">
        <f>'Averages Pivot Table'!AG$64</f>
        <v>0</v>
      </c>
      <c r="C552" s="138">
        <f t="shared" si="1097"/>
        <v>0</v>
      </c>
      <c r="D552" s="189">
        <f>'Averages Pivot Table'!AG$68</f>
        <v>0</v>
      </c>
      <c r="E552" s="138">
        <f t="shared" si="1097"/>
        <v>0</v>
      </c>
      <c r="F552" s="189">
        <f>'Averages Pivot Table'!AG$72</f>
        <v>0</v>
      </c>
      <c r="G552" s="138">
        <f t="shared" ref="G552" si="1103">IF(F552&gt;0,RANK(F552,(F$550:F$568)),0)</f>
        <v>0</v>
      </c>
      <c r="H552" s="189">
        <f>'Averages Pivot Table'!AG$76</f>
        <v>0</v>
      </c>
      <c r="I552" s="138">
        <f t="shared" ref="I552" si="1104">IF(H552&gt;0,RANK(H552,(H$550:H$568)),0)</f>
        <v>0</v>
      </c>
      <c r="J552" s="189">
        <f>'Averages Pivot Table'!AG$80</f>
        <v>0</v>
      </c>
      <c r="K552" s="138">
        <f t="shared" ref="K552" si="1105">IF(J552&gt;0,RANK(J552,(J$550:J$568)),0)</f>
        <v>0</v>
      </c>
      <c r="L552" s="167">
        <f>'Averages Pivot Table'!AG$84</f>
        <v>0</v>
      </c>
      <c r="M552" s="138">
        <f t="shared" ref="M552" si="1106">IF(L552&gt;0,RANK(L552,(L$550:L$568)),0)</f>
        <v>0</v>
      </c>
      <c r="N552" s="189">
        <f>'Averages Pivot Table'!AG$88</f>
        <v>0</v>
      </c>
      <c r="O552" s="138">
        <f t="shared" ref="O552" si="1107">IF(N552&gt;0,RANK(N552,(N$550:N$568)),0)</f>
        <v>0</v>
      </c>
    </row>
    <row r="553" spans="1:19" ht="12.95" customHeight="1" x14ac:dyDescent="0.25">
      <c r="A553" s="136" t="s">
        <v>198</v>
      </c>
      <c r="B553" s="189">
        <f>'Averages Pivot Table'!AG$93</f>
        <v>0</v>
      </c>
      <c r="C553" s="138">
        <f t="shared" si="1097"/>
        <v>0</v>
      </c>
      <c r="D553" s="189">
        <f>'Averages Pivot Table'!AG$97</f>
        <v>0</v>
      </c>
      <c r="E553" s="138">
        <f t="shared" si="1097"/>
        <v>0</v>
      </c>
      <c r="F553" s="189">
        <f>'Averages Pivot Table'!AG$101</f>
        <v>0</v>
      </c>
      <c r="G553" s="138">
        <f t="shared" ref="G553" si="1108">IF(F553&gt;0,RANK(F553,(F$550:F$568)),0)</f>
        <v>0</v>
      </c>
      <c r="H553" s="189">
        <f>'Averages Pivot Table'!AG$105</f>
        <v>0</v>
      </c>
      <c r="I553" s="138">
        <f t="shared" ref="I553" si="1109">IF(H553&gt;0,RANK(H553,(H$550:H$568)),0)</f>
        <v>0</v>
      </c>
      <c r="J553" s="189">
        <f>'Averages Pivot Table'!AG$109</f>
        <v>0</v>
      </c>
      <c r="K553" s="138">
        <f t="shared" ref="K553" si="1110">IF(J553&gt;0,RANK(J553,(J$550:J$568)),0)</f>
        <v>0</v>
      </c>
      <c r="L553" s="167">
        <f>'Averages Pivot Table'!AG$113</f>
        <v>0</v>
      </c>
      <c r="M553" s="138">
        <f t="shared" ref="M553" si="1111">IF(L553&gt;0,RANK(L553,(L$550:L$568)),0)</f>
        <v>0</v>
      </c>
      <c r="N553" s="189">
        <f>'Averages Pivot Table'!AG$117</f>
        <v>0</v>
      </c>
      <c r="O553" s="138">
        <f t="shared" ref="O553" si="1112">IF(N553&gt;0,RANK(N553,(N$550:N$568)),0)</f>
        <v>0</v>
      </c>
    </row>
    <row r="554" spans="1:19" ht="12.95" customHeight="1" x14ac:dyDescent="0.25">
      <c r="A554" s="136"/>
      <c r="B554" s="189"/>
      <c r="C554" s="138"/>
      <c r="D554" s="189"/>
      <c r="E554" s="138"/>
      <c r="F554" s="189"/>
      <c r="G554" s="138"/>
      <c r="H554" s="189"/>
      <c r="I554" s="138"/>
      <c r="J554" s="189"/>
      <c r="K554" s="138"/>
      <c r="L554" s="167"/>
      <c r="M554" s="138"/>
      <c r="N554" s="189"/>
      <c r="O554" s="138"/>
    </row>
    <row r="555" spans="1:19" ht="12.95" customHeight="1" x14ac:dyDescent="0.25">
      <c r="A555" s="136" t="s">
        <v>199</v>
      </c>
      <c r="B555" s="189">
        <f>'Averages Pivot Table'!AG$122</f>
        <v>0</v>
      </c>
      <c r="C555" s="138">
        <f t="shared" si="1097"/>
        <v>0</v>
      </c>
      <c r="D555" s="189">
        <f>'Averages Pivot Table'!AG$126</f>
        <v>0</v>
      </c>
      <c r="E555" s="138">
        <f t="shared" si="1097"/>
        <v>0</v>
      </c>
      <c r="F555" s="189">
        <f>'Averages Pivot Table'!AG$130</f>
        <v>0</v>
      </c>
      <c r="G555" s="138">
        <f t="shared" ref="G555" si="1113">IF(F555&gt;0,RANK(F555,(F$550:F$568)),0)</f>
        <v>0</v>
      </c>
      <c r="H555" s="189">
        <f>'Averages Pivot Table'!AG$134</f>
        <v>0</v>
      </c>
      <c r="I555" s="138">
        <f t="shared" ref="I555" si="1114">IF(H555&gt;0,RANK(H555,(H$550:H$568)),0)</f>
        <v>0</v>
      </c>
      <c r="J555" s="189">
        <f>'Averages Pivot Table'!AG$138</f>
        <v>0</v>
      </c>
      <c r="K555" s="138">
        <f t="shared" ref="K555" si="1115">IF(J555&gt;0,RANK(J555,(J$550:J$568)),0)</f>
        <v>0</v>
      </c>
      <c r="L555" s="167">
        <f>'Averages Pivot Table'!AG$142</f>
        <v>0</v>
      </c>
      <c r="M555" s="138">
        <f t="shared" ref="M555" si="1116">IF(L555&gt;0,RANK(L555,(L$550:L$568)),0)</f>
        <v>0</v>
      </c>
      <c r="N555" s="189">
        <f>'Averages Pivot Table'!AG$146</f>
        <v>0</v>
      </c>
      <c r="O555" s="138">
        <f t="shared" ref="O555" si="1117">IF(N555&gt;0,RANK(N555,(N$550:N$568)),0)</f>
        <v>0</v>
      </c>
    </row>
    <row r="556" spans="1:19" ht="12.95" customHeight="1" x14ac:dyDescent="0.25">
      <c r="A556" s="136" t="s">
        <v>200</v>
      </c>
      <c r="B556" s="189">
        <f>'Averages Pivot Table'!AG$151</f>
        <v>0</v>
      </c>
      <c r="C556" s="138">
        <f t="shared" si="1097"/>
        <v>0</v>
      </c>
      <c r="D556" s="189">
        <f>'Averages Pivot Table'!AG$155</f>
        <v>0</v>
      </c>
      <c r="E556" s="138">
        <f t="shared" si="1097"/>
        <v>0</v>
      </c>
      <c r="F556" s="189">
        <f>'Averages Pivot Table'!AG$159</f>
        <v>0</v>
      </c>
      <c r="G556" s="138">
        <f t="shared" ref="G556" si="1118">IF(F556&gt;0,RANK(F556,(F$550:F$568)),0)</f>
        <v>0</v>
      </c>
      <c r="H556" s="189">
        <f>'Averages Pivot Table'!AG$163</f>
        <v>0</v>
      </c>
      <c r="I556" s="138">
        <f t="shared" ref="I556" si="1119">IF(H556&gt;0,RANK(H556,(H$550:H$568)),0)</f>
        <v>0</v>
      </c>
      <c r="J556" s="189">
        <f>'Averages Pivot Table'!AG$167</f>
        <v>0</v>
      </c>
      <c r="K556" s="138">
        <f t="shared" ref="K556" si="1120">IF(J556&gt;0,RANK(J556,(J$550:J$568)),0)</f>
        <v>0</v>
      </c>
      <c r="L556" s="167">
        <f>'Averages Pivot Table'!AG$171</f>
        <v>0</v>
      </c>
      <c r="M556" s="138">
        <f t="shared" ref="M556" si="1121">IF(L556&gt;0,RANK(L556,(L$550:L$568)),0)</f>
        <v>0</v>
      </c>
      <c r="N556" s="189">
        <f>'Averages Pivot Table'!AG$175</f>
        <v>0</v>
      </c>
      <c r="O556" s="138">
        <f t="shared" ref="O556" si="1122">IF(N556&gt;0,RANK(N556,(N$550:N$568)),0)</f>
        <v>0</v>
      </c>
    </row>
    <row r="557" spans="1:19" ht="12.95" customHeight="1" x14ac:dyDescent="0.25">
      <c r="A557" s="136" t="s">
        <v>201</v>
      </c>
      <c r="B557" s="189">
        <f>'Averages Pivot Table'!AG$180</f>
        <v>0</v>
      </c>
      <c r="C557" s="138">
        <f t="shared" si="1097"/>
        <v>0</v>
      </c>
      <c r="D557" s="189">
        <f>'Averages Pivot Table'!AG$184</f>
        <v>0</v>
      </c>
      <c r="E557" s="138">
        <f t="shared" si="1097"/>
        <v>0</v>
      </c>
      <c r="F557" s="189">
        <f>'Averages Pivot Table'!AG$188</f>
        <v>0</v>
      </c>
      <c r="G557" s="138">
        <f t="shared" ref="G557" si="1123">IF(F557&gt;0,RANK(F557,(F$550:F$568)),0)</f>
        <v>0</v>
      </c>
      <c r="H557" s="189">
        <f>'Averages Pivot Table'!AG$192</f>
        <v>0</v>
      </c>
      <c r="I557" s="138">
        <f t="shared" ref="I557" si="1124">IF(H557&gt;0,RANK(H557,(H$550:H$568)),0)</f>
        <v>0</v>
      </c>
      <c r="J557" s="189">
        <f>'Averages Pivot Table'!AG$196</f>
        <v>0</v>
      </c>
      <c r="K557" s="138">
        <f t="shared" ref="K557" si="1125">IF(J557&gt;0,RANK(J557,(J$550:J$568)),0)</f>
        <v>0</v>
      </c>
      <c r="L557" s="167">
        <f>'Averages Pivot Table'!AG$200</f>
        <v>0</v>
      </c>
      <c r="M557" s="138">
        <f t="shared" ref="M557" si="1126">IF(L557&gt;0,RANK(L557,(L$550:L$568)),0)</f>
        <v>0</v>
      </c>
      <c r="N557" s="189">
        <f>'Averages Pivot Table'!AG$204</f>
        <v>0</v>
      </c>
      <c r="O557" s="138">
        <f t="shared" ref="O557" si="1127">IF(N557&gt;0,RANK(N557,(N$550:N$568)),0)</f>
        <v>0</v>
      </c>
    </row>
    <row r="558" spans="1:19" ht="12.95" customHeight="1" x14ac:dyDescent="0.25">
      <c r="A558" s="136" t="s">
        <v>202</v>
      </c>
      <c r="B558" s="189">
        <f>'Averages Pivot Table'!AG$209</f>
        <v>0</v>
      </c>
      <c r="C558" s="138">
        <f t="shared" si="1097"/>
        <v>0</v>
      </c>
      <c r="D558" s="189">
        <f>'Averages Pivot Table'!AG$213</f>
        <v>0</v>
      </c>
      <c r="E558" s="138">
        <f t="shared" si="1097"/>
        <v>0</v>
      </c>
      <c r="F558" s="189">
        <f>'Averages Pivot Table'!AG$217</f>
        <v>0</v>
      </c>
      <c r="G558" s="138">
        <f t="shared" ref="G558" si="1128">IF(F558&gt;0,RANK(F558,(F$550:F$568)),0)</f>
        <v>0</v>
      </c>
      <c r="H558" s="189">
        <f>'Averages Pivot Table'!AG$221</f>
        <v>0</v>
      </c>
      <c r="I558" s="138">
        <f t="shared" ref="I558" si="1129">IF(H558&gt;0,RANK(H558,(H$550:H$568)),0)</f>
        <v>0</v>
      </c>
      <c r="J558" s="189">
        <f>'Averages Pivot Table'!AG$225</f>
        <v>0</v>
      </c>
      <c r="K558" s="138">
        <f t="shared" ref="K558" si="1130">IF(J558&gt;0,RANK(J558,(J$550:J$568)),0)</f>
        <v>0</v>
      </c>
      <c r="L558" s="167">
        <f>'Averages Pivot Table'!AG$229</f>
        <v>0</v>
      </c>
      <c r="M558" s="138">
        <f t="shared" ref="M558" si="1131">IF(L558&gt;0,RANK(L558,(L$550:L$568)),0)</f>
        <v>0</v>
      </c>
      <c r="N558" s="189">
        <f>'Averages Pivot Table'!AG$233</f>
        <v>0</v>
      </c>
      <c r="O558" s="138">
        <f t="shared" ref="O558" si="1132">IF(N558&gt;0,RANK(N558,(N$550:N$568)),0)</f>
        <v>0</v>
      </c>
    </row>
    <row r="559" spans="1:19" ht="12.95" customHeight="1" x14ac:dyDescent="0.25">
      <c r="A559" s="136"/>
      <c r="B559" s="189"/>
      <c r="C559" s="138"/>
      <c r="D559" s="189"/>
      <c r="E559" s="138"/>
      <c r="F559" s="189"/>
      <c r="G559" s="138"/>
      <c r="H559" s="189"/>
      <c r="I559" s="138"/>
      <c r="J559" s="189"/>
      <c r="K559" s="138"/>
      <c r="L559" s="167"/>
      <c r="M559" s="138"/>
      <c r="N559" s="189"/>
      <c r="O559" s="138"/>
    </row>
    <row r="560" spans="1:19" ht="12.95" customHeight="1" x14ac:dyDescent="0.25">
      <c r="A560" s="136" t="s">
        <v>203</v>
      </c>
      <c r="B560" s="189">
        <f>'Averages Pivot Table'!AG$238</f>
        <v>0</v>
      </c>
      <c r="C560" s="138">
        <f t="shared" si="1097"/>
        <v>0</v>
      </c>
      <c r="D560" s="189">
        <f>'Averages Pivot Table'!AG$242</f>
        <v>0</v>
      </c>
      <c r="E560" s="138">
        <f t="shared" si="1097"/>
        <v>0</v>
      </c>
      <c r="F560" s="189">
        <f>'Averages Pivot Table'!AG$246</f>
        <v>0</v>
      </c>
      <c r="G560" s="138">
        <f t="shared" ref="G560" si="1133">IF(F560&gt;0,RANK(F560,(F$550:F$568)),0)</f>
        <v>0</v>
      </c>
      <c r="H560" s="189">
        <f>'Averages Pivot Table'!AG$250</f>
        <v>0</v>
      </c>
      <c r="I560" s="138">
        <f t="shared" ref="I560" si="1134">IF(H560&gt;0,RANK(H560,(H$550:H$568)),0)</f>
        <v>0</v>
      </c>
      <c r="J560" s="189">
        <f>'Averages Pivot Table'!AG$254</f>
        <v>0</v>
      </c>
      <c r="K560" s="138">
        <f t="shared" ref="K560" si="1135">IF(J560&gt;0,RANK(J560,(J$550:J$568)),0)</f>
        <v>0</v>
      </c>
      <c r="L560" s="167">
        <f>'Averages Pivot Table'!AG$258</f>
        <v>0</v>
      </c>
      <c r="M560" s="138">
        <f t="shared" ref="M560" si="1136">IF(L560&gt;0,RANK(L560,(L$550:L$568)),0)</f>
        <v>0</v>
      </c>
      <c r="N560" s="189">
        <f>'Averages Pivot Table'!AG$262</f>
        <v>0</v>
      </c>
      <c r="O560" s="138">
        <f t="shared" ref="O560" si="1137">IF(N560&gt;0,RANK(N560,(N$550:N$568)),0)</f>
        <v>0</v>
      </c>
    </row>
    <row r="561" spans="1:15" s="109" customFormat="1" x14ac:dyDescent="0.25">
      <c r="A561" s="136" t="s">
        <v>204</v>
      </c>
      <c r="B561" s="189">
        <f>'Averages Pivot Table'!AG$267</f>
        <v>0</v>
      </c>
      <c r="C561" s="138">
        <f t="shared" si="1097"/>
        <v>0</v>
      </c>
      <c r="D561" s="189">
        <f>'Averages Pivot Table'!AG$271</f>
        <v>0</v>
      </c>
      <c r="E561" s="138">
        <f t="shared" si="1097"/>
        <v>0</v>
      </c>
      <c r="F561" s="189">
        <f>'Averages Pivot Table'!AG$275</f>
        <v>0</v>
      </c>
      <c r="G561" s="138">
        <f t="shared" ref="G561" si="1138">IF(F561&gt;0,RANK(F561,(F$550:F$568)),0)</f>
        <v>0</v>
      </c>
      <c r="H561" s="189">
        <f>'Averages Pivot Table'!AG$279</f>
        <v>0</v>
      </c>
      <c r="I561" s="138">
        <f t="shared" ref="I561" si="1139">IF(H561&gt;0,RANK(H561,(H$550:H$568)),0)</f>
        <v>0</v>
      </c>
      <c r="J561" s="189">
        <f>'Averages Pivot Table'!AG$283</f>
        <v>0</v>
      </c>
      <c r="K561" s="138">
        <f t="shared" ref="K561" si="1140">IF(J561&gt;0,RANK(J561,(J$550:J$568)),0)</f>
        <v>0</v>
      </c>
      <c r="L561" s="167">
        <f>'Averages Pivot Table'!AG$287</f>
        <v>0</v>
      </c>
      <c r="M561" s="138">
        <f t="shared" ref="M561" si="1141">IF(L561&gt;0,RANK(L561,(L$550:L$568)),0)</f>
        <v>0</v>
      </c>
      <c r="N561" s="189">
        <f>'Averages Pivot Table'!AG$291</f>
        <v>0</v>
      </c>
      <c r="O561" s="138">
        <f t="shared" ref="O561" si="1142">IF(N561&gt;0,RANK(N561,(N$550:N$568)),0)</f>
        <v>0</v>
      </c>
    </row>
    <row r="562" spans="1:15" s="109" customFormat="1" x14ac:dyDescent="0.25">
      <c r="A562" s="136" t="s">
        <v>205</v>
      </c>
      <c r="B562" s="189">
        <f>'Averages Pivot Table'!AG$296</f>
        <v>0</v>
      </c>
      <c r="C562" s="138">
        <f t="shared" si="1097"/>
        <v>0</v>
      </c>
      <c r="D562" s="189">
        <f>'Averages Pivot Table'!AG$300</f>
        <v>0</v>
      </c>
      <c r="E562" s="138">
        <f t="shared" si="1097"/>
        <v>0</v>
      </c>
      <c r="F562" s="189">
        <f>'Averages Pivot Table'!AG$304</f>
        <v>0</v>
      </c>
      <c r="G562" s="138">
        <f t="shared" ref="G562" si="1143">IF(F562&gt;0,RANK(F562,(F$550:F$568)),0)</f>
        <v>0</v>
      </c>
      <c r="H562" s="189">
        <f>'Averages Pivot Table'!AG$308</f>
        <v>0</v>
      </c>
      <c r="I562" s="138">
        <f t="shared" ref="I562" si="1144">IF(H562&gt;0,RANK(H562,(H$550:H$568)),0)</f>
        <v>0</v>
      </c>
      <c r="J562" s="189">
        <f>'Averages Pivot Table'!AG$312</f>
        <v>0</v>
      </c>
      <c r="K562" s="138">
        <f t="shared" ref="K562" si="1145">IF(J562&gt;0,RANK(J562,(J$550:J$568)),0)</f>
        <v>0</v>
      </c>
      <c r="L562" s="167">
        <f>'Averages Pivot Table'!AG$316</f>
        <v>44631.871443555588</v>
      </c>
      <c r="M562" s="138">
        <f t="shared" ref="M562" si="1146">IF(L562&gt;0,RANK(L562,(L$550:L$568)),0)</f>
        <v>2</v>
      </c>
      <c r="N562" s="189">
        <f>'Averages Pivot Table'!AG$320</f>
        <v>44631.871443555588</v>
      </c>
      <c r="O562" s="138">
        <f t="shared" ref="O562" si="1147">IF(N562&gt;0,RANK(N562,(N$550:N$568)),0)</f>
        <v>2</v>
      </c>
    </row>
    <row r="563" spans="1:15" s="109" customFormat="1" x14ac:dyDescent="0.25">
      <c r="A563" s="136" t="s">
        <v>206</v>
      </c>
      <c r="B563" s="189">
        <f>'Averages Pivot Table'!AG$325</f>
        <v>0</v>
      </c>
      <c r="C563" s="138">
        <f t="shared" si="1097"/>
        <v>0</v>
      </c>
      <c r="D563" s="189">
        <f>'Averages Pivot Table'!AG$329</f>
        <v>0</v>
      </c>
      <c r="E563" s="138">
        <f t="shared" si="1097"/>
        <v>0</v>
      </c>
      <c r="F563" s="189">
        <f>'Averages Pivot Table'!AG$333</f>
        <v>0</v>
      </c>
      <c r="G563" s="138">
        <f t="shared" ref="G563" si="1148">IF(F563&gt;0,RANK(F563,(F$550:F$568)),0)</f>
        <v>0</v>
      </c>
      <c r="H563" s="189">
        <f>'Averages Pivot Table'!AG$337</f>
        <v>0</v>
      </c>
      <c r="I563" s="138">
        <f t="shared" ref="I563" si="1149">IF(H563&gt;0,RANK(H563,(H$550:H$568)),0)</f>
        <v>0</v>
      </c>
      <c r="J563" s="189">
        <f>'Averages Pivot Table'!AG$341</f>
        <v>0</v>
      </c>
      <c r="K563" s="138">
        <f t="shared" ref="K563" si="1150">IF(J563&gt;0,RANK(J563,(J$550:J$568)),0)</f>
        <v>0</v>
      </c>
      <c r="L563" s="167">
        <f>'Averages Pivot Table'!AG$345</f>
        <v>0</v>
      </c>
      <c r="M563" s="138">
        <f t="shared" ref="M563" si="1151">IF(L563&gt;0,RANK(L563,(L$550:L$568)),0)</f>
        <v>0</v>
      </c>
      <c r="N563" s="189">
        <f>'Averages Pivot Table'!AG$349</f>
        <v>0</v>
      </c>
      <c r="O563" s="138">
        <f t="shared" ref="O563" si="1152">IF(N563&gt;0,RANK(N563,(N$550:N$568)),0)</f>
        <v>0</v>
      </c>
    </row>
    <row r="564" spans="1:15" s="109" customFormat="1" x14ac:dyDescent="0.25">
      <c r="A564" s="136"/>
      <c r="B564" s="189"/>
      <c r="C564" s="138"/>
      <c r="D564" s="189"/>
      <c r="E564" s="138"/>
      <c r="F564" s="189"/>
      <c r="G564" s="138"/>
      <c r="H564" s="189"/>
      <c r="I564" s="138"/>
      <c r="J564" s="189"/>
      <c r="K564" s="138"/>
      <c r="L564" s="167"/>
      <c r="M564" s="138"/>
      <c r="N564" s="189"/>
      <c r="O564" s="138"/>
    </row>
    <row r="565" spans="1:15" s="109" customFormat="1" x14ac:dyDescent="0.25">
      <c r="A565" s="136" t="s">
        <v>207</v>
      </c>
      <c r="B565" s="191">
        <f>'Averages Pivot Table'!AG$354</f>
        <v>0</v>
      </c>
      <c r="C565" s="138">
        <f t="shared" si="1097"/>
        <v>0</v>
      </c>
      <c r="D565" s="191">
        <f>'Averages Pivot Table'!AG$358</f>
        <v>0</v>
      </c>
      <c r="E565" s="138">
        <f t="shared" si="1097"/>
        <v>0</v>
      </c>
      <c r="F565" s="191">
        <f>'Averages Pivot Table'!AG$362</f>
        <v>0</v>
      </c>
      <c r="G565" s="138">
        <f t="shared" ref="G565" si="1153">IF(F565&gt;0,RANK(F565,(F$550:F$568)),0)</f>
        <v>0</v>
      </c>
      <c r="H565" s="191">
        <f>'Averages Pivot Table'!AG$366</f>
        <v>0</v>
      </c>
      <c r="I565" s="138">
        <f t="shared" ref="I565" si="1154">IF(H565&gt;0,RANK(H565,(H$550:H$568)),0)</f>
        <v>0</v>
      </c>
      <c r="J565" s="191">
        <f>'Averages Pivot Table'!AG$370</f>
        <v>0</v>
      </c>
      <c r="K565" s="138">
        <f t="shared" ref="K565" si="1155">IF(J565&gt;0,RANK(J565,(J$550:J$568)),0)</f>
        <v>0</v>
      </c>
      <c r="L565" s="137">
        <f>'Averages Pivot Table'!AG$374</f>
        <v>35061.097998812351</v>
      </c>
      <c r="M565" s="138">
        <f t="shared" ref="M565" si="1156">IF(L565&gt;0,RANK(L565,(L$550:L$568)),0)</f>
        <v>3</v>
      </c>
      <c r="N565" s="191">
        <f>'Averages Pivot Table'!AG$378</f>
        <v>35061.097998812351</v>
      </c>
      <c r="O565" s="138">
        <f t="shared" ref="O565" si="1157">IF(N565&gt;0,RANK(N565,(N$550:N$568)),0)</f>
        <v>3</v>
      </c>
    </row>
    <row r="566" spans="1:15" s="109" customFormat="1" x14ac:dyDescent="0.25">
      <c r="A566" s="136" t="s">
        <v>208</v>
      </c>
      <c r="B566" s="191">
        <f>'Averages Pivot Table'!AG$383</f>
        <v>0</v>
      </c>
      <c r="C566" s="138">
        <f t="shared" si="1097"/>
        <v>0</v>
      </c>
      <c r="D566" s="191">
        <f>'Averages Pivot Table'!AG$387</f>
        <v>0</v>
      </c>
      <c r="E566" s="138">
        <f t="shared" si="1097"/>
        <v>0</v>
      </c>
      <c r="F566" s="191">
        <f>'Averages Pivot Table'!AG$391</f>
        <v>0</v>
      </c>
      <c r="G566" s="138">
        <f t="shared" ref="G566" si="1158">IF(F566&gt;0,RANK(F566,(F$550:F$568)),0)</f>
        <v>0</v>
      </c>
      <c r="H566" s="191">
        <f>'Averages Pivot Table'!AG$395</f>
        <v>0</v>
      </c>
      <c r="I566" s="138">
        <f t="shared" ref="I566" si="1159">IF(H566&gt;0,RANK(H566,(H$550:H$568)),0)</f>
        <v>0</v>
      </c>
      <c r="J566" s="191">
        <f>'Averages Pivot Table'!AG$399</f>
        <v>0</v>
      </c>
      <c r="K566" s="138">
        <f t="shared" ref="K566" si="1160">IF(J566&gt;0,RANK(J566,(J$550:J$568)),0)</f>
        <v>0</v>
      </c>
      <c r="L566" s="137">
        <f>'Averages Pivot Table'!AG$403</f>
        <v>0</v>
      </c>
      <c r="M566" s="138">
        <f t="shared" ref="M566" si="1161">IF(L566&gt;0,RANK(L566,(L$550:L$568)),0)</f>
        <v>0</v>
      </c>
      <c r="N566" s="191">
        <f>'Averages Pivot Table'!AG$407</f>
        <v>0</v>
      </c>
      <c r="O566" s="138">
        <f t="shared" ref="O566" si="1162">IF(N566&gt;0,RANK(N566,(N$550:N$568)),0)</f>
        <v>0</v>
      </c>
    </row>
    <row r="567" spans="1:15" s="109" customFormat="1" x14ac:dyDescent="0.25">
      <c r="A567" s="136" t="s">
        <v>209</v>
      </c>
      <c r="B567" s="191">
        <f>'Averages Pivot Table'!AG$412</f>
        <v>0</v>
      </c>
      <c r="C567" s="138">
        <f t="shared" si="1097"/>
        <v>0</v>
      </c>
      <c r="D567" s="191">
        <f>'Averages Pivot Table'!AG$416</f>
        <v>0</v>
      </c>
      <c r="E567" s="138">
        <f t="shared" si="1097"/>
        <v>0</v>
      </c>
      <c r="F567" s="191">
        <f>'Averages Pivot Table'!AG$420</f>
        <v>0</v>
      </c>
      <c r="G567" s="138">
        <f t="shared" ref="G567" si="1163">IF(F567&gt;0,RANK(F567,(F$550:F$568)),0)</f>
        <v>0</v>
      </c>
      <c r="H567" s="191">
        <f>'Averages Pivot Table'!AG$424</f>
        <v>0</v>
      </c>
      <c r="I567" s="138">
        <f t="shared" ref="I567" si="1164">IF(H567&gt;0,RANK(H567,(H$550:H$568)),0)</f>
        <v>0</v>
      </c>
      <c r="J567" s="191">
        <f>'Averages Pivot Table'!AG$428</f>
        <v>0</v>
      </c>
      <c r="K567" s="138">
        <f t="shared" ref="K567" si="1165">IF(J567&gt;0,RANK(J567,(J$550:J$568)),0)</f>
        <v>0</v>
      </c>
      <c r="L567" s="137">
        <f>'Averages Pivot Table'!AG$432</f>
        <v>0</v>
      </c>
      <c r="M567" s="138">
        <f t="shared" ref="M567" si="1166">IF(L567&gt;0,RANK(L567,(L$550:L$568)),0)</f>
        <v>0</v>
      </c>
      <c r="N567" s="191">
        <f>'Averages Pivot Table'!AG$436</f>
        <v>0</v>
      </c>
      <c r="O567" s="138">
        <f t="shared" ref="O567" si="1167">IF(N567&gt;0,RANK(N567,(N$550:N$568)),0)</f>
        <v>0</v>
      </c>
    </row>
    <row r="568" spans="1:15" s="109" customFormat="1" x14ac:dyDescent="0.25">
      <c r="A568" s="161" t="s">
        <v>210</v>
      </c>
      <c r="B568" s="192">
        <f>'Averages Pivot Table'!AG$441</f>
        <v>0</v>
      </c>
      <c r="C568" s="141">
        <f t="shared" si="1097"/>
        <v>0</v>
      </c>
      <c r="D568" s="192">
        <f>'Averages Pivot Table'!AG$445</f>
        <v>0</v>
      </c>
      <c r="E568" s="141">
        <f t="shared" si="1097"/>
        <v>0</v>
      </c>
      <c r="F568" s="192">
        <f>'Averages Pivot Table'!AG$449</f>
        <v>0</v>
      </c>
      <c r="G568" s="141">
        <f t="shared" ref="G568" si="1168">IF(F568&gt;0,RANK(F568,(F$550:F$568)),0)</f>
        <v>0</v>
      </c>
      <c r="H568" s="192">
        <f>'Averages Pivot Table'!AG$453</f>
        <v>0</v>
      </c>
      <c r="I568" s="141">
        <f t="shared" ref="I568" si="1169">IF(H568&gt;0,RANK(H568,(H$550:H$568)),0)</f>
        <v>0</v>
      </c>
      <c r="J568" s="192">
        <f>'Averages Pivot Table'!AG$457</f>
        <v>0</v>
      </c>
      <c r="K568" s="141">
        <f t="shared" ref="K568" si="1170">IF(J568&gt;0,RANK(J568,(J$550:J$568)),0)</f>
        <v>0</v>
      </c>
      <c r="L568" s="140">
        <f>'Averages Pivot Table'!AG$461</f>
        <v>0</v>
      </c>
      <c r="M568" s="141">
        <f t="shared" ref="M568" si="1171">IF(L568&gt;0,RANK(L568,(L$550:L$568)),0)</f>
        <v>0</v>
      </c>
      <c r="N568" s="192">
        <f>'Averages Pivot Table'!AG$465</f>
        <v>0</v>
      </c>
      <c r="O568" s="141">
        <f t="shared" ref="O568" si="1172">IF(N568&gt;0,RANK(N568,(N$550:N$568)),0)</f>
        <v>0</v>
      </c>
    </row>
    <row r="569" spans="1:15" s="109" customFormat="1" ht="30" customHeight="1" x14ac:dyDescent="0.25">
      <c r="A569" s="723" t="s">
        <v>187</v>
      </c>
      <c r="B569" s="723"/>
      <c r="C569" s="723"/>
      <c r="D569" s="723"/>
      <c r="E569" s="723"/>
      <c r="F569" s="723"/>
      <c r="G569" s="723"/>
      <c r="H569" s="723"/>
      <c r="I569" s="723"/>
      <c r="J569" s="723"/>
      <c r="K569" s="723"/>
      <c r="L569" s="723"/>
      <c r="M569" s="723"/>
      <c r="N569" s="723"/>
      <c r="O569" s="723"/>
    </row>
    <row r="570" spans="1:15" s="109" customFormat="1" x14ac:dyDescent="0.25">
      <c r="O570" s="102" t="s">
        <v>1124</v>
      </c>
    </row>
    <row r="571" spans="1:15" s="109" customFormat="1" ht="18" x14ac:dyDescent="0.25">
      <c r="A571" s="710" t="s">
        <v>253</v>
      </c>
      <c r="B571" s="710"/>
      <c r="C571" s="710"/>
      <c r="D571" s="710"/>
      <c r="E571" s="710"/>
      <c r="F571" s="710"/>
      <c r="G571" s="710"/>
      <c r="H571" s="710"/>
      <c r="I571" s="710"/>
      <c r="J571" s="710"/>
      <c r="K571" s="710"/>
      <c r="L571" s="710"/>
      <c r="M571" s="710"/>
      <c r="N571" s="710"/>
      <c r="O571" s="710"/>
    </row>
    <row r="572" spans="1:15" s="109" customFormat="1" x14ac:dyDescent="0.25">
      <c r="A572" s="180"/>
      <c r="B572" s="87"/>
      <c r="C572" s="87"/>
      <c r="D572" s="87"/>
      <c r="E572" s="87"/>
      <c r="F572" s="87"/>
      <c r="G572" s="87"/>
      <c r="H572" s="87"/>
      <c r="I572" s="87"/>
      <c r="J572" s="87"/>
      <c r="K572" s="87"/>
      <c r="L572" s="87"/>
      <c r="M572" s="87"/>
      <c r="N572" s="87"/>
      <c r="O572" s="87"/>
    </row>
    <row r="573" spans="1:15" s="109" customFormat="1" x14ac:dyDescent="0.25">
      <c r="A573" s="707" t="s">
        <v>218</v>
      </c>
      <c r="B573" s="707"/>
      <c r="C573" s="707"/>
      <c r="D573" s="707"/>
      <c r="E573" s="707"/>
      <c r="F573" s="707"/>
      <c r="G573" s="707"/>
      <c r="H573" s="707"/>
      <c r="I573" s="707"/>
      <c r="J573" s="707"/>
      <c r="K573" s="707"/>
      <c r="L573" s="707"/>
      <c r="M573" s="707"/>
      <c r="N573" s="707"/>
      <c r="O573" s="707"/>
    </row>
    <row r="574" spans="1:15" s="109" customFormat="1" x14ac:dyDescent="0.25">
      <c r="A574" s="707" t="s">
        <v>252</v>
      </c>
      <c r="B574" s="707"/>
      <c r="C574" s="707"/>
      <c r="D574" s="707"/>
      <c r="E574" s="707"/>
      <c r="F574" s="707"/>
      <c r="G574" s="707"/>
      <c r="H574" s="707"/>
      <c r="I574" s="707"/>
      <c r="J574" s="707"/>
      <c r="K574" s="707"/>
      <c r="L574" s="707"/>
      <c r="M574" s="707"/>
      <c r="N574" s="707"/>
      <c r="O574" s="707"/>
    </row>
    <row r="575" spans="1:15" s="109" customFormat="1" x14ac:dyDescent="0.25">
      <c r="A575" s="136"/>
      <c r="B575" s="87"/>
      <c r="C575" s="87"/>
      <c r="D575" s="87"/>
      <c r="E575" s="87"/>
      <c r="F575" s="87"/>
      <c r="G575" s="87"/>
      <c r="H575" s="87"/>
      <c r="I575" s="87"/>
      <c r="J575" s="87"/>
      <c r="K575" s="87"/>
      <c r="L575" s="87"/>
      <c r="M575" s="87"/>
      <c r="N575" s="87"/>
      <c r="O575" s="87"/>
    </row>
    <row r="576" spans="1:15" s="109" customFormat="1" x14ac:dyDescent="0.25">
      <c r="A576" s="114"/>
      <c r="B576" s="182" t="s">
        <v>3</v>
      </c>
      <c r="C576" s="183"/>
      <c r="D576" s="184" t="s">
        <v>4</v>
      </c>
      <c r="E576" s="185"/>
      <c r="F576" s="184" t="s">
        <v>5</v>
      </c>
      <c r="G576" s="185"/>
      <c r="H576" s="182" t="s">
        <v>6</v>
      </c>
      <c r="I576" s="183"/>
      <c r="J576" s="184" t="s">
        <v>219</v>
      </c>
      <c r="K576" s="185"/>
      <c r="L576" s="183" t="s">
        <v>23</v>
      </c>
      <c r="M576" s="183"/>
      <c r="N576" s="183" t="s">
        <v>220</v>
      </c>
      <c r="O576" s="183"/>
    </row>
    <row r="577" spans="1:19" x14ac:dyDescent="0.25">
      <c r="A577" s="202"/>
      <c r="B577" s="116" t="s">
        <v>193</v>
      </c>
      <c r="C577" s="115" t="s">
        <v>170</v>
      </c>
      <c r="D577" s="116" t="s">
        <v>193</v>
      </c>
      <c r="E577" s="115" t="s">
        <v>170</v>
      </c>
      <c r="F577" s="116" t="s">
        <v>193</v>
      </c>
      <c r="G577" s="115" t="s">
        <v>170</v>
      </c>
      <c r="H577" s="116" t="s">
        <v>193</v>
      </c>
      <c r="I577" s="115" t="s">
        <v>170</v>
      </c>
      <c r="J577" s="116" t="s">
        <v>193</v>
      </c>
      <c r="K577" s="115" t="s">
        <v>170</v>
      </c>
      <c r="L577" s="116" t="s">
        <v>193</v>
      </c>
      <c r="M577" s="115" t="s">
        <v>170</v>
      </c>
      <c r="N577" s="116" t="s">
        <v>193</v>
      </c>
      <c r="O577" s="115" t="s">
        <v>170</v>
      </c>
    </row>
    <row r="578" spans="1:19" s="127" customFormat="1" ht="18" customHeight="1" x14ac:dyDescent="0.25">
      <c r="A578" s="124" t="s">
        <v>194</v>
      </c>
      <c r="B578" s="151"/>
      <c r="C578" s="151"/>
      <c r="D578" s="151"/>
      <c r="E578" s="151"/>
      <c r="F578" s="151"/>
      <c r="G578" s="151"/>
      <c r="H578" s="151"/>
      <c r="I578" s="151"/>
      <c r="J578" s="151"/>
      <c r="K578" s="151"/>
      <c r="L578" s="151"/>
      <c r="M578" s="151"/>
      <c r="N578" s="151"/>
      <c r="O578" s="188"/>
      <c r="Q578" s="129"/>
      <c r="R578" s="129"/>
      <c r="S578" s="129"/>
    </row>
    <row r="579" spans="1:19" ht="12.95" customHeight="1" x14ac:dyDescent="0.25">
      <c r="A579" s="136"/>
      <c r="B579" s="131"/>
      <c r="C579" s="155"/>
      <c r="D579" s="131"/>
      <c r="E579" s="155"/>
      <c r="F579" s="131"/>
      <c r="G579" s="155"/>
      <c r="H579" s="131"/>
      <c r="I579" s="155"/>
      <c r="J579" s="131"/>
      <c r="K579" s="155"/>
      <c r="L579" s="131"/>
      <c r="M579" s="155"/>
      <c r="N579" s="131"/>
      <c r="O579" s="132"/>
    </row>
    <row r="580" spans="1:19" ht="12.95" customHeight="1" x14ac:dyDescent="0.25">
      <c r="A580" s="136" t="s">
        <v>195</v>
      </c>
      <c r="B580" s="167"/>
      <c r="C580" s="138"/>
      <c r="D580" s="167"/>
      <c r="E580" s="138"/>
      <c r="F580" s="167"/>
      <c r="G580" s="138"/>
      <c r="H580" s="167"/>
      <c r="I580" s="138"/>
      <c r="J580" s="167"/>
      <c r="K580" s="138"/>
      <c r="L580" s="167"/>
      <c r="M580" s="138"/>
      <c r="N580" s="167"/>
      <c r="O580" s="138"/>
    </row>
    <row r="581" spans="1:19" ht="12.95" customHeight="1" x14ac:dyDescent="0.25">
      <c r="A581" s="136" t="s">
        <v>196</v>
      </c>
      <c r="B581" s="167"/>
      <c r="C581" s="138"/>
      <c r="D581" s="167"/>
      <c r="E581" s="138"/>
      <c r="F581" s="167"/>
      <c r="G581" s="138"/>
      <c r="H581" s="167"/>
      <c r="I581" s="138"/>
      <c r="J581" s="167"/>
      <c r="K581" s="138"/>
      <c r="L581" s="167"/>
      <c r="M581" s="138"/>
      <c r="N581" s="167"/>
      <c r="O581" s="138"/>
    </row>
    <row r="582" spans="1:19" ht="12.95" customHeight="1" x14ac:dyDescent="0.25">
      <c r="A582" s="136" t="s">
        <v>197</v>
      </c>
      <c r="B582" s="167"/>
      <c r="C582" s="138"/>
      <c r="D582" s="167"/>
      <c r="E582" s="138"/>
      <c r="F582" s="167"/>
      <c r="G582" s="138"/>
      <c r="H582" s="167"/>
      <c r="I582" s="138"/>
      <c r="J582" s="167"/>
      <c r="K582" s="138"/>
      <c r="L582" s="167"/>
      <c r="M582" s="138"/>
      <c r="N582" s="167"/>
      <c r="O582" s="138"/>
    </row>
    <row r="583" spans="1:19" ht="12.95" customHeight="1" x14ac:dyDescent="0.25">
      <c r="A583" s="136" t="s">
        <v>198</v>
      </c>
      <c r="B583" s="167"/>
      <c r="C583" s="138"/>
      <c r="D583" s="167"/>
      <c r="E583" s="138"/>
      <c r="F583" s="167"/>
      <c r="G583" s="138"/>
      <c r="H583" s="167"/>
      <c r="I583" s="138"/>
      <c r="J583" s="167"/>
      <c r="K583" s="138"/>
      <c r="L583" s="167"/>
      <c r="M583" s="138"/>
      <c r="N583" s="167"/>
      <c r="O583" s="138"/>
    </row>
    <row r="584" spans="1:19" ht="12.95" customHeight="1" x14ac:dyDescent="0.25">
      <c r="A584" s="136"/>
      <c r="B584" s="167"/>
      <c r="C584" s="138"/>
      <c r="D584" s="167"/>
      <c r="E584" s="138"/>
      <c r="F584" s="167"/>
      <c r="G584" s="138"/>
      <c r="H584" s="167"/>
      <c r="I584" s="138"/>
      <c r="J584" s="167"/>
      <c r="K584" s="138"/>
      <c r="L584" s="167"/>
      <c r="M584" s="138"/>
      <c r="N584" s="167"/>
      <c r="O584" s="138"/>
    </row>
    <row r="585" spans="1:19" ht="12.95" customHeight="1" x14ac:dyDescent="0.25">
      <c r="A585" s="136" t="s">
        <v>199</v>
      </c>
      <c r="B585" s="167"/>
      <c r="C585" s="138"/>
      <c r="D585" s="167"/>
      <c r="E585" s="138"/>
      <c r="F585" s="167"/>
      <c r="G585" s="138"/>
      <c r="H585" s="167"/>
      <c r="I585" s="138"/>
      <c r="J585" s="167"/>
      <c r="K585" s="138"/>
      <c r="L585" s="167"/>
      <c r="M585" s="138"/>
      <c r="N585" s="167"/>
      <c r="O585" s="138"/>
    </row>
    <row r="586" spans="1:19" ht="12.95" customHeight="1" x14ac:dyDescent="0.25">
      <c r="A586" s="136" t="s">
        <v>200</v>
      </c>
      <c r="B586" s="167"/>
      <c r="C586" s="138"/>
      <c r="D586" s="167"/>
      <c r="E586" s="138"/>
      <c r="F586" s="167"/>
      <c r="G586" s="138"/>
      <c r="H586" s="167"/>
      <c r="I586" s="138"/>
      <c r="J586" s="167"/>
      <c r="K586" s="138"/>
      <c r="L586" s="167"/>
      <c r="M586" s="138"/>
      <c r="N586" s="167"/>
      <c r="O586" s="138"/>
    </row>
    <row r="587" spans="1:19" ht="12.95" customHeight="1" x14ac:dyDescent="0.25">
      <c r="A587" s="136" t="s">
        <v>201</v>
      </c>
      <c r="B587" s="167"/>
      <c r="C587" s="138"/>
      <c r="D587" s="167"/>
      <c r="E587" s="138"/>
      <c r="F587" s="167"/>
      <c r="G587" s="138"/>
      <c r="H587" s="167"/>
      <c r="I587" s="138"/>
      <c r="J587" s="167"/>
      <c r="K587" s="138"/>
      <c r="L587" s="167"/>
      <c r="M587" s="138"/>
      <c r="N587" s="167"/>
      <c r="O587" s="138"/>
    </row>
    <row r="588" spans="1:19" ht="12.95" customHeight="1" x14ac:dyDescent="0.25">
      <c r="A588" s="136" t="s">
        <v>202</v>
      </c>
      <c r="B588" s="167"/>
      <c r="C588" s="138"/>
      <c r="D588" s="167"/>
      <c r="E588" s="138"/>
      <c r="F588" s="167"/>
      <c r="G588" s="138"/>
      <c r="H588" s="167"/>
      <c r="I588" s="138"/>
      <c r="J588" s="167"/>
      <c r="K588" s="138"/>
      <c r="L588" s="167"/>
      <c r="M588" s="138"/>
      <c r="N588" s="167"/>
      <c r="O588" s="138"/>
    </row>
    <row r="589" spans="1:19" ht="12.95" customHeight="1" x14ac:dyDescent="0.25">
      <c r="A589" s="136"/>
      <c r="B589" s="167"/>
      <c r="C589" s="138"/>
      <c r="D589" s="167"/>
      <c r="E589" s="138"/>
      <c r="F589" s="167"/>
      <c r="G589" s="138"/>
      <c r="H589" s="167"/>
      <c r="I589" s="138"/>
      <c r="J589" s="167"/>
      <c r="K589" s="138"/>
      <c r="L589" s="167"/>
      <c r="M589" s="138"/>
      <c r="N589" s="167"/>
      <c r="O589" s="138"/>
    </row>
    <row r="590" spans="1:19" ht="12.95" customHeight="1" x14ac:dyDescent="0.25">
      <c r="A590" s="136" t="s">
        <v>203</v>
      </c>
      <c r="B590" s="167"/>
      <c r="C590" s="138"/>
      <c r="D590" s="167"/>
      <c r="E590" s="138"/>
      <c r="F590" s="167"/>
      <c r="G590" s="138"/>
      <c r="H590" s="167"/>
      <c r="I590" s="138"/>
      <c r="J590" s="167"/>
      <c r="K590" s="138"/>
      <c r="L590" s="167"/>
      <c r="M590" s="138"/>
      <c r="N590" s="167"/>
      <c r="O590" s="138"/>
    </row>
    <row r="591" spans="1:19" ht="12.95" customHeight="1" x14ac:dyDescent="0.25">
      <c r="A591" s="136" t="s">
        <v>204</v>
      </c>
      <c r="B591" s="167"/>
      <c r="C591" s="138"/>
      <c r="D591" s="167"/>
      <c r="E591" s="138"/>
      <c r="F591" s="167"/>
      <c r="G591" s="138"/>
      <c r="H591" s="167"/>
      <c r="I591" s="138"/>
      <c r="J591" s="167"/>
      <c r="K591" s="138"/>
      <c r="L591" s="167"/>
      <c r="M591" s="138"/>
      <c r="N591" s="167"/>
      <c r="O591" s="138"/>
    </row>
    <row r="592" spans="1:19" ht="12.95" customHeight="1" x14ac:dyDescent="0.25">
      <c r="A592" s="136" t="s">
        <v>205</v>
      </c>
      <c r="B592" s="167"/>
      <c r="C592" s="138"/>
      <c r="D592" s="167"/>
      <c r="E592" s="138"/>
      <c r="F592" s="167"/>
      <c r="G592" s="138"/>
      <c r="H592" s="167"/>
      <c r="I592" s="138"/>
      <c r="J592" s="167"/>
      <c r="K592" s="138"/>
      <c r="L592" s="167"/>
      <c r="M592" s="138"/>
      <c r="N592" s="167"/>
      <c r="O592" s="138"/>
    </row>
    <row r="593" spans="1:16" s="109" customFormat="1" x14ac:dyDescent="0.25">
      <c r="A593" s="136" t="s">
        <v>206</v>
      </c>
      <c r="B593" s="167"/>
      <c r="C593" s="138"/>
      <c r="D593" s="167"/>
      <c r="E593" s="138"/>
      <c r="F593" s="167"/>
      <c r="G593" s="138"/>
      <c r="H593" s="167"/>
      <c r="I593" s="138"/>
      <c r="J593" s="167"/>
      <c r="K593" s="138"/>
      <c r="L593" s="167"/>
      <c r="M593" s="138"/>
      <c r="N593" s="167"/>
      <c r="O593" s="138"/>
    </row>
    <row r="594" spans="1:16" s="109" customFormat="1" x14ac:dyDescent="0.25">
      <c r="A594" s="136"/>
      <c r="B594" s="167"/>
      <c r="C594" s="138"/>
      <c r="D594" s="167"/>
      <c r="E594" s="138"/>
      <c r="F594" s="167"/>
      <c r="G594" s="138"/>
      <c r="H594" s="167"/>
      <c r="I594" s="138"/>
      <c r="J594" s="167"/>
      <c r="K594" s="138"/>
      <c r="L594" s="167"/>
      <c r="M594" s="138"/>
      <c r="N594" s="167"/>
      <c r="O594" s="138"/>
    </row>
    <row r="595" spans="1:16" s="109" customFormat="1" x14ac:dyDescent="0.25">
      <c r="A595" s="136" t="s">
        <v>207</v>
      </c>
      <c r="B595" s="137"/>
      <c r="C595" s="138"/>
      <c r="D595" s="137"/>
      <c r="E595" s="138"/>
      <c r="F595" s="137"/>
      <c r="G595" s="138"/>
      <c r="H595" s="137"/>
      <c r="I595" s="138"/>
      <c r="J595" s="137"/>
      <c r="K595" s="138"/>
      <c r="L595" s="137"/>
      <c r="M595" s="138"/>
      <c r="N595" s="167"/>
      <c r="O595" s="138"/>
    </row>
    <row r="596" spans="1:16" s="109" customFormat="1" x14ac:dyDescent="0.25">
      <c r="A596" s="136" t="s">
        <v>208</v>
      </c>
      <c r="B596" s="137"/>
      <c r="C596" s="138"/>
      <c r="D596" s="137"/>
      <c r="E596" s="138"/>
      <c r="F596" s="137"/>
      <c r="G596" s="138"/>
      <c r="H596" s="137"/>
      <c r="I596" s="138"/>
      <c r="J596" s="137"/>
      <c r="K596" s="138"/>
      <c r="L596" s="137"/>
      <c r="M596" s="138"/>
      <c r="N596" s="167"/>
      <c r="O596" s="138"/>
    </row>
    <row r="597" spans="1:16" s="109" customFormat="1" x14ac:dyDescent="0.25">
      <c r="A597" s="136" t="s">
        <v>209</v>
      </c>
      <c r="B597" s="137"/>
      <c r="C597" s="138"/>
      <c r="D597" s="137"/>
      <c r="E597" s="138"/>
      <c r="F597" s="137"/>
      <c r="G597" s="138"/>
      <c r="H597" s="137"/>
      <c r="I597" s="138"/>
      <c r="J597" s="137"/>
      <c r="K597" s="138"/>
      <c r="L597" s="137"/>
      <c r="M597" s="138"/>
      <c r="N597" s="167"/>
      <c r="O597" s="138"/>
    </row>
    <row r="598" spans="1:16" s="109" customFormat="1" x14ac:dyDescent="0.25">
      <c r="A598" s="161" t="s">
        <v>210</v>
      </c>
      <c r="B598" s="140"/>
      <c r="C598" s="141"/>
      <c r="D598" s="140"/>
      <c r="E598" s="141"/>
      <c r="F598" s="140"/>
      <c r="G598" s="141"/>
      <c r="H598" s="140"/>
      <c r="I598" s="141"/>
      <c r="J598" s="140"/>
      <c r="K598" s="141"/>
      <c r="L598" s="140"/>
      <c r="M598" s="141"/>
      <c r="N598" s="140"/>
      <c r="O598" s="141"/>
    </row>
    <row r="599" spans="1:16" s="109" customFormat="1" x14ac:dyDescent="0.25">
      <c r="A599" s="716" t="s">
        <v>216</v>
      </c>
      <c r="B599" s="724"/>
      <c r="C599" s="724"/>
      <c r="D599" s="724"/>
      <c r="E599" s="724"/>
      <c r="F599" s="724"/>
      <c r="G599" s="724"/>
      <c r="H599" s="724"/>
      <c r="I599" s="724"/>
      <c r="J599" s="724"/>
      <c r="K599" s="724"/>
      <c r="L599" s="724"/>
      <c r="M599" s="724"/>
      <c r="N599" s="724"/>
      <c r="O599" s="724"/>
    </row>
    <row r="600" spans="1:16" s="109" customFormat="1" x14ac:dyDescent="0.25">
      <c r="O600" s="102" t="s">
        <v>254</v>
      </c>
      <c r="P600" s="203"/>
    </row>
  </sheetData>
  <mergeCells count="59">
    <mergeCell ref="A569:O569"/>
    <mergeCell ref="A571:O571"/>
    <mergeCell ref="A573:O573"/>
    <mergeCell ref="A574:O574"/>
    <mergeCell ref="A599:O599"/>
    <mergeCell ref="A544:O544"/>
    <mergeCell ref="A449:O449"/>
    <mergeCell ref="A453:O453"/>
    <mergeCell ref="A454:O454"/>
    <mergeCell ref="A479:O479"/>
    <mergeCell ref="A483:O483"/>
    <mergeCell ref="A484:O484"/>
    <mergeCell ref="A509:O509"/>
    <mergeCell ref="A513:O513"/>
    <mergeCell ref="A514:O514"/>
    <mergeCell ref="A539:O539"/>
    <mergeCell ref="A543:O543"/>
    <mergeCell ref="A424:O424"/>
    <mergeCell ref="A329:O329"/>
    <mergeCell ref="A333:O333"/>
    <mergeCell ref="A334:O334"/>
    <mergeCell ref="A359:O359"/>
    <mergeCell ref="A363:O363"/>
    <mergeCell ref="A364:O364"/>
    <mergeCell ref="A389:O389"/>
    <mergeCell ref="A393:O393"/>
    <mergeCell ref="A394:O394"/>
    <mergeCell ref="A419:O419"/>
    <mergeCell ref="A423:O423"/>
    <mergeCell ref="A304:O304"/>
    <mergeCell ref="A209:M209"/>
    <mergeCell ref="A213:M213"/>
    <mergeCell ref="A214:M214"/>
    <mergeCell ref="A239:M239"/>
    <mergeCell ref="A243:M243"/>
    <mergeCell ref="A244:M244"/>
    <mergeCell ref="A269:M269"/>
    <mergeCell ref="A273:M273"/>
    <mergeCell ref="A274:M274"/>
    <mergeCell ref="A299:M299"/>
    <mergeCell ref="A303:O303"/>
    <mergeCell ref="A184:M184"/>
    <mergeCell ref="A89:G89"/>
    <mergeCell ref="A93:M93"/>
    <mergeCell ref="A94:M94"/>
    <mergeCell ref="A119:M119"/>
    <mergeCell ref="A123:M123"/>
    <mergeCell ref="A124:M124"/>
    <mergeCell ref="A149:M149"/>
    <mergeCell ref="A153:M153"/>
    <mergeCell ref="A154:M154"/>
    <mergeCell ref="A179:M179"/>
    <mergeCell ref="A183:M183"/>
    <mergeCell ref="A64:I64"/>
    <mergeCell ref="A29:O29"/>
    <mergeCell ref="A33:M33"/>
    <mergeCell ref="A34:M34"/>
    <mergeCell ref="A59:K59"/>
    <mergeCell ref="A63:I63"/>
  </mergeCells>
  <pageMargins left="0.7" right="0.7" top="0.75" bottom="0.75" header="0.3" footer="0.3"/>
  <pageSetup scale="85" firstPageNumber="143" orientation="landscape" useFirstPageNumber="1" r:id="rId1"/>
  <headerFooter>
    <oddHeader>&amp;R&amp;"Arial,Regular"&amp;8SREB-State Data Exchange</oddHeader>
    <oddFooter>&amp;C&amp;"Arial,Regular"&amp;8C-&amp;P</oddFooter>
  </headerFooter>
  <rowBreaks count="18" manualBreakCount="18">
    <brk id="30" max="14" man="1"/>
    <brk id="60" max="14" man="1"/>
    <brk id="90" max="14" man="1"/>
    <brk id="120" max="14" man="1"/>
    <brk id="150" max="14" man="1"/>
    <brk id="180" max="14" man="1"/>
    <brk id="210" max="14" man="1"/>
    <brk id="240" max="14" man="1"/>
    <brk id="270" max="14" man="1"/>
    <brk id="300" max="14" man="1"/>
    <brk id="330" max="14" man="1"/>
    <brk id="360" max="14" man="1"/>
    <brk id="390" max="14" man="1"/>
    <brk id="420" max="14" man="1"/>
    <brk id="450" max="14" man="1"/>
    <brk id="480" max="14" man="1"/>
    <brk id="510" max="14" man="1"/>
    <brk id="540"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J129"/>
  <sheetViews>
    <sheetView showZeros="0" view="pageBreakPreview" topLeftCell="A25" zoomScaleNormal="100" zoomScaleSheetLayoutView="100" workbookViewId="0"/>
  </sheetViews>
  <sheetFormatPr defaultColWidth="8.875" defaultRowHeight="15" x14ac:dyDescent="0.2"/>
  <cols>
    <col min="1" max="1" width="5.375" style="100" customWidth="1"/>
    <col min="2" max="2" width="15.625" style="229" customWidth="1"/>
    <col min="3" max="3" width="6.25" style="100" bestFit="1" customWidth="1"/>
    <col min="4" max="4" width="5.875" style="100" customWidth="1"/>
    <col min="5" max="5" width="5.75" style="100" customWidth="1"/>
    <col min="6" max="6" width="5.25" style="100" customWidth="1"/>
    <col min="7" max="7" width="5.75" style="100" customWidth="1"/>
    <col min="8" max="8" width="5.5" style="100" customWidth="1"/>
    <col min="9" max="9" width="5.5" style="100" bestFit="1" customWidth="1"/>
    <col min="10" max="10" width="5.875" style="100" customWidth="1"/>
    <col min="11" max="11" width="5.625" style="100" customWidth="1"/>
    <col min="12" max="13" width="6.25" style="100" customWidth="1"/>
    <col min="14" max="16" width="5.875" style="100" customWidth="1"/>
    <col min="17" max="17" width="6.625" style="229" customWidth="1"/>
    <col min="18" max="18" width="3.625" style="230" customWidth="1"/>
    <col min="19" max="24" width="7.25" style="218" customWidth="1"/>
    <col min="25" max="25" width="7.625" style="218" customWidth="1"/>
    <col min="26" max="26" width="6.75" style="218" customWidth="1"/>
    <col min="27" max="27" width="7.25" style="218" customWidth="1"/>
    <col min="28" max="28" width="8.125" style="218" customWidth="1"/>
    <col min="29" max="30" width="6.5" style="218" customWidth="1"/>
    <col min="31" max="31" width="8.375" style="218" customWidth="1"/>
    <col min="32" max="32" width="6.75" style="218" customWidth="1"/>
    <col min="33" max="33" width="7.875" style="218" customWidth="1"/>
    <col min="34" max="34" width="6.375" style="231" customWidth="1"/>
    <col min="35" max="35" width="5.375" style="218" customWidth="1"/>
    <col min="36" max="36" width="8.875" style="218" customWidth="1"/>
    <col min="37" max="16384" width="8.875" style="100"/>
  </cols>
  <sheetData>
    <row r="1" spans="1:36" customFormat="1" ht="15.75" x14ac:dyDescent="0.25">
      <c r="A1" s="100"/>
      <c r="B1" s="206"/>
      <c r="C1" s="206"/>
      <c r="D1" s="206"/>
      <c r="E1" s="206"/>
      <c r="F1" s="206"/>
      <c r="G1" s="206"/>
      <c r="H1" s="206"/>
      <c r="I1" s="207"/>
      <c r="J1" s="206"/>
      <c r="K1" s="206"/>
      <c r="L1" s="206"/>
      <c r="M1" s="207"/>
      <c r="N1" s="208"/>
      <c r="O1" s="209"/>
      <c r="P1" s="210"/>
      <c r="Q1" s="210"/>
    </row>
    <row r="2" spans="1:36" customFormat="1" ht="15.75" x14ac:dyDescent="0.25">
      <c r="A2" s="100"/>
      <c r="B2" s="206"/>
      <c r="C2" s="206"/>
      <c r="D2" s="206"/>
      <c r="E2" s="206"/>
      <c r="F2" s="206"/>
      <c r="G2" s="206"/>
      <c r="H2" s="206"/>
      <c r="I2" s="207"/>
      <c r="J2" s="206"/>
      <c r="K2" s="206"/>
      <c r="L2" s="206"/>
      <c r="M2" s="207"/>
      <c r="N2" s="208"/>
      <c r="O2" s="209"/>
      <c r="P2" s="210"/>
      <c r="Q2" s="210"/>
    </row>
    <row r="3" spans="1:36" ht="18" x14ac:dyDescent="0.25">
      <c r="A3" s="211" t="s">
        <v>255</v>
      </c>
      <c r="B3" s="212"/>
      <c r="C3" s="213"/>
      <c r="D3" s="213"/>
      <c r="E3" s="213"/>
      <c r="F3" s="213"/>
      <c r="G3" s="213"/>
      <c r="H3" s="213"/>
      <c r="I3" s="213"/>
      <c r="J3" s="213"/>
      <c r="K3" s="213"/>
      <c r="L3" s="213"/>
      <c r="M3" s="213"/>
      <c r="N3" s="213"/>
      <c r="O3" s="213"/>
      <c r="P3" s="213"/>
      <c r="Q3" s="214"/>
      <c r="R3" s="215" t="s">
        <v>7</v>
      </c>
      <c r="S3" s="216"/>
      <c r="T3" s="216"/>
      <c r="U3" s="216"/>
      <c r="V3" s="216"/>
      <c r="W3" s="216"/>
      <c r="X3" s="216"/>
      <c r="Y3" s="216"/>
      <c r="Z3" s="216"/>
      <c r="AA3" s="216"/>
      <c r="AB3" s="216"/>
      <c r="AC3" s="216"/>
      <c r="AD3" s="216"/>
      <c r="AE3" s="216"/>
      <c r="AF3" s="216"/>
      <c r="AG3" s="216"/>
      <c r="AH3" s="217"/>
    </row>
    <row r="4" spans="1:36" ht="18" x14ac:dyDescent="0.25">
      <c r="A4" s="219" t="s">
        <v>256</v>
      </c>
      <c r="B4" s="212"/>
      <c r="C4" s="213"/>
      <c r="D4" s="213"/>
      <c r="E4" s="213"/>
      <c r="F4" s="213"/>
      <c r="G4" s="213"/>
      <c r="H4" s="213"/>
      <c r="I4" s="213"/>
      <c r="J4" s="213"/>
      <c r="K4" s="213"/>
      <c r="L4" s="213"/>
      <c r="M4" s="213"/>
      <c r="N4" s="213"/>
      <c r="O4" s="213"/>
      <c r="P4" s="213"/>
      <c r="Q4" s="214"/>
      <c r="R4" s="215" t="s">
        <v>7</v>
      </c>
      <c r="S4" s="216"/>
      <c r="T4" s="216"/>
      <c r="U4" s="216"/>
      <c r="V4" s="216"/>
      <c r="W4" s="216"/>
      <c r="X4" s="216"/>
      <c r="Y4" s="216"/>
      <c r="Z4" s="216"/>
      <c r="AA4" s="216"/>
      <c r="AB4" s="216"/>
      <c r="AC4" s="216"/>
      <c r="AD4" s="216"/>
      <c r="AE4" s="216"/>
      <c r="AF4" s="216"/>
      <c r="AG4" s="216"/>
      <c r="AH4" s="217"/>
    </row>
    <row r="5" spans="1:36" s="226" customFormat="1" ht="18.75" customHeight="1" x14ac:dyDescent="0.3">
      <c r="A5" s="219" t="s">
        <v>290</v>
      </c>
      <c r="B5" s="220"/>
      <c r="C5" s="221"/>
      <c r="D5" s="221"/>
      <c r="E5" s="221"/>
      <c r="F5" s="221"/>
      <c r="G5" s="221"/>
      <c r="H5" s="221"/>
      <c r="I5" s="221"/>
      <c r="J5" s="221"/>
      <c r="K5" s="221"/>
      <c r="L5" s="221"/>
      <c r="M5" s="221"/>
      <c r="N5" s="221"/>
      <c r="O5" s="221"/>
      <c r="P5" s="221"/>
      <c r="Q5" s="220"/>
      <c r="R5" s="222" t="s">
        <v>7</v>
      </c>
      <c r="S5" s="223"/>
      <c r="T5" s="223"/>
      <c r="U5" s="223"/>
      <c r="V5" s="223"/>
      <c r="W5" s="223"/>
      <c r="X5" s="223"/>
      <c r="Y5" s="223"/>
      <c r="Z5" s="223"/>
      <c r="AA5" s="223"/>
      <c r="AB5" s="223"/>
      <c r="AC5" s="223"/>
      <c r="AD5" s="223"/>
      <c r="AE5" s="223"/>
      <c r="AF5" s="223"/>
      <c r="AG5" s="223"/>
      <c r="AH5" s="224"/>
      <c r="AI5" s="225"/>
      <c r="AJ5" s="225"/>
    </row>
    <row r="6" spans="1:36" ht="15.75" customHeight="1" x14ac:dyDescent="0.2">
      <c r="A6" s="228"/>
      <c r="R6" s="230" t="s">
        <v>7</v>
      </c>
    </row>
    <row r="7" spans="1:36" x14ac:dyDescent="0.2">
      <c r="A7" s="687"/>
      <c r="B7" s="232"/>
      <c r="C7" s="233" t="s">
        <v>259</v>
      </c>
      <c r="D7" s="234"/>
      <c r="E7" s="234"/>
      <c r="F7" s="234"/>
      <c r="G7" s="234"/>
      <c r="H7" s="234"/>
      <c r="I7" s="234"/>
      <c r="J7" s="234"/>
      <c r="K7" s="234"/>
      <c r="L7" s="234"/>
      <c r="M7" s="234"/>
      <c r="N7" s="234"/>
      <c r="O7" s="234"/>
      <c r="P7" s="234"/>
      <c r="Q7" s="682"/>
      <c r="R7" s="235"/>
      <c r="S7" s="233" t="s">
        <v>260</v>
      </c>
      <c r="T7" s="236"/>
      <c r="U7" s="236"/>
      <c r="V7" s="236"/>
      <c r="W7" s="236"/>
      <c r="X7" s="236"/>
      <c r="Y7" s="236"/>
      <c r="Z7" s="236"/>
      <c r="AA7" s="236"/>
      <c r="AB7" s="236"/>
      <c r="AC7" s="236"/>
      <c r="AD7" s="236"/>
      <c r="AE7" s="236"/>
      <c r="AF7" s="236"/>
      <c r="AG7" s="236"/>
      <c r="AH7" s="236"/>
    </row>
    <row r="8" spans="1:36" x14ac:dyDescent="0.2">
      <c r="A8" s="688"/>
      <c r="B8" s="237"/>
      <c r="C8" s="238" t="s">
        <v>261</v>
      </c>
      <c r="D8" s="239"/>
      <c r="E8" s="239"/>
      <c r="F8" s="239"/>
      <c r="G8" s="239"/>
      <c r="H8" s="239"/>
      <c r="I8" s="239"/>
      <c r="J8" s="240" t="s">
        <v>262</v>
      </c>
      <c r="K8" s="241"/>
      <c r="L8" s="241"/>
      <c r="M8" s="241"/>
      <c r="N8" s="242"/>
      <c r="O8" s="240" t="s">
        <v>263</v>
      </c>
      <c r="P8" s="241"/>
      <c r="Q8" s="683"/>
      <c r="S8" s="238" t="s">
        <v>261</v>
      </c>
      <c r="T8" s="243"/>
      <c r="U8" s="243"/>
      <c r="V8" s="243"/>
      <c r="W8" s="243"/>
      <c r="X8" s="243"/>
      <c r="Y8" s="243"/>
      <c r="Z8" s="244" t="s">
        <v>262</v>
      </c>
      <c r="AA8" s="245"/>
      <c r="AB8" s="245"/>
      <c r="AC8" s="245"/>
      <c r="AD8" s="245"/>
      <c r="AE8" s="246"/>
      <c r="AF8" s="244" t="s">
        <v>263</v>
      </c>
      <c r="AG8" s="245"/>
      <c r="AH8" s="243"/>
    </row>
    <row r="9" spans="1:36" ht="41.25" customHeight="1" x14ac:dyDescent="0.2">
      <c r="A9" s="689"/>
      <c r="B9" s="247"/>
      <c r="C9" s="248">
        <v>1</v>
      </c>
      <c r="D9" s="249">
        <v>2</v>
      </c>
      <c r="E9" s="249">
        <v>3</v>
      </c>
      <c r="F9" s="249">
        <v>4</v>
      </c>
      <c r="G9" s="249">
        <v>5</v>
      </c>
      <c r="H9" s="249">
        <v>6</v>
      </c>
      <c r="I9" s="250" t="s">
        <v>264</v>
      </c>
      <c r="J9" s="251" t="s">
        <v>265</v>
      </c>
      <c r="K9" s="249">
        <v>1</v>
      </c>
      <c r="L9" s="249">
        <v>2</v>
      </c>
      <c r="M9" s="249">
        <v>3</v>
      </c>
      <c r="N9" s="250" t="s">
        <v>266</v>
      </c>
      <c r="O9" s="251">
        <v>1</v>
      </c>
      <c r="P9" s="251">
        <v>2</v>
      </c>
      <c r="Q9" s="250" t="s">
        <v>169</v>
      </c>
      <c r="R9" s="252"/>
      <c r="S9" s="253">
        <v>1</v>
      </c>
      <c r="T9" s="254">
        <v>2</v>
      </c>
      <c r="U9" s="254">
        <v>3</v>
      </c>
      <c r="V9" s="254">
        <v>4</v>
      </c>
      <c r="W9" s="254">
        <v>5</v>
      </c>
      <c r="X9" s="254">
        <v>6</v>
      </c>
      <c r="Y9" s="255" t="s">
        <v>267</v>
      </c>
      <c r="Z9" s="256" t="s">
        <v>265</v>
      </c>
      <c r="AA9" s="254">
        <v>1</v>
      </c>
      <c r="AB9" s="254">
        <v>2</v>
      </c>
      <c r="AC9" s="254">
        <v>3</v>
      </c>
      <c r="AD9" s="256" t="s">
        <v>268</v>
      </c>
      <c r="AE9" s="255" t="s">
        <v>169</v>
      </c>
      <c r="AF9" s="256">
        <v>1</v>
      </c>
      <c r="AG9" s="256">
        <v>2</v>
      </c>
      <c r="AH9" s="257" t="s">
        <v>169</v>
      </c>
    </row>
    <row r="10" spans="1:36" x14ac:dyDescent="0.2">
      <c r="A10" s="692" t="s">
        <v>269</v>
      </c>
      <c r="B10" s="259" t="s">
        <v>3</v>
      </c>
      <c r="C10" s="260">
        <f t="shared" ref="C10:M10" si="0">S10/S$16</f>
        <v>0.31989569532942191</v>
      </c>
      <c r="D10" s="261">
        <f t="shared" si="0"/>
        <v>0.2458001768346596</v>
      </c>
      <c r="E10" s="261">
        <f t="shared" si="0"/>
        <v>0.24058986175115207</v>
      </c>
      <c r="F10" s="261">
        <f t="shared" si="0"/>
        <v>0.21853127430285524</v>
      </c>
      <c r="G10" s="261">
        <f t="shared" si="0"/>
        <v>0.20040941658137154</v>
      </c>
      <c r="H10" s="261">
        <f t="shared" si="0"/>
        <v>0.17790841584158415</v>
      </c>
      <c r="I10" s="260">
        <f t="shared" si="0"/>
        <v>0.27165977531970414</v>
      </c>
      <c r="J10" s="260">
        <f t="shared" si="0"/>
        <v>4.7834174860483657E-2</v>
      </c>
      <c r="K10" s="261">
        <f t="shared" si="0"/>
        <v>0.1582036582036582</v>
      </c>
      <c r="L10" s="261">
        <f t="shared" si="0"/>
        <v>0.1021361653029552</v>
      </c>
      <c r="M10" s="261">
        <f t="shared" si="0"/>
        <v>4.9351251158480075E-2</v>
      </c>
      <c r="N10" s="260">
        <f>AE10/AE$16</f>
        <v>0.12426680578128239</v>
      </c>
      <c r="O10" s="260">
        <f>AF10/AF$16</f>
        <v>1.5923566878980892E-2</v>
      </c>
      <c r="P10" s="261">
        <f>AG10/AG$16</f>
        <v>0</v>
      </c>
      <c r="Q10" s="684">
        <f>AH10/AH$16</f>
        <v>1.1015642211940957E-2</v>
      </c>
      <c r="R10" s="263"/>
      <c r="S10" s="264">
        <f>'New Counts Pivot Table'!B$132</f>
        <v>15212</v>
      </c>
      <c r="T10" s="265">
        <f>'New Counts Pivot Table'!C$132</f>
        <v>3058</v>
      </c>
      <c r="U10" s="265">
        <f>'New Counts Pivot Table'!D$132</f>
        <v>6526</v>
      </c>
      <c r="V10" s="265">
        <f>'New Counts Pivot Table'!E$132</f>
        <v>1967</v>
      </c>
      <c r="W10" s="265">
        <f>'New Counts Pivot Table'!F$132</f>
        <v>979</v>
      </c>
      <c r="X10" s="673">
        <f>'New Counts Pivot Table'!G$132</f>
        <v>575</v>
      </c>
      <c r="Y10" s="264">
        <f>'New Counts Pivot Table'!H$132</f>
        <v>28317</v>
      </c>
      <c r="Z10" s="264">
        <f>'New Counts Pivot Table'!I$132</f>
        <v>180</v>
      </c>
      <c r="AA10" s="265">
        <f>'New Counts Pivot Table'!J$132</f>
        <v>3477</v>
      </c>
      <c r="AB10" s="265">
        <f>'New Counts Pivot Table'!K$132</f>
        <v>1257</v>
      </c>
      <c r="AC10" s="265">
        <f>'New Counts Pivot Table'!L$132</f>
        <v>213</v>
      </c>
      <c r="AD10" s="265">
        <f>'New Counts Pivot Table'!M$132</f>
        <v>447</v>
      </c>
      <c r="AE10" s="264">
        <f>'New Counts Pivot Table'!N$132</f>
        <v>5574</v>
      </c>
      <c r="AF10" s="264">
        <f>'New Counts Pivot Table'!O$132</f>
        <v>50</v>
      </c>
      <c r="AG10" s="265">
        <f>'New Counts Pivot Table'!P$132</f>
        <v>0</v>
      </c>
      <c r="AH10" s="264">
        <f>'New Counts Pivot Table'!Q$132</f>
        <v>50</v>
      </c>
    </row>
    <row r="11" spans="1:36" x14ac:dyDescent="0.2">
      <c r="A11" s="690"/>
      <c r="B11" s="258" t="s">
        <v>4</v>
      </c>
      <c r="C11" s="266">
        <f t="shared" ref="C11:M16" si="1">S11/S$16</f>
        <v>0.27245389355035432</v>
      </c>
      <c r="D11" s="267">
        <f t="shared" si="1"/>
        <v>0.28824049513704686</v>
      </c>
      <c r="E11" s="267">
        <f t="shared" si="1"/>
        <v>0.26068202764976961</v>
      </c>
      <c r="F11" s="267">
        <f t="shared" si="1"/>
        <v>0.26208199088990114</v>
      </c>
      <c r="G11" s="267">
        <f t="shared" si="1"/>
        <v>0.26264073694984647</v>
      </c>
      <c r="H11" s="267">
        <f t="shared" si="1"/>
        <v>0.26051980198019803</v>
      </c>
      <c r="I11" s="266">
        <f t="shared" si="1"/>
        <v>0.26954920037990349</v>
      </c>
      <c r="J11" s="266">
        <f t="shared" si="1"/>
        <v>5.5275046505447782E-2</v>
      </c>
      <c r="K11" s="267">
        <f t="shared" si="1"/>
        <v>9.8052598052598056E-2</v>
      </c>
      <c r="L11" s="267">
        <f t="shared" si="1"/>
        <v>9.9373532351244395E-2</v>
      </c>
      <c r="M11" s="267">
        <f t="shared" si="1"/>
        <v>4.911955514365153E-2</v>
      </c>
      <c r="N11" s="266">
        <f t="shared" ref="N11:Q16" si="2">AE11/AE$16</f>
        <v>0.10072433235016755</v>
      </c>
      <c r="O11" s="266">
        <f t="shared" si="2"/>
        <v>1.6242038216560509E-2</v>
      </c>
      <c r="P11" s="267">
        <f t="shared" si="2"/>
        <v>0</v>
      </c>
      <c r="Q11" s="685">
        <f t="shared" si="2"/>
        <v>1.1235955056179775E-2</v>
      </c>
      <c r="R11" s="269"/>
      <c r="S11" s="270">
        <f>'New Counts Pivot Table'!B$133</f>
        <v>12956</v>
      </c>
      <c r="T11" s="271">
        <f>'New Counts Pivot Table'!C$133</f>
        <v>3586</v>
      </c>
      <c r="U11" s="271">
        <f>'New Counts Pivot Table'!D$133</f>
        <v>7071</v>
      </c>
      <c r="V11" s="271">
        <f>'New Counts Pivot Table'!E$133</f>
        <v>2359</v>
      </c>
      <c r="W11" s="271">
        <f>'New Counts Pivot Table'!F$133</f>
        <v>1283</v>
      </c>
      <c r="X11" s="674">
        <f>'New Counts Pivot Table'!G$133</f>
        <v>842</v>
      </c>
      <c r="Y11" s="270">
        <f>'New Counts Pivot Table'!H$133</f>
        <v>28097</v>
      </c>
      <c r="Z11" s="270">
        <f>'New Counts Pivot Table'!I$133</f>
        <v>208</v>
      </c>
      <c r="AA11" s="271">
        <f>'New Counts Pivot Table'!J$133</f>
        <v>2155</v>
      </c>
      <c r="AB11" s="271">
        <f>'New Counts Pivot Table'!K$133</f>
        <v>1223</v>
      </c>
      <c r="AC11" s="271">
        <f>'New Counts Pivot Table'!L$133</f>
        <v>212</v>
      </c>
      <c r="AD11" s="271">
        <f>'New Counts Pivot Table'!M$133</f>
        <v>720</v>
      </c>
      <c r="AE11" s="270">
        <f>'New Counts Pivot Table'!N$133</f>
        <v>4518</v>
      </c>
      <c r="AF11" s="270">
        <f>'New Counts Pivot Table'!O$133</f>
        <v>51</v>
      </c>
      <c r="AG11" s="271">
        <f>'New Counts Pivot Table'!P$133</f>
        <v>0</v>
      </c>
      <c r="AH11" s="270">
        <f>'New Counts Pivot Table'!Q$133</f>
        <v>51</v>
      </c>
    </row>
    <row r="12" spans="1:36" x14ac:dyDescent="0.2">
      <c r="A12" s="690"/>
      <c r="B12" s="258" t="s">
        <v>5</v>
      </c>
      <c r="C12" s="266">
        <f t="shared" si="1"/>
        <v>0.22221521249973714</v>
      </c>
      <c r="D12" s="267">
        <f t="shared" si="1"/>
        <v>0.25094445784100955</v>
      </c>
      <c r="E12" s="267">
        <f t="shared" si="1"/>
        <v>0.27399078341013827</v>
      </c>
      <c r="F12" s="267">
        <f t="shared" si="1"/>
        <v>0.32085323852905234</v>
      </c>
      <c r="G12" s="267">
        <f t="shared" si="1"/>
        <v>0.30890481064483111</v>
      </c>
      <c r="H12" s="267">
        <f t="shared" si="1"/>
        <v>0.36664603960396042</v>
      </c>
      <c r="I12" s="266">
        <f t="shared" si="1"/>
        <v>0.25617583007953032</v>
      </c>
      <c r="J12" s="266">
        <f t="shared" si="1"/>
        <v>7.8660643103906455E-2</v>
      </c>
      <c r="K12" s="267">
        <f t="shared" si="1"/>
        <v>8.0398580398580402E-2</v>
      </c>
      <c r="L12" s="267">
        <f t="shared" si="1"/>
        <v>9.5229582923678197E-2</v>
      </c>
      <c r="M12" s="267">
        <f t="shared" si="1"/>
        <v>7.854494902687674E-2</v>
      </c>
      <c r="N12" s="266">
        <f t="shared" si="2"/>
        <v>9.6198648537178605E-2</v>
      </c>
      <c r="O12" s="266">
        <f t="shared" si="2"/>
        <v>3.4713375796178343E-2</v>
      </c>
      <c r="P12" s="267">
        <f t="shared" si="2"/>
        <v>0</v>
      </c>
      <c r="Q12" s="685">
        <f t="shared" si="2"/>
        <v>2.4014100022031283E-2</v>
      </c>
      <c r="R12" s="269"/>
      <c r="S12" s="270">
        <f>'New Counts Pivot Table'!B$134</f>
        <v>10567</v>
      </c>
      <c r="T12" s="271">
        <f>'New Counts Pivot Table'!C$134</f>
        <v>3122</v>
      </c>
      <c r="U12" s="271">
        <f>'New Counts Pivot Table'!D$134</f>
        <v>7432</v>
      </c>
      <c r="V12" s="271">
        <f>'New Counts Pivot Table'!E$134</f>
        <v>2888</v>
      </c>
      <c r="W12" s="271">
        <f>'New Counts Pivot Table'!F$134</f>
        <v>1509</v>
      </c>
      <c r="X12" s="674">
        <f>'New Counts Pivot Table'!G$134</f>
        <v>1185</v>
      </c>
      <c r="Y12" s="270">
        <f>'New Counts Pivot Table'!H$134</f>
        <v>26703</v>
      </c>
      <c r="Z12" s="270">
        <f>'New Counts Pivot Table'!I$134</f>
        <v>296</v>
      </c>
      <c r="AA12" s="271">
        <f>'New Counts Pivot Table'!J$134</f>
        <v>1767</v>
      </c>
      <c r="AB12" s="271">
        <f>'New Counts Pivot Table'!K$134</f>
        <v>1172</v>
      </c>
      <c r="AC12" s="271">
        <f>'New Counts Pivot Table'!L$134</f>
        <v>339</v>
      </c>
      <c r="AD12" s="271">
        <f>'New Counts Pivot Table'!M$134</f>
        <v>741</v>
      </c>
      <c r="AE12" s="270">
        <f>'New Counts Pivot Table'!N$134</f>
        <v>4315</v>
      </c>
      <c r="AF12" s="270">
        <f>'New Counts Pivot Table'!O$134</f>
        <v>109</v>
      </c>
      <c r="AG12" s="271">
        <f>'New Counts Pivot Table'!P$134</f>
        <v>0</v>
      </c>
      <c r="AH12" s="270">
        <f>'New Counts Pivot Table'!Q$134</f>
        <v>109</v>
      </c>
    </row>
    <row r="13" spans="1:36" x14ac:dyDescent="0.2">
      <c r="A13" s="690"/>
      <c r="B13" s="258" t="s">
        <v>6</v>
      </c>
      <c r="C13" s="266">
        <f t="shared" si="1"/>
        <v>7.4653544466174587E-2</v>
      </c>
      <c r="D13" s="267">
        <f t="shared" si="1"/>
        <v>9.147174664416044E-2</v>
      </c>
      <c r="E13" s="267">
        <f t="shared" si="1"/>
        <v>0.10429493087557604</v>
      </c>
      <c r="F13" s="267">
        <f t="shared" si="1"/>
        <v>0.11243195200533274</v>
      </c>
      <c r="G13" s="267">
        <f t="shared" si="1"/>
        <v>0.12917093142272262</v>
      </c>
      <c r="H13" s="267">
        <f t="shared" si="1"/>
        <v>0.14727722772277227</v>
      </c>
      <c r="I13" s="266">
        <f t="shared" si="1"/>
        <v>9.2443182363268317E-2</v>
      </c>
      <c r="J13" s="266">
        <f t="shared" si="1"/>
        <v>0.15785277703959608</v>
      </c>
      <c r="K13" s="267">
        <f t="shared" si="1"/>
        <v>0.16134316134316135</v>
      </c>
      <c r="L13" s="267">
        <f t="shared" si="1"/>
        <v>0.22092938222651964</v>
      </c>
      <c r="M13" s="267">
        <f t="shared" si="1"/>
        <v>0.23609823911028729</v>
      </c>
      <c r="N13" s="266">
        <f t="shared" si="2"/>
        <v>0.18807225934174709</v>
      </c>
      <c r="O13" s="266">
        <f t="shared" si="2"/>
        <v>0.10159235668789809</v>
      </c>
      <c r="P13" s="267">
        <f t="shared" si="2"/>
        <v>0</v>
      </c>
      <c r="Q13" s="685">
        <f t="shared" si="2"/>
        <v>7.0279797312183298E-2</v>
      </c>
      <c r="R13" s="269"/>
      <c r="S13" s="270">
        <f>'New Counts Pivot Table'!B$135</f>
        <v>3550</v>
      </c>
      <c r="T13" s="271">
        <f>'New Counts Pivot Table'!C$135</f>
        <v>1138</v>
      </c>
      <c r="U13" s="271">
        <f>'New Counts Pivot Table'!D$135</f>
        <v>2829</v>
      </c>
      <c r="V13" s="271">
        <f>'New Counts Pivot Table'!E$135</f>
        <v>1012</v>
      </c>
      <c r="W13" s="271">
        <f>'New Counts Pivot Table'!F$135</f>
        <v>631</v>
      </c>
      <c r="X13" s="674">
        <f>'New Counts Pivot Table'!G$135</f>
        <v>476</v>
      </c>
      <c r="Y13" s="270">
        <f>'New Counts Pivot Table'!H$135</f>
        <v>9636</v>
      </c>
      <c r="Z13" s="270">
        <f>'New Counts Pivot Table'!I$135</f>
        <v>594</v>
      </c>
      <c r="AA13" s="271">
        <f>'New Counts Pivot Table'!J$135</f>
        <v>3546</v>
      </c>
      <c r="AB13" s="271">
        <f>'New Counts Pivot Table'!K$135</f>
        <v>2719</v>
      </c>
      <c r="AC13" s="271">
        <f>'New Counts Pivot Table'!L$135</f>
        <v>1019</v>
      </c>
      <c r="AD13" s="271">
        <f>'New Counts Pivot Table'!M$135</f>
        <v>558</v>
      </c>
      <c r="AE13" s="270">
        <f>'New Counts Pivot Table'!N$135</f>
        <v>8436</v>
      </c>
      <c r="AF13" s="270">
        <f>'New Counts Pivot Table'!O$135</f>
        <v>319</v>
      </c>
      <c r="AG13" s="271">
        <f>'New Counts Pivot Table'!P$135</f>
        <v>0</v>
      </c>
      <c r="AH13" s="270">
        <f>'New Counts Pivot Table'!Q$135</f>
        <v>319</v>
      </c>
    </row>
    <row r="14" spans="1:36" x14ac:dyDescent="0.2">
      <c r="A14" s="690"/>
      <c r="B14" s="258" t="s">
        <v>26</v>
      </c>
      <c r="C14" s="266">
        <f t="shared" si="1"/>
        <v>0.11078165415431203</v>
      </c>
      <c r="D14" s="267">
        <f t="shared" si="1"/>
        <v>0.12354312354312354</v>
      </c>
      <c r="E14" s="267">
        <f t="shared" si="1"/>
        <v>0.12044239631336405</v>
      </c>
      <c r="F14" s="267">
        <f t="shared" si="1"/>
        <v>8.6101544272858571E-2</v>
      </c>
      <c r="G14" s="267">
        <f t="shared" si="1"/>
        <v>9.8874104401228249E-2</v>
      </c>
      <c r="H14" s="267">
        <f t="shared" si="1"/>
        <v>4.7648514851485149E-2</v>
      </c>
      <c r="I14" s="266">
        <f t="shared" si="1"/>
        <v>0.11017201185759375</v>
      </c>
      <c r="J14" s="266">
        <f t="shared" si="1"/>
        <v>5.8463991496146691E-3</v>
      </c>
      <c r="K14" s="267">
        <f t="shared" si="1"/>
        <v>0.16607516607516606</v>
      </c>
      <c r="L14" s="267">
        <f t="shared" si="1"/>
        <v>0.18176499744050181</v>
      </c>
      <c r="M14" s="267">
        <f t="shared" si="1"/>
        <v>0.23772011121408712</v>
      </c>
      <c r="N14" s="266">
        <f t="shared" si="2"/>
        <v>0.15516630215962066</v>
      </c>
      <c r="O14" s="266">
        <f t="shared" si="2"/>
        <v>4.2038216560509552E-2</v>
      </c>
      <c r="P14" s="267">
        <f t="shared" si="2"/>
        <v>0</v>
      </c>
      <c r="Q14" s="685">
        <f t="shared" si="2"/>
        <v>2.9081295439524125E-2</v>
      </c>
      <c r="R14" s="269"/>
      <c r="S14" s="270">
        <f>'New Counts Pivot Table'!B$136</f>
        <v>5268</v>
      </c>
      <c r="T14" s="271">
        <f>'New Counts Pivot Table'!C$136</f>
        <v>1537</v>
      </c>
      <c r="U14" s="271">
        <f>'New Counts Pivot Table'!D$136</f>
        <v>3267</v>
      </c>
      <c r="V14" s="271">
        <f>'New Counts Pivot Table'!E$136</f>
        <v>775</v>
      </c>
      <c r="W14" s="271">
        <f>'New Counts Pivot Table'!F$136</f>
        <v>483</v>
      </c>
      <c r="X14" s="674">
        <f>'New Counts Pivot Table'!G$136</f>
        <v>154</v>
      </c>
      <c r="Y14" s="270">
        <f>'New Counts Pivot Table'!H$136</f>
        <v>11484</v>
      </c>
      <c r="Z14" s="270">
        <f>'New Counts Pivot Table'!I$136</f>
        <v>22</v>
      </c>
      <c r="AA14" s="271">
        <f>'New Counts Pivot Table'!J$136</f>
        <v>3650</v>
      </c>
      <c r="AB14" s="271">
        <f>'New Counts Pivot Table'!K$136</f>
        <v>2237</v>
      </c>
      <c r="AC14" s="271">
        <f>'New Counts Pivot Table'!L$136</f>
        <v>1026</v>
      </c>
      <c r="AD14" s="271">
        <f>'New Counts Pivot Table'!M$136</f>
        <v>25</v>
      </c>
      <c r="AE14" s="270">
        <f>'New Counts Pivot Table'!N$136</f>
        <v>6960</v>
      </c>
      <c r="AF14" s="270">
        <f>'New Counts Pivot Table'!O$136</f>
        <v>132</v>
      </c>
      <c r="AG14" s="271">
        <f>'New Counts Pivot Table'!P$136</f>
        <v>0</v>
      </c>
      <c r="AH14" s="270">
        <f>'New Counts Pivot Table'!Q$136</f>
        <v>132</v>
      </c>
    </row>
    <row r="15" spans="1:36" x14ac:dyDescent="0.2">
      <c r="A15" s="690"/>
      <c r="B15" s="258" t="s">
        <v>23</v>
      </c>
      <c r="C15" s="266">
        <f t="shared" si="1"/>
        <v>0</v>
      </c>
      <c r="D15" s="267">
        <f t="shared" si="1"/>
        <v>0</v>
      </c>
      <c r="E15" s="267">
        <f t="shared" si="1"/>
        <v>0</v>
      </c>
      <c r="F15" s="267">
        <f t="shared" si="1"/>
        <v>0</v>
      </c>
      <c r="G15" s="267">
        <f t="shared" si="1"/>
        <v>0</v>
      </c>
      <c r="H15" s="267">
        <f t="shared" si="1"/>
        <v>0</v>
      </c>
      <c r="I15" s="266">
        <f t="shared" si="1"/>
        <v>0</v>
      </c>
      <c r="J15" s="266">
        <f t="shared" si="1"/>
        <v>0.6545309593409514</v>
      </c>
      <c r="K15" s="267">
        <f t="shared" si="1"/>
        <v>0.33592683592683592</v>
      </c>
      <c r="L15" s="267">
        <f t="shared" si="1"/>
        <v>0.30056633975510072</v>
      </c>
      <c r="M15" s="267">
        <f t="shared" si="1"/>
        <v>0.34916589434661721</v>
      </c>
      <c r="N15" s="266">
        <f t="shared" si="2"/>
        <v>0.33557165183000376</v>
      </c>
      <c r="O15" s="266">
        <f t="shared" si="2"/>
        <v>0.7894904458598726</v>
      </c>
      <c r="P15" s="267">
        <f t="shared" si="2"/>
        <v>1</v>
      </c>
      <c r="Q15" s="685">
        <f t="shared" si="2"/>
        <v>0.85437320995814059</v>
      </c>
      <c r="R15" s="269"/>
      <c r="S15" s="270">
        <f>'New Counts Pivot Table'!B$137</f>
        <v>0</v>
      </c>
      <c r="T15" s="271">
        <f>'New Counts Pivot Table'!C$137</f>
        <v>0</v>
      </c>
      <c r="U15" s="271">
        <f>'New Counts Pivot Table'!D$137</f>
        <v>0</v>
      </c>
      <c r="V15" s="271">
        <f>'New Counts Pivot Table'!E$137</f>
        <v>0</v>
      </c>
      <c r="W15" s="271">
        <f>'New Counts Pivot Table'!F$137</f>
        <v>0</v>
      </c>
      <c r="X15" s="674">
        <f>'New Counts Pivot Table'!G$137</f>
        <v>0</v>
      </c>
      <c r="Y15" s="270">
        <f>'New Counts Pivot Table'!H$137</f>
        <v>0</v>
      </c>
      <c r="Z15" s="270">
        <f>'New Counts Pivot Table'!I$137</f>
        <v>2463</v>
      </c>
      <c r="AA15" s="271">
        <f>'New Counts Pivot Table'!J$137</f>
        <v>7383</v>
      </c>
      <c r="AB15" s="271">
        <f>'New Counts Pivot Table'!K$137</f>
        <v>3699.1</v>
      </c>
      <c r="AC15" s="271">
        <f>'New Counts Pivot Table'!L$137</f>
        <v>1507</v>
      </c>
      <c r="AD15" s="271">
        <f>'New Counts Pivot Table'!M$137</f>
        <v>0</v>
      </c>
      <c r="AE15" s="270">
        <f>'New Counts Pivot Table'!N$137</f>
        <v>15052.1</v>
      </c>
      <c r="AF15" s="270">
        <f>'New Counts Pivot Table'!O$137</f>
        <v>2479</v>
      </c>
      <c r="AG15" s="271">
        <f>'New Counts Pivot Table'!P$137</f>
        <v>1399</v>
      </c>
      <c r="AH15" s="270">
        <f>'New Counts Pivot Table'!Q$137</f>
        <v>3878</v>
      </c>
    </row>
    <row r="16" spans="1:36" s="280" customFormat="1" x14ac:dyDescent="0.25">
      <c r="A16" s="691" t="s">
        <v>7</v>
      </c>
      <c r="B16" s="272" t="s">
        <v>220</v>
      </c>
      <c r="C16" s="273">
        <f t="shared" si="1"/>
        <v>1</v>
      </c>
      <c r="D16" s="274">
        <f t="shared" si="1"/>
        <v>1</v>
      </c>
      <c r="E16" s="274">
        <f t="shared" si="1"/>
        <v>1</v>
      </c>
      <c r="F16" s="274">
        <f t="shared" si="1"/>
        <v>1</v>
      </c>
      <c r="G16" s="274">
        <f t="shared" si="1"/>
        <v>1</v>
      </c>
      <c r="H16" s="274">
        <f t="shared" si="1"/>
        <v>1</v>
      </c>
      <c r="I16" s="273">
        <f t="shared" si="1"/>
        <v>1</v>
      </c>
      <c r="J16" s="273">
        <f t="shared" si="1"/>
        <v>1</v>
      </c>
      <c r="K16" s="274">
        <f t="shared" si="1"/>
        <v>1</v>
      </c>
      <c r="L16" s="274">
        <f t="shared" si="1"/>
        <v>1</v>
      </c>
      <c r="M16" s="274">
        <f t="shared" si="1"/>
        <v>1</v>
      </c>
      <c r="N16" s="273">
        <f t="shared" si="2"/>
        <v>1</v>
      </c>
      <c r="O16" s="273">
        <f t="shared" si="2"/>
        <v>1</v>
      </c>
      <c r="P16" s="274">
        <f t="shared" si="2"/>
        <v>1</v>
      </c>
      <c r="Q16" s="686">
        <f t="shared" si="2"/>
        <v>1</v>
      </c>
      <c r="R16" s="276"/>
      <c r="S16" s="277">
        <f>'New Counts Pivot Table'!B$138</f>
        <v>47553</v>
      </c>
      <c r="T16" s="278">
        <f>'New Counts Pivot Table'!C$138</f>
        <v>12441</v>
      </c>
      <c r="U16" s="278">
        <f>'New Counts Pivot Table'!D$138</f>
        <v>27125</v>
      </c>
      <c r="V16" s="278">
        <f>'New Counts Pivot Table'!E$138</f>
        <v>9001</v>
      </c>
      <c r="W16" s="278">
        <f>'New Counts Pivot Table'!F$138</f>
        <v>4885</v>
      </c>
      <c r="X16" s="675">
        <f>'New Counts Pivot Table'!G$138</f>
        <v>3232</v>
      </c>
      <c r="Y16" s="277">
        <f>'New Counts Pivot Table'!H$138</f>
        <v>104237</v>
      </c>
      <c r="Z16" s="277">
        <f>'New Counts Pivot Table'!I$138</f>
        <v>3763</v>
      </c>
      <c r="AA16" s="278">
        <f>'New Counts Pivot Table'!J$138</f>
        <v>21978</v>
      </c>
      <c r="AB16" s="278">
        <f>'New Counts Pivot Table'!K$138</f>
        <v>12307.1</v>
      </c>
      <c r="AC16" s="278">
        <f>'New Counts Pivot Table'!L$138</f>
        <v>4316</v>
      </c>
      <c r="AD16" s="278">
        <f>'New Counts Pivot Table'!M$138</f>
        <v>2491</v>
      </c>
      <c r="AE16" s="277">
        <f>'New Counts Pivot Table'!N$138</f>
        <v>44855.1</v>
      </c>
      <c r="AF16" s="277">
        <f>'New Counts Pivot Table'!O$138</f>
        <v>3140</v>
      </c>
      <c r="AG16" s="278">
        <f>'New Counts Pivot Table'!P$138</f>
        <v>1399</v>
      </c>
      <c r="AH16" s="277">
        <f>'New Counts Pivot Table'!Q$138</f>
        <v>4539</v>
      </c>
      <c r="AI16" s="279"/>
      <c r="AJ16" s="279"/>
    </row>
    <row r="17" spans="1:36" x14ac:dyDescent="0.2">
      <c r="A17" s="692" t="s">
        <v>31</v>
      </c>
      <c r="B17" s="259" t="s">
        <v>3</v>
      </c>
      <c r="C17" s="260">
        <f t="shared" ref="C17:I17" si="3">S17/S$23</f>
        <v>0.32126696832579188</v>
      </c>
      <c r="D17" s="261">
        <f t="shared" si="3"/>
        <v>0.25792630676949441</v>
      </c>
      <c r="E17" s="261">
        <f t="shared" si="3"/>
        <v>0.22905759162303665</v>
      </c>
      <c r="F17" s="261">
        <f t="shared" si="3"/>
        <v>0.2655367231638418</v>
      </c>
      <c r="G17" s="261">
        <f t="shared" si="3"/>
        <v>0.22813688212927757</v>
      </c>
      <c r="H17" s="261">
        <f t="shared" si="3"/>
        <v>0.22727272727272727</v>
      </c>
      <c r="I17" s="260">
        <f t="shared" si="3"/>
        <v>0.274858528698464</v>
      </c>
      <c r="J17" s="260">
        <f>IFERROR(Z17/Z$23,0)</f>
        <v>0</v>
      </c>
      <c r="K17" s="261">
        <f>AA17/AA$23</f>
        <v>0</v>
      </c>
      <c r="L17" s="261">
        <f>AB17/AB$23</f>
        <v>0</v>
      </c>
      <c r="M17" s="261">
        <f>AC17/AC$23</f>
        <v>0</v>
      </c>
      <c r="N17" s="260">
        <f t="shared" ref="N17:Q23" si="4">AE17/AE$23</f>
        <v>0</v>
      </c>
      <c r="O17" s="260">
        <f t="shared" si="4"/>
        <v>0</v>
      </c>
      <c r="P17" s="261">
        <f t="shared" si="4"/>
        <v>0</v>
      </c>
      <c r="Q17" s="684">
        <f t="shared" si="4"/>
        <v>0</v>
      </c>
      <c r="R17" s="263"/>
      <c r="S17" s="264">
        <f>'New Counts Pivot Table'!B$5</f>
        <v>781</v>
      </c>
      <c r="T17" s="265">
        <f>'New Counts Pivot Table'!C$5</f>
        <v>301</v>
      </c>
      <c r="U17" s="265">
        <f>'New Counts Pivot Table'!D$5</f>
        <v>350</v>
      </c>
      <c r="V17" s="265">
        <f>'New Counts Pivot Table'!E$5</f>
        <v>188</v>
      </c>
      <c r="W17" s="265">
        <f>'New Counts Pivot Table'!F$5</f>
        <v>60</v>
      </c>
      <c r="X17" s="673">
        <f>'New Counts Pivot Table'!G$5</f>
        <v>20</v>
      </c>
      <c r="Y17" s="264">
        <f>'New Counts Pivot Table'!H$5</f>
        <v>1700</v>
      </c>
      <c r="Z17" s="264">
        <f>'New Counts Pivot Table'!I$5</f>
        <v>0</v>
      </c>
      <c r="AA17" s="265">
        <f>'New Counts Pivot Table'!J$5</f>
        <v>0</v>
      </c>
      <c r="AB17" s="265">
        <f>'New Counts Pivot Table'!K$5</f>
        <v>0</v>
      </c>
      <c r="AC17" s="265">
        <f>'New Counts Pivot Table'!L$5</f>
        <v>0</v>
      </c>
      <c r="AD17" s="265">
        <f>'New Counts Pivot Table'!M$5</f>
        <v>0</v>
      </c>
      <c r="AE17" s="264">
        <f>'New Counts Pivot Table'!N$5</f>
        <v>0</v>
      </c>
      <c r="AF17" s="264">
        <f>'New Counts Pivot Table'!O$5</f>
        <v>0</v>
      </c>
      <c r="AG17" s="265">
        <f>'New Counts Pivot Table'!P$5</f>
        <v>0</v>
      </c>
      <c r="AH17" s="264">
        <f>'New Counts Pivot Table'!Q$5</f>
        <v>0</v>
      </c>
    </row>
    <row r="18" spans="1:36" x14ac:dyDescent="0.2">
      <c r="A18" s="690"/>
      <c r="B18" s="258" t="s">
        <v>4</v>
      </c>
      <c r="C18" s="266">
        <f t="shared" ref="C18:M23" si="5">S18/S$23</f>
        <v>0.29041546688605513</v>
      </c>
      <c r="D18" s="267">
        <f t="shared" si="5"/>
        <v>0.29562982005141386</v>
      </c>
      <c r="E18" s="267">
        <f t="shared" si="5"/>
        <v>0.24410994764397906</v>
      </c>
      <c r="F18" s="267">
        <f t="shared" si="5"/>
        <v>0.25988700564971751</v>
      </c>
      <c r="G18" s="267">
        <f t="shared" si="5"/>
        <v>0.2585551330798479</v>
      </c>
      <c r="H18" s="267">
        <f t="shared" si="5"/>
        <v>0.29545454545454547</v>
      </c>
      <c r="I18" s="266">
        <f t="shared" si="5"/>
        <v>0.2751818916734034</v>
      </c>
      <c r="J18" s="266">
        <f t="shared" ref="J18:J23" si="6">IFERROR(Z18/Z$23,0)</f>
        <v>0</v>
      </c>
      <c r="K18" s="267">
        <f t="shared" si="5"/>
        <v>0</v>
      </c>
      <c r="L18" s="267">
        <f t="shared" si="5"/>
        <v>0</v>
      </c>
      <c r="M18" s="267">
        <f t="shared" si="5"/>
        <v>0</v>
      </c>
      <c r="N18" s="266">
        <f t="shared" si="4"/>
        <v>0</v>
      </c>
      <c r="O18" s="266">
        <f t="shared" si="4"/>
        <v>0</v>
      </c>
      <c r="P18" s="267">
        <f t="shared" si="4"/>
        <v>0</v>
      </c>
      <c r="Q18" s="685">
        <f t="shared" si="4"/>
        <v>0</v>
      </c>
      <c r="R18" s="269"/>
      <c r="S18" s="270">
        <f>'New Counts Pivot Table'!B$6</f>
        <v>706</v>
      </c>
      <c r="T18" s="271">
        <f>'New Counts Pivot Table'!C$6</f>
        <v>345</v>
      </c>
      <c r="U18" s="271">
        <f>'New Counts Pivot Table'!D$6</f>
        <v>373</v>
      </c>
      <c r="V18" s="271">
        <f>'New Counts Pivot Table'!E$6</f>
        <v>184</v>
      </c>
      <c r="W18" s="271">
        <f>'New Counts Pivot Table'!F$6</f>
        <v>68</v>
      </c>
      <c r="X18" s="674">
        <f>'New Counts Pivot Table'!G$6</f>
        <v>26</v>
      </c>
      <c r="Y18" s="270">
        <f>'New Counts Pivot Table'!H$6</f>
        <v>1702</v>
      </c>
      <c r="Z18" s="270">
        <f>'New Counts Pivot Table'!I$6</f>
        <v>0</v>
      </c>
      <c r="AA18" s="271">
        <f>'New Counts Pivot Table'!J$6</f>
        <v>0</v>
      </c>
      <c r="AB18" s="271">
        <f>'New Counts Pivot Table'!K$6</f>
        <v>0</v>
      </c>
      <c r="AC18" s="271">
        <f>'New Counts Pivot Table'!L$6</f>
        <v>0</v>
      </c>
      <c r="AD18" s="271">
        <f>'New Counts Pivot Table'!M$6</f>
        <v>0</v>
      </c>
      <c r="AE18" s="270">
        <f>'New Counts Pivot Table'!N$6</f>
        <v>0</v>
      </c>
      <c r="AF18" s="270">
        <f>'New Counts Pivot Table'!O$6</f>
        <v>0</v>
      </c>
      <c r="AG18" s="271">
        <f>'New Counts Pivot Table'!P$6</f>
        <v>0</v>
      </c>
      <c r="AH18" s="270">
        <f>'New Counts Pivot Table'!Q$6</f>
        <v>0</v>
      </c>
    </row>
    <row r="19" spans="1:36" x14ac:dyDescent="0.2">
      <c r="A19" s="690"/>
      <c r="B19" s="258" t="s">
        <v>5</v>
      </c>
      <c r="C19" s="266">
        <f t="shared" si="5"/>
        <v>0.2369395310571781</v>
      </c>
      <c r="D19" s="267">
        <f t="shared" si="5"/>
        <v>0.31705227077977721</v>
      </c>
      <c r="E19" s="267">
        <f t="shared" si="5"/>
        <v>0.30890052356020942</v>
      </c>
      <c r="F19" s="267">
        <f t="shared" si="5"/>
        <v>0.32203389830508472</v>
      </c>
      <c r="G19" s="267">
        <f t="shared" si="5"/>
        <v>0.4220532319391635</v>
      </c>
      <c r="H19" s="267">
        <f t="shared" si="5"/>
        <v>0.44318181818181818</v>
      </c>
      <c r="I19" s="266">
        <f t="shared" si="5"/>
        <v>0.29037995149555373</v>
      </c>
      <c r="J19" s="266">
        <f t="shared" si="6"/>
        <v>0</v>
      </c>
      <c r="K19" s="267">
        <f t="shared" si="5"/>
        <v>0</v>
      </c>
      <c r="L19" s="267">
        <f t="shared" si="5"/>
        <v>0</v>
      </c>
      <c r="M19" s="267">
        <f t="shared" si="5"/>
        <v>0</v>
      </c>
      <c r="N19" s="266">
        <f t="shared" si="4"/>
        <v>0</v>
      </c>
      <c r="O19" s="266">
        <f t="shared" si="4"/>
        <v>0</v>
      </c>
      <c r="P19" s="267">
        <f t="shared" si="4"/>
        <v>0</v>
      </c>
      <c r="Q19" s="685">
        <f t="shared" si="4"/>
        <v>0</v>
      </c>
      <c r="R19" s="269"/>
      <c r="S19" s="270">
        <f>'New Counts Pivot Table'!B$7</f>
        <v>576</v>
      </c>
      <c r="T19" s="271">
        <f>'New Counts Pivot Table'!C$7</f>
        <v>370</v>
      </c>
      <c r="U19" s="271">
        <f>'New Counts Pivot Table'!D$7</f>
        <v>472</v>
      </c>
      <c r="V19" s="271">
        <f>'New Counts Pivot Table'!E$7</f>
        <v>228</v>
      </c>
      <c r="W19" s="271">
        <f>'New Counts Pivot Table'!F$7</f>
        <v>111</v>
      </c>
      <c r="X19" s="674">
        <f>'New Counts Pivot Table'!G$7</f>
        <v>39</v>
      </c>
      <c r="Y19" s="270">
        <f>'New Counts Pivot Table'!H$7</f>
        <v>1796</v>
      </c>
      <c r="Z19" s="270">
        <f>'New Counts Pivot Table'!I$7</f>
        <v>0</v>
      </c>
      <c r="AA19" s="271">
        <f>'New Counts Pivot Table'!J$7</f>
        <v>0</v>
      </c>
      <c r="AB19" s="271">
        <f>'New Counts Pivot Table'!K$7</f>
        <v>0</v>
      </c>
      <c r="AC19" s="271">
        <f>'New Counts Pivot Table'!L$7</f>
        <v>0</v>
      </c>
      <c r="AD19" s="271">
        <f>'New Counts Pivot Table'!M$7</f>
        <v>0</v>
      </c>
      <c r="AE19" s="270">
        <f>'New Counts Pivot Table'!N$7</f>
        <v>0</v>
      </c>
      <c r="AF19" s="270">
        <f>'New Counts Pivot Table'!O$7</f>
        <v>0</v>
      </c>
      <c r="AG19" s="271">
        <f>'New Counts Pivot Table'!P$7</f>
        <v>0</v>
      </c>
      <c r="AH19" s="270">
        <f>'New Counts Pivot Table'!Q$7</f>
        <v>0</v>
      </c>
    </row>
    <row r="20" spans="1:36" x14ac:dyDescent="0.2">
      <c r="A20" s="690"/>
      <c r="B20" s="258" t="s">
        <v>6</v>
      </c>
      <c r="C20" s="266">
        <f t="shared" si="5"/>
        <v>0.14356232003290828</v>
      </c>
      <c r="D20" s="267">
        <f t="shared" si="5"/>
        <v>9.4258783204798635E-2</v>
      </c>
      <c r="E20" s="267">
        <f t="shared" si="5"/>
        <v>0.16753926701570682</v>
      </c>
      <c r="F20" s="267">
        <f t="shared" si="5"/>
        <v>0.14689265536723164</v>
      </c>
      <c r="G20" s="267">
        <f t="shared" si="5"/>
        <v>7.6045627376425853E-2</v>
      </c>
      <c r="H20" s="267">
        <f t="shared" si="5"/>
        <v>3.4090909090909088E-2</v>
      </c>
      <c r="I20" s="266">
        <f t="shared" si="5"/>
        <v>0.13613581244947454</v>
      </c>
      <c r="J20" s="266">
        <f t="shared" si="6"/>
        <v>0</v>
      </c>
      <c r="K20" s="267">
        <f t="shared" si="5"/>
        <v>0</v>
      </c>
      <c r="L20" s="267">
        <f t="shared" si="5"/>
        <v>0</v>
      </c>
      <c r="M20" s="267">
        <f t="shared" si="5"/>
        <v>0</v>
      </c>
      <c r="N20" s="266">
        <f t="shared" si="4"/>
        <v>0</v>
      </c>
      <c r="O20" s="266">
        <f t="shared" si="4"/>
        <v>0</v>
      </c>
      <c r="P20" s="267">
        <f t="shared" si="4"/>
        <v>0</v>
      </c>
      <c r="Q20" s="685">
        <f t="shared" si="4"/>
        <v>0</v>
      </c>
      <c r="R20" s="269"/>
      <c r="S20" s="270">
        <f>'New Counts Pivot Table'!B$8</f>
        <v>349</v>
      </c>
      <c r="T20" s="271">
        <f>'New Counts Pivot Table'!C$8</f>
        <v>110</v>
      </c>
      <c r="U20" s="271">
        <f>'New Counts Pivot Table'!D$8</f>
        <v>256</v>
      </c>
      <c r="V20" s="271">
        <f>'New Counts Pivot Table'!E$8</f>
        <v>104</v>
      </c>
      <c r="W20" s="271">
        <f>'New Counts Pivot Table'!F$8</f>
        <v>20</v>
      </c>
      <c r="X20" s="674">
        <f>'New Counts Pivot Table'!G$8</f>
        <v>3</v>
      </c>
      <c r="Y20" s="270">
        <f>'New Counts Pivot Table'!H$8</f>
        <v>842</v>
      </c>
      <c r="Z20" s="270">
        <f>'New Counts Pivot Table'!I$8</f>
        <v>0</v>
      </c>
      <c r="AA20" s="271">
        <f>'New Counts Pivot Table'!J$8</f>
        <v>0</v>
      </c>
      <c r="AB20" s="271">
        <f>'New Counts Pivot Table'!K$8</f>
        <v>0</v>
      </c>
      <c r="AC20" s="271">
        <f>'New Counts Pivot Table'!L$8</f>
        <v>0</v>
      </c>
      <c r="AD20" s="271">
        <f>'New Counts Pivot Table'!M$8</f>
        <v>0</v>
      </c>
      <c r="AE20" s="270">
        <f>'New Counts Pivot Table'!N$8</f>
        <v>0</v>
      </c>
      <c r="AF20" s="270">
        <f>'New Counts Pivot Table'!O$8</f>
        <v>0</v>
      </c>
      <c r="AG20" s="271">
        <f>'New Counts Pivot Table'!P$8</f>
        <v>0</v>
      </c>
      <c r="AH20" s="270">
        <f>'New Counts Pivot Table'!Q$8</f>
        <v>0</v>
      </c>
    </row>
    <row r="21" spans="1:36" x14ac:dyDescent="0.2">
      <c r="A21" s="690"/>
      <c r="B21" s="258" t="s">
        <v>26</v>
      </c>
      <c r="C21" s="266">
        <f t="shared" si="5"/>
        <v>7.8157136980666394E-3</v>
      </c>
      <c r="D21" s="267">
        <f t="shared" si="5"/>
        <v>3.5132819194515851E-2</v>
      </c>
      <c r="E21" s="267">
        <f t="shared" si="5"/>
        <v>5.039267015706806E-2</v>
      </c>
      <c r="F21" s="267">
        <f t="shared" si="5"/>
        <v>5.6497175141242938E-3</v>
      </c>
      <c r="G21" s="267">
        <f t="shared" si="5"/>
        <v>1.5209125475285171E-2</v>
      </c>
      <c r="H21" s="267">
        <f t="shared" si="5"/>
        <v>0</v>
      </c>
      <c r="I21" s="266">
        <f t="shared" si="5"/>
        <v>2.3443815683104285E-2</v>
      </c>
      <c r="J21" s="266">
        <f t="shared" si="6"/>
        <v>0</v>
      </c>
      <c r="K21" s="267">
        <f t="shared" si="5"/>
        <v>0</v>
      </c>
      <c r="L21" s="267">
        <f t="shared" si="5"/>
        <v>0</v>
      </c>
      <c r="M21" s="267">
        <f t="shared" si="5"/>
        <v>0</v>
      </c>
      <c r="N21" s="266">
        <f t="shared" si="4"/>
        <v>0</v>
      </c>
      <c r="O21" s="266">
        <f t="shared" si="4"/>
        <v>0</v>
      </c>
      <c r="P21" s="267">
        <f t="shared" si="4"/>
        <v>0</v>
      </c>
      <c r="Q21" s="685">
        <f t="shared" si="4"/>
        <v>0</v>
      </c>
      <c r="R21" s="269"/>
      <c r="S21" s="270">
        <f>'New Counts Pivot Table'!B$9</f>
        <v>19</v>
      </c>
      <c r="T21" s="271">
        <f>'New Counts Pivot Table'!C$9</f>
        <v>41</v>
      </c>
      <c r="U21" s="271">
        <f>'New Counts Pivot Table'!D$9</f>
        <v>77</v>
      </c>
      <c r="V21" s="271">
        <f>'New Counts Pivot Table'!E$9</f>
        <v>4</v>
      </c>
      <c r="W21" s="271">
        <f>'New Counts Pivot Table'!F$9</f>
        <v>4</v>
      </c>
      <c r="X21" s="674">
        <f>'New Counts Pivot Table'!G$9</f>
        <v>0</v>
      </c>
      <c r="Y21" s="270">
        <f>'New Counts Pivot Table'!H$9</f>
        <v>145</v>
      </c>
      <c r="Z21" s="270">
        <f>'New Counts Pivot Table'!I$9</f>
        <v>0</v>
      </c>
      <c r="AA21" s="271">
        <f>'New Counts Pivot Table'!J$9</f>
        <v>0</v>
      </c>
      <c r="AB21" s="271">
        <f>'New Counts Pivot Table'!K$9</f>
        <v>0</v>
      </c>
      <c r="AC21" s="271">
        <f>'New Counts Pivot Table'!L$9</f>
        <v>0</v>
      </c>
      <c r="AD21" s="271">
        <f>'New Counts Pivot Table'!M$9</f>
        <v>0</v>
      </c>
      <c r="AE21" s="270">
        <f>'New Counts Pivot Table'!N$9</f>
        <v>0</v>
      </c>
      <c r="AF21" s="270">
        <f>'New Counts Pivot Table'!O$9</f>
        <v>0</v>
      </c>
      <c r="AG21" s="271">
        <f>'New Counts Pivot Table'!P$9</f>
        <v>0</v>
      </c>
      <c r="AH21" s="270">
        <f>'New Counts Pivot Table'!Q$9</f>
        <v>0</v>
      </c>
    </row>
    <row r="22" spans="1:36" x14ac:dyDescent="0.2">
      <c r="A22" s="690"/>
      <c r="B22" s="258" t="s">
        <v>23</v>
      </c>
      <c r="C22" s="266">
        <f t="shared" si="5"/>
        <v>0</v>
      </c>
      <c r="D22" s="267">
        <f t="shared" si="5"/>
        <v>0</v>
      </c>
      <c r="E22" s="267">
        <f t="shared" si="5"/>
        <v>0</v>
      </c>
      <c r="F22" s="267">
        <f t="shared" si="5"/>
        <v>0</v>
      </c>
      <c r="G22" s="267">
        <f t="shared" si="5"/>
        <v>0</v>
      </c>
      <c r="H22" s="267">
        <f t="shared" si="5"/>
        <v>0</v>
      </c>
      <c r="I22" s="266">
        <f t="shared" si="5"/>
        <v>0</v>
      </c>
      <c r="J22" s="266">
        <f t="shared" si="6"/>
        <v>0</v>
      </c>
      <c r="K22" s="267">
        <f t="shared" si="5"/>
        <v>1</v>
      </c>
      <c r="L22" s="267">
        <f t="shared" si="5"/>
        <v>1</v>
      </c>
      <c r="M22" s="267">
        <f t="shared" si="5"/>
        <v>1</v>
      </c>
      <c r="N22" s="266">
        <f t="shared" si="4"/>
        <v>1</v>
      </c>
      <c r="O22" s="266">
        <f t="shared" si="4"/>
        <v>1</v>
      </c>
      <c r="P22" s="267">
        <f t="shared" si="4"/>
        <v>1</v>
      </c>
      <c r="Q22" s="685">
        <f t="shared" si="4"/>
        <v>1</v>
      </c>
      <c r="R22" s="269"/>
      <c r="S22" s="270">
        <f>'New Counts Pivot Table'!B$10</f>
        <v>0</v>
      </c>
      <c r="T22" s="271">
        <f>'New Counts Pivot Table'!C$10</f>
        <v>0</v>
      </c>
      <c r="U22" s="271">
        <f>'New Counts Pivot Table'!D$10</f>
        <v>0</v>
      </c>
      <c r="V22" s="271">
        <f>'New Counts Pivot Table'!E$10</f>
        <v>0</v>
      </c>
      <c r="W22" s="271">
        <f>'New Counts Pivot Table'!F$10</f>
        <v>0</v>
      </c>
      <c r="X22" s="674">
        <f>'New Counts Pivot Table'!G$10</f>
        <v>0</v>
      </c>
      <c r="Y22" s="270">
        <f>'New Counts Pivot Table'!H$10</f>
        <v>0</v>
      </c>
      <c r="Z22" s="270">
        <f>'New Counts Pivot Table'!I$10</f>
        <v>0</v>
      </c>
      <c r="AA22" s="271">
        <f>'New Counts Pivot Table'!J$10</f>
        <v>517</v>
      </c>
      <c r="AB22" s="271">
        <f>'New Counts Pivot Table'!K$10</f>
        <v>933</v>
      </c>
      <c r="AC22" s="271">
        <f>'New Counts Pivot Table'!L$10</f>
        <v>258</v>
      </c>
      <c r="AD22" s="271">
        <f>'New Counts Pivot Table'!M$10</f>
        <v>0</v>
      </c>
      <c r="AE22" s="270">
        <f>'New Counts Pivot Table'!N$10</f>
        <v>1708</v>
      </c>
      <c r="AF22" s="270">
        <f>'New Counts Pivot Table'!O$10</f>
        <v>64</v>
      </c>
      <c r="AG22" s="271">
        <f>'New Counts Pivot Table'!P$10</f>
        <v>89</v>
      </c>
      <c r="AH22" s="270">
        <f>'New Counts Pivot Table'!Q$10</f>
        <v>153</v>
      </c>
    </row>
    <row r="23" spans="1:36" s="280" customFormat="1" x14ac:dyDescent="0.25">
      <c r="A23" s="691"/>
      <c r="B23" s="272" t="s">
        <v>220</v>
      </c>
      <c r="C23" s="273">
        <f t="shared" si="5"/>
        <v>1</v>
      </c>
      <c r="D23" s="274">
        <f t="shared" si="5"/>
        <v>1</v>
      </c>
      <c r="E23" s="274">
        <f t="shared" si="5"/>
        <v>1</v>
      </c>
      <c r="F23" s="274">
        <f t="shared" si="5"/>
        <v>1</v>
      </c>
      <c r="G23" s="274">
        <f t="shared" si="5"/>
        <v>1</v>
      </c>
      <c r="H23" s="274">
        <f t="shared" si="5"/>
        <v>1</v>
      </c>
      <c r="I23" s="273">
        <f t="shared" si="5"/>
        <v>1</v>
      </c>
      <c r="J23" s="273">
        <f t="shared" si="6"/>
        <v>0</v>
      </c>
      <c r="K23" s="274">
        <f t="shared" si="5"/>
        <v>1</v>
      </c>
      <c r="L23" s="274">
        <f t="shared" si="5"/>
        <v>1</v>
      </c>
      <c r="M23" s="274">
        <f t="shared" si="5"/>
        <v>1</v>
      </c>
      <c r="N23" s="273">
        <f t="shared" si="4"/>
        <v>1</v>
      </c>
      <c r="O23" s="273">
        <f t="shared" si="4"/>
        <v>1</v>
      </c>
      <c r="P23" s="274">
        <f t="shared" si="4"/>
        <v>1</v>
      </c>
      <c r="Q23" s="686">
        <f t="shared" si="4"/>
        <v>1</v>
      </c>
      <c r="R23" s="276"/>
      <c r="S23" s="277">
        <f>'New Counts Pivot Table'!B$11</f>
        <v>2431</v>
      </c>
      <c r="T23" s="278">
        <f>'New Counts Pivot Table'!C$11</f>
        <v>1167</v>
      </c>
      <c r="U23" s="278">
        <f>'New Counts Pivot Table'!D$11</f>
        <v>1528</v>
      </c>
      <c r="V23" s="278">
        <f>'New Counts Pivot Table'!E$11</f>
        <v>708</v>
      </c>
      <c r="W23" s="278">
        <f>'New Counts Pivot Table'!F$11</f>
        <v>263</v>
      </c>
      <c r="X23" s="675">
        <f>'New Counts Pivot Table'!G$11</f>
        <v>88</v>
      </c>
      <c r="Y23" s="277">
        <f>'New Counts Pivot Table'!H$11</f>
        <v>6185</v>
      </c>
      <c r="Z23" s="277">
        <f>'New Counts Pivot Table'!I$11</f>
        <v>0</v>
      </c>
      <c r="AA23" s="278">
        <f>'New Counts Pivot Table'!J$11</f>
        <v>517</v>
      </c>
      <c r="AB23" s="278">
        <f>'New Counts Pivot Table'!K$11</f>
        <v>933</v>
      </c>
      <c r="AC23" s="278">
        <f>'New Counts Pivot Table'!L$11</f>
        <v>258</v>
      </c>
      <c r="AD23" s="278">
        <f>'New Counts Pivot Table'!M$11</f>
        <v>0</v>
      </c>
      <c r="AE23" s="277">
        <f>'New Counts Pivot Table'!N$11</f>
        <v>1708</v>
      </c>
      <c r="AF23" s="277">
        <f>'New Counts Pivot Table'!O$11</f>
        <v>64</v>
      </c>
      <c r="AG23" s="278">
        <f>'New Counts Pivot Table'!P$11</f>
        <v>89</v>
      </c>
      <c r="AH23" s="277">
        <f>'New Counts Pivot Table'!Q$11</f>
        <v>153</v>
      </c>
      <c r="AI23" s="279"/>
      <c r="AJ23" s="279"/>
    </row>
    <row r="24" spans="1:36" x14ac:dyDescent="0.2">
      <c r="A24" s="692" t="s">
        <v>32</v>
      </c>
      <c r="B24" s="259" t="s">
        <v>3</v>
      </c>
      <c r="C24" s="260">
        <f t="shared" ref="C24:C30" si="7">S24/S$30</f>
        <v>0.35019083969465647</v>
      </c>
      <c r="D24" s="261">
        <f>IFERROR(T24/T$30,0)</f>
        <v>0</v>
      </c>
      <c r="E24" s="261">
        <f t="shared" ref="E24:I30" si="8">U24/U$30</f>
        <v>0.21679064824654623</v>
      </c>
      <c r="F24" s="261">
        <f t="shared" si="8"/>
        <v>0.26190476190476192</v>
      </c>
      <c r="G24" s="261">
        <f t="shared" si="8"/>
        <v>0.12582781456953643</v>
      </c>
      <c r="H24" s="261">
        <f t="shared" si="8"/>
        <v>0.10194174757281553</v>
      </c>
      <c r="I24" s="260">
        <f t="shared" si="8"/>
        <v>0.24131627056672761</v>
      </c>
      <c r="J24" s="260">
        <f t="shared" ref="J24:J30" si="9">IFERROR(Z24/Z$30,0)</f>
        <v>0</v>
      </c>
      <c r="K24" s="261">
        <f t="shared" ref="K24:M30" si="10">AA24/AA$30</f>
        <v>0</v>
      </c>
      <c r="L24" s="681">
        <f t="shared" si="10"/>
        <v>4.4052863436123352E-3</v>
      </c>
      <c r="M24" s="261">
        <f t="shared" si="10"/>
        <v>1.698754246885617E-2</v>
      </c>
      <c r="N24" s="260">
        <f t="shared" ref="N24:N30" si="11">AE24/AE$30</f>
        <v>1.1188811188811189E-2</v>
      </c>
      <c r="O24" s="260">
        <f>IFERROR(AF24/AF$30,0)</f>
        <v>0</v>
      </c>
      <c r="P24" s="262">
        <f>IFERROR(AG24/AG$30,0)</f>
        <v>0</v>
      </c>
      <c r="Q24" s="684">
        <f>IFERROR(AH24/AH$30,0)</f>
        <v>0</v>
      </c>
      <c r="R24" s="263"/>
      <c r="S24" s="264">
        <f>'New Counts Pivot Table'!B$13</f>
        <v>367</v>
      </c>
      <c r="T24" s="265">
        <f>'New Counts Pivot Table'!C$13</f>
        <v>0</v>
      </c>
      <c r="U24" s="265">
        <f>'New Counts Pivot Table'!D$13</f>
        <v>408</v>
      </c>
      <c r="V24" s="265">
        <f>'New Counts Pivot Table'!E$13</f>
        <v>88</v>
      </c>
      <c r="W24" s="265">
        <f>'New Counts Pivot Table'!F$13</f>
        <v>19</v>
      </c>
      <c r="X24" s="673">
        <f>'New Counts Pivot Table'!G$13</f>
        <v>42</v>
      </c>
      <c r="Y24" s="264">
        <f>'New Counts Pivot Table'!H$13</f>
        <v>924</v>
      </c>
      <c r="Z24" s="264">
        <f>'New Counts Pivot Table'!I$13</f>
        <v>0</v>
      </c>
      <c r="AA24" s="265">
        <f>'New Counts Pivot Table'!J$13</f>
        <v>0</v>
      </c>
      <c r="AB24" s="265">
        <f>'New Counts Pivot Table'!K$13</f>
        <v>1</v>
      </c>
      <c r="AC24" s="265">
        <f>'New Counts Pivot Table'!L$13</f>
        <v>15</v>
      </c>
      <c r="AD24" s="265">
        <f>'New Counts Pivot Table'!M$13</f>
        <v>0</v>
      </c>
      <c r="AE24" s="264">
        <f>'New Counts Pivot Table'!N$13</f>
        <v>16</v>
      </c>
      <c r="AF24" s="264">
        <f>'New Counts Pivot Table'!O$13</f>
        <v>0</v>
      </c>
      <c r="AG24" s="265">
        <f>'New Counts Pivot Table'!P$13</f>
        <v>0</v>
      </c>
      <c r="AH24" s="264">
        <f>'New Counts Pivot Table'!Q$13</f>
        <v>0</v>
      </c>
    </row>
    <row r="25" spans="1:36" x14ac:dyDescent="0.2">
      <c r="A25" s="690"/>
      <c r="B25" s="258" t="s">
        <v>4</v>
      </c>
      <c r="C25" s="266">
        <f t="shared" si="7"/>
        <v>0.20801526717557253</v>
      </c>
      <c r="D25" s="267">
        <f t="shared" ref="D25:D30" si="12">IFERROR(T25/T$30,0)</f>
        <v>0</v>
      </c>
      <c r="E25" s="267">
        <f t="shared" si="8"/>
        <v>0.25185972369819343</v>
      </c>
      <c r="F25" s="267">
        <f t="shared" si="8"/>
        <v>0.21726190476190477</v>
      </c>
      <c r="G25" s="267">
        <f t="shared" si="8"/>
        <v>0.32450331125827814</v>
      </c>
      <c r="H25" s="267">
        <f t="shared" si="8"/>
        <v>0.22815533980582525</v>
      </c>
      <c r="I25" s="266">
        <f t="shared" si="8"/>
        <v>0.23713763384695744</v>
      </c>
      <c r="J25" s="266">
        <f t="shared" si="9"/>
        <v>0</v>
      </c>
      <c r="K25" s="267">
        <f t="shared" si="10"/>
        <v>0</v>
      </c>
      <c r="L25" s="267">
        <f t="shared" si="10"/>
        <v>4.405286343612335E-2</v>
      </c>
      <c r="M25" s="267">
        <f t="shared" si="10"/>
        <v>3.3975084937712344E-3</v>
      </c>
      <c r="N25" s="266">
        <f t="shared" si="11"/>
        <v>9.0909090909090905E-3</v>
      </c>
      <c r="O25" s="266">
        <f t="shared" ref="O25:Q30" si="13">IFERROR(AF25/AF$30,0)</f>
        <v>0</v>
      </c>
      <c r="P25" s="268">
        <f t="shared" si="13"/>
        <v>0</v>
      </c>
      <c r="Q25" s="685">
        <f t="shared" si="13"/>
        <v>0</v>
      </c>
      <c r="R25" s="269"/>
      <c r="S25" s="270">
        <f>'New Counts Pivot Table'!B$14</f>
        <v>218</v>
      </c>
      <c r="T25" s="271">
        <f>'New Counts Pivot Table'!C$14</f>
        <v>0</v>
      </c>
      <c r="U25" s="271">
        <f>'New Counts Pivot Table'!D$14</f>
        <v>474</v>
      </c>
      <c r="V25" s="271">
        <f>'New Counts Pivot Table'!E$14</f>
        <v>73</v>
      </c>
      <c r="W25" s="271">
        <f>'New Counts Pivot Table'!F$14</f>
        <v>49</v>
      </c>
      <c r="X25" s="674">
        <f>'New Counts Pivot Table'!G$14</f>
        <v>94</v>
      </c>
      <c r="Y25" s="270">
        <f>'New Counts Pivot Table'!H$14</f>
        <v>908</v>
      </c>
      <c r="Z25" s="270">
        <f>'New Counts Pivot Table'!I$14</f>
        <v>0</v>
      </c>
      <c r="AA25" s="271">
        <f>'New Counts Pivot Table'!J$14</f>
        <v>0</v>
      </c>
      <c r="AB25" s="271">
        <f>'New Counts Pivot Table'!K$14</f>
        <v>10</v>
      </c>
      <c r="AC25" s="271">
        <f>'New Counts Pivot Table'!L$14</f>
        <v>3</v>
      </c>
      <c r="AD25" s="271">
        <f>'New Counts Pivot Table'!M$14</f>
        <v>0</v>
      </c>
      <c r="AE25" s="270">
        <f>'New Counts Pivot Table'!N$14</f>
        <v>13</v>
      </c>
      <c r="AF25" s="270">
        <f>'New Counts Pivot Table'!O$14</f>
        <v>0</v>
      </c>
      <c r="AG25" s="271">
        <f>'New Counts Pivot Table'!P$14</f>
        <v>0</v>
      </c>
      <c r="AH25" s="270">
        <f>'New Counts Pivot Table'!Q$14</f>
        <v>0</v>
      </c>
    </row>
    <row r="26" spans="1:36" x14ac:dyDescent="0.2">
      <c r="A26" s="690"/>
      <c r="B26" s="258" t="s">
        <v>5</v>
      </c>
      <c r="C26" s="266">
        <f t="shared" si="7"/>
        <v>0.18606870229007633</v>
      </c>
      <c r="D26" s="267">
        <f t="shared" si="12"/>
        <v>0</v>
      </c>
      <c r="E26" s="267">
        <f t="shared" si="8"/>
        <v>0.27683315621679067</v>
      </c>
      <c r="F26" s="267">
        <f t="shared" si="8"/>
        <v>0.29761904761904762</v>
      </c>
      <c r="G26" s="267">
        <f t="shared" si="8"/>
        <v>0.13907284768211919</v>
      </c>
      <c r="H26" s="267">
        <f t="shared" si="8"/>
        <v>0.36165048543689321</v>
      </c>
      <c r="I26" s="266">
        <f t="shared" si="8"/>
        <v>0.25750848785583702</v>
      </c>
      <c r="J26" s="266">
        <f t="shared" si="9"/>
        <v>0</v>
      </c>
      <c r="K26" s="267">
        <f t="shared" si="10"/>
        <v>0</v>
      </c>
      <c r="L26" s="267">
        <f t="shared" si="10"/>
        <v>0.15859030837004406</v>
      </c>
      <c r="M26" s="267">
        <f t="shared" si="10"/>
        <v>5.6625141562853906E-2</v>
      </c>
      <c r="N26" s="266">
        <f t="shared" si="11"/>
        <v>6.0139860139860141E-2</v>
      </c>
      <c r="O26" s="266">
        <f t="shared" si="13"/>
        <v>0</v>
      </c>
      <c r="P26" s="268">
        <f t="shared" si="13"/>
        <v>0</v>
      </c>
      <c r="Q26" s="685">
        <f t="shared" si="13"/>
        <v>0</v>
      </c>
      <c r="R26" s="269"/>
      <c r="S26" s="270">
        <f>'New Counts Pivot Table'!B$15</f>
        <v>195</v>
      </c>
      <c r="T26" s="271">
        <f>'New Counts Pivot Table'!C$15</f>
        <v>0</v>
      </c>
      <c r="U26" s="271">
        <f>'New Counts Pivot Table'!D$15</f>
        <v>521</v>
      </c>
      <c r="V26" s="271">
        <f>'New Counts Pivot Table'!E$15</f>
        <v>100</v>
      </c>
      <c r="W26" s="271">
        <f>'New Counts Pivot Table'!F$15</f>
        <v>21</v>
      </c>
      <c r="X26" s="674">
        <f>'New Counts Pivot Table'!G$15</f>
        <v>149</v>
      </c>
      <c r="Y26" s="270">
        <f>'New Counts Pivot Table'!H$15</f>
        <v>986</v>
      </c>
      <c r="Z26" s="270">
        <f>'New Counts Pivot Table'!I$15</f>
        <v>0</v>
      </c>
      <c r="AA26" s="271">
        <f>'New Counts Pivot Table'!J$15</f>
        <v>0</v>
      </c>
      <c r="AB26" s="271">
        <f>'New Counts Pivot Table'!K$15</f>
        <v>36</v>
      </c>
      <c r="AC26" s="271">
        <f>'New Counts Pivot Table'!L$15</f>
        <v>50</v>
      </c>
      <c r="AD26" s="271">
        <f>'New Counts Pivot Table'!M$15</f>
        <v>0</v>
      </c>
      <c r="AE26" s="270">
        <f>'New Counts Pivot Table'!N$15</f>
        <v>86</v>
      </c>
      <c r="AF26" s="270">
        <f>'New Counts Pivot Table'!O$15</f>
        <v>0</v>
      </c>
      <c r="AG26" s="271">
        <f>'New Counts Pivot Table'!P$15</f>
        <v>0</v>
      </c>
      <c r="AH26" s="270">
        <f>'New Counts Pivot Table'!Q$15</f>
        <v>0</v>
      </c>
    </row>
    <row r="27" spans="1:36" x14ac:dyDescent="0.2">
      <c r="A27" s="690"/>
      <c r="B27" s="258" t="s">
        <v>6</v>
      </c>
      <c r="C27" s="266">
        <f t="shared" si="7"/>
        <v>0.17366412213740459</v>
      </c>
      <c r="D27" s="267">
        <f t="shared" si="12"/>
        <v>0</v>
      </c>
      <c r="E27" s="267">
        <f t="shared" si="8"/>
        <v>0.1689691817215728</v>
      </c>
      <c r="F27" s="267">
        <f t="shared" si="8"/>
        <v>0.21726190476190477</v>
      </c>
      <c r="G27" s="267">
        <f t="shared" si="8"/>
        <v>0.41059602649006621</v>
      </c>
      <c r="H27" s="267">
        <f t="shared" si="8"/>
        <v>0.28155339805825241</v>
      </c>
      <c r="I27" s="266">
        <f t="shared" si="8"/>
        <v>0.1961347610342126</v>
      </c>
      <c r="J27" s="266">
        <f t="shared" si="9"/>
        <v>0</v>
      </c>
      <c r="K27" s="267">
        <f t="shared" si="10"/>
        <v>0</v>
      </c>
      <c r="L27" s="267">
        <f t="shared" si="10"/>
        <v>0.36123348017621143</v>
      </c>
      <c r="M27" s="267">
        <f t="shared" si="10"/>
        <v>0.11325028312570781</v>
      </c>
      <c r="N27" s="266">
        <f t="shared" si="11"/>
        <v>0.12727272727272726</v>
      </c>
      <c r="O27" s="266">
        <f t="shared" si="13"/>
        <v>0</v>
      </c>
      <c r="P27" s="268">
        <f t="shared" si="13"/>
        <v>0</v>
      </c>
      <c r="Q27" s="685">
        <f t="shared" si="13"/>
        <v>0</v>
      </c>
      <c r="R27" s="269"/>
      <c r="S27" s="270">
        <f>'New Counts Pivot Table'!B$16</f>
        <v>182</v>
      </c>
      <c r="T27" s="271">
        <f>'New Counts Pivot Table'!C$16</f>
        <v>0</v>
      </c>
      <c r="U27" s="271">
        <f>'New Counts Pivot Table'!D$16</f>
        <v>318</v>
      </c>
      <c r="V27" s="271">
        <f>'New Counts Pivot Table'!E$16</f>
        <v>73</v>
      </c>
      <c r="W27" s="271">
        <f>'New Counts Pivot Table'!F$16</f>
        <v>62</v>
      </c>
      <c r="X27" s="674">
        <f>'New Counts Pivot Table'!G$16</f>
        <v>116</v>
      </c>
      <c r="Y27" s="270">
        <f>'New Counts Pivot Table'!H$16</f>
        <v>751</v>
      </c>
      <c r="Z27" s="270">
        <f>'New Counts Pivot Table'!I$16</f>
        <v>0</v>
      </c>
      <c r="AA27" s="271">
        <f>'New Counts Pivot Table'!J$16</f>
        <v>0</v>
      </c>
      <c r="AB27" s="271">
        <f>'New Counts Pivot Table'!K$16</f>
        <v>82</v>
      </c>
      <c r="AC27" s="271">
        <f>'New Counts Pivot Table'!L$16</f>
        <v>100</v>
      </c>
      <c r="AD27" s="271">
        <f>'New Counts Pivot Table'!M$16</f>
        <v>0</v>
      </c>
      <c r="AE27" s="270">
        <f>'New Counts Pivot Table'!N$16</f>
        <v>182</v>
      </c>
      <c r="AF27" s="270">
        <f>'New Counts Pivot Table'!O$16</f>
        <v>0</v>
      </c>
      <c r="AG27" s="271">
        <f>'New Counts Pivot Table'!P$16</f>
        <v>0</v>
      </c>
      <c r="AH27" s="270">
        <f>'New Counts Pivot Table'!Q$16</f>
        <v>0</v>
      </c>
    </row>
    <row r="28" spans="1:36" x14ac:dyDescent="0.2">
      <c r="A28" s="690"/>
      <c r="B28" s="258" t="s">
        <v>26</v>
      </c>
      <c r="C28" s="266">
        <f t="shared" si="7"/>
        <v>8.2061068702290074E-2</v>
      </c>
      <c r="D28" s="267">
        <f t="shared" si="12"/>
        <v>0</v>
      </c>
      <c r="E28" s="267">
        <f t="shared" si="8"/>
        <v>8.5547290116896921E-2</v>
      </c>
      <c r="F28" s="267">
        <f t="shared" si="8"/>
        <v>5.9523809523809521E-3</v>
      </c>
      <c r="G28" s="267">
        <f t="shared" si="8"/>
        <v>0</v>
      </c>
      <c r="H28" s="267">
        <f t="shared" si="8"/>
        <v>2.6699029126213591E-2</v>
      </c>
      <c r="I28" s="266">
        <f t="shared" si="8"/>
        <v>6.790284669626534E-2</v>
      </c>
      <c r="J28" s="266">
        <f t="shared" si="9"/>
        <v>0</v>
      </c>
      <c r="K28" s="267">
        <f t="shared" si="10"/>
        <v>0</v>
      </c>
      <c r="L28" s="267">
        <f t="shared" si="10"/>
        <v>0</v>
      </c>
      <c r="M28" s="267">
        <f t="shared" si="10"/>
        <v>0</v>
      </c>
      <c r="N28" s="266">
        <f t="shared" si="11"/>
        <v>0</v>
      </c>
      <c r="O28" s="266">
        <f t="shared" si="13"/>
        <v>0</v>
      </c>
      <c r="P28" s="268">
        <f t="shared" si="13"/>
        <v>0</v>
      </c>
      <c r="Q28" s="685">
        <f t="shared" si="13"/>
        <v>0</v>
      </c>
      <c r="R28" s="269"/>
      <c r="S28" s="270">
        <f>'New Counts Pivot Table'!B$17</f>
        <v>86</v>
      </c>
      <c r="T28" s="271">
        <f>'New Counts Pivot Table'!C$17</f>
        <v>0</v>
      </c>
      <c r="U28" s="271">
        <f>'New Counts Pivot Table'!D$17</f>
        <v>161</v>
      </c>
      <c r="V28" s="271">
        <f>'New Counts Pivot Table'!E$17</f>
        <v>2</v>
      </c>
      <c r="W28" s="271">
        <f>'New Counts Pivot Table'!F$17</f>
        <v>0</v>
      </c>
      <c r="X28" s="674">
        <f>'New Counts Pivot Table'!G$17</f>
        <v>11</v>
      </c>
      <c r="Y28" s="270">
        <f>'New Counts Pivot Table'!H$17</f>
        <v>260</v>
      </c>
      <c r="Z28" s="270">
        <f>'New Counts Pivot Table'!I$17</f>
        <v>0</v>
      </c>
      <c r="AA28" s="271">
        <f>'New Counts Pivot Table'!J$17</f>
        <v>0</v>
      </c>
      <c r="AB28" s="271">
        <f>'New Counts Pivot Table'!K$17</f>
        <v>0</v>
      </c>
      <c r="AC28" s="271">
        <f>'New Counts Pivot Table'!L$17</f>
        <v>0</v>
      </c>
      <c r="AD28" s="271">
        <f>'New Counts Pivot Table'!M$17</f>
        <v>0</v>
      </c>
      <c r="AE28" s="270">
        <f>'New Counts Pivot Table'!N$17</f>
        <v>0</v>
      </c>
      <c r="AF28" s="270">
        <f>'New Counts Pivot Table'!O$17</f>
        <v>0</v>
      </c>
      <c r="AG28" s="271">
        <f>'New Counts Pivot Table'!P$17</f>
        <v>0</v>
      </c>
      <c r="AH28" s="270">
        <f>'New Counts Pivot Table'!Q$17</f>
        <v>0</v>
      </c>
    </row>
    <row r="29" spans="1:36" x14ac:dyDescent="0.2">
      <c r="A29" s="690"/>
      <c r="B29" s="258" t="s">
        <v>23</v>
      </c>
      <c r="C29" s="266">
        <f t="shared" si="7"/>
        <v>0</v>
      </c>
      <c r="D29" s="267">
        <f t="shared" si="12"/>
        <v>0</v>
      </c>
      <c r="E29" s="267">
        <f t="shared" si="8"/>
        <v>0</v>
      </c>
      <c r="F29" s="267">
        <f t="shared" si="8"/>
        <v>0</v>
      </c>
      <c r="G29" s="267">
        <f t="shared" si="8"/>
        <v>0</v>
      </c>
      <c r="H29" s="267">
        <f t="shared" si="8"/>
        <v>0</v>
      </c>
      <c r="I29" s="266">
        <f t="shared" si="8"/>
        <v>0</v>
      </c>
      <c r="J29" s="266">
        <f t="shared" si="9"/>
        <v>0</v>
      </c>
      <c r="K29" s="267">
        <f t="shared" si="10"/>
        <v>1</v>
      </c>
      <c r="L29" s="267">
        <f t="shared" si="10"/>
        <v>0.43171806167400884</v>
      </c>
      <c r="M29" s="267">
        <f t="shared" si="10"/>
        <v>0.80973952434881091</v>
      </c>
      <c r="N29" s="266">
        <f t="shared" si="11"/>
        <v>0.79230769230769227</v>
      </c>
      <c r="O29" s="266">
        <f t="shared" si="13"/>
        <v>0</v>
      </c>
      <c r="P29" s="268">
        <f t="shared" si="13"/>
        <v>0</v>
      </c>
      <c r="Q29" s="685">
        <f t="shared" si="13"/>
        <v>0</v>
      </c>
      <c r="R29" s="269"/>
      <c r="S29" s="270">
        <f>'New Counts Pivot Table'!B$18</f>
        <v>0</v>
      </c>
      <c r="T29" s="271">
        <f>'New Counts Pivot Table'!C$18</f>
        <v>0</v>
      </c>
      <c r="U29" s="271">
        <f>'New Counts Pivot Table'!D$18</f>
        <v>0</v>
      </c>
      <c r="V29" s="271">
        <f>'New Counts Pivot Table'!E$18</f>
        <v>0</v>
      </c>
      <c r="W29" s="271">
        <f>'New Counts Pivot Table'!F$18</f>
        <v>0</v>
      </c>
      <c r="X29" s="674">
        <f>'New Counts Pivot Table'!G$18</f>
        <v>0</v>
      </c>
      <c r="Y29" s="270">
        <f>'New Counts Pivot Table'!H$18</f>
        <v>0</v>
      </c>
      <c r="Z29" s="270">
        <f>'New Counts Pivot Table'!I$18</f>
        <v>0</v>
      </c>
      <c r="AA29" s="271">
        <f>'New Counts Pivot Table'!J$18</f>
        <v>320</v>
      </c>
      <c r="AB29" s="271">
        <f>'New Counts Pivot Table'!K$18</f>
        <v>98</v>
      </c>
      <c r="AC29" s="271">
        <f>'New Counts Pivot Table'!L$18</f>
        <v>715</v>
      </c>
      <c r="AD29" s="271">
        <f>'New Counts Pivot Table'!M$18</f>
        <v>0</v>
      </c>
      <c r="AE29" s="270">
        <f>'New Counts Pivot Table'!N$18</f>
        <v>1133</v>
      </c>
      <c r="AF29" s="270">
        <f>'New Counts Pivot Table'!O$18</f>
        <v>0</v>
      </c>
      <c r="AG29" s="271">
        <f>'New Counts Pivot Table'!P$18</f>
        <v>0</v>
      </c>
      <c r="AH29" s="270">
        <f>'New Counts Pivot Table'!Q$18</f>
        <v>0</v>
      </c>
    </row>
    <row r="30" spans="1:36" s="280" customFormat="1" x14ac:dyDescent="0.25">
      <c r="A30" s="691"/>
      <c r="B30" s="272" t="s">
        <v>220</v>
      </c>
      <c r="C30" s="273">
        <f t="shared" si="7"/>
        <v>1</v>
      </c>
      <c r="D30" s="274">
        <f t="shared" si="12"/>
        <v>0</v>
      </c>
      <c r="E30" s="274">
        <f t="shared" si="8"/>
        <v>1</v>
      </c>
      <c r="F30" s="274">
        <f t="shared" si="8"/>
        <v>1</v>
      </c>
      <c r="G30" s="274">
        <f t="shared" si="8"/>
        <v>1</v>
      </c>
      <c r="H30" s="274">
        <f t="shared" si="8"/>
        <v>1</v>
      </c>
      <c r="I30" s="273">
        <f t="shared" si="8"/>
        <v>1</v>
      </c>
      <c r="J30" s="273">
        <f t="shared" si="9"/>
        <v>0</v>
      </c>
      <c r="K30" s="274">
        <f t="shared" si="10"/>
        <v>1</v>
      </c>
      <c r="L30" s="274">
        <f t="shared" si="10"/>
        <v>1</v>
      </c>
      <c r="M30" s="274">
        <f t="shared" si="10"/>
        <v>1</v>
      </c>
      <c r="N30" s="273">
        <f t="shared" si="11"/>
        <v>1</v>
      </c>
      <c r="O30" s="273">
        <f t="shared" si="13"/>
        <v>0</v>
      </c>
      <c r="P30" s="275">
        <f t="shared" si="13"/>
        <v>0</v>
      </c>
      <c r="Q30" s="686">
        <f t="shared" si="13"/>
        <v>0</v>
      </c>
      <c r="R30" s="276"/>
      <c r="S30" s="277">
        <f>'New Counts Pivot Table'!B$19</f>
        <v>1048</v>
      </c>
      <c r="T30" s="278">
        <f>'New Counts Pivot Table'!C$19</f>
        <v>0</v>
      </c>
      <c r="U30" s="278">
        <f>'New Counts Pivot Table'!D$19</f>
        <v>1882</v>
      </c>
      <c r="V30" s="278">
        <f>'New Counts Pivot Table'!E$19</f>
        <v>336</v>
      </c>
      <c r="W30" s="278">
        <f>'New Counts Pivot Table'!F$19</f>
        <v>151</v>
      </c>
      <c r="X30" s="675">
        <f>'New Counts Pivot Table'!G$19</f>
        <v>412</v>
      </c>
      <c r="Y30" s="277">
        <f>'New Counts Pivot Table'!H$19</f>
        <v>3829</v>
      </c>
      <c r="Z30" s="277">
        <f>'New Counts Pivot Table'!I$19</f>
        <v>0</v>
      </c>
      <c r="AA30" s="278">
        <f>'New Counts Pivot Table'!J$19</f>
        <v>320</v>
      </c>
      <c r="AB30" s="278">
        <f>'New Counts Pivot Table'!K$19</f>
        <v>227</v>
      </c>
      <c r="AC30" s="278">
        <f>'New Counts Pivot Table'!L$19</f>
        <v>883</v>
      </c>
      <c r="AD30" s="278">
        <f>'New Counts Pivot Table'!M$19</f>
        <v>0</v>
      </c>
      <c r="AE30" s="277">
        <f>'New Counts Pivot Table'!N$19</f>
        <v>1430</v>
      </c>
      <c r="AF30" s="277">
        <f>'New Counts Pivot Table'!O$19</f>
        <v>0</v>
      </c>
      <c r="AG30" s="278">
        <f>'New Counts Pivot Table'!P$19</f>
        <v>0</v>
      </c>
      <c r="AH30" s="277">
        <f>'New Counts Pivot Table'!Q$19</f>
        <v>0</v>
      </c>
      <c r="AI30" s="279"/>
      <c r="AJ30" s="279"/>
    </row>
    <row r="31" spans="1:36" x14ac:dyDescent="0.2">
      <c r="A31" s="692" t="s">
        <v>33</v>
      </c>
      <c r="B31" s="259" t="s">
        <v>3</v>
      </c>
      <c r="C31" s="260">
        <f t="shared" ref="C31:C37" si="14">S31/S$37</f>
        <v>0.34436493738819318</v>
      </c>
      <c r="D31" s="261">
        <f t="shared" ref="D31:D37" si="15">IFERROR(T31/T$37,0)</f>
        <v>0</v>
      </c>
      <c r="E31" s="261">
        <f t="shared" ref="E31:E37" si="16">U31/U$37</f>
        <v>0.20218579234972678</v>
      </c>
      <c r="F31" s="261">
        <f>IFERROR(V31/V$37,0)</f>
        <v>0</v>
      </c>
      <c r="G31" s="261">
        <f>IFERROR(W31/W$37,0)</f>
        <v>0</v>
      </c>
      <c r="H31" s="261">
        <f>IFERROR(X31/X$37,0)</f>
        <v>0</v>
      </c>
      <c r="I31" s="260">
        <f t="shared" ref="I31:I37" si="17">Y31/Y$37</f>
        <v>0.32436587240584164</v>
      </c>
      <c r="J31" s="260">
        <f t="shared" ref="J31:J37" si="18">IFERROR(Z31/Z$37,0)</f>
        <v>0</v>
      </c>
      <c r="K31" s="261">
        <f t="shared" ref="K31:L37" si="19">AA31/AA$37</f>
        <v>0</v>
      </c>
      <c r="L31" s="261">
        <f t="shared" si="19"/>
        <v>0</v>
      </c>
      <c r="M31" s="262">
        <f>IFERROR(AC31/AC$37,0)</f>
        <v>0</v>
      </c>
      <c r="N31" s="260">
        <f t="shared" ref="N31:N37" si="20">AE31/AE$37</f>
        <v>0</v>
      </c>
      <c r="O31" s="260">
        <f t="shared" ref="O31:Q37" si="21">IFERROR(AF31/AF$37,0)</f>
        <v>0</v>
      </c>
      <c r="P31" s="262">
        <f t="shared" si="21"/>
        <v>0</v>
      </c>
      <c r="Q31" s="684">
        <f t="shared" si="21"/>
        <v>0</v>
      </c>
      <c r="R31" s="263"/>
      <c r="S31" s="264">
        <f>'New Counts Pivot Table'!B$21</f>
        <v>385</v>
      </c>
      <c r="T31" s="265">
        <f>'New Counts Pivot Table'!C$21</f>
        <v>0</v>
      </c>
      <c r="U31" s="265">
        <f>'New Counts Pivot Table'!D$21</f>
        <v>37</v>
      </c>
      <c r="V31" s="265">
        <f>'New Counts Pivot Table'!E$21</f>
        <v>0</v>
      </c>
      <c r="W31" s="265">
        <f>'New Counts Pivot Table'!F$21</f>
        <v>0</v>
      </c>
      <c r="X31" s="673">
        <f>'New Counts Pivot Table'!G$21</f>
        <v>0</v>
      </c>
      <c r="Y31" s="264">
        <f>'New Counts Pivot Table'!H$21</f>
        <v>422</v>
      </c>
      <c r="Z31" s="264">
        <f>'New Counts Pivot Table'!I$21</f>
        <v>0</v>
      </c>
      <c r="AA31" s="265">
        <f>'New Counts Pivot Table'!J$21</f>
        <v>0</v>
      </c>
      <c r="AB31" s="265">
        <f>'New Counts Pivot Table'!K$21</f>
        <v>0</v>
      </c>
      <c r="AC31" s="265">
        <f>'New Counts Pivot Table'!L$21</f>
        <v>0</v>
      </c>
      <c r="AD31" s="265">
        <f>'New Counts Pivot Table'!M$21</f>
        <v>0</v>
      </c>
      <c r="AE31" s="264">
        <f>'New Counts Pivot Table'!N$21</f>
        <v>0</v>
      </c>
      <c r="AF31" s="264">
        <f>'New Counts Pivot Table'!O$21</f>
        <v>0</v>
      </c>
      <c r="AG31" s="265">
        <f>'New Counts Pivot Table'!P$21</f>
        <v>0</v>
      </c>
      <c r="AH31" s="264">
        <f>'New Counts Pivot Table'!Q$21</f>
        <v>0</v>
      </c>
    </row>
    <row r="32" spans="1:36" x14ac:dyDescent="0.2">
      <c r="A32" s="690"/>
      <c r="B32" s="258" t="s">
        <v>4</v>
      </c>
      <c r="C32" s="266">
        <f t="shared" si="14"/>
        <v>0.3032200357781753</v>
      </c>
      <c r="D32" s="267">
        <f t="shared" si="15"/>
        <v>0</v>
      </c>
      <c r="E32" s="267">
        <f t="shared" si="16"/>
        <v>0.45901639344262296</v>
      </c>
      <c r="F32" s="267">
        <f t="shared" ref="F32:H37" si="22">IFERROR(V32/V$37,0)</f>
        <v>0</v>
      </c>
      <c r="G32" s="267">
        <f t="shared" si="22"/>
        <v>0</v>
      </c>
      <c r="H32" s="267">
        <f t="shared" si="22"/>
        <v>0</v>
      </c>
      <c r="I32" s="266">
        <f t="shared" si="17"/>
        <v>0.32513451191391235</v>
      </c>
      <c r="J32" s="266">
        <f t="shared" si="18"/>
        <v>0</v>
      </c>
      <c r="K32" s="267">
        <f t="shared" si="19"/>
        <v>0</v>
      </c>
      <c r="L32" s="267">
        <f t="shared" si="19"/>
        <v>0</v>
      </c>
      <c r="M32" s="268">
        <f t="shared" ref="M32:M37" si="23">IFERROR(AC32/AC$37,0)</f>
        <v>0</v>
      </c>
      <c r="N32" s="266">
        <f t="shared" si="20"/>
        <v>0</v>
      </c>
      <c r="O32" s="266">
        <f t="shared" si="21"/>
        <v>0</v>
      </c>
      <c r="P32" s="268">
        <f t="shared" si="21"/>
        <v>0</v>
      </c>
      <c r="Q32" s="685">
        <f t="shared" si="21"/>
        <v>0</v>
      </c>
      <c r="R32" s="269"/>
      <c r="S32" s="270">
        <f>'New Counts Pivot Table'!B$22</f>
        <v>339</v>
      </c>
      <c r="T32" s="271">
        <f>'New Counts Pivot Table'!C$22</f>
        <v>0</v>
      </c>
      <c r="U32" s="271">
        <f>'New Counts Pivot Table'!D$22</f>
        <v>84</v>
      </c>
      <c r="V32" s="271">
        <f>'New Counts Pivot Table'!E$22</f>
        <v>0</v>
      </c>
      <c r="W32" s="271">
        <f>'New Counts Pivot Table'!F$22</f>
        <v>0</v>
      </c>
      <c r="X32" s="674">
        <f>'New Counts Pivot Table'!G$22</f>
        <v>0</v>
      </c>
      <c r="Y32" s="270">
        <f>'New Counts Pivot Table'!H$22</f>
        <v>423</v>
      </c>
      <c r="Z32" s="270">
        <f>'New Counts Pivot Table'!I$22</f>
        <v>0</v>
      </c>
      <c r="AA32" s="271">
        <f>'New Counts Pivot Table'!J$22</f>
        <v>0</v>
      </c>
      <c r="AB32" s="271">
        <f>'New Counts Pivot Table'!K$22</f>
        <v>0</v>
      </c>
      <c r="AC32" s="271">
        <f>'New Counts Pivot Table'!L$22</f>
        <v>0</v>
      </c>
      <c r="AD32" s="271">
        <f>'New Counts Pivot Table'!M$22</f>
        <v>0</v>
      </c>
      <c r="AE32" s="270">
        <f>'New Counts Pivot Table'!N$22</f>
        <v>0</v>
      </c>
      <c r="AF32" s="270">
        <f>'New Counts Pivot Table'!O$22</f>
        <v>0</v>
      </c>
      <c r="AG32" s="271">
        <f>'New Counts Pivot Table'!P$22</f>
        <v>0</v>
      </c>
      <c r="AH32" s="270">
        <f>'New Counts Pivot Table'!Q$22</f>
        <v>0</v>
      </c>
    </row>
    <row r="33" spans="1:36" x14ac:dyDescent="0.2">
      <c r="A33" s="690"/>
      <c r="B33" s="258" t="s">
        <v>5</v>
      </c>
      <c r="C33" s="266">
        <f t="shared" si="14"/>
        <v>0.26565295169946335</v>
      </c>
      <c r="D33" s="267">
        <f t="shared" si="15"/>
        <v>0</v>
      </c>
      <c r="E33" s="267">
        <f t="shared" si="16"/>
        <v>0.33879781420765026</v>
      </c>
      <c r="F33" s="267">
        <f t="shared" si="22"/>
        <v>0</v>
      </c>
      <c r="G33" s="267">
        <f t="shared" si="22"/>
        <v>0</v>
      </c>
      <c r="H33" s="267">
        <f t="shared" si="22"/>
        <v>0</v>
      </c>
      <c r="I33" s="266">
        <f t="shared" si="17"/>
        <v>0.27594158339738661</v>
      </c>
      <c r="J33" s="266">
        <f t="shared" si="18"/>
        <v>0</v>
      </c>
      <c r="K33" s="267">
        <f t="shared" si="19"/>
        <v>0</v>
      </c>
      <c r="L33" s="267">
        <f t="shared" si="19"/>
        <v>0</v>
      </c>
      <c r="M33" s="268">
        <f t="shared" si="23"/>
        <v>0</v>
      </c>
      <c r="N33" s="266">
        <f t="shared" si="20"/>
        <v>0</v>
      </c>
      <c r="O33" s="266">
        <f t="shared" si="21"/>
        <v>0</v>
      </c>
      <c r="P33" s="268">
        <f t="shared" si="21"/>
        <v>0</v>
      </c>
      <c r="Q33" s="685">
        <f t="shared" si="21"/>
        <v>0</v>
      </c>
      <c r="R33" s="269"/>
      <c r="S33" s="270">
        <f>'New Counts Pivot Table'!B$23</f>
        <v>297</v>
      </c>
      <c r="T33" s="271">
        <f>'New Counts Pivot Table'!C$23</f>
        <v>0</v>
      </c>
      <c r="U33" s="271">
        <f>'New Counts Pivot Table'!D$23</f>
        <v>62</v>
      </c>
      <c r="V33" s="271">
        <f>'New Counts Pivot Table'!E$23</f>
        <v>0</v>
      </c>
      <c r="W33" s="271">
        <f>'New Counts Pivot Table'!F$23</f>
        <v>0</v>
      </c>
      <c r="X33" s="674">
        <f>'New Counts Pivot Table'!G$23</f>
        <v>0</v>
      </c>
      <c r="Y33" s="270">
        <f>'New Counts Pivot Table'!H$23</f>
        <v>359</v>
      </c>
      <c r="Z33" s="270">
        <f>'New Counts Pivot Table'!I$23</f>
        <v>0</v>
      </c>
      <c r="AA33" s="271">
        <f>'New Counts Pivot Table'!J$23</f>
        <v>0</v>
      </c>
      <c r="AB33" s="271">
        <f>'New Counts Pivot Table'!K$23</f>
        <v>0</v>
      </c>
      <c r="AC33" s="271">
        <f>'New Counts Pivot Table'!L$23</f>
        <v>0</v>
      </c>
      <c r="AD33" s="271">
        <f>'New Counts Pivot Table'!M$23</f>
        <v>0</v>
      </c>
      <c r="AE33" s="270">
        <f>'New Counts Pivot Table'!N$23</f>
        <v>0</v>
      </c>
      <c r="AF33" s="270">
        <f>'New Counts Pivot Table'!O$23</f>
        <v>0</v>
      </c>
      <c r="AG33" s="271">
        <f>'New Counts Pivot Table'!P$23</f>
        <v>0</v>
      </c>
      <c r="AH33" s="270">
        <f>'New Counts Pivot Table'!Q$23</f>
        <v>0</v>
      </c>
    </row>
    <row r="34" spans="1:36" x14ac:dyDescent="0.2">
      <c r="A34" s="690"/>
      <c r="B34" s="258" t="s">
        <v>6</v>
      </c>
      <c r="C34" s="266">
        <f t="shared" si="14"/>
        <v>8.6762075134168157E-2</v>
      </c>
      <c r="D34" s="267">
        <f t="shared" si="15"/>
        <v>0</v>
      </c>
      <c r="E34" s="267">
        <f t="shared" si="16"/>
        <v>0</v>
      </c>
      <c r="F34" s="267">
        <f t="shared" si="22"/>
        <v>0</v>
      </c>
      <c r="G34" s="267">
        <f t="shared" si="22"/>
        <v>0</v>
      </c>
      <c r="H34" s="267">
        <f t="shared" si="22"/>
        <v>0</v>
      </c>
      <c r="I34" s="266">
        <f t="shared" si="17"/>
        <v>7.4558032282859343E-2</v>
      </c>
      <c r="J34" s="266">
        <f t="shared" si="18"/>
        <v>0</v>
      </c>
      <c r="K34" s="267">
        <f t="shared" si="19"/>
        <v>0</v>
      </c>
      <c r="L34" s="267">
        <f t="shared" si="19"/>
        <v>0</v>
      </c>
      <c r="M34" s="268">
        <f t="shared" si="23"/>
        <v>0</v>
      </c>
      <c r="N34" s="266">
        <f t="shared" si="20"/>
        <v>0</v>
      </c>
      <c r="O34" s="266">
        <f t="shared" si="21"/>
        <v>0</v>
      </c>
      <c r="P34" s="268">
        <f t="shared" si="21"/>
        <v>0</v>
      </c>
      <c r="Q34" s="685">
        <f t="shared" si="21"/>
        <v>0</v>
      </c>
      <c r="R34" s="269"/>
      <c r="S34" s="270">
        <f>'New Counts Pivot Table'!B$24</f>
        <v>97</v>
      </c>
      <c r="T34" s="271">
        <f>'New Counts Pivot Table'!C$24</f>
        <v>0</v>
      </c>
      <c r="U34" s="271">
        <f>'New Counts Pivot Table'!D$24</f>
        <v>0</v>
      </c>
      <c r="V34" s="271">
        <f>'New Counts Pivot Table'!E$24</f>
        <v>0</v>
      </c>
      <c r="W34" s="271">
        <f>'New Counts Pivot Table'!F$24</f>
        <v>0</v>
      </c>
      <c r="X34" s="674">
        <f>'New Counts Pivot Table'!G$24</f>
        <v>0</v>
      </c>
      <c r="Y34" s="270">
        <f>'New Counts Pivot Table'!H$24</f>
        <v>97</v>
      </c>
      <c r="Z34" s="270">
        <f>'New Counts Pivot Table'!I$24</f>
        <v>0</v>
      </c>
      <c r="AA34" s="271">
        <f>'New Counts Pivot Table'!J$24</f>
        <v>0</v>
      </c>
      <c r="AB34" s="271">
        <f>'New Counts Pivot Table'!K$24</f>
        <v>0</v>
      </c>
      <c r="AC34" s="271">
        <f>'New Counts Pivot Table'!L$24</f>
        <v>0</v>
      </c>
      <c r="AD34" s="271">
        <f>'New Counts Pivot Table'!M$24</f>
        <v>0</v>
      </c>
      <c r="AE34" s="270">
        <f>'New Counts Pivot Table'!N$24</f>
        <v>0</v>
      </c>
      <c r="AF34" s="270">
        <f>'New Counts Pivot Table'!O$24</f>
        <v>0</v>
      </c>
      <c r="AG34" s="271">
        <f>'New Counts Pivot Table'!P$24</f>
        <v>0</v>
      </c>
      <c r="AH34" s="270">
        <f>'New Counts Pivot Table'!Q$24</f>
        <v>0</v>
      </c>
    </row>
    <row r="35" spans="1:36" x14ac:dyDescent="0.2">
      <c r="A35" s="690"/>
      <c r="B35" s="258" t="s">
        <v>26</v>
      </c>
      <c r="C35" s="266">
        <f t="shared" si="14"/>
        <v>0</v>
      </c>
      <c r="D35" s="267">
        <f t="shared" si="15"/>
        <v>0</v>
      </c>
      <c r="E35" s="267">
        <f t="shared" si="16"/>
        <v>0</v>
      </c>
      <c r="F35" s="267">
        <f t="shared" si="22"/>
        <v>0</v>
      </c>
      <c r="G35" s="267">
        <f t="shared" si="22"/>
        <v>0</v>
      </c>
      <c r="H35" s="267">
        <f t="shared" si="22"/>
        <v>0</v>
      </c>
      <c r="I35" s="266">
        <f t="shared" si="17"/>
        <v>0</v>
      </c>
      <c r="J35" s="266">
        <f t="shared" si="18"/>
        <v>0</v>
      </c>
      <c r="K35" s="267">
        <f t="shared" si="19"/>
        <v>0</v>
      </c>
      <c r="L35" s="267">
        <f t="shared" si="19"/>
        <v>0</v>
      </c>
      <c r="M35" s="268">
        <f t="shared" si="23"/>
        <v>0</v>
      </c>
      <c r="N35" s="266">
        <f t="shared" si="20"/>
        <v>0</v>
      </c>
      <c r="O35" s="266">
        <f t="shared" si="21"/>
        <v>0</v>
      </c>
      <c r="P35" s="268">
        <f t="shared" si="21"/>
        <v>0</v>
      </c>
      <c r="Q35" s="685">
        <f t="shared" si="21"/>
        <v>0</v>
      </c>
      <c r="R35" s="269"/>
      <c r="S35" s="270">
        <f>'New Counts Pivot Table'!B$25</f>
        <v>0</v>
      </c>
      <c r="T35" s="271">
        <f>'New Counts Pivot Table'!C$25</f>
        <v>0</v>
      </c>
      <c r="U35" s="271">
        <f>'New Counts Pivot Table'!D$25</f>
        <v>0</v>
      </c>
      <c r="V35" s="271">
        <f>'New Counts Pivot Table'!E$25</f>
        <v>0</v>
      </c>
      <c r="W35" s="271">
        <f>'New Counts Pivot Table'!F$25</f>
        <v>0</v>
      </c>
      <c r="X35" s="674">
        <f>'New Counts Pivot Table'!G$25</f>
        <v>0</v>
      </c>
      <c r="Y35" s="270">
        <f>'New Counts Pivot Table'!H$25</f>
        <v>0</v>
      </c>
      <c r="Z35" s="270">
        <f>'New Counts Pivot Table'!I$25</f>
        <v>0</v>
      </c>
      <c r="AA35" s="271">
        <f>'New Counts Pivot Table'!J$25</f>
        <v>0</v>
      </c>
      <c r="AB35" s="271">
        <f>'New Counts Pivot Table'!K$25</f>
        <v>0</v>
      </c>
      <c r="AC35" s="271">
        <f>'New Counts Pivot Table'!L$25</f>
        <v>0</v>
      </c>
      <c r="AD35" s="271">
        <f>'New Counts Pivot Table'!M$25</f>
        <v>0</v>
      </c>
      <c r="AE35" s="270">
        <f>'New Counts Pivot Table'!N$25</f>
        <v>0</v>
      </c>
      <c r="AF35" s="270">
        <f>'New Counts Pivot Table'!O$25</f>
        <v>0</v>
      </c>
      <c r="AG35" s="271">
        <f>'New Counts Pivot Table'!P$25</f>
        <v>0</v>
      </c>
      <c r="AH35" s="270">
        <f>'New Counts Pivot Table'!Q$25</f>
        <v>0</v>
      </c>
    </row>
    <row r="36" spans="1:36" x14ac:dyDescent="0.2">
      <c r="A36" s="690"/>
      <c r="B36" s="258" t="s">
        <v>23</v>
      </c>
      <c r="C36" s="266">
        <f t="shared" si="14"/>
        <v>0</v>
      </c>
      <c r="D36" s="267">
        <f t="shared" si="15"/>
        <v>0</v>
      </c>
      <c r="E36" s="267">
        <f t="shared" si="16"/>
        <v>0</v>
      </c>
      <c r="F36" s="267">
        <f t="shared" si="22"/>
        <v>0</v>
      </c>
      <c r="G36" s="267">
        <f t="shared" si="22"/>
        <v>0</v>
      </c>
      <c r="H36" s="267">
        <f t="shared" si="22"/>
        <v>0</v>
      </c>
      <c r="I36" s="266">
        <f t="shared" si="17"/>
        <v>0</v>
      </c>
      <c r="J36" s="266">
        <f t="shared" si="18"/>
        <v>0</v>
      </c>
      <c r="K36" s="267">
        <f t="shared" si="19"/>
        <v>1</v>
      </c>
      <c r="L36" s="267">
        <f t="shared" si="19"/>
        <v>1</v>
      </c>
      <c r="M36" s="268">
        <f t="shared" si="23"/>
        <v>0</v>
      </c>
      <c r="N36" s="266">
        <f t="shared" si="20"/>
        <v>1</v>
      </c>
      <c r="O36" s="266">
        <f t="shared" si="21"/>
        <v>0</v>
      </c>
      <c r="P36" s="268">
        <f t="shared" si="21"/>
        <v>0</v>
      </c>
      <c r="Q36" s="685">
        <f t="shared" si="21"/>
        <v>0</v>
      </c>
      <c r="R36" s="269"/>
      <c r="S36" s="270">
        <f>'New Counts Pivot Table'!B$26</f>
        <v>0</v>
      </c>
      <c r="T36" s="271">
        <f>'New Counts Pivot Table'!C$26</f>
        <v>0</v>
      </c>
      <c r="U36" s="271">
        <f>'New Counts Pivot Table'!D$26</f>
        <v>0</v>
      </c>
      <c r="V36" s="271">
        <f>'New Counts Pivot Table'!E$26</f>
        <v>0</v>
      </c>
      <c r="W36" s="271">
        <f>'New Counts Pivot Table'!F$26</f>
        <v>0</v>
      </c>
      <c r="X36" s="674">
        <f>'New Counts Pivot Table'!G$26</f>
        <v>0</v>
      </c>
      <c r="Y36" s="270">
        <f>'New Counts Pivot Table'!H$26</f>
        <v>0</v>
      </c>
      <c r="Z36" s="270">
        <f>'New Counts Pivot Table'!I$26</f>
        <v>0</v>
      </c>
      <c r="AA36" s="271">
        <f>'New Counts Pivot Table'!J$26</f>
        <v>109</v>
      </c>
      <c r="AB36" s="271">
        <f>'New Counts Pivot Table'!K$26</f>
        <v>207</v>
      </c>
      <c r="AC36" s="271">
        <f>'New Counts Pivot Table'!L$26</f>
        <v>0</v>
      </c>
      <c r="AD36" s="271">
        <f>'New Counts Pivot Table'!M$26</f>
        <v>0</v>
      </c>
      <c r="AE36" s="270">
        <f>'New Counts Pivot Table'!N$26</f>
        <v>316</v>
      </c>
      <c r="AF36" s="270">
        <f>'New Counts Pivot Table'!O$26</f>
        <v>0</v>
      </c>
      <c r="AG36" s="271">
        <f>'New Counts Pivot Table'!P$26</f>
        <v>0</v>
      </c>
      <c r="AH36" s="270">
        <f>'New Counts Pivot Table'!Q$26</f>
        <v>0</v>
      </c>
    </row>
    <row r="37" spans="1:36" s="280" customFormat="1" x14ac:dyDescent="0.25">
      <c r="A37" s="691"/>
      <c r="B37" s="272" t="s">
        <v>220</v>
      </c>
      <c r="C37" s="273">
        <f t="shared" si="14"/>
        <v>1</v>
      </c>
      <c r="D37" s="274">
        <f t="shared" si="15"/>
        <v>0</v>
      </c>
      <c r="E37" s="274">
        <f t="shared" si="16"/>
        <v>1</v>
      </c>
      <c r="F37" s="274">
        <f t="shared" si="22"/>
        <v>0</v>
      </c>
      <c r="G37" s="274">
        <f t="shared" si="22"/>
        <v>0</v>
      </c>
      <c r="H37" s="274">
        <f t="shared" si="22"/>
        <v>0</v>
      </c>
      <c r="I37" s="273">
        <f t="shared" si="17"/>
        <v>1</v>
      </c>
      <c r="J37" s="273">
        <f t="shared" si="18"/>
        <v>0</v>
      </c>
      <c r="K37" s="274">
        <f t="shared" si="19"/>
        <v>1</v>
      </c>
      <c r="L37" s="274">
        <f t="shared" si="19"/>
        <v>1</v>
      </c>
      <c r="M37" s="275">
        <f t="shared" si="23"/>
        <v>0</v>
      </c>
      <c r="N37" s="273">
        <f t="shared" si="20"/>
        <v>1</v>
      </c>
      <c r="O37" s="273">
        <f t="shared" si="21"/>
        <v>0</v>
      </c>
      <c r="P37" s="275">
        <f t="shared" si="21"/>
        <v>0</v>
      </c>
      <c r="Q37" s="686">
        <f t="shared" si="21"/>
        <v>0</v>
      </c>
      <c r="R37" s="276"/>
      <c r="S37" s="277">
        <f>'New Counts Pivot Table'!B$27</f>
        <v>1118</v>
      </c>
      <c r="T37" s="278">
        <f>'New Counts Pivot Table'!C$27</f>
        <v>0</v>
      </c>
      <c r="U37" s="278">
        <f>'New Counts Pivot Table'!D$27</f>
        <v>183</v>
      </c>
      <c r="V37" s="278">
        <f>'New Counts Pivot Table'!E$27</f>
        <v>0</v>
      </c>
      <c r="W37" s="278">
        <f>'New Counts Pivot Table'!F$27</f>
        <v>0</v>
      </c>
      <c r="X37" s="675">
        <f>'New Counts Pivot Table'!G$27</f>
        <v>0</v>
      </c>
      <c r="Y37" s="277">
        <f>'New Counts Pivot Table'!H$27</f>
        <v>1301</v>
      </c>
      <c r="Z37" s="277">
        <f>'New Counts Pivot Table'!I$27</f>
        <v>0</v>
      </c>
      <c r="AA37" s="278">
        <f>'New Counts Pivot Table'!J$27</f>
        <v>109</v>
      </c>
      <c r="AB37" s="278">
        <f>'New Counts Pivot Table'!K$27</f>
        <v>207</v>
      </c>
      <c r="AC37" s="278">
        <f>'New Counts Pivot Table'!L$27</f>
        <v>0</v>
      </c>
      <c r="AD37" s="278">
        <f>'New Counts Pivot Table'!M$27</f>
        <v>0</v>
      </c>
      <c r="AE37" s="277">
        <f>'New Counts Pivot Table'!N$27</f>
        <v>316</v>
      </c>
      <c r="AF37" s="277">
        <f>'New Counts Pivot Table'!O$27</f>
        <v>0</v>
      </c>
      <c r="AG37" s="278">
        <f>'New Counts Pivot Table'!P$27</f>
        <v>0</v>
      </c>
      <c r="AH37" s="277">
        <f>'New Counts Pivot Table'!Q$27</f>
        <v>0</v>
      </c>
      <c r="AI37" s="279"/>
      <c r="AJ37" s="279"/>
    </row>
    <row r="38" spans="1:36" x14ac:dyDescent="0.2">
      <c r="A38" s="692" t="s">
        <v>34</v>
      </c>
      <c r="B38" s="259" t="s">
        <v>3</v>
      </c>
      <c r="C38" s="260">
        <f t="shared" ref="C38:C44" si="24">S38/S$44</f>
        <v>0.28873447664104079</v>
      </c>
      <c r="D38" s="261">
        <f t="shared" ref="D38:D44" si="25">IFERROR(T38/T$44,0)</f>
        <v>0.26712328767123289</v>
      </c>
      <c r="E38" s="261">
        <f t="shared" ref="E38:E44" si="26">U38/U$44</f>
        <v>0.22049689440993789</v>
      </c>
      <c r="F38" s="261">
        <f t="shared" ref="F38:H44" si="27">IFERROR(V38/V$44,0)</f>
        <v>0.17840375586854459</v>
      </c>
      <c r="G38" s="261">
        <f t="shared" si="27"/>
        <v>0</v>
      </c>
      <c r="H38" s="261">
        <f t="shared" si="27"/>
        <v>0.4264705882352941</v>
      </c>
      <c r="I38" s="260">
        <f t="shared" ref="I38:I44" si="28">Y38/Y$44</f>
        <v>0.27350150927123762</v>
      </c>
      <c r="J38" s="260">
        <f t="shared" ref="J38:J44" si="29">IFERROR(Z38/Z$44,0)</f>
        <v>0</v>
      </c>
      <c r="K38" s="261">
        <f t="shared" ref="K38:L44" si="30">AA38/AA$44</f>
        <v>0</v>
      </c>
      <c r="L38" s="261">
        <f t="shared" si="30"/>
        <v>0</v>
      </c>
      <c r="M38" s="262">
        <f t="shared" ref="M38:M44" si="31">IFERROR(AC38/AC$44,0)</f>
        <v>0</v>
      </c>
      <c r="N38" s="260">
        <f t="shared" ref="N38:N44" si="32">AE38/AE$44</f>
        <v>0</v>
      </c>
      <c r="O38" s="260">
        <f t="shared" ref="O38:Q44" si="33">IFERROR(AF38/AF$44,0)</f>
        <v>0</v>
      </c>
      <c r="P38" s="262">
        <f t="shared" si="33"/>
        <v>0</v>
      </c>
      <c r="Q38" s="684">
        <f t="shared" si="33"/>
        <v>0</v>
      </c>
      <c r="R38" s="263"/>
      <c r="S38" s="264">
        <f>'New Counts Pivot Table'!B$29</f>
        <v>1953</v>
      </c>
      <c r="T38" s="265">
        <f>'New Counts Pivot Table'!C$29</f>
        <v>195</v>
      </c>
      <c r="U38" s="265">
        <f>'New Counts Pivot Table'!D$29</f>
        <v>284</v>
      </c>
      <c r="V38" s="265">
        <f>'New Counts Pivot Table'!E$29</f>
        <v>76</v>
      </c>
      <c r="W38" s="265">
        <f>'New Counts Pivot Table'!F$29</f>
        <v>0</v>
      </c>
      <c r="X38" s="673">
        <f>'New Counts Pivot Table'!G$29</f>
        <v>29</v>
      </c>
      <c r="Y38" s="264">
        <f>'New Counts Pivot Table'!H$29</f>
        <v>2537</v>
      </c>
      <c r="Z38" s="264">
        <f>'New Counts Pivot Table'!I$29</f>
        <v>0</v>
      </c>
      <c r="AA38" s="265">
        <f>'New Counts Pivot Table'!J$29</f>
        <v>0</v>
      </c>
      <c r="AB38" s="265">
        <f>'New Counts Pivot Table'!K$29</f>
        <v>0</v>
      </c>
      <c r="AC38" s="265">
        <f>'New Counts Pivot Table'!L$29</f>
        <v>0</v>
      </c>
      <c r="AD38" s="265">
        <f>'New Counts Pivot Table'!M$29</f>
        <v>0</v>
      </c>
      <c r="AE38" s="264">
        <f>'New Counts Pivot Table'!N$29</f>
        <v>0</v>
      </c>
      <c r="AF38" s="264">
        <f>'New Counts Pivot Table'!O$29</f>
        <v>0</v>
      </c>
      <c r="AG38" s="265">
        <f>'New Counts Pivot Table'!P$29</f>
        <v>0</v>
      </c>
      <c r="AH38" s="264">
        <f>'New Counts Pivot Table'!Q$29</f>
        <v>0</v>
      </c>
    </row>
    <row r="39" spans="1:36" x14ac:dyDescent="0.2">
      <c r="A39" s="690"/>
      <c r="B39" s="258" t="s">
        <v>4</v>
      </c>
      <c r="C39" s="266">
        <f t="shared" si="24"/>
        <v>0.28548196333530457</v>
      </c>
      <c r="D39" s="267">
        <f t="shared" si="25"/>
        <v>0.31780821917808222</v>
      </c>
      <c r="E39" s="267">
        <f t="shared" si="26"/>
        <v>0.30900621118012422</v>
      </c>
      <c r="F39" s="267">
        <f t="shared" si="27"/>
        <v>0.23708920187793428</v>
      </c>
      <c r="G39" s="267">
        <f t="shared" si="27"/>
        <v>0</v>
      </c>
      <c r="H39" s="267">
        <f t="shared" si="27"/>
        <v>0.29411764705882354</v>
      </c>
      <c r="I39" s="266">
        <f t="shared" si="28"/>
        <v>0.28913324708926263</v>
      </c>
      <c r="J39" s="266">
        <f t="shared" si="29"/>
        <v>0</v>
      </c>
      <c r="K39" s="267">
        <f t="shared" si="30"/>
        <v>0</v>
      </c>
      <c r="L39" s="267">
        <f t="shared" si="30"/>
        <v>0</v>
      </c>
      <c r="M39" s="268">
        <f t="shared" si="31"/>
        <v>0</v>
      </c>
      <c r="N39" s="266">
        <f t="shared" si="32"/>
        <v>0</v>
      </c>
      <c r="O39" s="266">
        <f t="shared" si="33"/>
        <v>0</v>
      </c>
      <c r="P39" s="268">
        <f t="shared" si="33"/>
        <v>0</v>
      </c>
      <c r="Q39" s="685">
        <f t="shared" si="33"/>
        <v>0</v>
      </c>
      <c r="R39" s="269"/>
      <c r="S39" s="270">
        <f>'New Counts Pivot Table'!B$30</f>
        <v>1931</v>
      </c>
      <c r="T39" s="271">
        <f>'New Counts Pivot Table'!C$30</f>
        <v>232</v>
      </c>
      <c r="U39" s="271">
        <f>'New Counts Pivot Table'!D$30</f>
        <v>398</v>
      </c>
      <c r="V39" s="271">
        <f>'New Counts Pivot Table'!E$30</f>
        <v>101</v>
      </c>
      <c r="W39" s="271">
        <f>'New Counts Pivot Table'!F$30</f>
        <v>0</v>
      </c>
      <c r="X39" s="674">
        <f>'New Counts Pivot Table'!G$30</f>
        <v>20</v>
      </c>
      <c r="Y39" s="270">
        <f>'New Counts Pivot Table'!H$30</f>
        <v>2682</v>
      </c>
      <c r="Z39" s="270">
        <f>'New Counts Pivot Table'!I$30</f>
        <v>0</v>
      </c>
      <c r="AA39" s="271">
        <f>'New Counts Pivot Table'!J$30</f>
        <v>0</v>
      </c>
      <c r="AB39" s="271">
        <f>'New Counts Pivot Table'!K$30</f>
        <v>0</v>
      </c>
      <c r="AC39" s="271">
        <f>'New Counts Pivot Table'!L$30</f>
        <v>0</v>
      </c>
      <c r="AD39" s="271">
        <f>'New Counts Pivot Table'!M$30</f>
        <v>0</v>
      </c>
      <c r="AE39" s="270">
        <f>'New Counts Pivot Table'!N$30</f>
        <v>0</v>
      </c>
      <c r="AF39" s="270">
        <f>'New Counts Pivot Table'!O$30</f>
        <v>0</v>
      </c>
      <c r="AG39" s="271">
        <f>'New Counts Pivot Table'!P$30</f>
        <v>0</v>
      </c>
      <c r="AH39" s="270">
        <f>'New Counts Pivot Table'!Q$30</f>
        <v>0</v>
      </c>
    </row>
    <row r="40" spans="1:36" x14ac:dyDescent="0.2">
      <c r="A40" s="690"/>
      <c r="B40" s="258" t="s">
        <v>5</v>
      </c>
      <c r="C40" s="266">
        <f t="shared" si="24"/>
        <v>0.22250147841513898</v>
      </c>
      <c r="D40" s="267">
        <f t="shared" si="25"/>
        <v>0.17534246575342466</v>
      </c>
      <c r="E40" s="267">
        <f t="shared" si="26"/>
        <v>0.29425465838509318</v>
      </c>
      <c r="F40" s="267">
        <f t="shared" si="27"/>
        <v>0.33098591549295775</v>
      </c>
      <c r="G40" s="267">
        <f t="shared" si="27"/>
        <v>0</v>
      </c>
      <c r="H40" s="267">
        <f t="shared" si="27"/>
        <v>0.26470588235294118</v>
      </c>
      <c r="I40" s="266">
        <f t="shared" si="28"/>
        <v>0.23404484691677446</v>
      </c>
      <c r="J40" s="266">
        <f t="shared" si="29"/>
        <v>0</v>
      </c>
      <c r="K40" s="267">
        <f t="shared" si="30"/>
        <v>0</v>
      </c>
      <c r="L40" s="267">
        <f t="shared" si="30"/>
        <v>0</v>
      </c>
      <c r="M40" s="268">
        <f t="shared" si="31"/>
        <v>0</v>
      </c>
      <c r="N40" s="266">
        <f t="shared" si="32"/>
        <v>0</v>
      </c>
      <c r="O40" s="266">
        <f t="shared" si="33"/>
        <v>0</v>
      </c>
      <c r="P40" s="268">
        <f t="shared" si="33"/>
        <v>0</v>
      </c>
      <c r="Q40" s="685">
        <f t="shared" si="33"/>
        <v>0</v>
      </c>
      <c r="R40" s="269"/>
      <c r="S40" s="270">
        <f>'New Counts Pivot Table'!B$31</f>
        <v>1505</v>
      </c>
      <c r="T40" s="271">
        <f>'New Counts Pivot Table'!C$31</f>
        <v>128</v>
      </c>
      <c r="U40" s="271">
        <f>'New Counts Pivot Table'!D$31</f>
        <v>379</v>
      </c>
      <c r="V40" s="271">
        <f>'New Counts Pivot Table'!E$31</f>
        <v>141</v>
      </c>
      <c r="W40" s="271">
        <f>'New Counts Pivot Table'!F$31</f>
        <v>0</v>
      </c>
      <c r="X40" s="674">
        <f>'New Counts Pivot Table'!G$31</f>
        <v>18</v>
      </c>
      <c r="Y40" s="270">
        <f>'New Counts Pivot Table'!H$31</f>
        <v>2171</v>
      </c>
      <c r="Z40" s="270">
        <f>'New Counts Pivot Table'!I$31</f>
        <v>0</v>
      </c>
      <c r="AA40" s="271">
        <f>'New Counts Pivot Table'!J$31</f>
        <v>0</v>
      </c>
      <c r="AB40" s="271">
        <f>'New Counts Pivot Table'!K$31</f>
        <v>0</v>
      </c>
      <c r="AC40" s="271">
        <f>'New Counts Pivot Table'!L$31</f>
        <v>0</v>
      </c>
      <c r="AD40" s="271">
        <f>'New Counts Pivot Table'!M$31</f>
        <v>0</v>
      </c>
      <c r="AE40" s="270">
        <f>'New Counts Pivot Table'!N$31</f>
        <v>0</v>
      </c>
      <c r="AF40" s="270">
        <f>'New Counts Pivot Table'!O$31</f>
        <v>0</v>
      </c>
      <c r="AG40" s="271">
        <f>'New Counts Pivot Table'!P$31</f>
        <v>0</v>
      </c>
      <c r="AH40" s="270">
        <f>'New Counts Pivot Table'!Q$31</f>
        <v>0</v>
      </c>
    </row>
    <row r="41" spans="1:36" x14ac:dyDescent="0.2">
      <c r="A41" s="690"/>
      <c r="B41" s="258" t="s">
        <v>6</v>
      </c>
      <c r="C41" s="266">
        <f t="shared" si="24"/>
        <v>0.11309875813128327</v>
      </c>
      <c r="D41" s="267">
        <f t="shared" si="25"/>
        <v>0.23698630136986301</v>
      </c>
      <c r="E41" s="267">
        <f t="shared" si="26"/>
        <v>0.15217391304347827</v>
      </c>
      <c r="F41" s="267">
        <f t="shared" si="27"/>
        <v>0.25117370892018781</v>
      </c>
      <c r="G41" s="267">
        <f t="shared" si="27"/>
        <v>0</v>
      </c>
      <c r="H41" s="267">
        <f t="shared" si="27"/>
        <v>1.4705882352941176E-2</v>
      </c>
      <c r="I41" s="266">
        <f t="shared" si="28"/>
        <v>0.13389391979301424</v>
      </c>
      <c r="J41" s="266">
        <f t="shared" si="29"/>
        <v>0</v>
      </c>
      <c r="K41" s="267">
        <f t="shared" si="30"/>
        <v>0</v>
      </c>
      <c r="L41" s="267">
        <f t="shared" si="30"/>
        <v>0</v>
      </c>
      <c r="M41" s="268">
        <f t="shared" si="31"/>
        <v>0</v>
      </c>
      <c r="N41" s="266">
        <f t="shared" si="32"/>
        <v>0</v>
      </c>
      <c r="O41" s="266">
        <f t="shared" si="33"/>
        <v>0</v>
      </c>
      <c r="P41" s="268">
        <f t="shared" si="33"/>
        <v>0</v>
      </c>
      <c r="Q41" s="685">
        <f t="shared" si="33"/>
        <v>0</v>
      </c>
      <c r="R41" s="269"/>
      <c r="S41" s="270">
        <f>'New Counts Pivot Table'!B$32</f>
        <v>765</v>
      </c>
      <c r="T41" s="271">
        <f>'New Counts Pivot Table'!C$32</f>
        <v>173</v>
      </c>
      <c r="U41" s="271">
        <f>'New Counts Pivot Table'!D$32</f>
        <v>196</v>
      </c>
      <c r="V41" s="271">
        <f>'New Counts Pivot Table'!E$32</f>
        <v>107</v>
      </c>
      <c r="W41" s="271">
        <f>'New Counts Pivot Table'!F$32</f>
        <v>0</v>
      </c>
      <c r="X41" s="674">
        <f>'New Counts Pivot Table'!G$32</f>
        <v>1</v>
      </c>
      <c r="Y41" s="270">
        <f>'New Counts Pivot Table'!H$32</f>
        <v>1242</v>
      </c>
      <c r="Z41" s="270">
        <f>'New Counts Pivot Table'!I$32</f>
        <v>0</v>
      </c>
      <c r="AA41" s="271">
        <f>'New Counts Pivot Table'!J$32</f>
        <v>0</v>
      </c>
      <c r="AB41" s="271">
        <f>'New Counts Pivot Table'!K$32</f>
        <v>0</v>
      </c>
      <c r="AC41" s="271">
        <f>'New Counts Pivot Table'!L$32</f>
        <v>0</v>
      </c>
      <c r="AD41" s="271">
        <f>'New Counts Pivot Table'!M$32</f>
        <v>0</v>
      </c>
      <c r="AE41" s="270">
        <f>'New Counts Pivot Table'!N$32</f>
        <v>0</v>
      </c>
      <c r="AF41" s="270">
        <f>'New Counts Pivot Table'!O$32</f>
        <v>0</v>
      </c>
      <c r="AG41" s="271">
        <f>'New Counts Pivot Table'!P$32</f>
        <v>0</v>
      </c>
      <c r="AH41" s="270">
        <f>'New Counts Pivot Table'!Q$32</f>
        <v>0</v>
      </c>
    </row>
    <row r="42" spans="1:36" x14ac:dyDescent="0.2">
      <c r="A42" s="690"/>
      <c r="B42" s="258" t="s">
        <v>26</v>
      </c>
      <c r="C42" s="266">
        <f t="shared" si="24"/>
        <v>9.0183323477232402E-2</v>
      </c>
      <c r="D42" s="267">
        <f t="shared" si="25"/>
        <v>2.7397260273972603E-3</v>
      </c>
      <c r="E42" s="267">
        <f t="shared" si="26"/>
        <v>2.406832298136646E-2</v>
      </c>
      <c r="F42" s="267">
        <f t="shared" si="27"/>
        <v>2.3474178403755869E-3</v>
      </c>
      <c r="G42" s="267">
        <f t="shared" si="27"/>
        <v>0</v>
      </c>
      <c r="H42" s="267">
        <f t="shared" si="27"/>
        <v>0</v>
      </c>
      <c r="I42" s="266">
        <f t="shared" si="28"/>
        <v>6.9426476929711087E-2</v>
      </c>
      <c r="J42" s="266">
        <f t="shared" si="29"/>
        <v>0</v>
      </c>
      <c r="K42" s="267">
        <f t="shared" si="30"/>
        <v>0</v>
      </c>
      <c r="L42" s="267">
        <f t="shared" si="30"/>
        <v>0</v>
      </c>
      <c r="M42" s="268">
        <f t="shared" si="31"/>
        <v>0</v>
      </c>
      <c r="N42" s="266">
        <f t="shared" si="32"/>
        <v>0</v>
      </c>
      <c r="O42" s="266">
        <f t="shared" si="33"/>
        <v>0</v>
      </c>
      <c r="P42" s="268">
        <f t="shared" si="33"/>
        <v>0</v>
      </c>
      <c r="Q42" s="685">
        <f t="shared" si="33"/>
        <v>0</v>
      </c>
      <c r="R42" s="269"/>
      <c r="S42" s="270">
        <f>'New Counts Pivot Table'!B$33</f>
        <v>610</v>
      </c>
      <c r="T42" s="271">
        <f>'New Counts Pivot Table'!C$33</f>
        <v>2</v>
      </c>
      <c r="U42" s="271">
        <f>'New Counts Pivot Table'!D$33</f>
        <v>31</v>
      </c>
      <c r="V42" s="271">
        <f>'New Counts Pivot Table'!E$33</f>
        <v>1</v>
      </c>
      <c r="W42" s="271">
        <f>'New Counts Pivot Table'!F$33</f>
        <v>0</v>
      </c>
      <c r="X42" s="674">
        <f>'New Counts Pivot Table'!G$33</f>
        <v>0</v>
      </c>
      <c r="Y42" s="270">
        <f>'New Counts Pivot Table'!H$33</f>
        <v>644</v>
      </c>
      <c r="Z42" s="270">
        <f>'New Counts Pivot Table'!I$33</f>
        <v>0</v>
      </c>
      <c r="AA42" s="271">
        <f>'New Counts Pivot Table'!J$33</f>
        <v>0</v>
      </c>
      <c r="AB42" s="271">
        <f>'New Counts Pivot Table'!K$33</f>
        <v>0</v>
      </c>
      <c r="AC42" s="271">
        <f>'New Counts Pivot Table'!L$33</f>
        <v>0</v>
      </c>
      <c r="AD42" s="271">
        <f>'New Counts Pivot Table'!M$33</f>
        <v>0</v>
      </c>
      <c r="AE42" s="270">
        <f>'New Counts Pivot Table'!N$33</f>
        <v>0</v>
      </c>
      <c r="AF42" s="270">
        <f>'New Counts Pivot Table'!O$33</f>
        <v>0</v>
      </c>
      <c r="AG42" s="271">
        <f>'New Counts Pivot Table'!P$33</f>
        <v>0</v>
      </c>
      <c r="AH42" s="270">
        <f>'New Counts Pivot Table'!Q$33</f>
        <v>0</v>
      </c>
    </row>
    <row r="43" spans="1:36" x14ac:dyDescent="0.2">
      <c r="A43" s="690"/>
      <c r="B43" s="258" t="s">
        <v>23</v>
      </c>
      <c r="C43" s="266">
        <f t="shared" si="24"/>
        <v>0</v>
      </c>
      <c r="D43" s="267">
        <f t="shared" si="25"/>
        <v>0</v>
      </c>
      <c r="E43" s="267">
        <f t="shared" si="26"/>
        <v>0</v>
      </c>
      <c r="F43" s="267">
        <f t="shared" si="27"/>
        <v>0</v>
      </c>
      <c r="G43" s="267">
        <f t="shared" si="27"/>
        <v>0</v>
      </c>
      <c r="H43" s="267">
        <f t="shared" si="27"/>
        <v>0</v>
      </c>
      <c r="I43" s="266">
        <f t="shared" si="28"/>
        <v>0</v>
      </c>
      <c r="J43" s="266">
        <f t="shared" si="29"/>
        <v>1</v>
      </c>
      <c r="K43" s="267">
        <f t="shared" si="30"/>
        <v>1</v>
      </c>
      <c r="L43" s="267">
        <f t="shared" si="30"/>
        <v>1</v>
      </c>
      <c r="M43" s="268">
        <f t="shared" si="31"/>
        <v>1</v>
      </c>
      <c r="N43" s="266">
        <f t="shared" si="32"/>
        <v>1</v>
      </c>
      <c r="O43" s="266">
        <f t="shared" si="33"/>
        <v>0</v>
      </c>
      <c r="P43" s="268">
        <f t="shared" si="33"/>
        <v>0</v>
      </c>
      <c r="Q43" s="685">
        <f t="shared" si="33"/>
        <v>0</v>
      </c>
      <c r="R43" s="269"/>
      <c r="S43" s="270">
        <f>'New Counts Pivot Table'!B$34</f>
        <v>0</v>
      </c>
      <c r="T43" s="271">
        <f>'New Counts Pivot Table'!C$34</f>
        <v>0</v>
      </c>
      <c r="U43" s="271">
        <f>'New Counts Pivot Table'!D$34</f>
        <v>0</v>
      </c>
      <c r="V43" s="271">
        <f>'New Counts Pivot Table'!E$34</f>
        <v>0</v>
      </c>
      <c r="W43" s="271">
        <f>'New Counts Pivot Table'!F$34</f>
        <v>0</v>
      </c>
      <c r="X43" s="674">
        <f>'New Counts Pivot Table'!G$34</f>
        <v>0</v>
      </c>
      <c r="Y43" s="270">
        <f>'New Counts Pivot Table'!H$34</f>
        <v>0</v>
      </c>
      <c r="Z43" s="270">
        <f>'New Counts Pivot Table'!I$34</f>
        <v>2252</v>
      </c>
      <c r="AA43" s="271">
        <f>'New Counts Pivot Table'!J$34</f>
        <v>2980</v>
      </c>
      <c r="AB43" s="271">
        <f>'New Counts Pivot Table'!K$34</f>
        <v>434</v>
      </c>
      <c r="AC43" s="271">
        <f>'New Counts Pivot Table'!L$34</f>
        <v>59</v>
      </c>
      <c r="AD43" s="271">
        <f>'New Counts Pivot Table'!M$34</f>
        <v>0</v>
      </c>
      <c r="AE43" s="270">
        <f>'New Counts Pivot Table'!N$34</f>
        <v>5725</v>
      </c>
      <c r="AF43" s="270">
        <f>'New Counts Pivot Table'!O$34</f>
        <v>0</v>
      </c>
      <c r="AG43" s="271">
        <f>'New Counts Pivot Table'!P$34</f>
        <v>0</v>
      </c>
      <c r="AH43" s="270">
        <f>'New Counts Pivot Table'!Q$34</f>
        <v>0</v>
      </c>
    </row>
    <row r="44" spans="1:36" s="280" customFormat="1" x14ac:dyDescent="0.25">
      <c r="A44" s="691"/>
      <c r="B44" s="272" t="s">
        <v>220</v>
      </c>
      <c r="C44" s="273">
        <f t="shared" si="24"/>
        <v>1</v>
      </c>
      <c r="D44" s="274">
        <f t="shared" si="25"/>
        <v>1</v>
      </c>
      <c r="E44" s="274">
        <f t="shared" si="26"/>
        <v>1</v>
      </c>
      <c r="F44" s="274">
        <f t="shared" si="27"/>
        <v>1</v>
      </c>
      <c r="G44" s="274">
        <f t="shared" si="27"/>
        <v>0</v>
      </c>
      <c r="H44" s="274">
        <f t="shared" si="27"/>
        <v>1</v>
      </c>
      <c r="I44" s="273">
        <f t="shared" si="28"/>
        <v>1</v>
      </c>
      <c r="J44" s="273">
        <f t="shared" si="29"/>
        <v>1</v>
      </c>
      <c r="K44" s="274">
        <f t="shared" si="30"/>
        <v>1</v>
      </c>
      <c r="L44" s="274">
        <f t="shared" si="30"/>
        <v>1</v>
      </c>
      <c r="M44" s="275">
        <f t="shared" si="31"/>
        <v>1</v>
      </c>
      <c r="N44" s="273">
        <f t="shared" si="32"/>
        <v>1</v>
      </c>
      <c r="O44" s="273">
        <f t="shared" si="33"/>
        <v>0</v>
      </c>
      <c r="P44" s="275">
        <f t="shared" si="33"/>
        <v>0</v>
      </c>
      <c r="Q44" s="686">
        <f t="shared" si="33"/>
        <v>0</v>
      </c>
      <c r="R44" s="276"/>
      <c r="S44" s="277">
        <f>'New Counts Pivot Table'!B$35</f>
        <v>6764</v>
      </c>
      <c r="T44" s="278">
        <f>'New Counts Pivot Table'!C$35</f>
        <v>730</v>
      </c>
      <c r="U44" s="278">
        <f>'New Counts Pivot Table'!D$35</f>
        <v>1288</v>
      </c>
      <c r="V44" s="278">
        <f>'New Counts Pivot Table'!E$35</f>
        <v>426</v>
      </c>
      <c r="W44" s="278">
        <f>'New Counts Pivot Table'!F$35</f>
        <v>0</v>
      </c>
      <c r="X44" s="675">
        <f>'New Counts Pivot Table'!G$35</f>
        <v>68</v>
      </c>
      <c r="Y44" s="277">
        <f>'New Counts Pivot Table'!H$35</f>
        <v>9276</v>
      </c>
      <c r="Z44" s="277">
        <f>'New Counts Pivot Table'!I$35</f>
        <v>2252</v>
      </c>
      <c r="AA44" s="278">
        <f>'New Counts Pivot Table'!J$35</f>
        <v>2980</v>
      </c>
      <c r="AB44" s="278">
        <f>'New Counts Pivot Table'!K$35</f>
        <v>434</v>
      </c>
      <c r="AC44" s="278">
        <f>'New Counts Pivot Table'!L$35</f>
        <v>59</v>
      </c>
      <c r="AD44" s="278">
        <f>'New Counts Pivot Table'!M$35</f>
        <v>0</v>
      </c>
      <c r="AE44" s="277">
        <f>'New Counts Pivot Table'!N$35</f>
        <v>5725</v>
      </c>
      <c r="AF44" s="277">
        <f>'New Counts Pivot Table'!O$35</f>
        <v>0</v>
      </c>
      <c r="AG44" s="278">
        <f>'New Counts Pivot Table'!P$35</f>
        <v>0</v>
      </c>
      <c r="AH44" s="277">
        <f>'New Counts Pivot Table'!Q$35</f>
        <v>0</v>
      </c>
      <c r="AI44" s="279"/>
      <c r="AJ44" s="279"/>
    </row>
    <row r="45" spans="1:36" x14ac:dyDescent="0.2">
      <c r="A45" s="692" t="s">
        <v>35</v>
      </c>
      <c r="B45" s="259" t="s">
        <v>3</v>
      </c>
      <c r="C45" s="260">
        <f t="shared" ref="C45:C51" si="34">S45/S$51</f>
        <v>0.3192346424974824</v>
      </c>
      <c r="D45" s="261">
        <f t="shared" ref="D45:D51" si="35">IFERROR(T45/T$51,0)</f>
        <v>0.41131351869606902</v>
      </c>
      <c r="E45" s="261">
        <f t="shared" ref="E45:E51" si="36">U45/U$51</f>
        <v>0.22511848341232227</v>
      </c>
      <c r="F45" s="261">
        <f t="shared" ref="F45:H51" si="37">IFERROR(V45/V$51,0)</f>
        <v>0.20194986072423399</v>
      </c>
      <c r="G45" s="261">
        <f t="shared" si="37"/>
        <v>0.14766355140186915</v>
      </c>
      <c r="H45" s="261">
        <f t="shared" si="37"/>
        <v>6.1776061776061778E-2</v>
      </c>
      <c r="I45" s="260">
        <f t="shared" ref="I45:I51" si="38">Y45/Y$51</f>
        <v>0.25860715487271502</v>
      </c>
      <c r="J45" s="260">
        <f t="shared" ref="J45:J51" si="39">IFERROR(Z45/Z$51,0)</f>
        <v>0.15489749430523919</v>
      </c>
      <c r="K45" s="261">
        <f t="shared" ref="K45:L51" si="40">AA45/AA$51</f>
        <v>7.7868852459016397E-2</v>
      </c>
      <c r="L45" s="261">
        <f t="shared" si="40"/>
        <v>7.7247191011235949E-2</v>
      </c>
      <c r="M45" s="262">
        <f t="shared" ref="M45:M51" si="41">IFERROR(AC45/AC$51,0)</f>
        <v>6.5573770491803282E-2</v>
      </c>
      <c r="N45" s="260">
        <f t="shared" ref="N45:N51" si="42">AE45/AE$51</f>
        <v>9.7058823529411767E-2</v>
      </c>
      <c r="O45" s="260">
        <f t="shared" ref="O45:Q51" si="43">IFERROR(AF45/AF$51,0)</f>
        <v>0</v>
      </c>
      <c r="P45" s="262">
        <f t="shared" si="43"/>
        <v>0</v>
      </c>
      <c r="Q45" s="684">
        <f t="shared" si="43"/>
        <v>0</v>
      </c>
      <c r="R45" s="263"/>
      <c r="S45" s="264">
        <f>'New Counts Pivot Table'!B$37</f>
        <v>951</v>
      </c>
      <c r="T45" s="265">
        <f>'New Counts Pivot Table'!C$37</f>
        <v>429</v>
      </c>
      <c r="U45" s="265">
        <f>'New Counts Pivot Table'!D$37</f>
        <v>380</v>
      </c>
      <c r="V45" s="265">
        <f>'New Counts Pivot Table'!E$37</f>
        <v>435</v>
      </c>
      <c r="W45" s="265">
        <f>'New Counts Pivot Table'!F$37</f>
        <v>79</v>
      </c>
      <c r="X45" s="673">
        <f>'New Counts Pivot Table'!G$37</f>
        <v>32</v>
      </c>
      <c r="Y45" s="264">
        <f>'New Counts Pivot Table'!H$37</f>
        <v>2306</v>
      </c>
      <c r="Z45" s="264">
        <f>'New Counts Pivot Table'!I$37</f>
        <v>68</v>
      </c>
      <c r="AA45" s="265">
        <f>'New Counts Pivot Table'!J$37</f>
        <v>38</v>
      </c>
      <c r="AB45" s="265">
        <f>'New Counts Pivot Table'!K$37</f>
        <v>55</v>
      </c>
      <c r="AC45" s="265">
        <f>'New Counts Pivot Table'!L$37</f>
        <v>4</v>
      </c>
      <c r="AD45" s="265">
        <f>'New Counts Pivot Table'!M$37</f>
        <v>0</v>
      </c>
      <c r="AE45" s="264">
        <f>'New Counts Pivot Table'!N$37</f>
        <v>165</v>
      </c>
      <c r="AF45" s="264">
        <f>'New Counts Pivot Table'!O$37</f>
        <v>0</v>
      </c>
      <c r="AG45" s="265">
        <f>'New Counts Pivot Table'!P$37</f>
        <v>0</v>
      </c>
      <c r="AH45" s="264">
        <f>'New Counts Pivot Table'!Q$37</f>
        <v>0</v>
      </c>
    </row>
    <row r="46" spans="1:36" x14ac:dyDescent="0.2">
      <c r="A46" s="690"/>
      <c r="B46" s="258" t="s">
        <v>4</v>
      </c>
      <c r="C46" s="266">
        <f t="shared" si="34"/>
        <v>0.28163813360187984</v>
      </c>
      <c r="D46" s="267">
        <f t="shared" si="35"/>
        <v>0.25215723873441992</v>
      </c>
      <c r="E46" s="267">
        <f t="shared" si="36"/>
        <v>0.2381516587677725</v>
      </c>
      <c r="F46" s="267">
        <f t="shared" si="37"/>
        <v>0.24048282265552459</v>
      </c>
      <c r="G46" s="267">
        <f t="shared" si="37"/>
        <v>0.2691588785046729</v>
      </c>
      <c r="H46" s="267">
        <f t="shared" si="37"/>
        <v>0.24324324324324326</v>
      </c>
      <c r="I46" s="266">
        <f t="shared" si="38"/>
        <v>0.2570371201076595</v>
      </c>
      <c r="J46" s="266">
        <f t="shared" si="39"/>
        <v>0.28018223234624146</v>
      </c>
      <c r="K46" s="267">
        <f t="shared" si="40"/>
        <v>0.23975409836065573</v>
      </c>
      <c r="L46" s="267">
        <f t="shared" si="40"/>
        <v>0.21769662921348315</v>
      </c>
      <c r="M46" s="268">
        <f t="shared" si="41"/>
        <v>0.31147540983606559</v>
      </c>
      <c r="N46" s="266">
        <f t="shared" si="42"/>
        <v>0.24352941176470588</v>
      </c>
      <c r="O46" s="266">
        <f t="shared" si="43"/>
        <v>0</v>
      </c>
      <c r="P46" s="268">
        <f t="shared" si="43"/>
        <v>0</v>
      </c>
      <c r="Q46" s="685">
        <f t="shared" si="43"/>
        <v>0</v>
      </c>
      <c r="R46" s="269"/>
      <c r="S46" s="270">
        <f>'New Counts Pivot Table'!B$38</f>
        <v>839</v>
      </c>
      <c r="T46" s="271">
        <f>'New Counts Pivot Table'!C$38</f>
        <v>263</v>
      </c>
      <c r="U46" s="271">
        <f>'New Counts Pivot Table'!D$38</f>
        <v>402</v>
      </c>
      <c r="V46" s="271">
        <f>'New Counts Pivot Table'!E$38</f>
        <v>518</v>
      </c>
      <c r="W46" s="271">
        <f>'New Counts Pivot Table'!F$38</f>
        <v>144</v>
      </c>
      <c r="X46" s="674">
        <f>'New Counts Pivot Table'!G$38</f>
        <v>126</v>
      </c>
      <c r="Y46" s="270">
        <f>'New Counts Pivot Table'!H$38</f>
        <v>2292</v>
      </c>
      <c r="Z46" s="270">
        <f>'New Counts Pivot Table'!I$38</f>
        <v>123</v>
      </c>
      <c r="AA46" s="271">
        <f>'New Counts Pivot Table'!J$38</f>
        <v>117</v>
      </c>
      <c r="AB46" s="271">
        <f>'New Counts Pivot Table'!K$38</f>
        <v>155</v>
      </c>
      <c r="AC46" s="271">
        <f>'New Counts Pivot Table'!L$38</f>
        <v>19</v>
      </c>
      <c r="AD46" s="271">
        <f>'New Counts Pivot Table'!M$38</f>
        <v>0</v>
      </c>
      <c r="AE46" s="270">
        <f>'New Counts Pivot Table'!N$38</f>
        <v>414</v>
      </c>
      <c r="AF46" s="270">
        <f>'New Counts Pivot Table'!O$38</f>
        <v>0</v>
      </c>
      <c r="AG46" s="271">
        <f>'New Counts Pivot Table'!P$38</f>
        <v>0</v>
      </c>
      <c r="AH46" s="270">
        <f>'New Counts Pivot Table'!Q$38</f>
        <v>0</v>
      </c>
    </row>
    <row r="47" spans="1:36" x14ac:dyDescent="0.2">
      <c r="A47" s="690"/>
      <c r="B47" s="258" t="s">
        <v>5</v>
      </c>
      <c r="C47" s="266">
        <f t="shared" si="34"/>
        <v>0.2534407519301779</v>
      </c>
      <c r="D47" s="267">
        <f t="shared" si="35"/>
        <v>0.20709491850431447</v>
      </c>
      <c r="E47" s="267">
        <f t="shared" si="36"/>
        <v>0.3246445497630332</v>
      </c>
      <c r="F47" s="267">
        <f t="shared" si="37"/>
        <v>0.35793871866295263</v>
      </c>
      <c r="G47" s="267">
        <f t="shared" si="37"/>
        <v>0.3663551401869159</v>
      </c>
      <c r="H47" s="267">
        <f t="shared" si="37"/>
        <v>0.65057915057915061</v>
      </c>
      <c r="I47" s="266">
        <f t="shared" si="38"/>
        <v>0.31658629583940789</v>
      </c>
      <c r="J47" s="266">
        <f t="shared" si="39"/>
        <v>0.4191343963553531</v>
      </c>
      <c r="K47" s="267">
        <f t="shared" si="40"/>
        <v>0.25204918032786883</v>
      </c>
      <c r="L47" s="267">
        <f t="shared" si="40"/>
        <v>0.4297752808988764</v>
      </c>
      <c r="M47" s="268">
        <f t="shared" si="41"/>
        <v>0.26229508196721313</v>
      </c>
      <c r="N47" s="266">
        <f t="shared" si="42"/>
        <v>0.37</v>
      </c>
      <c r="O47" s="266">
        <f t="shared" si="43"/>
        <v>0</v>
      </c>
      <c r="P47" s="268">
        <f t="shared" si="43"/>
        <v>0</v>
      </c>
      <c r="Q47" s="685">
        <f t="shared" si="43"/>
        <v>0</v>
      </c>
      <c r="R47" s="269"/>
      <c r="S47" s="270">
        <f>'New Counts Pivot Table'!B$39</f>
        <v>755</v>
      </c>
      <c r="T47" s="271">
        <f>'New Counts Pivot Table'!C$39</f>
        <v>216</v>
      </c>
      <c r="U47" s="271">
        <f>'New Counts Pivot Table'!D$39</f>
        <v>548</v>
      </c>
      <c r="V47" s="271">
        <f>'New Counts Pivot Table'!E$39</f>
        <v>771</v>
      </c>
      <c r="W47" s="271">
        <f>'New Counts Pivot Table'!F$39</f>
        <v>196</v>
      </c>
      <c r="X47" s="674">
        <f>'New Counts Pivot Table'!G$39</f>
        <v>337</v>
      </c>
      <c r="Y47" s="270">
        <f>'New Counts Pivot Table'!H$39</f>
        <v>2823</v>
      </c>
      <c r="Z47" s="270">
        <f>'New Counts Pivot Table'!I$39</f>
        <v>184</v>
      </c>
      <c r="AA47" s="271">
        <f>'New Counts Pivot Table'!J$39</f>
        <v>123</v>
      </c>
      <c r="AB47" s="271">
        <f>'New Counts Pivot Table'!K$39</f>
        <v>306</v>
      </c>
      <c r="AC47" s="271">
        <f>'New Counts Pivot Table'!L$39</f>
        <v>16</v>
      </c>
      <c r="AD47" s="271">
        <f>'New Counts Pivot Table'!M$39</f>
        <v>0</v>
      </c>
      <c r="AE47" s="270">
        <f>'New Counts Pivot Table'!N$39</f>
        <v>629</v>
      </c>
      <c r="AF47" s="270">
        <f>'New Counts Pivot Table'!O$39</f>
        <v>0</v>
      </c>
      <c r="AG47" s="271">
        <f>'New Counts Pivot Table'!P$39</f>
        <v>0</v>
      </c>
      <c r="AH47" s="270">
        <f>'New Counts Pivot Table'!Q$39</f>
        <v>0</v>
      </c>
    </row>
    <row r="48" spans="1:36" x14ac:dyDescent="0.2">
      <c r="A48" s="690"/>
      <c r="B48" s="258" t="s">
        <v>6</v>
      </c>
      <c r="C48" s="266">
        <f t="shared" si="34"/>
        <v>3.4239677744209468E-2</v>
      </c>
      <c r="D48" s="267">
        <f t="shared" si="35"/>
        <v>4.6021093000958774E-2</v>
      </c>
      <c r="E48" s="267">
        <f t="shared" si="36"/>
        <v>0.14040284360189573</v>
      </c>
      <c r="F48" s="267">
        <f t="shared" si="37"/>
        <v>9.610027855153204E-2</v>
      </c>
      <c r="G48" s="267">
        <f t="shared" si="37"/>
        <v>0.12336448598130841</v>
      </c>
      <c r="H48" s="267">
        <f t="shared" si="37"/>
        <v>7.7220077220077222E-3</v>
      </c>
      <c r="I48" s="266">
        <f t="shared" si="38"/>
        <v>7.4464505999775707E-2</v>
      </c>
      <c r="J48" s="266">
        <f t="shared" si="39"/>
        <v>0.12300683371298406</v>
      </c>
      <c r="K48" s="267">
        <f t="shared" si="40"/>
        <v>0.40368852459016391</v>
      </c>
      <c r="L48" s="267">
        <f t="shared" si="40"/>
        <v>0.2148876404494382</v>
      </c>
      <c r="M48" s="268">
        <f t="shared" si="41"/>
        <v>0.27868852459016391</v>
      </c>
      <c r="N48" s="266">
        <f t="shared" si="42"/>
        <v>0.24764705882352941</v>
      </c>
      <c r="O48" s="266">
        <f t="shared" si="43"/>
        <v>0</v>
      </c>
      <c r="P48" s="268">
        <f t="shared" si="43"/>
        <v>0</v>
      </c>
      <c r="Q48" s="685">
        <f t="shared" si="43"/>
        <v>0</v>
      </c>
      <c r="R48" s="269"/>
      <c r="S48" s="270">
        <f>'New Counts Pivot Table'!B$40</f>
        <v>102</v>
      </c>
      <c r="T48" s="271">
        <f>'New Counts Pivot Table'!C$40</f>
        <v>48</v>
      </c>
      <c r="U48" s="271">
        <f>'New Counts Pivot Table'!D$40</f>
        <v>237</v>
      </c>
      <c r="V48" s="271">
        <f>'New Counts Pivot Table'!E$40</f>
        <v>207</v>
      </c>
      <c r="W48" s="271">
        <f>'New Counts Pivot Table'!F$40</f>
        <v>66</v>
      </c>
      <c r="X48" s="674">
        <f>'New Counts Pivot Table'!G$40</f>
        <v>4</v>
      </c>
      <c r="Y48" s="270">
        <f>'New Counts Pivot Table'!H$40</f>
        <v>664</v>
      </c>
      <c r="Z48" s="270">
        <f>'New Counts Pivot Table'!I$40</f>
        <v>54</v>
      </c>
      <c r="AA48" s="271">
        <f>'New Counts Pivot Table'!J$40</f>
        <v>197</v>
      </c>
      <c r="AB48" s="271">
        <f>'New Counts Pivot Table'!K$40</f>
        <v>153</v>
      </c>
      <c r="AC48" s="271">
        <f>'New Counts Pivot Table'!L$40</f>
        <v>17</v>
      </c>
      <c r="AD48" s="271">
        <f>'New Counts Pivot Table'!M$40</f>
        <v>0</v>
      </c>
      <c r="AE48" s="270">
        <f>'New Counts Pivot Table'!N$40</f>
        <v>421</v>
      </c>
      <c r="AF48" s="270">
        <f>'New Counts Pivot Table'!O$40</f>
        <v>0</v>
      </c>
      <c r="AG48" s="271">
        <f>'New Counts Pivot Table'!P$40</f>
        <v>0</v>
      </c>
      <c r="AH48" s="270">
        <f>'New Counts Pivot Table'!Q$40</f>
        <v>0</v>
      </c>
    </row>
    <row r="49" spans="1:36" x14ac:dyDescent="0.2">
      <c r="A49" s="690"/>
      <c r="B49" s="258" t="s">
        <v>26</v>
      </c>
      <c r="C49" s="266">
        <f t="shared" si="34"/>
        <v>0.11144679422625042</v>
      </c>
      <c r="D49" s="267">
        <f t="shared" si="35"/>
        <v>8.3413231064237772E-2</v>
      </c>
      <c r="E49" s="267">
        <f t="shared" si="36"/>
        <v>7.1682464454976308E-2</v>
      </c>
      <c r="F49" s="267">
        <f t="shared" si="37"/>
        <v>0.10352831940575673</v>
      </c>
      <c r="G49" s="267">
        <f t="shared" si="37"/>
        <v>9.3457943925233641E-2</v>
      </c>
      <c r="H49" s="267">
        <f t="shared" si="37"/>
        <v>3.6679536679536683E-2</v>
      </c>
      <c r="I49" s="266">
        <f t="shared" si="38"/>
        <v>9.3304923180441854E-2</v>
      </c>
      <c r="J49" s="266">
        <f t="shared" si="39"/>
        <v>2.2779043280182234E-2</v>
      </c>
      <c r="K49" s="267">
        <f t="shared" si="40"/>
        <v>2.663934426229508E-2</v>
      </c>
      <c r="L49" s="267">
        <f t="shared" si="40"/>
        <v>6.0393258426966294E-2</v>
      </c>
      <c r="M49" s="268">
        <f t="shared" si="41"/>
        <v>8.1967213114754092E-2</v>
      </c>
      <c r="N49" s="266">
        <f t="shared" si="42"/>
        <v>4.176470588235294E-2</v>
      </c>
      <c r="O49" s="266">
        <f t="shared" si="43"/>
        <v>0</v>
      </c>
      <c r="P49" s="268">
        <f t="shared" si="43"/>
        <v>0</v>
      </c>
      <c r="Q49" s="685">
        <f t="shared" si="43"/>
        <v>0</v>
      </c>
      <c r="R49" s="269"/>
      <c r="S49" s="270">
        <f>'New Counts Pivot Table'!B$41</f>
        <v>332</v>
      </c>
      <c r="T49" s="271">
        <f>'New Counts Pivot Table'!C$41</f>
        <v>87</v>
      </c>
      <c r="U49" s="271">
        <f>'New Counts Pivot Table'!D$41</f>
        <v>121</v>
      </c>
      <c r="V49" s="271">
        <f>'New Counts Pivot Table'!E$41</f>
        <v>223</v>
      </c>
      <c r="W49" s="271">
        <f>'New Counts Pivot Table'!F$41</f>
        <v>50</v>
      </c>
      <c r="X49" s="674">
        <f>'New Counts Pivot Table'!G$41</f>
        <v>19</v>
      </c>
      <c r="Y49" s="270">
        <f>'New Counts Pivot Table'!H$41</f>
        <v>832</v>
      </c>
      <c r="Z49" s="270">
        <f>'New Counts Pivot Table'!I$41</f>
        <v>10</v>
      </c>
      <c r="AA49" s="271">
        <f>'New Counts Pivot Table'!J$41</f>
        <v>13</v>
      </c>
      <c r="AB49" s="271">
        <f>'New Counts Pivot Table'!K$41</f>
        <v>43</v>
      </c>
      <c r="AC49" s="271">
        <f>'New Counts Pivot Table'!L$41</f>
        <v>5</v>
      </c>
      <c r="AD49" s="271">
        <f>'New Counts Pivot Table'!M$41</f>
        <v>0</v>
      </c>
      <c r="AE49" s="270">
        <f>'New Counts Pivot Table'!N$41</f>
        <v>71</v>
      </c>
      <c r="AF49" s="270">
        <f>'New Counts Pivot Table'!O$41</f>
        <v>0</v>
      </c>
      <c r="AG49" s="271">
        <f>'New Counts Pivot Table'!P$41</f>
        <v>0</v>
      </c>
      <c r="AH49" s="270">
        <f>'New Counts Pivot Table'!Q$41</f>
        <v>0</v>
      </c>
    </row>
    <row r="50" spans="1:36" x14ac:dyDescent="0.2">
      <c r="A50" s="690"/>
      <c r="B50" s="258" t="s">
        <v>23</v>
      </c>
      <c r="C50" s="266">
        <f t="shared" si="34"/>
        <v>0</v>
      </c>
      <c r="D50" s="267">
        <f t="shared" si="35"/>
        <v>0</v>
      </c>
      <c r="E50" s="267">
        <f t="shared" si="36"/>
        <v>0</v>
      </c>
      <c r="F50" s="267">
        <f t="shared" si="37"/>
        <v>0</v>
      </c>
      <c r="G50" s="267">
        <f t="shared" si="37"/>
        <v>0</v>
      </c>
      <c r="H50" s="267">
        <f t="shared" si="37"/>
        <v>0</v>
      </c>
      <c r="I50" s="266">
        <f t="shared" si="38"/>
        <v>0</v>
      </c>
      <c r="J50" s="266">
        <f t="shared" si="39"/>
        <v>0</v>
      </c>
      <c r="K50" s="267">
        <f t="shared" si="40"/>
        <v>0</v>
      </c>
      <c r="L50" s="267">
        <f t="shared" si="40"/>
        <v>0</v>
      </c>
      <c r="M50" s="268">
        <f t="shared" si="41"/>
        <v>0</v>
      </c>
      <c r="N50" s="266">
        <f t="shared" si="42"/>
        <v>0</v>
      </c>
      <c r="O50" s="266">
        <f t="shared" si="43"/>
        <v>1</v>
      </c>
      <c r="P50" s="268">
        <f t="shared" si="43"/>
        <v>0</v>
      </c>
      <c r="Q50" s="685">
        <f t="shared" si="43"/>
        <v>1</v>
      </c>
      <c r="R50" s="269"/>
      <c r="S50" s="270">
        <f>'New Counts Pivot Table'!B$42</f>
        <v>0</v>
      </c>
      <c r="T50" s="271">
        <f>'New Counts Pivot Table'!C$42</f>
        <v>0</v>
      </c>
      <c r="U50" s="271">
        <f>'New Counts Pivot Table'!D$42</f>
        <v>0</v>
      </c>
      <c r="V50" s="271">
        <f>'New Counts Pivot Table'!E$42</f>
        <v>0</v>
      </c>
      <c r="W50" s="271">
        <f>'New Counts Pivot Table'!F$42</f>
        <v>0</v>
      </c>
      <c r="X50" s="674">
        <f>'New Counts Pivot Table'!G$42</f>
        <v>0</v>
      </c>
      <c r="Y50" s="270">
        <f>'New Counts Pivot Table'!H$42</f>
        <v>0</v>
      </c>
      <c r="Z50" s="270">
        <f>'New Counts Pivot Table'!I$42</f>
        <v>0</v>
      </c>
      <c r="AA50" s="271">
        <f>'New Counts Pivot Table'!J$42</f>
        <v>0</v>
      </c>
      <c r="AB50" s="271">
        <f>'New Counts Pivot Table'!K$42</f>
        <v>0</v>
      </c>
      <c r="AC50" s="271">
        <f>'New Counts Pivot Table'!L$42</f>
        <v>0</v>
      </c>
      <c r="AD50" s="271">
        <f>'New Counts Pivot Table'!M$42</f>
        <v>0</v>
      </c>
      <c r="AE50" s="270">
        <f>'New Counts Pivot Table'!N$42</f>
        <v>0</v>
      </c>
      <c r="AF50" s="270">
        <f>'New Counts Pivot Table'!O$42</f>
        <v>2167</v>
      </c>
      <c r="AG50" s="271">
        <f>'New Counts Pivot Table'!P$42</f>
        <v>0</v>
      </c>
      <c r="AH50" s="270">
        <f>'New Counts Pivot Table'!Q$42</f>
        <v>2167</v>
      </c>
    </row>
    <row r="51" spans="1:36" s="280" customFormat="1" x14ac:dyDescent="0.25">
      <c r="A51" s="691"/>
      <c r="B51" s="272" t="s">
        <v>220</v>
      </c>
      <c r="C51" s="273">
        <f t="shared" si="34"/>
        <v>1</v>
      </c>
      <c r="D51" s="274">
        <f t="shared" si="35"/>
        <v>1</v>
      </c>
      <c r="E51" s="274">
        <f t="shared" si="36"/>
        <v>1</v>
      </c>
      <c r="F51" s="274">
        <f t="shared" si="37"/>
        <v>1</v>
      </c>
      <c r="G51" s="274">
        <f t="shared" si="37"/>
        <v>1</v>
      </c>
      <c r="H51" s="274">
        <f t="shared" si="37"/>
        <v>1</v>
      </c>
      <c r="I51" s="273">
        <f t="shared" si="38"/>
        <v>1</v>
      </c>
      <c r="J51" s="273">
        <f t="shared" si="39"/>
        <v>1</v>
      </c>
      <c r="K51" s="274">
        <f t="shared" si="40"/>
        <v>1</v>
      </c>
      <c r="L51" s="274">
        <f t="shared" si="40"/>
        <v>1</v>
      </c>
      <c r="M51" s="275">
        <f t="shared" si="41"/>
        <v>1</v>
      </c>
      <c r="N51" s="273">
        <f t="shared" si="42"/>
        <v>1</v>
      </c>
      <c r="O51" s="273">
        <f t="shared" si="43"/>
        <v>1</v>
      </c>
      <c r="P51" s="275">
        <f t="shared" si="43"/>
        <v>0</v>
      </c>
      <c r="Q51" s="686">
        <f t="shared" si="43"/>
        <v>1</v>
      </c>
      <c r="R51" s="276"/>
      <c r="S51" s="277">
        <f>'New Counts Pivot Table'!B$43</f>
        <v>2979</v>
      </c>
      <c r="T51" s="278">
        <f>'New Counts Pivot Table'!C$43</f>
        <v>1043</v>
      </c>
      <c r="U51" s="278">
        <f>'New Counts Pivot Table'!D$43</f>
        <v>1688</v>
      </c>
      <c r="V51" s="278">
        <f>'New Counts Pivot Table'!E$43</f>
        <v>2154</v>
      </c>
      <c r="W51" s="278">
        <f>'New Counts Pivot Table'!F$43</f>
        <v>535</v>
      </c>
      <c r="X51" s="675">
        <f>'New Counts Pivot Table'!G$43</f>
        <v>518</v>
      </c>
      <c r="Y51" s="277">
        <f>'New Counts Pivot Table'!H$43</f>
        <v>8917</v>
      </c>
      <c r="Z51" s="277">
        <f>'New Counts Pivot Table'!I$43</f>
        <v>439</v>
      </c>
      <c r="AA51" s="278">
        <f>'New Counts Pivot Table'!J$43</f>
        <v>488</v>
      </c>
      <c r="AB51" s="278">
        <f>'New Counts Pivot Table'!K$43</f>
        <v>712</v>
      </c>
      <c r="AC51" s="278">
        <f>'New Counts Pivot Table'!L$43</f>
        <v>61</v>
      </c>
      <c r="AD51" s="278">
        <f>'New Counts Pivot Table'!M$43</f>
        <v>0</v>
      </c>
      <c r="AE51" s="277">
        <f>'New Counts Pivot Table'!N$43</f>
        <v>1700</v>
      </c>
      <c r="AF51" s="277">
        <f>'New Counts Pivot Table'!O$43</f>
        <v>2167</v>
      </c>
      <c r="AG51" s="278">
        <f>'New Counts Pivot Table'!P$43</f>
        <v>0</v>
      </c>
      <c r="AH51" s="277">
        <f>'New Counts Pivot Table'!Q$43</f>
        <v>2167</v>
      </c>
      <c r="AI51" s="279"/>
      <c r="AJ51" s="279"/>
    </row>
    <row r="52" spans="1:36" x14ac:dyDescent="0.2">
      <c r="A52" s="692" t="s">
        <v>36</v>
      </c>
      <c r="B52" s="259" t="s">
        <v>3</v>
      </c>
      <c r="C52" s="260">
        <f t="shared" ref="C52:C58" si="44">S52/S$58</f>
        <v>0.34784520668425684</v>
      </c>
      <c r="D52" s="261">
        <f t="shared" ref="D52:D58" si="45">IFERROR(T52/T$58,0)</f>
        <v>0</v>
      </c>
      <c r="E52" s="261">
        <f t="shared" ref="E52:E58" si="46">U52/U$58</f>
        <v>0.22262118491921004</v>
      </c>
      <c r="F52" s="261">
        <f t="shared" ref="F52:H58" si="47">IFERROR(V52/V$58,0)</f>
        <v>0.16765578635014836</v>
      </c>
      <c r="G52" s="261">
        <f t="shared" si="47"/>
        <v>0</v>
      </c>
      <c r="H52" s="261">
        <f t="shared" si="47"/>
        <v>0</v>
      </c>
      <c r="I52" s="260">
        <f t="shared" ref="I52:I58" si="48">Y52/Y$58</f>
        <v>0.27047913446676969</v>
      </c>
      <c r="J52" s="260">
        <f t="shared" ref="J52:J58" si="49">IFERROR(Z52/Z$58,0)</f>
        <v>0</v>
      </c>
      <c r="K52" s="261">
        <f t="shared" ref="K52:L58" si="50">AA52/AA$58</f>
        <v>0.28421052631578947</v>
      </c>
      <c r="L52" s="261">
        <f t="shared" si="50"/>
        <v>0.33516915814319431</v>
      </c>
      <c r="M52" s="262">
        <f t="shared" ref="M52:M58" si="51">IFERROR(AC52/AC$58,0)</f>
        <v>0.49019607843137253</v>
      </c>
      <c r="N52" s="260">
        <f t="shared" ref="N52:N58" si="52">AE52/AE$58</f>
        <v>0.32399577167019028</v>
      </c>
      <c r="O52" s="260">
        <f t="shared" ref="O52:Q58" si="53">IFERROR(AF52/AF$58,0)</f>
        <v>8.5227272727272721E-2</v>
      </c>
      <c r="P52" s="262">
        <f t="shared" si="53"/>
        <v>0</v>
      </c>
      <c r="Q52" s="684">
        <f t="shared" si="53"/>
        <v>8.5227272727272721E-2</v>
      </c>
      <c r="R52" s="263"/>
      <c r="S52" s="264">
        <f>'New Counts Pivot Table'!B$45</f>
        <v>791</v>
      </c>
      <c r="T52" s="265">
        <f>'New Counts Pivot Table'!C$45</f>
        <v>0</v>
      </c>
      <c r="U52" s="265">
        <f>'New Counts Pivot Table'!D$45</f>
        <v>496</v>
      </c>
      <c r="V52" s="265">
        <f>'New Counts Pivot Table'!E$45</f>
        <v>113</v>
      </c>
      <c r="W52" s="265">
        <f>'New Counts Pivot Table'!F$45</f>
        <v>0</v>
      </c>
      <c r="X52" s="673">
        <f>'New Counts Pivot Table'!G$45</f>
        <v>0</v>
      </c>
      <c r="Y52" s="264">
        <f>'New Counts Pivot Table'!H$45</f>
        <v>1400</v>
      </c>
      <c r="Z52" s="264">
        <f>'New Counts Pivot Table'!I$45</f>
        <v>0</v>
      </c>
      <c r="AA52" s="265">
        <f>'New Counts Pivot Table'!J$45</f>
        <v>162</v>
      </c>
      <c r="AB52" s="265">
        <f>'New Counts Pivot Table'!K$45</f>
        <v>426</v>
      </c>
      <c r="AC52" s="265">
        <f>'New Counts Pivot Table'!L$45</f>
        <v>25</v>
      </c>
      <c r="AD52" s="265">
        <f>'New Counts Pivot Table'!M$45</f>
        <v>0</v>
      </c>
      <c r="AE52" s="264">
        <f>'New Counts Pivot Table'!N$45</f>
        <v>613</v>
      </c>
      <c r="AF52" s="264">
        <f>'New Counts Pivot Table'!O$45</f>
        <v>15</v>
      </c>
      <c r="AG52" s="265">
        <f>'New Counts Pivot Table'!P$45</f>
        <v>0</v>
      </c>
      <c r="AH52" s="264">
        <f>'New Counts Pivot Table'!Q$45</f>
        <v>15</v>
      </c>
    </row>
    <row r="53" spans="1:36" x14ac:dyDescent="0.2">
      <c r="A53" s="690"/>
      <c r="B53" s="258" t="s">
        <v>4</v>
      </c>
      <c r="C53" s="266">
        <f t="shared" si="44"/>
        <v>0.2752858399296394</v>
      </c>
      <c r="D53" s="267">
        <f t="shared" si="45"/>
        <v>0</v>
      </c>
      <c r="E53" s="267">
        <f t="shared" si="46"/>
        <v>0.29488330341113106</v>
      </c>
      <c r="F53" s="267">
        <f t="shared" si="47"/>
        <v>0.30415430267062316</v>
      </c>
      <c r="G53" s="267">
        <f t="shared" si="47"/>
        <v>0</v>
      </c>
      <c r="H53" s="267">
        <f t="shared" si="47"/>
        <v>0</v>
      </c>
      <c r="I53" s="266">
        <f t="shared" si="48"/>
        <v>0.28748068006182381</v>
      </c>
      <c r="J53" s="266">
        <f t="shared" si="49"/>
        <v>0</v>
      </c>
      <c r="K53" s="267">
        <f t="shared" si="50"/>
        <v>0.37017543859649121</v>
      </c>
      <c r="L53" s="267">
        <f t="shared" si="50"/>
        <v>0.26671911880409127</v>
      </c>
      <c r="M53" s="268">
        <f t="shared" si="51"/>
        <v>0.21568627450980393</v>
      </c>
      <c r="N53" s="266">
        <f t="shared" si="52"/>
        <v>0.29651162790697677</v>
      </c>
      <c r="O53" s="266">
        <f t="shared" si="53"/>
        <v>0.22727272727272727</v>
      </c>
      <c r="P53" s="268">
        <f t="shared" si="53"/>
        <v>0</v>
      </c>
      <c r="Q53" s="685">
        <f t="shared" si="53"/>
        <v>0.22727272727272727</v>
      </c>
      <c r="R53" s="269"/>
      <c r="S53" s="270">
        <f>'New Counts Pivot Table'!B$46</f>
        <v>626</v>
      </c>
      <c r="T53" s="271">
        <f>'New Counts Pivot Table'!C$46</f>
        <v>0</v>
      </c>
      <c r="U53" s="271">
        <f>'New Counts Pivot Table'!D$46</f>
        <v>657</v>
      </c>
      <c r="V53" s="271">
        <f>'New Counts Pivot Table'!E$46</f>
        <v>205</v>
      </c>
      <c r="W53" s="271">
        <f>'New Counts Pivot Table'!F$46</f>
        <v>0</v>
      </c>
      <c r="X53" s="674">
        <f>'New Counts Pivot Table'!G$46</f>
        <v>0</v>
      </c>
      <c r="Y53" s="270">
        <f>'New Counts Pivot Table'!H$46</f>
        <v>1488</v>
      </c>
      <c r="Z53" s="270">
        <f>'New Counts Pivot Table'!I$46</f>
        <v>0</v>
      </c>
      <c r="AA53" s="271">
        <f>'New Counts Pivot Table'!J$46</f>
        <v>211</v>
      </c>
      <c r="AB53" s="271">
        <f>'New Counts Pivot Table'!K$46</f>
        <v>339</v>
      </c>
      <c r="AC53" s="271">
        <f>'New Counts Pivot Table'!L$46</f>
        <v>11</v>
      </c>
      <c r="AD53" s="271">
        <f>'New Counts Pivot Table'!M$46</f>
        <v>0</v>
      </c>
      <c r="AE53" s="270">
        <f>'New Counts Pivot Table'!N$46</f>
        <v>561</v>
      </c>
      <c r="AF53" s="270">
        <f>'New Counts Pivot Table'!O$46</f>
        <v>40</v>
      </c>
      <c r="AG53" s="271">
        <f>'New Counts Pivot Table'!P$46</f>
        <v>0</v>
      </c>
      <c r="AH53" s="270">
        <f>'New Counts Pivot Table'!Q$46</f>
        <v>40</v>
      </c>
    </row>
    <row r="54" spans="1:36" x14ac:dyDescent="0.2">
      <c r="A54" s="690"/>
      <c r="B54" s="258" t="s">
        <v>5</v>
      </c>
      <c r="C54" s="266">
        <f t="shared" si="44"/>
        <v>0.25461741424802109</v>
      </c>
      <c r="D54" s="267">
        <f t="shared" si="45"/>
        <v>0</v>
      </c>
      <c r="E54" s="267">
        <f t="shared" si="46"/>
        <v>0.28590664272890487</v>
      </c>
      <c r="F54" s="267">
        <f t="shared" si="47"/>
        <v>0.25964391691394662</v>
      </c>
      <c r="G54" s="267">
        <f t="shared" si="47"/>
        <v>0</v>
      </c>
      <c r="H54" s="267">
        <f t="shared" si="47"/>
        <v>0</v>
      </c>
      <c r="I54" s="266">
        <f t="shared" si="48"/>
        <v>0.26874034003091191</v>
      </c>
      <c r="J54" s="266">
        <f t="shared" si="49"/>
        <v>0</v>
      </c>
      <c r="K54" s="267">
        <f t="shared" si="50"/>
        <v>0.1</v>
      </c>
      <c r="L54" s="267">
        <f t="shared" si="50"/>
        <v>0.15106215578284815</v>
      </c>
      <c r="M54" s="268">
        <f t="shared" si="51"/>
        <v>9.8039215686274508E-2</v>
      </c>
      <c r="N54" s="266">
        <f t="shared" si="52"/>
        <v>0.13424947145877378</v>
      </c>
      <c r="O54" s="266">
        <f t="shared" si="53"/>
        <v>0.32386363636363635</v>
      </c>
      <c r="P54" s="268">
        <f t="shared" si="53"/>
        <v>0</v>
      </c>
      <c r="Q54" s="685">
        <f t="shared" si="53"/>
        <v>0.32386363636363635</v>
      </c>
      <c r="R54" s="269"/>
      <c r="S54" s="270">
        <f>'New Counts Pivot Table'!B$47</f>
        <v>579</v>
      </c>
      <c r="T54" s="271">
        <f>'New Counts Pivot Table'!C$47</f>
        <v>0</v>
      </c>
      <c r="U54" s="271">
        <f>'New Counts Pivot Table'!D$47</f>
        <v>637</v>
      </c>
      <c r="V54" s="271">
        <f>'New Counts Pivot Table'!E$47</f>
        <v>175</v>
      </c>
      <c r="W54" s="271">
        <f>'New Counts Pivot Table'!F$47</f>
        <v>0</v>
      </c>
      <c r="X54" s="674">
        <f>'New Counts Pivot Table'!G$47</f>
        <v>0</v>
      </c>
      <c r="Y54" s="270">
        <f>'New Counts Pivot Table'!H$47</f>
        <v>1391</v>
      </c>
      <c r="Z54" s="270">
        <f>'New Counts Pivot Table'!I$47</f>
        <v>0</v>
      </c>
      <c r="AA54" s="271">
        <f>'New Counts Pivot Table'!J$47</f>
        <v>57</v>
      </c>
      <c r="AB54" s="271">
        <f>'New Counts Pivot Table'!K$47</f>
        <v>192</v>
      </c>
      <c r="AC54" s="271">
        <f>'New Counts Pivot Table'!L$47</f>
        <v>5</v>
      </c>
      <c r="AD54" s="271">
        <f>'New Counts Pivot Table'!M$47</f>
        <v>0</v>
      </c>
      <c r="AE54" s="270">
        <f>'New Counts Pivot Table'!N$47</f>
        <v>254</v>
      </c>
      <c r="AF54" s="270">
        <f>'New Counts Pivot Table'!O$47</f>
        <v>57</v>
      </c>
      <c r="AG54" s="271">
        <f>'New Counts Pivot Table'!P$47</f>
        <v>0</v>
      </c>
      <c r="AH54" s="270">
        <f>'New Counts Pivot Table'!Q$47</f>
        <v>57</v>
      </c>
    </row>
    <row r="55" spans="1:36" x14ac:dyDescent="0.2">
      <c r="A55" s="690"/>
      <c r="B55" s="258" t="s">
        <v>6</v>
      </c>
      <c r="C55" s="266">
        <f t="shared" si="44"/>
        <v>3.8698328935795952E-2</v>
      </c>
      <c r="D55" s="267">
        <f t="shared" si="45"/>
        <v>0</v>
      </c>
      <c r="E55" s="267">
        <f t="shared" si="46"/>
        <v>0.11490125673249552</v>
      </c>
      <c r="F55" s="267">
        <f t="shared" si="47"/>
        <v>3.1157270029673591E-2</v>
      </c>
      <c r="G55" s="267">
        <f t="shared" si="47"/>
        <v>0</v>
      </c>
      <c r="H55" s="267">
        <f t="shared" si="47"/>
        <v>0</v>
      </c>
      <c r="I55" s="266">
        <f t="shared" si="48"/>
        <v>7.0517774343122105E-2</v>
      </c>
      <c r="J55" s="266">
        <f t="shared" si="49"/>
        <v>0</v>
      </c>
      <c r="K55" s="267">
        <f t="shared" si="50"/>
        <v>0.20877192982456141</v>
      </c>
      <c r="L55" s="267">
        <f t="shared" si="50"/>
        <v>0.22738001573564123</v>
      </c>
      <c r="M55" s="268">
        <f t="shared" si="51"/>
        <v>0.17647058823529413</v>
      </c>
      <c r="N55" s="266">
        <f t="shared" si="52"/>
        <v>0.22040169133192389</v>
      </c>
      <c r="O55" s="266">
        <f t="shared" si="53"/>
        <v>0.36363636363636365</v>
      </c>
      <c r="P55" s="268">
        <f t="shared" si="53"/>
        <v>0</v>
      </c>
      <c r="Q55" s="685">
        <f t="shared" si="53"/>
        <v>0.36363636363636365</v>
      </c>
      <c r="R55" s="269"/>
      <c r="S55" s="270">
        <f>'New Counts Pivot Table'!B$48</f>
        <v>88</v>
      </c>
      <c r="T55" s="271">
        <f>'New Counts Pivot Table'!C$48</f>
        <v>0</v>
      </c>
      <c r="U55" s="271">
        <f>'New Counts Pivot Table'!D$48</f>
        <v>256</v>
      </c>
      <c r="V55" s="271">
        <f>'New Counts Pivot Table'!E$48</f>
        <v>21</v>
      </c>
      <c r="W55" s="271">
        <f>'New Counts Pivot Table'!F$48</f>
        <v>0</v>
      </c>
      <c r="X55" s="674">
        <f>'New Counts Pivot Table'!G$48</f>
        <v>0</v>
      </c>
      <c r="Y55" s="270">
        <f>'New Counts Pivot Table'!H$48</f>
        <v>365</v>
      </c>
      <c r="Z55" s="270">
        <f>'New Counts Pivot Table'!I$48</f>
        <v>0</v>
      </c>
      <c r="AA55" s="271">
        <f>'New Counts Pivot Table'!J$48</f>
        <v>119</v>
      </c>
      <c r="AB55" s="271">
        <f>'New Counts Pivot Table'!K$48</f>
        <v>289</v>
      </c>
      <c r="AC55" s="271">
        <f>'New Counts Pivot Table'!L$48</f>
        <v>9</v>
      </c>
      <c r="AD55" s="271">
        <f>'New Counts Pivot Table'!M$48</f>
        <v>0</v>
      </c>
      <c r="AE55" s="270">
        <f>'New Counts Pivot Table'!N$48</f>
        <v>417</v>
      </c>
      <c r="AF55" s="270">
        <f>'New Counts Pivot Table'!O$48</f>
        <v>64</v>
      </c>
      <c r="AG55" s="271">
        <f>'New Counts Pivot Table'!P$48</f>
        <v>0</v>
      </c>
      <c r="AH55" s="270">
        <f>'New Counts Pivot Table'!Q$48</f>
        <v>64</v>
      </c>
    </row>
    <row r="56" spans="1:36" x14ac:dyDescent="0.2">
      <c r="A56" s="690"/>
      <c r="B56" s="258" t="s">
        <v>26</v>
      </c>
      <c r="C56" s="266">
        <f t="shared" si="44"/>
        <v>8.3553210202286718E-2</v>
      </c>
      <c r="D56" s="267">
        <f t="shared" si="45"/>
        <v>0</v>
      </c>
      <c r="E56" s="267">
        <f t="shared" si="46"/>
        <v>8.1687612208258528E-2</v>
      </c>
      <c r="F56" s="267">
        <f t="shared" si="47"/>
        <v>0.23738872403560832</v>
      </c>
      <c r="G56" s="267">
        <f t="shared" si="47"/>
        <v>0</v>
      </c>
      <c r="H56" s="267">
        <f t="shared" si="47"/>
        <v>0</v>
      </c>
      <c r="I56" s="266">
        <f t="shared" si="48"/>
        <v>0.10278207109737249</v>
      </c>
      <c r="J56" s="266">
        <f t="shared" si="49"/>
        <v>0</v>
      </c>
      <c r="K56" s="267">
        <f t="shared" si="50"/>
        <v>3.6842105263157891E-2</v>
      </c>
      <c r="L56" s="267">
        <f t="shared" si="50"/>
        <v>1.9669551534225019E-2</v>
      </c>
      <c r="M56" s="268">
        <f t="shared" si="51"/>
        <v>1.9607843137254902E-2</v>
      </c>
      <c r="N56" s="266">
        <f t="shared" si="52"/>
        <v>2.4841437632135307E-2</v>
      </c>
      <c r="O56" s="266">
        <f t="shared" si="53"/>
        <v>0</v>
      </c>
      <c r="P56" s="268">
        <f t="shared" si="53"/>
        <v>0</v>
      </c>
      <c r="Q56" s="685">
        <f t="shared" si="53"/>
        <v>0</v>
      </c>
      <c r="R56" s="269"/>
      <c r="S56" s="270">
        <f>'New Counts Pivot Table'!B$49</f>
        <v>190</v>
      </c>
      <c r="T56" s="271">
        <f>'New Counts Pivot Table'!C$49</f>
        <v>0</v>
      </c>
      <c r="U56" s="271">
        <f>'New Counts Pivot Table'!D$49</f>
        <v>182</v>
      </c>
      <c r="V56" s="271">
        <f>'New Counts Pivot Table'!E$49</f>
        <v>160</v>
      </c>
      <c r="W56" s="271">
        <f>'New Counts Pivot Table'!F$49</f>
        <v>0</v>
      </c>
      <c r="X56" s="674">
        <f>'New Counts Pivot Table'!G$49</f>
        <v>0</v>
      </c>
      <c r="Y56" s="270">
        <f>'New Counts Pivot Table'!H$49</f>
        <v>532</v>
      </c>
      <c r="Z56" s="270">
        <f>'New Counts Pivot Table'!I$49</f>
        <v>0</v>
      </c>
      <c r="AA56" s="271">
        <f>'New Counts Pivot Table'!J$49</f>
        <v>21</v>
      </c>
      <c r="AB56" s="271">
        <f>'New Counts Pivot Table'!K$49</f>
        <v>25</v>
      </c>
      <c r="AC56" s="271">
        <f>'New Counts Pivot Table'!L$49</f>
        <v>1</v>
      </c>
      <c r="AD56" s="271">
        <f>'New Counts Pivot Table'!M$49</f>
        <v>0</v>
      </c>
      <c r="AE56" s="270">
        <f>'New Counts Pivot Table'!N$49</f>
        <v>47</v>
      </c>
      <c r="AF56" s="270">
        <f>'New Counts Pivot Table'!O$49</f>
        <v>0</v>
      </c>
      <c r="AG56" s="271">
        <f>'New Counts Pivot Table'!P$49</f>
        <v>0</v>
      </c>
      <c r="AH56" s="270">
        <f>'New Counts Pivot Table'!Q$49</f>
        <v>0</v>
      </c>
    </row>
    <row r="57" spans="1:36" x14ac:dyDescent="0.2">
      <c r="A57" s="690"/>
      <c r="B57" s="258" t="s">
        <v>23</v>
      </c>
      <c r="C57" s="266">
        <f t="shared" si="44"/>
        <v>0</v>
      </c>
      <c r="D57" s="267">
        <f t="shared" si="45"/>
        <v>0</v>
      </c>
      <c r="E57" s="267">
        <f t="shared" si="46"/>
        <v>0</v>
      </c>
      <c r="F57" s="267">
        <f t="shared" si="47"/>
        <v>0</v>
      </c>
      <c r="G57" s="267">
        <f t="shared" si="47"/>
        <v>0</v>
      </c>
      <c r="H57" s="267">
        <f t="shared" si="47"/>
        <v>0</v>
      </c>
      <c r="I57" s="266">
        <f t="shared" si="48"/>
        <v>0</v>
      </c>
      <c r="J57" s="266">
        <f t="shared" si="49"/>
        <v>0</v>
      </c>
      <c r="K57" s="267">
        <f t="shared" si="50"/>
        <v>0</v>
      </c>
      <c r="L57" s="267">
        <f t="shared" si="50"/>
        <v>0</v>
      </c>
      <c r="M57" s="268">
        <f t="shared" si="51"/>
        <v>0</v>
      </c>
      <c r="N57" s="266">
        <f t="shared" si="52"/>
        <v>0</v>
      </c>
      <c r="O57" s="266">
        <f t="shared" si="53"/>
        <v>0</v>
      </c>
      <c r="P57" s="268">
        <f t="shared" si="53"/>
        <v>0</v>
      </c>
      <c r="Q57" s="685">
        <f t="shared" si="53"/>
        <v>0</v>
      </c>
      <c r="R57" s="269"/>
      <c r="S57" s="270">
        <f>'New Counts Pivot Table'!B$50</f>
        <v>0</v>
      </c>
      <c r="T57" s="271">
        <f>'New Counts Pivot Table'!C$50</f>
        <v>0</v>
      </c>
      <c r="U57" s="271">
        <f>'New Counts Pivot Table'!D$50</f>
        <v>0</v>
      </c>
      <c r="V57" s="271">
        <f>'New Counts Pivot Table'!E$50</f>
        <v>0</v>
      </c>
      <c r="W57" s="271">
        <f>'New Counts Pivot Table'!F$50</f>
        <v>0</v>
      </c>
      <c r="X57" s="674">
        <f>'New Counts Pivot Table'!G$50</f>
        <v>0</v>
      </c>
      <c r="Y57" s="270">
        <f>'New Counts Pivot Table'!H$50</f>
        <v>0</v>
      </c>
      <c r="Z57" s="270">
        <f>'New Counts Pivot Table'!I$50</f>
        <v>0</v>
      </c>
      <c r="AA57" s="271">
        <f>'New Counts Pivot Table'!J$50</f>
        <v>0</v>
      </c>
      <c r="AB57" s="271">
        <f>'New Counts Pivot Table'!K$50</f>
        <v>0</v>
      </c>
      <c r="AC57" s="271">
        <f>'New Counts Pivot Table'!L$50</f>
        <v>0</v>
      </c>
      <c r="AD57" s="271">
        <f>'New Counts Pivot Table'!M$50</f>
        <v>0</v>
      </c>
      <c r="AE57" s="270">
        <f>'New Counts Pivot Table'!N$50</f>
        <v>0</v>
      </c>
      <c r="AF57" s="270">
        <f>'New Counts Pivot Table'!O$50</f>
        <v>0</v>
      </c>
      <c r="AG57" s="271">
        <f>'New Counts Pivot Table'!P$50</f>
        <v>0</v>
      </c>
      <c r="AH57" s="270">
        <f>'New Counts Pivot Table'!Q$50</f>
        <v>0</v>
      </c>
    </row>
    <row r="58" spans="1:36" s="280" customFormat="1" x14ac:dyDescent="0.25">
      <c r="A58" s="691"/>
      <c r="B58" s="272" t="s">
        <v>220</v>
      </c>
      <c r="C58" s="273">
        <f t="shared" si="44"/>
        <v>1</v>
      </c>
      <c r="D58" s="274">
        <f t="shared" si="45"/>
        <v>0</v>
      </c>
      <c r="E58" s="274">
        <f t="shared" si="46"/>
        <v>1</v>
      </c>
      <c r="F58" s="274">
        <f t="shared" si="47"/>
        <v>1</v>
      </c>
      <c r="G58" s="274">
        <f t="shared" si="47"/>
        <v>0</v>
      </c>
      <c r="H58" s="274">
        <f t="shared" si="47"/>
        <v>0</v>
      </c>
      <c r="I58" s="273">
        <f t="shared" si="48"/>
        <v>1</v>
      </c>
      <c r="J58" s="273">
        <f t="shared" si="49"/>
        <v>0</v>
      </c>
      <c r="K58" s="274">
        <f t="shared" si="50"/>
        <v>1</v>
      </c>
      <c r="L58" s="274">
        <f t="shared" si="50"/>
        <v>1</v>
      </c>
      <c r="M58" s="275">
        <f t="shared" si="51"/>
        <v>1</v>
      </c>
      <c r="N58" s="273">
        <f t="shared" si="52"/>
        <v>1</v>
      </c>
      <c r="O58" s="273">
        <f t="shared" si="53"/>
        <v>1</v>
      </c>
      <c r="P58" s="275">
        <f t="shared" si="53"/>
        <v>0</v>
      </c>
      <c r="Q58" s="686">
        <f t="shared" si="53"/>
        <v>1</v>
      </c>
      <c r="R58" s="276"/>
      <c r="S58" s="277">
        <f>'New Counts Pivot Table'!B$51</f>
        <v>2274</v>
      </c>
      <c r="T58" s="278">
        <f>'New Counts Pivot Table'!C$51</f>
        <v>0</v>
      </c>
      <c r="U58" s="278">
        <f>'New Counts Pivot Table'!D$51</f>
        <v>2228</v>
      </c>
      <c r="V58" s="278">
        <f>'New Counts Pivot Table'!E$51</f>
        <v>674</v>
      </c>
      <c r="W58" s="278">
        <f>'New Counts Pivot Table'!F$51</f>
        <v>0</v>
      </c>
      <c r="X58" s="675">
        <f>'New Counts Pivot Table'!G$51</f>
        <v>0</v>
      </c>
      <c r="Y58" s="277">
        <f>'New Counts Pivot Table'!H$51</f>
        <v>5176</v>
      </c>
      <c r="Z58" s="277">
        <f>'New Counts Pivot Table'!I$51</f>
        <v>0</v>
      </c>
      <c r="AA58" s="278">
        <f>'New Counts Pivot Table'!J$51</f>
        <v>570</v>
      </c>
      <c r="AB58" s="278">
        <f>'New Counts Pivot Table'!K$51</f>
        <v>1271</v>
      </c>
      <c r="AC58" s="278">
        <f>'New Counts Pivot Table'!L$51</f>
        <v>51</v>
      </c>
      <c r="AD58" s="278">
        <f>'New Counts Pivot Table'!M$51</f>
        <v>0</v>
      </c>
      <c r="AE58" s="277">
        <f>'New Counts Pivot Table'!N$51</f>
        <v>1892</v>
      </c>
      <c r="AF58" s="277">
        <f>'New Counts Pivot Table'!O$51</f>
        <v>176</v>
      </c>
      <c r="AG58" s="278">
        <f>'New Counts Pivot Table'!P$51</f>
        <v>0</v>
      </c>
      <c r="AH58" s="277">
        <f>'New Counts Pivot Table'!Q$51</f>
        <v>176</v>
      </c>
      <c r="AI58" s="279"/>
      <c r="AJ58" s="279"/>
    </row>
    <row r="59" spans="1:36" x14ac:dyDescent="0.2">
      <c r="A59" s="692" t="s">
        <v>37</v>
      </c>
      <c r="B59" s="259" t="s">
        <v>3</v>
      </c>
      <c r="C59" s="260">
        <f t="shared" ref="C59:C65" si="54">S59/S$65</f>
        <v>0.33983739837398375</v>
      </c>
      <c r="D59" s="261">
        <f t="shared" ref="D59:D65" si="55">IFERROR(T59/T$65,0)</f>
        <v>0.25346687211093993</v>
      </c>
      <c r="E59" s="261">
        <f t="shared" ref="E59:E65" si="56">U59/U$65</f>
        <v>0.21785714285714286</v>
      </c>
      <c r="F59" s="261">
        <f t="shared" ref="F59:H65" si="57">IFERROR(V59/V$65,0)</f>
        <v>0.19584332533972823</v>
      </c>
      <c r="G59" s="261">
        <f t="shared" si="57"/>
        <v>0</v>
      </c>
      <c r="H59" s="261">
        <f t="shared" si="57"/>
        <v>0.18604651162790697</v>
      </c>
      <c r="I59" s="260">
        <f t="shared" ref="I59:I65" si="58">Y59/Y$65</f>
        <v>0.25115346038114345</v>
      </c>
      <c r="J59" s="260">
        <f t="shared" ref="J59:J65" si="59">IFERROR(Z59/Z$65,0)</f>
        <v>0</v>
      </c>
      <c r="K59" s="261">
        <f t="shared" ref="K59:L65" si="60">AA59/AA$65</f>
        <v>0.13392857142857142</v>
      </c>
      <c r="L59" s="261">
        <f t="shared" si="60"/>
        <v>0.13942307692307693</v>
      </c>
      <c r="M59" s="262">
        <f t="shared" ref="M59:M65" si="61">IFERROR(AC59/AC$65,0)</f>
        <v>7.2727272727272724E-2</v>
      </c>
      <c r="N59" s="260">
        <f t="shared" ref="N59:N65" si="62">AE59/AE$65</f>
        <v>0.12154696132596685</v>
      </c>
      <c r="O59" s="260">
        <f t="shared" ref="O59:Q65" si="63">IFERROR(AF59/AF$65,0)</f>
        <v>7.2164948453608241E-2</v>
      </c>
      <c r="P59" s="262">
        <f t="shared" si="63"/>
        <v>0</v>
      </c>
      <c r="Q59" s="684">
        <f t="shared" si="63"/>
        <v>7.2164948453608241E-2</v>
      </c>
      <c r="R59" s="263"/>
      <c r="S59" s="264">
        <f>'New Counts Pivot Table'!B$53</f>
        <v>418</v>
      </c>
      <c r="T59" s="265">
        <f>'New Counts Pivot Table'!C$53</f>
        <v>329</v>
      </c>
      <c r="U59" s="265">
        <f>'New Counts Pivot Table'!D$53</f>
        <v>244</v>
      </c>
      <c r="V59" s="265">
        <f>'New Counts Pivot Table'!E$53</f>
        <v>245</v>
      </c>
      <c r="W59" s="265">
        <f>'New Counts Pivot Table'!F$53</f>
        <v>0</v>
      </c>
      <c r="X59" s="673">
        <f>'New Counts Pivot Table'!G$53</f>
        <v>16</v>
      </c>
      <c r="Y59" s="264">
        <f>'New Counts Pivot Table'!H$53</f>
        <v>1252</v>
      </c>
      <c r="Z59" s="264">
        <f>'New Counts Pivot Table'!I$53</f>
        <v>0</v>
      </c>
      <c r="AA59" s="265">
        <f>'New Counts Pivot Table'!J$53</f>
        <v>105</v>
      </c>
      <c r="AB59" s="265">
        <f>'New Counts Pivot Table'!K$53</f>
        <v>29</v>
      </c>
      <c r="AC59" s="265">
        <f>'New Counts Pivot Table'!L$53</f>
        <v>20</v>
      </c>
      <c r="AD59" s="265">
        <f>'New Counts Pivot Table'!M$53</f>
        <v>0</v>
      </c>
      <c r="AE59" s="264">
        <f>'New Counts Pivot Table'!N$53</f>
        <v>154</v>
      </c>
      <c r="AF59" s="264">
        <f>'New Counts Pivot Table'!O$53</f>
        <v>35</v>
      </c>
      <c r="AG59" s="265">
        <f>'New Counts Pivot Table'!P$53</f>
        <v>0</v>
      </c>
      <c r="AH59" s="264">
        <f>'New Counts Pivot Table'!Q$53</f>
        <v>35</v>
      </c>
    </row>
    <row r="60" spans="1:36" x14ac:dyDescent="0.2">
      <c r="A60" s="690"/>
      <c r="B60" s="258" t="s">
        <v>4</v>
      </c>
      <c r="C60" s="266">
        <f t="shared" si="54"/>
        <v>0.25365853658536586</v>
      </c>
      <c r="D60" s="267">
        <f t="shared" si="55"/>
        <v>0.24345146379044685</v>
      </c>
      <c r="E60" s="267">
        <f t="shared" si="56"/>
        <v>0.2294642857142857</v>
      </c>
      <c r="F60" s="267">
        <f t="shared" si="57"/>
        <v>0.23661071143085532</v>
      </c>
      <c r="G60" s="267">
        <f t="shared" si="57"/>
        <v>0</v>
      </c>
      <c r="H60" s="267">
        <f t="shared" si="57"/>
        <v>0.37209302325581395</v>
      </c>
      <c r="I60" s="266">
        <f t="shared" si="58"/>
        <v>0.24332998996990973</v>
      </c>
      <c r="J60" s="266">
        <f t="shared" si="59"/>
        <v>0</v>
      </c>
      <c r="K60" s="267">
        <f t="shared" si="60"/>
        <v>0.14795918367346939</v>
      </c>
      <c r="L60" s="267">
        <f t="shared" si="60"/>
        <v>9.6153846153846159E-2</v>
      </c>
      <c r="M60" s="268">
        <f t="shared" si="61"/>
        <v>0.13818181818181818</v>
      </c>
      <c r="N60" s="266">
        <f t="shared" si="62"/>
        <v>0.13733228097868982</v>
      </c>
      <c r="O60" s="266">
        <f t="shared" si="63"/>
        <v>2.268041237113402E-2</v>
      </c>
      <c r="P60" s="268">
        <f t="shared" si="63"/>
        <v>0</v>
      </c>
      <c r="Q60" s="685">
        <f t="shared" si="63"/>
        <v>2.268041237113402E-2</v>
      </c>
      <c r="R60" s="269"/>
      <c r="S60" s="270">
        <f>'New Counts Pivot Table'!B$54</f>
        <v>312</v>
      </c>
      <c r="T60" s="271">
        <f>'New Counts Pivot Table'!C$54</f>
        <v>316</v>
      </c>
      <c r="U60" s="271">
        <f>'New Counts Pivot Table'!D$54</f>
        <v>257</v>
      </c>
      <c r="V60" s="271">
        <f>'New Counts Pivot Table'!E$54</f>
        <v>296</v>
      </c>
      <c r="W60" s="271">
        <f>'New Counts Pivot Table'!F$54</f>
        <v>0</v>
      </c>
      <c r="X60" s="674">
        <f>'New Counts Pivot Table'!G$54</f>
        <v>32</v>
      </c>
      <c r="Y60" s="270">
        <f>'New Counts Pivot Table'!H$54</f>
        <v>1213</v>
      </c>
      <c r="Z60" s="270">
        <f>'New Counts Pivot Table'!I$54</f>
        <v>0</v>
      </c>
      <c r="AA60" s="271">
        <f>'New Counts Pivot Table'!J$54</f>
        <v>116</v>
      </c>
      <c r="AB60" s="271">
        <f>'New Counts Pivot Table'!K$54</f>
        <v>20</v>
      </c>
      <c r="AC60" s="271">
        <f>'New Counts Pivot Table'!L$54</f>
        <v>38</v>
      </c>
      <c r="AD60" s="271">
        <f>'New Counts Pivot Table'!M$54</f>
        <v>0</v>
      </c>
      <c r="AE60" s="270">
        <f>'New Counts Pivot Table'!N$54</f>
        <v>174</v>
      </c>
      <c r="AF60" s="270">
        <f>'New Counts Pivot Table'!O$54</f>
        <v>11</v>
      </c>
      <c r="AG60" s="271">
        <f>'New Counts Pivot Table'!P$54</f>
        <v>0</v>
      </c>
      <c r="AH60" s="270">
        <f>'New Counts Pivot Table'!Q$54</f>
        <v>11</v>
      </c>
    </row>
    <row r="61" spans="1:36" x14ac:dyDescent="0.2">
      <c r="A61" s="690"/>
      <c r="B61" s="258" t="s">
        <v>5</v>
      </c>
      <c r="C61" s="266">
        <f t="shared" si="54"/>
        <v>0.21463414634146341</v>
      </c>
      <c r="D61" s="267">
        <f t="shared" si="55"/>
        <v>0.26656394453004623</v>
      </c>
      <c r="E61" s="267">
        <f t="shared" si="56"/>
        <v>0.23035714285714284</v>
      </c>
      <c r="F61" s="267">
        <f t="shared" si="57"/>
        <v>0.35331734612310151</v>
      </c>
      <c r="G61" s="267">
        <f t="shared" si="57"/>
        <v>0</v>
      </c>
      <c r="H61" s="267">
        <f t="shared" si="57"/>
        <v>0.31395348837209303</v>
      </c>
      <c r="I61" s="266">
        <f t="shared" si="58"/>
        <v>0.26820461384152455</v>
      </c>
      <c r="J61" s="266">
        <f t="shared" si="59"/>
        <v>0</v>
      </c>
      <c r="K61" s="267">
        <f t="shared" si="60"/>
        <v>0.20408163265306123</v>
      </c>
      <c r="L61" s="267">
        <f t="shared" si="60"/>
        <v>7.6923076923076927E-2</v>
      </c>
      <c r="M61" s="268">
        <f t="shared" si="61"/>
        <v>0.21818181818181817</v>
      </c>
      <c r="N61" s="266">
        <f t="shared" si="62"/>
        <v>0.18626677190213101</v>
      </c>
      <c r="O61" s="266">
        <f t="shared" si="63"/>
        <v>0.10721649484536082</v>
      </c>
      <c r="P61" s="268">
        <f t="shared" si="63"/>
        <v>0</v>
      </c>
      <c r="Q61" s="685">
        <f t="shared" si="63"/>
        <v>0.10721649484536082</v>
      </c>
      <c r="R61" s="269"/>
      <c r="S61" s="270">
        <f>'New Counts Pivot Table'!B$55</f>
        <v>264</v>
      </c>
      <c r="T61" s="271">
        <f>'New Counts Pivot Table'!C$55</f>
        <v>346</v>
      </c>
      <c r="U61" s="271">
        <f>'New Counts Pivot Table'!D$55</f>
        <v>258</v>
      </c>
      <c r="V61" s="271">
        <f>'New Counts Pivot Table'!E$55</f>
        <v>442</v>
      </c>
      <c r="W61" s="271">
        <f>'New Counts Pivot Table'!F$55</f>
        <v>0</v>
      </c>
      <c r="X61" s="674">
        <f>'New Counts Pivot Table'!G$55</f>
        <v>27</v>
      </c>
      <c r="Y61" s="270">
        <f>'New Counts Pivot Table'!H$55</f>
        <v>1337</v>
      </c>
      <c r="Z61" s="270">
        <f>'New Counts Pivot Table'!I$55</f>
        <v>0</v>
      </c>
      <c r="AA61" s="271">
        <f>'New Counts Pivot Table'!J$55</f>
        <v>160</v>
      </c>
      <c r="AB61" s="271">
        <f>'New Counts Pivot Table'!K$55</f>
        <v>16</v>
      </c>
      <c r="AC61" s="271">
        <f>'New Counts Pivot Table'!L$55</f>
        <v>60</v>
      </c>
      <c r="AD61" s="271">
        <f>'New Counts Pivot Table'!M$55</f>
        <v>0</v>
      </c>
      <c r="AE61" s="270">
        <f>'New Counts Pivot Table'!N$55</f>
        <v>236</v>
      </c>
      <c r="AF61" s="270">
        <f>'New Counts Pivot Table'!O$55</f>
        <v>52</v>
      </c>
      <c r="AG61" s="271">
        <f>'New Counts Pivot Table'!P$55</f>
        <v>0</v>
      </c>
      <c r="AH61" s="270">
        <f>'New Counts Pivot Table'!Q$55</f>
        <v>52</v>
      </c>
    </row>
    <row r="62" spans="1:36" x14ac:dyDescent="0.2">
      <c r="A62" s="690"/>
      <c r="B62" s="258" t="s">
        <v>6</v>
      </c>
      <c r="C62" s="266">
        <f t="shared" si="54"/>
        <v>0.17479674796747968</v>
      </c>
      <c r="D62" s="267">
        <f t="shared" si="55"/>
        <v>0.22342064714946072</v>
      </c>
      <c r="E62" s="267">
        <f t="shared" si="56"/>
        <v>0.23749999999999999</v>
      </c>
      <c r="F62" s="267">
        <f t="shared" si="57"/>
        <v>0.17745803357314149</v>
      </c>
      <c r="G62" s="267">
        <f t="shared" si="57"/>
        <v>0</v>
      </c>
      <c r="H62" s="267">
        <f t="shared" si="57"/>
        <v>0.12790697674418605</v>
      </c>
      <c r="I62" s="266">
        <f t="shared" si="58"/>
        <v>0.20140421263791375</v>
      </c>
      <c r="J62" s="266">
        <f t="shared" si="59"/>
        <v>0</v>
      </c>
      <c r="K62" s="267">
        <f t="shared" si="60"/>
        <v>0.51020408163265307</v>
      </c>
      <c r="L62" s="267">
        <f t="shared" si="60"/>
        <v>0.67788461538461542</v>
      </c>
      <c r="M62" s="268">
        <f t="shared" si="61"/>
        <v>0.55636363636363639</v>
      </c>
      <c r="N62" s="266">
        <f t="shared" si="62"/>
        <v>0.54775059194948694</v>
      </c>
      <c r="O62" s="266">
        <f t="shared" si="63"/>
        <v>0.52577319587628868</v>
      </c>
      <c r="P62" s="268">
        <f t="shared" si="63"/>
        <v>0</v>
      </c>
      <c r="Q62" s="685">
        <f t="shared" si="63"/>
        <v>0.52577319587628868</v>
      </c>
      <c r="R62" s="269"/>
      <c r="S62" s="270">
        <f>'New Counts Pivot Table'!B$56</f>
        <v>215</v>
      </c>
      <c r="T62" s="271">
        <f>'New Counts Pivot Table'!C$56</f>
        <v>290</v>
      </c>
      <c r="U62" s="271">
        <f>'New Counts Pivot Table'!D$56</f>
        <v>266</v>
      </c>
      <c r="V62" s="271">
        <f>'New Counts Pivot Table'!E$56</f>
        <v>222</v>
      </c>
      <c r="W62" s="271">
        <f>'New Counts Pivot Table'!F$56</f>
        <v>0</v>
      </c>
      <c r="X62" s="674">
        <f>'New Counts Pivot Table'!G$56</f>
        <v>11</v>
      </c>
      <c r="Y62" s="270">
        <f>'New Counts Pivot Table'!H$56</f>
        <v>1004</v>
      </c>
      <c r="Z62" s="270">
        <f>'New Counts Pivot Table'!I$56</f>
        <v>0</v>
      </c>
      <c r="AA62" s="271">
        <f>'New Counts Pivot Table'!J$56</f>
        <v>400</v>
      </c>
      <c r="AB62" s="271">
        <f>'New Counts Pivot Table'!K$56</f>
        <v>141</v>
      </c>
      <c r="AC62" s="271">
        <f>'New Counts Pivot Table'!L$56</f>
        <v>153</v>
      </c>
      <c r="AD62" s="271">
        <f>'New Counts Pivot Table'!M$56</f>
        <v>0</v>
      </c>
      <c r="AE62" s="270">
        <f>'New Counts Pivot Table'!N$56</f>
        <v>694</v>
      </c>
      <c r="AF62" s="270">
        <f>'New Counts Pivot Table'!O$56</f>
        <v>255</v>
      </c>
      <c r="AG62" s="271">
        <f>'New Counts Pivot Table'!P$56</f>
        <v>0</v>
      </c>
      <c r="AH62" s="270">
        <f>'New Counts Pivot Table'!Q$56</f>
        <v>255</v>
      </c>
    </row>
    <row r="63" spans="1:36" x14ac:dyDescent="0.2">
      <c r="A63" s="690"/>
      <c r="B63" s="258" t="s">
        <v>26</v>
      </c>
      <c r="C63" s="266">
        <f t="shared" si="54"/>
        <v>1.7073170731707318E-2</v>
      </c>
      <c r="D63" s="267">
        <f t="shared" si="55"/>
        <v>1.3097072419106317E-2</v>
      </c>
      <c r="E63" s="267">
        <f t="shared" si="56"/>
        <v>8.4821428571428575E-2</v>
      </c>
      <c r="F63" s="267">
        <f t="shared" si="57"/>
        <v>3.6770583533173459E-2</v>
      </c>
      <c r="G63" s="267">
        <f t="shared" si="57"/>
        <v>0</v>
      </c>
      <c r="H63" s="267">
        <f t="shared" si="57"/>
        <v>0</v>
      </c>
      <c r="I63" s="266">
        <f t="shared" si="58"/>
        <v>3.5907723169508528E-2</v>
      </c>
      <c r="J63" s="266">
        <f t="shared" si="59"/>
        <v>0</v>
      </c>
      <c r="K63" s="267">
        <f t="shared" si="60"/>
        <v>3.8265306122448979E-3</v>
      </c>
      <c r="L63" s="267">
        <f t="shared" si="60"/>
        <v>9.6153846153846159E-3</v>
      </c>
      <c r="M63" s="268">
        <f t="shared" si="61"/>
        <v>1.4545454545454545E-2</v>
      </c>
      <c r="N63" s="266">
        <f t="shared" si="62"/>
        <v>7.1033938437253356E-3</v>
      </c>
      <c r="O63" s="266">
        <f t="shared" si="63"/>
        <v>0.27216494845360822</v>
      </c>
      <c r="P63" s="268">
        <f t="shared" si="63"/>
        <v>0</v>
      </c>
      <c r="Q63" s="685">
        <f t="shared" si="63"/>
        <v>0.27216494845360822</v>
      </c>
      <c r="R63" s="269"/>
      <c r="S63" s="270">
        <f>'New Counts Pivot Table'!B$57</f>
        <v>21</v>
      </c>
      <c r="T63" s="271">
        <f>'New Counts Pivot Table'!C$57</f>
        <v>17</v>
      </c>
      <c r="U63" s="271">
        <f>'New Counts Pivot Table'!D$57</f>
        <v>95</v>
      </c>
      <c r="V63" s="271">
        <f>'New Counts Pivot Table'!E$57</f>
        <v>46</v>
      </c>
      <c r="W63" s="271">
        <f>'New Counts Pivot Table'!F$57</f>
        <v>0</v>
      </c>
      <c r="X63" s="674">
        <f>'New Counts Pivot Table'!G$57</f>
        <v>0</v>
      </c>
      <c r="Y63" s="270">
        <f>'New Counts Pivot Table'!H$57</f>
        <v>179</v>
      </c>
      <c r="Z63" s="270">
        <f>'New Counts Pivot Table'!I$57</f>
        <v>0</v>
      </c>
      <c r="AA63" s="271">
        <f>'New Counts Pivot Table'!J$57</f>
        <v>3</v>
      </c>
      <c r="AB63" s="271">
        <f>'New Counts Pivot Table'!K$57</f>
        <v>2</v>
      </c>
      <c r="AC63" s="271">
        <f>'New Counts Pivot Table'!L$57</f>
        <v>4</v>
      </c>
      <c r="AD63" s="271">
        <f>'New Counts Pivot Table'!M$57</f>
        <v>0</v>
      </c>
      <c r="AE63" s="270">
        <f>'New Counts Pivot Table'!N$57</f>
        <v>9</v>
      </c>
      <c r="AF63" s="270">
        <f>'New Counts Pivot Table'!O$57</f>
        <v>132</v>
      </c>
      <c r="AG63" s="271">
        <f>'New Counts Pivot Table'!P$57</f>
        <v>0</v>
      </c>
      <c r="AH63" s="270">
        <f>'New Counts Pivot Table'!Q$57</f>
        <v>132</v>
      </c>
    </row>
    <row r="64" spans="1:36" x14ac:dyDescent="0.2">
      <c r="A64" s="690"/>
      <c r="B64" s="258" t="s">
        <v>23</v>
      </c>
      <c r="C64" s="266">
        <f t="shared" si="54"/>
        <v>0</v>
      </c>
      <c r="D64" s="267">
        <f t="shared" si="55"/>
        <v>0</v>
      </c>
      <c r="E64" s="267">
        <f t="shared" si="56"/>
        <v>0</v>
      </c>
      <c r="F64" s="267">
        <f t="shared" si="57"/>
        <v>0</v>
      </c>
      <c r="G64" s="267">
        <f t="shared" si="57"/>
        <v>0</v>
      </c>
      <c r="H64" s="267">
        <f t="shared" si="57"/>
        <v>0</v>
      </c>
      <c r="I64" s="266">
        <f t="shared" si="58"/>
        <v>0</v>
      </c>
      <c r="J64" s="266">
        <f t="shared" si="59"/>
        <v>0</v>
      </c>
      <c r="K64" s="267">
        <f t="shared" si="60"/>
        <v>0</v>
      </c>
      <c r="L64" s="267">
        <f t="shared" si="60"/>
        <v>0</v>
      </c>
      <c r="M64" s="268">
        <f t="shared" si="61"/>
        <v>0</v>
      </c>
      <c r="N64" s="266">
        <f t="shared" si="62"/>
        <v>0</v>
      </c>
      <c r="O64" s="266">
        <f t="shared" si="63"/>
        <v>0</v>
      </c>
      <c r="P64" s="268">
        <f t="shared" si="63"/>
        <v>0</v>
      </c>
      <c r="Q64" s="685">
        <f t="shared" si="63"/>
        <v>0</v>
      </c>
      <c r="R64" s="269"/>
      <c r="S64" s="270">
        <f>'New Counts Pivot Table'!B$58</f>
        <v>0</v>
      </c>
      <c r="T64" s="271">
        <f>'New Counts Pivot Table'!C$58</f>
        <v>0</v>
      </c>
      <c r="U64" s="271">
        <f>'New Counts Pivot Table'!D$58</f>
        <v>0</v>
      </c>
      <c r="V64" s="271">
        <f>'New Counts Pivot Table'!E$58</f>
        <v>0</v>
      </c>
      <c r="W64" s="271">
        <f>'New Counts Pivot Table'!F$58</f>
        <v>0</v>
      </c>
      <c r="X64" s="674">
        <f>'New Counts Pivot Table'!G$58</f>
        <v>0</v>
      </c>
      <c r="Y64" s="270">
        <f>'New Counts Pivot Table'!H$58</f>
        <v>0</v>
      </c>
      <c r="Z64" s="270">
        <f>'New Counts Pivot Table'!I$58</f>
        <v>0</v>
      </c>
      <c r="AA64" s="271">
        <f>'New Counts Pivot Table'!J$58</f>
        <v>0</v>
      </c>
      <c r="AB64" s="271">
        <f>'New Counts Pivot Table'!K$58</f>
        <v>0</v>
      </c>
      <c r="AC64" s="271">
        <f>'New Counts Pivot Table'!L$58</f>
        <v>0</v>
      </c>
      <c r="AD64" s="271">
        <f>'New Counts Pivot Table'!M$58</f>
        <v>0</v>
      </c>
      <c r="AE64" s="270">
        <f>'New Counts Pivot Table'!N$58</f>
        <v>0</v>
      </c>
      <c r="AF64" s="270">
        <f>'New Counts Pivot Table'!O$58</f>
        <v>0</v>
      </c>
      <c r="AG64" s="271">
        <f>'New Counts Pivot Table'!P$58</f>
        <v>0</v>
      </c>
      <c r="AH64" s="270">
        <f>'New Counts Pivot Table'!Q$58</f>
        <v>0</v>
      </c>
    </row>
    <row r="65" spans="1:36" s="280" customFormat="1" x14ac:dyDescent="0.25">
      <c r="A65" s="691"/>
      <c r="B65" s="272" t="s">
        <v>220</v>
      </c>
      <c r="C65" s="273">
        <f t="shared" si="54"/>
        <v>1</v>
      </c>
      <c r="D65" s="274">
        <f t="shared" si="55"/>
        <v>1</v>
      </c>
      <c r="E65" s="274">
        <f t="shared" si="56"/>
        <v>1</v>
      </c>
      <c r="F65" s="274">
        <f t="shared" si="57"/>
        <v>1</v>
      </c>
      <c r="G65" s="274">
        <f t="shared" si="57"/>
        <v>0</v>
      </c>
      <c r="H65" s="274">
        <f t="shared" si="57"/>
        <v>1</v>
      </c>
      <c r="I65" s="273">
        <f t="shared" si="58"/>
        <v>1</v>
      </c>
      <c r="J65" s="273">
        <f t="shared" si="59"/>
        <v>0</v>
      </c>
      <c r="K65" s="274">
        <f t="shared" si="60"/>
        <v>1</v>
      </c>
      <c r="L65" s="274">
        <f t="shared" si="60"/>
        <v>1</v>
      </c>
      <c r="M65" s="275">
        <f t="shared" si="61"/>
        <v>1</v>
      </c>
      <c r="N65" s="273">
        <f t="shared" si="62"/>
        <v>1</v>
      </c>
      <c r="O65" s="273">
        <f t="shared" si="63"/>
        <v>1</v>
      </c>
      <c r="P65" s="275">
        <f t="shared" si="63"/>
        <v>0</v>
      </c>
      <c r="Q65" s="686">
        <f t="shared" si="63"/>
        <v>1</v>
      </c>
      <c r="R65" s="276"/>
      <c r="S65" s="277">
        <f>'New Counts Pivot Table'!B$59</f>
        <v>1230</v>
      </c>
      <c r="T65" s="278">
        <f>'New Counts Pivot Table'!C$59</f>
        <v>1298</v>
      </c>
      <c r="U65" s="278">
        <f>'New Counts Pivot Table'!D$59</f>
        <v>1120</v>
      </c>
      <c r="V65" s="278">
        <f>'New Counts Pivot Table'!E$59</f>
        <v>1251</v>
      </c>
      <c r="W65" s="278">
        <f>'New Counts Pivot Table'!F$59</f>
        <v>0</v>
      </c>
      <c r="X65" s="675">
        <f>'New Counts Pivot Table'!G$59</f>
        <v>86</v>
      </c>
      <c r="Y65" s="277">
        <f>'New Counts Pivot Table'!H$59</f>
        <v>4985</v>
      </c>
      <c r="Z65" s="277">
        <f>'New Counts Pivot Table'!I$59</f>
        <v>0</v>
      </c>
      <c r="AA65" s="278">
        <f>'New Counts Pivot Table'!J$59</f>
        <v>784</v>
      </c>
      <c r="AB65" s="278">
        <f>'New Counts Pivot Table'!K$59</f>
        <v>208</v>
      </c>
      <c r="AC65" s="278">
        <f>'New Counts Pivot Table'!L$59</f>
        <v>275</v>
      </c>
      <c r="AD65" s="278">
        <f>'New Counts Pivot Table'!M$59</f>
        <v>0</v>
      </c>
      <c r="AE65" s="277">
        <f>'New Counts Pivot Table'!N$59</f>
        <v>1267</v>
      </c>
      <c r="AF65" s="277">
        <f>'New Counts Pivot Table'!O$59</f>
        <v>485</v>
      </c>
      <c r="AG65" s="278">
        <f>'New Counts Pivot Table'!P$59</f>
        <v>0</v>
      </c>
      <c r="AH65" s="277">
        <f>'New Counts Pivot Table'!Q$59</f>
        <v>485</v>
      </c>
      <c r="AI65" s="279"/>
      <c r="AJ65" s="279"/>
    </row>
    <row r="66" spans="1:36" x14ac:dyDescent="0.2">
      <c r="A66" s="690" t="s">
        <v>38</v>
      </c>
      <c r="B66" s="259" t="s">
        <v>3</v>
      </c>
      <c r="C66" s="260">
        <f t="shared" ref="C66:C72" si="64">S66/S$72</f>
        <v>0.38961813842482101</v>
      </c>
      <c r="D66" s="261">
        <f t="shared" ref="D66:D72" si="65">IFERROR(T66/T$72,0)</f>
        <v>0.21762208067940553</v>
      </c>
      <c r="E66" s="261">
        <f t="shared" ref="E66:E72" si="66">U66/U$72</f>
        <v>0.23231132075471697</v>
      </c>
      <c r="F66" s="261">
        <f t="shared" ref="F66:H72" si="67">IFERROR(V66/V$72,0)</f>
        <v>0.2445141065830721</v>
      </c>
      <c r="G66" s="261">
        <f t="shared" si="67"/>
        <v>0.15584415584415584</v>
      </c>
      <c r="H66" s="261">
        <f t="shared" si="67"/>
        <v>0.29333333333333333</v>
      </c>
      <c r="I66" s="260">
        <f t="shared" ref="I66:I72" si="68">Y66/Y$72</f>
        <v>0.28438367023384858</v>
      </c>
      <c r="J66" s="260">
        <f t="shared" ref="J66:J72" si="69">IFERROR(Z66/Z$72,0)</f>
        <v>0</v>
      </c>
      <c r="K66" s="261">
        <f t="shared" ref="K66:L72" si="70">AA66/AA$72</f>
        <v>0.38565782044042912</v>
      </c>
      <c r="L66" s="261">
        <f t="shared" si="70"/>
        <v>0.19753086419753085</v>
      </c>
      <c r="M66" s="262">
        <f t="shared" ref="M66:M72" si="71">IFERROR(AC66/AC$72,0)</f>
        <v>0.25600000000000001</v>
      </c>
      <c r="N66" s="260">
        <f t="shared" ref="N66:N72" si="72">AE66/AE$72</f>
        <v>0.33136792452830188</v>
      </c>
      <c r="O66" s="260">
        <f t="shared" ref="O66:Q72" si="73">IFERROR(AF66/AF$72,0)</f>
        <v>0</v>
      </c>
      <c r="P66" s="262">
        <f t="shared" si="73"/>
        <v>0</v>
      </c>
      <c r="Q66" s="684">
        <f t="shared" si="73"/>
        <v>0</v>
      </c>
      <c r="R66" s="263"/>
      <c r="S66" s="264">
        <f>'New Counts Pivot Table'!B$61</f>
        <v>653</v>
      </c>
      <c r="T66" s="265">
        <f>'New Counts Pivot Table'!C$61</f>
        <v>205</v>
      </c>
      <c r="U66" s="265">
        <f>'New Counts Pivot Table'!D$61</f>
        <v>197</v>
      </c>
      <c r="V66" s="265">
        <f>'New Counts Pivot Table'!E$61</f>
        <v>312</v>
      </c>
      <c r="W66" s="265">
        <f>'New Counts Pivot Table'!F$61</f>
        <v>24</v>
      </c>
      <c r="X66" s="673">
        <f>'New Counts Pivot Table'!G$61</f>
        <v>44</v>
      </c>
      <c r="Y66" s="264">
        <f>'New Counts Pivot Table'!H$61</f>
        <v>1435</v>
      </c>
      <c r="Z66" s="264">
        <f>'New Counts Pivot Table'!I$61</f>
        <v>0</v>
      </c>
      <c r="AA66" s="265">
        <f>'New Counts Pivot Table'!J$61</f>
        <v>683</v>
      </c>
      <c r="AB66" s="265">
        <f>'New Counts Pivot Table'!K$61</f>
        <v>128</v>
      </c>
      <c r="AC66" s="265">
        <f>'New Counts Pivot Table'!L$61</f>
        <v>32</v>
      </c>
      <c r="AD66" s="265">
        <f>'New Counts Pivot Table'!M$61</f>
        <v>0</v>
      </c>
      <c r="AE66" s="264">
        <f>'New Counts Pivot Table'!N$61</f>
        <v>843</v>
      </c>
      <c r="AF66" s="264">
        <f>'New Counts Pivot Table'!O$61</f>
        <v>0</v>
      </c>
      <c r="AG66" s="265">
        <f>'New Counts Pivot Table'!P$61</f>
        <v>0</v>
      </c>
      <c r="AH66" s="264">
        <f>'New Counts Pivot Table'!Q$61</f>
        <v>0</v>
      </c>
    </row>
    <row r="67" spans="1:36" x14ac:dyDescent="0.2">
      <c r="A67" s="690"/>
      <c r="B67" s="258" t="s">
        <v>4</v>
      </c>
      <c r="C67" s="266">
        <f t="shared" si="64"/>
        <v>0.25715990453460619</v>
      </c>
      <c r="D67" s="267">
        <f t="shared" si="65"/>
        <v>0.3067940552016985</v>
      </c>
      <c r="E67" s="267">
        <f t="shared" si="66"/>
        <v>0.2099056603773585</v>
      </c>
      <c r="F67" s="267">
        <f t="shared" si="67"/>
        <v>0.2554858934169279</v>
      </c>
      <c r="G67" s="267">
        <f t="shared" si="67"/>
        <v>0.21428571428571427</v>
      </c>
      <c r="H67" s="267">
        <f t="shared" si="67"/>
        <v>0.36</v>
      </c>
      <c r="I67" s="266">
        <f t="shared" si="68"/>
        <v>0.25980975029726516</v>
      </c>
      <c r="J67" s="266">
        <f t="shared" si="69"/>
        <v>0</v>
      </c>
      <c r="K67" s="267">
        <f t="shared" si="70"/>
        <v>0.28063241106719367</v>
      </c>
      <c r="L67" s="267">
        <f t="shared" si="70"/>
        <v>0.22530864197530864</v>
      </c>
      <c r="M67" s="268">
        <f t="shared" si="71"/>
        <v>0.32</v>
      </c>
      <c r="N67" s="266">
        <f t="shared" si="72"/>
        <v>0.26847484276729561</v>
      </c>
      <c r="O67" s="266">
        <f t="shared" si="73"/>
        <v>0</v>
      </c>
      <c r="P67" s="268">
        <f t="shared" si="73"/>
        <v>0</v>
      </c>
      <c r="Q67" s="685">
        <f t="shared" si="73"/>
        <v>0</v>
      </c>
      <c r="R67" s="269"/>
      <c r="S67" s="270">
        <f>'New Counts Pivot Table'!B$62</f>
        <v>431</v>
      </c>
      <c r="T67" s="271">
        <f>'New Counts Pivot Table'!C$62</f>
        <v>289</v>
      </c>
      <c r="U67" s="271">
        <f>'New Counts Pivot Table'!D$62</f>
        <v>178</v>
      </c>
      <c r="V67" s="271">
        <f>'New Counts Pivot Table'!E$62</f>
        <v>326</v>
      </c>
      <c r="W67" s="271">
        <f>'New Counts Pivot Table'!F$62</f>
        <v>33</v>
      </c>
      <c r="X67" s="674">
        <f>'New Counts Pivot Table'!G$62</f>
        <v>54</v>
      </c>
      <c r="Y67" s="270">
        <f>'New Counts Pivot Table'!H$62</f>
        <v>1311</v>
      </c>
      <c r="Z67" s="270">
        <f>'New Counts Pivot Table'!I$62</f>
        <v>0</v>
      </c>
      <c r="AA67" s="271">
        <f>'New Counts Pivot Table'!J$62</f>
        <v>497</v>
      </c>
      <c r="AB67" s="271">
        <f>'New Counts Pivot Table'!K$62</f>
        <v>146</v>
      </c>
      <c r="AC67" s="271">
        <f>'New Counts Pivot Table'!L$62</f>
        <v>40</v>
      </c>
      <c r="AD67" s="271">
        <f>'New Counts Pivot Table'!M$62</f>
        <v>0</v>
      </c>
      <c r="AE67" s="270">
        <f>'New Counts Pivot Table'!N$62</f>
        <v>683</v>
      </c>
      <c r="AF67" s="270">
        <f>'New Counts Pivot Table'!O$62</f>
        <v>0</v>
      </c>
      <c r="AG67" s="271">
        <f>'New Counts Pivot Table'!P$62</f>
        <v>0</v>
      </c>
      <c r="AH67" s="270">
        <f>'New Counts Pivot Table'!Q$62</f>
        <v>0</v>
      </c>
    </row>
    <row r="68" spans="1:36" x14ac:dyDescent="0.2">
      <c r="A68" s="690"/>
      <c r="B68" s="258" t="s">
        <v>5</v>
      </c>
      <c r="C68" s="266">
        <f t="shared" si="64"/>
        <v>0.18914081145584727</v>
      </c>
      <c r="D68" s="267">
        <f t="shared" si="65"/>
        <v>0.19957537154989385</v>
      </c>
      <c r="E68" s="267">
        <f t="shared" si="66"/>
        <v>0.32311320754716982</v>
      </c>
      <c r="F68" s="267">
        <f t="shared" si="67"/>
        <v>0.28526645768025077</v>
      </c>
      <c r="G68" s="267">
        <f t="shared" si="67"/>
        <v>0.4935064935064935</v>
      </c>
      <c r="H68" s="267">
        <f t="shared" si="67"/>
        <v>0.32</v>
      </c>
      <c r="I68" s="266">
        <f t="shared" si="68"/>
        <v>0.2510899722552517</v>
      </c>
      <c r="J68" s="266">
        <f t="shared" si="69"/>
        <v>0</v>
      </c>
      <c r="K68" s="267">
        <f t="shared" si="70"/>
        <v>0.26708074534161491</v>
      </c>
      <c r="L68" s="267">
        <f t="shared" si="70"/>
        <v>0.39969135802469136</v>
      </c>
      <c r="M68" s="268">
        <f t="shared" si="71"/>
        <v>0.30399999999999999</v>
      </c>
      <c r="N68" s="266">
        <f t="shared" si="72"/>
        <v>0.30267295597484278</v>
      </c>
      <c r="O68" s="266">
        <f t="shared" si="73"/>
        <v>0</v>
      </c>
      <c r="P68" s="268">
        <f t="shared" si="73"/>
        <v>0</v>
      </c>
      <c r="Q68" s="685">
        <f t="shared" si="73"/>
        <v>0</v>
      </c>
      <c r="R68" s="269"/>
      <c r="S68" s="270">
        <f>'New Counts Pivot Table'!B$63</f>
        <v>317</v>
      </c>
      <c r="T68" s="271">
        <f>'New Counts Pivot Table'!C$63</f>
        <v>188</v>
      </c>
      <c r="U68" s="271">
        <f>'New Counts Pivot Table'!D$63</f>
        <v>274</v>
      </c>
      <c r="V68" s="271">
        <f>'New Counts Pivot Table'!E$63</f>
        <v>364</v>
      </c>
      <c r="W68" s="271">
        <f>'New Counts Pivot Table'!F$63</f>
        <v>76</v>
      </c>
      <c r="X68" s="674">
        <f>'New Counts Pivot Table'!G$63</f>
        <v>48</v>
      </c>
      <c r="Y68" s="270">
        <f>'New Counts Pivot Table'!H$63</f>
        <v>1267</v>
      </c>
      <c r="Z68" s="270">
        <f>'New Counts Pivot Table'!I$63</f>
        <v>0</v>
      </c>
      <c r="AA68" s="271">
        <f>'New Counts Pivot Table'!J$63</f>
        <v>473</v>
      </c>
      <c r="AB68" s="271">
        <f>'New Counts Pivot Table'!K$63</f>
        <v>259</v>
      </c>
      <c r="AC68" s="271">
        <f>'New Counts Pivot Table'!L$63</f>
        <v>38</v>
      </c>
      <c r="AD68" s="271">
        <f>'New Counts Pivot Table'!M$63</f>
        <v>0</v>
      </c>
      <c r="AE68" s="270">
        <f>'New Counts Pivot Table'!N$63</f>
        <v>770</v>
      </c>
      <c r="AF68" s="270">
        <f>'New Counts Pivot Table'!O$63</f>
        <v>0</v>
      </c>
      <c r="AG68" s="271">
        <f>'New Counts Pivot Table'!P$63</f>
        <v>0</v>
      </c>
      <c r="AH68" s="270">
        <f>'New Counts Pivot Table'!Q$63</f>
        <v>0</v>
      </c>
    </row>
    <row r="69" spans="1:36" x14ac:dyDescent="0.2">
      <c r="A69" s="690"/>
      <c r="B69" s="258" t="s">
        <v>6</v>
      </c>
      <c r="C69" s="266">
        <f t="shared" si="64"/>
        <v>7.1599045346062056E-3</v>
      </c>
      <c r="D69" s="267">
        <f t="shared" si="65"/>
        <v>1.6985138004246284E-2</v>
      </c>
      <c r="E69" s="267">
        <f t="shared" si="66"/>
        <v>2.9481132075471699E-2</v>
      </c>
      <c r="F69" s="267">
        <f t="shared" si="67"/>
        <v>1.7241379310344827E-2</v>
      </c>
      <c r="G69" s="267">
        <f t="shared" si="67"/>
        <v>1.948051948051948E-2</v>
      </c>
      <c r="H69" s="267">
        <f t="shared" si="67"/>
        <v>0.02</v>
      </c>
      <c r="I69" s="266">
        <f t="shared" si="68"/>
        <v>1.6052318668252082E-2</v>
      </c>
      <c r="J69" s="266">
        <f t="shared" si="69"/>
        <v>0</v>
      </c>
      <c r="K69" s="267">
        <f t="shared" si="70"/>
        <v>5.9288537549407112E-2</v>
      </c>
      <c r="L69" s="267">
        <f t="shared" si="70"/>
        <v>0.10802469135802469</v>
      </c>
      <c r="M69" s="268">
        <f t="shared" si="71"/>
        <v>0.104</v>
      </c>
      <c r="N69" s="266">
        <f t="shared" si="72"/>
        <v>7.3899371069182387E-2</v>
      </c>
      <c r="O69" s="266">
        <f t="shared" si="73"/>
        <v>0</v>
      </c>
      <c r="P69" s="268">
        <f t="shared" si="73"/>
        <v>0</v>
      </c>
      <c r="Q69" s="685">
        <f t="shared" si="73"/>
        <v>0</v>
      </c>
      <c r="R69" s="269"/>
      <c r="S69" s="270">
        <f>'New Counts Pivot Table'!B$64</f>
        <v>12</v>
      </c>
      <c r="T69" s="271">
        <f>'New Counts Pivot Table'!C$64</f>
        <v>16</v>
      </c>
      <c r="U69" s="271">
        <f>'New Counts Pivot Table'!D$64</f>
        <v>25</v>
      </c>
      <c r="V69" s="271">
        <f>'New Counts Pivot Table'!E$64</f>
        <v>22</v>
      </c>
      <c r="W69" s="271">
        <f>'New Counts Pivot Table'!F$64</f>
        <v>3</v>
      </c>
      <c r="X69" s="674">
        <f>'New Counts Pivot Table'!G$64</f>
        <v>3</v>
      </c>
      <c r="Y69" s="270">
        <f>'New Counts Pivot Table'!H$64</f>
        <v>81</v>
      </c>
      <c r="Z69" s="270">
        <f>'New Counts Pivot Table'!I$64</f>
        <v>0</v>
      </c>
      <c r="AA69" s="271">
        <f>'New Counts Pivot Table'!J$64</f>
        <v>105</v>
      </c>
      <c r="AB69" s="271">
        <f>'New Counts Pivot Table'!K$64</f>
        <v>70</v>
      </c>
      <c r="AC69" s="271">
        <f>'New Counts Pivot Table'!L$64</f>
        <v>13</v>
      </c>
      <c r="AD69" s="271">
        <f>'New Counts Pivot Table'!M$64</f>
        <v>0</v>
      </c>
      <c r="AE69" s="270">
        <f>'New Counts Pivot Table'!N$64</f>
        <v>188</v>
      </c>
      <c r="AF69" s="270">
        <f>'New Counts Pivot Table'!O$64</f>
        <v>0</v>
      </c>
      <c r="AG69" s="271">
        <f>'New Counts Pivot Table'!P$64</f>
        <v>0</v>
      </c>
      <c r="AH69" s="270">
        <f>'New Counts Pivot Table'!Q$64</f>
        <v>0</v>
      </c>
    </row>
    <row r="70" spans="1:36" x14ac:dyDescent="0.2">
      <c r="A70" s="690"/>
      <c r="B70" s="258" t="s">
        <v>26</v>
      </c>
      <c r="C70" s="266">
        <f t="shared" si="64"/>
        <v>0.15692124105011934</v>
      </c>
      <c r="D70" s="267">
        <f t="shared" si="65"/>
        <v>0.25902335456475584</v>
      </c>
      <c r="E70" s="267">
        <f t="shared" si="66"/>
        <v>0.20518867924528303</v>
      </c>
      <c r="F70" s="267">
        <f t="shared" si="67"/>
        <v>0.19749216300940439</v>
      </c>
      <c r="G70" s="267">
        <f t="shared" si="67"/>
        <v>0.11688311688311688</v>
      </c>
      <c r="H70" s="267">
        <f t="shared" si="67"/>
        <v>6.6666666666666671E-3</v>
      </c>
      <c r="I70" s="266">
        <f t="shared" si="68"/>
        <v>0.18866428854538247</v>
      </c>
      <c r="J70" s="266">
        <f t="shared" si="69"/>
        <v>0</v>
      </c>
      <c r="K70" s="267">
        <f t="shared" si="70"/>
        <v>7.3404856013551669E-3</v>
      </c>
      <c r="L70" s="267">
        <f t="shared" si="70"/>
        <v>6.9444444444444448E-2</v>
      </c>
      <c r="M70" s="268">
        <f t="shared" si="71"/>
        <v>1.6E-2</v>
      </c>
      <c r="N70" s="266">
        <f t="shared" si="72"/>
        <v>2.358490566037736E-2</v>
      </c>
      <c r="O70" s="266">
        <f t="shared" si="73"/>
        <v>0</v>
      </c>
      <c r="P70" s="268">
        <f t="shared" si="73"/>
        <v>0</v>
      </c>
      <c r="Q70" s="685">
        <f t="shared" si="73"/>
        <v>0</v>
      </c>
      <c r="R70" s="269"/>
      <c r="S70" s="270">
        <f>'New Counts Pivot Table'!B$65</f>
        <v>263</v>
      </c>
      <c r="T70" s="271">
        <f>'New Counts Pivot Table'!C$65</f>
        <v>244</v>
      </c>
      <c r="U70" s="271">
        <f>'New Counts Pivot Table'!D$65</f>
        <v>174</v>
      </c>
      <c r="V70" s="271">
        <f>'New Counts Pivot Table'!E$65</f>
        <v>252</v>
      </c>
      <c r="W70" s="271">
        <f>'New Counts Pivot Table'!F$65</f>
        <v>18</v>
      </c>
      <c r="X70" s="674">
        <f>'New Counts Pivot Table'!G$65</f>
        <v>1</v>
      </c>
      <c r="Y70" s="270">
        <f>'New Counts Pivot Table'!H$65</f>
        <v>952</v>
      </c>
      <c r="Z70" s="270">
        <f>'New Counts Pivot Table'!I$65</f>
        <v>0</v>
      </c>
      <c r="AA70" s="271">
        <f>'New Counts Pivot Table'!J$65</f>
        <v>13</v>
      </c>
      <c r="AB70" s="271">
        <f>'New Counts Pivot Table'!K$65</f>
        <v>45</v>
      </c>
      <c r="AC70" s="271">
        <f>'New Counts Pivot Table'!L$65</f>
        <v>2</v>
      </c>
      <c r="AD70" s="271">
        <f>'New Counts Pivot Table'!M$65</f>
        <v>0</v>
      </c>
      <c r="AE70" s="270">
        <f>'New Counts Pivot Table'!N$65</f>
        <v>60</v>
      </c>
      <c r="AF70" s="270">
        <f>'New Counts Pivot Table'!O$65</f>
        <v>0</v>
      </c>
      <c r="AG70" s="271">
        <f>'New Counts Pivot Table'!P$65</f>
        <v>0</v>
      </c>
      <c r="AH70" s="270">
        <f>'New Counts Pivot Table'!Q$65</f>
        <v>0</v>
      </c>
    </row>
    <row r="71" spans="1:36" x14ac:dyDescent="0.2">
      <c r="A71" s="690"/>
      <c r="B71" s="258" t="s">
        <v>23</v>
      </c>
      <c r="C71" s="266">
        <f t="shared" si="64"/>
        <v>0</v>
      </c>
      <c r="D71" s="267">
        <f t="shared" si="65"/>
        <v>0</v>
      </c>
      <c r="E71" s="267">
        <f t="shared" si="66"/>
        <v>0</v>
      </c>
      <c r="F71" s="267">
        <f t="shared" si="67"/>
        <v>0</v>
      </c>
      <c r="G71" s="267">
        <f t="shared" si="67"/>
        <v>0</v>
      </c>
      <c r="H71" s="267">
        <f t="shared" si="67"/>
        <v>0</v>
      </c>
      <c r="I71" s="266">
        <f t="shared" si="68"/>
        <v>0</v>
      </c>
      <c r="J71" s="266">
        <f t="shared" si="69"/>
        <v>0</v>
      </c>
      <c r="K71" s="267">
        <f t="shared" si="70"/>
        <v>0</v>
      </c>
      <c r="L71" s="267">
        <f t="shared" si="70"/>
        <v>0</v>
      </c>
      <c r="M71" s="268">
        <f t="shared" si="71"/>
        <v>0</v>
      </c>
      <c r="N71" s="266">
        <f t="shared" si="72"/>
        <v>0</v>
      </c>
      <c r="O71" s="266">
        <f t="shared" si="73"/>
        <v>0</v>
      </c>
      <c r="P71" s="268">
        <f t="shared" si="73"/>
        <v>0</v>
      </c>
      <c r="Q71" s="685">
        <f t="shared" si="73"/>
        <v>0</v>
      </c>
      <c r="R71" s="269"/>
      <c r="S71" s="270">
        <f>'New Counts Pivot Table'!B$66</f>
        <v>0</v>
      </c>
      <c r="T71" s="271">
        <f>'New Counts Pivot Table'!C$66</f>
        <v>0</v>
      </c>
      <c r="U71" s="271">
        <f>'New Counts Pivot Table'!D$66</f>
        <v>0</v>
      </c>
      <c r="V71" s="271">
        <f>'New Counts Pivot Table'!E$66</f>
        <v>0</v>
      </c>
      <c r="W71" s="271">
        <f>'New Counts Pivot Table'!F$66</f>
        <v>0</v>
      </c>
      <c r="X71" s="674">
        <f>'New Counts Pivot Table'!G$66</f>
        <v>0</v>
      </c>
      <c r="Y71" s="270">
        <f>'New Counts Pivot Table'!H$66</f>
        <v>0</v>
      </c>
      <c r="Z71" s="270">
        <f>'New Counts Pivot Table'!I$66</f>
        <v>0</v>
      </c>
      <c r="AA71" s="271">
        <f>'New Counts Pivot Table'!J$66</f>
        <v>0</v>
      </c>
      <c r="AB71" s="271">
        <f>'New Counts Pivot Table'!K$66</f>
        <v>0</v>
      </c>
      <c r="AC71" s="271">
        <f>'New Counts Pivot Table'!L$66</f>
        <v>0</v>
      </c>
      <c r="AD71" s="271">
        <f>'New Counts Pivot Table'!M$66</f>
        <v>0</v>
      </c>
      <c r="AE71" s="270">
        <f>'New Counts Pivot Table'!N$66</f>
        <v>0</v>
      </c>
      <c r="AF71" s="270">
        <f>'New Counts Pivot Table'!O$66</f>
        <v>0</v>
      </c>
      <c r="AG71" s="271">
        <f>'New Counts Pivot Table'!P$66</f>
        <v>0</v>
      </c>
      <c r="AH71" s="270">
        <f>'New Counts Pivot Table'!Q$66</f>
        <v>0</v>
      </c>
    </row>
    <row r="72" spans="1:36" s="280" customFormat="1" x14ac:dyDescent="0.25">
      <c r="A72" s="691"/>
      <c r="B72" s="272" t="s">
        <v>220</v>
      </c>
      <c r="C72" s="273">
        <f t="shared" si="64"/>
        <v>1</v>
      </c>
      <c r="D72" s="274">
        <f t="shared" si="65"/>
        <v>1</v>
      </c>
      <c r="E72" s="274">
        <f t="shared" si="66"/>
        <v>1</v>
      </c>
      <c r="F72" s="274">
        <f t="shared" si="67"/>
        <v>1</v>
      </c>
      <c r="G72" s="274">
        <f t="shared" si="67"/>
        <v>1</v>
      </c>
      <c r="H72" s="274">
        <f t="shared" si="67"/>
        <v>1</v>
      </c>
      <c r="I72" s="273">
        <f t="shared" si="68"/>
        <v>1</v>
      </c>
      <c r="J72" s="273">
        <f t="shared" si="69"/>
        <v>0</v>
      </c>
      <c r="K72" s="274">
        <f t="shared" si="70"/>
        <v>1</v>
      </c>
      <c r="L72" s="274">
        <f t="shared" si="70"/>
        <v>1</v>
      </c>
      <c r="M72" s="275">
        <f t="shared" si="71"/>
        <v>1</v>
      </c>
      <c r="N72" s="273">
        <f t="shared" si="72"/>
        <v>1</v>
      </c>
      <c r="O72" s="273">
        <f t="shared" si="73"/>
        <v>0</v>
      </c>
      <c r="P72" s="275">
        <f t="shared" si="73"/>
        <v>0</v>
      </c>
      <c r="Q72" s="686">
        <f t="shared" si="73"/>
        <v>0</v>
      </c>
      <c r="R72" s="276"/>
      <c r="S72" s="277">
        <f>'New Counts Pivot Table'!B$67</f>
        <v>1676</v>
      </c>
      <c r="T72" s="278">
        <f>'New Counts Pivot Table'!C$67</f>
        <v>942</v>
      </c>
      <c r="U72" s="278">
        <f>'New Counts Pivot Table'!D$67</f>
        <v>848</v>
      </c>
      <c r="V72" s="278">
        <f>'New Counts Pivot Table'!E$67</f>
        <v>1276</v>
      </c>
      <c r="W72" s="278">
        <f>'New Counts Pivot Table'!F$67</f>
        <v>154</v>
      </c>
      <c r="X72" s="675">
        <f>'New Counts Pivot Table'!G$67</f>
        <v>150</v>
      </c>
      <c r="Y72" s="277">
        <f>'New Counts Pivot Table'!H$67</f>
        <v>5046</v>
      </c>
      <c r="Z72" s="277">
        <f>'New Counts Pivot Table'!I$67</f>
        <v>0</v>
      </c>
      <c r="AA72" s="278">
        <f>'New Counts Pivot Table'!J$67</f>
        <v>1771</v>
      </c>
      <c r="AB72" s="278">
        <f>'New Counts Pivot Table'!K$67</f>
        <v>648</v>
      </c>
      <c r="AC72" s="278">
        <f>'New Counts Pivot Table'!L$67</f>
        <v>125</v>
      </c>
      <c r="AD72" s="278">
        <f>'New Counts Pivot Table'!M$67</f>
        <v>0</v>
      </c>
      <c r="AE72" s="277">
        <f>'New Counts Pivot Table'!N$67</f>
        <v>2544</v>
      </c>
      <c r="AF72" s="277">
        <f>'New Counts Pivot Table'!O$67</f>
        <v>0</v>
      </c>
      <c r="AG72" s="278">
        <f>'New Counts Pivot Table'!P$67</f>
        <v>0</v>
      </c>
      <c r="AH72" s="277">
        <f>'New Counts Pivot Table'!Q$67</f>
        <v>0</v>
      </c>
      <c r="AI72" s="279"/>
      <c r="AJ72" s="279"/>
    </row>
    <row r="73" spans="1:36" x14ac:dyDescent="0.2">
      <c r="A73" s="692" t="s">
        <v>39</v>
      </c>
      <c r="B73" s="259" t="s">
        <v>3</v>
      </c>
      <c r="C73" s="260">
        <f t="shared" ref="C73:C79" si="74">S73/S$79</f>
        <v>0.22496909765142151</v>
      </c>
      <c r="D73" s="261">
        <f>IFERROR(T73/T$79,0)</f>
        <v>0.21021276595744681</v>
      </c>
      <c r="E73" s="261">
        <f>IFERROR(U73/U$79,0)</f>
        <v>0</v>
      </c>
      <c r="F73" s="261">
        <f>IFERROR(V73/V$79,0)</f>
        <v>0.16907216494845362</v>
      </c>
      <c r="G73" s="261">
        <f>IFERROR(W73/W$79,0)</f>
        <v>0.25384615384615383</v>
      </c>
      <c r="H73" s="261">
        <f>IFERROR(X73/X$79,0)</f>
        <v>0</v>
      </c>
      <c r="I73" s="260">
        <f t="shared" ref="I73:I79" si="75">Y73/Y$79</f>
        <v>0.2130281690140845</v>
      </c>
      <c r="J73" s="260">
        <f t="shared" ref="J73:J79" si="76">IFERROR(Z73/Z$79,0)</f>
        <v>0</v>
      </c>
      <c r="K73" s="261">
        <f t="shared" ref="K73:L79" si="77">AA73/AA$79</f>
        <v>0</v>
      </c>
      <c r="L73" s="261">
        <f t="shared" si="77"/>
        <v>0</v>
      </c>
      <c r="M73" s="262">
        <f t="shared" ref="M73:M79" si="78">IFERROR(AC73/AC$79,0)</f>
        <v>0</v>
      </c>
      <c r="N73" s="260">
        <f t="shared" ref="N73:N79" si="79">AE73/AE$79</f>
        <v>0</v>
      </c>
      <c r="O73" s="260">
        <f t="shared" ref="O73:Q79" si="80">IFERROR(AF73/AF$79,0)</f>
        <v>0</v>
      </c>
      <c r="P73" s="262">
        <f t="shared" si="80"/>
        <v>0</v>
      </c>
      <c r="Q73" s="684">
        <f t="shared" si="80"/>
        <v>0</v>
      </c>
      <c r="R73" s="263"/>
      <c r="S73" s="264">
        <f>'New Counts Pivot Table'!B$69</f>
        <v>364</v>
      </c>
      <c r="T73" s="265">
        <f>'New Counts Pivot Table'!C$69</f>
        <v>247</v>
      </c>
      <c r="U73" s="265">
        <f>'New Counts Pivot Table'!D$69</f>
        <v>0</v>
      </c>
      <c r="V73" s="265">
        <f>'New Counts Pivot Table'!E$69</f>
        <v>82</v>
      </c>
      <c r="W73" s="265">
        <f>'New Counts Pivot Table'!F$69</f>
        <v>33</v>
      </c>
      <c r="X73" s="673">
        <f>'New Counts Pivot Table'!G$69</f>
        <v>0</v>
      </c>
      <c r="Y73" s="264">
        <f>'New Counts Pivot Table'!H$69</f>
        <v>726</v>
      </c>
      <c r="Z73" s="264">
        <f>'New Counts Pivot Table'!I$69</f>
        <v>0</v>
      </c>
      <c r="AA73" s="265">
        <f>'New Counts Pivot Table'!J$69</f>
        <v>0</v>
      </c>
      <c r="AB73" s="265">
        <f>'New Counts Pivot Table'!K$69</f>
        <v>0</v>
      </c>
      <c r="AC73" s="265">
        <f>'New Counts Pivot Table'!L$69</f>
        <v>0</v>
      </c>
      <c r="AD73" s="265">
        <f>'New Counts Pivot Table'!M$69</f>
        <v>0</v>
      </c>
      <c r="AE73" s="264">
        <f>'New Counts Pivot Table'!N$69</f>
        <v>0</v>
      </c>
      <c r="AF73" s="264">
        <f>'New Counts Pivot Table'!O$69</f>
        <v>0</v>
      </c>
      <c r="AG73" s="265">
        <f>'New Counts Pivot Table'!P$69</f>
        <v>0</v>
      </c>
      <c r="AH73" s="264">
        <f>'New Counts Pivot Table'!Q$69</f>
        <v>0</v>
      </c>
    </row>
    <row r="74" spans="1:36" x14ac:dyDescent="0.2">
      <c r="A74" s="690"/>
      <c r="B74" s="258" t="s">
        <v>4</v>
      </c>
      <c r="C74" s="266">
        <f t="shared" si="74"/>
        <v>0.26699629171817058</v>
      </c>
      <c r="D74" s="267">
        <f t="shared" ref="D74:D79" si="81">IFERROR(T74/T$79,0)</f>
        <v>0.27659574468085107</v>
      </c>
      <c r="E74" s="267">
        <f t="shared" ref="E74:E79" si="82">IFERROR(U74/U$79,0)</f>
        <v>0</v>
      </c>
      <c r="F74" s="267">
        <f t="shared" ref="F74:H79" si="83">IFERROR(V74/V$79,0)</f>
        <v>0.23711340206185566</v>
      </c>
      <c r="G74" s="267">
        <f t="shared" si="83"/>
        <v>0.13846153846153847</v>
      </c>
      <c r="H74" s="267">
        <f t="shared" si="83"/>
        <v>0</v>
      </c>
      <c r="I74" s="266">
        <f t="shared" si="75"/>
        <v>0.26115023474178406</v>
      </c>
      <c r="J74" s="266">
        <f t="shared" si="76"/>
        <v>0</v>
      </c>
      <c r="K74" s="267">
        <f t="shared" si="77"/>
        <v>0</v>
      </c>
      <c r="L74" s="267">
        <f t="shared" si="77"/>
        <v>0</v>
      </c>
      <c r="M74" s="268">
        <f t="shared" si="78"/>
        <v>0</v>
      </c>
      <c r="N74" s="266">
        <f t="shared" si="79"/>
        <v>0</v>
      </c>
      <c r="O74" s="266">
        <f t="shared" si="80"/>
        <v>0</v>
      </c>
      <c r="P74" s="268">
        <f t="shared" si="80"/>
        <v>0</v>
      </c>
      <c r="Q74" s="685">
        <f t="shared" si="80"/>
        <v>0</v>
      </c>
      <c r="R74" s="269"/>
      <c r="S74" s="270">
        <f>'New Counts Pivot Table'!B$70</f>
        <v>432</v>
      </c>
      <c r="T74" s="271">
        <f>'New Counts Pivot Table'!C$70</f>
        <v>325</v>
      </c>
      <c r="U74" s="271">
        <f>'New Counts Pivot Table'!D$70</f>
        <v>0</v>
      </c>
      <c r="V74" s="271">
        <f>'New Counts Pivot Table'!E$70</f>
        <v>115</v>
      </c>
      <c r="W74" s="271">
        <f>'New Counts Pivot Table'!F$70</f>
        <v>18</v>
      </c>
      <c r="X74" s="674">
        <f>'New Counts Pivot Table'!G$70</f>
        <v>0</v>
      </c>
      <c r="Y74" s="270">
        <f>'New Counts Pivot Table'!H$70</f>
        <v>890</v>
      </c>
      <c r="Z74" s="270">
        <f>'New Counts Pivot Table'!I$70</f>
        <v>0</v>
      </c>
      <c r="AA74" s="271">
        <f>'New Counts Pivot Table'!J$70</f>
        <v>0</v>
      </c>
      <c r="AB74" s="271">
        <f>'New Counts Pivot Table'!K$70</f>
        <v>0</v>
      </c>
      <c r="AC74" s="271">
        <f>'New Counts Pivot Table'!L$70</f>
        <v>0</v>
      </c>
      <c r="AD74" s="271">
        <f>'New Counts Pivot Table'!M$70</f>
        <v>0</v>
      </c>
      <c r="AE74" s="270">
        <f>'New Counts Pivot Table'!N$70</f>
        <v>0</v>
      </c>
      <c r="AF74" s="270">
        <f>'New Counts Pivot Table'!O$70</f>
        <v>0</v>
      </c>
      <c r="AG74" s="271">
        <f>'New Counts Pivot Table'!P$70</f>
        <v>0</v>
      </c>
      <c r="AH74" s="270">
        <f>'New Counts Pivot Table'!Q$70</f>
        <v>0</v>
      </c>
    </row>
    <row r="75" spans="1:36" x14ac:dyDescent="0.2">
      <c r="A75" s="690"/>
      <c r="B75" s="258" t="s">
        <v>5</v>
      </c>
      <c r="C75" s="266">
        <f t="shared" si="74"/>
        <v>0.29048207663782449</v>
      </c>
      <c r="D75" s="267">
        <f t="shared" si="81"/>
        <v>0.31063829787234043</v>
      </c>
      <c r="E75" s="267">
        <f t="shared" si="82"/>
        <v>0</v>
      </c>
      <c r="F75" s="267">
        <f t="shared" si="83"/>
        <v>0.34845360824742266</v>
      </c>
      <c r="G75" s="267">
        <f t="shared" si="83"/>
        <v>0.23846153846153847</v>
      </c>
      <c r="H75" s="267">
        <f t="shared" si="83"/>
        <v>0</v>
      </c>
      <c r="I75" s="266">
        <f t="shared" si="75"/>
        <v>0.30369718309859156</v>
      </c>
      <c r="J75" s="266">
        <f t="shared" si="76"/>
        <v>0</v>
      </c>
      <c r="K75" s="267">
        <f t="shared" si="77"/>
        <v>0</v>
      </c>
      <c r="L75" s="267">
        <f t="shared" si="77"/>
        <v>0</v>
      </c>
      <c r="M75" s="268">
        <f t="shared" si="78"/>
        <v>0</v>
      </c>
      <c r="N75" s="266">
        <f t="shared" si="79"/>
        <v>0</v>
      </c>
      <c r="O75" s="266">
        <f t="shared" si="80"/>
        <v>0</v>
      </c>
      <c r="P75" s="268">
        <f t="shared" si="80"/>
        <v>0</v>
      </c>
      <c r="Q75" s="685">
        <f t="shared" si="80"/>
        <v>0</v>
      </c>
      <c r="R75" s="269"/>
      <c r="S75" s="270">
        <f>'New Counts Pivot Table'!B$71</f>
        <v>470</v>
      </c>
      <c r="T75" s="271">
        <f>'New Counts Pivot Table'!C$71</f>
        <v>365</v>
      </c>
      <c r="U75" s="271">
        <f>'New Counts Pivot Table'!D$71</f>
        <v>0</v>
      </c>
      <c r="V75" s="271">
        <f>'New Counts Pivot Table'!E$71</f>
        <v>169</v>
      </c>
      <c r="W75" s="271">
        <f>'New Counts Pivot Table'!F$71</f>
        <v>31</v>
      </c>
      <c r="X75" s="674">
        <f>'New Counts Pivot Table'!G$71</f>
        <v>0</v>
      </c>
      <c r="Y75" s="270">
        <f>'New Counts Pivot Table'!H$71</f>
        <v>1035</v>
      </c>
      <c r="Z75" s="270">
        <f>'New Counts Pivot Table'!I$71</f>
        <v>0</v>
      </c>
      <c r="AA75" s="271">
        <f>'New Counts Pivot Table'!J$71</f>
        <v>0</v>
      </c>
      <c r="AB75" s="271">
        <f>'New Counts Pivot Table'!K$71</f>
        <v>0</v>
      </c>
      <c r="AC75" s="271">
        <f>'New Counts Pivot Table'!L$71</f>
        <v>0</v>
      </c>
      <c r="AD75" s="271">
        <f>'New Counts Pivot Table'!M$71</f>
        <v>0</v>
      </c>
      <c r="AE75" s="270">
        <f>'New Counts Pivot Table'!N$71</f>
        <v>0</v>
      </c>
      <c r="AF75" s="270">
        <f>'New Counts Pivot Table'!O$71</f>
        <v>0</v>
      </c>
      <c r="AG75" s="271">
        <f>'New Counts Pivot Table'!P$71</f>
        <v>0</v>
      </c>
      <c r="AH75" s="270">
        <f>'New Counts Pivot Table'!Q$71</f>
        <v>0</v>
      </c>
    </row>
    <row r="76" spans="1:36" x14ac:dyDescent="0.2">
      <c r="A76" s="690"/>
      <c r="B76" s="258" t="s">
        <v>6</v>
      </c>
      <c r="C76" s="266">
        <f t="shared" si="74"/>
        <v>0.1823238566131026</v>
      </c>
      <c r="D76" s="267">
        <f t="shared" si="81"/>
        <v>0.18297872340425531</v>
      </c>
      <c r="E76" s="267">
        <f t="shared" si="82"/>
        <v>0</v>
      </c>
      <c r="F76" s="267">
        <f t="shared" si="83"/>
        <v>0.24536082474226803</v>
      </c>
      <c r="G76" s="267">
        <f t="shared" si="83"/>
        <v>0.36923076923076925</v>
      </c>
      <c r="H76" s="267">
        <f t="shared" si="83"/>
        <v>0</v>
      </c>
      <c r="I76" s="266">
        <f t="shared" si="75"/>
        <v>0.19865023474178403</v>
      </c>
      <c r="J76" s="266">
        <f t="shared" si="76"/>
        <v>0</v>
      </c>
      <c r="K76" s="267">
        <f t="shared" si="77"/>
        <v>0</v>
      </c>
      <c r="L76" s="267">
        <f t="shared" si="77"/>
        <v>0</v>
      </c>
      <c r="M76" s="268">
        <f t="shared" si="78"/>
        <v>0</v>
      </c>
      <c r="N76" s="266">
        <f t="shared" si="79"/>
        <v>0</v>
      </c>
      <c r="O76" s="266">
        <f t="shared" si="80"/>
        <v>0</v>
      </c>
      <c r="P76" s="268">
        <f t="shared" si="80"/>
        <v>0</v>
      </c>
      <c r="Q76" s="685">
        <f t="shared" si="80"/>
        <v>0</v>
      </c>
      <c r="R76" s="269"/>
      <c r="S76" s="270">
        <f>'New Counts Pivot Table'!B$72</f>
        <v>295</v>
      </c>
      <c r="T76" s="271">
        <f>'New Counts Pivot Table'!C$72</f>
        <v>215</v>
      </c>
      <c r="U76" s="271">
        <f>'New Counts Pivot Table'!D$72</f>
        <v>0</v>
      </c>
      <c r="V76" s="271">
        <f>'New Counts Pivot Table'!E$72</f>
        <v>119</v>
      </c>
      <c r="W76" s="271">
        <f>'New Counts Pivot Table'!F$72</f>
        <v>48</v>
      </c>
      <c r="X76" s="674">
        <f>'New Counts Pivot Table'!G$72</f>
        <v>0</v>
      </c>
      <c r="Y76" s="270">
        <f>'New Counts Pivot Table'!H$72</f>
        <v>677</v>
      </c>
      <c r="Z76" s="270">
        <f>'New Counts Pivot Table'!I$72</f>
        <v>0</v>
      </c>
      <c r="AA76" s="271">
        <f>'New Counts Pivot Table'!J$72</f>
        <v>0</v>
      </c>
      <c r="AB76" s="271">
        <f>'New Counts Pivot Table'!K$72</f>
        <v>0</v>
      </c>
      <c r="AC76" s="271">
        <f>'New Counts Pivot Table'!L$72</f>
        <v>0</v>
      </c>
      <c r="AD76" s="271">
        <f>'New Counts Pivot Table'!M$72</f>
        <v>0</v>
      </c>
      <c r="AE76" s="270">
        <f>'New Counts Pivot Table'!N$72</f>
        <v>0</v>
      </c>
      <c r="AF76" s="270">
        <f>'New Counts Pivot Table'!O$72</f>
        <v>0</v>
      </c>
      <c r="AG76" s="271">
        <f>'New Counts Pivot Table'!P$72</f>
        <v>0</v>
      </c>
      <c r="AH76" s="270">
        <f>'New Counts Pivot Table'!Q$72</f>
        <v>0</v>
      </c>
    </row>
    <row r="77" spans="1:36" x14ac:dyDescent="0.2">
      <c r="A77" s="690"/>
      <c r="B77" s="258" t="s">
        <v>26</v>
      </c>
      <c r="C77" s="266">
        <f t="shared" si="74"/>
        <v>3.5228677379480842E-2</v>
      </c>
      <c r="D77" s="267">
        <f t="shared" si="81"/>
        <v>1.9574468085106381E-2</v>
      </c>
      <c r="E77" s="267">
        <f t="shared" si="82"/>
        <v>0</v>
      </c>
      <c r="F77" s="267">
        <f t="shared" si="83"/>
        <v>0</v>
      </c>
      <c r="G77" s="267">
        <f t="shared" si="83"/>
        <v>0</v>
      </c>
      <c r="H77" s="267">
        <f t="shared" si="83"/>
        <v>0</v>
      </c>
      <c r="I77" s="266">
        <f t="shared" si="75"/>
        <v>2.3474178403755867E-2</v>
      </c>
      <c r="J77" s="266">
        <f t="shared" si="76"/>
        <v>0</v>
      </c>
      <c r="K77" s="267">
        <f t="shared" si="77"/>
        <v>0</v>
      </c>
      <c r="L77" s="267">
        <f t="shared" si="77"/>
        <v>0</v>
      </c>
      <c r="M77" s="268">
        <f t="shared" si="78"/>
        <v>0</v>
      </c>
      <c r="N77" s="266">
        <f t="shared" si="79"/>
        <v>0</v>
      </c>
      <c r="O77" s="266">
        <f t="shared" si="80"/>
        <v>0</v>
      </c>
      <c r="P77" s="268">
        <f t="shared" si="80"/>
        <v>0</v>
      </c>
      <c r="Q77" s="685">
        <f t="shared" si="80"/>
        <v>0</v>
      </c>
      <c r="R77" s="269"/>
      <c r="S77" s="270">
        <f>'New Counts Pivot Table'!B$73</f>
        <v>57</v>
      </c>
      <c r="T77" s="271">
        <f>'New Counts Pivot Table'!C$73</f>
        <v>23</v>
      </c>
      <c r="U77" s="271">
        <f>'New Counts Pivot Table'!D$73</f>
        <v>0</v>
      </c>
      <c r="V77" s="271">
        <f>'New Counts Pivot Table'!E$73</f>
        <v>0</v>
      </c>
      <c r="W77" s="271">
        <f>'New Counts Pivot Table'!F$73</f>
        <v>0</v>
      </c>
      <c r="X77" s="674">
        <f>'New Counts Pivot Table'!G$73</f>
        <v>0</v>
      </c>
      <c r="Y77" s="270">
        <f>'New Counts Pivot Table'!H$73</f>
        <v>80</v>
      </c>
      <c r="Z77" s="270">
        <f>'New Counts Pivot Table'!I$73</f>
        <v>0</v>
      </c>
      <c r="AA77" s="271">
        <f>'New Counts Pivot Table'!J$73</f>
        <v>0</v>
      </c>
      <c r="AB77" s="271">
        <f>'New Counts Pivot Table'!K$73</f>
        <v>0</v>
      </c>
      <c r="AC77" s="271">
        <f>'New Counts Pivot Table'!L$73</f>
        <v>0</v>
      </c>
      <c r="AD77" s="271">
        <f>'New Counts Pivot Table'!M$73</f>
        <v>0</v>
      </c>
      <c r="AE77" s="270">
        <f>'New Counts Pivot Table'!N$73</f>
        <v>0</v>
      </c>
      <c r="AF77" s="270">
        <f>'New Counts Pivot Table'!O$73</f>
        <v>0</v>
      </c>
      <c r="AG77" s="271">
        <f>'New Counts Pivot Table'!P$73</f>
        <v>0</v>
      </c>
      <c r="AH77" s="270">
        <f>'New Counts Pivot Table'!Q$73</f>
        <v>0</v>
      </c>
    </row>
    <row r="78" spans="1:36" x14ac:dyDescent="0.2">
      <c r="A78" s="690"/>
      <c r="B78" s="258" t="s">
        <v>23</v>
      </c>
      <c r="C78" s="266">
        <f t="shared" si="74"/>
        <v>0</v>
      </c>
      <c r="D78" s="267">
        <f t="shared" si="81"/>
        <v>0</v>
      </c>
      <c r="E78" s="267">
        <f t="shared" si="82"/>
        <v>0</v>
      </c>
      <c r="F78" s="267">
        <f t="shared" si="83"/>
        <v>0</v>
      </c>
      <c r="G78" s="267">
        <f t="shared" si="83"/>
        <v>0</v>
      </c>
      <c r="H78" s="267">
        <f t="shared" si="83"/>
        <v>0</v>
      </c>
      <c r="I78" s="266">
        <f t="shared" si="75"/>
        <v>0</v>
      </c>
      <c r="J78" s="266">
        <f t="shared" si="76"/>
        <v>0</v>
      </c>
      <c r="K78" s="267">
        <f t="shared" si="77"/>
        <v>1</v>
      </c>
      <c r="L78" s="267">
        <f t="shared" si="77"/>
        <v>1</v>
      </c>
      <c r="M78" s="268">
        <f t="shared" si="78"/>
        <v>1</v>
      </c>
      <c r="N78" s="266">
        <f t="shared" si="79"/>
        <v>1</v>
      </c>
      <c r="O78" s="266">
        <f t="shared" si="80"/>
        <v>0</v>
      </c>
      <c r="P78" s="268">
        <f t="shared" si="80"/>
        <v>0</v>
      </c>
      <c r="Q78" s="685">
        <f t="shared" si="80"/>
        <v>0</v>
      </c>
      <c r="R78" s="269"/>
      <c r="S78" s="270">
        <f>'New Counts Pivot Table'!B$74</f>
        <v>0</v>
      </c>
      <c r="T78" s="271">
        <f>'New Counts Pivot Table'!C$74</f>
        <v>0</v>
      </c>
      <c r="U78" s="271">
        <f>'New Counts Pivot Table'!D$74</f>
        <v>0</v>
      </c>
      <c r="V78" s="271">
        <f>'New Counts Pivot Table'!E$74</f>
        <v>0</v>
      </c>
      <c r="W78" s="271">
        <f>'New Counts Pivot Table'!F$74</f>
        <v>0</v>
      </c>
      <c r="X78" s="674">
        <f>'New Counts Pivot Table'!G$74</f>
        <v>0</v>
      </c>
      <c r="Y78" s="270">
        <f>'New Counts Pivot Table'!H$74</f>
        <v>0</v>
      </c>
      <c r="Z78" s="270">
        <f>'New Counts Pivot Table'!I$74</f>
        <v>0</v>
      </c>
      <c r="AA78" s="271">
        <f>'New Counts Pivot Table'!J$74</f>
        <v>1157</v>
      </c>
      <c r="AB78" s="271">
        <f>'New Counts Pivot Table'!K$74</f>
        <v>1199.0999999999999</v>
      </c>
      <c r="AC78" s="271">
        <f>'New Counts Pivot Table'!L$74</f>
        <v>149</v>
      </c>
      <c r="AD78" s="271">
        <f>'New Counts Pivot Table'!M$74</f>
        <v>0</v>
      </c>
      <c r="AE78" s="270">
        <f>'New Counts Pivot Table'!N$74</f>
        <v>2505.1</v>
      </c>
      <c r="AF78" s="270">
        <f>'New Counts Pivot Table'!O$74</f>
        <v>0</v>
      </c>
      <c r="AG78" s="271">
        <f>'New Counts Pivot Table'!P$74</f>
        <v>0</v>
      </c>
      <c r="AH78" s="270">
        <f>'New Counts Pivot Table'!Q$74</f>
        <v>0</v>
      </c>
    </row>
    <row r="79" spans="1:36" s="280" customFormat="1" x14ac:dyDescent="0.25">
      <c r="A79" s="691"/>
      <c r="B79" s="272" t="s">
        <v>220</v>
      </c>
      <c r="C79" s="273">
        <f t="shared" si="74"/>
        <v>1</v>
      </c>
      <c r="D79" s="274">
        <f t="shared" si="81"/>
        <v>1</v>
      </c>
      <c r="E79" s="274">
        <f t="shared" si="82"/>
        <v>0</v>
      </c>
      <c r="F79" s="274">
        <f t="shared" si="83"/>
        <v>1</v>
      </c>
      <c r="G79" s="274">
        <f t="shared" si="83"/>
        <v>1</v>
      </c>
      <c r="H79" s="274">
        <f t="shared" si="83"/>
        <v>0</v>
      </c>
      <c r="I79" s="273">
        <f t="shared" si="75"/>
        <v>1</v>
      </c>
      <c r="J79" s="273">
        <f t="shared" si="76"/>
        <v>0</v>
      </c>
      <c r="K79" s="274">
        <f t="shared" si="77"/>
        <v>1</v>
      </c>
      <c r="L79" s="274">
        <f t="shared" si="77"/>
        <v>1</v>
      </c>
      <c r="M79" s="275">
        <f t="shared" si="78"/>
        <v>1</v>
      </c>
      <c r="N79" s="273">
        <f t="shared" si="79"/>
        <v>1</v>
      </c>
      <c r="O79" s="273">
        <f t="shared" si="80"/>
        <v>0</v>
      </c>
      <c r="P79" s="275">
        <f t="shared" si="80"/>
        <v>0</v>
      </c>
      <c r="Q79" s="686">
        <f t="shared" si="80"/>
        <v>0</v>
      </c>
      <c r="R79" s="276"/>
      <c r="S79" s="277">
        <f>'New Counts Pivot Table'!B$75</f>
        <v>1618</v>
      </c>
      <c r="T79" s="278">
        <f>'New Counts Pivot Table'!C$75</f>
        <v>1175</v>
      </c>
      <c r="U79" s="278">
        <f>'New Counts Pivot Table'!D$75</f>
        <v>0</v>
      </c>
      <c r="V79" s="278">
        <f>'New Counts Pivot Table'!E$75</f>
        <v>485</v>
      </c>
      <c r="W79" s="278">
        <f>'New Counts Pivot Table'!F$75</f>
        <v>130</v>
      </c>
      <c r="X79" s="675">
        <f>'New Counts Pivot Table'!G$75</f>
        <v>0</v>
      </c>
      <c r="Y79" s="277">
        <f>'New Counts Pivot Table'!H$75</f>
        <v>3408</v>
      </c>
      <c r="Z79" s="277">
        <f>'New Counts Pivot Table'!I$75</f>
        <v>0</v>
      </c>
      <c r="AA79" s="278">
        <f>'New Counts Pivot Table'!J$75</f>
        <v>1157</v>
      </c>
      <c r="AB79" s="278">
        <f>'New Counts Pivot Table'!K$75</f>
        <v>1199.0999999999999</v>
      </c>
      <c r="AC79" s="278">
        <f>'New Counts Pivot Table'!L$75</f>
        <v>149</v>
      </c>
      <c r="AD79" s="278">
        <f>'New Counts Pivot Table'!M$75</f>
        <v>0</v>
      </c>
      <c r="AE79" s="277">
        <f>'New Counts Pivot Table'!N$75</f>
        <v>2505.1</v>
      </c>
      <c r="AF79" s="277">
        <f>'New Counts Pivot Table'!O$75</f>
        <v>0</v>
      </c>
      <c r="AG79" s="278">
        <f>'New Counts Pivot Table'!P$75</f>
        <v>0</v>
      </c>
      <c r="AH79" s="277">
        <f>'New Counts Pivot Table'!Q$75</f>
        <v>0</v>
      </c>
      <c r="AI79" s="279"/>
      <c r="AJ79" s="279"/>
    </row>
    <row r="80" spans="1:36" x14ac:dyDescent="0.2">
      <c r="A80" s="690" t="s">
        <v>40</v>
      </c>
      <c r="B80" s="259" t="s">
        <v>3</v>
      </c>
      <c r="C80" s="260">
        <f t="shared" ref="C80:C86" si="84">S80/S$86</f>
        <v>0.31812186758111316</v>
      </c>
      <c r="D80" s="261">
        <f t="shared" ref="D80:H86" si="85">IFERROR(T80/T$86,0)</f>
        <v>0.1883720930232558</v>
      </c>
      <c r="E80" s="261">
        <f t="shared" si="85"/>
        <v>0.2361111111111111</v>
      </c>
      <c r="F80" s="261">
        <f t="shared" si="85"/>
        <v>0.20216606498194944</v>
      </c>
      <c r="G80" s="261">
        <f t="shared" si="85"/>
        <v>0.17481481481481481</v>
      </c>
      <c r="H80" s="261">
        <f t="shared" si="85"/>
        <v>0.30054644808743169</v>
      </c>
      <c r="I80" s="260">
        <f t="shared" ref="I80:I86" si="86">Y80/Y$86</f>
        <v>0.25409754643885962</v>
      </c>
      <c r="J80" s="260">
        <f t="shared" ref="J80:J86" si="87">IFERROR(Z80/Z$86,0)</f>
        <v>0</v>
      </c>
      <c r="K80" s="261">
        <f t="shared" ref="K80:L86" si="88">AA80/AA$86</f>
        <v>0</v>
      </c>
      <c r="L80" s="261">
        <f t="shared" si="88"/>
        <v>0</v>
      </c>
      <c r="M80" s="262">
        <f t="shared" ref="M80:M86" si="89">IFERROR(AC80/AC$86,0)</f>
        <v>0</v>
      </c>
      <c r="N80" s="260">
        <f t="shared" ref="N80:N86" si="90">AE80/AE$86</f>
        <v>0</v>
      </c>
      <c r="O80" s="260">
        <f t="shared" ref="O80:Q86" si="91">IFERROR(AF80/AF$86,0)</f>
        <v>0</v>
      </c>
      <c r="P80" s="262">
        <f t="shared" si="91"/>
        <v>0</v>
      </c>
      <c r="Q80" s="684">
        <f t="shared" si="91"/>
        <v>0</v>
      </c>
      <c r="R80" s="263"/>
      <c r="S80" s="264">
        <f>'New Counts Pivot Table'!B$77</f>
        <v>1206</v>
      </c>
      <c r="T80" s="265">
        <f>'New Counts Pivot Table'!C$77</f>
        <v>405</v>
      </c>
      <c r="U80" s="265">
        <f>'New Counts Pivot Table'!D$77</f>
        <v>663</v>
      </c>
      <c r="V80" s="265">
        <f>'New Counts Pivot Table'!E$77</f>
        <v>56</v>
      </c>
      <c r="W80" s="265">
        <f>'New Counts Pivot Table'!F$77</f>
        <v>118</v>
      </c>
      <c r="X80" s="673">
        <f>'New Counts Pivot Table'!G$77</f>
        <v>110</v>
      </c>
      <c r="Y80" s="264">
        <f>'New Counts Pivot Table'!H$77</f>
        <v>2558</v>
      </c>
      <c r="Z80" s="264">
        <f>'New Counts Pivot Table'!I$77</f>
        <v>0</v>
      </c>
      <c r="AA80" s="265">
        <f>'New Counts Pivot Table'!J$77</f>
        <v>0</v>
      </c>
      <c r="AB80" s="265">
        <f>'New Counts Pivot Table'!K$77</f>
        <v>0</v>
      </c>
      <c r="AC80" s="265">
        <f>'New Counts Pivot Table'!L$77</f>
        <v>0</v>
      </c>
      <c r="AD80" s="265">
        <f>'New Counts Pivot Table'!M$77</f>
        <v>0</v>
      </c>
      <c r="AE80" s="264">
        <f>'New Counts Pivot Table'!N$77</f>
        <v>0</v>
      </c>
      <c r="AF80" s="264">
        <f>'New Counts Pivot Table'!O$77</f>
        <v>0</v>
      </c>
      <c r="AG80" s="265">
        <f>'New Counts Pivot Table'!P$77</f>
        <v>0</v>
      </c>
      <c r="AH80" s="264">
        <f>'New Counts Pivot Table'!Q$77</f>
        <v>0</v>
      </c>
    </row>
    <row r="81" spans="1:36" x14ac:dyDescent="0.2">
      <c r="A81" s="690"/>
      <c r="B81" s="258" t="s">
        <v>4</v>
      </c>
      <c r="C81" s="266">
        <f t="shared" si="84"/>
        <v>0.25243998944869428</v>
      </c>
      <c r="D81" s="267">
        <f t="shared" si="85"/>
        <v>0.33302325581395348</v>
      </c>
      <c r="E81" s="267">
        <f t="shared" si="85"/>
        <v>0.29736467236467234</v>
      </c>
      <c r="F81" s="267">
        <f t="shared" si="85"/>
        <v>0.36101083032490977</v>
      </c>
      <c r="G81" s="267">
        <f t="shared" si="85"/>
        <v>0.25925925925925924</v>
      </c>
      <c r="H81" s="267">
        <f t="shared" si="85"/>
        <v>0.27868852459016391</v>
      </c>
      <c r="I81" s="266">
        <f t="shared" si="86"/>
        <v>0.28657991457236515</v>
      </c>
      <c r="J81" s="266">
        <f t="shared" si="87"/>
        <v>0</v>
      </c>
      <c r="K81" s="267">
        <f t="shared" si="88"/>
        <v>0</v>
      </c>
      <c r="L81" s="267">
        <f t="shared" si="88"/>
        <v>0</v>
      </c>
      <c r="M81" s="268">
        <f t="shared" si="89"/>
        <v>0</v>
      </c>
      <c r="N81" s="266">
        <f t="shared" si="90"/>
        <v>0</v>
      </c>
      <c r="O81" s="266">
        <f t="shared" si="91"/>
        <v>0</v>
      </c>
      <c r="P81" s="268">
        <f t="shared" si="91"/>
        <v>0</v>
      </c>
      <c r="Q81" s="685">
        <f t="shared" si="91"/>
        <v>0</v>
      </c>
      <c r="R81" s="269"/>
      <c r="S81" s="270">
        <f>'New Counts Pivot Table'!B$78</f>
        <v>957</v>
      </c>
      <c r="T81" s="271">
        <f>'New Counts Pivot Table'!C$78</f>
        <v>716</v>
      </c>
      <c r="U81" s="271">
        <f>'New Counts Pivot Table'!D$78</f>
        <v>835</v>
      </c>
      <c r="V81" s="271">
        <f>'New Counts Pivot Table'!E$78</f>
        <v>100</v>
      </c>
      <c r="W81" s="271">
        <f>'New Counts Pivot Table'!F$78</f>
        <v>175</v>
      </c>
      <c r="X81" s="674">
        <f>'New Counts Pivot Table'!G$78</f>
        <v>102</v>
      </c>
      <c r="Y81" s="270">
        <f>'New Counts Pivot Table'!H$78</f>
        <v>2885</v>
      </c>
      <c r="Z81" s="270">
        <f>'New Counts Pivot Table'!I$78</f>
        <v>0</v>
      </c>
      <c r="AA81" s="271">
        <f>'New Counts Pivot Table'!J$78</f>
        <v>0</v>
      </c>
      <c r="AB81" s="271">
        <f>'New Counts Pivot Table'!K$78</f>
        <v>0</v>
      </c>
      <c r="AC81" s="271">
        <f>'New Counts Pivot Table'!L$78</f>
        <v>0</v>
      </c>
      <c r="AD81" s="271">
        <f>'New Counts Pivot Table'!M$78</f>
        <v>0</v>
      </c>
      <c r="AE81" s="270">
        <f>'New Counts Pivot Table'!N$78</f>
        <v>0</v>
      </c>
      <c r="AF81" s="270">
        <f>'New Counts Pivot Table'!O$78</f>
        <v>0</v>
      </c>
      <c r="AG81" s="271">
        <f>'New Counts Pivot Table'!P$78</f>
        <v>0</v>
      </c>
      <c r="AH81" s="270">
        <f>'New Counts Pivot Table'!Q$78</f>
        <v>0</v>
      </c>
    </row>
    <row r="82" spans="1:36" x14ac:dyDescent="0.2">
      <c r="A82" s="690"/>
      <c r="B82" s="258" t="s">
        <v>5</v>
      </c>
      <c r="C82" s="266">
        <f t="shared" si="84"/>
        <v>0.17858084938011079</v>
      </c>
      <c r="D82" s="267">
        <f t="shared" si="85"/>
        <v>0.21069767441860465</v>
      </c>
      <c r="E82" s="267">
        <f t="shared" si="85"/>
        <v>0.23575498575498577</v>
      </c>
      <c r="F82" s="267">
        <f t="shared" si="85"/>
        <v>0.3140794223826715</v>
      </c>
      <c r="G82" s="267">
        <f t="shared" si="85"/>
        <v>0.31555555555555553</v>
      </c>
      <c r="H82" s="267">
        <f t="shared" si="85"/>
        <v>0.19945355191256831</v>
      </c>
      <c r="I82" s="266">
        <f t="shared" si="86"/>
        <v>0.21505910400317871</v>
      </c>
      <c r="J82" s="266">
        <f t="shared" si="87"/>
        <v>0</v>
      </c>
      <c r="K82" s="267">
        <f t="shared" si="88"/>
        <v>0</v>
      </c>
      <c r="L82" s="267">
        <f t="shared" si="88"/>
        <v>0</v>
      </c>
      <c r="M82" s="268">
        <f t="shared" si="89"/>
        <v>0</v>
      </c>
      <c r="N82" s="266">
        <f t="shared" si="90"/>
        <v>0</v>
      </c>
      <c r="O82" s="266">
        <f t="shared" si="91"/>
        <v>0</v>
      </c>
      <c r="P82" s="268">
        <f t="shared" si="91"/>
        <v>0</v>
      </c>
      <c r="Q82" s="685">
        <f t="shared" si="91"/>
        <v>0</v>
      </c>
      <c r="R82" s="269"/>
      <c r="S82" s="270">
        <f>'New Counts Pivot Table'!B$79</f>
        <v>677</v>
      </c>
      <c r="T82" s="271">
        <f>'New Counts Pivot Table'!C$79</f>
        <v>453</v>
      </c>
      <c r="U82" s="271">
        <f>'New Counts Pivot Table'!D$79</f>
        <v>662</v>
      </c>
      <c r="V82" s="271">
        <f>'New Counts Pivot Table'!E$79</f>
        <v>87</v>
      </c>
      <c r="W82" s="271">
        <f>'New Counts Pivot Table'!F$79</f>
        <v>213</v>
      </c>
      <c r="X82" s="674">
        <f>'New Counts Pivot Table'!G$79</f>
        <v>73</v>
      </c>
      <c r="Y82" s="270">
        <f>'New Counts Pivot Table'!H$79</f>
        <v>2165</v>
      </c>
      <c r="Z82" s="270">
        <f>'New Counts Pivot Table'!I$79</f>
        <v>0</v>
      </c>
      <c r="AA82" s="271">
        <f>'New Counts Pivot Table'!J$79</f>
        <v>0</v>
      </c>
      <c r="AB82" s="271">
        <f>'New Counts Pivot Table'!K$79</f>
        <v>0</v>
      </c>
      <c r="AC82" s="271">
        <f>'New Counts Pivot Table'!L$79</f>
        <v>0</v>
      </c>
      <c r="AD82" s="271">
        <f>'New Counts Pivot Table'!M$79</f>
        <v>0</v>
      </c>
      <c r="AE82" s="270">
        <f>'New Counts Pivot Table'!N$79</f>
        <v>0</v>
      </c>
      <c r="AF82" s="270">
        <f>'New Counts Pivot Table'!O$79</f>
        <v>0</v>
      </c>
      <c r="AG82" s="271">
        <f>'New Counts Pivot Table'!P$79</f>
        <v>0</v>
      </c>
      <c r="AH82" s="270">
        <f>'New Counts Pivot Table'!Q$79</f>
        <v>0</v>
      </c>
    </row>
    <row r="83" spans="1:36" x14ac:dyDescent="0.2">
      <c r="A83" s="690"/>
      <c r="B83" s="258" t="s">
        <v>6</v>
      </c>
      <c r="C83" s="266">
        <f t="shared" si="84"/>
        <v>1.8201002374043786E-2</v>
      </c>
      <c r="D83" s="267">
        <f t="shared" si="85"/>
        <v>3.7209302325581397E-3</v>
      </c>
      <c r="E83" s="267">
        <f t="shared" si="85"/>
        <v>1.1396011396011397E-2</v>
      </c>
      <c r="F83" s="267">
        <f t="shared" si="85"/>
        <v>1.444043321299639E-2</v>
      </c>
      <c r="G83" s="267">
        <f t="shared" si="85"/>
        <v>8.2962962962962961E-2</v>
      </c>
      <c r="H83" s="267">
        <f t="shared" si="85"/>
        <v>2.7322404371584699E-3</v>
      </c>
      <c r="I83" s="266">
        <f t="shared" si="86"/>
        <v>1.6886858051057912E-2</v>
      </c>
      <c r="J83" s="266">
        <f t="shared" si="87"/>
        <v>0</v>
      </c>
      <c r="K83" s="267">
        <f t="shared" si="88"/>
        <v>0</v>
      </c>
      <c r="L83" s="267">
        <f t="shared" si="88"/>
        <v>0.32501023331968892</v>
      </c>
      <c r="M83" s="268">
        <f t="shared" si="89"/>
        <v>0.26535836177474403</v>
      </c>
      <c r="N83" s="266">
        <f t="shared" si="90"/>
        <v>0.17548038748610451</v>
      </c>
      <c r="O83" s="266">
        <f t="shared" si="91"/>
        <v>0</v>
      </c>
      <c r="P83" s="268">
        <f t="shared" si="91"/>
        <v>0</v>
      </c>
      <c r="Q83" s="685">
        <f t="shared" si="91"/>
        <v>0</v>
      </c>
      <c r="R83" s="269"/>
      <c r="S83" s="270">
        <f>'New Counts Pivot Table'!B$80</f>
        <v>69</v>
      </c>
      <c r="T83" s="271">
        <f>'New Counts Pivot Table'!C$80</f>
        <v>8</v>
      </c>
      <c r="U83" s="271">
        <f>'New Counts Pivot Table'!D$80</f>
        <v>32</v>
      </c>
      <c r="V83" s="271">
        <f>'New Counts Pivot Table'!E$80</f>
        <v>4</v>
      </c>
      <c r="W83" s="271">
        <f>'New Counts Pivot Table'!F$80</f>
        <v>56</v>
      </c>
      <c r="X83" s="674">
        <f>'New Counts Pivot Table'!G$80</f>
        <v>1</v>
      </c>
      <c r="Y83" s="270">
        <f>'New Counts Pivot Table'!H$80</f>
        <v>170</v>
      </c>
      <c r="Z83" s="270">
        <f>'New Counts Pivot Table'!I$80</f>
        <v>0</v>
      </c>
      <c r="AA83" s="271">
        <f>'New Counts Pivot Table'!J$80</f>
        <v>0</v>
      </c>
      <c r="AB83" s="271">
        <f>'New Counts Pivot Table'!K$80</f>
        <v>794</v>
      </c>
      <c r="AC83" s="271">
        <f>'New Counts Pivot Table'!L$80</f>
        <v>311</v>
      </c>
      <c r="AD83" s="271">
        <f>'New Counts Pivot Table'!M$80</f>
        <v>0</v>
      </c>
      <c r="AE83" s="270">
        <f>'New Counts Pivot Table'!N$80</f>
        <v>1105</v>
      </c>
      <c r="AF83" s="270">
        <f>'New Counts Pivot Table'!O$80</f>
        <v>0</v>
      </c>
      <c r="AG83" s="271">
        <f>'New Counts Pivot Table'!P$80</f>
        <v>0</v>
      </c>
      <c r="AH83" s="270">
        <f>'New Counts Pivot Table'!Q$80</f>
        <v>0</v>
      </c>
    </row>
    <row r="84" spans="1:36" x14ac:dyDescent="0.2">
      <c r="A84" s="690"/>
      <c r="B84" s="258" t="s">
        <v>26</v>
      </c>
      <c r="C84" s="266">
        <f t="shared" si="84"/>
        <v>0.23265629121603798</v>
      </c>
      <c r="D84" s="267">
        <f t="shared" si="85"/>
        <v>0.26418604651162791</v>
      </c>
      <c r="E84" s="267">
        <f t="shared" si="85"/>
        <v>0.21937321937321938</v>
      </c>
      <c r="F84" s="267">
        <f t="shared" si="85"/>
        <v>0.10830324909747292</v>
      </c>
      <c r="G84" s="267">
        <f t="shared" si="85"/>
        <v>0.16740740740740739</v>
      </c>
      <c r="H84" s="267">
        <f t="shared" si="85"/>
        <v>0.21857923497267759</v>
      </c>
      <c r="I84" s="266">
        <f t="shared" si="86"/>
        <v>0.22737657693453858</v>
      </c>
      <c r="J84" s="266">
        <f t="shared" si="87"/>
        <v>0</v>
      </c>
      <c r="K84" s="267">
        <f t="shared" si="88"/>
        <v>0.79940343027591354</v>
      </c>
      <c r="L84" s="267">
        <f t="shared" si="88"/>
        <v>0.67498976668031108</v>
      </c>
      <c r="M84" s="268">
        <f t="shared" si="89"/>
        <v>0.73464163822525597</v>
      </c>
      <c r="N84" s="266">
        <f t="shared" si="90"/>
        <v>0.73908210258853424</v>
      </c>
      <c r="O84" s="266">
        <f t="shared" si="91"/>
        <v>0</v>
      </c>
      <c r="P84" s="268">
        <f t="shared" si="91"/>
        <v>0</v>
      </c>
      <c r="Q84" s="685">
        <f t="shared" si="91"/>
        <v>0</v>
      </c>
      <c r="R84" s="269"/>
      <c r="S84" s="270">
        <f>'New Counts Pivot Table'!B$81</f>
        <v>882</v>
      </c>
      <c r="T84" s="271">
        <f>'New Counts Pivot Table'!C$81</f>
        <v>568</v>
      </c>
      <c r="U84" s="271">
        <f>'New Counts Pivot Table'!D$81</f>
        <v>616</v>
      </c>
      <c r="V84" s="271">
        <f>'New Counts Pivot Table'!E$81</f>
        <v>30</v>
      </c>
      <c r="W84" s="271">
        <f>'New Counts Pivot Table'!F$81</f>
        <v>113</v>
      </c>
      <c r="X84" s="674">
        <f>'New Counts Pivot Table'!G$81</f>
        <v>80</v>
      </c>
      <c r="Y84" s="270">
        <f>'New Counts Pivot Table'!H$81</f>
        <v>2289</v>
      </c>
      <c r="Z84" s="270">
        <f>'New Counts Pivot Table'!I$81</f>
        <v>0</v>
      </c>
      <c r="AA84" s="271">
        <f>'New Counts Pivot Table'!J$81</f>
        <v>2144</v>
      </c>
      <c r="AB84" s="271">
        <f>'New Counts Pivot Table'!K$81</f>
        <v>1649</v>
      </c>
      <c r="AC84" s="271">
        <f>'New Counts Pivot Table'!L$81</f>
        <v>861</v>
      </c>
      <c r="AD84" s="271">
        <f>'New Counts Pivot Table'!M$81</f>
        <v>0</v>
      </c>
      <c r="AE84" s="270">
        <f>'New Counts Pivot Table'!N$81</f>
        <v>4654</v>
      </c>
      <c r="AF84" s="270">
        <f>'New Counts Pivot Table'!O$81</f>
        <v>0</v>
      </c>
      <c r="AG84" s="271">
        <f>'New Counts Pivot Table'!P$81</f>
        <v>0</v>
      </c>
      <c r="AH84" s="270">
        <f>'New Counts Pivot Table'!Q$81</f>
        <v>0</v>
      </c>
    </row>
    <row r="85" spans="1:36" x14ac:dyDescent="0.2">
      <c r="A85" s="690"/>
      <c r="B85" s="258" t="s">
        <v>23</v>
      </c>
      <c r="C85" s="266">
        <f t="shared" si="84"/>
        <v>0</v>
      </c>
      <c r="D85" s="267">
        <f t="shared" si="85"/>
        <v>0</v>
      </c>
      <c r="E85" s="267">
        <f t="shared" si="85"/>
        <v>0</v>
      </c>
      <c r="F85" s="267">
        <f t="shared" si="85"/>
        <v>0</v>
      </c>
      <c r="G85" s="267">
        <f t="shared" si="85"/>
        <v>0</v>
      </c>
      <c r="H85" s="267">
        <f t="shared" si="85"/>
        <v>0</v>
      </c>
      <c r="I85" s="266">
        <f t="shared" si="86"/>
        <v>0</v>
      </c>
      <c r="J85" s="266">
        <f t="shared" si="87"/>
        <v>0</v>
      </c>
      <c r="K85" s="267">
        <f t="shared" si="88"/>
        <v>0.20059656972408652</v>
      </c>
      <c r="L85" s="267">
        <f t="shared" si="88"/>
        <v>0</v>
      </c>
      <c r="M85" s="268">
        <f t="shared" si="89"/>
        <v>0</v>
      </c>
      <c r="N85" s="266">
        <f t="shared" si="90"/>
        <v>8.5437509925361282E-2</v>
      </c>
      <c r="O85" s="266">
        <f t="shared" si="91"/>
        <v>0</v>
      </c>
      <c r="P85" s="268">
        <f t="shared" si="91"/>
        <v>0</v>
      </c>
      <c r="Q85" s="685">
        <f t="shared" si="91"/>
        <v>0</v>
      </c>
      <c r="R85" s="269"/>
      <c r="S85" s="270">
        <f>'New Counts Pivot Table'!B$82</f>
        <v>0</v>
      </c>
      <c r="T85" s="271">
        <f>'New Counts Pivot Table'!C$82</f>
        <v>0</v>
      </c>
      <c r="U85" s="271">
        <f>'New Counts Pivot Table'!D$82</f>
        <v>0</v>
      </c>
      <c r="V85" s="271">
        <f>'New Counts Pivot Table'!E$82</f>
        <v>0</v>
      </c>
      <c r="W85" s="271">
        <f>'New Counts Pivot Table'!F$82</f>
        <v>0</v>
      </c>
      <c r="X85" s="674">
        <f>'New Counts Pivot Table'!G$82</f>
        <v>0</v>
      </c>
      <c r="Y85" s="270">
        <f>'New Counts Pivot Table'!H$82</f>
        <v>0</v>
      </c>
      <c r="Z85" s="270">
        <f>'New Counts Pivot Table'!I$82</f>
        <v>0</v>
      </c>
      <c r="AA85" s="271">
        <f>'New Counts Pivot Table'!J$82</f>
        <v>538</v>
      </c>
      <c r="AB85" s="271">
        <f>'New Counts Pivot Table'!K$82</f>
        <v>0</v>
      </c>
      <c r="AC85" s="271">
        <f>'New Counts Pivot Table'!L$82</f>
        <v>0</v>
      </c>
      <c r="AD85" s="271">
        <f>'New Counts Pivot Table'!M$82</f>
        <v>0</v>
      </c>
      <c r="AE85" s="270">
        <f>'New Counts Pivot Table'!N$82</f>
        <v>538</v>
      </c>
      <c r="AF85" s="270">
        <f>'New Counts Pivot Table'!O$82</f>
        <v>0</v>
      </c>
      <c r="AG85" s="271">
        <f>'New Counts Pivot Table'!P$82</f>
        <v>0</v>
      </c>
      <c r="AH85" s="270">
        <f>'New Counts Pivot Table'!Q$82</f>
        <v>0</v>
      </c>
    </row>
    <row r="86" spans="1:36" s="280" customFormat="1" x14ac:dyDescent="0.25">
      <c r="A86" s="691"/>
      <c r="B86" s="272" t="s">
        <v>220</v>
      </c>
      <c r="C86" s="273">
        <f t="shared" si="84"/>
        <v>1</v>
      </c>
      <c r="D86" s="274">
        <f t="shared" si="85"/>
        <v>1</v>
      </c>
      <c r="E86" s="274">
        <f t="shared" si="85"/>
        <v>1</v>
      </c>
      <c r="F86" s="274">
        <f t="shared" si="85"/>
        <v>1</v>
      </c>
      <c r="G86" s="274">
        <f t="shared" si="85"/>
        <v>1</v>
      </c>
      <c r="H86" s="274">
        <f t="shared" si="85"/>
        <v>1</v>
      </c>
      <c r="I86" s="273">
        <f t="shared" si="86"/>
        <v>1</v>
      </c>
      <c r="J86" s="273">
        <f t="shared" si="87"/>
        <v>0</v>
      </c>
      <c r="K86" s="274">
        <f t="shared" si="88"/>
        <v>1</v>
      </c>
      <c r="L86" s="274">
        <f t="shared" si="88"/>
        <v>1</v>
      </c>
      <c r="M86" s="275">
        <f t="shared" si="89"/>
        <v>1</v>
      </c>
      <c r="N86" s="273">
        <f t="shared" si="90"/>
        <v>1</v>
      </c>
      <c r="O86" s="273">
        <f t="shared" si="91"/>
        <v>0</v>
      </c>
      <c r="P86" s="275">
        <f t="shared" si="91"/>
        <v>0</v>
      </c>
      <c r="Q86" s="686">
        <f t="shared" si="91"/>
        <v>0</v>
      </c>
      <c r="R86" s="276"/>
      <c r="S86" s="277">
        <f>'New Counts Pivot Table'!B$83</f>
        <v>3791</v>
      </c>
      <c r="T86" s="278">
        <f>'New Counts Pivot Table'!C$83</f>
        <v>2150</v>
      </c>
      <c r="U86" s="278">
        <f>'New Counts Pivot Table'!D$83</f>
        <v>2808</v>
      </c>
      <c r="V86" s="278">
        <f>'New Counts Pivot Table'!E$83</f>
        <v>277</v>
      </c>
      <c r="W86" s="278">
        <f>'New Counts Pivot Table'!F$83</f>
        <v>675</v>
      </c>
      <c r="X86" s="675">
        <f>'New Counts Pivot Table'!G$83</f>
        <v>366</v>
      </c>
      <c r="Y86" s="277">
        <f>'New Counts Pivot Table'!H$83</f>
        <v>10067</v>
      </c>
      <c r="Z86" s="277">
        <f>'New Counts Pivot Table'!I$83</f>
        <v>0</v>
      </c>
      <c r="AA86" s="278">
        <f>'New Counts Pivot Table'!J$83</f>
        <v>2682</v>
      </c>
      <c r="AB86" s="278">
        <f>'New Counts Pivot Table'!K$83</f>
        <v>2443</v>
      </c>
      <c r="AC86" s="278">
        <f>'New Counts Pivot Table'!L$83</f>
        <v>1172</v>
      </c>
      <c r="AD86" s="278">
        <f>'New Counts Pivot Table'!M$83</f>
        <v>0</v>
      </c>
      <c r="AE86" s="277">
        <f>'New Counts Pivot Table'!N$83</f>
        <v>6297</v>
      </c>
      <c r="AF86" s="277">
        <f>'New Counts Pivot Table'!O$83</f>
        <v>0</v>
      </c>
      <c r="AG86" s="278">
        <f>'New Counts Pivot Table'!P$83</f>
        <v>0</v>
      </c>
      <c r="AH86" s="277">
        <f>'New Counts Pivot Table'!Q$83</f>
        <v>0</v>
      </c>
      <c r="AI86" s="279"/>
      <c r="AJ86" s="279"/>
    </row>
    <row r="87" spans="1:36" x14ac:dyDescent="0.2">
      <c r="A87" s="690" t="s">
        <v>41</v>
      </c>
      <c r="B87" s="259" t="s">
        <v>3</v>
      </c>
      <c r="C87" s="260">
        <f t="shared" ref="C87:C93" si="92">S87/S$93</f>
        <v>0.34598750600672751</v>
      </c>
      <c r="D87" s="261">
        <f t="shared" ref="D87:H93" si="93">IFERROR(T87/T$93,0)</f>
        <v>0</v>
      </c>
      <c r="E87" s="261">
        <f t="shared" si="93"/>
        <v>0.2915601023017903</v>
      </c>
      <c r="F87" s="261">
        <f t="shared" si="93"/>
        <v>0.42399999999999999</v>
      </c>
      <c r="G87" s="261">
        <f t="shared" si="93"/>
        <v>0.18925831202046037</v>
      </c>
      <c r="H87" s="261">
        <f t="shared" si="93"/>
        <v>0.1941747572815534</v>
      </c>
      <c r="I87" s="260">
        <f t="shared" ref="I87:I93" si="94">Y87/Y$93</f>
        <v>0.29904426559356134</v>
      </c>
      <c r="J87" s="260">
        <f t="shared" ref="J87:J93" si="95">IFERROR(Z87/Z$93,0)</f>
        <v>0</v>
      </c>
      <c r="K87" s="261">
        <f t="shared" ref="K87:L93" si="96">AA87/AA$93</f>
        <v>0</v>
      </c>
      <c r="L87" s="261">
        <f t="shared" si="96"/>
        <v>0</v>
      </c>
      <c r="M87" s="262">
        <f t="shared" ref="M87:M93" si="97">IFERROR(AC87/AC$93,0)</f>
        <v>0</v>
      </c>
      <c r="N87" s="260">
        <f t="shared" ref="N87:N93" si="98">AE87/AE$93</f>
        <v>0</v>
      </c>
      <c r="O87" s="260">
        <f t="shared" ref="O87:Q93" si="99">IFERROR(AF87/AF$93,0)</f>
        <v>0</v>
      </c>
      <c r="P87" s="262">
        <f t="shared" si="99"/>
        <v>0</v>
      </c>
      <c r="Q87" s="684">
        <f t="shared" si="99"/>
        <v>0</v>
      </c>
      <c r="R87" s="263"/>
      <c r="S87" s="264">
        <f>'New Counts Pivot Table'!B$85</f>
        <v>720</v>
      </c>
      <c r="T87" s="265">
        <f>'New Counts Pivot Table'!C$85</f>
        <v>0</v>
      </c>
      <c r="U87" s="265">
        <f>'New Counts Pivot Table'!D$85</f>
        <v>228</v>
      </c>
      <c r="V87" s="265">
        <f>'New Counts Pivot Table'!E$85</f>
        <v>53</v>
      </c>
      <c r="W87" s="265">
        <f>'New Counts Pivot Table'!F$85</f>
        <v>148</v>
      </c>
      <c r="X87" s="673">
        <f>'New Counts Pivot Table'!G$85</f>
        <v>40</v>
      </c>
      <c r="Y87" s="264">
        <f>'New Counts Pivot Table'!H$85</f>
        <v>1189</v>
      </c>
      <c r="Z87" s="264">
        <f>'New Counts Pivot Table'!I$85</f>
        <v>0</v>
      </c>
      <c r="AA87" s="265">
        <f>'New Counts Pivot Table'!J$85</f>
        <v>0</v>
      </c>
      <c r="AB87" s="265">
        <f>'New Counts Pivot Table'!K$85</f>
        <v>0</v>
      </c>
      <c r="AC87" s="265">
        <f>'New Counts Pivot Table'!L$85</f>
        <v>0</v>
      </c>
      <c r="AD87" s="265">
        <f>'New Counts Pivot Table'!M$85</f>
        <v>0</v>
      </c>
      <c r="AE87" s="264">
        <f>'New Counts Pivot Table'!N$85</f>
        <v>0</v>
      </c>
      <c r="AF87" s="264">
        <f>'New Counts Pivot Table'!O$85</f>
        <v>0</v>
      </c>
      <c r="AG87" s="265">
        <f>'New Counts Pivot Table'!P$85</f>
        <v>0</v>
      </c>
      <c r="AH87" s="264">
        <f>'New Counts Pivot Table'!Q$85</f>
        <v>0</v>
      </c>
    </row>
    <row r="88" spans="1:36" x14ac:dyDescent="0.2">
      <c r="A88" s="690"/>
      <c r="B88" s="258" t="s">
        <v>4</v>
      </c>
      <c r="C88" s="266">
        <f t="shared" si="92"/>
        <v>0.28255646323882749</v>
      </c>
      <c r="D88" s="267">
        <f t="shared" si="93"/>
        <v>0</v>
      </c>
      <c r="E88" s="267">
        <f t="shared" si="93"/>
        <v>0.20971867007672634</v>
      </c>
      <c r="F88" s="267">
        <f t="shared" si="93"/>
        <v>0.2</v>
      </c>
      <c r="G88" s="267">
        <f t="shared" si="93"/>
        <v>0.19437340153452684</v>
      </c>
      <c r="H88" s="267">
        <f t="shared" si="93"/>
        <v>0.24757281553398058</v>
      </c>
      <c r="I88" s="266">
        <f t="shared" si="94"/>
        <v>0.24647887323943662</v>
      </c>
      <c r="J88" s="266">
        <f t="shared" si="95"/>
        <v>0</v>
      </c>
      <c r="K88" s="267">
        <f t="shared" si="96"/>
        <v>0</v>
      </c>
      <c r="L88" s="267">
        <f t="shared" si="96"/>
        <v>0</v>
      </c>
      <c r="M88" s="268">
        <f t="shared" si="97"/>
        <v>0</v>
      </c>
      <c r="N88" s="266">
        <f t="shared" si="98"/>
        <v>0</v>
      </c>
      <c r="O88" s="266">
        <f t="shared" si="99"/>
        <v>0</v>
      </c>
      <c r="P88" s="268">
        <f t="shared" si="99"/>
        <v>0</v>
      </c>
      <c r="Q88" s="685">
        <f t="shared" si="99"/>
        <v>0</v>
      </c>
      <c r="R88" s="269"/>
      <c r="S88" s="270">
        <f>'New Counts Pivot Table'!B$86</f>
        <v>588</v>
      </c>
      <c r="T88" s="271">
        <f>'New Counts Pivot Table'!C$86</f>
        <v>0</v>
      </c>
      <c r="U88" s="271">
        <f>'New Counts Pivot Table'!D$86</f>
        <v>164</v>
      </c>
      <c r="V88" s="271">
        <f>'New Counts Pivot Table'!E$86</f>
        <v>25</v>
      </c>
      <c r="W88" s="271">
        <f>'New Counts Pivot Table'!F$86</f>
        <v>152</v>
      </c>
      <c r="X88" s="674">
        <f>'New Counts Pivot Table'!G$86</f>
        <v>51</v>
      </c>
      <c r="Y88" s="270">
        <f>'New Counts Pivot Table'!H$86</f>
        <v>980</v>
      </c>
      <c r="Z88" s="270">
        <f>'New Counts Pivot Table'!I$86</f>
        <v>0</v>
      </c>
      <c r="AA88" s="271">
        <f>'New Counts Pivot Table'!J$86</f>
        <v>0</v>
      </c>
      <c r="AB88" s="271">
        <f>'New Counts Pivot Table'!K$86</f>
        <v>0</v>
      </c>
      <c r="AC88" s="271">
        <f>'New Counts Pivot Table'!L$86</f>
        <v>0</v>
      </c>
      <c r="AD88" s="271">
        <f>'New Counts Pivot Table'!M$86</f>
        <v>0</v>
      </c>
      <c r="AE88" s="270">
        <f>'New Counts Pivot Table'!N$86</f>
        <v>0</v>
      </c>
      <c r="AF88" s="270">
        <f>'New Counts Pivot Table'!O$86</f>
        <v>0</v>
      </c>
      <c r="AG88" s="271">
        <f>'New Counts Pivot Table'!P$86</f>
        <v>0</v>
      </c>
      <c r="AH88" s="270">
        <f>'New Counts Pivot Table'!Q$86</f>
        <v>0</v>
      </c>
    </row>
    <row r="89" spans="1:36" x14ac:dyDescent="0.2">
      <c r="A89" s="690"/>
      <c r="B89" s="258" t="s">
        <v>5</v>
      </c>
      <c r="C89" s="266">
        <f t="shared" si="92"/>
        <v>0.21912542047092745</v>
      </c>
      <c r="D89" s="267">
        <f t="shared" si="93"/>
        <v>0</v>
      </c>
      <c r="E89" s="267">
        <f t="shared" si="93"/>
        <v>0.28644501278772377</v>
      </c>
      <c r="F89" s="267">
        <f t="shared" si="93"/>
        <v>0.26400000000000001</v>
      </c>
      <c r="G89" s="267">
        <f t="shared" si="93"/>
        <v>0.30179028132992325</v>
      </c>
      <c r="H89" s="267">
        <f t="shared" si="93"/>
        <v>0.31067961165048541</v>
      </c>
      <c r="I89" s="266">
        <f t="shared" si="94"/>
        <v>0.25477867203219318</v>
      </c>
      <c r="J89" s="266">
        <f t="shared" si="95"/>
        <v>0</v>
      </c>
      <c r="K89" s="267">
        <f t="shared" si="96"/>
        <v>0</v>
      </c>
      <c r="L89" s="267">
        <f t="shared" si="96"/>
        <v>0</v>
      </c>
      <c r="M89" s="268">
        <f t="shared" si="97"/>
        <v>0</v>
      </c>
      <c r="N89" s="266">
        <f t="shared" si="98"/>
        <v>0</v>
      </c>
      <c r="O89" s="266">
        <f t="shared" si="99"/>
        <v>0</v>
      </c>
      <c r="P89" s="268">
        <f t="shared" si="99"/>
        <v>0</v>
      </c>
      <c r="Q89" s="685">
        <f t="shared" si="99"/>
        <v>0</v>
      </c>
      <c r="R89" s="269"/>
      <c r="S89" s="270">
        <f>'New Counts Pivot Table'!B$87</f>
        <v>456</v>
      </c>
      <c r="T89" s="271">
        <f>'New Counts Pivot Table'!C$87</f>
        <v>0</v>
      </c>
      <c r="U89" s="271">
        <f>'New Counts Pivot Table'!D$87</f>
        <v>224</v>
      </c>
      <c r="V89" s="271">
        <f>'New Counts Pivot Table'!E$87</f>
        <v>33</v>
      </c>
      <c r="W89" s="271">
        <f>'New Counts Pivot Table'!F$87</f>
        <v>236</v>
      </c>
      <c r="X89" s="674">
        <f>'New Counts Pivot Table'!G$87</f>
        <v>64</v>
      </c>
      <c r="Y89" s="270">
        <f>'New Counts Pivot Table'!H$87</f>
        <v>1013</v>
      </c>
      <c r="Z89" s="270">
        <f>'New Counts Pivot Table'!I$87</f>
        <v>0</v>
      </c>
      <c r="AA89" s="271">
        <f>'New Counts Pivot Table'!J$87</f>
        <v>0</v>
      </c>
      <c r="AB89" s="271">
        <f>'New Counts Pivot Table'!K$87</f>
        <v>0</v>
      </c>
      <c r="AC89" s="271">
        <f>'New Counts Pivot Table'!L$87</f>
        <v>0</v>
      </c>
      <c r="AD89" s="271">
        <f>'New Counts Pivot Table'!M$87</f>
        <v>0</v>
      </c>
      <c r="AE89" s="270">
        <f>'New Counts Pivot Table'!N$87</f>
        <v>0</v>
      </c>
      <c r="AF89" s="270">
        <f>'New Counts Pivot Table'!O$87</f>
        <v>0</v>
      </c>
      <c r="AG89" s="271">
        <f>'New Counts Pivot Table'!P$87</f>
        <v>0</v>
      </c>
      <c r="AH89" s="270">
        <f>'New Counts Pivot Table'!Q$87</f>
        <v>0</v>
      </c>
    </row>
    <row r="90" spans="1:36" x14ac:dyDescent="0.2">
      <c r="A90" s="690"/>
      <c r="B90" s="258" t="s">
        <v>6</v>
      </c>
      <c r="C90" s="266">
        <f t="shared" si="92"/>
        <v>0.15233061028351755</v>
      </c>
      <c r="D90" s="267">
        <f t="shared" si="93"/>
        <v>0</v>
      </c>
      <c r="E90" s="267">
        <f t="shared" si="93"/>
        <v>0.21227621483375958</v>
      </c>
      <c r="F90" s="267">
        <f t="shared" si="93"/>
        <v>0.112</v>
      </c>
      <c r="G90" s="267">
        <f t="shared" si="93"/>
        <v>0.31457800511508949</v>
      </c>
      <c r="H90" s="267">
        <f t="shared" si="93"/>
        <v>0.24757281553398058</v>
      </c>
      <c r="I90" s="266">
        <f t="shared" si="94"/>
        <v>0.19969818913480886</v>
      </c>
      <c r="J90" s="266">
        <f t="shared" si="95"/>
        <v>0</v>
      </c>
      <c r="K90" s="267">
        <f t="shared" si="96"/>
        <v>0</v>
      </c>
      <c r="L90" s="267">
        <f t="shared" si="96"/>
        <v>0</v>
      </c>
      <c r="M90" s="268">
        <f t="shared" si="97"/>
        <v>0</v>
      </c>
      <c r="N90" s="266">
        <f t="shared" si="98"/>
        <v>0</v>
      </c>
      <c r="O90" s="266">
        <f t="shared" si="99"/>
        <v>0</v>
      </c>
      <c r="P90" s="268">
        <f t="shared" si="99"/>
        <v>0</v>
      </c>
      <c r="Q90" s="685">
        <f t="shared" si="99"/>
        <v>0</v>
      </c>
      <c r="R90" s="269"/>
      <c r="S90" s="270">
        <f>'New Counts Pivot Table'!B$88</f>
        <v>317</v>
      </c>
      <c r="T90" s="271">
        <f>'New Counts Pivot Table'!C$88</f>
        <v>0</v>
      </c>
      <c r="U90" s="271">
        <f>'New Counts Pivot Table'!D$88</f>
        <v>166</v>
      </c>
      <c r="V90" s="271">
        <f>'New Counts Pivot Table'!E$88</f>
        <v>14</v>
      </c>
      <c r="W90" s="271">
        <f>'New Counts Pivot Table'!F$88</f>
        <v>246</v>
      </c>
      <c r="X90" s="674">
        <f>'New Counts Pivot Table'!G$88</f>
        <v>51</v>
      </c>
      <c r="Y90" s="270">
        <f>'New Counts Pivot Table'!H$88</f>
        <v>794</v>
      </c>
      <c r="Z90" s="270">
        <f>'New Counts Pivot Table'!I$88</f>
        <v>0</v>
      </c>
      <c r="AA90" s="271">
        <f>'New Counts Pivot Table'!J$88</f>
        <v>0</v>
      </c>
      <c r="AB90" s="271">
        <f>'New Counts Pivot Table'!K$88</f>
        <v>0</v>
      </c>
      <c r="AC90" s="271">
        <f>'New Counts Pivot Table'!L$88</f>
        <v>0</v>
      </c>
      <c r="AD90" s="271">
        <f>'New Counts Pivot Table'!M$88</f>
        <v>0</v>
      </c>
      <c r="AE90" s="270">
        <f>'New Counts Pivot Table'!N$88</f>
        <v>0</v>
      </c>
      <c r="AF90" s="270">
        <f>'New Counts Pivot Table'!O$88</f>
        <v>0</v>
      </c>
      <c r="AG90" s="271">
        <f>'New Counts Pivot Table'!P$88</f>
        <v>0</v>
      </c>
      <c r="AH90" s="270">
        <f>'New Counts Pivot Table'!Q$88</f>
        <v>0</v>
      </c>
    </row>
    <row r="91" spans="1:36" x14ac:dyDescent="0.2">
      <c r="A91" s="690"/>
      <c r="B91" s="258" t="s">
        <v>26</v>
      </c>
      <c r="C91" s="266">
        <f t="shared" si="92"/>
        <v>0</v>
      </c>
      <c r="D91" s="267">
        <f t="shared" si="93"/>
        <v>0</v>
      </c>
      <c r="E91" s="267">
        <f t="shared" si="93"/>
        <v>0</v>
      </c>
      <c r="F91" s="267">
        <f t="shared" si="93"/>
        <v>0</v>
      </c>
      <c r="G91" s="267">
        <f t="shared" si="93"/>
        <v>0</v>
      </c>
      <c r="H91" s="267">
        <f t="shared" si="93"/>
        <v>0</v>
      </c>
      <c r="I91" s="266">
        <f t="shared" si="94"/>
        <v>0</v>
      </c>
      <c r="J91" s="266">
        <f t="shared" si="95"/>
        <v>0</v>
      </c>
      <c r="K91" s="267">
        <f t="shared" si="96"/>
        <v>0</v>
      </c>
      <c r="L91" s="267">
        <f t="shared" si="96"/>
        <v>0</v>
      </c>
      <c r="M91" s="268">
        <f t="shared" si="97"/>
        <v>0</v>
      </c>
      <c r="N91" s="266">
        <f t="shared" si="98"/>
        <v>0</v>
      </c>
      <c r="O91" s="266">
        <f t="shared" si="99"/>
        <v>0</v>
      </c>
      <c r="P91" s="268">
        <f t="shared" si="99"/>
        <v>0</v>
      </c>
      <c r="Q91" s="685">
        <f t="shared" si="99"/>
        <v>0</v>
      </c>
      <c r="R91" s="269"/>
      <c r="S91" s="270">
        <f>'New Counts Pivot Table'!B$89</f>
        <v>0</v>
      </c>
      <c r="T91" s="271">
        <f>'New Counts Pivot Table'!C$89</f>
        <v>0</v>
      </c>
      <c r="U91" s="271">
        <f>'New Counts Pivot Table'!D$89</f>
        <v>0</v>
      </c>
      <c r="V91" s="271">
        <f>'New Counts Pivot Table'!E$89</f>
        <v>0</v>
      </c>
      <c r="W91" s="271">
        <f>'New Counts Pivot Table'!F$89</f>
        <v>0</v>
      </c>
      <c r="X91" s="674">
        <f>'New Counts Pivot Table'!G$89</f>
        <v>0</v>
      </c>
      <c r="Y91" s="270">
        <f>'New Counts Pivot Table'!H$89</f>
        <v>0</v>
      </c>
      <c r="Z91" s="270">
        <f>'New Counts Pivot Table'!I$89</f>
        <v>0</v>
      </c>
      <c r="AA91" s="271">
        <f>'New Counts Pivot Table'!J$89</f>
        <v>0</v>
      </c>
      <c r="AB91" s="271">
        <f>'New Counts Pivot Table'!K$89</f>
        <v>0</v>
      </c>
      <c r="AC91" s="271">
        <f>'New Counts Pivot Table'!L$89</f>
        <v>0</v>
      </c>
      <c r="AD91" s="271">
        <f>'New Counts Pivot Table'!M$89</f>
        <v>0</v>
      </c>
      <c r="AE91" s="270">
        <f>'New Counts Pivot Table'!N$89</f>
        <v>0</v>
      </c>
      <c r="AF91" s="270">
        <f>'New Counts Pivot Table'!O$89</f>
        <v>0</v>
      </c>
      <c r="AG91" s="271">
        <f>'New Counts Pivot Table'!P$89</f>
        <v>0</v>
      </c>
      <c r="AH91" s="270">
        <f>'New Counts Pivot Table'!Q$89</f>
        <v>0</v>
      </c>
    </row>
    <row r="92" spans="1:36" x14ac:dyDescent="0.2">
      <c r="A92" s="690"/>
      <c r="B92" s="258" t="s">
        <v>23</v>
      </c>
      <c r="C92" s="266">
        <f t="shared" si="92"/>
        <v>0</v>
      </c>
      <c r="D92" s="267">
        <f t="shared" si="93"/>
        <v>0</v>
      </c>
      <c r="E92" s="267">
        <f t="shared" si="93"/>
        <v>0</v>
      </c>
      <c r="F92" s="267">
        <f t="shared" si="93"/>
        <v>0</v>
      </c>
      <c r="G92" s="267">
        <f t="shared" si="93"/>
        <v>0</v>
      </c>
      <c r="H92" s="267">
        <f t="shared" si="93"/>
        <v>0</v>
      </c>
      <c r="I92" s="266">
        <f t="shared" si="94"/>
        <v>0</v>
      </c>
      <c r="J92" s="266">
        <f t="shared" si="95"/>
        <v>1</v>
      </c>
      <c r="K92" s="267">
        <f t="shared" si="96"/>
        <v>1</v>
      </c>
      <c r="L92" s="267">
        <f t="shared" si="96"/>
        <v>1</v>
      </c>
      <c r="M92" s="268">
        <f t="shared" si="97"/>
        <v>1</v>
      </c>
      <c r="N92" s="266">
        <f t="shared" si="98"/>
        <v>1</v>
      </c>
      <c r="O92" s="266">
        <f t="shared" si="99"/>
        <v>1</v>
      </c>
      <c r="P92" s="268">
        <f t="shared" si="99"/>
        <v>1</v>
      </c>
      <c r="Q92" s="685">
        <f t="shared" si="99"/>
        <v>1</v>
      </c>
      <c r="R92" s="269"/>
      <c r="S92" s="270">
        <f>'New Counts Pivot Table'!B$90</f>
        <v>0</v>
      </c>
      <c r="T92" s="271">
        <f>'New Counts Pivot Table'!C$90</f>
        <v>0</v>
      </c>
      <c r="U92" s="271">
        <f>'New Counts Pivot Table'!D$90</f>
        <v>0</v>
      </c>
      <c r="V92" s="271">
        <f>'New Counts Pivot Table'!E$90</f>
        <v>0</v>
      </c>
      <c r="W92" s="271">
        <f>'New Counts Pivot Table'!F$90</f>
        <v>0</v>
      </c>
      <c r="X92" s="674">
        <f>'New Counts Pivot Table'!G$90</f>
        <v>0</v>
      </c>
      <c r="Y92" s="270">
        <f>'New Counts Pivot Table'!H$90</f>
        <v>0</v>
      </c>
      <c r="Z92" s="270">
        <f>'New Counts Pivot Table'!I$90</f>
        <v>210</v>
      </c>
      <c r="AA92" s="271">
        <f>'New Counts Pivot Table'!J$90</f>
        <v>576</v>
      </c>
      <c r="AB92" s="271">
        <f>'New Counts Pivot Table'!K$90</f>
        <v>154</v>
      </c>
      <c r="AC92" s="271">
        <f>'New Counts Pivot Table'!L$90</f>
        <v>326</v>
      </c>
      <c r="AD92" s="271">
        <f>'New Counts Pivot Table'!M$90</f>
        <v>0</v>
      </c>
      <c r="AE92" s="270">
        <f>'New Counts Pivot Table'!N$90</f>
        <v>1266</v>
      </c>
      <c r="AF92" s="270">
        <f>'New Counts Pivot Table'!O$90</f>
        <v>209</v>
      </c>
      <c r="AG92" s="271">
        <f>'New Counts Pivot Table'!P$90</f>
        <v>876</v>
      </c>
      <c r="AH92" s="270">
        <f>'New Counts Pivot Table'!Q$90</f>
        <v>1085</v>
      </c>
    </row>
    <row r="93" spans="1:36" s="280" customFormat="1" x14ac:dyDescent="0.25">
      <c r="A93" s="691"/>
      <c r="B93" s="272" t="s">
        <v>220</v>
      </c>
      <c r="C93" s="273">
        <f t="shared" si="92"/>
        <v>1</v>
      </c>
      <c r="D93" s="274">
        <f t="shared" si="93"/>
        <v>0</v>
      </c>
      <c r="E93" s="274">
        <f t="shared" si="93"/>
        <v>1</v>
      </c>
      <c r="F93" s="274">
        <f t="shared" si="93"/>
        <v>1</v>
      </c>
      <c r="G93" s="274">
        <f t="shared" si="93"/>
        <v>1</v>
      </c>
      <c r="H93" s="274">
        <f t="shared" si="93"/>
        <v>1</v>
      </c>
      <c r="I93" s="273">
        <f t="shared" si="94"/>
        <v>1</v>
      </c>
      <c r="J93" s="273">
        <f t="shared" si="95"/>
        <v>1</v>
      </c>
      <c r="K93" s="274">
        <f t="shared" si="96"/>
        <v>1</v>
      </c>
      <c r="L93" s="274">
        <f t="shared" si="96"/>
        <v>1</v>
      </c>
      <c r="M93" s="275">
        <f t="shared" si="97"/>
        <v>1</v>
      </c>
      <c r="N93" s="273">
        <f t="shared" si="98"/>
        <v>1</v>
      </c>
      <c r="O93" s="273">
        <f t="shared" si="99"/>
        <v>1</v>
      </c>
      <c r="P93" s="275">
        <f t="shared" si="99"/>
        <v>1</v>
      </c>
      <c r="Q93" s="686">
        <f t="shared" si="99"/>
        <v>1</v>
      </c>
      <c r="R93" s="276"/>
      <c r="S93" s="277">
        <f>'New Counts Pivot Table'!B$91</f>
        <v>2081</v>
      </c>
      <c r="T93" s="278">
        <f>'New Counts Pivot Table'!C$91</f>
        <v>0</v>
      </c>
      <c r="U93" s="278">
        <f>'New Counts Pivot Table'!D$91</f>
        <v>782</v>
      </c>
      <c r="V93" s="278">
        <f>'New Counts Pivot Table'!E$91</f>
        <v>125</v>
      </c>
      <c r="W93" s="278">
        <f>'New Counts Pivot Table'!F$91</f>
        <v>782</v>
      </c>
      <c r="X93" s="675">
        <f>'New Counts Pivot Table'!G$91</f>
        <v>206</v>
      </c>
      <c r="Y93" s="277">
        <f>'New Counts Pivot Table'!H$91</f>
        <v>3976</v>
      </c>
      <c r="Z93" s="277">
        <f>'New Counts Pivot Table'!I$91</f>
        <v>210</v>
      </c>
      <c r="AA93" s="278">
        <f>'New Counts Pivot Table'!J$91</f>
        <v>576</v>
      </c>
      <c r="AB93" s="278">
        <f>'New Counts Pivot Table'!K$91</f>
        <v>154</v>
      </c>
      <c r="AC93" s="278">
        <f>'New Counts Pivot Table'!L$91</f>
        <v>326</v>
      </c>
      <c r="AD93" s="278">
        <f>'New Counts Pivot Table'!M$91</f>
        <v>0</v>
      </c>
      <c r="AE93" s="277">
        <f>'New Counts Pivot Table'!N$91</f>
        <v>1266</v>
      </c>
      <c r="AF93" s="277">
        <f>'New Counts Pivot Table'!O$91</f>
        <v>209</v>
      </c>
      <c r="AG93" s="278">
        <f>'New Counts Pivot Table'!P$91</f>
        <v>876</v>
      </c>
      <c r="AH93" s="277">
        <f>'New Counts Pivot Table'!Q$91</f>
        <v>1085</v>
      </c>
      <c r="AI93" s="279"/>
      <c r="AJ93" s="279"/>
    </row>
    <row r="94" spans="1:36" x14ac:dyDescent="0.2">
      <c r="A94" s="692" t="s">
        <v>21</v>
      </c>
      <c r="B94" s="259" t="s">
        <v>3</v>
      </c>
      <c r="C94" s="260">
        <f t="shared" ref="C94:C100" si="100">S94/S$100</f>
        <v>0.27987697715289983</v>
      </c>
      <c r="D94" s="261">
        <f t="shared" ref="D94:H100" si="101">IFERROR(T94/T$100,0)</f>
        <v>0</v>
      </c>
      <c r="E94" s="261">
        <f t="shared" si="101"/>
        <v>0.26899128268991285</v>
      </c>
      <c r="F94" s="261">
        <f t="shared" si="101"/>
        <v>0.30219780219780218</v>
      </c>
      <c r="G94" s="261">
        <f t="shared" si="101"/>
        <v>0.21383647798742139</v>
      </c>
      <c r="H94" s="261">
        <f t="shared" si="101"/>
        <v>0.12777777777777777</v>
      </c>
      <c r="I94" s="260">
        <f t="shared" ref="I94:I100" si="102">Y94/Y$100</f>
        <v>0.24956483899042645</v>
      </c>
      <c r="J94" s="260">
        <f t="shared" ref="J94:J100" si="103">IFERROR(Z94/Z$100,0)</f>
        <v>0</v>
      </c>
      <c r="K94" s="261">
        <f t="shared" ref="K94:L100" si="104">AA94/AA$100</f>
        <v>0</v>
      </c>
      <c r="L94" s="261">
        <f t="shared" si="104"/>
        <v>0</v>
      </c>
      <c r="M94" s="262">
        <f t="shared" ref="M94:M100" si="105">IFERROR(AC94/AC$100,0)</f>
        <v>6.2240663900414939E-2</v>
      </c>
      <c r="N94" s="260">
        <f t="shared" ref="N94:N100" si="106">AE94/AE$100</f>
        <v>7.1428571428571426E-3</v>
      </c>
      <c r="O94" s="260">
        <f t="shared" ref="O94:Q100" si="107">IFERROR(AF94/AF$100,0)</f>
        <v>0</v>
      </c>
      <c r="P94" s="262">
        <f t="shared" si="107"/>
        <v>0</v>
      </c>
      <c r="Q94" s="684">
        <f t="shared" si="107"/>
        <v>0</v>
      </c>
      <c r="R94" s="263"/>
      <c r="S94" s="264">
        <f>'New Counts Pivot Table'!B$93</f>
        <v>637</v>
      </c>
      <c r="T94" s="265">
        <f>'New Counts Pivot Table'!C$93</f>
        <v>0</v>
      </c>
      <c r="U94" s="265">
        <f>'New Counts Pivot Table'!D$93</f>
        <v>216</v>
      </c>
      <c r="V94" s="265">
        <f>'New Counts Pivot Table'!E$93</f>
        <v>55</v>
      </c>
      <c r="W94" s="265">
        <f>'New Counts Pivot Table'!F$93</f>
        <v>170</v>
      </c>
      <c r="X94" s="673">
        <f>'New Counts Pivot Table'!G$93</f>
        <v>69</v>
      </c>
      <c r="Y94" s="264">
        <f>'New Counts Pivot Table'!H$93</f>
        <v>1147</v>
      </c>
      <c r="Z94" s="264">
        <f>'New Counts Pivot Table'!I$93</f>
        <v>0</v>
      </c>
      <c r="AA94" s="265">
        <f>'New Counts Pivot Table'!J$93</f>
        <v>0</v>
      </c>
      <c r="AB94" s="265">
        <f>'New Counts Pivot Table'!K$93</f>
        <v>0</v>
      </c>
      <c r="AC94" s="265">
        <f>'New Counts Pivot Table'!L$93</f>
        <v>15</v>
      </c>
      <c r="AD94" s="265">
        <f>'New Counts Pivot Table'!M$93</f>
        <v>0</v>
      </c>
      <c r="AE94" s="264">
        <f>'New Counts Pivot Table'!N$93</f>
        <v>15</v>
      </c>
      <c r="AF94" s="264">
        <f>'New Counts Pivot Table'!O$93</f>
        <v>0</v>
      </c>
      <c r="AG94" s="265">
        <f>'New Counts Pivot Table'!P$93</f>
        <v>0</v>
      </c>
      <c r="AH94" s="264">
        <f>'New Counts Pivot Table'!Q$93</f>
        <v>0</v>
      </c>
    </row>
    <row r="95" spans="1:36" x14ac:dyDescent="0.2">
      <c r="A95" s="690"/>
      <c r="B95" s="258" t="s">
        <v>4</v>
      </c>
      <c r="C95" s="266">
        <f t="shared" si="100"/>
        <v>0.28690685413005274</v>
      </c>
      <c r="D95" s="267">
        <f t="shared" si="101"/>
        <v>0</v>
      </c>
      <c r="E95" s="267">
        <f t="shared" si="101"/>
        <v>0.33001245330012452</v>
      </c>
      <c r="F95" s="267">
        <f t="shared" si="101"/>
        <v>0.33516483516483514</v>
      </c>
      <c r="G95" s="267">
        <f t="shared" si="101"/>
        <v>0.27295597484276729</v>
      </c>
      <c r="H95" s="267">
        <f t="shared" si="101"/>
        <v>0.2388888888888889</v>
      </c>
      <c r="I95" s="266">
        <f t="shared" si="102"/>
        <v>0.28829416884247172</v>
      </c>
      <c r="J95" s="266">
        <f t="shared" si="103"/>
        <v>0</v>
      </c>
      <c r="K95" s="267">
        <f t="shared" si="104"/>
        <v>0</v>
      </c>
      <c r="L95" s="267">
        <f t="shared" si="104"/>
        <v>0</v>
      </c>
      <c r="M95" s="268">
        <f t="shared" si="105"/>
        <v>8.7136929460580909E-2</v>
      </c>
      <c r="N95" s="266">
        <f t="shared" si="106"/>
        <v>0.01</v>
      </c>
      <c r="O95" s="266">
        <f t="shared" si="107"/>
        <v>0</v>
      </c>
      <c r="P95" s="268">
        <f t="shared" si="107"/>
        <v>0</v>
      </c>
      <c r="Q95" s="685">
        <f t="shared" si="107"/>
        <v>0</v>
      </c>
      <c r="R95" s="269"/>
      <c r="S95" s="270">
        <f>'New Counts Pivot Table'!B$94</f>
        <v>653</v>
      </c>
      <c r="T95" s="271">
        <f>'New Counts Pivot Table'!C$94</f>
        <v>0</v>
      </c>
      <c r="U95" s="271">
        <f>'New Counts Pivot Table'!D$94</f>
        <v>265</v>
      </c>
      <c r="V95" s="271">
        <f>'New Counts Pivot Table'!E$94</f>
        <v>61</v>
      </c>
      <c r="W95" s="271">
        <f>'New Counts Pivot Table'!F$94</f>
        <v>217</v>
      </c>
      <c r="X95" s="674">
        <f>'New Counts Pivot Table'!G$94</f>
        <v>129</v>
      </c>
      <c r="Y95" s="270">
        <f>'New Counts Pivot Table'!H$94</f>
        <v>1325</v>
      </c>
      <c r="Z95" s="270">
        <f>'New Counts Pivot Table'!I$94</f>
        <v>0</v>
      </c>
      <c r="AA95" s="271">
        <f>'New Counts Pivot Table'!J$94</f>
        <v>0</v>
      </c>
      <c r="AB95" s="271">
        <f>'New Counts Pivot Table'!K$94</f>
        <v>0</v>
      </c>
      <c r="AC95" s="271">
        <f>'New Counts Pivot Table'!L$94</f>
        <v>21</v>
      </c>
      <c r="AD95" s="271">
        <f>'New Counts Pivot Table'!M$94</f>
        <v>0</v>
      </c>
      <c r="AE95" s="270">
        <f>'New Counts Pivot Table'!N$94</f>
        <v>21</v>
      </c>
      <c r="AF95" s="270">
        <f>'New Counts Pivot Table'!O$94</f>
        <v>0</v>
      </c>
      <c r="AG95" s="271">
        <f>'New Counts Pivot Table'!P$94</f>
        <v>0</v>
      </c>
      <c r="AH95" s="270">
        <f>'New Counts Pivot Table'!Q$94</f>
        <v>0</v>
      </c>
    </row>
    <row r="96" spans="1:36" x14ac:dyDescent="0.2">
      <c r="A96" s="690"/>
      <c r="B96" s="258" t="s">
        <v>5</v>
      </c>
      <c r="C96" s="266">
        <f t="shared" si="100"/>
        <v>0.25087873462214411</v>
      </c>
      <c r="D96" s="267">
        <f t="shared" si="101"/>
        <v>0</v>
      </c>
      <c r="E96" s="267">
        <f t="shared" si="101"/>
        <v>0.29265255292652553</v>
      </c>
      <c r="F96" s="267">
        <f t="shared" si="101"/>
        <v>0.27472527472527475</v>
      </c>
      <c r="G96" s="267">
        <f t="shared" si="101"/>
        <v>0.31949685534591193</v>
      </c>
      <c r="H96" s="267">
        <f t="shared" si="101"/>
        <v>0.32407407407407407</v>
      </c>
      <c r="I96" s="266">
        <f t="shared" si="102"/>
        <v>0.27959094865100087</v>
      </c>
      <c r="J96" s="266">
        <f t="shared" si="103"/>
        <v>0</v>
      </c>
      <c r="K96" s="267">
        <f t="shared" si="104"/>
        <v>0</v>
      </c>
      <c r="L96" s="267">
        <f t="shared" si="104"/>
        <v>0</v>
      </c>
      <c r="M96" s="268">
        <f t="shared" si="105"/>
        <v>0.13692946058091288</v>
      </c>
      <c r="N96" s="266">
        <f t="shared" si="106"/>
        <v>1.5714285714285715E-2</v>
      </c>
      <c r="O96" s="266">
        <f t="shared" si="107"/>
        <v>0</v>
      </c>
      <c r="P96" s="268">
        <f t="shared" si="107"/>
        <v>0</v>
      </c>
      <c r="Q96" s="685">
        <f t="shared" si="107"/>
        <v>0</v>
      </c>
      <c r="R96" s="269"/>
      <c r="S96" s="270">
        <f>'New Counts Pivot Table'!B$95</f>
        <v>571</v>
      </c>
      <c r="T96" s="271">
        <f>'New Counts Pivot Table'!C$95</f>
        <v>0</v>
      </c>
      <c r="U96" s="271">
        <f>'New Counts Pivot Table'!D$95</f>
        <v>235</v>
      </c>
      <c r="V96" s="271">
        <f>'New Counts Pivot Table'!E$95</f>
        <v>50</v>
      </c>
      <c r="W96" s="271">
        <f>'New Counts Pivot Table'!F$95</f>
        <v>254</v>
      </c>
      <c r="X96" s="674">
        <f>'New Counts Pivot Table'!G$95</f>
        <v>175</v>
      </c>
      <c r="Y96" s="270">
        <f>'New Counts Pivot Table'!H$95</f>
        <v>1285</v>
      </c>
      <c r="Z96" s="270">
        <f>'New Counts Pivot Table'!I$95</f>
        <v>0</v>
      </c>
      <c r="AA96" s="271">
        <f>'New Counts Pivot Table'!J$95</f>
        <v>0</v>
      </c>
      <c r="AB96" s="271">
        <f>'New Counts Pivot Table'!K$95</f>
        <v>0</v>
      </c>
      <c r="AC96" s="271">
        <f>'New Counts Pivot Table'!L$95</f>
        <v>33</v>
      </c>
      <c r="AD96" s="271">
        <f>'New Counts Pivot Table'!M$95</f>
        <v>0</v>
      </c>
      <c r="AE96" s="270">
        <f>'New Counts Pivot Table'!N$95</f>
        <v>33</v>
      </c>
      <c r="AF96" s="270">
        <f>'New Counts Pivot Table'!O$95</f>
        <v>0</v>
      </c>
      <c r="AG96" s="271">
        <f>'New Counts Pivot Table'!P$95</f>
        <v>0</v>
      </c>
      <c r="AH96" s="270">
        <f>'New Counts Pivot Table'!Q$95</f>
        <v>0</v>
      </c>
    </row>
    <row r="97" spans="1:36" x14ac:dyDescent="0.2">
      <c r="A97" s="690"/>
      <c r="B97" s="258" t="s">
        <v>6</v>
      </c>
      <c r="C97" s="266">
        <f t="shared" si="100"/>
        <v>7.0738137082601057E-2</v>
      </c>
      <c r="D97" s="267">
        <f t="shared" si="101"/>
        <v>0</v>
      </c>
      <c r="E97" s="267">
        <f t="shared" si="101"/>
        <v>0.10709838107098381</v>
      </c>
      <c r="F97" s="267">
        <f t="shared" si="101"/>
        <v>8.7912087912087919E-2</v>
      </c>
      <c r="G97" s="267">
        <f t="shared" si="101"/>
        <v>7.9245283018867921E-2</v>
      </c>
      <c r="H97" s="267">
        <f t="shared" si="101"/>
        <v>0.29259259259259257</v>
      </c>
      <c r="I97" s="266">
        <f t="shared" si="102"/>
        <v>0.10530896431679722</v>
      </c>
      <c r="J97" s="266">
        <f t="shared" si="103"/>
        <v>0</v>
      </c>
      <c r="K97" s="267">
        <f t="shared" si="104"/>
        <v>0</v>
      </c>
      <c r="L97" s="267">
        <f t="shared" si="104"/>
        <v>0</v>
      </c>
      <c r="M97" s="268">
        <f t="shared" si="105"/>
        <v>0.18257261410788381</v>
      </c>
      <c r="N97" s="266">
        <f t="shared" si="106"/>
        <v>2.0952380952380951E-2</v>
      </c>
      <c r="O97" s="266">
        <f t="shared" si="107"/>
        <v>0</v>
      </c>
      <c r="P97" s="268">
        <f t="shared" si="107"/>
        <v>0</v>
      </c>
      <c r="Q97" s="685">
        <f t="shared" si="107"/>
        <v>0</v>
      </c>
      <c r="R97" s="269"/>
      <c r="S97" s="270">
        <f>'New Counts Pivot Table'!B$96</f>
        <v>161</v>
      </c>
      <c r="T97" s="271">
        <f>'New Counts Pivot Table'!C$96</f>
        <v>0</v>
      </c>
      <c r="U97" s="271">
        <f>'New Counts Pivot Table'!D$96</f>
        <v>86</v>
      </c>
      <c r="V97" s="271">
        <f>'New Counts Pivot Table'!E$96</f>
        <v>16</v>
      </c>
      <c r="W97" s="271">
        <f>'New Counts Pivot Table'!F$96</f>
        <v>63</v>
      </c>
      <c r="X97" s="674">
        <f>'New Counts Pivot Table'!G$96</f>
        <v>158</v>
      </c>
      <c r="Y97" s="270">
        <f>'New Counts Pivot Table'!H$96</f>
        <v>484</v>
      </c>
      <c r="Z97" s="270">
        <f>'New Counts Pivot Table'!I$96</f>
        <v>0</v>
      </c>
      <c r="AA97" s="271">
        <f>'New Counts Pivot Table'!J$96</f>
        <v>0</v>
      </c>
      <c r="AB97" s="271">
        <f>'New Counts Pivot Table'!K$96</f>
        <v>0</v>
      </c>
      <c r="AC97" s="271">
        <f>'New Counts Pivot Table'!L$96</f>
        <v>44</v>
      </c>
      <c r="AD97" s="271">
        <f>'New Counts Pivot Table'!M$96</f>
        <v>0</v>
      </c>
      <c r="AE97" s="270">
        <f>'New Counts Pivot Table'!N$96</f>
        <v>44</v>
      </c>
      <c r="AF97" s="270">
        <f>'New Counts Pivot Table'!O$96</f>
        <v>0</v>
      </c>
      <c r="AG97" s="271">
        <f>'New Counts Pivot Table'!P$96</f>
        <v>0</v>
      </c>
      <c r="AH97" s="270">
        <f>'New Counts Pivot Table'!Q$96</f>
        <v>0</v>
      </c>
    </row>
    <row r="98" spans="1:36" x14ac:dyDescent="0.2">
      <c r="A98" s="690"/>
      <c r="B98" s="258" t="s">
        <v>26</v>
      </c>
      <c r="C98" s="266">
        <f t="shared" si="100"/>
        <v>0.11159929701230228</v>
      </c>
      <c r="D98" s="267">
        <f t="shared" si="101"/>
        <v>0</v>
      </c>
      <c r="E98" s="267">
        <f t="shared" si="101"/>
        <v>1.2453300124533001E-3</v>
      </c>
      <c r="F98" s="267">
        <f t="shared" si="101"/>
        <v>0</v>
      </c>
      <c r="G98" s="267">
        <f t="shared" si="101"/>
        <v>0.11446540880503145</v>
      </c>
      <c r="H98" s="267">
        <f t="shared" si="101"/>
        <v>1.6666666666666666E-2</v>
      </c>
      <c r="I98" s="266">
        <f t="shared" si="102"/>
        <v>7.7241079199303744E-2</v>
      </c>
      <c r="J98" s="266">
        <f t="shared" si="103"/>
        <v>0</v>
      </c>
      <c r="K98" s="267">
        <f t="shared" si="104"/>
        <v>1</v>
      </c>
      <c r="L98" s="267">
        <f t="shared" si="104"/>
        <v>1</v>
      </c>
      <c r="M98" s="268">
        <f t="shared" si="105"/>
        <v>0.53112033195020747</v>
      </c>
      <c r="N98" s="266">
        <f t="shared" si="106"/>
        <v>0.94619047619047614</v>
      </c>
      <c r="O98" s="266">
        <f t="shared" si="107"/>
        <v>0</v>
      </c>
      <c r="P98" s="268">
        <f t="shared" si="107"/>
        <v>0</v>
      </c>
      <c r="Q98" s="685">
        <f t="shared" si="107"/>
        <v>0</v>
      </c>
      <c r="R98" s="269"/>
      <c r="S98" s="270">
        <f>'New Counts Pivot Table'!B$97</f>
        <v>254</v>
      </c>
      <c r="T98" s="271">
        <f>'New Counts Pivot Table'!C$97</f>
        <v>0</v>
      </c>
      <c r="U98" s="271">
        <f>'New Counts Pivot Table'!D$97</f>
        <v>1</v>
      </c>
      <c r="V98" s="271">
        <f>'New Counts Pivot Table'!E$97</f>
        <v>0</v>
      </c>
      <c r="W98" s="271">
        <f>'New Counts Pivot Table'!F$97</f>
        <v>91</v>
      </c>
      <c r="X98" s="674">
        <f>'New Counts Pivot Table'!G$97</f>
        <v>9</v>
      </c>
      <c r="Y98" s="270">
        <f>'New Counts Pivot Table'!H$97</f>
        <v>355</v>
      </c>
      <c r="Z98" s="270">
        <f>'New Counts Pivot Table'!I$97</f>
        <v>0</v>
      </c>
      <c r="AA98" s="271">
        <f>'New Counts Pivot Table'!J$97</f>
        <v>1388</v>
      </c>
      <c r="AB98" s="271">
        <f>'New Counts Pivot Table'!K$97</f>
        <v>471</v>
      </c>
      <c r="AC98" s="271">
        <f>'New Counts Pivot Table'!L$97</f>
        <v>128</v>
      </c>
      <c r="AD98" s="271">
        <f>'New Counts Pivot Table'!M$97</f>
        <v>0</v>
      </c>
      <c r="AE98" s="270">
        <f>'New Counts Pivot Table'!N$97</f>
        <v>1987</v>
      </c>
      <c r="AF98" s="270">
        <f>'New Counts Pivot Table'!O$97</f>
        <v>0</v>
      </c>
      <c r="AG98" s="271">
        <f>'New Counts Pivot Table'!P$97</f>
        <v>0</v>
      </c>
      <c r="AH98" s="270">
        <f>'New Counts Pivot Table'!Q$97</f>
        <v>0</v>
      </c>
    </row>
    <row r="99" spans="1:36" x14ac:dyDescent="0.2">
      <c r="A99" s="690"/>
      <c r="B99" s="258" t="s">
        <v>23</v>
      </c>
      <c r="C99" s="266">
        <f t="shared" si="100"/>
        <v>0</v>
      </c>
      <c r="D99" s="267">
        <f t="shared" si="101"/>
        <v>0</v>
      </c>
      <c r="E99" s="267">
        <f t="shared" si="101"/>
        <v>0</v>
      </c>
      <c r="F99" s="267">
        <f t="shared" si="101"/>
        <v>0</v>
      </c>
      <c r="G99" s="267">
        <f t="shared" si="101"/>
        <v>0</v>
      </c>
      <c r="H99" s="267">
        <f t="shared" si="101"/>
        <v>0</v>
      </c>
      <c r="I99" s="266">
        <f t="shared" si="102"/>
        <v>0</v>
      </c>
      <c r="J99" s="266">
        <f t="shared" si="103"/>
        <v>0</v>
      </c>
      <c r="K99" s="267">
        <f t="shared" si="104"/>
        <v>0</v>
      </c>
      <c r="L99" s="267">
        <f t="shared" si="104"/>
        <v>0</v>
      </c>
      <c r="M99" s="268">
        <f t="shared" si="105"/>
        <v>0</v>
      </c>
      <c r="N99" s="266">
        <f t="shared" si="106"/>
        <v>0</v>
      </c>
      <c r="O99" s="266">
        <f t="shared" si="107"/>
        <v>0</v>
      </c>
      <c r="P99" s="268">
        <f t="shared" si="107"/>
        <v>0</v>
      </c>
      <c r="Q99" s="685">
        <f t="shared" si="107"/>
        <v>0</v>
      </c>
      <c r="R99" s="269"/>
      <c r="S99" s="270">
        <f>'New Counts Pivot Table'!B$98</f>
        <v>0</v>
      </c>
      <c r="T99" s="271">
        <f>'New Counts Pivot Table'!C$98</f>
        <v>0</v>
      </c>
      <c r="U99" s="271">
        <f>'New Counts Pivot Table'!D$98</f>
        <v>0</v>
      </c>
      <c r="V99" s="271">
        <f>'New Counts Pivot Table'!E$98</f>
        <v>0</v>
      </c>
      <c r="W99" s="271">
        <f>'New Counts Pivot Table'!F$98</f>
        <v>0</v>
      </c>
      <c r="X99" s="674">
        <f>'New Counts Pivot Table'!G$98</f>
        <v>0</v>
      </c>
      <c r="Y99" s="270">
        <f>'New Counts Pivot Table'!H$98</f>
        <v>0</v>
      </c>
      <c r="Z99" s="270">
        <f>'New Counts Pivot Table'!I$98</f>
        <v>0</v>
      </c>
      <c r="AA99" s="271">
        <f>'New Counts Pivot Table'!J$98</f>
        <v>0</v>
      </c>
      <c r="AB99" s="271">
        <f>'New Counts Pivot Table'!K$98</f>
        <v>0</v>
      </c>
      <c r="AC99" s="271">
        <f>'New Counts Pivot Table'!L$98</f>
        <v>0</v>
      </c>
      <c r="AD99" s="271">
        <f>'New Counts Pivot Table'!M$98</f>
        <v>0</v>
      </c>
      <c r="AE99" s="270">
        <f>'New Counts Pivot Table'!N$98</f>
        <v>0</v>
      </c>
      <c r="AF99" s="270">
        <f>'New Counts Pivot Table'!O$98</f>
        <v>0</v>
      </c>
      <c r="AG99" s="271">
        <f>'New Counts Pivot Table'!P$98</f>
        <v>0</v>
      </c>
      <c r="AH99" s="270">
        <f>'New Counts Pivot Table'!Q$98</f>
        <v>0</v>
      </c>
    </row>
    <row r="100" spans="1:36" s="280" customFormat="1" x14ac:dyDescent="0.25">
      <c r="A100" s="691"/>
      <c r="B100" s="272" t="s">
        <v>220</v>
      </c>
      <c r="C100" s="273">
        <f t="shared" si="100"/>
        <v>1</v>
      </c>
      <c r="D100" s="274">
        <f t="shared" si="101"/>
        <v>0</v>
      </c>
      <c r="E100" s="274">
        <f t="shared" si="101"/>
        <v>1</v>
      </c>
      <c r="F100" s="274">
        <f t="shared" si="101"/>
        <v>1</v>
      </c>
      <c r="G100" s="274">
        <f t="shared" si="101"/>
        <v>1</v>
      </c>
      <c r="H100" s="274">
        <f t="shared" si="101"/>
        <v>1</v>
      </c>
      <c r="I100" s="273">
        <f t="shared" si="102"/>
        <v>1</v>
      </c>
      <c r="J100" s="273">
        <f t="shared" si="103"/>
        <v>0</v>
      </c>
      <c r="K100" s="274">
        <f t="shared" si="104"/>
        <v>1</v>
      </c>
      <c r="L100" s="274">
        <f t="shared" si="104"/>
        <v>1</v>
      </c>
      <c r="M100" s="275">
        <f t="shared" si="105"/>
        <v>1</v>
      </c>
      <c r="N100" s="273">
        <f t="shared" si="106"/>
        <v>1</v>
      </c>
      <c r="O100" s="273">
        <f t="shared" si="107"/>
        <v>0</v>
      </c>
      <c r="P100" s="275">
        <f t="shared" si="107"/>
        <v>0</v>
      </c>
      <c r="Q100" s="686">
        <f t="shared" si="107"/>
        <v>0</v>
      </c>
      <c r="R100" s="276"/>
      <c r="S100" s="277">
        <f>'New Counts Pivot Table'!B$99</f>
        <v>2276</v>
      </c>
      <c r="T100" s="278">
        <f>'New Counts Pivot Table'!C$99</f>
        <v>0</v>
      </c>
      <c r="U100" s="278">
        <f>'New Counts Pivot Table'!D$99</f>
        <v>803</v>
      </c>
      <c r="V100" s="278">
        <f>'New Counts Pivot Table'!E$99</f>
        <v>182</v>
      </c>
      <c r="W100" s="278">
        <f>'New Counts Pivot Table'!F$99</f>
        <v>795</v>
      </c>
      <c r="X100" s="675">
        <f>'New Counts Pivot Table'!G$99</f>
        <v>540</v>
      </c>
      <c r="Y100" s="277">
        <f>'New Counts Pivot Table'!H$99</f>
        <v>4596</v>
      </c>
      <c r="Z100" s="277">
        <f>'New Counts Pivot Table'!I$99</f>
        <v>0</v>
      </c>
      <c r="AA100" s="278">
        <f>'New Counts Pivot Table'!J$99</f>
        <v>1388</v>
      </c>
      <c r="AB100" s="278">
        <f>'New Counts Pivot Table'!K$99</f>
        <v>471</v>
      </c>
      <c r="AC100" s="278">
        <f>'New Counts Pivot Table'!L$99</f>
        <v>241</v>
      </c>
      <c r="AD100" s="278">
        <f>'New Counts Pivot Table'!M$99</f>
        <v>0</v>
      </c>
      <c r="AE100" s="277">
        <f>'New Counts Pivot Table'!N$99</f>
        <v>2100</v>
      </c>
      <c r="AF100" s="277">
        <f>'New Counts Pivot Table'!O$99</f>
        <v>0</v>
      </c>
      <c r="AG100" s="278">
        <f>'New Counts Pivot Table'!P$99</f>
        <v>0</v>
      </c>
      <c r="AH100" s="277">
        <f>'New Counts Pivot Table'!Q$99</f>
        <v>0</v>
      </c>
      <c r="AI100" s="279"/>
      <c r="AJ100" s="279"/>
    </row>
    <row r="101" spans="1:36" x14ac:dyDescent="0.2">
      <c r="A101" s="692" t="s">
        <v>42</v>
      </c>
      <c r="B101" s="259" t="s">
        <v>3</v>
      </c>
      <c r="C101" s="260">
        <f t="shared" ref="C101:C107" si="108">S101/S$107</f>
        <v>0.31077891424075532</v>
      </c>
      <c r="D101" s="261">
        <f t="shared" ref="D101:H107" si="109">IFERROR(T101/T$107,0)</f>
        <v>0.2879177377892031</v>
      </c>
      <c r="E101" s="261">
        <f t="shared" si="109"/>
        <v>0.32533733133433285</v>
      </c>
      <c r="F101" s="261">
        <f t="shared" si="109"/>
        <v>0</v>
      </c>
      <c r="G101" s="261">
        <f t="shared" si="109"/>
        <v>0.26235741444866922</v>
      </c>
      <c r="H101" s="261">
        <f t="shared" si="109"/>
        <v>0</v>
      </c>
      <c r="I101" s="260">
        <f t="shared" ref="I101:I107" si="110">Y101/Y$107</f>
        <v>0.31371545547594676</v>
      </c>
      <c r="J101" s="260">
        <f t="shared" ref="J101:J107" si="111">IFERROR(Z101/Z$107,0)</f>
        <v>0</v>
      </c>
      <c r="K101" s="261">
        <f t="shared" ref="K101:L107" si="112">AA101/AA$107</f>
        <v>0.11088504577822991</v>
      </c>
      <c r="L101" s="261">
        <f t="shared" si="112"/>
        <v>0.12098765432098765</v>
      </c>
      <c r="M101" s="262">
        <f t="shared" ref="M101:M107" si="113">IFERROR(AC101/AC$107,0)</f>
        <v>0</v>
      </c>
      <c r="N101" s="260">
        <f t="shared" ref="N101:N107" si="114">AE101/AE$107</f>
        <v>0.11544896820970441</v>
      </c>
      <c r="O101" s="260">
        <f t="shared" ref="O101:Q107" si="115">IFERROR(AF101/AF$107,0)</f>
        <v>0</v>
      </c>
      <c r="P101" s="262">
        <f t="shared" si="115"/>
        <v>0</v>
      </c>
      <c r="Q101" s="684">
        <f t="shared" si="115"/>
        <v>0</v>
      </c>
      <c r="R101" s="263"/>
      <c r="S101" s="264">
        <f>'New Counts Pivot Table'!B$101</f>
        <v>790</v>
      </c>
      <c r="T101" s="265">
        <f>'New Counts Pivot Table'!C$101</f>
        <v>112</v>
      </c>
      <c r="U101" s="265">
        <f>'New Counts Pivot Table'!D$101</f>
        <v>868</v>
      </c>
      <c r="V101" s="265">
        <f>'New Counts Pivot Table'!E$101</f>
        <v>0</v>
      </c>
      <c r="W101" s="265">
        <f>'New Counts Pivot Table'!F$101</f>
        <v>69</v>
      </c>
      <c r="X101" s="673">
        <f>'New Counts Pivot Table'!G$101</f>
        <v>0</v>
      </c>
      <c r="Y101" s="264">
        <f>'New Counts Pivot Table'!H$101</f>
        <v>1839</v>
      </c>
      <c r="Z101" s="264">
        <f>'New Counts Pivot Table'!I$101</f>
        <v>0</v>
      </c>
      <c r="AA101" s="265">
        <f>'New Counts Pivot Table'!J$101</f>
        <v>109</v>
      </c>
      <c r="AB101" s="265">
        <f>'New Counts Pivot Table'!K$101</f>
        <v>98</v>
      </c>
      <c r="AC101" s="265">
        <f>'New Counts Pivot Table'!L$101</f>
        <v>0</v>
      </c>
      <c r="AD101" s="265">
        <f>'New Counts Pivot Table'!M$101</f>
        <v>0</v>
      </c>
      <c r="AE101" s="264">
        <f>'New Counts Pivot Table'!N$101</f>
        <v>207</v>
      </c>
      <c r="AF101" s="264">
        <f>'New Counts Pivot Table'!O$101</f>
        <v>0</v>
      </c>
      <c r="AG101" s="265">
        <f>'New Counts Pivot Table'!P$101</f>
        <v>0</v>
      </c>
      <c r="AH101" s="264">
        <f>'New Counts Pivot Table'!Q$101</f>
        <v>0</v>
      </c>
    </row>
    <row r="102" spans="1:36" x14ac:dyDescent="0.2">
      <c r="A102" s="690"/>
      <c r="B102" s="258" t="s">
        <v>4</v>
      </c>
      <c r="C102" s="266">
        <f t="shared" si="108"/>
        <v>0.27852084972462626</v>
      </c>
      <c r="D102" s="267">
        <f t="shared" si="109"/>
        <v>0.28277634961439591</v>
      </c>
      <c r="E102" s="267">
        <f t="shared" si="109"/>
        <v>0.24400299850074963</v>
      </c>
      <c r="F102" s="267">
        <f t="shared" si="109"/>
        <v>0</v>
      </c>
      <c r="G102" s="267">
        <f t="shared" si="109"/>
        <v>0.23193916349809887</v>
      </c>
      <c r="H102" s="267">
        <f t="shared" si="109"/>
        <v>0</v>
      </c>
      <c r="I102" s="266">
        <f t="shared" si="110"/>
        <v>0.26100307062436029</v>
      </c>
      <c r="J102" s="266">
        <f t="shared" si="111"/>
        <v>0</v>
      </c>
      <c r="K102" s="267">
        <f t="shared" si="112"/>
        <v>0.38758901322482198</v>
      </c>
      <c r="L102" s="267">
        <f t="shared" si="112"/>
        <v>0.46049382716049381</v>
      </c>
      <c r="M102" s="268">
        <f t="shared" si="113"/>
        <v>0</v>
      </c>
      <c r="N102" s="266">
        <f t="shared" si="114"/>
        <v>0.42052426101505858</v>
      </c>
      <c r="O102" s="266">
        <f t="shared" si="115"/>
        <v>0</v>
      </c>
      <c r="P102" s="268">
        <f t="shared" si="115"/>
        <v>0</v>
      </c>
      <c r="Q102" s="685">
        <f t="shared" si="115"/>
        <v>0</v>
      </c>
      <c r="R102" s="269"/>
      <c r="S102" s="270">
        <f>'New Counts Pivot Table'!B$102</f>
        <v>708</v>
      </c>
      <c r="T102" s="271">
        <f>'New Counts Pivot Table'!C$102</f>
        <v>110</v>
      </c>
      <c r="U102" s="271">
        <f>'New Counts Pivot Table'!D$102</f>
        <v>651</v>
      </c>
      <c r="V102" s="271">
        <f>'New Counts Pivot Table'!E$102</f>
        <v>0</v>
      </c>
      <c r="W102" s="271">
        <f>'New Counts Pivot Table'!F$102</f>
        <v>61</v>
      </c>
      <c r="X102" s="674">
        <f>'New Counts Pivot Table'!G$102</f>
        <v>0</v>
      </c>
      <c r="Y102" s="270">
        <f>'New Counts Pivot Table'!H$102</f>
        <v>1530</v>
      </c>
      <c r="Z102" s="270">
        <f>'New Counts Pivot Table'!I$102</f>
        <v>0</v>
      </c>
      <c r="AA102" s="271">
        <f>'New Counts Pivot Table'!J$102</f>
        <v>381</v>
      </c>
      <c r="AB102" s="271">
        <f>'New Counts Pivot Table'!K$102</f>
        <v>373</v>
      </c>
      <c r="AC102" s="271">
        <f>'New Counts Pivot Table'!L$102</f>
        <v>0</v>
      </c>
      <c r="AD102" s="271">
        <f>'New Counts Pivot Table'!M$102</f>
        <v>0</v>
      </c>
      <c r="AE102" s="270">
        <f>'New Counts Pivot Table'!N$102</f>
        <v>754</v>
      </c>
      <c r="AF102" s="270">
        <f>'New Counts Pivot Table'!O$102</f>
        <v>0</v>
      </c>
      <c r="AG102" s="271">
        <f>'New Counts Pivot Table'!P$102</f>
        <v>0</v>
      </c>
      <c r="AH102" s="270">
        <f>'New Counts Pivot Table'!Q$102</f>
        <v>0</v>
      </c>
    </row>
    <row r="103" spans="1:36" x14ac:dyDescent="0.2">
      <c r="A103" s="690"/>
      <c r="B103" s="258" t="s">
        <v>5</v>
      </c>
      <c r="C103" s="266">
        <f t="shared" si="108"/>
        <v>0.23092053501180174</v>
      </c>
      <c r="D103" s="267">
        <f t="shared" si="109"/>
        <v>0.3059125964010283</v>
      </c>
      <c r="E103" s="267">
        <f t="shared" si="109"/>
        <v>0.24775112443778111</v>
      </c>
      <c r="F103" s="267">
        <f t="shared" si="109"/>
        <v>0</v>
      </c>
      <c r="G103" s="267">
        <f t="shared" si="109"/>
        <v>0.29277566539923955</v>
      </c>
      <c r="H103" s="267">
        <f t="shared" si="109"/>
        <v>0</v>
      </c>
      <c r="I103" s="266">
        <f t="shared" si="110"/>
        <v>0.24633230979187989</v>
      </c>
      <c r="J103" s="266">
        <f t="shared" si="111"/>
        <v>0</v>
      </c>
      <c r="K103" s="267">
        <f t="shared" si="112"/>
        <v>0.18514750762970497</v>
      </c>
      <c r="L103" s="267">
        <f t="shared" si="112"/>
        <v>0.22345679012345679</v>
      </c>
      <c r="M103" s="268">
        <f t="shared" si="113"/>
        <v>0</v>
      </c>
      <c r="N103" s="266">
        <f t="shared" si="114"/>
        <v>0.20245398773006135</v>
      </c>
      <c r="O103" s="266">
        <f t="shared" si="115"/>
        <v>0</v>
      </c>
      <c r="P103" s="268">
        <f t="shared" si="115"/>
        <v>0</v>
      </c>
      <c r="Q103" s="685">
        <f t="shared" si="115"/>
        <v>0</v>
      </c>
      <c r="R103" s="269"/>
      <c r="S103" s="270">
        <f>'New Counts Pivot Table'!B$103</f>
        <v>587</v>
      </c>
      <c r="T103" s="271">
        <f>'New Counts Pivot Table'!C$103</f>
        <v>119</v>
      </c>
      <c r="U103" s="271">
        <f>'New Counts Pivot Table'!D$103</f>
        <v>661</v>
      </c>
      <c r="V103" s="271">
        <f>'New Counts Pivot Table'!E$103</f>
        <v>0</v>
      </c>
      <c r="W103" s="271">
        <f>'New Counts Pivot Table'!F$103</f>
        <v>77</v>
      </c>
      <c r="X103" s="674">
        <f>'New Counts Pivot Table'!G$103</f>
        <v>0</v>
      </c>
      <c r="Y103" s="270">
        <f>'New Counts Pivot Table'!H$103</f>
        <v>1444</v>
      </c>
      <c r="Z103" s="270">
        <f>'New Counts Pivot Table'!I$103</f>
        <v>0</v>
      </c>
      <c r="AA103" s="271">
        <f>'New Counts Pivot Table'!J$103</f>
        <v>182</v>
      </c>
      <c r="AB103" s="271">
        <f>'New Counts Pivot Table'!K$103</f>
        <v>181</v>
      </c>
      <c r="AC103" s="271">
        <f>'New Counts Pivot Table'!L$103</f>
        <v>0</v>
      </c>
      <c r="AD103" s="271">
        <f>'New Counts Pivot Table'!M$103</f>
        <v>0</v>
      </c>
      <c r="AE103" s="270">
        <f>'New Counts Pivot Table'!N$103</f>
        <v>363</v>
      </c>
      <c r="AF103" s="270">
        <f>'New Counts Pivot Table'!O$103</f>
        <v>0</v>
      </c>
      <c r="AG103" s="271">
        <f>'New Counts Pivot Table'!P$103</f>
        <v>0</v>
      </c>
      <c r="AH103" s="270">
        <f>'New Counts Pivot Table'!Q$103</f>
        <v>0</v>
      </c>
    </row>
    <row r="104" spans="1:36" x14ac:dyDescent="0.2">
      <c r="A104" s="690"/>
      <c r="B104" s="258" t="s">
        <v>6</v>
      </c>
      <c r="C104" s="266">
        <f t="shared" si="108"/>
        <v>6.530291109362707E-2</v>
      </c>
      <c r="D104" s="267">
        <f t="shared" si="109"/>
        <v>5.9125964010282778E-2</v>
      </c>
      <c r="E104" s="267">
        <f t="shared" si="109"/>
        <v>8.9205397301349326E-2</v>
      </c>
      <c r="F104" s="267">
        <f t="shared" si="109"/>
        <v>0</v>
      </c>
      <c r="G104" s="267">
        <f t="shared" si="109"/>
        <v>6.0836501901140684E-2</v>
      </c>
      <c r="H104" s="267">
        <f t="shared" si="109"/>
        <v>0</v>
      </c>
      <c r="I104" s="266">
        <f t="shared" si="110"/>
        <v>7.5571477311497784E-2</v>
      </c>
      <c r="J104" s="266">
        <f t="shared" si="111"/>
        <v>0</v>
      </c>
      <c r="K104" s="267">
        <f t="shared" si="112"/>
        <v>0.31637843336724314</v>
      </c>
      <c r="L104" s="267">
        <f t="shared" si="112"/>
        <v>0.19506172839506172</v>
      </c>
      <c r="M104" s="268">
        <f t="shared" si="113"/>
        <v>0</v>
      </c>
      <c r="N104" s="266">
        <f t="shared" si="114"/>
        <v>0.26157278304517567</v>
      </c>
      <c r="O104" s="266">
        <f t="shared" si="115"/>
        <v>0</v>
      </c>
      <c r="P104" s="268">
        <f t="shared" si="115"/>
        <v>0</v>
      </c>
      <c r="Q104" s="685">
        <f t="shared" si="115"/>
        <v>0</v>
      </c>
      <c r="R104" s="269"/>
      <c r="S104" s="270">
        <f>'New Counts Pivot Table'!B$104</f>
        <v>166</v>
      </c>
      <c r="T104" s="271">
        <f>'New Counts Pivot Table'!C$104</f>
        <v>23</v>
      </c>
      <c r="U104" s="271">
        <f>'New Counts Pivot Table'!D$104</f>
        <v>238</v>
      </c>
      <c r="V104" s="271">
        <f>'New Counts Pivot Table'!E$104</f>
        <v>0</v>
      </c>
      <c r="W104" s="271">
        <f>'New Counts Pivot Table'!F$104</f>
        <v>16</v>
      </c>
      <c r="X104" s="674">
        <f>'New Counts Pivot Table'!G$104</f>
        <v>0</v>
      </c>
      <c r="Y104" s="270">
        <f>'New Counts Pivot Table'!H$104</f>
        <v>443</v>
      </c>
      <c r="Z104" s="270">
        <f>'New Counts Pivot Table'!I$104</f>
        <v>0</v>
      </c>
      <c r="AA104" s="271">
        <f>'New Counts Pivot Table'!J$104</f>
        <v>311</v>
      </c>
      <c r="AB104" s="271">
        <f>'New Counts Pivot Table'!K$104</f>
        <v>158</v>
      </c>
      <c r="AC104" s="271">
        <f>'New Counts Pivot Table'!L$104</f>
        <v>0</v>
      </c>
      <c r="AD104" s="271">
        <f>'New Counts Pivot Table'!M$104</f>
        <v>0</v>
      </c>
      <c r="AE104" s="270">
        <f>'New Counts Pivot Table'!N$104</f>
        <v>469</v>
      </c>
      <c r="AF104" s="270">
        <f>'New Counts Pivot Table'!O$104</f>
        <v>0</v>
      </c>
      <c r="AG104" s="271">
        <f>'New Counts Pivot Table'!P$104</f>
        <v>0</v>
      </c>
      <c r="AH104" s="270">
        <f>'New Counts Pivot Table'!Q$104</f>
        <v>0</v>
      </c>
    </row>
    <row r="105" spans="1:36" x14ac:dyDescent="0.2">
      <c r="A105" s="690"/>
      <c r="B105" s="258" t="s">
        <v>26</v>
      </c>
      <c r="C105" s="266">
        <f t="shared" si="108"/>
        <v>0.11447678992918961</v>
      </c>
      <c r="D105" s="267">
        <f t="shared" si="109"/>
        <v>6.4267352185089971E-2</v>
      </c>
      <c r="E105" s="267">
        <f t="shared" si="109"/>
        <v>9.37031484257871E-2</v>
      </c>
      <c r="F105" s="267">
        <f t="shared" si="109"/>
        <v>0</v>
      </c>
      <c r="G105" s="267">
        <f t="shared" si="109"/>
        <v>0.15209125475285171</v>
      </c>
      <c r="H105" s="267">
        <f t="shared" si="109"/>
        <v>0</v>
      </c>
      <c r="I105" s="266">
        <f t="shared" si="110"/>
        <v>0.10337768679631525</v>
      </c>
      <c r="J105" s="266">
        <f t="shared" si="111"/>
        <v>0</v>
      </c>
      <c r="K105" s="267">
        <f t="shared" si="112"/>
        <v>0</v>
      </c>
      <c r="L105" s="267">
        <f t="shared" si="112"/>
        <v>0</v>
      </c>
      <c r="M105" s="268">
        <f t="shared" si="113"/>
        <v>0</v>
      </c>
      <c r="N105" s="266">
        <f t="shared" si="114"/>
        <v>0</v>
      </c>
      <c r="O105" s="266">
        <f t="shared" si="115"/>
        <v>0</v>
      </c>
      <c r="P105" s="268">
        <f t="shared" si="115"/>
        <v>0</v>
      </c>
      <c r="Q105" s="685">
        <f t="shared" si="115"/>
        <v>0</v>
      </c>
      <c r="R105" s="269"/>
      <c r="S105" s="270">
        <f>'New Counts Pivot Table'!B$105</f>
        <v>291</v>
      </c>
      <c r="T105" s="271">
        <f>'New Counts Pivot Table'!C$105</f>
        <v>25</v>
      </c>
      <c r="U105" s="271">
        <f>'New Counts Pivot Table'!D$105</f>
        <v>250</v>
      </c>
      <c r="V105" s="271">
        <f>'New Counts Pivot Table'!E$105</f>
        <v>0</v>
      </c>
      <c r="W105" s="271">
        <f>'New Counts Pivot Table'!F$105</f>
        <v>40</v>
      </c>
      <c r="X105" s="674">
        <f>'New Counts Pivot Table'!G$105</f>
        <v>0</v>
      </c>
      <c r="Y105" s="270">
        <f>'New Counts Pivot Table'!H$105</f>
        <v>606</v>
      </c>
      <c r="Z105" s="270">
        <f>'New Counts Pivot Table'!I$105</f>
        <v>0</v>
      </c>
      <c r="AA105" s="271">
        <f>'New Counts Pivot Table'!J$105</f>
        <v>0</v>
      </c>
      <c r="AB105" s="271">
        <f>'New Counts Pivot Table'!K$105</f>
        <v>0</v>
      </c>
      <c r="AC105" s="271">
        <f>'New Counts Pivot Table'!L$105</f>
        <v>0</v>
      </c>
      <c r="AD105" s="271">
        <f>'New Counts Pivot Table'!M$105</f>
        <v>0</v>
      </c>
      <c r="AE105" s="270">
        <f>'New Counts Pivot Table'!N$105</f>
        <v>0</v>
      </c>
      <c r="AF105" s="270">
        <f>'New Counts Pivot Table'!O$105</f>
        <v>0</v>
      </c>
      <c r="AG105" s="271">
        <f>'New Counts Pivot Table'!P$105</f>
        <v>0</v>
      </c>
      <c r="AH105" s="270">
        <f>'New Counts Pivot Table'!Q$105</f>
        <v>0</v>
      </c>
    </row>
    <row r="106" spans="1:36" x14ac:dyDescent="0.2">
      <c r="A106" s="690"/>
      <c r="B106" s="258" t="s">
        <v>23</v>
      </c>
      <c r="C106" s="266">
        <f t="shared" si="108"/>
        <v>0</v>
      </c>
      <c r="D106" s="267">
        <f t="shared" si="109"/>
        <v>0</v>
      </c>
      <c r="E106" s="267">
        <f t="shared" si="109"/>
        <v>0</v>
      </c>
      <c r="F106" s="267">
        <f t="shared" si="109"/>
        <v>0</v>
      </c>
      <c r="G106" s="267">
        <f t="shared" si="109"/>
        <v>0</v>
      </c>
      <c r="H106" s="267">
        <f t="shared" si="109"/>
        <v>0</v>
      </c>
      <c r="I106" s="266">
        <f t="shared" si="110"/>
        <v>0</v>
      </c>
      <c r="J106" s="266">
        <f t="shared" si="111"/>
        <v>0</v>
      </c>
      <c r="K106" s="267">
        <f t="shared" si="112"/>
        <v>0</v>
      </c>
      <c r="L106" s="267">
        <f t="shared" si="112"/>
        <v>0</v>
      </c>
      <c r="M106" s="268">
        <f t="shared" si="113"/>
        <v>0</v>
      </c>
      <c r="N106" s="266">
        <f t="shared" si="114"/>
        <v>0</v>
      </c>
      <c r="O106" s="266">
        <f t="shared" si="115"/>
        <v>1</v>
      </c>
      <c r="P106" s="268">
        <f t="shared" si="115"/>
        <v>1</v>
      </c>
      <c r="Q106" s="685">
        <f t="shared" si="115"/>
        <v>1</v>
      </c>
      <c r="R106" s="269"/>
      <c r="S106" s="270">
        <f>'New Counts Pivot Table'!B$106</f>
        <v>0</v>
      </c>
      <c r="T106" s="271">
        <f>'New Counts Pivot Table'!C$106</f>
        <v>0</v>
      </c>
      <c r="U106" s="271">
        <f>'New Counts Pivot Table'!D$106</f>
        <v>0</v>
      </c>
      <c r="V106" s="271">
        <f>'New Counts Pivot Table'!E$106</f>
        <v>0</v>
      </c>
      <c r="W106" s="271">
        <f>'New Counts Pivot Table'!F$106</f>
        <v>0</v>
      </c>
      <c r="X106" s="674">
        <f>'New Counts Pivot Table'!G$106</f>
        <v>0</v>
      </c>
      <c r="Y106" s="270">
        <f>'New Counts Pivot Table'!H$106</f>
        <v>0</v>
      </c>
      <c r="Z106" s="270">
        <f>'New Counts Pivot Table'!I$106</f>
        <v>0</v>
      </c>
      <c r="AA106" s="271">
        <f>'New Counts Pivot Table'!J$106</f>
        <v>0</v>
      </c>
      <c r="AB106" s="271">
        <f>'New Counts Pivot Table'!K$106</f>
        <v>0</v>
      </c>
      <c r="AC106" s="271">
        <f>'New Counts Pivot Table'!L$106</f>
        <v>0</v>
      </c>
      <c r="AD106" s="271">
        <f>'New Counts Pivot Table'!M$106</f>
        <v>0</v>
      </c>
      <c r="AE106" s="270">
        <f>'New Counts Pivot Table'!N$106</f>
        <v>0</v>
      </c>
      <c r="AF106" s="270">
        <f>'New Counts Pivot Table'!O$106</f>
        <v>39</v>
      </c>
      <c r="AG106" s="271">
        <f>'New Counts Pivot Table'!P$106</f>
        <v>434</v>
      </c>
      <c r="AH106" s="270">
        <f>'New Counts Pivot Table'!Q$106</f>
        <v>473</v>
      </c>
    </row>
    <row r="107" spans="1:36" s="280" customFormat="1" x14ac:dyDescent="0.25">
      <c r="A107" s="691"/>
      <c r="B107" s="272" t="s">
        <v>220</v>
      </c>
      <c r="C107" s="273">
        <f t="shared" si="108"/>
        <v>1</v>
      </c>
      <c r="D107" s="274">
        <f t="shared" si="109"/>
        <v>1</v>
      </c>
      <c r="E107" s="274">
        <f t="shared" si="109"/>
        <v>1</v>
      </c>
      <c r="F107" s="274">
        <f t="shared" si="109"/>
        <v>0</v>
      </c>
      <c r="G107" s="274">
        <f t="shared" si="109"/>
        <v>1</v>
      </c>
      <c r="H107" s="274">
        <f t="shared" si="109"/>
        <v>0</v>
      </c>
      <c r="I107" s="273">
        <f t="shared" si="110"/>
        <v>1</v>
      </c>
      <c r="J107" s="273">
        <f t="shared" si="111"/>
        <v>0</v>
      </c>
      <c r="K107" s="274">
        <f t="shared" si="112"/>
        <v>1</v>
      </c>
      <c r="L107" s="274">
        <f t="shared" si="112"/>
        <v>1</v>
      </c>
      <c r="M107" s="275">
        <f t="shared" si="113"/>
        <v>0</v>
      </c>
      <c r="N107" s="273">
        <f t="shared" si="114"/>
        <v>1</v>
      </c>
      <c r="O107" s="273">
        <f t="shared" si="115"/>
        <v>1</v>
      </c>
      <c r="P107" s="275">
        <f t="shared" si="115"/>
        <v>1</v>
      </c>
      <c r="Q107" s="686">
        <f t="shared" si="115"/>
        <v>1</v>
      </c>
      <c r="R107" s="276"/>
      <c r="S107" s="277">
        <f>'New Counts Pivot Table'!B$107</f>
        <v>2542</v>
      </c>
      <c r="T107" s="278">
        <f>'New Counts Pivot Table'!C$107</f>
        <v>389</v>
      </c>
      <c r="U107" s="278">
        <f>'New Counts Pivot Table'!D$107</f>
        <v>2668</v>
      </c>
      <c r="V107" s="278">
        <f>'New Counts Pivot Table'!E$107</f>
        <v>0</v>
      </c>
      <c r="W107" s="278">
        <f>'New Counts Pivot Table'!F$107</f>
        <v>263</v>
      </c>
      <c r="X107" s="675">
        <f>'New Counts Pivot Table'!G$107</f>
        <v>0</v>
      </c>
      <c r="Y107" s="277">
        <f>'New Counts Pivot Table'!H$107</f>
        <v>5862</v>
      </c>
      <c r="Z107" s="277">
        <f>'New Counts Pivot Table'!I$107</f>
        <v>0</v>
      </c>
      <c r="AA107" s="278">
        <f>'New Counts Pivot Table'!J$107</f>
        <v>983</v>
      </c>
      <c r="AB107" s="278">
        <f>'New Counts Pivot Table'!K$107</f>
        <v>810</v>
      </c>
      <c r="AC107" s="278">
        <f>'New Counts Pivot Table'!L$107</f>
        <v>0</v>
      </c>
      <c r="AD107" s="278">
        <f>'New Counts Pivot Table'!M$107</f>
        <v>0</v>
      </c>
      <c r="AE107" s="277">
        <f>'New Counts Pivot Table'!N$107</f>
        <v>1793</v>
      </c>
      <c r="AF107" s="277">
        <f>'New Counts Pivot Table'!O$107</f>
        <v>39</v>
      </c>
      <c r="AG107" s="278">
        <f>'New Counts Pivot Table'!P$107</f>
        <v>434</v>
      </c>
      <c r="AH107" s="277">
        <f>'New Counts Pivot Table'!Q$107</f>
        <v>473</v>
      </c>
      <c r="AI107" s="279"/>
      <c r="AJ107" s="279"/>
    </row>
    <row r="108" spans="1:36" x14ac:dyDescent="0.2">
      <c r="A108" s="692" t="s">
        <v>43</v>
      </c>
      <c r="B108" s="259" t="s">
        <v>3</v>
      </c>
      <c r="C108" s="260">
        <f t="shared" ref="C108:C114" si="116">S108/S$114</f>
        <v>0.32746082146881084</v>
      </c>
      <c r="D108" s="261">
        <f t="shared" ref="D108:H114" si="117">IFERROR(T108/T$114,0)</f>
        <v>0.22097588334268087</v>
      </c>
      <c r="E108" s="261">
        <f t="shared" si="117"/>
        <v>0.2136537699722699</v>
      </c>
      <c r="F108" s="261">
        <f t="shared" si="117"/>
        <v>0.21925133689839571</v>
      </c>
      <c r="G108" s="261">
        <f t="shared" si="117"/>
        <v>0.17073170731707318</v>
      </c>
      <c r="H108" s="261">
        <f t="shared" si="117"/>
        <v>0.23232323232323232</v>
      </c>
      <c r="I108" s="260">
        <f t="shared" ref="I108:I114" si="118">Y108/Y$114</f>
        <v>0.27005523741955101</v>
      </c>
      <c r="J108" s="260">
        <f t="shared" ref="J108:J114" si="119">IFERROR(Z108/Z$114,0)</f>
        <v>9.3793103448275864E-2</v>
      </c>
      <c r="K108" s="261">
        <f t="shared" ref="K108:L114" si="120">AA108/AA$114</f>
        <v>0.31098915457990328</v>
      </c>
      <c r="L108" s="261">
        <f t="shared" si="120"/>
        <v>0.20074657818332642</v>
      </c>
      <c r="M108" s="262">
        <f t="shared" ref="M108:M114" si="121">IFERROR(AC108/AC$114,0)</f>
        <v>0.14713216957605985</v>
      </c>
      <c r="N108" s="260">
        <f t="shared" ref="N108:N114" si="122">AE108/AE$114</f>
        <v>0.26729222520107238</v>
      </c>
      <c r="O108" s="260">
        <f t="shared" ref="O108:Q114" si="123">IFERROR(AF108/AF$114,0)</f>
        <v>0</v>
      </c>
      <c r="P108" s="262">
        <f t="shared" si="123"/>
        <v>0</v>
      </c>
      <c r="Q108" s="684">
        <f t="shared" si="123"/>
        <v>0</v>
      </c>
      <c r="R108" s="263"/>
      <c r="S108" s="264">
        <f>'New Counts Pivot Table'!B$109</f>
        <v>3197</v>
      </c>
      <c r="T108" s="265">
        <f>'New Counts Pivot Table'!C$109</f>
        <v>394</v>
      </c>
      <c r="U108" s="265">
        <f>'New Counts Pivot Table'!D$109</f>
        <v>1618</v>
      </c>
      <c r="V108" s="265">
        <f>'New Counts Pivot Table'!E$109</f>
        <v>41</v>
      </c>
      <c r="W108" s="265">
        <f>'New Counts Pivot Table'!F$109</f>
        <v>56</v>
      </c>
      <c r="X108" s="673">
        <f>'New Counts Pivot Table'!G$109</f>
        <v>23</v>
      </c>
      <c r="Y108" s="264">
        <f>'New Counts Pivot Table'!H$109</f>
        <v>5329</v>
      </c>
      <c r="Z108" s="264">
        <f>'New Counts Pivot Table'!I$109</f>
        <v>68</v>
      </c>
      <c r="AA108" s="265">
        <f>'New Counts Pivot Table'!J$109</f>
        <v>2380</v>
      </c>
      <c r="AB108" s="265">
        <f>'New Counts Pivot Table'!K$109</f>
        <v>484</v>
      </c>
      <c r="AC108" s="265">
        <f>'New Counts Pivot Table'!L$109</f>
        <v>59</v>
      </c>
      <c r="AD108" s="265">
        <f>'New Counts Pivot Table'!M$109</f>
        <v>0</v>
      </c>
      <c r="AE108" s="264">
        <f>'New Counts Pivot Table'!N$109</f>
        <v>2991</v>
      </c>
      <c r="AF108" s="264">
        <f>'New Counts Pivot Table'!O$109</f>
        <v>0</v>
      </c>
      <c r="AG108" s="265">
        <f>'New Counts Pivot Table'!P$109</f>
        <v>0</v>
      </c>
      <c r="AH108" s="264">
        <f>'New Counts Pivot Table'!Q$109</f>
        <v>0</v>
      </c>
    </row>
    <row r="109" spans="1:36" x14ac:dyDescent="0.2">
      <c r="A109" s="690"/>
      <c r="B109" s="258" t="s">
        <v>4</v>
      </c>
      <c r="C109" s="266">
        <f t="shared" si="116"/>
        <v>0.25002560688313019</v>
      </c>
      <c r="D109" s="267">
        <f t="shared" si="117"/>
        <v>0.26472237801458215</v>
      </c>
      <c r="E109" s="267">
        <f t="shared" si="117"/>
        <v>0.24943879572164268</v>
      </c>
      <c r="F109" s="267">
        <f t="shared" si="117"/>
        <v>0.28342245989304815</v>
      </c>
      <c r="G109" s="267">
        <f t="shared" si="117"/>
        <v>0.33231707317073172</v>
      </c>
      <c r="H109" s="267">
        <f t="shared" si="117"/>
        <v>0.15151515151515152</v>
      </c>
      <c r="I109" s="266">
        <f t="shared" si="118"/>
        <v>0.25231845132519132</v>
      </c>
      <c r="J109" s="266">
        <f t="shared" si="119"/>
        <v>9.7931034482758625E-2</v>
      </c>
      <c r="K109" s="267">
        <f t="shared" si="120"/>
        <v>0.10884620410296615</v>
      </c>
      <c r="L109" s="267">
        <f t="shared" si="120"/>
        <v>6.3873911240149323E-2</v>
      </c>
      <c r="M109" s="268">
        <f t="shared" si="121"/>
        <v>5.9850374064837904E-2</v>
      </c>
      <c r="N109" s="266">
        <f t="shared" si="122"/>
        <v>9.6693476318141194E-2</v>
      </c>
      <c r="O109" s="266">
        <f t="shared" si="123"/>
        <v>0</v>
      </c>
      <c r="P109" s="268">
        <f t="shared" si="123"/>
        <v>0</v>
      </c>
      <c r="Q109" s="685">
        <f t="shared" si="123"/>
        <v>0</v>
      </c>
      <c r="R109" s="269"/>
      <c r="S109" s="270">
        <f>'New Counts Pivot Table'!B$110</f>
        <v>2441</v>
      </c>
      <c r="T109" s="271">
        <f>'New Counts Pivot Table'!C$110</f>
        <v>472</v>
      </c>
      <c r="U109" s="271">
        <f>'New Counts Pivot Table'!D$110</f>
        <v>1889</v>
      </c>
      <c r="V109" s="271">
        <f>'New Counts Pivot Table'!E$110</f>
        <v>53</v>
      </c>
      <c r="W109" s="271">
        <f>'New Counts Pivot Table'!F$110</f>
        <v>109</v>
      </c>
      <c r="X109" s="674">
        <f>'New Counts Pivot Table'!G$110</f>
        <v>15</v>
      </c>
      <c r="Y109" s="270">
        <f>'New Counts Pivot Table'!H$110</f>
        <v>4979</v>
      </c>
      <c r="Z109" s="270">
        <f>'New Counts Pivot Table'!I$110</f>
        <v>71</v>
      </c>
      <c r="AA109" s="271">
        <f>'New Counts Pivot Table'!J$110</f>
        <v>833</v>
      </c>
      <c r="AB109" s="271">
        <f>'New Counts Pivot Table'!K$110</f>
        <v>154</v>
      </c>
      <c r="AC109" s="271">
        <f>'New Counts Pivot Table'!L$110</f>
        <v>24</v>
      </c>
      <c r="AD109" s="271">
        <f>'New Counts Pivot Table'!M$110</f>
        <v>0</v>
      </c>
      <c r="AE109" s="270">
        <f>'New Counts Pivot Table'!N$110</f>
        <v>1082</v>
      </c>
      <c r="AF109" s="270">
        <f>'New Counts Pivot Table'!O$110</f>
        <v>0</v>
      </c>
      <c r="AG109" s="271">
        <f>'New Counts Pivot Table'!P$110</f>
        <v>0</v>
      </c>
      <c r="AH109" s="270">
        <f>'New Counts Pivot Table'!Q$110</f>
        <v>0</v>
      </c>
    </row>
    <row r="110" spans="1:36" x14ac:dyDescent="0.2">
      <c r="A110" s="690"/>
      <c r="B110" s="258" t="s">
        <v>5</v>
      </c>
      <c r="C110" s="266">
        <f t="shared" si="116"/>
        <v>0.18447198606985557</v>
      </c>
      <c r="D110" s="267">
        <f t="shared" si="117"/>
        <v>0.21704991587212563</v>
      </c>
      <c r="E110" s="267">
        <f t="shared" si="117"/>
        <v>0.26462432325366431</v>
      </c>
      <c r="F110" s="267">
        <f t="shared" si="117"/>
        <v>0.30481283422459893</v>
      </c>
      <c r="G110" s="267">
        <f t="shared" si="117"/>
        <v>0.24695121951219512</v>
      </c>
      <c r="H110" s="267">
        <f t="shared" si="117"/>
        <v>0.17171717171717171</v>
      </c>
      <c r="I110" s="266">
        <f t="shared" si="118"/>
        <v>0.22029088329194749</v>
      </c>
      <c r="J110" s="266">
        <f t="shared" si="119"/>
        <v>0.10068965517241379</v>
      </c>
      <c r="K110" s="267">
        <f t="shared" si="120"/>
        <v>0.10087547367045603</v>
      </c>
      <c r="L110" s="267">
        <f t="shared" si="120"/>
        <v>5.9311489008710076E-2</v>
      </c>
      <c r="M110" s="268">
        <f t="shared" si="121"/>
        <v>8.7281795511221949E-2</v>
      </c>
      <c r="N110" s="266">
        <f t="shared" si="122"/>
        <v>9.1420911528150128E-2</v>
      </c>
      <c r="O110" s="266">
        <f t="shared" si="123"/>
        <v>0</v>
      </c>
      <c r="P110" s="268">
        <f t="shared" si="123"/>
        <v>0</v>
      </c>
      <c r="Q110" s="685">
        <f t="shared" si="123"/>
        <v>0</v>
      </c>
      <c r="R110" s="269"/>
      <c r="S110" s="270">
        <f>'New Counts Pivot Table'!B$111</f>
        <v>1801</v>
      </c>
      <c r="T110" s="271">
        <f>'New Counts Pivot Table'!C$111</f>
        <v>387</v>
      </c>
      <c r="U110" s="271">
        <f>'New Counts Pivot Table'!D$111</f>
        <v>2004</v>
      </c>
      <c r="V110" s="271">
        <f>'New Counts Pivot Table'!E$111</f>
        <v>57</v>
      </c>
      <c r="W110" s="271">
        <f>'New Counts Pivot Table'!F$111</f>
        <v>81</v>
      </c>
      <c r="X110" s="674">
        <f>'New Counts Pivot Table'!G$111</f>
        <v>17</v>
      </c>
      <c r="Y110" s="270">
        <f>'New Counts Pivot Table'!H$111</f>
        <v>4347</v>
      </c>
      <c r="Z110" s="270">
        <f>'New Counts Pivot Table'!I$111</f>
        <v>73</v>
      </c>
      <c r="AA110" s="271">
        <f>'New Counts Pivot Table'!J$111</f>
        <v>772</v>
      </c>
      <c r="AB110" s="271">
        <f>'New Counts Pivot Table'!K$111</f>
        <v>143</v>
      </c>
      <c r="AC110" s="271">
        <f>'New Counts Pivot Table'!L$111</f>
        <v>35</v>
      </c>
      <c r="AD110" s="271">
        <f>'New Counts Pivot Table'!M$111</f>
        <v>0</v>
      </c>
      <c r="AE110" s="270">
        <f>'New Counts Pivot Table'!N$111</f>
        <v>1023</v>
      </c>
      <c r="AF110" s="270">
        <f>'New Counts Pivot Table'!O$111</f>
        <v>0</v>
      </c>
      <c r="AG110" s="271">
        <f>'New Counts Pivot Table'!P$111</f>
        <v>0</v>
      </c>
      <c r="AH110" s="270">
        <f>'New Counts Pivot Table'!Q$111</f>
        <v>0</v>
      </c>
    </row>
    <row r="111" spans="1:36" x14ac:dyDescent="0.2">
      <c r="A111" s="690"/>
      <c r="B111" s="258" t="s">
        <v>6</v>
      </c>
      <c r="C111" s="266">
        <f t="shared" si="116"/>
        <v>3.5849636382259555E-2</v>
      </c>
      <c r="D111" s="267">
        <f t="shared" si="117"/>
        <v>6.1693774537296695E-3</v>
      </c>
      <c r="E111" s="267">
        <f t="shared" si="117"/>
        <v>7.5531493463620758E-2</v>
      </c>
      <c r="F111" s="267">
        <f t="shared" si="117"/>
        <v>8.5561497326203204E-2</v>
      </c>
      <c r="G111" s="267">
        <f t="shared" si="117"/>
        <v>3.0487804878048782E-3</v>
      </c>
      <c r="H111" s="267">
        <f t="shared" si="117"/>
        <v>0.31313131313131315</v>
      </c>
      <c r="I111" s="266">
        <f t="shared" si="118"/>
        <v>4.9713677595905337E-2</v>
      </c>
      <c r="J111" s="266">
        <f t="shared" si="119"/>
        <v>0.70620689655172408</v>
      </c>
      <c r="K111" s="267">
        <f t="shared" si="120"/>
        <v>0.31543185678818764</v>
      </c>
      <c r="L111" s="267">
        <f t="shared" si="120"/>
        <v>0.39651596847781001</v>
      </c>
      <c r="M111" s="268">
        <f t="shared" si="121"/>
        <v>0.70573566084788031</v>
      </c>
      <c r="N111" s="266">
        <f t="shared" si="122"/>
        <v>0.37220732797140305</v>
      </c>
      <c r="O111" s="266">
        <f t="shared" si="123"/>
        <v>0</v>
      </c>
      <c r="P111" s="268">
        <f t="shared" si="123"/>
        <v>0</v>
      </c>
      <c r="Q111" s="685">
        <f t="shared" si="123"/>
        <v>0</v>
      </c>
      <c r="R111" s="269"/>
      <c r="S111" s="270">
        <f>'New Counts Pivot Table'!B$112</f>
        <v>350</v>
      </c>
      <c r="T111" s="271">
        <f>'New Counts Pivot Table'!C$112</f>
        <v>11</v>
      </c>
      <c r="U111" s="271">
        <f>'New Counts Pivot Table'!D$112</f>
        <v>572</v>
      </c>
      <c r="V111" s="271">
        <f>'New Counts Pivot Table'!E$112</f>
        <v>16</v>
      </c>
      <c r="W111" s="271">
        <f>'New Counts Pivot Table'!F$112</f>
        <v>1</v>
      </c>
      <c r="X111" s="674">
        <f>'New Counts Pivot Table'!G$112</f>
        <v>31</v>
      </c>
      <c r="Y111" s="270">
        <f>'New Counts Pivot Table'!H$112</f>
        <v>981</v>
      </c>
      <c r="Z111" s="270">
        <f>'New Counts Pivot Table'!I$112</f>
        <v>512</v>
      </c>
      <c r="AA111" s="271">
        <f>'New Counts Pivot Table'!J$112</f>
        <v>2414</v>
      </c>
      <c r="AB111" s="271">
        <f>'New Counts Pivot Table'!K$112</f>
        <v>956</v>
      </c>
      <c r="AC111" s="271">
        <f>'New Counts Pivot Table'!L$112</f>
        <v>283</v>
      </c>
      <c r="AD111" s="271">
        <f>'New Counts Pivot Table'!M$112</f>
        <v>0</v>
      </c>
      <c r="AE111" s="270">
        <f>'New Counts Pivot Table'!N$112</f>
        <v>4165</v>
      </c>
      <c r="AF111" s="270">
        <f>'New Counts Pivot Table'!O$112</f>
        <v>0</v>
      </c>
      <c r="AG111" s="271">
        <f>'New Counts Pivot Table'!P$112</f>
        <v>0</v>
      </c>
      <c r="AH111" s="270">
        <f>'New Counts Pivot Table'!Q$112</f>
        <v>0</v>
      </c>
    </row>
    <row r="112" spans="1:36" x14ac:dyDescent="0.2">
      <c r="A112" s="690"/>
      <c r="B112" s="258" t="s">
        <v>26</v>
      </c>
      <c r="C112" s="266">
        <f t="shared" si="116"/>
        <v>0.20219194919594388</v>
      </c>
      <c r="D112" s="267">
        <f t="shared" si="117"/>
        <v>0.29108244531688166</v>
      </c>
      <c r="E112" s="267">
        <f t="shared" si="117"/>
        <v>0.19675161758880233</v>
      </c>
      <c r="F112" s="267">
        <f t="shared" si="117"/>
        <v>0.10695187165775401</v>
      </c>
      <c r="G112" s="267">
        <f t="shared" si="117"/>
        <v>0.24695121951219512</v>
      </c>
      <c r="H112" s="267">
        <f t="shared" si="117"/>
        <v>0.13131313131313133</v>
      </c>
      <c r="I112" s="266">
        <f t="shared" si="118"/>
        <v>0.20762175036740485</v>
      </c>
      <c r="J112" s="266">
        <f t="shared" si="119"/>
        <v>0</v>
      </c>
      <c r="K112" s="267">
        <f t="shared" si="120"/>
        <v>8.8854044165686662E-3</v>
      </c>
      <c r="L112" s="267">
        <f t="shared" si="120"/>
        <v>0</v>
      </c>
      <c r="M112" s="268">
        <f t="shared" si="121"/>
        <v>0</v>
      </c>
      <c r="N112" s="266">
        <f t="shared" si="122"/>
        <v>6.0768543342269886E-3</v>
      </c>
      <c r="O112" s="266">
        <f t="shared" si="123"/>
        <v>0</v>
      </c>
      <c r="P112" s="268">
        <f t="shared" si="123"/>
        <v>0</v>
      </c>
      <c r="Q112" s="685">
        <f t="shared" si="123"/>
        <v>0</v>
      </c>
      <c r="R112" s="269"/>
      <c r="S112" s="270">
        <f>'New Counts Pivot Table'!B$113</f>
        <v>1974</v>
      </c>
      <c r="T112" s="271">
        <f>'New Counts Pivot Table'!C$113</f>
        <v>519</v>
      </c>
      <c r="U112" s="271">
        <f>'New Counts Pivot Table'!D$113</f>
        <v>1490</v>
      </c>
      <c r="V112" s="271">
        <f>'New Counts Pivot Table'!E$113</f>
        <v>20</v>
      </c>
      <c r="W112" s="271">
        <f>'New Counts Pivot Table'!F$113</f>
        <v>81</v>
      </c>
      <c r="X112" s="674">
        <f>'New Counts Pivot Table'!G$113</f>
        <v>13</v>
      </c>
      <c r="Y112" s="270">
        <f>'New Counts Pivot Table'!H$113</f>
        <v>4097</v>
      </c>
      <c r="Z112" s="270">
        <f>'New Counts Pivot Table'!I$113</f>
        <v>0</v>
      </c>
      <c r="AA112" s="271">
        <f>'New Counts Pivot Table'!J$113</f>
        <v>68</v>
      </c>
      <c r="AB112" s="271">
        <f>'New Counts Pivot Table'!K$113</f>
        <v>0</v>
      </c>
      <c r="AC112" s="271">
        <f>'New Counts Pivot Table'!L$113</f>
        <v>0</v>
      </c>
      <c r="AD112" s="271">
        <f>'New Counts Pivot Table'!M$113</f>
        <v>0</v>
      </c>
      <c r="AE112" s="270">
        <f>'New Counts Pivot Table'!N$113</f>
        <v>68</v>
      </c>
      <c r="AF112" s="270">
        <f>'New Counts Pivot Table'!O$113</f>
        <v>0</v>
      </c>
      <c r="AG112" s="271">
        <f>'New Counts Pivot Table'!P$113</f>
        <v>0</v>
      </c>
      <c r="AH112" s="270">
        <f>'New Counts Pivot Table'!Q$113</f>
        <v>0</v>
      </c>
    </row>
    <row r="113" spans="1:36" x14ac:dyDescent="0.2">
      <c r="A113" s="690"/>
      <c r="B113" s="258" t="s">
        <v>23</v>
      </c>
      <c r="C113" s="266">
        <f t="shared" si="116"/>
        <v>0</v>
      </c>
      <c r="D113" s="267">
        <f t="shared" si="117"/>
        <v>0</v>
      </c>
      <c r="E113" s="267">
        <f t="shared" si="117"/>
        <v>0</v>
      </c>
      <c r="F113" s="267">
        <f t="shared" si="117"/>
        <v>0</v>
      </c>
      <c r="G113" s="267">
        <f t="shared" si="117"/>
        <v>0</v>
      </c>
      <c r="H113" s="267">
        <f t="shared" si="117"/>
        <v>0</v>
      </c>
      <c r="I113" s="266">
        <f t="shared" si="118"/>
        <v>0</v>
      </c>
      <c r="J113" s="266">
        <f t="shared" si="119"/>
        <v>1.3793103448275861E-3</v>
      </c>
      <c r="K113" s="267">
        <f t="shared" si="120"/>
        <v>0.15497190644191819</v>
      </c>
      <c r="L113" s="267">
        <f t="shared" si="120"/>
        <v>0.27955205309000414</v>
      </c>
      <c r="M113" s="268">
        <f t="shared" si="121"/>
        <v>0</v>
      </c>
      <c r="N113" s="266">
        <f t="shared" si="122"/>
        <v>0.16630920464700624</v>
      </c>
      <c r="O113" s="266">
        <f t="shared" si="123"/>
        <v>0</v>
      </c>
      <c r="P113" s="268">
        <f t="shared" si="123"/>
        <v>0</v>
      </c>
      <c r="Q113" s="685">
        <f t="shared" si="123"/>
        <v>0</v>
      </c>
      <c r="R113" s="269"/>
      <c r="S113" s="270">
        <f>'New Counts Pivot Table'!B$114</f>
        <v>0</v>
      </c>
      <c r="T113" s="271">
        <f>'New Counts Pivot Table'!C$114</f>
        <v>0</v>
      </c>
      <c r="U113" s="271">
        <f>'New Counts Pivot Table'!D$114</f>
        <v>0</v>
      </c>
      <c r="V113" s="271">
        <f>'New Counts Pivot Table'!E$114</f>
        <v>0</v>
      </c>
      <c r="W113" s="271">
        <f>'New Counts Pivot Table'!F$114</f>
        <v>0</v>
      </c>
      <c r="X113" s="674">
        <f>'New Counts Pivot Table'!G$114</f>
        <v>0</v>
      </c>
      <c r="Y113" s="270">
        <f>'New Counts Pivot Table'!H$114</f>
        <v>0</v>
      </c>
      <c r="Z113" s="270">
        <f>'New Counts Pivot Table'!I$114</f>
        <v>1</v>
      </c>
      <c r="AA113" s="271">
        <f>'New Counts Pivot Table'!J$114</f>
        <v>1186</v>
      </c>
      <c r="AB113" s="271">
        <f>'New Counts Pivot Table'!K$114</f>
        <v>674</v>
      </c>
      <c r="AC113" s="271">
        <f>'New Counts Pivot Table'!L$114</f>
        <v>0</v>
      </c>
      <c r="AD113" s="271">
        <f>'New Counts Pivot Table'!M$114</f>
        <v>0</v>
      </c>
      <c r="AE113" s="270">
        <f>'New Counts Pivot Table'!N$114</f>
        <v>1861</v>
      </c>
      <c r="AF113" s="270">
        <f>'New Counts Pivot Table'!O$114</f>
        <v>0</v>
      </c>
      <c r="AG113" s="271">
        <f>'New Counts Pivot Table'!P$114</f>
        <v>0</v>
      </c>
      <c r="AH113" s="270">
        <f>'New Counts Pivot Table'!Q$114</f>
        <v>0</v>
      </c>
    </row>
    <row r="114" spans="1:36" s="280" customFormat="1" x14ac:dyDescent="0.25">
      <c r="A114" s="691"/>
      <c r="B114" s="272" t="s">
        <v>220</v>
      </c>
      <c r="C114" s="273">
        <f t="shared" si="116"/>
        <v>1</v>
      </c>
      <c r="D114" s="274">
        <f t="shared" si="117"/>
        <v>1</v>
      </c>
      <c r="E114" s="274">
        <f t="shared" si="117"/>
        <v>1</v>
      </c>
      <c r="F114" s="274">
        <f t="shared" si="117"/>
        <v>1</v>
      </c>
      <c r="G114" s="274">
        <f t="shared" si="117"/>
        <v>1</v>
      </c>
      <c r="H114" s="274">
        <f t="shared" si="117"/>
        <v>1</v>
      </c>
      <c r="I114" s="273">
        <f t="shared" si="118"/>
        <v>1</v>
      </c>
      <c r="J114" s="273">
        <f t="shared" si="119"/>
        <v>1</v>
      </c>
      <c r="K114" s="274">
        <f t="shared" si="120"/>
        <v>1</v>
      </c>
      <c r="L114" s="274">
        <f t="shared" si="120"/>
        <v>1</v>
      </c>
      <c r="M114" s="275">
        <f t="shared" si="121"/>
        <v>1</v>
      </c>
      <c r="N114" s="273">
        <f t="shared" si="122"/>
        <v>1</v>
      </c>
      <c r="O114" s="273">
        <f t="shared" si="123"/>
        <v>0</v>
      </c>
      <c r="P114" s="275">
        <f t="shared" si="123"/>
        <v>0</v>
      </c>
      <c r="Q114" s="686">
        <f t="shared" si="123"/>
        <v>0</v>
      </c>
      <c r="R114" s="276"/>
      <c r="S114" s="277">
        <f>'New Counts Pivot Table'!B$115</f>
        <v>9763</v>
      </c>
      <c r="T114" s="278">
        <f>'New Counts Pivot Table'!C$115</f>
        <v>1783</v>
      </c>
      <c r="U114" s="278">
        <f>'New Counts Pivot Table'!D$115</f>
        <v>7573</v>
      </c>
      <c r="V114" s="278">
        <f>'New Counts Pivot Table'!E$115</f>
        <v>187</v>
      </c>
      <c r="W114" s="278">
        <f>'New Counts Pivot Table'!F$115</f>
        <v>328</v>
      </c>
      <c r="X114" s="675">
        <f>'New Counts Pivot Table'!G$115</f>
        <v>99</v>
      </c>
      <c r="Y114" s="277">
        <f>'New Counts Pivot Table'!H$115</f>
        <v>19733</v>
      </c>
      <c r="Z114" s="277">
        <f>'New Counts Pivot Table'!I$115</f>
        <v>725</v>
      </c>
      <c r="AA114" s="278">
        <f>'New Counts Pivot Table'!J$115</f>
        <v>7653</v>
      </c>
      <c r="AB114" s="278">
        <f>'New Counts Pivot Table'!K$115</f>
        <v>2411</v>
      </c>
      <c r="AC114" s="278">
        <f>'New Counts Pivot Table'!L$115</f>
        <v>401</v>
      </c>
      <c r="AD114" s="278">
        <f>'New Counts Pivot Table'!M$115</f>
        <v>0</v>
      </c>
      <c r="AE114" s="277">
        <f>'New Counts Pivot Table'!N$115</f>
        <v>11190</v>
      </c>
      <c r="AF114" s="277">
        <f>'New Counts Pivot Table'!O$115</f>
        <v>0</v>
      </c>
      <c r="AG114" s="278">
        <f>'New Counts Pivot Table'!P$115</f>
        <v>0</v>
      </c>
      <c r="AH114" s="277">
        <f>'New Counts Pivot Table'!Q$115</f>
        <v>0</v>
      </c>
      <c r="AI114" s="279"/>
      <c r="AJ114" s="279"/>
    </row>
    <row r="115" spans="1:36" x14ac:dyDescent="0.2">
      <c r="A115" s="692" t="s">
        <v>44</v>
      </c>
      <c r="B115" s="259" t="s">
        <v>3</v>
      </c>
      <c r="C115" s="260">
        <f t="shared" ref="C115:C121" si="124">S115/S$121</f>
        <v>0.34588140052620925</v>
      </c>
      <c r="D115" s="261">
        <f t="shared" ref="D115:H121" si="125">IFERROR(T115/T$121,0)</f>
        <v>0.25</v>
      </c>
      <c r="E115" s="261">
        <f t="shared" si="125"/>
        <v>0.2799671592775041</v>
      </c>
      <c r="F115" s="261">
        <f t="shared" si="125"/>
        <v>0.24239130434782608</v>
      </c>
      <c r="G115" s="261">
        <f t="shared" si="125"/>
        <v>0.24103585657370519</v>
      </c>
      <c r="H115" s="261">
        <f t="shared" si="125"/>
        <v>0.18888888888888888</v>
      </c>
      <c r="I115" s="260">
        <f t="shared" ref="I115:I121" si="126">Y115/Y$121</f>
        <v>0.30227874933757287</v>
      </c>
      <c r="J115" s="260">
        <f>IFERROR(Z115/Z$121,0)</f>
        <v>0</v>
      </c>
      <c r="K115" s="261">
        <f>IFERROR(AA115/AA$121,0)</f>
        <v>0</v>
      </c>
      <c r="L115" s="261">
        <f>IFERROR(AB115/AB$121,0)</f>
        <v>0</v>
      </c>
      <c r="M115" s="262">
        <f>IFERROR(AC115/AC$121,0)</f>
        <v>0.27272727272727271</v>
      </c>
      <c r="N115" s="260">
        <f t="shared" ref="N115:N121" si="127">AE115/AE$121</f>
        <v>0.18066561014263074</v>
      </c>
      <c r="O115" s="260">
        <f t="shared" ref="O115:Q121" si="128">IFERROR(AF115/AF$121,0)</f>
        <v>0</v>
      </c>
      <c r="P115" s="262">
        <f t="shared" si="128"/>
        <v>0</v>
      </c>
      <c r="Q115" s="684">
        <f t="shared" si="128"/>
        <v>0</v>
      </c>
      <c r="R115" s="263"/>
      <c r="S115" s="264">
        <f>'New Counts Pivot Table'!B$117</f>
        <v>1709</v>
      </c>
      <c r="T115" s="265">
        <f>'New Counts Pivot Table'!C$117</f>
        <v>441</v>
      </c>
      <c r="U115" s="265">
        <f>'New Counts Pivot Table'!D$117</f>
        <v>341</v>
      </c>
      <c r="V115" s="265">
        <f>'New Counts Pivot Table'!E$117</f>
        <v>223</v>
      </c>
      <c r="W115" s="265">
        <f>'New Counts Pivot Table'!F$117</f>
        <v>121</v>
      </c>
      <c r="X115" s="673">
        <f>'New Counts Pivot Table'!G$117</f>
        <v>17</v>
      </c>
      <c r="Y115" s="264">
        <f>'New Counts Pivot Table'!H$117</f>
        <v>2852</v>
      </c>
      <c r="Z115" s="264">
        <f>'New Counts Pivot Table'!I$117</f>
        <v>0</v>
      </c>
      <c r="AA115" s="265">
        <f>'New Counts Pivot Table'!J$117</f>
        <v>0</v>
      </c>
      <c r="AB115" s="265">
        <f>'New Counts Pivot Table'!K$117</f>
        <v>0</v>
      </c>
      <c r="AC115" s="265">
        <f>'New Counts Pivot Table'!L$117</f>
        <v>9</v>
      </c>
      <c r="AD115" s="265">
        <f>'New Counts Pivot Table'!M$117</f>
        <v>447</v>
      </c>
      <c r="AE115" s="264">
        <f>'New Counts Pivot Table'!N$117</f>
        <v>456</v>
      </c>
      <c r="AF115" s="264">
        <f>'New Counts Pivot Table'!O$117</f>
        <v>0</v>
      </c>
      <c r="AG115" s="265">
        <f>'New Counts Pivot Table'!P$117</f>
        <v>0</v>
      </c>
      <c r="AH115" s="264">
        <f>'New Counts Pivot Table'!Q$117</f>
        <v>0</v>
      </c>
    </row>
    <row r="116" spans="1:36" x14ac:dyDescent="0.2">
      <c r="A116" s="690"/>
      <c r="B116" s="258" t="s">
        <v>4</v>
      </c>
      <c r="C116" s="266">
        <f t="shared" si="124"/>
        <v>0.29993928354584093</v>
      </c>
      <c r="D116" s="267">
        <f t="shared" si="125"/>
        <v>0.29365079365079366</v>
      </c>
      <c r="E116" s="267">
        <f t="shared" si="125"/>
        <v>0.26108374384236455</v>
      </c>
      <c r="F116" s="267">
        <f t="shared" si="125"/>
        <v>0.32826086956521738</v>
      </c>
      <c r="G116" s="267">
        <f t="shared" si="125"/>
        <v>0.34063745019920316</v>
      </c>
      <c r="H116" s="267">
        <f t="shared" si="125"/>
        <v>0.35555555555555557</v>
      </c>
      <c r="I116" s="266">
        <f t="shared" si="126"/>
        <v>0.29920508744038155</v>
      </c>
      <c r="J116" s="266">
        <f t="shared" ref="J116:J121" si="129">IFERROR(Z116/Z$121,0)</f>
        <v>0</v>
      </c>
      <c r="K116" s="267">
        <f t="shared" ref="K116:L121" si="130">IFERROR(AA116/AA$121,0)</f>
        <v>0</v>
      </c>
      <c r="L116" s="267">
        <f t="shared" si="130"/>
        <v>0</v>
      </c>
      <c r="M116" s="268">
        <f t="shared" ref="M116:M121" si="131">IFERROR(AC116/AC$121,0)</f>
        <v>0.48484848484848486</v>
      </c>
      <c r="N116" s="266">
        <f t="shared" si="127"/>
        <v>0.29160063391442154</v>
      </c>
      <c r="O116" s="266">
        <f t="shared" si="128"/>
        <v>0</v>
      </c>
      <c r="P116" s="268">
        <f t="shared" si="128"/>
        <v>0</v>
      </c>
      <c r="Q116" s="685">
        <f t="shared" si="128"/>
        <v>0</v>
      </c>
      <c r="R116" s="269"/>
      <c r="S116" s="270">
        <f>'New Counts Pivot Table'!B$118</f>
        <v>1482</v>
      </c>
      <c r="T116" s="271">
        <f>'New Counts Pivot Table'!C$118</f>
        <v>518</v>
      </c>
      <c r="U116" s="271">
        <f>'New Counts Pivot Table'!D$118</f>
        <v>318</v>
      </c>
      <c r="V116" s="271">
        <f>'New Counts Pivot Table'!E$118</f>
        <v>302</v>
      </c>
      <c r="W116" s="271">
        <f>'New Counts Pivot Table'!F$118</f>
        <v>171</v>
      </c>
      <c r="X116" s="674">
        <f>'New Counts Pivot Table'!G$118</f>
        <v>32</v>
      </c>
      <c r="Y116" s="270">
        <f>'New Counts Pivot Table'!H$118</f>
        <v>2823</v>
      </c>
      <c r="Z116" s="270">
        <f>'New Counts Pivot Table'!I$118</f>
        <v>0</v>
      </c>
      <c r="AA116" s="271">
        <f>'New Counts Pivot Table'!J$118</f>
        <v>0</v>
      </c>
      <c r="AB116" s="271">
        <f>'New Counts Pivot Table'!K$118</f>
        <v>0</v>
      </c>
      <c r="AC116" s="271">
        <f>'New Counts Pivot Table'!L$118</f>
        <v>16</v>
      </c>
      <c r="AD116" s="271">
        <f>'New Counts Pivot Table'!M$118</f>
        <v>720</v>
      </c>
      <c r="AE116" s="270">
        <f>'New Counts Pivot Table'!N$118</f>
        <v>736</v>
      </c>
      <c r="AF116" s="270">
        <f>'New Counts Pivot Table'!O$118</f>
        <v>0</v>
      </c>
      <c r="AG116" s="271">
        <f>'New Counts Pivot Table'!P$118</f>
        <v>0</v>
      </c>
      <c r="AH116" s="270">
        <f>'New Counts Pivot Table'!Q$118</f>
        <v>0</v>
      </c>
    </row>
    <row r="117" spans="1:36" x14ac:dyDescent="0.2">
      <c r="A117" s="690"/>
      <c r="B117" s="258" t="s">
        <v>5</v>
      </c>
      <c r="C117" s="266">
        <f t="shared" si="124"/>
        <v>0.23335357215138636</v>
      </c>
      <c r="D117" s="267">
        <f t="shared" si="125"/>
        <v>0.31179138321995464</v>
      </c>
      <c r="E117" s="267">
        <f t="shared" si="125"/>
        <v>0.30377668308702793</v>
      </c>
      <c r="F117" s="267">
        <f t="shared" si="125"/>
        <v>0.29456521739130437</v>
      </c>
      <c r="G117" s="267">
        <f t="shared" si="125"/>
        <v>0.21115537848605578</v>
      </c>
      <c r="H117" s="267">
        <f t="shared" si="125"/>
        <v>0.24444444444444444</v>
      </c>
      <c r="I117" s="266">
        <f t="shared" si="126"/>
        <v>0.26200317965023845</v>
      </c>
      <c r="J117" s="266">
        <f t="shared" si="129"/>
        <v>0</v>
      </c>
      <c r="K117" s="267">
        <f t="shared" si="130"/>
        <v>0</v>
      </c>
      <c r="L117" s="267">
        <f t="shared" si="130"/>
        <v>0</v>
      </c>
      <c r="M117" s="268">
        <f t="shared" si="131"/>
        <v>0.24242424242424243</v>
      </c>
      <c r="N117" s="266">
        <f t="shared" si="127"/>
        <v>0.29675118858954042</v>
      </c>
      <c r="O117" s="266">
        <f t="shared" si="128"/>
        <v>0</v>
      </c>
      <c r="P117" s="268">
        <f t="shared" si="128"/>
        <v>0</v>
      </c>
      <c r="Q117" s="685">
        <f t="shared" si="128"/>
        <v>0</v>
      </c>
      <c r="R117" s="269"/>
      <c r="S117" s="270">
        <f>'New Counts Pivot Table'!B$119</f>
        <v>1153</v>
      </c>
      <c r="T117" s="271">
        <f>'New Counts Pivot Table'!C$119</f>
        <v>550</v>
      </c>
      <c r="U117" s="271">
        <f>'New Counts Pivot Table'!D$119</f>
        <v>370</v>
      </c>
      <c r="V117" s="271">
        <f>'New Counts Pivot Table'!E$119</f>
        <v>271</v>
      </c>
      <c r="W117" s="271">
        <f>'New Counts Pivot Table'!F$119</f>
        <v>106</v>
      </c>
      <c r="X117" s="674">
        <f>'New Counts Pivot Table'!G$119</f>
        <v>22</v>
      </c>
      <c r="Y117" s="270">
        <f>'New Counts Pivot Table'!H$119</f>
        <v>2472</v>
      </c>
      <c r="Z117" s="270">
        <f>'New Counts Pivot Table'!I$119</f>
        <v>0</v>
      </c>
      <c r="AA117" s="271">
        <f>'New Counts Pivot Table'!J$119</f>
        <v>0</v>
      </c>
      <c r="AB117" s="271">
        <f>'New Counts Pivot Table'!K$119</f>
        <v>0</v>
      </c>
      <c r="AC117" s="271">
        <f>'New Counts Pivot Table'!L$119</f>
        <v>8</v>
      </c>
      <c r="AD117" s="271">
        <f>'New Counts Pivot Table'!M$119</f>
        <v>741</v>
      </c>
      <c r="AE117" s="270">
        <f>'New Counts Pivot Table'!N$119</f>
        <v>749</v>
      </c>
      <c r="AF117" s="270">
        <f>'New Counts Pivot Table'!O$119</f>
        <v>0</v>
      </c>
      <c r="AG117" s="271">
        <f>'New Counts Pivot Table'!P$119</f>
        <v>0</v>
      </c>
      <c r="AH117" s="270">
        <f>'New Counts Pivot Table'!Q$119</f>
        <v>0</v>
      </c>
    </row>
    <row r="118" spans="1:36" x14ac:dyDescent="0.2">
      <c r="A118" s="690"/>
      <c r="B118" s="258" t="s">
        <v>6</v>
      </c>
      <c r="C118" s="266">
        <f t="shared" si="124"/>
        <v>6.6788099574984827E-2</v>
      </c>
      <c r="D118" s="267">
        <f t="shared" si="125"/>
        <v>0.1383219954648526</v>
      </c>
      <c r="E118" s="267">
        <f t="shared" si="125"/>
        <v>9.8522167487684734E-2</v>
      </c>
      <c r="F118" s="267">
        <f t="shared" si="125"/>
        <v>9.4565217391304343E-2</v>
      </c>
      <c r="G118" s="267">
        <f t="shared" si="125"/>
        <v>7.5697211155378488E-2</v>
      </c>
      <c r="H118" s="267">
        <f t="shared" si="125"/>
        <v>0.21111111111111111</v>
      </c>
      <c r="I118" s="266">
        <f t="shared" si="126"/>
        <v>8.8818229994700584E-2</v>
      </c>
      <c r="J118" s="266">
        <f t="shared" si="129"/>
        <v>0</v>
      </c>
      <c r="K118" s="267">
        <f t="shared" si="130"/>
        <v>0</v>
      </c>
      <c r="L118" s="267">
        <f t="shared" si="130"/>
        <v>0</v>
      </c>
      <c r="M118" s="268">
        <f t="shared" si="131"/>
        <v>0</v>
      </c>
      <c r="N118" s="266">
        <f t="shared" si="127"/>
        <v>0.22107765451664024</v>
      </c>
      <c r="O118" s="266">
        <f t="shared" si="128"/>
        <v>0</v>
      </c>
      <c r="P118" s="268">
        <f t="shared" si="128"/>
        <v>0</v>
      </c>
      <c r="Q118" s="685">
        <f t="shared" si="128"/>
        <v>0</v>
      </c>
      <c r="R118" s="269"/>
      <c r="S118" s="270">
        <f>'New Counts Pivot Table'!B$120</f>
        <v>330</v>
      </c>
      <c r="T118" s="271">
        <f>'New Counts Pivot Table'!C$120</f>
        <v>244</v>
      </c>
      <c r="U118" s="271">
        <f>'New Counts Pivot Table'!D$120</f>
        <v>120</v>
      </c>
      <c r="V118" s="271">
        <f>'New Counts Pivot Table'!E$120</f>
        <v>87</v>
      </c>
      <c r="W118" s="271">
        <f>'New Counts Pivot Table'!F$120</f>
        <v>38</v>
      </c>
      <c r="X118" s="674">
        <f>'New Counts Pivot Table'!G$120</f>
        <v>19</v>
      </c>
      <c r="Y118" s="270">
        <f>'New Counts Pivot Table'!H$120</f>
        <v>838</v>
      </c>
      <c r="Z118" s="270">
        <f>'New Counts Pivot Table'!I$120</f>
        <v>0</v>
      </c>
      <c r="AA118" s="271">
        <f>'New Counts Pivot Table'!J$120</f>
        <v>0</v>
      </c>
      <c r="AB118" s="271">
        <f>'New Counts Pivot Table'!K$120</f>
        <v>0</v>
      </c>
      <c r="AC118" s="271">
        <f>'New Counts Pivot Table'!L$120</f>
        <v>0</v>
      </c>
      <c r="AD118" s="271">
        <f>'New Counts Pivot Table'!M$120</f>
        <v>558</v>
      </c>
      <c r="AE118" s="270">
        <f>'New Counts Pivot Table'!N$120</f>
        <v>558</v>
      </c>
      <c r="AF118" s="270">
        <f>'New Counts Pivot Table'!O$120</f>
        <v>0</v>
      </c>
      <c r="AG118" s="271">
        <f>'New Counts Pivot Table'!P$120</f>
        <v>0</v>
      </c>
      <c r="AH118" s="270">
        <f>'New Counts Pivot Table'!Q$120</f>
        <v>0</v>
      </c>
    </row>
    <row r="119" spans="1:36" x14ac:dyDescent="0.2">
      <c r="A119" s="690"/>
      <c r="B119" s="258" t="s">
        <v>26</v>
      </c>
      <c r="C119" s="266">
        <f t="shared" si="124"/>
        <v>5.4037644201578625E-2</v>
      </c>
      <c r="D119" s="267">
        <f t="shared" si="125"/>
        <v>6.2358276643990932E-3</v>
      </c>
      <c r="E119" s="267">
        <f t="shared" si="125"/>
        <v>5.6650246305418719E-2</v>
      </c>
      <c r="F119" s="267">
        <f t="shared" si="125"/>
        <v>4.0217391304347823E-2</v>
      </c>
      <c r="G119" s="267">
        <f t="shared" si="125"/>
        <v>0.13147410358565736</v>
      </c>
      <c r="H119" s="267">
        <f t="shared" si="125"/>
        <v>0</v>
      </c>
      <c r="I119" s="266">
        <f t="shared" si="126"/>
        <v>4.7694753577106522E-2</v>
      </c>
      <c r="J119" s="266">
        <f t="shared" si="129"/>
        <v>0</v>
      </c>
      <c r="K119" s="267">
        <f t="shared" si="130"/>
        <v>0</v>
      </c>
      <c r="L119" s="267">
        <f t="shared" si="130"/>
        <v>0</v>
      </c>
      <c r="M119" s="268">
        <f t="shared" si="131"/>
        <v>0</v>
      </c>
      <c r="N119" s="266">
        <f t="shared" si="127"/>
        <v>9.904912836767036E-3</v>
      </c>
      <c r="O119" s="266">
        <f t="shared" si="128"/>
        <v>0</v>
      </c>
      <c r="P119" s="268">
        <f t="shared" si="128"/>
        <v>0</v>
      </c>
      <c r="Q119" s="685">
        <f t="shared" si="128"/>
        <v>0</v>
      </c>
      <c r="R119" s="269"/>
      <c r="S119" s="270">
        <f>'New Counts Pivot Table'!B$121</f>
        <v>267</v>
      </c>
      <c r="T119" s="271">
        <f>'New Counts Pivot Table'!C$121</f>
        <v>11</v>
      </c>
      <c r="U119" s="271">
        <f>'New Counts Pivot Table'!D$121</f>
        <v>69</v>
      </c>
      <c r="V119" s="271">
        <f>'New Counts Pivot Table'!E$121</f>
        <v>37</v>
      </c>
      <c r="W119" s="271">
        <f>'New Counts Pivot Table'!F$121</f>
        <v>66</v>
      </c>
      <c r="X119" s="674">
        <f>'New Counts Pivot Table'!G$121</f>
        <v>0</v>
      </c>
      <c r="Y119" s="270">
        <f>'New Counts Pivot Table'!H$121</f>
        <v>450</v>
      </c>
      <c r="Z119" s="270">
        <f>'New Counts Pivot Table'!I$121</f>
        <v>0</v>
      </c>
      <c r="AA119" s="271">
        <f>'New Counts Pivot Table'!J$121</f>
        <v>0</v>
      </c>
      <c r="AB119" s="271">
        <f>'New Counts Pivot Table'!K$121</f>
        <v>0</v>
      </c>
      <c r="AC119" s="271">
        <f>'New Counts Pivot Table'!L$121</f>
        <v>0</v>
      </c>
      <c r="AD119" s="271">
        <f>'New Counts Pivot Table'!M$121</f>
        <v>25</v>
      </c>
      <c r="AE119" s="270">
        <f>'New Counts Pivot Table'!N$121</f>
        <v>25</v>
      </c>
      <c r="AF119" s="270">
        <f>'New Counts Pivot Table'!O$121</f>
        <v>0</v>
      </c>
      <c r="AG119" s="271">
        <f>'New Counts Pivot Table'!P$121</f>
        <v>0</v>
      </c>
      <c r="AH119" s="270">
        <f>'New Counts Pivot Table'!Q$121</f>
        <v>0</v>
      </c>
    </row>
    <row r="120" spans="1:36" x14ac:dyDescent="0.2">
      <c r="A120" s="690"/>
      <c r="B120" s="258" t="s">
        <v>23</v>
      </c>
      <c r="C120" s="266">
        <f t="shared" si="124"/>
        <v>0</v>
      </c>
      <c r="D120" s="267">
        <f t="shared" si="125"/>
        <v>0</v>
      </c>
      <c r="E120" s="267">
        <f t="shared" si="125"/>
        <v>0</v>
      </c>
      <c r="F120" s="267">
        <f t="shared" si="125"/>
        <v>0</v>
      </c>
      <c r="G120" s="267">
        <f t="shared" si="125"/>
        <v>0</v>
      </c>
      <c r="H120" s="267">
        <f t="shared" si="125"/>
        <v>0</v>
      </c>
      <c r="I120" s="266">
        <f t="shared" si="126"/>
        <v>0</v>
      </c>
      <c r="J120" s="266">
        <f t="shared" si="129"/>
        <v>0</v>
      </c>
      <c r="K120" s="267">
        <f t="shared" si="130"/>
        <v>0</v>
      </c>
      <c r="L120" s="267">
        <f t="shared" si="130"/>
        <v>0</v>
      </c>
      <c r="M120" s="268">
        <f t="shared" si="131"/>
        <v>0</v>
      </c>
      <c r="N120" s="266">
        <f t="shared" si="127"/>
        <v>0</v>
      </c>
      <c r="O120" s="266">
        <f t="shared" si="128"/>
        <v>0</v>
      </c>
      <c r="P120" s="268">
        <f t="shared" si="128"/>
        <v>0</v>
      </c>
      <c r="Q120" s="685">
        <f t="shared" si="128"/>
        <v>0</v>
      </c>
      <c r="R120" s="269"/>
      <c r="S120" s="270">
        <f>'New Counts Pivot Table'!B$122</f>
        <v>0</v>
      </c>
      <c r="T120" s="271">
        <f>'New Counts Pivot Table'!C$122</f>
        <v>0</v>
      </c>
      <c r="U120" s="271">
        <f>'New Counts Pivot Table'!D$122</f>
        <v>0</v>
      </c>
      <c r="V120" s="271">
        <f>'New Counts Pivot Table'!E$122</f>
        <v>0</v>
      </c>
      <c r="W120" s="271">
        <f>'New Counts Pivot Table'!F$122</f>
        <v>0</v>
      </c>
      <c r="X120" s="674">
        <f>'New Counts Pivot Table'!G$122</f>
        <v>0</v>
      </c>
      <c r="Y120" s="270">
        <f>'New Counts Pivot Table'!H$122</f>
        <v>0</v>
      </c>
      <c r="Z120" s="270">
        <f>'New Counts Pivot Table'!I$122</f>
        <v>0</v>
      </c>
      <c r="AA120" s="271">
        <f>'New Counts Pivot Table'!J$122</f>
        <v>0</v>
      </c>
      <c r="AB120" s="271">
        <f>'New Counts Pivot Table'!K$122</f>
        <v>0</v>
      </c>
      <c r="AC120" s="271">
        <f>'New Counts Pivot Table'!L$122</f>
        <v>0</v>
      </c>
      <c r="AD120" s="271">
        <f>'New Counts Pivot Table'!M$122</f>
        <v>0</v>
      </c>
      <c r="AE120" s="270">
        <f>'New Counts Pivot Table'!N$122</f>
        <v>0</v>
      </c>
      <c r="AF120" s="270">
        <f>'New Counts Pivot Table'!O$122</f>
        <v>0</v>
      </c>
      <c r="AG120" s="271">
        <f>'New Counts Pivot Table'!P$122</f>
        <v>0</v>
      </c>
      <c r="AH120" s="270">
        <f>'New Counts Pivot Table'!Q$122</f>
        <v>0</v>
      </c>
    </row>
    <row r="121" spans="1:36" s="280" customFormat="1" x14ac:dyDescent="0.25">
      <c r="A121" s="691"/>
      <c r="B121" s="272" t="s">
        <v>220</v>
      </c>
      <c r="C121" s="273">
        <f t="shared" si="124"/>
        <v>1</v>
      </c>
      <c r="D121" s="274">
        <f t="shared" si="125"/>
        <v>1</v>
      </c>
      <c r="E121" s="274">
        <f t="shared" si="125"/>
        <v>1</v>
      </c>
      <c r="F121" s="274">
        <f t="shared" si="125"/>
        <v>1</v>
      </c>
      <c r="G121" s="274">
        <f t="shared" si="125"/>
        <v>1</v>
      </c>
      <c r="H121" s="274">
        <f t="shared" si="125"/>
        <v>1</v>
      </c>
      <c r="I121" s="273">
        <f t="shared" si="126"/>
        <v>1</v>
      </c>
      <c r="J121" s="273">
        <f t="shared" si="129"/>
        <v>0</v>
      </c>
      <c r="K121" s="274">
        <f t="shared" si="130"/>
        <v>0</v>
      </c>
      <c r="L121" s="274">
        <f t="shared" si="130"/>
        <v>0</v>
      </c>
      <c r="M121" s="275">
        <f t="shared" si="131"/>
        <v>1</v>
      </c>
      <c r="N121" s="273">
        <f t="shared" si="127"/>
        <v>1</v>
      </c>
      <c r="O121" s="273">
        <f t="shared" si="128"/>
        <v>0</v>
      </c>
      <c r="P121" s="275">
        <f t="shared" si="128"/>
        <v>0</v>
      </c>
      <c r="Q121" s="686">
        <f t="shared" si="128"/>
        <v>0</v>
      </c>
      <c r="R121" s="276"/>
      <c r="S121" s="277">
        <f>'New Counts Pivot Table'!B$123</f>
        <v>4941</v>
      </c>
      <c r="T121" s="278">
        <f>'New Counts Pivot Table'!C$123</f>
        <v>1764</v>
      </c>
      <c r="U121" s="278">
        <f>'New Counts Pivot Table'!D$123</f>
        <v>1218</v>
      </c>
      <c r="V121" s="278">
        <f>'New Counts Pivot Table'!E$123</f>
        <v>920</v>
      </c>
      <c r="W121" s="278">
        <f>'New Counts Pivot Table'!F$123</f>
        <v>502</v>
      </c>
      <c r="X121" s="675">
        <f>'New Counts Pivot Table'!G$123</f>
        <v>90</v>
      </c>
      <c r="Y121" s="277">
        <f>'New Counts Pivot Table'!H$123</f>
        <v>9435</v>
      </c>
      <c r="Z121" s="277">
        <f>'New Counts Pivot Table'!I$123</f>
        <v>0</v>
      </c>
      <c r="AA121" s="278">
        <f>'New Counts Pivot Table'!J$123</f>
        <v>0</v>
      </c>
      <c r="AB121" s="278">
        <f>'New Counts Pivot Table'!K$123</f>
        <v>0</v>
      </c>
      <c r="AC121" s="278">
        <f>'New Counts Pivot Table'!L$123</f>
        <v>33</v>
      </c>
      <c r="AD121" s="278">
        <f>'New Counts Pivot Table'!M$123</f>
        <v>2491</v>
      </c>
      <c r="AE121" s="277">
        <f>'New Counts Pivot Table'!N$123</f>
        <v>2524</v>
      </c>
      <c r="AF121" s="277">
        <f>'New Counts Pivot Table'!O$123</f>
        <v>0</v>
      </c>
      <c r="AG121" s="278">
        <f>'New Counts Pivot Table'!P$123</f>
        <v>0</v>
      </c>
      <c r="AH121" s="277">
        <f>'New Counts Pivot Table'!Q$123</f>
        <v>0</v>
      </c>
      <c r="AI121" s="279"/>
      <c r="AJ121" s="279"/>
    </row>
    <row r="122" spans="1:36" x14ac:dyDescent="0.2">
      <c r="A122" s="692" t="s">
        <v>45</v>
      </c>
      <c r="B122" s="259" t="s">
        <v>3</v>
      </c>
      <c r="C122" s="260">
        <f t="shared" ref="C122:C128" si="132">S122/S$128</f>
        <v>0.28403525954946129</v>
      </c>
      <c r="D122" s="261">
        <f t="shared" ref="D122:H128" si="133">IFERROR(T122/T$128,0)</f>
        <v>0</v>
      </c>
      <c r="E122" s="261">
        <f t="shared" si="133"/>
        <v>0.38582677165354329</v>
      </c>
      <c r="F122" s="261">
        <f t="shared" si="133"/>
        <v>0</v>
      </c>
      <c r="G122" s="261">
        <f t="shared" si="133"/>
        <v>0.26710097719869708</v>
      </c>
      <c r="H122" s="261">
        <f t="shared" si="133"/>
        <v>0.21839080459770116</v>
      </c>
      <c r="I122" s="260">
        <f t="shared" ref="I122:I128" si="134">Y122/Y$128</f>
        <v>0.28670756646216766</v>
      </c>
      <c r="J122" s="260">
        <f t="shared" ref="J122:M128" si="135">IFERROR(Z122/Z$128,0)</f>
        <v>0.32116788321167883</v>
      </c>
      <c r="K122" s="261">
        <f t="shared" si="135"/>
        <v>0</v>
      </c>
      <c r="L122" s="261">
        <f t="shared" si="135"/>
        <v>0.2011173184357542</v>
      </c>
      <c r="M122" s="262">
        <f t="shared" si="135"/>
        <v>0.12056737588652482</v>
      </c>
      <c r="N122" s="260">
        <f t="shared" ref="N122:N128" si="136">AE122/AE$128</f>
        <v>0.19063545150501673</v>
      </c>
      <c r="O122" s="260">
        <f t="shared" ref="O122:Q128" si="137">IFERROR(AF122/AF$128,0)</f>
        <v>0</v>
      </c>
      <c r="P122" s="262">
        <f t="shared" si="137"/>
        <v>0</v>
      </c>
      <c r="Q122" s="684">
        <f t="shared" si="137"/>
        <v>0</v>
      </c>
      <c r="R122" s="263"/>
      <c r="S122" s="264">
        <f>'New Counts Pivot Table'!B$125</f>
        <v>290</v>
      </c>
      <c r="T122" s="265">
        <f>'New Counts Pivot Table'!C$125</f>
        <v>0</v>
      </c>
      <c r="U122" s="265">
        <f>'New Counts Pivot Table'!D$125</f>
        <v>196</v>
      </c>
      <c r="V122" s="265">
        <f>'New Counts Pivot Table'!E$125</f>
        <v>0</v>
      </c>
      <c r="W122" s="265">
        <f>'New Counts Pivot Table'!F$125</f>
        <v>82</v>
      </c>
      <c r="X122" s="673">
        <f>'New Counts Pivot Table'!G$125</f>
        <v>133</v>
      </c>
      <c r="Y122" s="264">
        <f>'New Counts Pivot Table'!H$125</f>
        <v>701</v>
      </c>
      <c r="Z122" s="264">
        <f>'New Counts Pivot Table'!I$125</f>
        <v>44</v>
      </c>
      <c r="AA122" s="265">
        <f>'New Counts Pivot Table'!J$125</f>
        <v>0</v>
      </c>
      <c r="AB122" s="265">
        <f>'New Counts Pivot Table'!K$125</f>
        <v>36</v>
      </c>
      <c r="AC122" s="265">
        <f>'New Counts Pivot Table'!L$125</f>
        <v>34</v>
      </c>
      <c r="AD122" s="265">
        <f>'New Counts Pivot Table'!M$125</f>
        <v>0</v>
      </c>
      <c r="AE122" s="264">
        <f>'New Counts Pivot Table'!N$125</f>
        <v>114</v>
      </c>
      <c r="AF122" s="264">
        <f>'New Counts Pivot Table'!O$125</f>
        <v>0</v>
      </c>
      <c r="AG122" s="265">
        <f>'New Counts Pivot Table'!P$125</f>
        <v>0</v>
      </c>
      <c r="AH122" s="264">
        <f>'New Counts Pivot Table'!Q$125</f>
        <v>0</v>
      </c>
    </row>
    <row r="123" spans="1:36" x14ac:dyDescent="0.2">
      <c r="A123" s="690"/>
      <c r="B123" s="258" t="s">
        <v>4</v>
      </c>
      <c r="C123" s="266">
        <f t="shared" si="132"/>
        <v>0.28697355533790403</v>
      </c>
      <c r="D123" s="267">
        <f t="shared" si="133"/>
        <v>0</v>
      </c>
      <c r="E123" s="267">
        <f t="shared" si="133"/>
        <v>0.24803149606299213</v>
      </c>
      <c r="F123" s="267">
        <f t="shared" si="133"/>
        <v>0</v>
      </c>
      <c r="G123" s="267">
        <f t="shared" si="133"/>
        <v>0.28013029315960913</v>
      </c>
      <c r="H123" s="267">
        <f t="shared" si="133"/>
        <v>0.26436781609195403</v>
      </c>
      <c r="I123" s="266">
        <f t="shared" si="134"/>
        <v>0.2723926380368098</v>
      </c>
      <c r="J123" s="266">
        <f t="shared" si="135"/>
        <v>0.10218978102189781</v>
      </c>
      <c r="K123" s="267">
        <f t="shared" si="135"/>
        <v>0</v>
      </c>
      <c r="L123" s="267">
        <f t="shared" si="135"/>
        <v>0.14525139664804471</v>
      </c>
      <c r="M123" s="268">
        <f t="shared" si="135"/>
        <v>0.14184397163120568</v>
      </c>
      <c r="N123" s="266">
        <f t="shared" si="136"/>
        <v>0.13377926421404682</v>
      </c>
      <c r="O123" s="266">
        <f t="shared" si="137"/>
        <v>0</v>
      </c>
      <c r="P123" s="268">
        <f t="shared" si="137"/>
        <v>0</v>
      </c>
      <c r="Q123" s="685">
        <f t="shared" si="137"/>
        <v>0</v>
      </c>
      <c r="R123" s="269"/>
      <c r="S123" s="270">
        <f>'New Counts Pivot Table'!B$126</f>
        <v>293</v>
      </c>
      <c r="T123" s="271">
        <f>'New Counts Pivot Table'!C$126</f>
        <v>0</v>
      </c>
      <c r="U123" s="271">
        <f>'New Counts Pivot Table'!D$126</f>
        <v>126</v>
      </c>
      <c r="V123" s="271">
        <f>'New Counts Pivot Table'!E$126</f>
        <v>0</v>
      </c>
      <c r="W123" s="271">
        <f>'New Counts Pivot Table'!F$126</f>
        <v>86</v>
      </c>
      <c r="X123" s="674">
        <f>'New Counts Pivot Table'!G$126</f>
        <v>161</v>
      </c>
      <c r="Y123" s="270">
        <f>'New Counts Pivot Table'!H$126</f>
        <v>666</v>
      </c>
      <c r="Z123" s="270">
        <f>'New Counts Pivot Table'!I$126</f>
        <v>14</v>
      </c>
      <c r="AA123" s="271">
        <f>'New Counts Pivot Table'!J$126</f>
        <v>0</v>
      </c>
      <c r="AB123" s="271">
        <f>'New Counts Pivot Table'!K$126</f>
        <v>26</v>
      </c>
      <c r="AC123" s="271">
        <f>'New Counts Pivot Table'!L$126</f>
        <v>40</v>
      </c>
      <c r="AD123" s="271">
        <f>'New Counts Pivot Table'!M$126</f>
        <v>0</v>
      </c>
      <c r="AE123" s="270">
        <f>'New Counts Pivot Table'!N$126</f>
        <v>80</v>
      </c>
      <c r="AF123" s="270">
        <f>'New Counts Pivot Table'!O$126</f>
        <v>0</v>
      </c>
      <c r="AG123" s="271">
        <f>'New Counts Pivot Table'!P$126</f>
        <v>0</v>
      </c>
      <c r="AH123" s="270">
        <f>'New Counts Pivot Table'!Q$126</f>
        <v>0</v>
      </c>
    </row>
    <row r="124" spans="1:36" x14ac:dyDescent="0.2">
      <c r="A124" s="690"/>
      <c r="B124" s="258" t="s">
        <v>5</v>
      </c>
      <c r="C124" s="266">
        <f t="shared" si="132"/>
        <v>0.35651322233104799</v>
      </c>
      <c r="D124" s="267">
        <f t="shared" si="133"/>
        <v>0</v>
      </c>
      <c r="E124" s="267">
        <f t="shared" si="133"/>
        <v>0.24606299212598426</v>
      </c>
      <c r="F124" s="267">
        <f t="shared" si="133"/>
        <v>0</v>
      </c>
      <c r="G124" s="267">
        <f t="shared" si="133"/>
        <v>0.34853420195439738</v>
      </c>
      <c r="H124" s="267">
        <f t="shared" si="133"/>
        <v>0.35467980295566504</v>
      </c>
      <c r="I124" s="266">
        <f t="shared" si="134"/>
        <v>0.33210633946830265</v>
      </c>
      <c r="J124" s="266">
        <f t="shared" si="135"/>
        <v>0.28467153284671531</v>
      </c>
      <c r="K124" s="267">
        <f t="shared" si="135"/>
        <v>0</v>
      </c>
      <c r="L124" s="267">
        <f t="shared" si="135"/>
        <v>0.21787709497206703</v>
      </c>
      <c r="M124" s="268">
        <f t="shared" si="135"/>
        <v>0.33333333333333331</v>
      </c>
      <c r="N124" s="266">
        <f t="shared" si="136"/>
        <v>0.28762541806020064</v>
      </c>
      <c r="O124" s="266">
        <f t="shared" si="137"/>
        <v>0</v>
      </c>
      <c r="P124" s="268">
        <f t="shared" si="137"/>
        <v>0</v>
      </c>
      <c r="Q124" s="685">
        <f t="shared" si="137"/>
        <v>0</v>
      </c>
      <c r="R124" s="269"/>
      <c r="S124" s="270">
        <f>'New Counts Pivot Table'!B$127</f>
        <v>364</v>
      </c>
      <c r="T124" s="271">
        <f>'New Counts Pivot Table'!C$127</f>
        <v>0</v>
      </c>
      <c r="U124" s="271">
        <f>'New Counts Pivot Table'!D$127</f>
        <v>125</v>
      </c>
      <c r="V124" s="271">
        <f>'New Counts Pivot Table'!E$127</f>
        <v>0</v>
      </c>
      <c r="W124" s="271">
        <f>'New Counts Pivot Table'!F$127</f>
        <v>107</v>
      </c>
      <c r="X124" s="674">
        <f>'New Counts Pivot Table'!G$127</f>
        <v>216</v>
      </c>
      <c r="Y124" s="270">
        <f>'New Counts Pivot Table'!H$127</f>
        <v>812</v>
      </c>
      <c r="Z124" s="270">
        <f>'New Counts Pivot Table'!I$127</f>
        <v>39</v>
      </c>
      <c r="AA124" s="271">
        <f>'New Counts Pivot Table'!J$127</f>
        <v>0</v>
      </c>
      <c r="AB124" s="271">
        <f>'New Counts Pivot Table'!K$127</f>
        <v>39</v>
      </c>
      <c r="AC124" s="271">
        <f>'New Counts Pivot Table'!L$127</f>
        <v>94</v>
      </c>
      <c r="AD124" s="271">
        <f>'New Counts Pivot Table'!M$127</f>
        <v>0</v>
      </c>
      <c r="AE124" s="270">
        <f>'New Counts Pivot Table'!N$127</f>
        <v>172</v>
      </c>
      <c r="AF124" s="270">
        <f>'New Counts Pivot Table'!O$127</f>
        <v>0</v>
      </c>
      <c r="AG124" s="271">
        <f>'New Counts Pivot Table'!P$127</f>
        <v>0</v>
      </c>
      <c r="AH124" s="270">
        <f>'New Counts Pivot Table'!Q$127</f>
        <v>0</v>
      </c>
    </row>
    <row r="125" spans="1:36" x14ac:dyDescent="0.2">
      <c r="A125" s="690"/>
      <c r="B125" s="258" t="s">
        <v>6</v>
      </c>
      <c r="C125" s="266">
        <f t="shared" si="132"/>
        <v>5.0930460333006855E-2</v>
      </c>
      <c r="D125" s="267">
        <f t="shared" si="133"/>
        <v>0</v>
      </c>
      <c r="E125" s="267">
        <f t="shared" si="133"/>
        <v>0.12007874015748031</v>
      </c>
      <c r="F125" s="267">
        <f t="shared" si="133"/>
        <v>0</v>
      </c>
      <c r="G125" s="267">
        <f t="shared" si="133"/>
        <v>3.9087947882736153E-2</v>
      </c>
      <c r="H125" s="267">
        <f t="shared" si="133"/>
        <v>0.12807881773399016</v>
      </c>
      <c r="I125" s="266">
        <f t="shared" si="134"/>
        <v>8.3026584867075662E-2</v>
      </c>
      <c r="J125" s="266">
        <f t="shared" si="135"/>
        <v>0.20437956204379562</v>
      </c>
      <c r="K125" s="267">
        <f t="shared" si="135"/>
        <v>0</v>
      </c>
      <c r="L125" s="267">
        <f t="shared" si="135"/>
        <v>0.42458100558659218</v>
      </c>
      <c r="M125" s="268">
        <f t="shared" si="135"/>
        <v>0.31560283687943264</v>
      </c>
      <c r="N125" s="266">
        <f t="shared" si="136"/>
        <v>0.32274247491638797</v>
      </c>
      <c r="O125" s="266">
        <f t="shared" si="137"/>
        <v>0</v>
      </c>
      <c r="P125" s="268">
        <f t="shared" si="137"/>
        <v>0</v>
      </c>
      <c r="Q125" s="685">
        <f t="shared" si="137"/>
        <v>0</v>
      </c>
      <c r="R125" s="269"/>
      <c r="S125" s="270">
        <f>'New Counts Pivot Table'!B$128</f>
        <v>52</v>
      </c>
      <c r="T125" s="271">
        <f>'New Counts Pivot Table'!C$128</f>
        <v>0</v>
      </c>
      <c r="U125" s="271">
        <f>'New Counts Pivot Table'!D$128</f>
        <v>61</v>
      </c>
      <c r="V125" s="271">
        <f>'New Counts Pivot Table'!E$128</f>
        <v>0</v>
      </c>
      <c r="W125" s="271">
        <f>'New Counts Pivot Table'!F$128</f>
        <v>12</v>
      </c>
      <c r="X125" s="674">
        <f>'New Counts Pivot Table'!G$128</f>
        <v>78</v>
      </c>
      <c r="Y125" s="270">
        <f>'New Counts Pivot Table'!H$128</f>
        <v>203</v>
      </c>
      <c r="Z125" s="270">
        <f>'New Counts Pivot Table'!I$128</f>
        <v>28</v>
      </c>
      <c r="AA125" s="271">
        <f>'New Counts Pivot Table'!J$128</f>
        <v>0</v>
      </c>
      <c r="AB125" s="271">
        <f>'New Counts Pivot Table'!K$128</f>
        <v>76</v>
      </c>
      <c r="AC125" s="271">
        <f>'New Counts Pivot Table'!L$128</f>
        <v>89</v>
      </c>
      <c r="AD125" s="271">
        <f>'New Counts Pivot Table'!M$128</f>
        <v>0</v>
      </c>
      <c r="AE125" s="270">
        <f>'New Counts Pivot Table'!N$128</f>
        <v>193</v>
      </c>
      <c r="AF125" s="270">
        <f>'New Counts Pivot Table'!O$128</f>
        <v>0</v>
      </c>
      <c r="AG125" s="271">
        <f>'New Counts Pivot Table'!P$128</f>
        <v>0</v>
      </c>
      <c r="AH125" s="270">
        <f>'New Counts Pivot Table'!Q$128</f>
        <v>0</v>
      </c>
    </row>
    <row r="126" spans="1:36" x14ac:dyDescent="0.2">
      <c r="A126" s="690"/>
      <c r="B126" s="258" t="s">
        <v>26</v>
      </c>
      <c r="C126" s="266">
        <f t="shared" si="132"/>
        <v>2.1547502448579822E-2</v>
      </c>
      <c r="D126" s="267">
        <f t="shared" si="133"/>
        <v>0</v>
      </c>
      <c r="E126" s="267">
        <f t="shared" si="133"/>
        <v>0</v>
      </c>
      <c r="F126" s="267">
        <f t="shared" si="133"/>
        <v>0</v>
      </c>
      <c r="G126" s="267">
        <f t="shared" si="133"/>
        <v>6.5146579804560262E-2</v>
      </c>
      <c r="H126" s="267">
        <f t="shared" si="133"/>
        <v>3.4482758620689655E-2</v>
      </c>
      <c r="I126" s="266">
        <f t="shared" si="134"/>
        <v>2.5766871165644172E-2</v>
      </c>
      <c r="J126" s="266">
        <f t="shared" si="135"/>
        <v>8.7591240875912413E-2</v>
      </c>
      <c r="K126" s="267">
        <f t="shared" si="135"/>
        <v>0</v>
      </c>
      <c r="L126" s="267">
        <f t="shared" si="135"/>
        <v>1.11731843575419E-2</v>
      </c>
      <c r="M126" s="268">
        <f t="shared" si="135"/>
        <v>8.8652482269503549E-2</v>
      </c>
      <c r="N126" s="266">
        <f t="shared" si="136"/>
        <v>6.5217391304347824E-2</v>
      </c>
      <c r="O126" s="266">
        <f t="shared" si="137"/>
        <v>0</v>
      </c>
      <c r="P126" s="268">
        <f t="shared" si="137"/>
        <v>0</v>
      </c>
      <c r="Q126" s="685">
        <f t="shared" si="137"/>
        <v>0</v>
      </c>
      <c r="R126" s="269"/>
      <c r="S126" s="270">
        <f>'New Counts Pivot Table'!B$129</f>
        <v>22</v>
      </c>
      <c r="T126" s="271">
        <f>'New Counts Pivot Table'!C$129</f>
        <v>0</v>
      </c>
      <c r="U126" s="271">
        <f>'New Counts Pivot Table'!D$129</f>
        <v>0</v>
      </c>
      <c r="V126" s="271">
        <f>'New Counts Pivot Table'!E$129</f>
        <v>0</v>
      </c>
      <c r="W126" s="271">
        <f>'New Counts Pivot Table'!F$129</f>
        <v>20</v>
      </c>
      <c r="X126" s="674">
        <f>'New Counts Pivot Table'!G$129</f>
        <v>21</v>
      </c>
      <c r="Y126" s="270">
        <f>'New Counts Pivot Table'!H$129</f>
        <v>63</v>
      </c>
      <c r="Z126" s="270">
        <f>'New Counts Pivot Table'!I$129</f>
        <v>12</v>
      </c>
      <c r="AA126" s="271">
        <f>'New Counts Pivot Table'!J$129</f>
        <v>0</v>
      </c>
      <c r="AB126" s="271">
        <f>'New Counts Pivot Table'!K$129</f>
        <v>2</v>
      </c>
      <c r="AC126" s="271">
        <f>'New Counts Pivot Table'!L$129</f>
        <v>25</v>
      </c>
      <c r="AD126" s="271">
        <f>'New Counts Pivot Table'!M$129</f>
        <v>0</v>
      </c>
      <c r="AE126" s="270">
        <f>'New Counts Pivot Table'!N$129</f>
        <v>39</v>
      </c>
      <c r="AF126" s="270">
        <f>'New Counts Pivot Table'!O$129</f>
        <v>0</v>
      </c>
      <c r="AG126" s="271">
        <f>'New Counts Pivot Table'!P$129</f>
        <v>0</v>
      </c>
      <c r="AH126" s="270">
        <f>'New Counts Pivot Table'!Q$129</f>
        <v>0</v>
      </c>
    </row>
    <row r="127" spans="1:36" x14ac:dyDescent="0.2">
      <c r="A127" s="690"/>
      <c r="B127" s="258" t="s">
        <v>23</v>
      </c>
      <c r="C127" s="266">
        <f t="shared" si="132"/>
        <v>0</v>
      </c>
      <c r="D127" s="267">
        <f t="shared" si="133"/>
        <v>0</v>
      </c>
      <c r="E127" s="267">
        <f t="shared" si="133"/>
        <v>0</v>
      </c>
      <c r="F127" s="267">
        <f t="shared" si="133"/>
        <v>0</v>
      </c>
      <c r="G127" s="267">
        <f t="shared" si="133"/>
        <v>0</v>
      </c>
      <c r="H127" s="267">
        <f t="shared" si="133"/>
        <v>0</v>
      </c>
      <c r="I127" s="266">
        <f t="shared" si="134"/>
        <v>0</v>
      </c>
      <c r="J127" s="266">
        <f t="shared" si="135"/>
        <v>0</v>
      </c>
      <c r="K127" s="267">
        <f t="shared" si="135"/>
        <v>0</v>
      </c>
      <c r="L127" s="267">
        <f t="shared" si="135"/>
        <v>0</v>
      </c>
      <c r="M127" s="268">
        <f t="shared" si="135"/>
        <v>0</v>
      </c>
      <c r="N127" s="266">
        <f t="shared" si="136"/>
        <v>0</v>
      </c>
      <c r="O127" s="266">
        <f t="shared" si="137"/>
        <v>0</v>
      </c>
      <c r="P127" s="268">
        <f t="shared" si="137"/>
        <v>0</v>
      </c>
      <c r="Q127" s="685">
        <f t="shared" si="137"/>
        <v>0</v>
      </c>
      <c r="R127" s="269"/>
      <c r="S127" s="270">
        <f>'New Counts Pivot Table'!B$130</f>
        <v>0</v>
      </c>
      <c r="T127" s="271">
        <f>'New Counts Pivot Table'!C$130</f>
        <v>0</v>
      </c>
      <c r="U127" s="271">
        <f>'New Counts Pivot Table'!D$130</f>
        <v>0</v>
      </c>
      <c r="V127" s="271">
        <f>'New Counts Pivot Table'!E$130</f>
        <v>0</v>
      </c>
      <c r="W127" s="271">
        <f>'New Counts Pivot Table'!F$130</f>
        <v>0</v>
      </c>
      <c r="X127" s="674">
        <f>'New Counts Pivot Table'!G$130</f>
        <v>0</v>
      </c>
      <c r="Y127" s="270">
        <f>'New Counts Pivot Table'!H$130</f>
        <v>0</v>
      </c>
      <c r="Z127" s="270">
        <f>'New Counts Pivot Table'!I$130</f>
        <v>0</v>
      </c>
      <c r="AA127" s="271">
        <f>'New Counts Pivot Table'!J$130</f>
        <v>0</v>
      </c>
      <c r="AB127" s="271">
        <f>'New Counts Pivot Table'!K$130</f>
        <v>0</v>
      </c>
      <c r="AC127" s="271">
        <f>'New Counts Pivot Table'!L$130</f>
        <v>0</v>
      </c>
      <c r="AD127" s="271">
        <f>'New Counts Pivot Table'!M$130</f>
        <v>0</v>
      </c>
      <c r="AE127" s="270">
        <f>'New Counts Pivot Table'!N$130</f>
        <v>0</v>
      </c>
      <c r="AF127" s="270">
        <f>'New Counts Pivot Table'!O$130</f>
        <v>0</v>
      </c>
      <c r="AG127" s="271">
        <f>'New Counts Pivot Table'!P$130</f>
        <v>0</v>
      </c>
      <c r="AH127" s="270">
        <f>'New Counts Pivot Table'!Q$130</f>
        <v>0</v>
      </c>
    </row>
    <row r="128" spans="1:36" s="280" customFormat="1" x14ac:dyDescent="0.25">
      <c r="A128" s="691"/>
      <c r="B128" s="272" t="s">
        <v>220</v>
      </c>
      <c r="C128" s="273">
        <f t="shared" si="132"/>
        <v>1</v>
      </c>
      <c r="D128" s="274">
        <f t="shared" si="133"/>
        <v>0</v>
      </c>
      <c r="E128" s="274">
        <f t="shared" si="133"/>
        <v>1</v>
      </c>
      <c r="F128" s="274">
        <f t="shared" si="133"/>
        <v>0</v>
      </c>
      <c r="G128" s="274">
        <f t="shared" si="133"/>
        <v>1</v>
      </c>
      <c r="H128" s="274">
        <f t="shared" si="133"/>
        <v>1</v>
      </c>
      <c r="I128" s="273">
        <f t="shared" si="134"/>
        <v>1</v>
      </c>
      <c r="J128" s="273">
        <f t="shared" si="135"/>
        <v>1</v>
      </c>
      <c r="K128" s="274">
        <f t="shared" si="135"/>
        <v>0</v>
      </c>
      <c r="L128" s="274">
        <f t="shared" si="135"/>
        <v>1</v>
      </c>
      <c r="M128" s="275">
        <f t="shared" si="135"/>
        <v>1</v>
      </c>
      <c r="N128" s="273">
        <f t="shared" si="136"/>
        <v>1</v>
      </c>
      <c r="O128" s="273">
        <f t="shared" si="137"/>
        <v>0</v>
      </c>
      <c r="P128" s="275">
        <f t="shared" si="137"/>
        <v>0</v>
      </c>
      <c r="Q128" s="686">
        <f t="shared" si="137"/>
        <v>0</v>
      </c>
      <c r="R128" s="276"/>
      <c r="S128" s="277">
        <f>'New Counts Pivot Table'!B$131</f>
        <v>1021</v>
      </c>
      <c r="T128" s="278">
        <f>'New Counts Pivot Table'!C$131</f>
        <v>0</v>
      </c>
      <c r="U128" s="278">
        <f>'New Counts Pivot Table'!D$131</f>
        <v>508</v>
      </c>
      <c r="V128" s="278">
        <f>'New Counts Pivot Table'!E$131</f>
        <v>0</v>
      </c>
      <c r="W128" s="278">
        <f>'New Counts Pivot Table'!F$131</f>
        <v>307</v>
      </c>
      <c r="X128" s="675">
        <f>'New Counts Pivot Table'!G$131</f>
        <v>609</v>
      </c>
      <c r="Y128" s="277">
        <f>'New Counts Pivot Table'!H$131</f>
        <v>2445</v>
      </c>
      <c r="Z128" s="277">
        <f>'New Counts Pivot Table'!I$131</f>
        <v>137</v>
      </c>
      <c r="AA128" s="278">
        <f>'New Counts Pivot Table'!J$131</f>
        <v>0</v>
      </c>
      <c r="AB128" s="278">
        <f>'New Counts Pivot Table'!K$131</f>
        <v>179</v>
      </c>
      <c r="AC128" s="278">
        <f>'New Counts Pivot Table'!L$131</f>
        <v>282</v>
      </c>
      <c r="AD128" s="278">
        <f>'New Counts Pivot Table'!M$131</f>
        <v>0</v>
      </c>
      <c r="AE128" s="277">
        <f>'New Counts Pivot Table'!N$131</f>
        <v>598</v>
      </c>
      <c r="AF128" s="277">
        <f>'New Counts Pivot Table'!O$131</f>
        <v>0</v>
      </c>
      <c r="AG128" s="278">
        <f>'New Counts Pivot Table'!P$131</f>
        <v>0</v>
      </c>
      <c r="AH128" s="277">
        <f>'New Counts Pivot Table'!Q$131</f>
        <v>0</v>
      </c>
      <c r="AI128" s="279"/>
      <c r="AJ128" s="279"/>
    </row>
    <row r="129" spans="17:17" x14ac:dyDescent="0.2">
      <c r="Q129" s="281"/>
    </row>
  </sheetData>
  <pageMargins left="0.7" right="0.7" top="0.75" bottom="0.75" header="0.3" footer="0.3"/>
  <pageSetup scale="90" firstPageNumber="192" orientation="landscape" useFirstPageNumber="1" r:id="rId1"/>
  <headerFooter>
    <oddHeader>&amp;R&amp;"Arial,Regular"&amp;8SREB-State Data Exchange</oddHeader>
    <oddFooter>&amp;C&amp;"Arial,Regular"&amp;8&amp;P&amp;R&amp;"Arial,Regular"&amp;8February 2014</oddFooter>
  </headerFooter>
  <rowBreaks count="5" manualBreakCount="5">
    <brk id="30" max="16" man="1"/>
    <brk id="51" max="16" man="1"/>
    <brk id="72" max="16" man="1"/>
    <brk id="93" max="16" man="1"/>
    <brk id="114"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J129"/>
  <sheetViews>
    <sheetView showZeros="0" view="pageBreakPreview" topLeftCell="A3" zoomScaleNormal="100" zoomScaleSheetLayoutView="100" workbookViewId="0">
      <selection activeCell="A3" sqref="A3"/>
    </sheetView>
  </sheetViews>
  <sheetFormatPr defaultColWidth="8.875" defaultRowHeight="15" x14ac:dyDescent="0.2"/>
  <cols>
    <col min="1" max="1" width="4.625" style="100" customWidth="1"/>
    <col min="2" max="2" width="15.625" style="229" customWidth="1"/>
    <col min="3" max="3" width="6.25" style="100" bestFit="1" customWidth="1"/>
    <col min="4" max="4" width="5.875" style="100" customWidth="1"/>
    <col min="5" max="5" width="5.75" style="100" customWidth="1"/>
    <col min="6" max="6" width="5.25" style="100" customWidth="1"/>
    <col min="7" max="7" width="5.75" style="100" customWidth="1"/>
    <col min="8" max="8" width="5.5" style="100" customWidth="1"/>
    <col min="9" max="9" width="5.5" style="100" bestFit="1" customWidth="1"/>
    <col min="10" max="10" width="5.875" style="100" customWidth="1"/>
    <col min="11" max="11" width="5.625" style="100" customWidth="1"/>
    <col min="12" max="13" width="6.25" style="100" customWidth="1"/>
    <col min="14" max="16" width="5.875" style="100" customWidth="1"/>
    <col min="17" max="17" width="6.625" style="229" customWidth="1"/>
    <col min="18" max="18" width="3.625" style="230" customWidth="1"/>
    <col min="19" max="24" width="7.25" style="218" customWidth="1"/>
    <col min="25" max="25" width="7.75" style="218" customWidth="1"/>
    <col min="26" max="26" width="6.75" style="218" customWidth="1"/>
    <col min="27" max="27" width="7.25" style="218" customWidth="1"/>
    <col min="28" max="28" width="8.125" style="218" customWidth="1"/>
    <col min="29" max="30" width="6.5" style="218" customWidth="1"/>
    <col min="31" max="31" width="7.75" style="218" customWidth="1"/>
    <col min="32" max="32" width="6.75" style="218" customWidth="1"/>
    <col min="33" max="33" width="7.875" style="218" customWidth="1"/>
    <col min="34" max="34" width="6.375" style="231" customWidth="1"/>
    <col min="35" max="35" width="5.375" style="218" customWidth="1"/>
    <col min="36" max="36" width="8.875" style="218" customWidth="1"/>
    <col min="37" max="16384" width="8.875" style="100"/>
  </cols>
  <sheetData>
    <row r="1" spans="1:36" customFormat="1" ht="15.75" x14ac:dyDescent="0.25">
      <c r="A1" s="101"/>
      <c r="B1" s="282"/>
      <c r="C1" s="282"/>
      <c r="D1" s="282"/>
      <c r="E1" s="282"/>
      <c r="F1" s="282"/>
      <c r="G1" s="282"/>
      <c r="H1" s="282"/>
      <c r="I1" s="282"/>
      <c r="J1" s="282"/>
      <c r="K1" s="282"/>
      <c r="L1" s="282"/>
      <c r="M1" s="282"/>
      <c r="N1" s="283"/>
      <c r="O1" s="283"/>
      <c r="P1" s="284"/>
      <c r="Q1" s="284"/>
      <c r="R1" s="109"/>
    </row>
    <row r="2" spans="1:36" ht="18" x14ac:dyDescent="0.25">
      <c r="A2" s="285" t="s">
        <v>255</v>
      </c>
      <c r="B2" s="286"/>
      <c r="C2" s="287"/>
      <c r="D2" s="287"/>
      <c r="E2" s="287"/>
      <c r="F2" s="287"/>
      <c r="G2" s="287"/>
      <c r="H2" s="287"/>
      <c r="I2" s="287"/>
      <c r="J2" s="287"/>
      <c r="K2" s="287"/>
      <c r="L2" s="287"/>
      <c r="M2" s="287"/>
      <c r="N2" s="287"/>
      <c r="O2" s="287"/>
      <c r="P2" s="287"/>
      <c r="Q2" s="286"/>
      <c r="R2" s="215" t="s">
        <v>7</v>
      </c>
      <c r="S2" s="216"/>
      <c r="T2" s="216"/>
      <c r="U2" s="216"/>
      <c r="V2" s="216"/>
      <c r="W2" s="216"/>
      <c r="X2" s="216"/>
      <c r="Y2" s="216"/>
      <c r="Z2" s="216"/>
      <c r="AA2" s="216"/>
      <c r="AB2" s="216"/>
      <c r="AC2" s="216"/>
      <c r="AD2" s="216"/>
      <c r="AE2" s="216"/>
      <c r="AF2" s="216"/>
      <c r="AG2" s="216"/>
      <c r="AH2" s="217"/>
    </row>
    <row r="3" spans="1:36" ht="18" x14ac:dyDescent="0.25">
      <c r="A3" s="288" t="s">
        <v>256</v>
      </c>
      <c r="B3" s="214"/>
      <c r="C3" s="213"/>
      <c r="D3" s="213"/>
      <c r="E3" s="213"/>
      <c r="F3" s="213"/>
      <c r="G3" s="213"/>
      <c r="H3" s="213"/>
      <c r="I3" s="213"/>
      <c r="J3" s="213"/>
      <c r="K3" s="213"/>
      <c r="L3" s="213"/>
      <c r="M3" s="213"/>
      <c r="N3" s="213"/>
      <c r="O3" s="213"/>
      <c r="P3" s="213"/>
      <c r="Q3" s="214"/>
      <c r="R3" s="215" t="s">
        <v>7</v>
      </c>
      <c r="S3" s="216"/>
      <c r="T3" s="216"/>
      <c r="U3" s="216"/>
      <c r="V3" s="216"/>
      <c r="W3" s="216"/>
      <c r="X3" s="216"/>
      <c r="Y3" s="216"/>
      <c r="Z3" s="216"/>
      <c r="AA3" s="216"/>
      <c r="AB3" s="216"/>
      <c r="AC3" s="216"/>
      <c r="AD3" s="216"/>
      <c r="AE3" s="216"/>
      <c r="AF3" s="216"/>
      <c r="AG3" s="216"/>
      <c r="AH3" s="217"/>
    </row>
    <row r="4" spans="1:36" s="226" customFormat="1" ht="18.75" customHeight="1" x14ac:dyDescent="0.3">
      <c r="A4" s="288" t="s">
        <v>257</v>
      </c>
      <c r="B4" s="220"/>
      <c r="C4" s="221"/>
      <c r="D4" s="221"/>
      <c r="E4" s="221"/>
      <c r="F4" s="221"/>
      <c r="G4" s="221"/>
      <c r="H4" s="221"/>
      <c r="I4" s="221"/>
      <c r="J4" s="221"/>
      <c r="K4" s="221"/>
      <c r="L4" s="221"/>
      <c r="M4" s="221"/>
      <c r="N4" s="221"/>
      <c r="O4" s="221"/>
      <c r="P4" s="221"/>
      <c r="Q4" s="220"/>
      <c r="R4" s="222" t="s">
        <v>7</v>
      </c>
      <c r="S4" s="223"/>
      <c r="T4" s="223"/>
      <c r="U4" s="223"/>
      <c r="V4" s="223"/>
      <c r="W4" s="223"/>
      <c r="X4" s="223"/>
      <c r="Y4" s="223"/>
      <c r="Z4" s="223"/>
      <c r="AA4" s="223"/>
      <c r="AB4" s="223"/>
      <c r="AC4" s="223"/>
      <c r="AD4" s="223"/>
      <c r="AE4" s="223"/>
      <c r="AF4" s="223"/>
      <c r="AG4" s="223"/>
      <c r="AH4" s="224"/>
      <c r="AI4" s="225"/>
      <c r="AJ4" s="225"/>
    </row>
    <row r="5" spans="1:36" s="226" customFormat="1" ht="15.75" customHeight="1" x14ac:dyDescent="0.3">
      <c r="A5" s="289" t="s">
        <v>258</v>
      </c>
      <c r="B5" s="220"/>
      <c r="C5" s="221"/>
      <c r="D5" s="680"/>
      <c r="E5" s="680"/>
      <c r="F5" s="680"/>
      <c r="G5" s="680"/>
      <c r="H5" s="680"/>
      <c r="I5" s="680"/>
      <c r="J5" s="680"/>
      <c r="K5" s="680"/>
      <c r="L5" s="680"/>
      <c r="M5" s="221"/>
      <c r="N5" s="221"/>
      <c r="O5" s="221"/>
      <c r="P5" s="221"/>
      <c r="Q5" s="220"/>
      <c r="R5" s="222" t="s">
        <v>7</v>
      </c>
      <c r="S5" s="227"/>
      <c r="T5" s="223"/>
      <c r="U5" s="223"/>
      <c r="V5" s="223"/>
      <c r="W5" s="223"/>
      <c r="X5" s="223"/>
      <c r="Y5" s="223"/>
      <c r="Z5" s="223"/>
      <c r="AA5" s="223"/>
      <c r="AB5" s="223"/>
      <c r="AC5" s="223"/>
      <c r="AD5" s="223"/>
      <c r="AE5" s="223"/>
      <c r="AF5" s="223"/>
      <c r="AG5" s="223"/>
      <c r="AH5" s="224"/>
      <c r="AI5" s="225"/>
      <c r="AJ5" s="225"/>
    </row>
    <row r="6" spans="1:36" ht="15.75" customHeight="1" x14ac:dyDescent="0.2">
      <c r="A6" s="228"/>
      <c r="R6" s="230" t="s">
        <v>7</v>
      </c>
    </row>
    <row r="7" spans="1:36" x14ac:dyDescent="0.2">
      <c r="A7" s="687"/>
      <c r="B7" s="232"/>
      <c r="C7" s="233" t="s">
        <v>259</v>
      </c>
      <c r="D7" s="234"/>
      <c r="E7" s="234"/>
      <c r="F7" s="234"/>
      <c r="G7" s="234"/>
      <c r="H7" s="234"/>
      <c r="I7" s="234"/>
      <c r="J7" s="234"/>
      <c r="K7" s="234"/>
      <c r="L7" s="234"/>
      <c r="M7" s="234"/>
      <c r="N7" s="234"/>
      <c r="O7" s="234"/>
      <c r="P7" s="234"/>
      <c r="Q7" s="682"/>
      <c r="R7" s="235"/>
      <c r="S7" s="233" t="s">
        <v>260</v>
      </c>
      <c r="T7" s="236"/>
      <c r="U7" s="236"/>
      <c r="V7" s="236"/>
      <c r="W7" s="236"/>
      <c r="X7" s="236"/>
      <c r="Y7" s="236"/>
      <c r="Z7" s="236"/>
      <c r="AA7" s="236"/>
      <c r="AB7" s="236"/>
      <c r="AC7" s="236"/>
      <c r="AD7" s="236"/>
      <c r="AE7" s="236"/>
      <c r="AF7" s="236"/>
      <c r="AG7" s="236"/>
      <c r="AH7" s="236"/>
    </row>
    <row r="8" spans="1:36" x14ac:dyDescent="0.2">
      <c r="A8" s="688"/>
      <c r="B8" s="237"/>
      <c r="C8" s="238" t="s">
        <v>261</v>
      </c>
      <c r="D8" s="239"/>
      <c r="E8" s="239"/>
      <c r="F8" s="239"/>
      <c r="G8" s="239"/>
      <c r="H8" s="239"/>
      <c r="I8" s="239"/>
      <c r="J8" s="240" t="s">
        <v>262</v>
      </c>
      <c r="K8" s="241"/>
      <c r="L8" s="241"/>
      <c r="M8" s="241"/>
      <c r="N8" s="242"/>
      <c r="O8" s="240" t="s">
        <v>263</v>
      </c>
      <c r="P8" s="241"/>
      <c r="Q8" s="683"/>
      <c r="S8" s="238" t="s">
        <v>261</v>
      </c>
      <c r="T8" s="243"/>
      <c r="U8" s="243"/>
      <c r="V8" s="243"/>
      <c r="W8" s="243"/>
      <c r="X8" s="243"/>
      <c r="Y8" s="243"/>
      <c r="Z8" s="244" t="s">
        <v>262</v>
      </c>
      <c r="AA8" s="245"/>
      <c r="AB8" s="245"/>
      <c r="AC8" s="245"/>
      <c r="AD8" s="245"/>
      <c r="AE8" s="243"/>
      <c r="AF8" s="244" t="s">
        <v>263</v>
      </c>
      <c r="AG8" s="245"/>
      <c r="AH8" s="243"/>
    </row>
    <row r="9" spans="1:36" ht="41.25" customHeight="1" x14ac:dyDescent="0.2">
      <c r="A9" s="689"/>
      <c r="B9" s="247"/>
      <c r="C9" s="248">
        <v>1</v>
      </c>
      <c r="D9" s="249">
        <v>2</v>
      </c>
      <c r="E9" s="249">
        <v>3</v>
      </c>
      <c r="F9" s="249">
        <v>4</v>
      </c>
      <c r="G9" s="249">
        <v>5</v>
      </c>
      <c r="H9" s="249">
        <v>6</v>
      </c>
      <c r="I9" s="250" t="s">
        <v>264</v>
      </c>
      <c r="J9" s="251" t="s">
        <v>265</v>
      </c>
      <c r="K9" s="249">
        <v>1</v>
      </c>
      <c r="L9" s="249">
        <v>2</v>
      </c>
      <c r="M9" s="249">
        <v>3</v>
      </c>
      <c r="N9" s="250" t="s">
        <v>266</v>
      </c>
      <c r="O9" s="251">
        <v>1</v>
      </c>
      <c r="P9" s="251">
        <v>2</v>
      </c>
      <c r="Q9" s="250" t="s">
        <v>169</v>
      </c>
      <c r="R9" s="252"/>
      <c r="S9" s="253">
        <v>1</v>
      </c>
      <c r="T9" s="254">
        <v>2</v>
      </c>
      <c r="U9" s="254">
        <v>3</v>
      </c>
      <c r="V9" s="254">
        <v>4</v>
      </c>
      <c r="W9" s="254">
        <v>5</v>
      </c>
      <c r="X9" s="254">
        <v>6</v>
      </c>
      <c r="Y9" s="255" t="s">
        <v>267</v>
      </c>
      <c r="Z9" s="256" t="s">
        <v>265</v>
      </c>
      <c r="AA9" s="254">
        <v>1</v>
      </c>
      <c r="AB9" s="254">
        <v>2</v>
      </c>
      <c r="AC9" s="254">
        <v>3</v>
      </c>
      <c r="AD9" s="256" t="s">
        <v>270</v>
      </c>
      <c r="AE9" s="255" t="s">
        <v>169</v>
      </c>
      <c r="AF9" s="256">
        <v>1</v>
      </c>
      <c r="AG9" s="256">
        <v>2</v>
      </c>
      <c r="AH9" s="257" t="s">
        <v>169</v>
      </c>
    </row>
    <row r="10" spans="1:36" x14ac:dyDescent="0.2">
      <c r="A10" s="692" t="s">
        <v>269</v>
      </c>
      <c r="B10" s="259" t="s">
        <v>3</v>
      </c>
      <c r="C10" s="260">
        <f t="shared" ref="C10:M16" si="0">S10/S$16</f>
        <v>0.32641501367989056</v>
      </c>
      <c r="D10" s="261">
        <f t="shared" si="0"/>
        <v>0.24227294341417024</v>
      </c>
      <c r="E10" s="261">
        <f t="shared" si="0"/>
        <v>0.24394457170753689</v>
      </c>
      <c r="F10" s="261">
        <f t="shared" si="0"/>
        <v>0.21463852716659182</v>
      </c>
      <c r="G10" s="261">
        <f t="shared" si="0"/>
        <v>0.20142421159715157</v>
      </c>
      <c r="H10" s="261">
        <f t="shared" si="0"/>
        <v>0.18449030644152595</v>
      </c>
      <c r="I10" s="260">
        <f t="shared" si="0"/>
        <v>0.27477390055505957</v>
      </c>
      <c r="J10" s="260">
        <f t="shared" si="0"/>
        <v>4.9136786188579015E-2</v>
      </c>
      <c r="K10" s="261">
        <f t="shared" si="0"/>
        <v>0.12051911857440831</v>
      </c>
      <c r="L10" s="261">
        <f t="shared" si="0"/>
        <v>9.439935064935065E-2</v>
      </c>
      <c r="M10" s="261">
        <f t="shared" si="0"/>
        <v>5.058905058905059E-2</v>
      </c>
      <c r="N10" s="260">
        <f t="shared" ref="N10:Q16" si="1">AE10/AE$16</f>
        <v>0.10439571323864424</v>
      </c>
      <c r="O10" s="260">
        <f t="shared" si="1"/>
        <v>2.8124093940272543E-2</v>
      </c>
      <c r="P10" s="261">
        <f t="shared" si="1"/>
        <v>0</v>
      </c>
      <c r="Q10" s="684">
        <f t="shared" si="1"/>
        <v>1.9897435897435898E-2</v>
      </c>
      <c r="R10" s="263"/>
      <c r="S10" s="264">
        <f>'Old Counts Pivot Table'!B$132</f>
        <v>15271</v>
      </c>
      <c r="T10" s="265">
        <f>'Old Counts Pivot Table'!C$132</f>
        <v>3057</v>
      </c>
      <c r="U10" s="265">
        <f>'Old Counts Pivot Table'!D$132</f>
        <v>6496</v>
      </c>
      <c r="V10" s="265">
        <f>'Old Counts Pivot Table'!E$132</f>
        <v>1912</v>
      </c>
      <c r="W10" s="265">
        <f>'Old Counts Pivot Table'!F$132</f>
        <v>990</v>
      </c>
      <c r="X10" s="673">
        <f>'Old Counts Pivot Table'!G$132</f>
        <v>590</v>
      </c>
      <c r="Y10" s="264">
        <f>'Old Counts Pivot Table'!H$132</f>
        <v>28316</v>
      </c>
      <c r="Z10" s="264">
        <f>'Old Counts Pivot Table'!I$132</f>
        <v>185</v>
      </c>
      <c r="AA10" s="265">
        <f>'Old Counts Pivot Table'!J$132</f>
        <v>2733</v>
      </c>
      <c r="AB10" s="265">
        <f>'Old Counts Pivot Table'!K$132</f>
        <v>1163</v>
      </c>
      <c r="AC10" s="265">
        <f>'Old Counts Pivot Table'!L$132</f>
        <v>219</v>
      </c>
      <c r="AD10" s="265">
        <f>'Old Counts Pivot Table'!M$132</f>
        <v>443</v>
      </c>
      <c r="AE10" s="264">
        <f>'Old Counts Pivot Table'!N$132</f>
        <v>4743</v>
      </c>
      <c r="AF10" s="264">
        <f>'Old Counts Pivot Table'!O$132</f>
        <v>97</v>
      </c>
      <c r="AG10" s="265">
        <f>'Old Counts Pivot Table'!P$132</f>
        <v>0</v>
      </c>
      <c r="AH10" s="264">
        <f>'Old Counts Pivot Table'!Q$132</f>
        <v>97</v>
      </c>
    </row>
    <row r="11" spans="1:36" x14ac:dyDescent="0.2">
      <c r="A11" s="690"/>
      <c r="B11" s="258" t="s">
        <v>4</v>
      </c>
      <c r="C11" s="266">
        <f t="shared" si="0"/>
        <v>0.26823272913816687</v>
      </c>
      <c r="D11" s="267">
        <f t="shared" si="0"/>
        <v>0.28356316373434776</v>
      </c>
      <c r="E11" s="267">
        <f t="shared" si="0"/>
        <v>0.25584888655225507</v>
      </c>
      <c r="F11" s="267">
        <f t="shared" si="0"/>
        <v>0.25830713964975305</v>
      </c>
      <c r="G11" s="267">
        <f t="shared" si="0"/>
        <v>0.26002034587995931</v>
      </c>
      <c r="H11" s="267">
        <f t="shared" si="0"/>
        <v>0.25328330206378985</v>
      </c>
      <c r="I11" s="266">
        <f t="shared" si="0"/>
        <v>0.2651962116213174</v>
      </c>
      <c r="J11" s="266">
        <f t="shared" si="0"/>
        <v>5.790172642762284E-2</v>
      </c>
      <c r="K11" s="267">
        <f t="shared" si="0"/>
        <v>0.10186577530438463</v>
      </c>
      <c r="L11" s="267">
        <f t="shared" si="0"/>
        <v>9.7646103896103897E-2</v>
      </c>
      <c r="M11" s="267">
        <f t="shared" si="0"/>
        <v>4.8048048048048048E-2</v>
      </c>
      <c r="N11" s="266">
        <f t="shared" si="1"/>
        <v>0.10208461269256419</v>
      </c>
      <c r="O11" s="266">
        <f t="shared" si="1"/>
        <v>1.7396346767178893E-2</v>
      </c>
      <c r="P11" s="267">
        <f t="shared" si="1"/>
        <v>0</v>
      </c>
      <c r="Q11" s="685">
        <f t="shared" si="1"/>
        <v>1.2307692307692308E-2</v>
      </c>
      <c r="R11" s="269"/>
      <c r="S11" s="270">
        <f>'Old Counts Pivot Table'!B$133</f>
        <v>12549</v>
      </c>
      <c r="T11" s="271">
        <f>'Old Counts Pivot Table'!C$133</f>
        <v>3578</v>
      </c>
      <c r="U11" s="271">
        <f>'Old Counts Pivot Table'!D$133</f>
        <v>6813</v>
      </c>
      <c r="V11" s="271">
        <f>'Old Counts Pivot Table'!E$133</f>
        <v>2301</v>
      </c>
      <c r="W11" s="271">
        <f>'Old Counts Pivot Table'!F$133</f>
        <v>1278</v>
      </c>
      <c r="X11" s="674">
        <f>'Old Counts Pivot Table'!G$133</f>
        <v>810</v>
      </c>
      <c r="Y11" s="270">
        <f>'Old Counts Pivot Table'!H$133</f>
        <v>27329</v>
      </c>
      <c r="Z11" s="270">
        <f>'Old Counts Pivot Table'!I$133</f>
        <v>218</v>
      </c>
      <c r="AA11" s="271">
        <f>'Old Counts Pivot Table'!J$133</f>
        <v>2310</v>
      </c>
      <c r="AB11" s="271">
        <f>'Old Counts Pivot Table'!K$133</f>
        <v>1203</v>
      </c>
      <c r="AC11" s="271">
        <f>'Old Counts Pivot Table'!L$133</f>
        <v>208</v>
      </c>
      <c r="AD11" s="271">
        <f>'Old Counts Pivot Table'!M$133</f>
        <v>699</v>
      </c>
      <c r="AE11" s="270">
        <f>'Old Counts Pivot Table'!N$133</f>
        <v>4638</v>
      </c>
      <c r="AF11" s="270">
        <f>'Old Counts Pivot Table'!O$133</f>
        <v>60</v>
      </c>
      <c r="AG11" s="271">
        <f>'Old Counts Pivot Table'!P$133</f>
        <v>0</v>
      </c>
      <c r="AH11" s="270">
        <f>'Old Counts Pivot Table'!Q$133</f>
        <v>60</v>
      </c>
    </row>
    <row r="12" spans="1:36" x14ac:dyDescent="0.2">
      <c r="A12" s="690"/>
      <c r="B12" s="258" t="s">
        <v>5</v>
      </c>
      <c r="C12" s="266">
        <f t="shared" si="0"/>
        <v>0.22988628590971272</v>
      </c>
      <c r="D12" s="267">
        <f t="shared" si="0"/>
        <v>0.24964336661911554</v>
      </c>
      <c r="E12" s="267">
        <f t="shared" si="0"/>
        <v>0.29051034586353225</v>
      </c>
      <c r="F12" s="267">
        <f t="shared" si="0"/>
        <v>0.34003143242029638</v>
      </c>
      <c r="G12" s="267">
        <f t="shared" si="0"/>
        <v>0.32004069175991862</v>
      </c>
      <c r="H12" s="267">
        <f t="shared" si="0"/>
        <v>0.3608505315822389</v>
      </c>
      <c r="I12" s="266">
        <f t="shared" si="0"/>
        <v>0.26585607266234523</v>
      </c>
      <c r="J12" s="266">
        <f t="shared" si="0"/>
        <v>7.8353253652058433E-2</v>
      </c>
      <c r="K12" s="267">
        <f t="shared" si="0"/>
        <v>7.7964801185347196E-2</v>
      </c>
      <c r="L12" s="267">
        <f t="shared" si="0"/>
        <v>9.4318181818181815E-2</v>
      </c>
      <c r="M12" s="267">
        <f t="shared" si="0"/>
        <v>7.7847077847077853E-2</v>
      </c>
      <c r="N12" s="266">
        <f t="shared" si="1"/>
        <v>9.3324441098851268E-2</v>
      </c>
      <c r="O12" s="266">
        <f t="shared" si="1"/>
        <v>2.2035372571759932E-2</v>
      </c>
      <c r="P12" s="267">
        <f t="shared" si="1"/>
        <v>0</v>
      </c>
      <c r="Q12" s="685">
        <f t="shared" si="1"/>
        <v>1.558974358974359E-2</v>
      </c>
      <c r="R12" s="269"/>
      <c r="S12" s="270">
        <f>'Old Counts Pivot Table'!B$134</f>
        <v>10755</v>
      </c>
      <c r="T12" s="271">
        <f>'Old Counts Pivot Table'!C$134</f>
        <v>3150</v>
      </c>
      <c r="U12" s="271">
        <f>'Old Counts Pivot Table'!D$134</f>
        <v>7736</v>
      </c>
      <c r="V12" s="271">
        <f>'Old Counts Pivot Table'!E$134</f>
        <v>3029</v>
      </c>
      <c r="W12" s="271">
        <f>'Old Counts Pivot Table'!F$134</f>
        <v>1573</v>
      </c>
      <c r="X12" s="674">
        <f>'Old Counts Pivot Table'!G$134</f>
        <v>1154</v>
      </c>
      <c r="Y12" s="270">
        <f>'Old Counts Pivot Table'!H$134</f>
        <v>27397</v>
      </c>
      <c r="Z12" s="270">
        <f>'Old Counts Pivot Table'!I$134</f>
        <v>295</v>
      </c>
      <c r="AA12" s="271">
        <f>'Old Counts Pivot Table'!J$134</f>
        <v>1768</v>
      </c>
      <c r="AB12" s="271">
        <f>'Old Counts Pivot Table'!K$134</f>
        <v>1162</v>
      </c>
      <c r="AC12" s="271">
        <f>'Old Counts Pivot Table'!L$134</f>
        <v>337</v>
      </c>
      <c r="AD12" s="271">
        <f>'Old Counts Pivot Table'!M$134</f>
        <v>678</v>
      </c>
      <c r="AE12" s="270">
        <f>'Old Counts Pivot Table'!N$134</f>
        <v>4240</v>
      </c>
      <c r="AF12" s="270">
        <f>'Old Counts Pivot Table'!O$134</f>
        <v>76</v>
      </c>
      <c r="AG12" s="271">
        <f>'Old Counts Pivot Table'!P$134</f>
        <v>0</v>
      </c>
      <c r="AH12" s="270">
        <f>'Old Counts Pivot Table'!Q$134</f>
        <v>76</v>
      </c>
    </row>
    <row r="13" spans="1:36" x14ac:dyDescent="0.2">
      <c r="A13" s="690"/>
      <c r="B13" s="258" t="s">
        <v>6</v>
      </c>
      <c r="C13" s="266">
        <f t="shared" si="0"/>
        <v>7.1092681258549936E-2</v>
      </c>
      <c r="D13" s="267">
        <f t="shared" si="0"/>
        <v>8.9792360120462836E-2</v>
      </c>
      <c r="E13" s="267">
        <f t="shared" si="0"/>
        <v>0.10984265274700515</v>
      </c>
      <c r="F13" s="267">
        <f t="shared" si="0"/>
        <v>0.11338123035473731</v>
      </c>
      <c r="G13" s="267">
        <f t="shared" si="0"/>
        <v>0.11922685656154629</v>
      </c>
      <c r="H13" s="267">
        <f t="shared" si="0"/>
        <v>0.14915572232645402</v>
      </c>
      <c r="I13" s="266">
        <f t="shared" si="0"/>
        <v>9.1769203897061682E-2</v>
      </c>
      <c r="J13" s="266">
        <f t="shared" si="0"/>
        <v>0.15112881806108897</v>
      </c>
      <c r="K13" s="267">
        <f t="shared" si="0"/>
        <v>0.15341603129175505</v>
      </c>
      <c r="L13" s="267">
        <f t="shared" si="0"/>
        <v>0.16866883116883116</v>
      </c>
      <c r="M13" s="267">
        <f t="shared" si="0"/>
        <v>0.15823515823515824</v>
      </c>
      <c r="N13" s="266">
        <f t="shared" si="1"/>
        <v>0.16135883907916951</v>
      </c>
      <c r="O13" s="266">
        <f t="shared" si="1"/>
        <v>0.15540736445346479</v>
      </c>
      <c r="P13" s="267">
        <f t="shared" si="1"/>
        <v>0</v>
      </c>
      <c r="Q13" s="685">
        <f t="shared" si="1"/>
        <v>0.10994871794871795</v>
      </c>
      <c r="R13" s="269"/>
      <c r="S13" s="270">
        <f>'Old Counts Pivot Table'!B$135</f>
        <v>3326</v>
      </c>
      <c r="T13" s="271">
        <f>'Old Counts Pivot Table'!C$135</f>
        <v>1133</v>
      </c>
      <c r="U13" s="271">
        <f>'Old Counts Pivot Table'!D$135</f>
        <v>2925</v>
      </c>
      <c r="V13" s="271">
        <f>'Old Counts Pivot Table'!E$135</f>
        <v>1010</v>
      </c>
      <c r="W13" s="271">
        <f>'Old Counts Pivot Table'!F$135</f>
        <v>586</v>
      </c>
      <c r="X13" s="674">
        <f>'Old Counts Pivot Table'!G$135</f>
        <v>477</v>
      </c>
      <c r="Y13" s="270">
        <f>'Old Counts Pivot Table'!H$135</f>
        <v>9457</v>
      </c>
      <c r="Z13" s="270">
        <f>'Old Counts Pivot Table'!I$135</f>
        <v>569</v>
      </c>
      <c r="AA13" s="271">
        <f>'Old Counts Pivot Table'!J$135</f>
        <v>3479</v>
      </c>
      <c r="AB13" s="271">
        <f>'Old Counts Pivot Table'!K$135</f>
        <v>2078</v>
      </c>
      <c r="AC13" s="271">
        <f>'Old Counts Pivot Table'!L$135</f>
        <v>685</v>
      </c>
      <c r="AD13" s="271">
        <f>'Old Counts Pivot Table'!M$135</f>
        <v>520</v>
      </c>
      <c r="AE13" s="270">
        <f>'Old Counts Pivot Table'!N$135</f>
        <v>7331</v>
      </c>
      <c r="AF13" s="270">
        <f>'Old Counts Pivot Table'!O$135</f>
        <v>536</v>
      </c>
      <c r="AG13" s="271">
        <f>'Old Counts Pivot Table'!P$135</f>
        <v>0</v>
      </c>
      <c r="AH13" s="270">
        <f>'Old Counts Pivot Table'!Q$135</f>
        <v>536</v>
      </c>
    </row>
    <row r="14" spans="1:36" x14ac:dyDescent="0.2">
      <c r="A14" s="690"/>
      <c r="B14" s="258" t="s">
        <v>26</v>
      </c>
      <c r="C14" s="266">
        <f t="shared" si="0"/>
        <v>0.10437329001367988</v>
      </c>
      <c r="D14" s="267">
        <f t="shared" si="0"/>
        <v>0.13472816611190364</v>
      </c>
      <c r="E14" s="267">
        <f t="shared" si="0"/>
        <v>9.9853543129670666E-2</v>
      </c>
      <c r="F14" s="267">
        <f t="shared" si="0"/>
        <v>7.3641670408621462E-2</v>
      </c>
      <c r="G14" s="267">
        <f t="shared" si="0"/>
        <v>9.9287894201424212E-2</v>
      </c>
      <c r="H14" s="267">
        <f t="shared" si="0"/>
        <v>5.2220137585991241E-2</v>
      </c>
      <c r="I14" s="266">
        <f t="shared" si="0"/>
        <v>0.10240461126421613</v>
      </c>
      <c r="J14" s="266">
        <f t="shared" si="0"/>
        <v>1.2217795484727756E-2</v>
      </c>
      <c r="K14" s="267">
        <f t="shared" si="0"/>
        <v>6.9586230922215997E-2</v>
      </c>
      <c r="L14" s="267">
        <f t="shared" si="0"/>
        <v>4.1801948051948049E-2</v>
      </c>
      <c r="M14" s="267">
        <f t="shared" si="0"/>
        <v>3.9270039270039268E-2</v>
      </c>
      <c r="N14" s="266">
        <f t="shared" si="1"/>
        <v>5.0866222495152193E-2</v>
      </c>
      <c r="O14" s="266">
        <f t="shared" si="1"/>
        <v>2.319512902290519E-2</v>
      </c>
      <c r="P14" s="267">
        <f t="shared" si="1"/>
        <v>0</v>
      </c>
      <c r="Q14" s="685">
        <f t="shared" si="1"/>
        <v>1.641025641025641E-2</v>
      </c>
      <c r="R14" s="269"/>
      <c r="S14" s="270">
        <f>'Old Counts Pivot Table'!B$136</f>
        <v>4883</v>
      </c>
      <c r="T14" s="271">
        <f>'Old Counts Pivot Table'!C$136</f>
        <v>1700</v>
      </c>
      <c r="U14" s="271">
        <f>'Old Counts Pivot Table'!D$136</f>
        <v>2659</v>
      </c>
      <c r="V14" s="271">
        <f>'Old Counts Pivot Table'!E$136</f>
        <v>656</v>
      </c>
      <c r="W14" s="271">
        <f>'Old Counts Pivot Table'!F$136</f>
        <v>488</v>
      </c>
      <c r="X14" s="674">
        <f>'Old Counts Pivot Table'!G$136</f>
        <v>167</v>
      </c>
      <c r="Y14" s="270">
        <f>'Old Counts Pivot Table'!H$136</f>
        <v>10553</v>
      </c>
      <c r="Z14" s="270">
        <f>'Old Counts Pivot Table'!I$136</f>
        <v>46</v>
      </c>
      <c r="AA14" s="271">
        <f>'Old Counts Pivot Table'!J$136</f>
        <v>1578</v>
      </c>
      <c r="AB14" s="271">
        <f>'Old Counts Pivot Table'!K$136</f>
        <v>515</v>
      </c>
      <c r="AC14" s="271">
        <f>'Old Counts Pivot Table'!L$136</f>
        <v>170</v>
      </c>
      <c r="AD14" s="271">
        <f>'Old Counts Pivot Table'!M$136</f>
        <v>2</v>
      </c>
      <c r="AE14" s="270">
        <f>'Old Counts Pivot Table'!N$136</f>
        <v>2311</v>
      </c>
      <c r="AF14" s="270">
        <f>'Old Counts Pivot Table'!O$136</f>
        <v>80</v>
      </c>
      <c r="AG14" s="271">
        <f>'Old Counts Pivot Table'!P$136</f>
        <v>0</v>
      </c>
      <c r="AH14" s="270">
        <f>'Old Counts Pivot Table'!Q$136</f>
        <v>80</v>
      </c>
    </row>
    <row r="15" spans="1:36" x14ac:dyDescent="0.2">
      <c r="A15" s="690"/>
      <c r="B15" s="258" t="s">
        <v>23</v>
      </c>
      <c r="C15" s="266">
        <f t="shared" si="0"/>
        <v>0</v>
      </c>
      <c r="D15" s="267">
        <f t="shared" si="0"/>
        <v>0</v>
      </c>
      <c r="E15" s="267">
        <f t="shared" si="0"/>
        <v>0</v>
      </c>
      <c r="F15" s="267">
        <f t="shared" si="0"/>
        <v>0</v>
      </c>
      <c r="G15" s="267">
        <f t="shared" si="0"/>
        <v>0</v>
      </c>
      <c r="H15" s="267">
        <f t="shared" si="0"/>
        <v>0</v>
      </c>
      <c r="I15" s="266">
        <f t="shared" si="0"/>
        <v>0</v>
      </c>
      <c r="J15" s="266">
        <f t="shared" si="0"/>
        <v>0.65126162018592293</v>
      </c>
      <c r="K15" s="267">
        <f t="shared" si="0"/>
        <v>0.47664804272188876</v>
      </c>
      <c r="L15" s="267">
        <f t="shared" si="0"/>
        <v>0.50316558441558445</v>
      </c>
      <c r="M15" s="267">
        <f t="shared" si="0"/>
        <v>0.62601062601062596</v>
      </c>
      <c r="N15" s="266">
        <f t="shared" si="1"/>
        <v>0.4879701713956186</v>
      </c>
      <c r="O15" s="266">
        <f t="shared" si="1"/>
        <v>0.75384169324441863</v>
      </c>
      <c r="P15" s="267">
        <f t="shared" si="1"/>
        <v>1</v>
      </c>
      <c r="Q15" s="685">
        <f t="shared" si="1"/>
        <v>0.8258461538461539</v>
      </c>
      <c r="R15" s="269"/>
      <c r="S15" s="270">
        <f>'Old Counts Pivot Table'!B$137</f>
        <v>0</v>
      </c>
      <c r="T15" s="271">
        <f>'Old Counts Pivot Table'!C$137</f>
        <v>0</v>
      </c>
      <c r="U15" s="271">
        <f>'Old Counts Pivot Table'!D$137</f>
        <v>0</v>
      </c>
      <c r="V15" s="271">
        <f>'Old Counts Pivot Table'!E$137</f>
        <v>0</v>
      </c>
      <c r="W15" s="271">
        <f>'Old Counts Pivot Table'!F$137</f>
        <v>0</v>
      </c>
      <c r="X15" s="674">
        <f>'Old Counts Pivot Table'!G$137</f>
        <v>0</v>
      </c>
      <c r="Y15" s="270">
        <f>'Old Counts Pivot Table'!H$137</f>
        <v>0</v>
      </c>
      <c r="Z15" s="270">
        <f>'Old Counts Pivot Table'!I$137</f>
        <v>2452</v>
      </c>
      <c r="AA15" s="271">
        <f>'Old Counts Pivot Table'!J$137</f>
        <v>10808.9</v>
      </c>
      <c r="AB15" s="271">
        <f>'Old Counts Pivot Table'!K$137</f>
        <v>6199</v>
      </c>
      <c r="AC15" s="271">
        <f>'Old Counts Pivot Table'!L$137</f>
        <v>2710</v>
      </c>
      <c r="AD15" s="271">
        <f>'Old Counts Pivot Table'!M$137</f>
        <v>0</v>
      </c>
      <c r="AE15" s="270">
        <f>'Old Counts Pivot Table'!N$137</f>
        <v>22169.9</v>
      </c>
      <c r="AF15" s="270">
        <f>'Old Counts Pivot Table'!O$137</f>
        <v>2600</v>
      </c>
      <c r="AG15" s="271">
        <f>'Old Counts Pivot Table'!P$137</f>
        <v>1426</v>
      </c>
      <c r="AH15" s="270">
        <f>'Old Counts Pivot Table'!Q$137</f>
        <v>4026</v>
      </c>
    </row>
    <row r="16" spans="1:36" s="280" customFormat="1" x14ac:dyDescent="0.25">
      <c r="A16" s="691" t="s">
        <v>7</v>
      </c>
      <c r="B16" s="272" t="s">
        <v>220</v>
      </c>
      <c r="C16" s="273">
        <f t="shared" si="0"/>
        <v>1</v>
      </c>
      <c r="D16" s="274">
        <f t="shared" si="0"/>
        <v>1</v>
      </c>
      <c r="E16" s="274">
        <f t="shared" si="0"/>
        <v>1</v>
      </c>
      <c r="F16" s="274">
        <f t="shared" si="0"/>
        <v>1</v>
      </c>
      <c r="G16" s="274">
        <f t="shared" si="0"/>
        <v>1</v>
      </c>
      <c r="H16" s="274">
        <f t="shared" si="0"/>
        <v>1</v>
      </c>
      <c r="I16" s="273">
        <f t="shared" si="0"/>
        <v>1</v>
      </c>
      <c r="J16" s="273">
        <f t="shared" si="0"/>
        <v>1</v>
      </c>
      <c r="K16" s="274">
        <f t="shared" si="0"/>
        <v>1</v>
      </c>
      <c r="L16" s="274">
        <f t="shared" si="0"/>
        <v>1</v>
      </c>
      <c r="M16" s="274">
        <f t="shared" si="0"/>
        <v>1</v>
      </c>
      <c r="N16" s="273">
        <f t="shared" si="1"/>
        <v>1</v>
      </c>
      <c r="O16" s="273">
        <f t="shared" si="1"/>
        <v>1</v>
      </c>
      <c r="P16" s="274">
        <f t="shared" si="1"/>
        <v>1</v>
      </c>
      <c r="Q16" s="686">
        <f t="shared" si="1"/>
        <v>1</v>
      </c>
      <c r="R16" s="276"/>
      <c r="S16" s="277">
        <f>'Old Counts Pivot Table'!B$138</f>
        <v>46784</v>
      </c>
      <c r="T16" s="278">
        <f>'Old Counts Pivot Table'!C$138</f>
        <v>12618</v>
      </c>
      <c r="U16" s="278">
        <f>'Old Counts Pivot Table'!D$138</f>
        <v>26629</v>
      </c>
      <c r="V16" s="278">
        <f>'Old Counts Pivot Table'!E$138</f>
        <v>8908</v>
      </c>
      <c r="W16" s="278">
        <f>'Old Counts Pivot Table'!F$138</f>
        <v>4915</v>
      </c>
      <c r="X16" s="675">
        <f>'Old Counts Pivot Table'!G$138</f>
        <v>3198</v>
      </c>
      <c r="Y16" s="277">
        <f>'Old Counts Pivot Table'!H$138</f>
        <v>103052</v>
      </c>
      <c r="Z16" s="277">
        <f>'Old Counts Pivot Table'!I$138</f>
        <v>3765</v>
      </c>
      <c r="AA16" s="278">
        <f>'Old Counts Pivot Table'!J$138</f>
        <v>22676.9</v>
      </c>
      <c r="AB16" s="278">
        <f>'Old Counts Pivot Table'!K$138</f>
        <v>12320</v>
      </c>
      <c r="AC16" s="278">
        <f>'Old Counts Pivot Table'!L$138</f>
        <v>4329</v>
      </c>
      <c r="AD16" s="278">
        <f>'Old Counts Pivot Table'!M$138</f>
        <v>2342</v>
      </c>
      <c r="AE16" s="277">
        <f>'Old Counts Pivot Table'!N$138</f>
        <v>45432.9</v>
      </c>
      <c r="AF16" s="277">
        <f>'Old Counts Pivot Table'!O$138</f>
        <v>3449</v>
      </c>
      <c r="AG16" s="278">
        <f>'Old Counts Pivot Table'!P$138</f>
        <v>1426</v>
      </c>
      <c r="AH16" s="277">
        <f>'Old Counts Pivot Table'!Q$138</f>
        <v>4875</v>
      </c>
      <c r="AI16" s="279"/>
      <c r="AJ16" s="279"/>
    </row>
    <row r="17" spans="1:36" x14ac:dyDescent="0.2">
      <c r="A17" s="692" t="s">
        <v>31</v>
      </c>
      <c r="B17" s="259" t="s">
        <v>3</v>
      </c>
      <c r="C17" s="260">
        <f t="shared" ref="C17:I23" si="2">S17/S$23</f>
        <v>0.32581453634085211</v>
      </c>
      <c r="D17" s="261">
        <f t="shared" si="2"/>
        <v>0.25561312607944731</v>
      </c>
      <c r="E17" s="261">
        <f t="shared" si="2"/>
        <v>0.20671494404213298</v>
      </c>
      <c r="F17" s="261">
        <f t="shared" si="2"/>
        <v>0.28862973760932947</v>
      </c>
      <c r="G17" s="261">
        <f t="shared" si="2"/>
        <v>0.189873417721519</v>
      </c>
      <c r="H17" s="261">
        <f t="shared" si="2"/>
        <v>0.23529411764705882</v>
      </c>
      <c r="I17" s="260">
        <f t="shared" si="2"/>
        <v>0.27191972363875638</v>
      </c>
      <c r="J17" s="260">
        <f t="shared" ref="J17:J23" si="3">IFERROR(Z17/Z$23,0)</f>
        <v>0</v>
      </c>
      <c r="K17" s="261">
        <f t="shared" ref="K17:M23" si="4">AA17/AA$23</f>
        <v>0</v>
      </c>
      <c r="L17" s="261">
        <f t="shared" si="4"/>
        <v>0</v>
      </c>
      <c r="M17" s="261">
        <f t="shared" si="4"/>
        <v>0</v>
      </c>
      <c r="N17" s="260">
        <f t="shared" ref="N17:Q23" si="5">AE17/AE$23</f>
        <v>0</v>
      </c>
      <c r="O17" s="260">
        <f t="shared" si="5"/>
        <v>0</v>
      </c>
      <c r="P17" s="261">
        <f t="shared" si="5"/>
        <v>0</v>
      </c>
      <c r="Q17" s="684">
        <f t="shared" si="5"/>
        <v>0</v>
      </c>
      <c r="R17" s="263"/>
      <c r="S17" s="264">
        <f>'Old Counts Pivot Table'!B$5</f>
        <v>780</v>
      </c>
      <c r="T17" s="265">
        <f>'Old Counts Pivot Table'!C$5</f>
        <v>296</v>
      </c>
      <c r="U17" s="265">
        <f>'Old Counts Pivot Table'!D$5</f>
        <v>314</v>
      </c>
      <c r="V17" s="265">
        <f>'Old Counts Pivot Table'!E$5</f>
        <v>198</v>
      </c>
      <c r="W17" s="265">
        <f>'Old Counts Pivot Table'!F$5</f>
        <v>45</v>
      </c>
      <c r="X17" s="673">
        <f>'Old Counts Pivot Table'!G$5</f>
        <v>20</v>
      </c>
      <c r="Y17" s="264">
        <f>'Old Counts Pivot Table'!H$5</f>
        <v>1653</v>
      </c>
      <c r="Z17" s="264">
        <f>'Old Counts Pivot Table'!I$5</f>
        <v>0</v>
      </c>
      <c r="AA17" s="265">
        <f>'Old Counts Pivot Table'!J$5</f>
        <v>0</v>
      </c>
      <c r="AB17" s="265">
        <f>'Old Counts Pivot Table'!K$5</f>
        <v>0</v>
      </c>
      <c r="AC17" s="265">
        <f>'Old Counts Pivot Table'!L$5</f>
        <v>0</v>
      </c>
      <c r="AD17" s="265">
        <f>'Old Counts Pivot Table'!M$5</f>
        <v>0</v>
      </c>
      <c r="AE17" s="264">
        <f>'Old Counts Pivot Table'!N$5</f>
        <v>0</v>
      </c>
      <c r="AF17" s="264">
        <f>'Old Counts Pivot Table'!O$5</f>
        <v>0</v>
      </c>
      <c r="AG17" s="265">
        <f>'Old Counts Pivot Table'!P$5</f>
        <v>0</v>
      </c>
      <c r="AH17" s="264">
        <f>'Old Counts Pivot Table'!Q$5</f>
        <v>0</v>
      </c>
    </row>
    <row r="18" spans="1:36" x14ac:dyDescent="0.2">
      <c r="A18" s="690"/>
      <c r="B18" s="258" t="s">
        <v>4</v>
      </c>
      <c r="C18" s="266">
        <f t="shared" si="2"/>
        <v>0.27736006683375103</v>
      </c>
      <c r="D18" s="267">
        <f t="shared" si="2"/>
        <v>0.29015544041450775</v>
      </c>
      <c r="E18" s="267">
        <f t="shared" si="2"/>
        <v>0.24094799210006584</v>
      </c>
      <c r="F18" s="267">
        <f t="shared" si="2"/>
        <v>0.24781341107871721</v>
      </c>
      <c r="G18" s="267">
        <f t="shared" si="2"/>
        <v>0.27004219409282698</v>
      </c>
      <c r="H18" s="267">
        <f t="shared" si="2"/>
        <v>0.27058823529411763</v>
      </c>
      <c r="I18" s="266">
        <f t="shared" si="2"/>
        <v>0.26698470143115643</v>
      </c>
      <c r="J18" s="266">
        <f t="shared" si="3"/>
        <v>0</v>
      </c>
      <c r="K18" s="267">
        <f t="shared" si="4"/>
        <v>0</v>
      </c>
      <c r="L18" s="267">
        <f t="shared" si="4"/>
        <v>0</v>
      </c>
      <c r="M18" s="267">
        <f t="shared" si="4"/>
        <v>0</v>
      </c>
      <c r="N18" s="266">
        <f t="shared" si="5"/>
        <v>0</v>
      </c>
      <c r="O18" s="266">
        <f t="shared" si="5"/>
        <v>0</v>
      </c>
      <c r="P18" s="267">
        <f t="shared" si="5"/>
        <v>0</v>
      </c>
      <c r="Q18" s="685">
        <f t="shared" si="5"/>
        <v>0</v>
      </c>
      <c r="R18" s="269"/>
      <c r="S18" s="270">
        <f>'Old Counts Pivot Table'!B$6</f>
        <v>664</v>
      </c>
      <c r="T18" s="271">
        <f>'Old Counts Pivot Table'!C$6</f>
        <v>336</v>
      </c>
      <c r="U18" s="271">
        <f>'Old Counts Pivot Table'!D$6</f>
        <v>366</v>
      </c>
      <c r="V18" s="271">
        <f>'Old Counts Pivot Table'!E$6</f>
        <v>170</v>
      </c>
      <c r="W18" s="271">
        <f>'Old Counts Pivot Table'!F$6</f>
        <v>64</v>
      </c>
      <c r="X18" s="674">
        <f>'Old Counts Pivot Table'!G$6</f>
        <v>23</v>
      </c>
      <c r="Y18" s="270">
        <f>'Old Counts Pivot Table'!H$6</f>
        <v>1623</v>
      </c>
      <c r="Z18" s="270">
        <f>'Old Counts Pivot Table'!I$6</f>
        <v>0</v>
      </c>
      <c r="AA18" s="271">
        <f>'Old Counts Pivot Table'!J$6</f>
        <v>0</v>
      </c>
      <c r="AB18" s="271">
        <f>'Old Counts Pivot Table'!K$6</f>
        <v>0</v>
      </c>
      <c r="AC18" s="271">
        <f>'Old Counts Pivot Table'!L$6</f>
        <v>0</v>
      </c>
      <c r="AD18" s="271">
        <f>'Old Counts Pivot Table'!M$6</f>
        <v>0</v>
      </c>
      <c r="AE18" s="270">
        <f>'Old Counts Pivot Table'!N$6</f>
        <v>0</v>
      </c>
      <c r="AF18" s="270">
        <f>'Old Counts Pivot Table'!O$6</f>
        <v>0</v>
      </c>
      <c r="AG18" s="271">
        <f>'Old Counts Pivot Table'!P$6</f>
        <v>0</v>
      </c>
      <c r="AH18" s="270">
        <f>'Old Counts Pivot Table'!Q$6</f>
        <v>0</v>
      </c>
    </row>
    <row r="19" spans="1:36" x14ac:dyDescent="0.2">
      <c r="A19" s="690"/>
      <c r="B19" s="258" t="s">
        <v>5</v>
      </c>
      <c r="C19" s="266">
        <f t="shared" si="2"/>
        <v>0.25020885547201338</v>
      </c>
      <c r="D19" s="267">
        <f t="shared" si="2"/>
        <v>0.32383419689119169</v>
      </c>
      <c r="E19" s="267">
        <f t="shared" si="2"/>
        <v>0.32587228439763</v>
      </c>
      <c r="F19" s="267">
        <f t="shared" si="2"/>
        <v>0.32069970845481049</v>
      </c>
      <c r="G19" s="267">
        <f t="shared" si="2"/>
        <v>0.43881856540084391</v>
      </c>
      <c r="H19" s="267">
        <f t="shared" si="2"/>
        <v>0.45882352941176469</v>
      </c>
      <c r="I19" s="266">
        <f t="shared" si="2"/>
        <v>0.30136535614410265</v>
      </c>
      <c r="J19" s="266">
        <f t="shared" si="3"/>
        <v>0</v>
      </c>
      <c r="K19" s="267">
        <f t="shared" si="4"/>
        <v>0</v>
      </c>
      <c r="L19" s="267">
        <f t="shared" si="4"/>
        <v>0</v>
      </c>
      <c r="M19" s="267">
        <f t="shared" si="4"/>
        <v>0</v>
      </c>
      <c r="N19" s="266">
        <f t="shared" si="5"/>
        <v>0</v>
      </c>
      <c r="O19" s="266">
        <f t="shared" si="5"/>
        <v>0</v>
      </c>
      <c r="P19" s="267">
        <f t="shared" si="5"/>
        <v>0</v>
      </c>
      <c r="Q19" s="685">
        <f t="shared" si="5"/>
        <v>0</v>
      </c>
      <c r="R19" s="269"/>
      <c r="S19" s="270">
        <f>'Old Counts Pivot Table'!B$7</f>
        <v>599</v>
      </c>
      <c r="T19" s="271">
        <f>'Old Counts Pivot Table'!C$7</f>
        <v>375</v>
      </c>
      <c r="U19" s="271">
        <f>'Old Counts Pivot Table'!D$7</f>
        <v>495</v>
      </c>
      <c r="V19" s="271">
        <f>'Old Counts Pivot Table'!E$7</f>
        <v>220</v>
      </c>
      <c r="W19" s="271">
        <f>'Old Counts Pivot Table'!F$7</f>
        <v>104</v>
      </c>
      <c r="X19" s="674">
        <f>'Old Counts Pivot Table'!G$7</f>
        <v>39</v>
      </c>
      <c r="Y19" s="270">
        <f>'Old Counts Pivot Table'!H$7</f>
        <v>1832</v>
      </c>
      <c r="Z19" s="270">
        <f>'Old Counts Pivot Table'!I$7</f>
        <v>0</v>
      </c>
      <c r="AA19" s="271">
        <f>'Old Counts Pivot Table'!J$7</f>
        <v>0</v>
      </c>
      <c r="AB19" s="271">
        <f>'Old Counts Pivot Table'!K$7</f>
        <v>0</v>
      </c>
      <c r="AC19" s="271">
        <f>'Old Counts Pivot Table'!L$7</f>
        <v>0</v>
      </c>
      <c r="AD19" s="271">
        <f>'Old Counts Pivot Table'!M$7</f>
        <v>0</v>
      </c>
      <c r="AE19" s="270">
        <f>'Old Counts Pivot Table'!N$7</f>
        <v>0</v>
      </c>
      <c r="AF19" s="270">
        <f>'Old Counts Pivot Table'!O$7</f>
        <v>0</v>
      </c>
      <c r="AG19" s="271">
        <f>'Old Counts Pivot Table'!P$7</f>
        <v>0</v>
      </c>
      <c r="AH19" s="270">
        <f>'Old Counts Pivot Table'!Q$7</f>
        <v>0</v>
      </c>
    </row>
    <row r="20" spans="1:36" x14ac:dyDescent="0.2">
      <c r="A20" s="690"/>
      <c r="B20" s="258" t="s">
        <v>6</v>
      </c>
      <c r="C20" s="266">
        <f t="shared" si="2"/>
        <v>0.13617376775271511</v>
      </c>
      <c r="D20" s="267">
        <f t="shared" si="2"/>
        <v>9.585492227979274E-2</v>
      </c>
      <c r="E20" s="267">
        <f t="shared" si="2"/>
        <v>0.17972350230414746</v>
      </c>
      <c r="F20" s="267">
        <f t="shared" si="2"/>
        <v>0.14139941690962099</v>
      </c>
      <c r="G20" s="267">
        <f t="shared" si="2"/>
        <v>6.3291139240506333E-2</v>
      </c>
      <c r="H20" s="267">
        <f t="shared" si="2"/>
        <v>3.5294117647058823E-2</v>
      </c>
      <c r="I20" s="266">
        <f t="shared" si="2"/>
        <v>0.13571311070899819</v>
      </c>
      <c r="J20" s="266">
        <f t="shared" si="3"/>
        <v>0</v>
      </c>
      <c r="K20" s="267">
        <f t="shared" si="4"/>
        <v>0</v>
      </c>
      <c r="L20" s="267">
        <f t="shared" si="4"/>
        <v>0</v>
      </c>
      <c r="M20" s="267">
        <f t="shared" si="4"/>
        <v>0</v>
      </c>
      <c r="N20" s="266">
        <f t="shared" si="5"/>
        <v>0</v>
      </c>
      <c r="O20" s="266">
        <f t="shared" si="5"/>
        <v>0</v>
      </c>
      <c r="P20" s="267">
        <f t="shared" si="5"/>
        <v>0</v>
      </c>
      <c r="Q20" s="685">
        <f t="shared" si="5"/>
        <v>0</v>
      </c>
      <c r="R20" s="269"/>
      <c r="S20" s="270">
        <f>'Old Counts Pivot Table'!B$8</f>
        <v>326</v>
      </c>
      <c r="T20" s="271">
        <f>'Old Counts Pivot Table'!C$8</f>
        <v>111</v>
      </c>
      <c r="U20" s="271">
        <f>'Old Counts Pivot Table'!D$8</f>
        <v>273</v>
      </c>
      <c r="V20" s="271">
        <f>'Old Counts Pivot Table'!E$8</f>
        <v>97</v>
      </c>
      <c r="W20" s="271">
        <f>'Old Counts Pivot Table'!F$8</f>
        <v>15</v>
      </c>
      <c r="X20" s="674">
        <f>'Old Counts Pivot Table'!G$8</f>
        <v>3</v>
      </c>
      <c r="Y20" s="270">
        <f>'Old Counts Pivot Table'!H$8</f>
        <v>825</v>
      </c>
      <c r="Z20" s="270">
        <f>'Old Counts Pivot Table'!I$8</f>
        <v>0</v>
      </c>
      <c r="AA20" s="271">
        <f>'Old Counts Pivot Table'!J$8</f>
        <v>0</v>
      </c>
      <c r="AB20" s="271">
        <f>'Old Counts Pivot Table'!K$8</f>
        <v>0</v>
      </c>
      <c r="AC20" s="271">
        <f>'Old Counts Pivot Table'!L$8</f>
        <v>0</v>
      </c>
      <c r="AD20" s="271">
        <f>'Old Counts Pivot Table'!M$8</f>
        <v>0</v>
      </c>
      <c r="AE20" s="270">
        <f>'Old Counts Pivot Table'!N$8</f>
        <v>0</v>
      </c>
      <c r="AF20" s="270">
        <f>'Old Counts Pivot Table'!O$8</f>
        <v>0</v>
      </c>
      <c r="AG20" s="271">
        <f>'Old Counts Pivot Table'!P$8</f>
        <v>0</v>
      </c>
      <c r="AH20" s="270">
        <f>'Old Counts Pivot Table'!Q$8</f>
        <v>0</v>
      </c>
    </row>
    <row r="21" spans="1:36" x14ac:dyDescent="0.2">
      <c r="A21" s="690"/>
      <c r="B21" s="258" t="s">
        <v>26</v>
      </c>
      <c r="C21" s="266">
        <f t="shared" si="2"/>
        <v>1.0442773600668337E-2</v>
      </c>
      <c r="D21" s="267">
        <f t="shared" si="2"/>
        <v>3.4542314335060449E-2</v>
      </c>
      <c r="E21" s="267">
        <f t="shared" si="2"/>
        <v>4.6741277156023699E-2</v>
      </c>
      <c r="F21" s="267">
        <f t="shared" si="2"/>
        <v>1.4577259475218659E-3</v>
      </c>
      <c r="G21" s="267">
        <f t="shared" si="2"/>
        <v>3.7974683544303799E-2</v>
      </c>
      <c r="H21" s="267">
        <f t="shared" si="2"/>
        <v>0</v>
      </c>
      <c r="I21" s="266">
        <f t="shared" si="2"/>
        <v>2.4017108076986347E-2</v>
      </c>
      <c r="J21" s="266">
        <f t="shared" si="3"/>
        <v>0</v>
      </c>
      <c r="K21" s="267">
        <f t="shared" si="4"/>
        <v>0</v>
      </c>
      <c r="L21" s="267">
        <f t="shared" si="4"/>
        <v>0</v>
      </c>
      <c r="M21" s="267">
        <f t="shared" si="4"/>
        <v>0</v>
      </c>
      <c r="N21" s="266">
        <f t="shared" si="5"/>
        <v>0</v>
      </c>
      <c r="O21" s="266">
        <f t="shared" si="5"/>
        <v>0</v>
      </c>
      <c r="P21" s="267">
        <f t="shared" si="5"/>
        <v>0</v>
      </c>
      <c r="Q21" s="685">
        <f t="shared" si="5"/>
        <v>0</v>
      </c>
      <c r="R21" s="269"/>
      <c r="S21" s="270">
        <f>'Old Counts Pivot Table'!B$9</f>
        <v>25</v>
      </c>
      <c r="T21" s="271">
        <f>'Old Counts Pivot Table'!C$9</f>
        <v>40</v>
      </c>
      <c r="U21" s="271">
        <f>'Old Counts Pivot Table'!D$9</f>
        <v>71</v>
      </c>
      <c r="V21" s="271">
        <f>'Old Counts Pivot Table'!E$9</f>
        <v>1</v>
      </c>
      <c r="W21" s="271">
        <f>'Old Counts Pivot Table'!F$9</f>
        <v>9</v>
      </c>
      <c r="X21" s="674">
        <f>'Old Counts Pivot Table'!G$9</f>
        <v>0</v>
      </c>
      <c r="Y21" s="270">
        <f>'Old Counts Pivot Table'!H$9</f>
        <v>146</v>
      </c>
      <c r="Z21" s="270">
        <f>'Old Counts Pivot Table'!I$9</f>
        <v>0</v>
      </c>
      <c r="AA21" s="271">
        <f>'Old Counts Pivot Table'!J$9</f>
        <v>0</v>
      </c>
      <c r="AB21" s="271">
        <f>'Old Counts Pivot Table'!K$9</f>
        <v>0</v>
      </c>
      <c r="AC21" s="271">
        <f>'Old Counts Pivot Table'!L$9</f>
        <v>0</v>
      </c>
      <c r="AD21" s="271">
        <f>'Old Counts Pivot Table'!M$9</f>
        <v>0</v>
      </c>
      <c r="AE21" s="270">
        <f>'Old Counts Pivot Table'!N$9</f>
        <v>0</v>
      </c>
      <c r="AF21" s="270">
        <f>'Old Counts Pivot Table'!O$9</f>
        <v>0</v>
      </c>
      <c r="AG21" s="271">
        <f>'Old Counts Pivot Table'!P$9</f>
        <v>0</v>
      </c>
      <c r="AH21" s="270">
        <f>'Old Counts Pivot Table'!Q$9</f>
        <v>0</v>
      </c>
    </row>
    <row r="22" spans="1:36" x14ac:dyDescent="0.2">
      <c r="A22" s="690"/>
      <c r="B22" s="258" t="s">
        <v>23</v>
      </c>
      <c r="C22" s="266">
        <f t="shared" si="2"/>
        <v>0</v>
      </c>
      <c r="D22" s="267">
        <f t="shared" si="2"/>
        <v>0</v>
      </c>
      <c r="E22" s="267">
        <f t="shared" si="2"/>
        <v>0</v>
      </c>
      <c r="F22" s="267">
        <f t="shared" si="2"/>
        <v>0</v>
      </c>
      <c r="G22" s="267">
        <f t="shared" si="2"/>
        <v>0</v>
      </c>
      <c r="H22" s="267">
        <f t="shared" si="2"/>
        <v>0</v>
      </c>
      <c r="I22" s="266">
        <f t="shared" si="2"/>
        <v>0</v>
      </c>
      <c r="J22" s="266">
        <f t="shared" si="3"/>
        <v>0</v>
      </c>
      <c r="K22" s="267">
        <f t="shared" si="4"/>
        <v>1</v>
      </c>
      <c r="L22" s="267">
        <f t="shared" si="4"/>
        <v>1</v>
      </c>
      <c r="M22" s="267">
        <f t="shared" si="4"/>
        <v>1</v>
      </c>
      <c r="N22" s="266">
        <f t="shared" si="5"/>
        <v>1</v>
      </c>
      <c r="O22" s="266">
        <f t="shared" si="5"/>
        <v>1</v>
      </c>
      <c r="P22" s="267">
        <f t="shared" si="5"/>
        <v>1</v>
      </c>
      <c r="Q22" s="685">
        <f t="shared" si="5"/>
        <v>1</v>
      </c>
      <c r="R22" s="269"/>
      <c r="S22" s="270">
        <f>'Old Counts Pivot Table'!B$10</f>
        <v>0</v>
      </c>
      <c r="T22" s="271">
        <f>'Old Counts Pivot Table'!C$10</f>
        <v>0</v>
      </c>
      <c r="U22" s="271">
        <f>'Old Counts Pivot Table'!D$10</f>
        <v>0</v>
      </c>
      <c r="V22" s="271">
        <f>'Old Counts Pivot Table'!E$10</f>
        <v>0</v>
      </c>
      <c r="W22" s="271">
        <f>'Old Counts Pivot Table'!F$10</f>
        <v>0</v>
      </c>
      <c r="X22" s="674">
        <f>'Old Counts Pivot Table'!G$10</f>
        <v>0</v>
      </c>
      <c r="Y22" s="270">
        <f>'Old Counts Pivot Table'!H$10</f>
        <v>0</v>
      </c>
      <c r="Z22" s="270">
        <f>'Old Counts Pivot Table'!I$10</f>
        <v>0</v>
      </c>
      <c r="AA22" s="271">
        <f>'Old Counts Pivot Table'!J$10</f>
        <v>560</v>
      </c>
      <c r="AB22" s="271">
        <f>'Old Counts Pivot Table'!K$10</f>
        <v>942</v>
      </c>
      <c r="AC22" s="271">
        <f>'Old Counts Pivot Table'!L$10</f>
        <v>271</v>
      </c>
      <c r="AD22" s="271">
        <f>'Old Counts Pivot Table'!M$10</f>
        <v>0</v>
      </c>
      <c r="AE22" s="270">
        <f>'Old Counts Pivot Table'!N$10</f>
        <v>1773</v>
      </c>
      <c r="AF22" s="270">
        <f>'Old Counts Pivot Table'!O$10</f>
        <v>60</v>
      </c>
      <c r="AG22" s="271">
        <f>'Old Counts Pivot Table'!P$10</f>
        <v>89</v>
      </c>
      <c r="AH22" s="270">
        <f>'Old Counts Pivot Table'!Q$10</f>
        <v>149</v>
      </c>
    </row>
    <row r="23" spans="1:36" s="280" customFormat="1" x14ac:dyDescent="0.25">
      <c r="A23" s="691"/>
      <c r="B23" s="272" t="s">
        <v>220</v>
      </c>
      <c r="C23" s="273">
        <f t="shared" si="2"/>
        <v>1</v>
      </c>
      <c r="D23" s="274">
        <f t="shared" si="2"/>
        <v>1</v>
      </c>
      <c r="E23" s="274">
        <f t="shared" si="2"/>
        <v>1</v>
      </c>
      <c r="F23" s="274">
        <f t="shared" si="2"/>
        <v>1</v>
      </c>
      <c r="G23" s="274">
        <f t="shared" si="2"/>
        <v>1</v>
      </c>
      <c r="H23" s="274">
        <f t="shared" si="2"/>
        <v>1</v>
      </c>
      <c r="I23" s="273">
        <f t="shared" si="2"/>
        <v>1</v>
      </c>
      <c r="J23" s="273">
        <f t="shared" si="3"/>
        <v>0</v>
      </c>
      <c r="K23" s="274">
        <f t="shared" si="4"/>
        <v>1</v>
      </c>
      <c r="L23" s="274">
        <f t="shared" si="4"/>
        <v>1</v>
      </c>
      <c r="M23" s="274">
        <f t="shared" si="4"/>
        <v>1</v>
      </c>
      <c r="N23" s="273">
        <f t="shared" si="5"/>
        <v>1</v>
      </c>
      <c r="O23" s="273">
        <f t="shared" si="5"/>
        <v>1</v>
      </c>
      <c r="P23" s="274">
        <f t="shared" si="5"/>
        <v>1</v>
      </c>
      <c r="Q23" s="686">
        <f t="shared" si="5"/>
        <v>1</v>
      </c>
      <c r="R23" s="276"/>
      <c r="S23" s="277">
        <f>'Old Counts Pivot Table'!B$11</f>
        <v>2394</v>
      </c>
      <c r="T23" s="278">
        <f>'Old Counts Pivot Table'!C$11</f>
        <v>1158</v>
      </c>
      <c r="U23" s="278">
        <f>'Old Counts Pivot Table'!D$11</f>
        <v>1519</v>
      </c>
      <c r="V23" s="278">
        <f>'Old Counts Pivot Table'!E$11</f>
        <v>686</v>
      </c>
      <c r="W23" s="278">
        <f>'Old Counts Pivot Table'!F$11</f>
        <v>237</v>
      </c>
      <c r="X23" s="675">
        <f>'Old Counts Pivot Table'!G$11</f>
        <v>85</v>
      </c>
      <c r="Y23" s="277">
        <f>'Old Counts Pivot Table'!H$11</f>
        <v>6079</v>
      </c>
      <c r="Z23" s="277">
        <f>'Old Counts Pivot Table'!I$11</f>
        <v>0</v>
      </c>
      <c r="AA23" s="278">
        <f>'Old Counts Pivot Table'!J$11</f>
        <v>560</v>
      </c>
      <c r="AB23" s="278">
        <f>'Old Counts Pivot Table'!K$11</f>
        <v>942</v>
      </c>
      <c r="AC23" s="278">
        <f>'Old Counts Pivot Table'!L$11</f>
        <v>271</v>
      </c>
      <c r="AD23" s="278">
        <f>'Old Counts Pivot Table'!M$11</f>
        <v>0</v>
      </c>
      <c r="AE23" s="277">
        <f>'Old Counts Pivot Table'!N$11</f>
        <v>1773</v>
      </c>
      <c r="AF23" s="277">
        <f>'Old Counts Pivot Table'!O$11</f>
        <v>60</v>
      </c>
      <c r="AG23" s="278">
        <f>'Old Counts Pivot Table'!P$11</f>
        <v>89</v>
      </c>
      <c r="AH23" s="277">
        <f>'Old Counts Pivot Table'!Q$11</f>
        <v>149</v>
      </c>
      <c r="AI23" s="279"/>
      <c r="AJ23" s="279"/>
    </row>
    <row r="24" spans="1:36" x14ac:dyDescent="0.2">
      <c r="A24" s="692" t="s">
        <v>32</v>
      </c>
      <c r="B24" s="259" t="s">
        <v>3</v>
      </c>
      <c r="C24" s="260">
        <f t="shared" ref="C24:C30" si="6">S24/S$30</f>
        <v>0.36482412060301506</v>
      </c>
      <c r="D24" s="261">
        <f t="shared" ref="D24:D30" si="7">IFERROR(T24/T$30,0)</f>
        <v>0</v>
      </c>
      <c r="E24" s="261">
        <f t="shared" ref="E24:I30" si="8">U24/U$30</f>
        <v>0.21428571428571427</v>
      </c>
      <c r="F24" s="261">
        <f t="shared" si="8"/>
        <v>0.26204819277108432</v>
      </c>
      <c r="G24" s="261">
        <f t="shared" si="8"/>
        <v>0.12987012987012986</v>
      </c>
      <c r="H24" s="261">
        <f t="shared" si="8"/>
        <v>9.7387173396674589E-2</v>
      </c>
      <c r="I24" s="260">
        <f t="shared" si="8"/>
        <v>0.24207415368081678</v>
      </c>
      <c r="J24" s="260">
        <f t="shared" ref="J24:J30" si="9">IFERROR(Z24/Z$30,0)</f>
        <v>0</v>
      </c>
      <c r="K24" s="261">
        <f t="shared" ref="K24:M30" si="10">AA24/AA$30</f>
        <v>0</v>
      </c>
      <c r="L24" s="261">
        <f t="shared" si="10"/>
        <v>2.2935779816513763E-2</v>
      </c>
      <c r="M24" s="261">
        <f t="shared" si="10"/>
        <v>1.6556291390728478E-2</v>
      </c>
      <c r="N24" s="260">
        <f t="shared" ref="N24:N30" si="11">AE24/AE$30</f>
        <v>1.3783597518952447E-2</v>
      </c>
      <c r="O24" s="260">
        <f t="shared" ref="O24:Q30" si="12">IFERROR(AF24/AF$30,0)</f>
        <v>0</v>
      </c>
      <c r="P24" s="262">
        <f t="shared" si="12"/>
        <v>0</v>
      </c>
      <c r="Q24" s="684">
        <f t="shared" si="12"/>
        <v>0</v>
      </c>
      <c r="R24" s="263"/>
      <c r="S24" s="264">
        <f>'Old Counts Pivot Table'!B$13</f>
        <v>363</v>
      </c>
      <c r="T24" s="265">
        <f>'Old Counts Pivot Table'!C$13</f>
        <v>0</v>
      </c>
      <c r="U24" s="265">
        <f>'Old Counts Pivot Table'!D$13</f>
        <v>390</v>
      </c>
      <c r="V24" s="265">
        <f>'Old Counts Pivot Table'!E$13</f>
        <v>87</v>
      </c>
      <c r="W24" s="265">
        <f>'Old Counts Pivot Table'!F$13</f>
        <v>20</v>
      </c>
      <c r="X24" s="673">
        <f>'Old Counts Pivot Table'!G$13</f>
        <v>41</v>
      </c>
      <c r="Y24" s="264">
        <f>'Old Counts Pivot Table'!H$13</f>
        <v>901</v>
      </c>
      <c r="Z24" s="264">
        <f>'Old Counts Pivot Table'!I$13</f>
        <v>0</v>
      </c>
      <c r="AA24" s="265">
        <f>'Old Counts Pivot Table'!J$13</f>
        <v>0</v>
      </c>
      <c r="AB24" s="265">
        <f>'Old Counts Pivot Table'!K$13</f>
        <v>5</v>
      </c>
      <c r="AC24" s="265">
        <f>'Old Counts Pivot Table'!L$13</f>
        <v>15</v>
      </c>
      <c r="AD24" s="265">
        <f>'Old Counts Pivot Table'!M$13</f>
        <v>0</v>
      </c>
      <c r="AE24" s="264">
        <f>'Old Counts Pivot Table'!N$13</f>
        <v>20</v>
      </c>
      <c r="AF24" s="264">
        <f>'Old Counts Pivot Table'!O$13</f>
        <v>0</v>
      </c>
      <c r="AG24" s="265">
        <f>'Old Counts Pivot Table'!P$13</f>
        <v>0</v>
      </c>
      <c r="AH24" s="264">
        <f>'Old Counts Pivot Table'!Q$13</f>
        <v>0</v>
      </c>
    </row>
    <row r="25" spans="1:36" x14ac:dyDescent="0.2">
      <c r="A25" s="690"/>
      <c r="B25" s="258" t="s">
        <v>4</v>
      </c>
      <c r="C25" s="266">
        <f t="shared" si="6"/>
        <v>0.2150753768844221</v>
      </c>
      <c r="D25" s="267">
        <f t="shared" si="7"/>
        <v>0</v>
      </c>
      <c r="E25" s="267">
        <f t="shared" si="8"/>
        <v>0.24890109890109891</v>
      </c>
      <c r="F25" s="267">
        <f t="shared" si="8"/>
        <v>0.18674698795180722</v>
      </c>
      <c r="G25" s="267">
        <f t="shared" si="8"/>
        <v>0.29220779220779219</v>
      </c>
      <c r="H25" s="267">
        <f t="shared" si="8"/>
        <v>0.2161520190023753</v>
      </c>
      <c r="I25" s="266">
        <f t="shared" si="8"/>
        <v>0.23240193444384741</v>
      </c>
      <c r="J25" s="266">
        <f t="shared" si="9"/>
        <v>0</v>
      </c>
      <c r="K25" s="267">
        <f t="shared" si="10"/>
        <v>0</v>
      </c>
      <c r="L25" s="267">
        <f t="shared" si="10"/>
        <v>4.5871559633027525E-2</v>
      </c>
      <c r="M25" s="267">
        <f t="shared" si="10"/>
        <v>4.4150110375275938E-3</v>
      </c>
      <c r="N25" s="266">
        <f t="shared" si="11"/>
        <v>9.6485182632667123E-3</v>
      </c>
      <c r="O25" s="266">
        <f t="shared" si="12"/>
        <v>0</v>
      </c>
      <c r="P25" s="268">
        <f t="shared" si="12"/>
        <v>0</v>
      </c>
      <c r="Q25" s="685">
        <f t="shared" si="12"/>
        <v>0</v>
      </c>
      <c r="R25" s="269"/>
      <c r="S25" s="270">
        <f>'Old Counts Pivot Table'!B$14</f>
        <v>214</v>
      </c>
      <c r="T25" s="271">
        <f>'Old Counts Pivot Table'!C$14</f>
        <v>0</v>
      </c>
      <c r="U25" s="271">
        <f>'Old Counts Pivot Table'!D$14</f>
        <v>453</v>
      </c>
      <c r="V25" s="271">
        <f>'Old Counts Pivot Table'!E$14</f>
        <v>62</v>
      </c>
      <c r="W25" s="271">
        <f>'Old Counts Pivot Table'!F$14</f>
        <v>45</v>
      </c>
      <c r="X25" s="674">
        <f>'Old Counts Pivot Table'!G$14</f>
        <v>91</v>
      </c>
      <c r="Y25" s="270">
        <f>'Old Counts Pivot Table'!H$14</f>
        <v>865</v>
      </c>
      <c r="Z25" s="270">
        <f>'Old Counts Pivot Table'!I$14</f>
        <v>0</v>
      </c>
      <c r="AA25" s="271">
        <f>'Old Counts Pivot Table'!J$14</f>
        <v>0</v>
      </c>
      <c r="AB25" s="271">
        <f>'Old Counts Pivot Table'!K$14</f>
        <v>10</v>
      </c>
      <c r="AC25" s="271">
        <f>'Old Counts Pivot Table'!L$14</f>
        <v>4</v>
      </c>
      <c r="AD25" s="271">
        <f>'Old Counts Pivot Table'!M$14</f>
        <v>0</v>
      </c>
      <c r="AE25" s="270">
        <f>'Old Counts Pivot Table'!N$14</f>
        <v>14</v>
      </c>
      <c r="AF25" s="270">
        <f>'Old Counts Pivot Table'!O$14</f>
        <v>0</v>
      </c>
      <c r="AG25" s="271">
        <f>'Old Counts Pivot Table'!P$14</f>
        <v>0</v>
      </c>
      <c r="AH25" s="270">
        <f>'Old Counts Pivot Table'!Q$14</f>
        <v>0</v>
      </c>
    </row>
    <row r="26" spans="1:36" x14ac:dyDescent="0.2">
      <c r="A26" s="690"/>
      <c r="B26" s="258" t="s">
        <v>5</v>
      </c>
      <c r="C26" s="266">
        <f t="shared" si="6"/>
        <v>0.16783919597989949</v>
      </c>
      <c r="D26" s="267">
        <f t="shared" si="7"/>
        <v>0</v>
      </c>
      <c r="E26" s="267">
        <f t="shared" si="8"/>
        <v>0.28681318681318679</v>
      </c>
      <c r="F26" s="267">
        <f t="shared" si="8"/>
        <v>0.33433734939759036</v>
      </c>
      <c r="G26" s="267">
        <f t="shared" si="8"/>
        <v>0.14935064935064934</v>
      </c>
      <c r="H26" s="267">
        <f t="shared" si="8"/>
        <v>0.36342042755344417</v>
      </c>
      <c r="I26" s="266">
        <f t="shared" si="8"/>
        <v>0.26222461042450296</v>
      </c>
      <c r="J26" s="266">
        <f t="shared" si="9"/>
        <v>0</v>
      </c>
      <c r="K26" s="267">
        <f t="shared" si="10"/>
        <v>0</v>
      </c>
      <c r="L26" s="267">
        <f t="shared" si="10"/>
        <v>0.14678899082568808</v>
      </c>
      <c r="M26" s="267">
        <f t="shared" si="10"/>
        <v>4.856512141280353E-2</v>
      </c>
      <c r="N26" s="266">
        <f t="shared" si="11"/>
        <v>5.2377670572019294E-2</v>
      </c>
      <c r="O26" s="266">
        <f t="shared" si="12"/>
        <v>0</v>
      </c>
      <c r="P26" s="268">
        <f t="shared" si="12"/>
        <v>0</v>
      </c>
      <c r="Q26" s="685">
        <f t="shared" si="12"/>
        <v>0</v>
      </c>
      <c r="R26" s="269"/>
      <c r="S26" s="270">
        <f>'Old Counts Pivot Table'!B$15</f>
        <v>167</v>
      </c>
      <c r="T26" s="271">
        <f>'Old Counts Pivot Table'!C$15</f>
        <v>0</v>
      </c>
      <c r="U26" s="271">
        <f>'Old Counts Pivot Table'!D$15</f>
        <v>522</v>
      </c>
      <c r="V26" s="271">
        <f>'Old Counts Pivot Table'!E$15</f>
        <v>111</v>
      </c>
      <c r="W26" s="271">
        <f>'Old Counts Pivot Table'!F$15</f>
        <v>23</v>
      </c>
      <c r="X26" s="674">
        <f>'Old Counts Pivot Table'!G$15</f>
        <v>153</v>
      </c>
      <c r="Y26" s="270">
        <f>'Old Counts Pivot Table'!H$15</f>
        <v>976</v>
      </c>
      <c r="Z26" s="270">
        <f>'Old Counts Pivot Table'!I$15</f>
        <v>0</v>
      </c>
      <c r="AA26" s="271">
        <f>'Old Counts Pivot Table'!J$15</f>
        <v>0</v>
      </c>
      <c r="AB26" s="271">
        <f>'Old Counts Pivot Table'!K$15</f>
        <v>32</v>
      </c>
      <c r="AC26" s="271">
        <f>'Old Counts Pivot Table'!L$15</f>
        <v>44</v>
      </c>
      <c r="AD26" s="271">
        <f>'Old Counts Pivot Table'!M$15</f>
        <v>0</v>
      </c>
      <c r="AE26" s="270">
        <f>'Old Counts Pivot Table'!N$15</f>
        <v>76</v>
      </c>
      <c r="AF26" s="270">
        <f>'Old Counts Pivot Table'!O$15</f>
        <v>0</v>
      </c>
      <c r="AG26" s="271">
        <f>'Old Counts Pivot Table'!P$15</f>
        <v>0</v>
      </c>
      <c r="AH26" s="270">
        <f>'Old Counts Pivot Table'!Q$15</f>
        <v>0</v>
      </c>
    </row>
    <row r="27" spans="1:36" x14ac:dyDescent="0.2">
      <c r="A27" s="690"/>
      <c r="B27" s="258" t="s">
        <v>6</v>
      </c>
      <c r="C27" s="266">
        <f t="shared" si="6"/>
        <v>0.17889447236180905</v>
      </c>
      <c r="D27" s="267">
        <f t="shared" si="7"/>
        <v>0</v>
      </c>
      <c r="E27" s="267">
        <f t="shared" si="8"/>
        <v>0.17967032967032967</v>
      </c>
      <c r="F27" s="267">
        <f t="shared" si="8"/>
        <v>0.21084337349397592</v>
      </c>
      <c r="G27" s="267">
        <f t="shared" si="8"/>
        <v>0.18831168831168832</v>
      </c>
      <c r="H27" s="267">
        <f t="shared" si="8"/>
        <v>0.30166270783847982</v>
      </c>
      <c r="I27" s="266">
        <f t="shared" si="8"/>
        <v>0.19639978506179473</v>
      </c>
      <c r="J27" s="266">
        <f t="shared" si="9"/>
        <v>0</v>
      </c>
      <c r="K27" s="267">
        <f t="shared" si="10"/>
        <v>0</v>
      </c>
      <c r="L27" s="267">
        <f t="shared" si="10"/>
        <v>0.33944954128440369</v>
      </c>
      <c r="M27" s="267">
        <f t="shared" si="10"/>
        <v>0.12251655629139073</v>
      </c>
      <c r="N27" s="266">
        <f t="shared" si="11"/>
        <v>0.12749827705031014</v>
      </c>
      <c r="O27" s="266">
        <f t="shared" si="12"/>
        <v>0</v>
      </c>
      <c r="P27" s="268">
        <f t="shared" si="12"/>
        <v>0</v>
      </c>
      <c r="Q27" s="685">
        <f t="shared" si="12"/>
        <v>0</v>
      </c>
      <c r="R27" s="269"/>
      <c r="S27" s="270">
        <f>'Old Counts Pivot Table'!B$16</f>
        <v>178</v>
      </c>
      <c r="T27" s="271">
        <f>'Old Counts Pivot Table'!C$16</f>
        <v>0</v>
      </c>
      <c r="U27" s="271">
        <f>'Old Counts Pivot Table'!D$16</f>
        <v>327</v>
      </c>
      <c r="V27" s="271">
        <f>'Old Counts Pivot Table'!E$16</f>
        <v>70</v>
      </c>
      <c r="W27" s="271">
        <f>'Old Counts Pivot Table'!F$16</f>
        <v>29</v>
      </c>
      <c r="X27" s="674">
        <f>'Old Counts Pivot Table'!G$16</f>
        <v>127</v>
      </c>
      <c r="Y27" s="270">
        <f>'Old Counts Pivot Table'!H$16</f>
        <v>731</v>
      </c>
      <c r="Z27" s="270">
        <f>'Old Counts Pivot Table'!I$16</f>
        <v>0</v>
      </c>
      <c r="AA27" s="271">
        <f>'Old Counts Pivot Table'!J$16</f>
        <v>0</v>
      </c>
      <c r="AB27" s="271">
        <f>'Old Counts Pivot Table'!K$16</f>
        <v>74</v>
      </c>
      <c r="AC27" s="271">
        <f>'Old Counts Pivot Table'!L$16</f>
        <v>111</v>
      </c>
      <c r="AD27" s="271">
        <f>'Old Counts Pivot Table'!M$16</f>
        <v>0</v>
      </c>
      <c r="AE27" s="270">
        <f>'Old Counts Pivot Table'!N$16</f>
        <v>185</v>
      </c>
      <c r="AF27" s="270">
        <f>'Old Counts Pivot Table'!O$16</f>
        <v>0</v>
      </c>
      <c r="AG27" s="271">
        <f>'Old Counts Pivot Table'!P$16</f>
        <v>0</v>
      </c>
      <c r="AH27" s="270">
        <f>'Old Counts Pivot Table'!Q$16</f>
        <v>0</v>
      </c>
    </row>
    <row r="28" spans="1:36" x14ac:dyDescent="0.2">
      <c r="A28" s="690"/>
      <c r="B28" s="258" t="s">
        <v>26</v>
      </c>
      <c r="C28" s="266">
        <f t="shared" si="6"/>
        <v>7.3366834170854267E-2</v>
      </c>
      <c r="D28" s="267">
        <f t="shared" si="7"/>
        <v>0</v>
      </c>
      <c r="E28" s="267">
        <f t="shared" si="8"/>
        <v>7.032967032967033E-2</v>
      </c>
      <c r="F28" s="267">
        <f t="shared" si="8"/>
        <v>6.024096385542169E-3</v>
      </c>
      <c r="G28" s="267">
        <f t="shared" si="8"/>
        <v>0.24025974025974026</v>
      </c>
      <c r="H28" s="267">
        <f t="shared" si="8"/>
        <v>2.1377672209026127E-2</v>
      </c>
      <c r="I28" s="266">
        <f t="shared" si="8"/>
        <v>6.6899516389038155E-2</v>
      </c>
      <c r="J28" s="266">
        <f t="shared" si="9"/>
        <v>0</v>
      </c>
      <c r="K28" s="267">
        <f t="shared" si="10"/>
        <v>0</v>
      </c>
      <c r="L28" s="267">
        <f t="shared" si="10"/>
        <v>0</v>
      </c>
      <c r="M28" s="267">
        <f t="shared" si="10"/>
        <v>0</v>
      </c>
      <c r="N28" s="266">
        <f t="shared" si="11"/>
        <v>0</v>
      </c>
      <c r="O28" s="266">
        <f t="shared" si="12"/>
        <v>0</v>
      </c>
      <c r="P28" s="268">
        <f t="shared" si="12"/>
        <v>0</v>
      </c>
      <c r="Q28" s="685">
        <f t="shared" si="12"/>
        <v>0</v>
      </c>
      <c r="R28" s="269"/>
      <c r="S28" s="270">
        <f>'Old Counts Pivot Table'!B$17</f>
        <v>73</v>
      </c>
      <c r="T28" s="271">
        <f>'Old Counts Pivot Table'!C$17</f>
        <v>0</v>
      </c>
      <c r="U28" s="271">
        <f>'Old Counts Pivot Table'!D$17</f>
        <v>128</v>
      </c>
      <c r="V28" s="271">
        <f>'Old Counts Pivot Table'!E$17</f>
        <v>2</v>
      </c>
      <c r="W28" s="271">
        <f>'Old Counts Pivot Table'!F$17</f>
        <v>37</v>
      </c>
      <c r="X28" s="674">
        <f>'Old Counts Pivot Table'!G$17</f>
        <v>9</v>
      </c>
      <c r="Y28" s="270">
        <f>'Old Counts Pivot Table'!H$17</f>
        <v>249</v>
      </c>
      <c r="Z28" s="270">
        <f>'Old Counts Pivot Table'!I$17</f>
        <v>0</v>
      </c>
      <c r="AA28" s="271">
        <f>'Old Counts Pivot Table'!J$17</f>
        <v>0</v>
      </c>
      <c r="AB28" s="271">
        <f>'Old Counts Pivot Table'!K$17</f>
        <v>0</v>
      </c>
      <c r="AC28" s="271">
        <f>'Old Counts Pivot Table'!L$17</f>
        <v>0</v>
      </c>
      <c r="AD28" s="271">
        <f>'Old Counts Pivot Table'!M$17</f>
        <v>0</v>
      </c>
      <c r="AE28" s="270">
        <f>'Old Counts Pivot Table'!N$17</f>
        <v>0</v>
      </c>
      <c r="AF28" s="270">
        <f>'Old Counts Pivot Table'!O$17</f>
        <v>0</v>
      </c>
      <c r="AG28" s="271">
        <f>'Old Counts Pivot Table'!P$17</f>
        <v>0</v>
      </c>
      <c r="AH28" s="270">
        <f>'Old Counts Pivot Table'!Q$17</f>
        <v>0</v>
      </c>
    </row>
    <row r="29" spans="1:36" x14ac:dyDescent="0.2">
      <c r="A29" s="690"/>
      <c r="B29" s="258" t="s">
        <v>23</v>
      </c>
      <c r="C29" s="266">
        <f t="shared" si="6"/>
        <v>0</v>
      </c>
      <c r="D29" s="267">
        <f t="shared" si="7"/>
        <v>0</v>
      </c>
      <c r="E29" s="267">
        <f t="shared" si="8"/>
        <v>0</v>
      </c>
      <c r="F29" s="267">
        <f t="shared" si="8"/>
        <v>0</v>
      </c>
      <c r="G29" s="267">
        <f t="shared" si="8"/>
        <v>0</v>
      </c>
      <c r="H29" s="267">
        <f t="shared" si="8"/>
        <v>0</v>
      </c>
      <c r="I29" s="266">
        <f t="shared" si="8"/>
        <v>0</v>
      </c>
      <c r="J29" s="266">
        <f t="shared" si="9"/>
        <v>0</v>
      </c>
      <c r="K29" s="267">
        <f t="shared" si="10"/>
        <v>1</v>
      </c>
      <c r="L29" s="267">
        <f t="shared" si="10"/>
        <v>0.44495412844036697</v>
      </c>
      <c r="M29" s="267">
        <f t="shared" si="10"/>
        <v>0.80794701986754969</v>
      </c>
      <c r="N29" s="266">
        <f t="shared" si="11"/>
        <v>0.79669193659545146</v>
      </c>
      <c r="O29" s="266">
        <f t="shared" si="12"/>
        <v>0</v>
      </c>
      <c r="P29" s="268">
        <f t="shared" si="12"/>
        <v>0</v>
      </c>
      <c r="Q29" s="685">
        <f t="shared" si="12"/>
        <v>0</v>
      </c>
      <c r="R29" s="269"/>
      <c r="S29" s="270">
        <f>'Old Counts Pivot Table'!B$18</f>
        <v>0</v>
      </c>
      <c r="T29" s="271">
        <f>'Old Counts Pivot Table'!C$18</f>
        <v>0</v>
      </c>
      <c r="U29" s="271">
        <f>'Old Counts Pivot Table'!D$18</f>
        <v>0</v>
      </c>
      <c r="V29" s="271">
        <f>'Old Counts Pivot Table'!E$18</f>
        <v>0</v>
      </c>
      <c r="W29" s="271">
        <f>'Old Counts Pivot Table'!F$18</f>
        <v>0</v>
      </c>
      <c r="X29" s="674">
        <f>'Old Counts Pivot Table'!G$18</f>
        <v>0</v>
      </c>
      <c r="Y29" s="270">
        <f>'Old Counts Pivot Table'!H$18</f>
        <v>0</v>
      </c>
      <c r="Z29" s="270">
        <f>'Old Counts Pivot Table'!I$18</f>
        <v>0</v>
      </c>
      <c r="AA29" s="271">
        <f>'Old Counts Pivot Table'!J$18</f>
        <v>327</v>
      </c>
      <c r="AB29" s="271">
        <f>'Old Counts Pivot Table'!K$18</f>
        <v>97</v>
      </c>
      <c r="AC29" s="271">
        <f>'Old Counts Pivot Table'!L$18</f>
        <v>732</v>
      </c>
      <c r="AD29" s="271">
        <f>'Old Counts Pivot Table'!M$18</f>
        <v>0</v>
      </c>
      <c r="AE29" s="270">
        <f>'Old Counts Pivot Table'!N$18</f>
        <v>1156</v>
      </c>
      <c r="AF29" s="270">
        <f>'Old Counts Pivot Table'!O$18</f>
        <v>0</v>
      </c>
      <c r="AG29" s="271">
        <f>'Old Counts Pivot Table'!P$18</f>
        <v>0</v>
      </c>
      <c r="AH29" s="270">
        <f>'Old Counts Pivot Table'!Q$18</f>
        <v>0</v>
      </c>
    </row>
    <row r="30" spans="1:36" s="280" customFormat="1" x14ac:dyDescent="0.25">
      <c r="A30" s="691"/>
      <c r="B30" s="272" t="s">
        <v>220</v>
      </c>
      <c r="C30" s="273">
        <f t="shared" si="6"/>
        <v>1</v>
      </c>
      <c r="D30" s="274">
        <f t="shared" si="7"/>
        <v>0</v>
      </c>
      <c r="E30" s="274">
        <f t="shared" si="8"/>
        <v>1</v>
      </c>
      <c r="F30" s="274">
        <f t="shared" si="8"/>
        <v>1</v>
      </c>
      <c r="G30" s="274">
        <f t="shared" si="8"/>
        <v>1</v>
      </c>
      <c r="H30" s="274">
        <f t="shared" si="8"/>
        <v>1</v>
      </c>
      <c r="I30" s="273">
        <f t="shared" si="8"/>
        <v>1</v>
      </c>
      <c r="J30" s="273">
        <f t="shared" si="9"/>
        <v>0</v>
      </c>
      <c r="K30" s="274">
        <f t="shared" si="10"/>
        <v>1</v>
      </c>
      <c r="L30" s="274">
        <f t="shared" si="10"/>
        <v>1</v>
      </c>
      <c r="M30" s="274">
        <f t="shared" si="10"/>
        <v>1</v>
      </c>
      <c r="N30" s="273">
        <f t="shared" si="11"/>
        <v>1</v>
      </c>
      <c r="O30" s="273">
        <f t="shared" si="12"/>
        <v>0</v>
      </c>
      <c r="P30" s="275">
        <f t="shared" si="12"/>
        <v>0</v>
      </c>
      <c r="Q30" s="686">
        <f t="shared" si="12"/>
        <v>0</v>
      </c>
      <c r="R30" s="276"/>
      <c r="S30" s="277">
        <f>'Old Counts Pivot Table'!B$19</f>
        <v>995</v>
      </c>
      <c r="T30" s="278">
        <f>'Old Counts Pivot Table'!C$19</f>
        <v>0</v>
      </c>
      <c r="U30" s="278">
        <f>'Old Counts Pivot Table'!D$19</f>
        <v>1820</v>
      </c>
      <c r="V30" s="278">
        <f>'Old Counts Pivot Table'!E$19</f>
        <v>332</v>
      </c>
      <c r="W30" s="278">
        <f>'Old Counts Pivot Table'!F$19</f>
        <v>154</v>
      </c>
      <c r="X30" s="675">
        <f>'Old Counts Pivot Table'!G$19</f>
        <v>421</v>
      </c>
      <c r="Y30" s="277">
        <f>'Old Counts Pivot Table'!H$19</f>
        <v>3722</v>
      </c>
      <c r="Z30" s="277">
        <f>'Old Counts Pivot Table'!I$19</f>
        <v>0</v>
      </c>
      <c r="AA30" s="278">
        <f>'Old Counts Pivot Table'!J$19</f>
        <v>327</v>
      </c>
      <c r="AB30" s="278">
        <f>'Old Counts Pivot Table'!K$19</f>
        <v>218</v>
      </c>
      <c r="AC30" s="278">
        <f>'Old Counts Pivot Table'!L$19</f>
        <v>906</v>
      </c>
      <c r="AD30" s="278">
        <f>'Old Counts Pivot Table'!M$19</f>
        <v>0</v>
      </c>
      <c r="AE30" s="277">
        <f>'Old Counts Pivot Table'!N$19</f>
        <v>1451</v>
      </c>
      <c r="AF30" s="277">
        <f>'Old Counts Pivot Table'!O$19</f>
        <v>0</v>
      </c>
      <c r="AG30" s="278">
        <f>'Old Counts Pivot Table'!P$19</f>
        <v>0</v>
      </c>
      <c r="AH30" s="277">
        <f>'Old Counts Pivot Table'!Q$19</f>
        <v>0</v>
      </c>
      <c r="AI30" s="279"/>
      <c r="AJ30" s="279"/>
    </row>
    <row r="31" spans="1:36" x14ac:dyDescent="0.2">
      <c r="A31" s="692" t="s">
        <v>33</v>
      </c>
      <c r="B31" s="259" t="s">
        <v>3</v>
      </c>
      <c r="C31" s="260">
        <f t="shared" ref="C31:C37" si="13">S31/S$37</f>
        <v>0.34924845269672855</v>
      </c>
      <c r="D31" s="261">
        <f t="shared" ref="D31:D37" si="14">IFERROR(T31/T$37,0)</f>
        <v>0</v>
      </c>
      <c r="E31" s="261">
        <f t="shared" ref="E31:E37" si="15">U31/U$37</f>
        <v>0.18840579710144928</v>
      </c>
      <c r="F31" s="261">
        <f t="shared" ref="F31:H37" si="16">IFERROR(V31/V$37,0)</f>
        <v>0</v>
      </c>
      <c r="G31" s="261">
        <f t="shared" si="16"/>
        <v>0</v>
      </c>
      <c r="H31" s="261">
        <f t="shared" si="16"/>
        <v>0</v>
      </c>
      <c r="I31" s="260">
        <f t="shared" ref="I31:I37" si="17">Y31/Y$37</f>
        <v>0.32436472346786249</v>
      </c>
      <c r="J31" s="260">
        <f t="shared" ref="J31:J37" si="18">IFERROR(Z31/Z$37,0)</f>
        <v>0</v>
      </c>
      <c r="K31" s="261">
        <f t="shared" ref="K31:L37" si="19">AA31/AA$37</f>
        <v>0</v>
      </c>
      <c r="L31" s="261">
        <f t="shared" si="19"/>
        <v>0</v>
      </c>
      <c r="M31" s="262">
        <f t="shared" ref="M31:M37" si="20">IFERROR(AC31/AC$37,0)</f>
        <v>0</v>
      </c>
      <c r="N31" s="260">
        <f t="shared" ref="N31:N37" si="21">AE31/AE$37</f>
        <v>0</v>
      </c>
      <c r="O31" s="260">
        <f t="shared" ref="O31:Q37" si="22">IFERROR(AF31/AF$37,0)</f>
        <v>0</v>
      </c>
      <c r="P31" s="262">
        <f t="shared" si="22"/>
        <v>0</v>
      </c>
      <c r="Q31" s="684">
        <f t="shared" si="22"/>
        <v>0</v>
      </c>
      <c r="R31" s="263"/>
      <c r="S31" s="264">
        <f>'Old Counts Pivot Table'!B$21</f>
        <v>395</v>
      </c>
      <c r="T31" s="265">
        <f>'Old Counts Pivot Table'!C$21</f>
        <v>0</v>
      </c>
      <c r="U31" s="265">
        <f>'Old Counts Pivot Table'!D$21</f>
        <v>39</v>
      </c>
      <c r="V31" s="265">
        <f>'Old Counts Pivot Table'!E$21</f>
        <v>0</v>
      </c>
      <c r="W31" s="265">
        <f>'Old Counts Pivot Table'!F$21</f>
        <v>0</v>
      </c>
      <c r="X31" s="673">
        <f>'Old Counts Pivot Table'!G$21</f>
        <v>0</v>
      </c>
      <c r="Y31" s="264">
        <f>'Old Counts Pivot Table'!H$21</f>
        <v>434</v>
      </c>
      <c r="Z31" s="264">
        <f>'Old Counts Pivot Table'!I$21</f>
        <v>0</v>
      </c>
      <c r="AA31" s="265">
        <f>'Old Counts Pivot Table'!J$21</f>
        <v>0</v>
      </c>
      <c r="AB31" s="265">
        <f>'Old Counts Pivot Table'!K$21</f>
        <v>0</v>
      </c>
      <c r="AC31" s="265">
        <f>'Old Counts Pivot Table'!L$21</f>
        <v>0</v>
      </c>
      <c r="AD31" s="265">
        <f>'Old Counts Pivot Table'!M$21</f>
        <v>0</v>
      </c>
      <c r="AE31" s="264">
        <f>'Old Counts Pivot Table'!N$21</f>
        <v>0</v>
      </c>
      <c r="AF31" s="264">
        <f>'Old Counts Pivot Table'!O$21</f>
        <v>0</v>
      </c>
      <c r="AG31" s="265">
        <f>'Old Counts Pivot Table'!P$21</f>
        <v>0</v>
      </c>
      <c r="AH31" s="264">
        <f>'Old Counts Pivot Table'!Q$21</f>
        <v>0</v>
      </c>
    </row>
    <row r="32" spans="1:36" x14ac:dyDescent="0.2">
      <c r="A32" s="690"/>
      <c r="B32" s="258" t="s">
        <v>4</v>
      </c>
      <c r="C32" s="266">
        <f t="shared" si="13"/>
        <v>0.29531388152077809</v>
      </c>
      <c r="D32" s="267">
        <f t="shared" si="14"/>
        <v>0</v>
      </c>
      <c r="E32" s="267">
        <f t="shared" si="15"/>
        <v>0.43961352657004832</v>
      </c>
      <c r="F32" s="267">
        <f t="shared" si="16"/>
        <v>0</v>
      </c>
      <c r="G32" s="267">
        <f t="shared" si="16"/>
        <v>0</v>
      </c>
      <c r="H32" s="267">
        <f t="shared" si="16"/>
        <v>0</v>
      </c>
      <c r="I32" s="266">
        <f t="shared" si="17"/>
        <v>0.31763826606875933</v>
      </c>
      <c r="J32" s="266">
        <f t="shared" si="18"/>
        <v>0</v>
      </c>
      <c r="K32" s="267">
        <f t="shared" si="19"/>
        <v>0</v>
      </c>
      <c r="L32" s="267">
        <f t="shared" si="19"/>
        <v>0</v>
      </c>
      <c r="M32" s="268">
        <f t="shared" si="20"/>
        <v>0</v>
      </c>
      <c r="N32" s="266">
        <f t="shared" si="21"/>
        <v>0</v>
      </c>
      <c r="O32" s="266">
        <f t="shared" si="22"/>
        <v>0</v>
      </c>
      <c r="P32" s="268">
        <f t="shared" si="22"/>
        <v>0</v>
      </c>
      <c r="Q32" s="685">
        <f t="shared" si="22"/>
        <v>0</v>
      </c>
      <c r="R32" s="269"/>
      <c r="S32" s="270">
        <f>'Old Counts Pivot Table'!B$22</f>
        <v>334</v>
      </c>
      <c r="T32" s="271">
        <f>'Old Counts Pivot Table'!C$22</f>
        <v>0</v>
      </c>
      <c r="U32" s="271">
        <f>'Old Counts Pivot Table'!D$22</f>
        <v>91</v>
      </c>
      <c r="V32" s="271">
        <f>'Old Counts Pivot Table'!E$22</f>
        <v>0</v>
      </c>
      <c r="W32" s="271">
        <f>'Old Counts Pivot Table'!F$22</f>
        <v>0</v>
      </c>
      <c r="X32" s="674">
        <f>'Old Counts Pivot Table'!G$22</f>
        <v>0</v>
      </c>
      <c r="Y32" s="270">
        <f>'Old Counts Pivot Table'!H$22</f>
        <v>425</v>
      </c>
      <c r="Z32" s="270">
        <f>'Old Counts Pivot Table'!I$22</f>
        <v>0</v>
      </c>
      <c r="AA32" s="271">
        <f>'Old Counts Pivot Table'!J$22</f>
        <v>0</v>
      </c>
      <c r="AB32" s="271">
        <f>'Old Counts Pivot Table'!K$22</f>
        <v>0</v>
      </c>
      <c r="AC32" s="271">
        <f>'Old Counts Pivot Table'!L$22</f>
        <v>0</v>
      </c>
      <c r="AD32" s="271">
        <f>'Old Counts Pivot Table'!M$22</f>
        <v>0</v>
      </c>
      <c r="AE32" s="270">
        <f>'Old Counts Pivot Table'!N$22</f>
        <v>0</v>
      </c>
      <c r="AF32" s="270">
        <f>'Old Counts Pivot Table'!O$22</f>
        <v>0</v>
      </c>
      <c r="AG32" s="271">
        <f>'Old Counts Pivot Table'!P$22</f>
        <v>0</v>
      </c>
      <c r="AH32" s="270">
        <f>'Old Counts Pivot Table'!Q$22</f>
        <v>0</v>
      </c>
    </row>
    <row r="33" spans="1:36" x14ac:dyDescent="0.2">
      <c r="A33" s="690"/>
      <c r="B33" s="258" t="s">
        <v>5</v>
      </c>
      <c r="C33" s="266">
        <f t="shared" si="13"/>
        <v>0.26525198938992045</v>
      </c>
      <c r="D33" s="267">
        <f t="shared" si="14"/>
        <v>0</v>
      </c>
      <c r="E33" s="267">
        <f t="shared" si="15"/>
        <v>0.30434782608695654</v>
      </c>
      <c r="F33" s="267">
        <f t="shared" si="16"/>
        <v>0</v>
      </c>
      <c r="G33" s="267">
        <f t="shared" si="16"/>
        <v>0</v>
      </c>
      <c r="H33" s="267">
        <f t="shared" si="16"/>
        <v>0</v>
      </c>
      <c r="I33" s="266">
        <f t="shared" si="17"/>
        <v>0.27130044843049328</v>
      </c>
      <c r="J33" s="266">
        <f t="shared" si="18"/>
        <v>0</v>
      </c>
      <c r="K33" s="267">
        <f t="shared" si="19"/>
        <v>0</v>
      </c>
      <c r="L33" s="267">
        <f t="shared" si="19"/>
        <v>0</v>
      </c>
      <c r="M33" s="268">
        <f t="shared" si="20"/>
        <v>0</v>
      </c>
      <c r="N33" s="266">
        <f t="shared" si="21"/>
        <v>0</v>
      </c>
      <c r="O33" s="266">
        <f t="shared" si="22"/>
        <v>0</v>
      </c>
      <c r="P33" s="268">
        <f t="shared" si="22"/>
        <v>0</v>
      </c>
      <c r="Q33" s="685">
        <f t="shared" si="22"/>
        <v>0</v>
      </c>
      <c r="R33" s="269"/>
      <c r="S33" s="270">
        <f>'Old Counts Pivot Table'!B$23</f>
        <v>300</v>
      </c>
      <c r="T33" s="271">
        <f>'Old Counts Pivot Table'!C$23</f>
        <v>0</v>
      </c>
      <c r="U33" s="271">
        <f>'Old Counts Pivot Table'!D$23</f>
        <v>63</v>
      </c>
      <c r="V33" s="271">
        <f>'Old Counts Pivot Table'!E$23</f>
        <v>0</v>
      </c>
      <c r="W33" s="271">
        <f>'Old Counts Pivot Table'!F$23</f>
        <v>0</v>
      </c>
      <c r="X33" s="674">
        <f>'Old Counts Pivot Table'!G$23</f>
        <v>0</v>
      </c>
      <c r="Y33" s="270">
        <f>'Old Counts Pivot Table'!H$23</f>
        <v>363</v>
      </c>
      <c r="Z33" s="270">
        <f>'Old Counts Pivot Table'!I$23</f>
        <v>0</v>
      </c>
      <c r="AA33" s="271">
        <f>'Old Counts Pivot Table'!J$23</f>
        <v>0</v>
      </c>
      <c r="AB33" s="271">
        <f>'Old Counts Pivot Table'!K$23</f>
        <v>0</v>
      </c>
      <c r="AC33" s="271">
        <f>'Old Counts Pivot Table'!L$23</f>
        <v>0</v>
      </c>
      <c r="AD33" s="271">
        <f>'Old Counts Pivot Table'!M$23</f>
        <v>0</v>
      </c>
      <c r="AE33" s="270">
        <f>'Old Counts Pivot Table'!N$23</f>
        <v>0</v>
      </c>
      <c r="AF33" s="270">
        <f>'Old Counts Pivot Table'!O$23</f>
        <v>0</v>
      </c>
      <c r="AG33" s="271">
        <f>'Old Counts Pivot Table'!P$23</f>
        <v>0</v>
      </c>
      <c r="AH33" s="270">
        <f>'Old Counts Pivot Table'!Q$23</f>
        <v>0</v>
      </c>
    </row>
    <row r="34" spans="1:36" x14ac:dyDescent="0.2">
      <c r="A34" s="690"/>
      <c r="B34" s="258" t="s">
        <v>6</v>
      </c>
      <c r="C34" s="266">
        <f t="shared" si="13"/>
        <v>9.0185676392572939E-2</v>
      </c>
      <c r="D34" s="267">
        <f t="shared" si="14"/>
        <v>0</v>
      </c>
      <c r="E34" s="267">
        <f t="shared" si="15"/>
        <v>5.7971014492753624E-2</v>
      </c>
      <c r="F34" s="267">
        <f t="shared" si="16"/>
        <v>0</v>
      </c>
      <c r="G34" s="267">
        <f t="shared" si="16"/>
        <v>0</v>
      </c>
      <c r="H34" s="267">
        <f t="shared" si="16"/>
        <v>0</v>
      </c>
      <c r="I34" s="266">
        <f t="shared" si="17"/>
        <v>8.520179372197309E-2</v>
      </c>
      <c r="J34" s="266">
        <f t="shared" si="18"/>
        <v>0</v>
      </c>
      <c r="K34" s="267">
        <f t="shared" si="19"/>
        <v>0</v>
      </c>
      <c r="L34" s="267">
        <f t="shared" si="19"/>
        <v>0</v>
      </c>
      <c r="M34" s="268">
        <f t="shared" si="20"/>
        <v>0</v>
      </c>
      <c r="N34" s="266">
        <f t="shared" si="21"/>
        <v>0</v>
      </c>
      <c r="O34" s="266">
        <f t="shared" si="22"/>
        <v>0</v>
      </c>
      <c r="P34" s="268">
        <f t="shared" si="22"/>
        <v>0</v>
      </c>
      <c r="Q34" s="685">
        <f t="shared" si="22"/>
        <v>0</v>
      </c>
      <c r="R34" s="269"/>
      <c r="S34" s="270">
        <f>'Old Counts Pivot Table'!B$24</f>
        <v>102</v>
      </c>
      <c r="T34" s="271">
        <f>'Old Counts Pivot Table'!C$24</f>
        <v>0</v>
      </c>
      <c r="U34" s="271">
        <f>'Old Counts Pivot Table'!D$24</f>
        <v>12</v>
      </c>
      <c r="V34" s="271">
        <f>'Old Counts Pivot Table'!E$24</f>
        <v>0</v>
      </c>
      <c r="W34" s="271">
        <f>'Old Counts Pivot Table'!F$24</f>
        <v>0</v>
      </c>
      <c r="X34" s="674">
        <f>'Old Counts Pivot Table'!G$24</f>
        <v>0</v>
      </c>
      <c r="Y34" s="270">
        <f>'Old Counts Pivot Table'!H$24</f>
        <v>114</v>
      </c>
      <c r="Z34" s="270">
        <f>'Old Counts Pivot Table'!I$24</f>
        <v>0</v>
      </c>
      <c r="AA34" s="271">
        <f>'Old Counts Pivot Table'!J$24</f>
        <v>0</v>
      </c>
      <c r="AB34" s="271">
        <f>'Old Counts Pivot Table'!K$24</f>
        <v>0</v>
      </c>
      <c r="AC34" s="271">
        <f>'Old Counts Pivot Table'!L$24</f>
        <v>0</v>
      </c>
      <c r="AD34" s="271">
        <f>'Old Counts Pivot Table'!M$24</f>
        <v>0</v>
      </c>
      <c r="AE34" s="270">
        <f>'Old Counts Pivot Table'!N$24</f>
        <v>0</v>
      </c>
      <c r="AF34" s="270">
        <f>'Old Counts Pivot Table'!O$24</f>
        <v>0</v>
      </c>
      <c r="AG34" s="271">
        <f>'Old Counts Pivot Table'!P$24</f>
        <v>0</v>
      </c>
      <c r="AH34" s="270">
        <f>'Old Counts Pivot Table'!Q$24</f>
        <v>0</v>
      </c>
    </row>
    <row r="35" spans="1:36" x14ac:dyDescent="0.2">
      <c r="A35" s="690"/>
      <c r="B35" s="258" t="s">
        <v>26</v>
      </c>
      <c r="C35" s="266">
        <f t="shared" si="13"/>
        <v>0</v>
      </c>
      <c r="D35" s="267">
        <f t="shared" si="14"/>
        <v>0</v>
      </c>
      <c r="E35" s="267">
        <f t="shared" si="15"/>
        <v>9.6618357487922701E-3</v>
      </c>
      <c r="F35" s="267">
        <f t="shared" si="16"/>
        <v>0</v>
      </c>
      <c r="G35" s="267">
        <f t="shared" si="16"/>
        <v>0</v>
      </c>
      <c r="H35" s="267">
        <f t="shared" si="16"/>
        <v>0</v>
      </c>
      <c r="I35" s="266">
        <f t="shared" si="17"/>
        <v>1.4947683109118087E-3</v>
      </c>
      <c r="J35" s="266">
        <f t="shared" si="18"/>
        <v>0</v>
      </c>
      <c r="K35" s="267">
        <f t="shared" si="19"/>
        <v>0</v>
      </c>
      <c r="L35" s="267">
        <f t="shared" si="19"/>
        <v>0</v>
      </c>
      <c r="M35" s="268">
        <f t="shared" si="20"/>
        <v>0</v>
      </c>
      <c r="N35" s="266">
        <f t="shared" si="21"/>
        <v>0</v>
      </c>
      <c r="O35" s="266">
        <f t="shared" si="22"/>
        <v>0</v>
      </c>
      <c r="P35" s="268">
        <f t="shared" si="22"/>
        <v>0</v>
      </c>
      <c r="Q35" s="685">
        <f t="shared" si="22"/>
        <v>0</v>
      </c>
      <c r="R35" s="269"/>
      <c r="S35" s="270">
        <f>'Old Counts Pivot Table'!B$25</f>
        <v>0</v>
      </c>
      <c r="T35" s="271">
        <f>'Old Counts Pivot Table'!C$25</f>
        <v>0</v>
      </c>
      <c r="U35" s="271">
        <f>'Old Counts Pivot Table'!D$25</f>
        <v>2</v>
      </c>
      <c r="V35" s="271">
        <f>'Old Counts Pivot Table'!E$25</f>
        <v>0</v>
      </c>
      <c r="W35" s="271">
        <f>'Old Counts Pivot Table'!F$25</f>
        <v>0</v>
      </c>
      <c r="X35" s="674">
        <f>'Old Counts Pivot Table'!G$25</f>
        <v>0</v>
      </c>
      <c r="Y35" s="270">
        <f>'Old Counts Pivot Table'!H$25</f>
        <v>2</v>
      </c>
      <c r="Z35" s="270">
        <f>'Old Counts Pivot Table'!I$25</f>
        <v>0</v>
      </c>
      <c r="AA35" s="271">
        <f>'Old Counts Pivot Table'!J$25</f>
        <v>0</v>
      </c>
      <c r="AB35" s="271">
        <f>'Old Counts Pivot Table'!K$25</f>
        <v>0</v>
      </c>
      <c r="AC35" s="271">
        <f>'Old Counts Pivot Table'!L$25</f>
        <v>0</v>
      </c>
      <c r="AD35" s="271">
        <f>'Old Counts Pivot Table'!M$25</f>
        <v>0</v>
      </c>
      <c r="AE35" s="270">
        <f>'Old Counts Pivot Table'!N$25</f>
        <v>0</v>
      </c>
      <c r="AF35" s="270">
        <f>'Old Counts Pivot Table'!O$25</f>
        <v>0</v>
      </c>
      <c r="AG35" s="271">
        <f>'Old Counts Pivot Table'!P$25</f>
        <v>0</v>
      </c>
      <c r="AH35" s="270">
        <f>'Old Counts Pivot Table'!Q$25</f>
        <v>0</v>
      </c>
    </row>
    <row r="36" spans="1:36" x14ac:dyDescent="0.2">
      <c r="A36" s="690"/>
      <c r="B36" s="258" t="s">
        <v>23</v>
      </c>
      <c r="C36" s="266">
        <f t="shared" si="13"/>
        <v>0</v>
      </c>
      <c r="D36" s="267">
        <f t="shared" si="14"/>
        <v>0</v>
      </c>
      <c r="E36" s="267">
        <f t="shared" si="15"/>
        <v>0</v>
      </c>
      <c r="F36" s="267">
        <f t="shared" si="16"/>
        <v>0</v>
      </c>
      <c r="G36" s="267">
        <f t="shared" si="16"/>
        <v>0</v>
      </c>
      <c r="H36" s="267">
        <f t="shared" si="16"/>
        <v>0</v>
      </c>
      <c r="I36" s="266">
        <f t="shared" si="17"/>
        <v>0</v>
      </c>
      <c r="J36" s="266">
        <f t="shared" si="18"/>
        <v>0</v>
      </c>
      <c r="K36" s="267">
        <f t="shared" si="19"/>
        <v>1</v>
      </c>
      <c r="L36" s="267">
        <f t="shared" si="19"/>
        <v>1</v>
      </c>
      <c r="M36" s="268">
        <f t="shared" si="20"/>
        <v>0</v>
      </c>
      <c r="N36" s="266">
        <f t="shared" si="21"/>
        <v>1</v>
      </c>
      <c r="O36" s="266">
        <f t="shared" si="22"/>
        <v>0</v>
      </c>
      <c r="P36" s="268">
        <f t="shared" si="22"/>
        <v>0</v>
      </c>
      <c r="Q36" s="685">
        <f t="shared" si="22"/>
        <v>0</v>
      </c>
      <c r="R36" s="269"/>
      <c r="S36" s="270">
        <f>'Old Counts Pivot Table'!B$26</f>
        <v>0</v>
      </c>
      <c r="T36" s="271">
        <f>'Old Counts Pivot Table'!C$26</f>
        <v>0</v>
      </c>
      <c r="U36" s="271">
        <f>'Old Counts Pivot Table'!D$26</f>
        <v>0</v>
      </c>
      <c r="V36" s="271">
        <f>'Old Counts Pivot Table'!E$26</f>
        <v>0</v>
      </c>
      <c r="W36" s="271">
        <f>'Old Counts Pivot Table'!F$26</f>
        <v>0</v>
      </c>
      <c r="X36" s="674">
        <f>'Old Counts Pivot Table'!G$26</f>
        <v>0</v>
      </c>
      <c r="Y36" s="270">
        <f>'Old Counts Pivot Table'!H$26</f>
        <v>0</v>
      </c>
      <c r="Z36" s="270">
        <f>'Old Counts Pivot Table'!I$26</f>
        <v>0</v>
      </c>
      <c r="AA36" s="271">
        <f>'Old Counts Pivot Table'!J$26</f>
        <v>176</v>
      </c>
      <c r="AB36" s="271">
        <f>'Old Counts Pivot Table'!K$26</f>
        <v>207</v>
      </c>
      <c r="AC36" s="271">
        <f>'Old Counts Pivot Table'!L$26</f>
        <v>0</v>
      </c>
      <c r="AD36" s="271">
        <f>'Old Counts Pivot Table'!M$26</f>
        <v>0</v>
      </c>
      <c r="AE36" s="270">
        <f>'Old Counts Pivot Table'!N$26</f>
        <v>383</v>
      </c>
      <c r="AF36" s="270">
        <f>'Old Counts Pivot Table'!O$26</f>
        <v>0</v>
      </c>
      <c r="AG36" s="271">
        <f>'Old Counts Pivot Table'!P$26</f>
        <v>0</v>
      </c>
      <c r="AH36" s="270">
        <f>'Old Counts Pivot Table'!Q$26</f>
        <v>0</v>
      </c>
    </row>
    <row r="37" spans="1:36" s="280" customFormat="1" x14ac:dyDescent="0.25">
      <c r="A37" s="691"/>
      <c r="B37" s="272" t="s">
        <v>220</v>
      </c>
      <c r="C37" s="273">
        <f t="shared" si="13"/>
        <v>1</v>
      </c>
      <c r="D37" s="274">
        <f t="shared" si="14"/>
        <v>0</v>
      </c>
      <c r="E37" s="274">
        <f t="shared" si="15"/>
        <v>1</v>
      </c>
      <c r="F37" s="274">
        <f t="shared" si="16"/>
        <v>0</v>
      </c>
      <c r="G37" s="274">
        <f t="shared" si="16"/>
        <v>0</v>
      </c>
      <c r="H37" s="274">
        <f t="shared" si="16"/>
        <v>0</v>
      </c>
      <c r="I37" s="273">
        <f t="shared" si="17"/>
        <v>1</v>
      </c>
      <c r="J37" s="273">
        <f t="shared" si="18"/>
        <v>0</v>
      </c>
      <c r="K37" s="274">
        <f t="shared" si="19"/>
        <v>1</v>
      </c>
      <c r="L37" s="274">
        <f t="shared" si="19"/>
        <v>1</v>
      </c>
      <c r="M37" s="275">
        <f t="shared" si="20"/>
        <v>0</v>
      </c>
      <c r="N37" s="273">
        <f t="shared" si="21"/>
        <v>1</v>
      </c>
      <c r="O37" s="273">
        <f t="shared" si="22"/>
        <v>0</v>
      </c>
      <c r="P37" s="275">
        <f t="shared" si="22"/>
        <v>0</v>
      </c>
      <c r="Q37" s="686">
        <f t="shared" si="22"/>
        <v>0</v>
      </c>
      <c r="R37" s="276"/>
      <c r="S37" s="277">
        <f>'Old Counts Pivot Table'!B$27</f>
        <v>1131</v>
      </c>
      <c r="T37" s="278">
        <f>'Old Counts Pivot Table'!C$27</f>
        <v>0</v>
      </c>
      <c r="U37" s="278">
        <f>'Old Counts Pivot Table'!D$27</f>
        <v>207</v>
      </c>
      <c r="V37" s="278">
        <f>'Old Counts Pivot Table'!E$27</f>
        <v>0</v>
      </c>
      <c r="W37" s="278">
        <f>'Old Counts Pivot Table'!F$27</f>
        <v>0</v>
      </c>
      <c r="X37" s="675">
        <f>'Old Counts Pivot Table'!G$27</f>
        <v>0</v>
      </c>
      <c r="Y37" s="277">
        <f>'Old Counts Pivot Table'!H$27</f>
        <v>1338</v>
      </c>
      <c r="Z37" s="277">
        <f>'Old Counts Pivot Table'!I$27</f>
        <v>0</v>
      </c>
      <c r="AA37" s="278">
        <f>'Old Counts Pivot Table'!J$27</f>
        <v>176</v>
      </c>
      <c r="AB37" s="278">
        <f>'Old Counts Pivot Table'!K$27</f>
        <v>207</v>
      </c>
      <c r="AC37" s="278">
        <f>'Old Counts Pivot Table'!L$27</f>
        <v>0</v>
      </c>
      <c r="AD37" s="278">
        <f>'Old Counts Pivot Table'!M$27</f>
        <v>0</v>
      </c>
      <c r="AE37" s="277">
        <f>'Old Counts Pivot Table'!N$27</f>
        <v>383</v>
      </c>
      <c r="AF37" s="277">
        <f>'Old Counts Pivot Table'!O$27</f>
        <v>0</v>
      </c>
      <c r="AG37" s="278">
        <f>'Old Counts Pivot Table'!P$27</f>
        <v>0</v>
      </c>
      <c r="AH37" s="277">
        <f>'Old Counts Pivot Table'!Q$27</f>
        <v>0</v>
      </c>
      <c r="AI37" s="279"/>
      <c r="AJ37" s="279"/>
    </row>
    <row r="38" spans="1:36" x14ac:dyDescent="0.2">
      <c r="A38" s="692" t="s">
        <v>34</v>
      </c>
      <c r="B38" s="259" t="s">
        <v>3</v>
      </c>
      <c r="C38" s="260">
        <f t="shared" ref="C38:C44" si="23">S38/S$44</f>
        <v>0.29470650690125894</v>
      </c>
      <c r="D38" s="261">
        <f t="shared" ref="D38:D44" si="24">IFERROR(T38/T$44,0)</f>
        <v>0.25688073394495414</v>
      </c>
      <c r="E38" s="261">
        <f t="shared" ref="E38:E44" si="25">U38/U$44</f>
        <v>0.22940723633564281</v>
      </c>
      <c r="F38" s="261">
        <f t="shared" ref="F38:H44" si="26">IFERROR(V38/V$44,0)</f>
        <v>0.16243654822335024</v>
      </c>
      <c r="G38" s="261">
        <f t="shared" si="26"/>
        <v>0</v>
      </c>
      <c r="H38" s="261">
        <f t="shared" si="26"/>
        <v>0.37681159420289856</v>
      </c>
      <c r="I38" s="260">
        <f t="shared" ref="I38:I44" si="27">Y38/Y$44</f>
        <v>0.27714411055055932</v>
      </c>
      <c r="J38" s="260">
        <f t="shared" ref="J38:J44" si="28">IFERROR(Z38/Z$44,0)</f>
        <v>0</v>
      </c>
      <c r="K38" s="261">
        <f t="shared" ref="K38:L44" si="29">AA38/AA$44</f>
        <v>0</v>
      </c>
      <c r="L38" s="261">
        <f t="shared" si="29"/>
        <v>0</v>
      </c>
      <c r="M38" s="262">
        <f t="shared" ref="M38:M44" si="30">IFERROR(AC38/AC$44,0)</f>
        <v>0</v>
      </c>
      <c r="N38" s="260">
        <f t="shared" ref="N38:N44" si="31">AE38/AE$44</f>
        <v>0</v>
      </c>
      <c r="O38" s="260">
        <f t="shared" ref="O38:Q44" si="32">IFERROR(AF38/AF$44,0)</f>
        <v>0</v>
      </c>
      <c r="P38" s="262">
        <f t="shared" si="32"/>
        <v>0</v>
      </c>
      <c r="Q38" s="684">
        <f t="shared" si="32"/>
        <v>0</v>
      </c>
      <c r="R38" s="263"/>
      <c r="S38" s="264">
        <f>'Old Counts Pivot Table'!B$29</f>
        <v>1943</v>
      </c>
      <c r="T38" s="265">
        <f>'Old Counts Pivot Table'!C$29</f>
        <v>196</v>
      </c>
      <c r="U38" s="265">
        <f>'Old Counts Pivot Table'!D$29</f>
        <v>298</v>
      </c>
      <c r="V38" s="265">
        <f>'Old Counts Pivot Table'!E$29</f>
        <v>64</v>
      </c>
      <c r="W38" s="265">
        <f>'Old Counts Pivot Table'!F$29</f>
        <v>0</v>
      </c>
      <c r="X38" s="673">
        <f>'Old Counts Pivot Table'!G$29</f>
        <v>26</v>
      </c>
      <c r="Y38" s="264">
        <f>'Old Counts Pivot Table'!H$29</f>
        <v>2527</v>
      </c>
      <c r="Z38" s="264">
        <f>'Old Counts Pivot Table'!I$29</f>
        <v>0</v>
      </c>
      <c r="AA38" s="265">
        <f>'Old Counts Pivot Table'!J$29</f>
        <v>0</v>
      </c>
      <c r="AB38" s="265">
        <f>'Old Counts Pivot Table'!K$29</f>
        <v>0</v>
      </c>
      <c r="AC38" s="265">
        <f>'Old Counts Pivot Table'!L$29</f>
        <v>0</v>
      </c>
      <c r="AD38" s="265">
        <f>'Old Counts Pivot Table'!M$29</f>
        <v>0</v>
      </c>
      <c r="AE38" s="264">
        <f>'Old Counts Pivot Table'!N$29</f>
        <v>0</v>
      </c>
      <c r="AF38" s="264">
        <f>'Old Counts Pivot Table'!O$29</f>
        <v>0</v>
      </c>
      <c r="AG38" s="265">
        <f>'Old Counts Pivot Table'!P$29</f>
        <v>0</v>
      </c>
      <c r="AH38" s="264">
        <f>'Old Counts Pivot Table'!Q$29</f>
        <v>0</v>
      </c>
    </row>
    <row r="39" spans="1:36" x14ac:dyDescent="0.2">
      <c r="A39" s="690"/>
      <c r="B39" s="258" t="s">
        <v>4</v>
      </c>
      <c r="C39" s="266">
        <f t="shared" si="23"/>
        <v>0.28302745335962387</v>
      </c>
      <c r="D39" s="267">
        <f t="shared" si="24"/>
        <v>0.30013106159895153</v>
      </c>
      <c r="E39" s="267">
        <f t="shared" si="25"/>
        <v>0.31177829099307158</v>
      </c>
      <c r="F39" s="267">
        <f t="shared" si="26"/>
        <v>0.2512690355329949</v>
      </c>
      <c r="G39" s="267">
        <f t="shared" si="26"/>
        <v>0</v>
      </c>
      <c r="H39" s="267">
        <f t="shared" si="26"/>
        <v>0.27536231884057971</v>
      </c>
      <c r="I39" s="266">
        <f t="shared" si="27"/>
        <v>0.28712436937924984</v>
      </c>
      <c r="J39" s="266">
        <f t="shared" si="28"/>
        <v>0</v>
      </c>
      <c r="K39" s="267">
        <f t="shared" si="29"/>
        <v>0</v>
      </c>
      <c r="L39" s="267">
        <f t="shared" si="29"/>
        <v>0</v>
      </c>
      <c r="M39" s="268">
        <f t="shared" si="30"/>
        <v>0</v>
      </c>
      <c r="N39" s="266">
        <f t="shared" si="31"/>
        <v>0</v>
      </c>
      <c r="O39" s="266">
        <f t="shared" si="32"/>
        <v>0</v>
      </c>
      <c r="P39" s="268">
        <f t="shared" si="32"/>
        <v>0</v>
      </c>
      <c r="Q39" s="685">
        <f t="shared" si="32"/>
        <v>0</v>
      </c>
      <c r="R39" s="269"/>
      <c r="S39" s="270">
        <f>'Old Counts Pivot Table'!B$30</f>
        <v>1866</v>
      </c>
      <c r="T39" s="271">
        <f>'Old Counts Pivot Table'!C$30</f>
        <v>229</v>
      </c>
      <c r="U39" s="271">
        <f>'Old Counts Pivot Table'!D$30</f>
        <v>405</v>
      </c>
      <c r="V39" s="271">
        <f>'Old Counts Pivot Table'!E$30</f>
        <v>99</v>
      </c>
      <c r="W39" s="271">
        <f>'Old Counts Pivot Table'!F$30</f>
        <v>0</v>
      </c>
      <c r="X39" s="674">
        <f>'Old Counts Pivot Table'!G$30</f>
        <v>19</v>
      </c>
      <c r="Y39" s="270">
        <f>'Old Counts Pivot Table'!H$30</f>
        <v>2618</v>
      </c>
      <c r="Z39" s="270">
        <f>'Old Counts Pivot Table'!I$30</f>
        <v>0</v>
      </c>
      <c r="AA39" s="271">
        <f>'Old Counts Pivot Table'!J$30</f>
        <v>0</v>
      </c>
      <c r="AB39" s="271">
        <f>'Old Counts Pivot Table'!K$30</f>
        <v>0</v>
      </c>
      <c r="AC39" s="271">
        <f>'Old Counts Pivot Table'!L$30</f>
        <v>0</v>
      </c>
      <c r="AD39" s="271">
        <f>'Old Counts Pivot Table'!M$30</f>
        <v>0</v>
      </c>
      <c r="AE39" s="270">
        <f>'Old Counts Pivot Table'!N$30</f>
        <v>0</v>
      </c>
      <c r="AF39" s="270">
        <f>'Old Counts Pivot Table'!O$30</f>
        <v>0</v>
      </c>
      <c r="AG39" s="271">
        <f>'Old Counts Pivot Table'!P$30</f>
        <v>0</v>
      </c>
      <c r="AH39" s="270">
        <f>'Old Counts Pivot Table'!Q$30</f>
        <v>0</v>
      </c>
    </row>
    <row r="40" spans="1:36" x14ac:dyDescent="0.2">
      <c r="A40" s="690"/>
      <c r="B40" s="258" t="s">
        <v>5</v>
      </c>
      <c r="C40" s="266">
        <f t="shared" si="23"/>
        <v>0.23085090247231912</v>
      </c>
      <c r="D40" s="267">
        <f t="shared" si="24"/>
        <v>0.19397116644823068</v>
      </c>
      <c r="E40" s="267">
        <f t="shared" si="25"/>
        <v>0.29099307159353349</v>
      </c>
      <c r="F40" s="267">
        <f t="shared" si="26"/>
        <v>0.3350253807106599</v>
      </c>
      <c r="G40" s="267">
        <f t="shared" si="26"/>
        <v>0</v>
      </c>
      <c r="H40" s="267">
        <f t="shared" si="26"/>
        <v>0.33333333333333331</v>
      </c>
      <c r="I40" s="266">
        <f t="shared" si="27"/>
        <v>0.24161000219346349</v>
      </c>
      <c r="J40" s="266">
        <f t="shared" si="28"/>
        <v>0</v>
      </c>
      <c r="K40" s="267">
        <f t="shared" si="29"/>
        <v>0</v>
      </c>
      <c r="L40" s="267">
        <f t="shared" si="29"/>
        <v>0</v>
      </c>
      <c r="M40" s="268">
        <f t="shared" si="30"/>
        <v>0</v>
      </c>
      <c r="N40" s="266">
        <f t="shared" si="31"/>
        <v>0</v>
      </c>
      <c r="O40" s="266">
        <f t="shared" si="32"/>
        <v>0</v>
      </c>
      <c r="P40" s="268">
        <f t="shared" si="32"/>
        <v>0</v>
      </c>
      <c r="Q40" s="685">
        <f t="shared" si="32"/>
        <v>0</v>
      </c>
      <c r="R40" s="269"/>
      <c r="S40" s="270">
        <f>'Old Counts Pivot Table'!B$31</f>
        <v>1522</v>
      </c>
      <c r="T40" s="271">
        <f>'Old Counts Pivot Table'!C$31</f>
        <v>148</v>
      </c>
      <c r="U40" s="271">
        <f>'Old Counts Pivot Table'!D$31</f>
        <v>378</v>
      </c>
      <c r="V40" s="271">
        <f>'Old Counts Pivot Table'!E$31</f>
        <v>132</v>
      </c>
      <c r="W40" s="271">
        <f>'Old Counts Pivot Table'!F$31</f>
        <v>0</v>
      </c>
      <c r="X40" s="674">
        <f>'Old Counts Pivot Table'!G$31</f>
        <v>23</v>
      </c>
      <c r="Y40" s="270">
        <f>'Old Counts Pivot Table'!H$31</f>
        <v>2203</v>
      </c>
      <c r="Z40" s="270">
        <f>'Old Counts Pivot Table'!I$31</f>
        <v>0</v>
      </c>
      <c r="AA40" s="271">
        <f>'Old Counts Pivot Table'!J$31</f>
        <v>0</v>
      </c>
      <c r="AB40" s="271">
        <f>'Old Counts Pivot Table'!K$31</f>
        <v>0</v>
      </c>
      <c r="AC40" s="271">
        <f>'Old Counts Pivot Table'!L$31</f>
        <v>0</v>
      </c>
      <c r="AD40" s="271">
        <f>'Old Counts Pivot Table'!M$31</f>
        <v>0</v>
      </c>
      <c r="AE40" s="270">
        <f>'Old Counts Pivot Table'!N$31</f>
        <v>0</v>
      </c>
      <c r="AF40" s="270">
        <f>'Old Counts Pivot Table'!O$31</f>
        <v>0</v>
      </c>
      <c r="AG40" s="271">
        <f>'Old Counts Pivot Table'!P$31</f>
        <v>0</v>
      </c>
      <c r="AH40" s="270">
        <f>'Old Counts Pivot Table'!Q$31</f>
        <v>0</v>
      </c>
    </row>
    <row r="41" spans="1:36" x14ac:dyDescent="0.2">
      <c r="A41" s="690"/>
      <c r="B41" s="258" t="s">
        <v>6</v>
      </c>
      <c r="C41" s="266">
        <f t="shared" si="23"/>
        <v>0.1046564538146519</v>
      </c>
      <c r="D41" s="267">
        <f t="shared" si="24"/>
        <v>0.24639580602883354</v>
      </c>
      <c r="E41" s="267">
        <f t="shared" si="25"/>
        <v>0.13856812933025403</v>
      </c>
      <c r="F41" s="267">
        <f t="shared" si="26"/>
        <v>0.2512690355329949</v>
      </c>
      <c r="G41" s="267">
        <f t="shared" si="26"/>
        <v>0</v>
      </c>
      <c r="H41" s="267">
        <f t="shared" si="26"/>
        <v>1.4492753623188406E-2</v>
      </c>
      <c r="I41" s="266">
        <f t="shared" si="27"/>
        <v>0.12700153542443518</v>
      </c>
      <c r="J41" s="266">
        <f t="shared" si="28"/>
        <v>0</v>
      </c>
      <c r="K41" s="267">
        <f t="shared" si="29"/>
        <v>0</v>
      </c>
      <c r="L41" s="267">
        <f t="shared" si="29"/>
        <v>0</v>
      </c>
      <c r="M41" s="268">
        <f t="shared" si="30"/>
        <v>0</v>
      </c>
      <c r="N41" s="266">
        <f t="shared" si="31"/>
        <v>0</v>
      </c>
      <c r="O41" s="266">
        <f t="shared" si="32"/>
        <v>0</v>
      </c>
      <c r="P41" s="268">
        <f t="shared" si="32"/>
        <v>0</v>
      </c>
      <c r="Q41" s="685">
        <f t="shared" si="32"/>
        <v>0</v>
      </c>
      <c r="R41" s="269"/>
      <c r="S41" s="270">
        <f>'Old Counts Pivot Table'!B$32</f>
        <v>690</v>
      </c>
      <c r="T41" s="271">
        <f>'Old Counts Pivot Table'!C$32</f>
        <v>188</v>
      </c>
      <c r="U41" s="271">
        <f>'Old Counts Pivot Table'!D$32</f>
        <v>180</v>
      </c>
      <c r="V41" s="271">
        <f>'Old Counts Pivot Table'!E$32</f>
        <v>99</v>
      </c>
      <c r="W41" s="271">
        <f>'Old Counts Pivot Table'!F$32</f>
        <v>0</v>
      </c>
      <c r="X41" s="674">
        <f>'Old Counts Pivot Table'!G$32</f>
        <v>1</v>
      </c>
      <c r="Y41" s="270">
        <f>'Old Counts Pivot Table'!H$32</f>
        <v>1158</v>
      </c>
      <c r="Z41" s="270">
        <f>'Old Counts Pivot Table'!I$32</f>
        <v>0</v>
      </c>
      <c r="AA41" s="271">
        <f>'Old Counts Pivot Table'!J$32</f>
        <v>0</v>
      </c>
      <c r="AB41" s="271">
        <f>'Old Counts Pivot Table'!K$32</f>
        <v>0</v>
      </c>
      <c r="AC41" s="271">
        <f>'Old Counts Pivot Table'!L$32</f>
        <v>0</v>
      </c>
      <c r="AD41" s="271">
        <f>'Old Counts Pivot Table'!M$32</f>
        <v>0</v>
      </c>
      <c r="AE41" s="270">
        <f>'Old Counts Pivot Table'!N$32</f>
        <v>0</v>
      </c>
      <c r="AF41" s="270">
        <f>'Old Counts Pivot Table'!O$32</f>
        <v>0</v>
      </c>
      <c r="AG41" s="271">
        <f>'Old Counts Pivot Table'!P$32</f>
        <v>0</v>
      </c>
      <c r="AH41" s="270">
        <f>'Old Counts Pivot Table'!Q$32</f>
        <v>0</v>
      </c>
    </row>
    <row r="42" spans="1:36" x14ac:dyDescent="0.2">
      <c r="A42" s="690"/>
      <c r="B42" s="258" t="s">
        <v>26</v>
      </c>
      <c r="C42" s="266">
        <f t="shared" si="23"/>
        <v>8.6758683452146212E-2</v>
      </c>
      <c r="D42" s="267">
        <f t="shared" si="24"/>
        <v>2.6212319790301442E-3</v>
      </c>
      <c r="E42" s="267">
        <f t="shared" si="25"/>
        <v>2.9253271747498075E-2</v>
      </c>
      <c r="F42" s="267">
        <f t="shared" si="26"/>
        <v>0</v>
      </c>
      <c r="G42" s="267">
        <f t="shared" si="26"/>
        <v>0</v>
      </c>
      <c r="H42" s="267">
        <f t="shared" si="26"/>
        <v>0</v>
      </c>
      <c r="I42" s="266">
        <f t="shared" si="27"/>
        <v>6.7119982452292171E-2</v>
      </c>
      <c r="J42" s="266">
        <f t="shared" si="28"/>
        <v>0</v>
      </c>
      <c r="K42" s="267">
        <f t="shared" si="29"/>
        <v>0</v>
      </c>
      <c r="L42" s="267">
        <f t="shared" si="29"/>
        <v>0</v>
      </c>
      <c r="M42" s="268">
        <f t="shared" si="30"/>
        <v>0</v>
      </c>
      <c r="N42" s="266">
        <f t="shared" si="31"/>
        <v>0</v>
      </c>
      <c r="O42" s="266">
        <f t="shared" si="32"/>
        <v>0</v>
      </c>
      <c r="P42" s="268">
        <f t="shared" si="32"/>
        <v>0</v>
      </c>
      <c r="Q42" s="685">
        <f t="shared" si="32"/>
        <v>0</v>
      </c>
      <c r="R42" s="269"/>
      <c r="S42" s="270">
        <f>'Old Counts Pivot Table'!B$33</f>
        <v>572</v>
      </c>
      <c r="T42" s="271">
        <f>'Old Counts Pivot Table'!C$33</f>
        <v>2</v>
      </c>
      <c r="U42" s="271">
        <f>'Old Counts Pivot Table'!D$33</f>
        <v>38</v>
      </c>
      <c r="V42" s="271">
        <f>'Old Counts Pivot Table'!E$33</f>
        <v>0</v>
      </c>
      <c r="W42" s="271">
        <f>'Old Counts Pivot Table'!F$33</f>
        <v>0</v>
      </c>
      <c r="X42" s="674">
        <f>'Old Counts Pivot Table'!G$33</f>
        <v>0</v>
      </c>
      <c r="Y42" s="270">
        <f>'Old Counts Pivot Table'!H$33</f>
        <v>612</v>
      </c>
      <c r="Z42" s="270">
        <f>'Old Counts Pivot Table'!I$33</f>
        <v>0</v>
      </c>
      <c r="AA42" s="271">
        <f>'Old Counts Pivot Table'!J$33</f>
        <v>0</v>
      </c>
      <c r="AB42" s="271">
        <f>'Old Counts Pivot Table'!K$33</f>
        <v>0</v>
      </c>
      <c r="AC42" s="271">
        <f>'Old Counts Pivot Table'!L$33</f>
        <v>0</v>
      </c>
      <c r="AD42" s="271">
        <f>'Old Counts Pivot Table'!M$33</f>
        <v>0</v>
      </c>
      <c r="AE42" s="270">
        <f>'Old Counts Pivot Table'!N$33</f>
        <v>0</v>
      </c>
      <c r="AF42" s="270">
        <f>'Old Counts Pivot Table'!O$33</f>
        <v>0</v>
      </c>
      <c r="AG42" s="271">
        <f>'Old Counts Pivot Table'!P$33</f>
        <v>0</v>
      </c>
      <c r="AH42" s="270">
        <f>'Old Counts Pivot Table'!Q$33</f>
        <v>0</v>
      </c>
    </row>
    <row r="43" spans="1:36" x14ac:dyDescent="0.2">
      <c r="A43" s="690"/>
      <c r="B43" s="258" t="s">
        <v>23</v>
      </c>
      <c r="C43" s="266">
        <f t="shared" si="23"/>
        <v>0</v>
      </c>
      <c r="D43" s="267">
        <f t="shared" si="24"/>
        <v>0</v>
      </c>
      <c r="E43" s="267">
        <f t="shared" si="25"/>
        <v>0</v>
      </c>
      <c r="F43" s="267">
        <f t="shared" si="26"/>
        <v>0</v>
      </c>
      <c r="G43" s="267">
        <f t="shared" si="26"/>
        <v>0</v>
      </c>
      <c r="H43" s="267">
        <f t="shared" si="26"/>
        <v>0</v>
      </c>
      <c r="I43" s="266">
        <f t="shared" si="27"/>
        <v>0</v>
      </c>
      <c r="J43" s="266">
        <f t="shared" si="28"/>
        <v>1</v>
      </c>
      <c r="K43" s="267">
        <f t="shared" si="29"/>
        <v>1</v>
      </c>
      <c r="L43" s="267">
        <f t="shared" si="29"/>
        <v>1</v>
      </c>
      <c r="M43" s="268">
        <f t="shared" si="30"/>
        <v>1</v>
      </c>
      <c r="N43" s="266">
        <f t="shared" si="31"/>
        <v>1</v>
      </c>
      <c r="O43" s="266">
        <f t="shared" si="32"/>
        <v>0</v>
      </c>
      <c r="P43" s="268">
        <f t="shared" si="32"/>
        <v>0</v>
      </c>
      <c r="Q43" s="685">
        <f t="shared" si="32"/>
        <v>0</v>
      </c>
      <c r="R43" s="269"/>
      <c r="S43" s="270">
        <f>'Old Counts Pivot Table'!B$34</f>
        <v>0</v>
      </c>
      <c r="T43" s="271">
        <f>'Old Counts Pivot Table'!C$34</f>
        <v>0</v>
      </c>
      <c r="U43" s="271">
        <f>'Old Counts Pivot Table'!D$34</f>
        <v>0</v>
      </c>
      <c r="V43" s="271">
        <f>'Old Counts Pivot Table'!E$34</f>
        <v>0</v>
      </c>
      <c r="W43" s="271">
        <f>'Old Counts Pivot Table'!F$34</f>
        <v>0</v>
      </c>
      <c r="X43" s="674">
        <f>'Old Counts Pivot Table'!G$34</f>
        <v>0</v>
      </c>
      <c r="Y43" s="270">
        <f>'Old Counts Pivot Table'!H$34</f>
        <v>0</v>
      </c>
      <c r="Z43" s="270">
        <f>'Old Counts Pivot Table'!I$34</f>
        <v>2230</v>
      </c>
      <c r="AA43" s="271">
        <f>'Old Counts Pivot Table'!J$34</f>
        <v>2963</v>
      </c>
      <c r="AB43" s="271">
        <f>'Old Counts Pivot Table'!K$34</f>
        <v>441</v>
      </c>
      <c r="AC43" s="271">
        <f>'Old Counts Pivot Table'!L$34</f>
        <v>57</v>
      </c>
      <c r="AD43" s="271">
        <f>'Old Counts Pivot Table'!M$34</f>
        <v>0</v>
      </c>
      <c r="AE43" s="270">
        <f>'Old Counts Pivot Table'!N$34</f>
        <v>5691</v>
      </c>
      <c r="AF43" s="270">
        <f>'Old Counts Pivot Table'!O$34</f>
        <v>0</v>
      </c>
      <c r="AG43" s="271">
        <f>'Old Counts Pivot Table'!P$34</f>
        <v>0</v>
      </c>
      <c r="AH43" s="270">
        <f>'Old Counts Pivot Table'!Q$34</f>
        <v>0</v>
      </c>
    </row>
    <row r="44" spans="1:36" s="280" customFormat="1" x14ac:dyDescent="0.25">
      <c r="A44" s="691"/>
      <c r="B44" s="272" t="s">
        <v>220</v>
      </c>
      <c r="C44" s="273">
        <f t="shared" si="23"/>
        <v>1</v>
      </c>
      <c r="D44" s="274">
        <f t="shared" si="24"/>
        <v>1</v>
      </c>
      <c r="E44" s="274">
        <f t="shared" si="25"/>
        <v>1</v>
      </c>
      <c r="F44" s="274">
        <f t="shared" si="26"/>
        <v>1</v>
      </c>
      <c r="G44" s="274">
        <f t="shared" si="26"/>
        <v>0</v>
      </c>
      <c r="H44" s="274">
        <f t="shared" si="26"/>
        <v>1</v>
      </c>
      <c r="I44" s="273">
        <f t="shared" si="27"/>
        <v>1</v>
      </c>
      <c r="J44" s="273">
        <f t="shared" si="28"/>
        <v>1</v>
      </c>
      <c r="K44" s="274">
        <f t="shared" si="29"/>
        <v>1</v>
      </c>
      <c r="L44" s="274">
        <f t="shared" si="29"/>
        <v>1</v>
      </c>
      <c r="M44" s="275">
        <f t="shared" si="30"/>
        <v>1</v>
      </c>
      <c r="N44" s="273">
        <f t="shared" si="31"/>
        <v>1</v>
      </c>
      <c r="O44" s="273">
        <f t="shared" si="32"/>
        <v>0</v>
      </c>
      <c r="P44" s="275">
        <f t="shared" si="32"/>
        <v>0</v>
      </c>
      <c r="Q44" s="686">
        <f t="shared" si="32"/>
        <v>0</v>
      </c>
      <c r="R44" s="276"/>
      <c r="S44" s="277">
        <f>'Old Counts Pivot Table'!B$35</f>
        <v>6593</v>
      </c>
      <c r="T44" s="278">
        <f>'Old Counts Pivot Table'!C$35</f>
        <v>763</v>
      </c>
      <c r="U44" s="278">
        <f>'Old Counts Pivot Table'!D$35</f>
        <v>1299</v>
      </c>
      <c r="V44" s="278">
        <f>'Old Counts Pivot Table'!E$35</f>
        <v>394</v>
      </c>
      <c r="W44" s="278">
        <f>'Old Counts Pivot Table'!F$35</f>
        <v>0</v>
      </c>
      <c r="X44" s="675">
        <f>'Old Counts Pivot Table'!G$35</f>
        <v>69</v>
      </c>
      <c r="Y44" s="277">
        <f>'Old Counts Pivot Table'!H$35</f>
        <v>9118</v>
      </c>
      <c r="Z44" s="277">
        <f>'Old Counts Pivot Table'!I$35</f>
        <v>2230</v>
      </c>
      <c r="AA44" s="278">
        <f>'Old Counts Pivot Table'!J$35</f>
        <v>2963</v>
      </c>
      <c r="AB44" s="278">
        <f>'Old Counts Pivot Table'!K$35</f>
        <v>441</v>
      </c>
      <c r="AC44" s="278">
        <f>'Old Counts Pivot Table'!L$35</f>
        <v>57</v>
      </c>
      <c r="AD44" s="278">
        <f>'Old Counts Pivot Table'!M$35</f>
        <v>0</v>
      </c>
      <c r="AE44" s="277">
        <f>'Old Counts Pivot Table'!N$35</f>
        <v>5691</v>
      </c>
      <c r="AF44" s="277">
        <f>'Old Counts Pivot Table'!O$35</f>
        <v>0</v>
      </c>
      <c r="AG44" s="278">
        <f>'Old Counts Pivot Table'!P$35</f>
        <v>0</v>
      </c>
      <c r="AH44" s="277">
        <f>'Old Counts Pivot Table'!Q$35</f>
        <v>0</v>
      </c>
      <c r="AI44" s="279"/>
      <c r="AJ44" s="279"/>
    </row>
    <row r="45" spans="1:36" x14ac:dyDescent="0.2">
      <c r="A45" s="692" t="s">
        <v>35</v>
      </c>
      <c r="B45" s="259" t="s">
        <v>3</v>
      </c>
      <c r="C45" s="260">
        <f t="shared" ref="C45:C51" si="33">S45/S$51</f>
        <v>0.31657420249653262</v>
      </c>
      <c r="D45" s="261">
        <f t="shared" ref="D45:D51" si="34">IFERROR(T45/T$51,0)</f>
        <v>0.4056420233463035</v>
      </c>
      <c r="E45" s="261">
        <f t="shared" ref="E45:E51" si="35">U45/U$51</f>
        <v>0.22502937720329025</v>
      </c>
      <c r="F45" s="261">
        <f t="shared" ref="F45:H51" si="36">IFERROR(V45/V$51,0)</f>
        <v>0.19276018099547512</v>
      </c>
      <c r="G45" s="261">
        <f t="shared" si="36"/>
        <v>0.1889763779527559</v>
      </c>
      <c r="H45" s="261">
        <f t="shared" si="36"/>
        <v>6.5817409766454352E-2</v>
      </c>
      <c r="I45" s="260">
        <f t="shared" ref="I45:I51" si="37">Y45/Y$51</f>
        <v>0.2564389697648376</v>
      </c>
      <c r="J45" s="260">
        <f t="shared" ref="J45:J51" si="38">IFERROR(Z45/Z$51,0)</f>
        <v>0.17558886509635974</v>
      </c>
      <c r="K45" s="261">
        <f t="shared" ref="K45:L51" si="39">AA45/AA$51</f>
        <v>5.4101221640488653E-2</v>
      </c>
      <c r="L45" s="261">
        <f t="shared" si="39"/>
        <v>7.8082191780821916E-2</v>
      </c>
      <c r="M45" s="262">
        <f t="shared" ref="M45:M51" si="40">IFERROR(AC45/AC$51,0)</f>
        <v>6.25E-2</v>
      </c>
      <c r="N45" s="260">
        <f t="shared" ref="N45:N51" si="41">AE45/AE$51</f>
        <v>9.4874591057797164E-2</v>
      </c>
      <c r="O45" s="260">
        <f t="shared" ref="O45:Q51" si="42">IFERROR(AF45/AF$51,0)</f>
        <v>0</v>
      </c>
      <c r="P45" s="262">
        <f t="shared" si="42"/>
        <v>0</v>
      </c>
      <c r="Q45" s="684">
        <f t="shared" si="42"/>
        <v>0</v>
      </c>
      <c r="R45" s="263"/>
      <c r="S45" s="264">
        <f>'Old Counts Pivot Table'!B$37</f>
        <v>913</v>
      </c>
      <c r="T45" s="265">
        <f>'Old Counts Pivot Table'!C$37</f>
        <v>417</v>
      </c>
      <c r="U45" s="265">
        <f>'Old Counts Pivot Table'!D$37</f>
        <v>383</v>
      </c>
      <c r="V45" s="265">
        <f>'Old Counts Pivot Table'!E$37</f>
        <v>426</v>
      </c>
      <c r="W45" s="265">
        <f>'Old Counts Pivot Table'!F$37</f>
        <v>120</v>
      </c>
      <c r="X45" s="673">
        <f>'Old Counts Pivot Table'!G$37</f>
        <v>31</v>
      </c>
      <c r="Y45" s="264">
        <f>'Old Counts Pivot Table'!H$37</f>
        <v>2290</v>
      </c>
      <c r="Z45" s="264">
        <f>'Old Counts Pivot Table'!I$37</f>
        <v>82</v>
      </c>
      <c r="AA45" s="265">
        <f>'Old Counts Pivot Table'!J$37</f>
        <v>31</v>
      </c>
      <c r="AB45" s="265">
        <f>'Old Counts Pivot Table'!K$37</f>
        <v>57</v>
      </c>
      <c r="AC45" s="265">
        <f>'Old Counts Pivot Table'!L$37</f>
        <v>4</v>
      </c>
      <c r="AD45" s="265">
        <f>'Old Counts Pivot Table'!M$37</f>
        <v>0</v>
      </c>
      <c r="AE45" s="264">
        <f>'Old Counts Pivot Table'!N$37</f>
        <v>174</v>
      </c>
      <c r="AF45" s="264">
        <f>'Old Counts Pivot Table'!O$37</f>
        <v>0</v>
      </c>
      <c r="AG45" s="265">
        <f>'Old Counts Pivot Table'!P$37</f>
        <v>0</v>
      </c>
      <c r="AH45" s="264">
        <f>'Old Counts Pivot Table'!Q$37</f>
        <v>0</v>
      </c>
    </row>
    <row r="46" spans="1:36" x14ac:dyDescent="0.2">
      <c r="A46" s="690"/>
      <c r="B46" s="258" t="s">
        <v>4</v>
      </c>
      <c r="C46" s="266">
        <f t="shared" si="33"/>
        <v>0.28987517337031898</v>
      </c>
      <c r="D46" s="267">
        <f t="shared" si="34"/>
        <v>0.24708171206225682</v>
      </c>
      <c r="E46" s="267">
        <f t="shared" si="35"/>
        <v>0.23619271445358403</v>
      </c>
      <c r="F46" s="267">
        <f t="shared" si="36"/>
        <v>0.24524886877828053</v>
      </c>
      <c r="G46" s="267">
        <f t="shared" si="36"/>
        <v>0.25826771653543307</v>
      </c>
      <c r="H46" s="267">
        <f t="shared" si="36"/>
        <v>0.22717622080679406</v>
      </c>
      <c r="I46" s="266">
        <f t="shared" si="37"/>
        <v>0.25811870100783874</v>
      </c>
      <c r="J46" s="266">
        <f t="shared" si="38"/>
        <v>0.28479657387580298</v>
      </c>
      <c r="K46" s="267">
        <f t="shared" si="39"/>
        <v>0.2338568935427574</v>
      </c>
      <c r="L46" s="267">
        <f t="shared" si="39"/>
        <v>0.20410958904109588</v>
      </c>
      <c r="M46" s="268">
        <f t="shared" si="40"/>
        <v>0.1875</v>
      </c>
      <c r="N46" s="266">
        <f t="shared" si="41"/>
        <v>0.23336968375136313</v>
      </c>
      <c r="O46" s="266">
        <f t="shared" si="42"/>
        <v>0</v>
      </c>
      <c r="P46" s="268">
        <f t="shared" si="42"/>
        <v>0</v>
      </c>
      <c r="Q46" s="685">
        <f t="shared" si="42"/>
        <v>0</v>
      </c>
      <c r="R46" s="269"/>
      <c r="S46" s="270">
        <f>'Old Counts Pivot Table'!B$38</f>
        <v>836</v>
      </c>
      <c r="T46" s="271">
        <f>'Old Counts Pivot Table'!C$38</f>
        <v>254</v>
      </c>
      <c r="U46" s="271">
        <f>'Old Counts Pivot Table'!D$38</f>
        <v>402</v>
      </c>
      <c r="V46" s="271">
        <f>'Old Counts Pivot Table'!E$38</f>
        <v>542</v>
      </c>
      <c r="W46" s="271">
        <f>'Old Counts Pivot Table'!F$38</f>
        <v>164</v>
      </c>
      <c r="X46" s="674">
        <f>'Old Counts Pivot Table'!G$38</f>
        <v>107</v>
      </c>
      <c r="Y46" s="270">
        <f>'Old Counts Pivot Table'!H$38</f>
        <v>2305</v>
      </c>
      <c r="Z46" s="270">
        <f>'Old Counts Pivot Table'!I$38</f>
        <v>133</v>
      </c>
      <c r="AA46" s="271">
        <f>'Old Counts Pivot Table'!J$38</f>
        <v>134</v>
      </c>
      <c r="AB46" s="271">
        <f>'Old Counts Pivot Table'!K$38</f>
        <v>149</v>
      </c>
      <c r="AC46" s="271">
        <f>'Old Counts Pivot Table'!L$38</f>
        <v>12</v>
      </c>
      <c r="AD46" s="271">
        <f>'Old Counts Pivot Table'!M$38</f>
        <v>0</v>
      </c>
      <c r="AE46" s="270">
        <f>'Old Counts Pivot Table'!N$38</f>
        <v>428</v>
      </c>
      <c r="AF46" s="270">
        <f>'Old Counts Pivot Table'!O$38</f>
        <v>0</v>
      </c>
      <c r="AG46" s="271">
        <f>'Old Counts Pivot Table'!P$38</f>
        <v>0</v>
      </c>
      <c r="AH46" s="270">
        <f>'Old Counts Pivot Table'!Q$38</f>
        <v>0</v>
      </c>
    </row>
    <row r="47" spans="1:36" x14ac:dyDescent="0.2">
      <c r="A47" s="690"/>
      <c r="B47" s="258" t="s">
        <v>5</v>
      </c>
      <c r="C47" s="266">
        <f t="shared" si="33"/>
        <v>0.25381414701803051</v>
      </c>
      <c r="D47" s="267">
        <f t="shared" si="34"/>
        <v>0.2188715953307393</v>
      </c>
      <c r="E47" s="267">
        <f t="shared" si="35"/>
        <v>0.33313748531139836</v>
      </c>
      <c r="F47" s="267">
        <f t="shared" si="36"/>
        <v>0.37873303167420813</v>
      </c>
      <c r="G47" s="267">
        <f t="shared" si="36"/>
        <v>0.37480314960629924</v>
      </c>
      <c r="H47" s="267">
        <f t="shared" si="36"/>
        <v>0.63481953290870485</v>
      </c>
      <c r="I47" s="266">
        <f t="shared" si="37"/>
        <v>0.32452407614781636</v>
      </c>
      <c r="J47" s="266">
        <f t="shared" si="38"/>
        <v>0.39400428265524623</v>
      </c>
      <c r="K47" s="267">
        <f t="shared" si="39"/>
        <v>0.2024432809773124</v>
      </c>
      <c r="L47" s="267">
        <f t="shared" si="39"/>
        <v>0.426027397260274</v>
      </c>
      <c r="M47" s="268">
        <f t="shared" si="40"/>
        <v>0.328125</v>
      </c>
      <c r="N47" s="266">
        <f t="shared" si="41"/>
        <v>0.34460196292257361</v>
      </c>
      <c r="O47" s="266">
        <f t="shared" si="42"/>
        <v>0</v>
      </c>
      <c r="P47" s="268">
        <f t="shared" si="42"/>
        <v>0</v>
      </c>
      <c r="Q47" s="685">
        <f t="shared" si="42"/>
        <v>0</v>
      </c>
      <c r="R47" s="269"/>
      <c r="S47" s="270">
        <f>'Old Counts Pivot Table'!B$39</f>
        <v>732</v>
      </c>
      <c r="T47" s="271">
        <f>'Old Counts Pivot Table'!C$39</f>
        <v>225</v>
      </c>
      <c r="U47" s="271">
        <f>'Old Counts Pivot Table'!D$39</f>
        <v>567</v>
      </c>
      <c r="V47" s="271">
        <f>'Old Counts Pivot Table'!E$39</f>
        <v>837</v>
      </c>
      <c r="W47" s="271">
        <f>'Old Counts Pivot Table'!F$39</f>
        <v>238</v>
      </c>
      <c r="X47" s="674">
        <f>'Old Counts Pivot Table'!G$39</f>
        <v>299</v>
      </c>
      <c r="Y47" s="270">
        <f>'Old Counts Pivot Table'!H$39</f>
        <v>2898</v>
      </c>
      <c r="Z47" s="270">
        <f>'Old Counts Pivot Table'!I$39</f>
        <v>184</v>
      </c>
      <c r="AA47" s="271">
        <f>'Old Counts Pivot Table'!J$39</f>
        <v>116</v>
      </c>
      <c r="AB47" s="271">
        <f>'Old Counts Pivot Table'!K$39</f>
        <v>311</v>
      </c>
      <c r="AC47" s="271">
        <f>'Old Counts Pivot Table'!L$39</f>
        <v>21</v>
      </c>
      <c r="AD47" s="271">
        <f>'Old Counts Pivot Table'!M$39</f>
        <v>0</v>
      </c>
      <c r="AE47" s="270">
        <f>'Old Counts Pivot Table'!N$39</f>
        <v>632</v>
      </c>
      <c r="AF47" s="270">
        <f>'Old Counts Pivot Table'!O$39</f>
        <v>0</v>
      </c>
      <c r="AG47" s="271">
        <f>'Old Counts Pivot Table'!P$39</f>
        <v>0</v>
      </c>
      <c r="AH47" s="270">
        <f>'Old Counts Pivot Table'!Q$39</f>
        <v>0</v>
      </c>
    </row>
    <row r="48" spans="1:36" x14ac:dyDescent="0.2">
      <c r="A48" s="690"/>
      <c r="B48" s="258" t="s">
        <v>6</v>
      </c>
      <c r="C48" s="266">
        <f t="shared" si="33"/>
        <v>3.640776699029126E-2</v>
      </c>
      <c r="D48" s="267">
        <f t="shared" si="34"/>
        <v>4.3774319066147857E-2</v>
      </c>
      <c r="E48" s="267">
        <f t="shared" si="35"/>
        <v>0.13983548766157461</v>
      </c>
      <c r="F48" s="267">
        <f t="shared" si="36"/>
        <v>9.5022624434389136E-2</v>
      </c>
      <c r="G48" s="267">
        <f t="shared" si="36"/>
        <v>7.5590551181102361E-2</v>
      </c>
      <c r="H48" s="267">
        <f t="shared" si="36"/>
        <v>3.8216560509554139E-2</v>
      </c>
      <c r="I48" s="266">
        <f t="shared" si="37"/>
        <v>7.4356103023516237E-2</v>
      </c>
      <c r="J48" s="266">
        <f t="shared" si="38"/>
        <v>7.2805139186295498E-2</v>
      </c>
      <c r="K48" s="267">
        <f t="shared" si="39"/>
        <v>0.47469458987783597</v>
      </c>
      <c r="L48" s="267">
        <f t="shared" si="39"/>
        <v>0.24520547945205479</v>
      </c>
      <c r="M48" s="268">
        <f t="shared" si="40"/>
        <v>0.296875</v>
      </c>
      <c r="N48" s="266">
        <f t="shared" si="41"/>
        <v>0.27480916030534353</v>
      </c>
      <c r="O48" s="266">
        <f t="shared" si="42"/>
        <v>0</v>
      </c>
      <c r="P48" s="268">
        <f t="shared" si="42"/>
        <v>0</v>
      </c>
      <c r="Q48" s="685">
        <f t="shared" si="42"/>
        <v>0</v>
      </c>
      <c r="R48" s="269"/>
      <c r="S48" s="270">
        <f>'Old Counts Pivot Table'!B$40</f>
        <v>105</v>
      </c>
      <c r="T48" s="271">
        <f>'Old Counts Pivot Table'!C$40</f>
        <v>45</v>
      </c>
      <c r="U48" s="271">
        <f>'Old Counts Pivot Table'!D$40</f>
        <v>238</v>
      </c>
      <c r="V48" s="271">
        <f>'Old Counts Pivot Table'!E$40</f>
        <v>210</v>
      </c>
      <c r="W48" s="271">
        <f>'Old Counts Pivot Table'!F$40</f>
        <v>48</v>
      </c>
      <c r="X48" s="674">
        <f>'Old Counts Pivot Table'!G$40</f>
        <v>18</v>
      </c>
      <c r="Y48" s="270">
        <f>'Old Counts Pivot Table'!H$40</f>
        <v>664</v>
      </c>
      <c r="Z48" s="270">
        <f>'Old Counts Pivot Table'!I$40</f>
        <v>34</v>
      </c>
      <c r="AA48" s="271">
        <f>'Old Counts Pivot Table'!J$40</f>
        <v>272</v>
      </c>
      <c r="AB48" s="271">
        <f>'Old Counts Pivot Table'!K$40</f>
        <v>179</v>
      </c>
      <c r="AC48" s="271">
        <f>'Old Counts Pivot Table'!L$40</f>
        <v>19</v>
      </c>
      <c r="AD48" s="271">
        <f>'Old Counts Pivot Table'!M$40</f>
        <v>0</v>
      </c>
      <c r="AE48" s="270">
        <f>'Old Counts Pivot Table'!N$40</f>
        <v>504</v>
      </c>
      <c r="AF48" s="270">
        <f>'Old Counts Pivot Table'!O$40</f>
        <v>0</v>
      </c>
      <c r="AG48" s="271">
        <f>'Old Counts Pivot Table'!P$40</f>
        <v>0</v>
      </c>
      <c r="AH48" s="270">
        <f>'Old Counts Pivot Table'!Q$40</f>
        <v>0</v>
      </c>
    </row>
    <row r="49" spans="1:36" x14ac:dyDescent="0.2">
      <c r="A49" s="690"/>
      <c r="B49" s="258" t="s">
        <v>26</v>
      </c>
      <c r="C49" s="266">
        <f t="shared" si="33"/>
        <v>0.10332871012482663</v>
      </c>
      <c r="D49" s="267">
        <f t="shared" si="34"/>
        <v>8.4630350194552534E-2</v>
      </c>
      <c r="E49" s="267">
        <f t="shared" si="35"/>
        <v>6.5804935370152765E-2</v>
      </c>
      <c r="F49" s="267">
        <f t="shared" si="36"/>
        <v>8.8235294117647065E-2</v>
      </c>
      <c r="G49" s="267">
        <f t="shared" si="36"/>
        <v>0.10236220472440945</v>
      </c>
      <c r="H49" s="267">
        <f t="shared" si="36"/>
        <v>3.3970276008492568E-2</v>
      </c>
      <c r="I49" s="266">
        <f t="shared" si="37"/>
        <v>8.6562150055991036E-2</v>
      </c>
      <c r="J49" s="266">
        <f t="shared" si="38"/>
        <v>7.2805139186295498E-2</v>
      </c>
      <c r="K49" s="267">
        <f t="shared" si="39"/>
        <v>3.4904013961605584E-2</v>
      </c>
      <c r="L49" s="267">
        <f t="shared" si="39"/>
        <v>4.6575342465753428E-2</v>
      </c>
      <c r="M49" s="268">
        <f t="shared" si="40"/>
        <v>0.125</v>
      </c>
      <c r="N49" s="266">
        <f t="shared" si="41"/>
        <v>5.2344601962922573E-2</v>
      </c>
      <c r="O49" s="266">
        <f t="shared" si="42"/>
        <v>0</v>
      </c>
      <c r="P49" s="268">
        <f t="shared" si="42"/>
        <v>0</v>
      </c>
      <c r="Q49" s="685">
        <f t="shared" si="42"/>
        <v>0</v>
      </c>
      <c r="R49" s="269"/>
      <c r="S49" s="270">
        <f>'Old Counts Pivot Table'!B$41</f>
        <v>298</v>
      </c>
      <c r="T49" s="271">
        <f>'Old Counts Pivot Table'!C$41</f>
        <v>87</v>
      </c>
      <c r="U49" s="271">
        <f>'Old Counts Pivot Table'!D$41</f>
        <v>112</v>
      </c>
      <c r="V49" s="271">
        <f>'Old Counts Pivot Table'!E$41</f>
        <v>195</v>
      </c>
      <c r="W49" s="271">
        <f>'Old Counts Pivot Table'!F$41</f>
        <v>65</v>
      </c>
      <c r="X49" s="674">
        <f>'Old Counts Pivot Table'!G$41</f>
        <v>16</v>
      </c>
      <c r="Y49" s="270">
        <f>'Old Counts Pivot Table'!H$41</f>
        <v>773</v>
      </c>
      <c r="Z49" s="270">
        <f>'Old Counts Pivot Table'!I$41</f>
        <v>34</v>
      </c>
      <c r="AA49" s="271">
        <f>'Old Counts Pivot Table'!J$41</f>
        <v>20</v>
      </c>
      <c r="AB49" s="271">
        <f>'Old Counts Pivot Table'!K$41</f>
        <v>34</v>
      </c>
      <c r="AC49" s="271">
        <f>'Old Counts Pivot Table'!L$41</f>
        <v>8</v>
      </c>
      <c r="AD49" s="271">
        <f>'Old Counts Pivot Table'!M$41</f>
        <v>0</v>
      </c>
      <c r="AE49" s="270">
        <f>'Old Counts Pivot Table'!N$41</f>
        <v>96</v>
      </c>
      <c r="AF49" s="270">
        <f>'Old Counts Pivot Table'!O$41</f>
        <v>0</v>
      </c>
      <c r="AG49" s="271">
        <f>'Old Counts Pivot Table'!P$41</f>
        <v>0</v>
      </c>
      <c r="AH49" s="270">
        <f>'Old Counts Pivot Table'!Q$41</f>
        <v>0</v>
      </c>
    </row>
    <row r="50" spans="1:36" x14ac:dyDescent="0.2">
      <c r="A50" s="690"/>
      <c r="B50" s="258" t="s">
        <v>23</v>
      </c>
      <c r="C50" s="266">
        <f t="shared" si="33"/>
        <v>0</v>
      </c>
      <c r="D50" s="267">
        <f t="shared" si="34"/>
        <v>0</v>
      </c>
      <c r="E50" s="267">
        <f t="shared" si="35"/>
        <v>0</v>
      </c>
      <c r="F50" s="267">
        <f t="shared" si="36"/>
        <v>0</v>
      </c>
      <c r="G50" s="267">
        <f t="shared" si="36"/>
        <v>0</v>
      </c>
      <c r="H50" s="267">
        <f t="shared" si="36"/>
        <v>0</v>
      </c>
      <c r="I50" s="266">
        <f t="shared" si="37"/>
        <v>0</v>
      </c>
      <c r="J50" s="266">
        <f t="shared" si="38"/>
        <v>0</v>
      </c>
      <c r="K50" s="267">
        <f t="shared" si="39"/>
        <v>0</v>
      </c>
      <c r="L50" s="267">
        <f t="shared" si="39"/>
        <v>0</v>
      </c>
      <c r="M50" s="268">
        <f t="shared" si="40"/>
        <v>0</v>
      </c>
      <c r="N50" s="266">
        <f t="shared" si="41"/>
        <v>0</v>
      </c>
      <c r="O50" s="266">
        <f t="shared" si="42"/>
        <v>1</v>
      </c>
      <c r="P50" s="268">
        <f t="shared" si="42"/>
        <v>0</v>
      </c>
      <c r="Q50" s="685">
        <f t="shared" si="42"/>
        <v>1</v>
      </c>
      <c r="R50" s="269"/>
      <c r="S50" s="270">
        <f>'Old Counts Pivot Table'!B$42</f>
        <v>0</v>
      </c>
      <c r="T50" s="271">
        <f>'Old Counts Pivot Table'!C$42</f>
        <v>0</v>
      </c>
      <c r="U50" s="271">
        <f>'Old Counts Pivot Table'!D$42</f>
        <v>0</v>
      </c>
      <c r="V50" s="271">
        <f>'Old Counts Pivot Table'!E$42</f>
        <v>0</v>
      </c>
      <c r="W50" s="271">
        <f>'Old Counts Pivot Table'!F$42</f>
        <v>0</v>
      </c>
      <c r="X50" s="674">
        <f>'Old Counts Pivot Table'!G$42</f>
        <v>0</v>
      </c>
      <c r="Y50" s="270">
        <f>'Old Counts Pivot Table'!H$42</f>
        <v>0</v>
      </c>
      <c r="Z50" s="270">
        <f>'Old Counts Pivot Table'!I$42</f>
        <v>0</v>
      </c>
      <c r="AA50" s="271">
        <f>'Old Counts Pivot Table'!J$42</f>
        <v>0</v>
      </c>
      <c r="AB50" s="271">
        <f>'Old Counts Pivot Table'!K$42</f>
        <v>0</v>
      </c>
      <c r="AC50" s="271">
        <f>'Old Counts Pivot Table'!L$42</f>
        <v>0</v>
      </c>
      <c r="AD50" s="271">
        <f>'Old Counts Pivot Table'!M$42</f>
        <v>0</v>
      </c>
      <c r="AE50" s="270">
        <f>'Old Counts Pivot Table'!N$42</f>
        <v>0</v>
      </c>
      <c r="AF50" s="270">
        <f>'Old Counts Pivot Table'!O$42</f>
        <v>2288</v>
      </c>
      <c r="AG50" s="271">
        <f>'Old Counts Pivot Table'!P$42</f>
        <v>0</v>
      </c>
      <c r="AH50" s="270">
        <f>'Old Counts Pivot Table'!Q$42</f>
        <v>2288</v>
      </c>
    </row>
    <row r="51" spans="1:36" s="280" customFormat="1" x14ac:dyDescent="0.25">
      <c r="A51" s="691"/>
      <c r="B51" s="272" t="s">
        <v>220</v>
      </c>
      <c r="C51" s="273">
        <f t="shared" si="33"/>
        <v>1</v>
      </c>
      <c r="D51" s="274">
        <f t="shared" si="34"/>
        <v>1</v>
      </c>
      <c r="E51" s="274">
        <f t="shared" si="35"/>
        <v>1</v>
      </c>
      <c r="F51" s="274">
        <f t="shared" si="36"/>
        <v>1</v>
      </c>
      <c r="G51" s="274">
        <f t="shared" si="36"/>
        <v>1</v>
      </c>
      <c r="H51" s="274">
        <f t="shared" si="36"/>
        <v>1</v>
      </c>
      <c r="I51" s="273">
        <f t="shared" si="37"/>
        <v>1</v>
      </c>
      <c r="J51" s="273">
        <f t="shared" si="38"/>
        <v>1</v>
      </c>
      <c r="K51" s="274">
        <f t="shared" si="39"/>
        <v>1</v>
      </c>
      <c r="L51" s="274">
        <f t="shared" si="39"/>
        <v>1</v>
      </c>
      <c r="M51" s="275">
        <f t="shared" si="40"/>
        <v>1</v>
      </c>
      <c r="N51" s="273">
        <f t="shared" si="41"/>
        <v>1</v>
      </c>
      <c r="O51" s="273">
        <f t="shared" si="42"/>
        <v>1</v>
      </c>
      <c r="P51" s="275">
        <f t="shared" si="42"/>
        <v>0</v>
      </c>
      <c r="Q51" s="686">
        <f t="shared" si="42"/>
        <v>1</v>
      </c>
      <c r="R51" s="276"/>
      <c r="S51" s="277">
        <f>'Old Counts Pivot Table'!B$43</f>
        <v>2884</v>
      </c>
      <c r="T51" s="278">
        <f>'Old Counts Pivot Table'!C$43</f>
        <v>1028</v>
      </c>
      <c r="U51" s="278">
        <f>'Old Counts Pivot Table'!D$43</f>
        <v>1702</v>
      </c>
      <c r="V51" s="278">
        <f>'Old Counts Pivot Table'!E$43</f>
        <v>2210</v>
      </c>
      <c r="W51" s="278">
        <f>'Old Counts Pivot Table'!F$43</f>
        <v>635</v>
      </c>
      <c r="X51" s="675">
        <f>'Old Counts Pivot Table'!G$43</f>
        <v>471</v>
      </c>
      <c r="Y51" s="277">
        <f>'Old Counts Pivot Table'!H$43</f>
        <v>8930</v>
      </c>
      <c r="Z51" s="277">
        <f>'Old Counts Pivot Table'!I$43</f>
        <v>467</v>
      </c>
      <c r="AA51" s="278">
        <f>'Old Counts Pivot Table'!J$43</f>
        <v>573</v>
      </c>
      <c r="AB51" s="278">
        <f>'Old Counts Pivot Table'!K$43</f>
        <v>730</v>
      </c>
      <c r="AC51" s="278">
        <f>'Old Counts Pivot Table'!L$43</f>
        <v>64</v>
      </c>
      <c r="AD51" s="278">
        <f>'Old Counts Pivot Table'!M$43</f>
        <v>0</v>
      </c>
      <c r="AE51" s="277">
        <f>'Old Counts Pivot Table'!N$43</f>
        <v>1834</v>
      </c>
      <c r="AF51" s="277">
        <f>'Old Counts Pivot Table'!O$43</f>
        <v>2288</v>
      </c>
      <c r="AG51" s="278">
        <f>'Old Counts Pivot Table'!P$43</f>
        <v>0</v>
      </c>
      <c r="AH51" s="277">
        <f>'Old Counts Pivot Table'!Q$43</f>
        <v>2288</v>
      </c>
      <c r="AI51" s="279"/>
      <c r="AJ51" s="279"/>
    </row>
    <row r="52" spans="1:36" x14ac:dyDescent="0.2">
      <c r="A52" s="692" t="s">
        <v>36</v>
      </c>
      <c r="B52" s="259" t="s">
        <v>3</v>
      </c>
      <c r="C52" s="260">
        <f t="shared" ref="C52:C58" si="43">S52/S$58</f>
        <v>0.34232640424590888</v>
      </c>
      <c r="D52" s="261">
        <f t="shared" ref="D52:D58" si="44">IFERROR(T52/T$58,0)</f>
        <v>0</v>
      </c>
      <c r="E52" s="261">
        <f t="shared" ref="E52:E58" si="45">U52/U$58</f>
        <v>0.20477047704770476</v>
      </c>
      <c r="F52" s="261">
        <f t="shared" ref="F52:H58" si="46">IFERROR(V52/V$58,0)</f>
        <v>0.16468842729970326</v>
      </c>
      <c r="G52" s="261">
        <f t="shared" si="46"/>
        <v>0</v>
      </c>
      <c r="H52" s="261">
        <f t="shared" si="46"/>
        <v>0</v>
      </c>
      <c r="I52" s="260">
        <f t="shared" ref="I52:I58" si="47">Y52/Y$58</f>
        <v>0.259840992825286</v>
      </c>
      <c r="J52" s="260">
        <f t="shared" ref="J52:J58" si="48">IFERROR(Z52/Z$58,0)</f>
        <v>0</v>
      </c>
      <c r="K52" s="261">
        <f t="shared" ref="K52:L58" si="49">AA52/AA$58</f>
        <v>0.30152671755725191</v>
      </c>
      <c r="L52" s="261">
        <f t="shared" si="49"/>
        <v>0.34063260340632601</v>
      </c>
      <c r="M52" s="262">
        <f t="shared" ref="M52:M58" si="50">IFERROR(AC52/AC$58,0)</f>
        <v>0.52083333333333337</v>
      </c>
      <c r="N52" s="260">
        <f t="shared" ref="N52:N58" si="51">AE52/AE$58</f>
        <v>0.33407202216066484</v>
      </c>
      <c r="O52" s="260">
        <f t="shared" ref="O52:Q58" si="52">IFERROR(AF52/AF$58,0)</f>
        <v>7.2289156626506021E-2</v>
      </c>
      <c r="P52" s="262">
        <f t="shared" si="52"/>
        <v>0</v>
      </c>
      <c r="Q52" s="684">
        <f t="shared" si="52"/>
        <v>7.2289156626506021E-2</v>
      </c>
      <c r="R52" s="263"/>
      <c r="S52" s="264">
        <f>'Old Counts Pivot Table'!B$45</f>
        <v>774</v>
      </c>
      <c r="T52" s="265">
        <f>'Old Counts Pivot Table'!C$45</f>
        <v>0</v>
      </c>
      <c r="U52" s="265">
        <f>'Old Counts Pivot Table'!D$45</f>
        <v>455</v>
      </c>
      <c r="V52" s="265">
        <f>'Old Counts Pivot Table'!E$45</f>
        <v>111</v>
      </c>
      <c r="W52" s="265">
        <f>'Old Counts Pivot Table'!F$45</f>
        <v>0</v>
      </c>
      <c r="X52" s="673">
        <f>'Old Counts Pivot Table'!G$45</f>
        <v>0</v>
      </c>
      <c r="Y52" s="264">
        <f>'Old Counts Pivot Table'!H$45</f>
        <v>1340</v>
      </c>
      <c r="Z52" s="264">
        <f>'Old Counts Pivot Table'!I$45</f>
        <v>0</v>
      </c>
      <c r="AA52" s="265">
        <f>'Old Counts Pivot Table'!J$45</f>
        <v>158</v>
      </c>
      <c r="AB52" s="265">
        <f>'Old Counts Pivot Table'!K$45</f>
        <v>420</v>
      </c>
      <c r="AC52" s="265">
        <f>'Old Counts Pivot Table'!L$45</f>
        <v>25</v>
      </c>
      <c r="AD52" s="265">
        <f>'Old Counts Pivot Table'!M$45</f>
        <v>0</v>
      </c>
      <c r="AE52" s="264">
        <f>'Old Counts Pivot Table'!N$45</f>
        <v>603</v>
      </c>
      <c r="AF52" s="264">
        <f>'Old Counts Pivot Table'!O$45</f>
        <v>12</v>
      </c>
      <c r="AG52" s="265">
        <f>'Old Counts Pivot Table'!P$45</f>
        <v>0</v>
      </c>
      <c r="AH52" s="264">
        <f>'Old Counts Pivot Table'!Q$45</f>
        <v>12</v>
      </c>
    </row>
    <row r="53" spans="1:36" x14ac:dyDescent="0.2">
      <c r="A53" s="690"/>
      <c r="B53" s="258" t="s">
        <v>4</v>
      </c>
      <c r="C53" s="266">
        <f t="shared" si="43"/>
        <v>0.26934984520123839</v>
      </c>
      <c r="D53" s="267">
        <f t="shared" si="44"/>
        <v>0</v>
      </c>
      <c r="E53" s="267">
        <f t="shared" si="45"/>
        <v>0.27362736273627364</v>
      </c>
      <c r="F53" s="267">
        <f t="shared" si="46"/>
        <v>0.30415430267062316</v>
      </c>
      <c r="G53" s="267">
        <f t="shared" si="46"/>
        <v>0</v>
      </c>
      <c r="H53" s="267">
        <f t="shared" si="46"/>
        <v>0</v>
      </c>
      <c r="I53" s="266">
        <f t="shared" si="47"/>
        <v>0.27574171029668409</v>
      </c>
      <c r="J53" s="266">
        <f t="shared" si="48"/>
        <v>0</v>
      </c>
      <c r="K53" s="267">
        <f t="shared" si="49"/>
        <v>0.41984732824427479</v>
      </c>
      <c r="L53" s="267">
        <f t="shared" si="49"/>
        <v>0.28710462287104621</v>
      </c>
      <c r="M53" s="268">
        <f t="shared" si="50"/>
        <v>0.20833333333333334</v>
      </c>
      <c r="N53" s="266">
        <f t="shared" si="51"/>
        <v>0.32354570637119112</v>
      </c>
      <c r="O53" s="266">
        <f t="shared" si="52"/>
        <v>0.25301204819277107</v>
      </c>
      <c r="P53" s="268">
        <f t="shared" si="52"/>
        <v>0</v>
      </c>
      <c r="Q53" s="685">
        <f t="shared" si="52"/>
        <v>0.25301204819277107</v>
      </c>
      <c r="R53" s="269"/>
      <c r="S53" s="270">
        <f>'Old Counts Pivot Table'!B$46</f>
        <v>609</v>
      </c>
      <c r="T53" s="271">
        <f>'Old Counts Pivot Table'!C$46</f>
        <v>0</v>
      </c>
      <c r="U53" s="271">
        <f>'Old Counts Pivot Table'!D$46</f>
        <v>608</v>
      </c>
      <c r="V53" s="271">
        <f>'Old Counts Pivot Table'!E$46</f>
        <v>205</v>
      </c>
      <c r="W53" s="271">
        <f>'Old Counts Pivot Table'!F$46</f>
        <v>0</v>
      </c>
      <c r="X53" s="674">
        <f>'Old Counts Pivot Table'!G$46</f>
        <v>0</v>
      </c>
      <c r="Y53" s="270">
        <f>'Old Counts Pivot Table'!H$46</f>
        <v>1422</v>
      </c>
      <c r="Z53" s="270">
        <f>'Old Counts Pivot Table'!I$46</f>
        <v>0</v>
      </c>
      <c r="AA53" s="271">
        <f>'Old Counts Pivot Table'!J$46</f>
        <v>220</v>
      </c>
      <c r="AB53" s="271">
        <f>'Old Counts Pivot Table'!K$46</f>
        <v>354</v>
      </c>
      <c r="AC53" s="271">
        <f>'Old Counts Pivot Table'!L$46</f>
        <v>10</v>
      </c>
      <c r="AD53" s="271">
        <f>'Old Counts Pivot Table'!M$46</f>
        <v>0</v>
      </c>
      <c r="AE53" s="270">
        <f>'Old Counts Pivot Table'!N$46</f>
        <v>584</v>
      </c>
      <c r="AF53" s="270">
        <f>'Old Counts Pivot Table'!O$46</f>
        <v>42</v>
      </c>
      <c r="AG53" s="271">
        <f>'Old Counts Pivot Table'!P$46</f>
        <v>0</v>
      </c>
      <c r="AH53" s="270">
        <f>'Old Counts Pivot Table'!Q$46</f>
        <v>42</v>
      </c>
    </row>
    <row r="54" spans="1:36" x14ac:dyDescent="0.2">
      <c r="A54" s="690"/>
      <c r="B54" s="258" t="s">
        <v>5</v>
      </c>
      <c r="C54" s="266">
        <f t="shared" si="43"/>
        <v>0.26315789473684209</v>
      </c>
      <c r="D54" s="267">
        <f t="shared" si="44"/>
        <v>0</v>
      </c>
      <c r="E54" s="267">
        <f t="shared" si="45"/>
        <v>0.31638163816381637</v>
      </c>
      <c r="F54" s="267">
        <f t="shared" si="46"/>
        <v>0.26409495548961426</v>
      </c>
      <c r="G54" s="267">
        <f t="shared" si="46"/>
        <v>0</v>
      </c>
      <c r="H54" s="267">
        <f t="shared" si="46"/>
        <v>0</v>
      </c>
      <c r="I54" s="266">
        <f t="shared" si="47"/>
        <v>0.28621291448516578</v>
      </c>
      <c r="J54" s="266">
        <f t="shared" si="48"/>
        <v>0</v>
      </c>
      <c r="K54" s="267">
        <f t="shared" si="49"/>
        <v>0.10687022900763359</v>
      </c>
      <c r="L54" s="267">
        <f t="shared" si="49"/>
        <v>0.13381995133819952</v>
      </c>
      <c r="M54" s="268">
        <f t="shared" si="50"/>
        <v>0.14583333333333334</v>
      </c>
      <c r="N54" s="266">
        <f t="shared" si="51"/>
        <v>0.12631578947368421</v>
      </c>
      <c r="O54" s="266">
        <f t="shared" si="52"/>
        <v>0.24096385542168675</v>
      </c>
      <c r="P54" s="268">
        <f t="shared" si="52"/>
        <v>0</v>
      </c>
      <c r="Q54" s="685">
        <f t="shared" si="52"/>
        <v>0.24096385542168675</v>
      </c>
      <c r="R54" s="269"/>
      <c r="S54" s="270">
        <f>'Old Counts Pivot Table'!B$47</f>
        <v>595</v>
      </c>
      <c r="T54" s="271">
        <f>'Old Counts Pivot Table'!C$47</f>
        <v>0</v>
      </c>
      <c r="U54" s="271">
        <f>'Old Counts Pivot Table'!D$47</f>
        <v>703</v>
      </c>
      <c r="V54" s="271">
        <f>'Old Counts Pivot Table'!E$47</f>
        <v>178</v>
      </c>
      <c r="W54" s="271">
        <f>'Old Counts Pivot Table'!F$47</f>
        <v>0</v>
      </c>
      <c r="X54" s="674">
        <f>'Old Counts Pivot Table'!G$47</f>
        <v>0</v>
      </c>
      <c r="Y54" s="270">
        <f>'Old Counts Pivot Table'!H$47</f>
        <v>1476</v>
      </c>
      <c r="Z54" s="270">
        <f>'Old Counts Pivot Table'!I$47</f>
        <v>0</v>
      </c>
      <c r="AA54" s="271">
        <f>'Old Counts Pivot Table'!J$47</f>
        <v>56</v>
      </c>
      <c r="AB54" s="271">
        <f>'Old Counts Pivot Table'!K$47</f>
        <v>165</v>
      </c>
      <c r="AC54" s="271">
        <f>'Old Counts Pivot Table'!L$47</f>
        <v>7</v>
      </c>
      <c r="AD54" s="271">
        <f>'Old Counts Pivot Table'!M$47</f>
        <v>0</v>
      </c>
      <c r="AE54" s="270">
        <f>'Old Counts Pivot Table'!N$47</f>
        <v>228</v>
      </c>
      <c r="AF54" s="270">
        <f>'Old Counts Pivot Table'!O$47</f>
        <v>40</v>
      </c>
      <c r="AG54" s="271">
        <f>'Old Counts Pivot Table'!P$47</f>
        <v>0</v>
      </c>
      <c r="AH54" s="270">
        <f>'Old Counts Pivot Table'!Q$47</f>
        <v>40</v>
      </c>
    </row>
    <row r="55" spans="1:36" x14ac:dyDescent="0.2">
      <c r="A55" s="690"/>
      <c r="B55" s="258" t="s">
        <v>6</v>
      </c>
      <c r="C55" s="266">
        <f t="shared" si="43"/>
        <v>4.5112781954887216E-2</v>
      </c>
      <c r="D55" s="267">
        <f t="shared" si="44"/>
        <v>0</v>
      </c>
      <c r="E55" s="267">
        <f t="shared" si="45"/>
        <v>0.13411341134113411</v>
      </c>
      <c r="F55" s="267">
        <f t="shared" si="46"/>
        <v>2.5222551928783383E-2</v>
      </c>
      <c r="G55" s="267">
        <f t="shared" si="46"/>
        <v>0</v>
      </c>
      <c r="H55" s="267">
        <f t="shared" si="46"/>
        <v>0</v>
      </c>
      <c r="I55" s="266">
        <f t="shared" si="47"/>
        <v>8.086096567771961E-2</v>
      </c>
      <c r="J55" s="266">
        <f t="shared" si="48"/>
        <v>0</v>
      </c>
      <c r="K55" s="267">
        <f t="shared" si="49"/>
        <v>0.1717557251908397</v>
      </c>
      <c r="L55" s="267">
        <f t="shared" si="49"/>
        <v>0.23844282238442821</v>
      </c>
      <c r="M55" s="268">
        <f t="shared" si="50"/>
        <v>0.125</v>
      </c>
      <c r="N55" s="266">
        <f t="shared" si="51"/>
        <v>0.21606648199445982</v>
      </c>
      <c r="O55" s="266">
        <f t="shared" si="52"/>
        <v>0.43373493975903615</v>
      </c>
      <c r="P55" s="268">
        <f t="shared" si="52"/>
        <v>0</v>
      </c>
      <c r="Q55" s="685">
        <f t="shared" si="52"/>
        <v>0.43373493975903615</v>
      </c>
      <c r="R55" s="269"/>
      <c r="S55" s="270">
        <f>'Old Counts Pivot Table'!B$48</f>
        <v>102</v>
      </c>
      <c r="T55" s="271">
        <f>'Old Counts Pivot Table'!C$48</f>
        <v>0</v>
      </c>
      <c r="U55" s="271">
        <f>'Old Counts Pivot Table'!D$48</f>
        <v>298</v>
      </c>
      <c r="V55" s="271">
        <f>'Old Counts Pivot Table'!E$48</f>
        <v>17</v>
      </c>
      <c r="W55" s="271">
        <f>'Old Counts Pivot Table'!F$48</f>
        <v>0</v>
      </c>
      <c r="X55" s="674">
        <f>'Old Counts Pivot Table'!G$48</f>
        <v>0</v>
      </c>
      <c r="Y55" s="270">
        <f>'Old Counts Pivot Table'!H$48</f>
        <v>417</v>
      </c>
      <c r="Z55" s="270">
        <f>'Old Counts Pivot Table'!I$48</f>
        <v>0</v>
      </c>
      <c r="AA55" s="271">
        <f>'Old Counts Pivot Table'!J$48</f>
        <v>90</v>
      </c>
      <c r="AB55" s="271">
        <f>'Old Counts Pivot Table'!K$48</f>
        <v>294</v>
      </c>
      <c r="AC55" s="271">
        <f>'Old Counts Pivot Table'!L$48</f>
        <v>6</v>
      </c>
      <c r="AD55" s="271">
        <f>'Old Counts Pivot Table'!M$48</f>
        <v>0</v>
      </c>
      <c r="AE55" s="270">
        <f>'Old Counts Pivot Table'!N$48</f>
        <v>390</v>
      </c>
      <c r="AF55" s="270">
        <f>'Old Counts Pivot Table'!O$48</f>
        <v>72</v>
      </c>
      <c r="AG55" s="271">
        <f>'Old Counts Pivot Table'!P$48</f>
        <v>0</v>
      </c>
      <c r="AH55" s="270">
        <f>'Old Counts Pivot Table'!Q$48</f>
        <v>72</v>
      </c>
    </row>
    <row r="56" spans="1:36" x14ac:dyDescent="0.2">
      <c r="A56" s="690"/>
      <c r="B56" s="258" t="s">
        <v>26</v>
      </c>
      <c r="C56" s="266">
        <f t="shared" si="43"/>
        <v>8.0053073861123397E-2</v>
      </c>
      <c r="D56" s="267">
        <f t="shared" si="44"/>
        <v>0</v>
      </c>
      <c r="E56" s="267">
        <f t="shared" si="45"/>
        <v>7.1107110711071106E-2</v>
      </c>
      <c r="F56" s="267">
        <f t="shared" si="46"/>
        <v>0.24183976261127596</v>
      </c>
      <c r="G56" s="267">
        <f t="shared" si="46"/>
        <v>0</v>
      </c>
      <c r="H56" s="267">
        <f t="shared" si="46"/>
        <v>0</v>
      </c>
      <c r="I56" s="266">
        <f t="shared" si="47"/>
        <v>9.734341671514446E-2</v>
      </c>
      <c r="J56" s="266">
        <f t="shared" si="48"/>
        <v>0</v>
      </c>
      <c r="K56" s="267">
        <f t="shared" si="49"/>
        <v>0</v>
      </c>
      <c r="L56" s="267">
        <f t="shared" si="49"/>
        <v>0</v>
      </c>
      <c r="M56" s="268">
        <f t="shared" si="50"/>
        <v>0</v>
      </c>
      <c r="N56" s="266">
        <f t="shared" si="51"/>
        <v>0</v>
      </c>
      <c r="O56" s="266">
        <f t="shared" si="52"/>
        <v>0</v>
      </c>
      <c r="P56" s="268">
        <f t="shared" si="52"/>
        <v>0</v>
      </c>
      <c r="Q56" s="685">
        <f t="shared" si="52"/>
        <v>0</v>
      </c>
      <c r="R56" s="269"/>
      <c r="S56" s="270">
        <f>'Old Counts Pivot Table'!B$49</f>
        <v>181</v>
      </c>
      <c r="T56" s="271">
        <f>'Old Counts Pivot Table'!C$49</f>
        <v>0</v>
      </c>
      <c r="U56" s="271">
        <f>'Old Counts Pivot Table'!D$49</f>
        <v>158</v>
      </c>
      <c r="V56" s="271">
        <f>'Old Counts Pivot Table'!E$49</f>
        <v>163</v>
      </c>
      <c r="W56" s="271">
        <f>'Old Counts Pivot Table'!F$49</f>
        <v>0</v>
      </c>
      <c r="X56" s="674">
        <f>'Old Counts Pivot Table'!G$49</f>
        <v>0</v>
      </c>
      <c r="Y56" s="270">
        <f>'Old Counts Pivot Table'!H$49</f>
        <v>502</v>
      </c>
      <c r="Z56" s="270">
        <f>'Old Counts Pivot Table'!I$49</f>
        <v>0</v>
      </c>
      <c r="AA56" s="271">
        <f>'Old Counts Pivot Table'!J$49</f>
        <v>0</v>
      </c>
      <c r="AB56" s="271">
        <f>'Old Counts Pivot Table'!K$49</f>
        <v>0</v>
      </c>
      <c r="AC56" s="271">
        <f>'Old Counts Pivot Table'!L$49</f>
        <v>0</v>
      </c>
      <c r="AD56" s="271">
        <f>'Old Counts Pivot Table'!M$49</f>
        <v>0</v>
      </c>
      <c r="AE56" s="270">
        <f>'Old Counts Pivot Table'!N$49</f>
        <v>0</v>
      </c>
      <c r="AF56" s="270">
        <f>'Old Counts Pivot Table'!O$49</f>
        <v>0</v>
      </c>
      <c r="AG56" s="271">
        <f>'Old Counts Pivot Table'!P$49</f>
        <v>0</v>
      </c>
      <c r="AH56" s="270">
        <f>'Old Counts Pivot Table'!Q$49</f>
        <v>0</v>
      </c>
    </row>
    <row r="57" spans="1:36" x14ac:dyDescent="0.2">
      <c r="A57" s="690"/>
      <c r="B57" s="258" t="s">
        <v>23</v>
      </c>
      <c r="C57" s="266">
        <f t="shared" si="43"/>
        <v>0</v>
      </c>
      <c r="D57" s="267">
        <f t="shared" si="44"/>
        <v>0</v>
      </c>
      <c r="E57" s="267">
        <f t="shared" si="45"/>
        <v>0</v>
      </c>
      <c r="F57" s="267">
        <f t="shared" si="46"/>
        <v>0</v>
      </c>
      <c r="G57" s="267">
        <f t="shared" si="46"/>
        <v>0</v>
      </c>
      <c r="H57" s="267">
        <f t="shared" si="46"/>
        <v>0</v>
      </c>
      <c r="I57" s="266">
        <f t="shared" si="47"/>
        <v>0</v>
      </c>
      <c r="J57" s="266">
        <f t="shared" si="48"/>
        <v>0</v>
      </c>
      <c r="K57" s="267">
        <f t="shared" si="49"/>
        <v>0</v>
      </c>
      <c r="L57" s="267">
        <f t="shared" si="49"/>
        <v>0</v>
      </c>
      <c r="M57" s="268">
        <f t="shared" si="50"/>
        <v>0</v>
      </c>
      <c r="N57" s="266">
        <f t="shared" si="51"/>
        <v>0</v>
      </c>
      <c r="O57" s="266">
        <f t="shared" si="52"/>
        <v>0</v>
      </c>
      <c r="P57" s="268">
        <f t="shared" si="52"/>
        <v>0</v>
      </c>
      <c r="Q57" s="685">
        <f t="shared" si="52"/>
        <v>0</v>
      </c>
      <c r="R57" s="269"/>
      <c r="S57" s="270">
        <f>'Old Counts Pivot Table'!B$50</f>
        <v>0</v>
      </c>
      <c r="T57" s="271">
        <f>'Old Counts Pivot Table'!C$50</f>
        <v>0</v>
      </c>
      <c r="U57" s="271">
        <f>'Old Counts Pivot Table'!D$50</f>
        <v>0</v>
      </c>
      <c r="V57" s="271">
        <f>'Old Counts Pivot Table'!E$50</f>
        <v>0</v>
      </c>
      <c r="W57" s="271">
        <f>'Old Counts Pivot Table'!F$50</f>
        <v>0</v>
      </c>
      <c r="X57" s="674">
        <f>'Old Counts Pivot Table'!G$50</f>
        <v>0</v>
      </c>
      <c r="Y57" s="270">
        <f>'Old Counts Pivot Table'!H$50</f>
        <v>0</v>
      </c>
      <c r="Z57" s="270">
        <f>'Old Counts Pivot Table'!I$50</f>
        <v>0</v>
      </c>
      <c r="AA57" s="271">
        <f>'Old Counts Pivot Table'!J$50</f>
        <v>0</v>
      </c>
      <c r="AB57" s="271">
        <f>'Old Counts Pivot Table'!K$50</f>
        <v>0</v>
      </c>
      <c r="AC57" s="271">
        <f>'Old Counts Pivot Table'!L$50</f>
        <v>0</v>
      </c>
      <c r="AD57" s="271">
        <f>'Old Counts Pivot Table'!M$50</f>
        <v>0</v>
      </c>
      <c r="AE57" s="270">
        <f>'Old Counts Pivot Table'!N$50</f>
        <v>0</v>
      </c>
      <c r="AF57" s="270">
        <f>'Old Counts Pivot Table'!O$50</f>
        <v>0</v>
      </c>
      <c r="AG57" s="271">
        <f>'Old Counts Pivot Table'!P$50</f>
        <v>0</v>
      </c>
      <c r="AH57" s="270">
        <f>'Old Counts Pivot Table'!Q$50</f>
        <v>0</v>
      </c>
    </row>
    <row r="58" spans="1:36" s="280" customFormat="1" x14ac:dyDescent="0.25">
      <c r="A58" s="691"/>
      <c r="B58" s="272" t="s">
        <v>220</v>
      </c>
      <c r="C58" s="273">
        <f t="shared" si="43"/>
        <v>1</v>
      </c>
      <c r="D58" s="274">
        <f t="shared" si="44"/>
        <v>0</v>
      </c>
      <c r="E58" s="274">
        <f t="shared" si="45"/>
        <v>1</v>
      </c>
      <c r="F58" s="274">
        <f t="shared" si="46"/>
        <v>1</v>
      </c>
      <c r="G58" s="274">
        <f t="shared" si="46"/>
        <v>0</v>
      </c>
      <c r="H58" s="274">
        <f t="shared" si="46"/>
        <v>0</v>
      </c>
      <c r="I58" s="273">
        <f t="shared" si="47"/>
        <v>1</v>
      </c>
      <c r="J58" s="273">
        <f t="shared" si="48"/>
        <v>0</v>
      </c>
      <c r="K58" s="274">
        <f t="shared" si="49"/>
        <v>1</v>
      </c>
      <c r="L58" s="274">
        <f t="shared" si="49"/>
        <v>1</v>
      </c>
      <c r="M58" s="275">
        <f t="shared" si="50"/>
        <v>1</v>
      </c>
      <c r="N58" s="273">
        <f t="shared" si="51"/>
        <v>1</v>
      </c>
      <c r="O58" s="273">
        <f t="shared" si="52"/>
        <v>1</v>
      </c>
      <c r="P58" s="275">
        <f t="shared" si="52"/>
        <v>0</v>
      </c>
      <c r="Q58" s="686">
        <f t="shared" si="52"/>
        <v>1</v>
      </c>
      <c r="R58" s="276"/>
      <c r="S58" s="277">
        <f>'Old Counts Pivot Table'!B$51</f>
        <v>2261</v>
      </c>
      <c r="T58" s="278">
        <f>'Old Counts Pivot Table'!C$51</f>
        <v>0</v>
      </c>
      <c r="U58" s="278">
        <f>'Old Counts Pivot Table'!D$51</f>
        <v>2222</v>
      </c>
      <c r="V58" s="278">
        <f>'Old Counts Pivot Table'!E$51</f>
        <v>674</v>
      </c>
      <c r="W58" s="278">
        <f>'Old Counts Pivot Table'!F$51</f>
        <v>0</v>
      </c>
      <c r="X58" s="675">
        <f>'Old Counts Pivot Table'!G$51</f>
        <v>0</v>
      </c>
      <c r="Y58" s="277">
        <f>'Old Counts Pivot Table'!H$51</f>
        <v>5157</v>
      </c>
      <c r="Z58" s="277">
        <f>'Old Counts Pivot Table'!I$51</f>
        <v>0</v>
      </c>
      <c r="AA58" s="278">
        <f>'Old Counts Pivot Table'!J$51</f>
        <v>524</v>
      </c>
      <c r="AB58" s="278">
        <f>'Old Counts Pivot Table'!K$51</f>
        <v>1233</v>
      </c>
      <c r="AC58" s="278">
        <f>'Old Counts Pivot Table'!L$51</f>
        <v>48</v>
      </c>
      <c r="AD58" s="278">
        <f>'Old Counts Pivot Table'!M$51</f>
        <v>0</v>
      </c>
      <c r="AE58" s="277">
        <f>'Old Counts Pivot Table'!N$51</f>
        <v>1805</v>
      </c>
      <c r="AF58" s="277">
        <f>'Old Counts Pivot Table'!O$51</f>
        <v>166</v>
      </c>
      <c r="AG58" s="278">
        <f>'Old Counts Pivot Table'!P$51</f>
        <v>0</v>
      </c>
      <c r="AH58" s="277">
        <f>'Old Counts Pivot Table'!Q$51</f>
        <v>166</v>
      </c>
      <c r="AI58" s="279"/>
      <c r="AJ58" s="279"/>
    </row>
    <row r="59" spans="1:36" x14ac:dyDescent="0.2">
      <c r="A59" s="692" t="s">
        <v>37</v>
      </c>
      <c r="B59" s="259" t="s">
        <v>3</v>
      </c>
      <c r="C59" s="260">
        <f t="shared" ref="C59:C65" si="53">S59/S$65</f>
        <v>0.34991423670668953</v>
      </c>
      <c r="D59" s="261">
        <f t="shared" ref="D59:D65" si="54">IFERROR(T59/T$65,0)</f>
        <v>0.26199543031226202</v>
      </c>
      <c r="E59" s="261">
        <f t="shared" ref="E59:E65" si="55">U59/U$65</f>
        <v>0.24132231404958679</v>
      </c>
      <c r="F59" s="261">
        <f t="shared" ref="F59:H65" si="56">IFERROR(V59/V$65,0)</f>
        <v>0.18088467614533965</v>
      </c>
      <c r="G59" s="261">
        <f t="shared" si="56"/>
        <v>0</v>
      </c>
      <c r="H59" s="261">
        <f t="shared" si="56"/>
        <v>0.17894736842105263</v>
      </c>
      <c r="I59" s="260">
        <f t="shared" ref="I59:I65" si="57">Y59/Y$65</f>
        <v>0.25544554455445545</v>
      </c>
      <c r="J59" s="260">
        <f t="shared" ref="J59:J65" si="58">IFERROR(Z59/Z$65,0)</f>
        <v>0</v>
      </c>
      <c r="K59" s="261">
        <f t="shared" ref="K59:L65" si="59">AA59/AA$65</f>
        <v>0.11794228356336262</v>
      </c>
      <c r="L59" s="261">
        <f t="shared" si="59"/>
        <v>0.12903225806451613</v>
      </c>
      <c r="M59" s="262">
        <f t="shared" ref="M59:M65" si="60">IFERROR(AC59/AC$65,0)</f>
        <v>5.9071729957805907E-2</v>
      </c>
      <c r="N59" s="260">
        <f t="shared" ref="N59:N65" si="61">AE59/AE$65</f>
        <v>0.10708117443868739</v>
      </c>
      <c r="O59" s="260">
        <f t="shared" ref="O59:Q65" si="62">IFERROR(AF59/AF$65,0)</f>
        <v>0.12445095168374817</v>
      </c>
      <c r="P59" s="262">
        <f t="shared" si="62"/>
        <v>0</v>
      </c>
      <c r="Q59" s="684">
        <f t="shared" si="62"/>
        <v>0.12445095168374817</v>
      </c>
      <c r="R59" s="263"/>
      <c r="S59" s="264">
        <f>'Old Counts Pivot Table'!B$53</f>
        <v>408</v>
      </c>
      <c r="T59" s="265">
        <f>'Old Counts Pivot Table'!C$53</f>
        <v>344</v>
      </c>
      <c r="U59" s="265">
        <f>'Old Counts Pivot Table'!D$53</f>
        <v>292</v>
      </c>
      <c r="V59" s="265">
        <f>'Old Counts Pivot Table'!E$53</f>
        <v>229</v>
      </c>
      <c r="W59" s="265">
        <f>'Old Counts Pivot Table'!F$53</f>
        <v>0</v>
      </c>
      <c r="X59" s="673">
        <f>'Old Counts Pivot Table'!G$53</f>
        <v>17</v>
      </c>
      <c r="Y59" s="264">
        <f>'Old Counts Pivot Table'!H$53</f>
        <v>1290</v>
      </c>
      <c r="Z59" s="264">
        <f>'Old Counts Pivot Table'!I$53</f>
        <v>0</v>
      </c>
      <c r="AA59" s="265">
        <f>'Old Counts Pivot Table'!J$53</f>
        <v>94</v>
      </c>
      <c r="AB59" s="265">
        <f>'Old Counts Pivot Table'!K$53</f>
        <v>16</v>
      </c>
      <c r="AC59" s="265">
        <f>'Old Counts Pivot Table'!L$53</f>
        <v>14</v>
      </c>
      <c r="AD59" s="265">
        <f>'Old Counts Pivot Table'!M$53</f>
        <v>0</v>
      </c>
      <c r="AE59" s="264">
        <f>'Old Counts Pivot Table'!N$53</f>
        <v>124</v>
      </c>
      <c r="AF59" s="264">
        <f>'Old Counts Pivot Table'!O$53</f>
        <v>85</v>
      </c>
      <c r="AG59" s="265">
        <f>'Old Counts Pivot Table'!P$53</f>
        <v>0</v>
      </c>
      <c r="AH59" s="264">
        <f>'Old Counts Pivot Table'!Q$53</f>
        <v>85</v>
      </c>
    </row>
    <row r="60" spans="1:36" x14ac:dyDescent="0.2">
      <c r="A60" s="690"/>
      <c r="B60" s="258" t="s">
        <v>4</v>
      </c>
      <c r="C60" s="266">
        <f t="shared" si="53"/>
        <v>0.25557461406518012</v>
      </c>
      <c r="D60" s="267">
        <f t="shared" si="54"/>
        <v>0.24828636709824828</v>
      </c>
      <c r="E60" s="267">
        <f t="shared" si="55"/>
        <v>0.23471074380165288</v>
      </c>
      <c r="F60" s="267">
        <f t="shared" si="56"/>
        <v>0.22511848341232227</v>
      </c>
      <c r="G60" s="267">
        <f t="shared" si="56"/>
        <v>0</v>
      </c>
      <c r="H60" s="267">
        <f t="shared" si="56"/>
        <v>0.3473684210526316</v>
      </c>
      <c r="I60" s="266">
        <f t="shared" si="57"/>
        <v>0.24277227722772277</v>
      </c>
      <c r="J60" s="266">
        <f t="shared" si="58"/>
        <v>0</v>
      </c>
      <c r="K60" s="267">
        <f t="shared" si="59"/>
        <v>0.15181932245922208</v>
      </c>
      <c r="L60" s="267">
        <f t="shared" si="59"/>
        <v>0.13709677419354838</v>
      </c>
      <c r="M60" s="268">
        <f t="shared" si="60"/>
        <v>0.1940928270042194</v>
      </c>
      <c r="N60" s="266">
        <f t="shared" si="61"/>
        <v>0.15889464594127806</v>
      </c>
      <c r="O60" s="266">
        <f t="shared" si="62"/>
        <v>2.6354319180087848E-2</v>
      </c>
      <c r="P60" s="268">
        <f t="shared" si="62"/>
        <v>0</v>
      </c>
      <c r="Q60" s="685">
        <f t="shared" si="62"/>
        <v>2.6354319180087848E-2</v>
      </c>
      <c r="R60" s="269"/>
      <c r="S60" s="270">
        <f>'Old Counts Pivot Table'!B$54</f>
        <v>298</v>
      </c>
      <c r="T60" s="271">
        <f>'Old Counts Pivot Table'!C$54</f>
        <v>326</v>
      </c>
      <c r="U60" s="271">
        <f>'Old Counts Pivot Table'!D$54</f>
        <v>284</v>
      </c>
      <c r="V60" s="271">
        <f>'Old Counts Pivot Table'!E$54</f>
        <v>285</v>
      </c>
      <c r="W60" s="271">
        <f>'Old Counts Pivot Table'!F$54</f>
        <v>0</v>
      </c>
      <c r="X60" s="674">
        <f>'Old Counts Pivot Table'!G$54</f>
        <v>33</v>
      </c>
      <c r="Y60" s="270">
        <f>'Old Counts Pivot Table'!H$54</f>
        <v>1226</v>
      </c>
      <c r="Z60" s="270">
        <f>'Old Counts Pivot Table'!I$54</f>
        <v>0</v>
      </c>
      <c r="AA60" s="271">
        <f>'Old Counts Pivot Table'!J$54</f>
        <v>121</v>
      </c>
      <c r="AB60" s="271">
        <f>'Old Counts Pivot Table'!K$54</f>
        <v>17</v>
      </c>
      <c r="AC60" s="271">
        <f>'Old Counts Pivot Table'!L$54</f>
        <v>46</v>
      </c>
      <c r="AD60" s="271">
        <f>'Old Counts Pivot Table'!M$54</f>
        <v>0</v>
      </c>
      <c r="AE60" s="270">
        <f>'Old Counts Pivot Table'!N$54</f>
        <v>184</v>
      </c>
      <c r="AF60" s="270">
        <f>'Old Counts Pivot Table'!O$54</f>
        <v>18</v>
      </c>
      <c r="AG60" s="271">
        <f>'Old Counts Pivot Table'!P$54</f>
        <v>0</v>
      </c>
      <c r="AH60" s="270">
        <f>'Old Counts Pivot Table'!Q$54</f>
        <v>18</v>
      </c>
    </row>
    <row r="61" spans="1:36" x14ac:dyDescent="0.2">
      <c r="A61" s="690"/>
      <c r="B61" s="258" t="s">
        <v>5</v>
      </c>
      <c r="C61" s="266">
        <f t="shared" si="53"/>
        <v>0.21612349914236706</v>
      </c>
      <c r="D61" s="267">
        <f t="shared" si="54"/>
        <v>0.26275704493526275</v>
      </c>
      <c r="E61" s="267">
        <f t="shared" si="55"/>
        <v>0.25123966942148762</v>
      </c>
      <c r="F61" s="267">
        <f t="shared" si="56"/>
        <v>0.38309636650868878</v>
      </c>
      <c r="G61" s="267">
        <f t="shared" si="56"/>
        <v>0</v>
      </c>
      <c r="H61" s="267">
        <f t="shared" si="56"/>
        <v>0.36842105263157893</v>
      </c>
      <c r="I61" s="266">
        <f t="shared" si="57"/>
        <v>0.28138613861386136</v>
      </c>
      <c r="J61" s="266">
        <f t="shared" si="58"/>
        <v>0</v>
      </c>
      <c r="K61" s="267">
        <f t="shared" si="59"/>
        <v>0.20828105395232122</v>
      </c>
      <c r="L61" s="267">
        <f t="shared" si="59"/>
        <v>8.0645161290322578E-2</v>
      </c>
      <c r="M61" s="268">
        <f t="shared" si="60"/>
        <v>0.29535864978902954</v>
      </c>
      <c r="N61" s="266">
        <f t="shared" si="61"/>
        <v>0.21243523316062177</v>
      </c>
      <c r="O61" s="266">
        <f t="shared" si="62"/>
        <v>5.2708638360175697E-2</v>
      </c>
      <c r="P61" s="268">
        <f t="shared" si="62"/>
        <v>0</v>
      </c>
      <c r="Q61" s="685">
        <f t="shared" si="62"/>
        <v>5.2708638360175697E-2</v>
      </c>
      <c r="R61" s="269"/>
      <c r="S61" s="270">
        <f>'Old Counts Pivot Table'!B$55</f>
        <v>252</v>
      </c>
      <c r="T61" s="271">
        <f>'Old Counts Pivot Table'!C$55</f>
        <v>345</v>
      </c>
      <c r="U61" s="271">
        <f>'Old Counts Pivot Table'!D$55</f>
        <v>304</v>
      </c>
      <c r="V61" s="271">
        <f>'Old Counts Pivot Table'!E$55</f>
        <v>485</v>
      </c>
      <c r="W61" s="271">
        <f>'Old Counts Pivot Table'!F$55</f>
        <v>0</v>
      </c>
      <c r="X61" s="674">
        <f>'Old Counts Pivot Table'!G$55</f>
        <v>35</v>
      </c>
      <c r="Y61" s="270">
        <f>'Old Counts Pivot Table'!H$55</f>
        <v>1421</v>
      </c>
      <c r="Z61" s="270">
        <f>'Old Counts Pivot Table'!I$55</f>
        <v>0</v>
      </c>
      <c r="AA61" s="271">
        <f>'Old Counts Pivot Table'!J$55</f>
        <v>166</v>
      </c>
      <c r="AB61" s="271">
        <f>'Old Counts Pivot Table'!K$55</f>
        <v>10</v>
      </c>
      <c r="AC61" s="271">
        <f>'Old Counts Pivot Table'!L$55</f>
        <v>70</v>
      </c>
      <c r="AD61" s="271">
        <f>'Old Counts Pivot Table'!M$55</f>
        <v>0</v>
      </c>
      <c r="AE61" s="270">
        <f>'Old Counts Pivot Table'!N$55</f>
        <v>246</v>
      </c>
      <c r="AF61" s="270">
        <f>'Old Counts Pivot Table'!O$55</f>
        <v>36</v>
      </c>
      <c r="AG61" s="271">
        <f>'Old Counts Pivot Table'!P$55</f>
        <v>0</v>
      </c>
      <c r="AH61" s="270">
        <f>'Old Counts Pivot Table'!Q$55</f>
        <v>36</v>
      </c>
    </row>
    <row r="62" spans="1:36" x14ac:dyDescent="0.2">
      <c r="A62" s="690"/>
      <c r="B62" s="258" t="s">
        <v>6</v>
      </c>
      <c r="C62" s="266">
        <f t="shared" si="53"/>
        <v>0.16209262435677529</v>
      </c>
      <c r="D62" s="267">
        <f t="shared" si="54"/>
        <v>0.21477532368621477</v>
      </c>
      <c r="E62" s="267">
        <f t="shared" si="55"/>
        <v>0.26942148760330581</v>
      </c>
      <c r="F62" s="267">
        <f t="shared" si="56"/>
        <v>0.19194312796208532</v>
      </c>
      <c r="G62" s="267">
        <f t="shared" si="56"/>
        <v>0</v>
      </c>
      <c r="H62" s="267">
        <f t="shared" si="56"/>
        <v>0.10526315789473684</v>
      </c>
      <c r="I62" s="266">
        <f t="shared" si="57"/>
        <v>0.20792079207920791</v>
      </c>
      <c r="J62" s="266">
        <f t="shared" si="58"/>
        <v>0</v>
      </c>
      <c r="K62" s="267">
        <f t="shared" si="59"/>
        <v>0.370138017565872</v>
      </c>
      <c r="L62" s="267">
        <f t="shared" si="59"/>
        <v>0.65322580645161288</v>
      </c>
      <c r="M62" s="268">
        <f t="shared" si="60"/>
        <v>0.45147679324894513</v>
      </c>
      <c r="N62" s="266">
        <f t="shared" si="61"/>
        <v>0.41709844559585491</v>
      </c>
      <c r="O62" s="266">
        <f t="shared" si="62"/>
        <v>0.6793557833089312</v>
      </c>
      <c r="P62" s="268">
        <f t="shared" si="62"/>
        <v>0</v>
      </c>
      <c r="Q62" s="685">
        <f t="shared" si="62"/>
        <v>0.6793557833089312</v>
      </c>
      <c r="R62" s="269"/>
      <c r="S62" s="270">
        <f>'Old Counts Pivot Table'!B$56</f>
        <v>189</v>
      </c>
      <c r="T62" s="271">
        <f>'Old Counts Pivot Table'!C$56</f>
        <v>282</v>
      </c>
      <c r="U62" s="271">
        <f>'Old Counts Pivot Table'!D$56</f>
        <v>326</v>
      </c>
      <c r="V62" s="271">
        <f>'Old Counts Pivot Table'!E$56</f>
        <v>243</v>
      </c>
      <c r="W62" s="271">
        <f>'Old Counts Pivot Table'!F$56</f>
        <v>0</v>
      </c>
      <c r="X62" s="674">
        <f>'Old Counts Pivot Table'!G$56</f>
        <v>10</v>
      </c>
      <c r="Y62" s="270">
        <f>'Old Counts Pivot Table'!H$56</f>
        <v>1050</v>
      </c>
      <c r="Z62" s="270">
        <f>'Old Counts Pivot Table'!I$56</f>
        <v>0</v>
      </c>
      <c r="AA62" s="271">
        <f>'Old Counts Pivot Table'!J$56</f>
        <v>295</v>
      </c>
      <c r="AB62" s="271">
        <f>'Old Counts Pivot Table'!K$56</f>
        <v>81</v>
      </c>
      <c r="AC62" s="271">
        <f>'Old Counts Pivot Table'!L$56</f>
        <v>107</v>
      </c>
      <c r="AD62" s="271">
        <f>'Old Counts Pivot Table'!M$56</f>
        <v>0</v>
      </c>
      <c r="AE62" s="270">
        <f>'Old Counts Pivot Table'!N$56</f>
        <v>483</v>
      </c>
      <c r="AF62" s="270">
        <f>'Old Counts Pivot Table'!O$56</f>
        <v>464</v>
      </c>
      <c r="AG62" s="271">
        <f>'Old Counts Pivot Table'!P$56</f>
        <v>0</v>
      </c>
      <c r="AH62" s="270">
        <f>'Old Counts Pivot Table'!Q$56</f>
        <v>464</v>
      </c>
    </row>
    <row r="63" spans="1:36" x14ac:dyDescent="0.2">
      <c r="A63" s="690"/>
      <c r="B63" s="258" t="s">
        <v>26</v>
      </c>
      <c r="C63" s="266">
        <f t="shared" si="53"/>
        <v>1.6295025728987993E-2</v>
      </c>
      <c r="D63" s="267">
        <f t="shared" si="54"/>
        <v>1.2185833968012186E-2</v>
      </c>
      <c r="E63" s="267">
        <f t="shared" si="55"/>
        <v>3.3057851239669421E-3</v>
      </c>
      <c r="F63" s="267">
        <f t="shared" si="56"/>
        <v>1.8957345971563982E-2</v>
      </c>
      <c r="G63" s="267">
        <f t="shared" si="56"/>
        <v>0</v>
      </c>
      <c r="H63" s="267">
        <f t="shared" si="56"/>
        <v>0</v>
      </c>
      <c r="I63" s="266">
        <f t="shared" si="57"/>
        <v>1.2475247524752476E-2</v>
      </c>
      <c r="J63" s="266">
        <f t="shared" si="58"/>
        <v>0</v>
      </c>
      <c r="K63" s="267">
        <f t="shared" si="59"/>
        <v>0.15181932245922208</v>
      </c>
      <c r="L63" s="267">
        <f t="shared" si="59"/>
        <v>0</v>
      </c>
      <c r="M63" s="268">
        <f t="shared" si="60"/>
        <v>0</v>
      </c>
      <c r="N63" s="266">
        <f t="shared" si="61"/>
        <v>0.10449050086355786</v>
      </c>
      <c r="O63" s="266">
        <f t="shared" si="62"/>
        <v>0.1171303074670571</v>
      </c>
      <c r="P63" s="268">
        <f t="shared" si="62"/>
        <v>0</v>
      </c>
      <c r="Q63" s="685">
        <f t="shared" si="62"/>
        <v>0.1171303074670571</v>
      </c>
      <c r="R63" s="269"/>
      <c r="S63" s="270">
        <f>'Old Counts Pivot Table'!B$57</f>
        <v>19</v>
      </c>
      <c r="T63" s="271">
        <f>'Old Counts Pivot Table'!C$57</f>
        <v>16</v>
      </c>
      <c r="U63" s="271">
        <f>'Old Counts Pivot Table'!D$57</f>
        <v>4</v>
      </c>
      <c r="V63" s="271">
        <f>'Old Counts Pivot Table'!E$57</f>
        <v>24</v>
      </c>
      <c r="W63" s="271">
        <f>'Old Counts Pivot Table'!F$57</f>
        <v>0</v>
      </c>
      <c r="X63" s="674">
        <f>'Old Counts Pivot Table'!G$57</f>
        <v>0</v>
      </c>
      <c r="Y63" s="270">
        <f>'Old Counts Pivot Table'!H$57</f>
        <v>63</v>
      </c>
      <c r="Z63" s="270">
        <f>'Old Counts Pivot Table'!I$57</f>
        <v>0</v>
      </c>
      <c r="AA63" s="271">
        <f>'Old Counts Pivot Table'!J$57</f>
        <v>121</v>
      </c>
      <c r="AB63" s="271">
        <f>'Old Counts Pivot Table'!K$57</f>
        <v>0</v>
      </c>
      <c r="AC63" s="271">
        <f>'Old Counts Pivot Table'!L$57</f>
        <v>0</v>
      </c>
      <c r="AD63" s="271">
        <f>'Old Counts Pivot Table'!M$57</f>
        <v>0</v>
      </c>
      <c r="AE63" s="270">
        <f>'Old Counts Pivot Table'!N$57</f>
        <v>121</v>
      </c>
      <c r="AF63" s="270">
        <f>'Old Counts Pivot Table'!O$57</f>
        <v>80</v>
      </c>
      <c r="AG63" s="271">
        <f>'Old Counts Pivot Table'!P$57</f>
        <v>0</v>
      </c>
      <c r="AH63" s="270">
        <f>'Old Counts Pivot Table'!Q$57</f>
        <v>80</v>
      </c>
    </row>
    <row r="64" spans="1:36" x14ac:dyDescent="0.2">
      <c r="A64" s="690"/>
      <c r="B64" s="258" t="s">
        <v>23</v>
      </c>
      <c r="C64" s="266">
        <f t="shared" si="53"/>
        <v>0</v>
      </c>
      <c r="D64" s="267">
        <f t="shared" si="54"/>
        <v>0</v>
      </c>
      <c r="E64" s="267">
        <f t="shared" si="55"/>
        <v>0</v>
      </c>
      <c r="F64" s="267">
        <f t="shared" si="56"/>
        <v>0</v>
      </c>
      <c r="G64" s="267">
        <f t="shared" si="56"/>
        <v>0</v>
      </c>
      <c r="H64" s="267">
        <f t="shared" si="56"/>
        <v>0</v>
      </c>
      <c r="I64" s="266">
        <f t="shared" si="57"/>
        <v>0</v>
      </c>
      <c r="J64" s="266">
        <f t="shared" si="58"/>
        <v>0</v>
      </c>
      <c r="K64" s="267">
        <f t="shared" si="59"/>
        <v>0</v>
      </c>
      <c r="L64" s="267">
        <f t="shared" si="59"/>
        <v>0</v>
      </c>
      <c r="M64" s="268">
        <f t="shared" si="60"/>
        <v>0</v>
      </c>
      <c r="N64" s="266">
        <f t="shared" si="61"/>
        <v>0</v>
      </c>
      <c r="O64" s="266">
        <f t="shared" si="62"/>
        <v>0</v>
      </c>
      <c r="P64" s="268">
        <f t="shared" si="62"/>
        <v>0</v>
      </c>
      <c r="Q64" s="685">
        <f t="shared" si="62"/>
        <v>0</v>
      </c>
      <c r="R64" s="269"/>
      <c r="S64" s="270">
        <f>'Old Counts Pivot Table'!B$58</f>
        <v>0</v>
      </c>
      <c r="T64" s="271">
        <f>'Old Counts Pivot Table'!C$58</f>
        <v>0</v>
      </c>
      <c r="U64" s="271">
        <f>'Old Counts Pivot Table'!D$58</f>
        <v>0</v>
      </c>
      <c r="V64" s="271">
        <f>'Old Counts Pivot Table'!E$58</f>
        <v>0</v>
      </c>
      <c r="W64" s="271">
        <f>'Old Counts Pivot Table'!F$58</f>
        <v>0</v>
      </c>
      <c r="X64" s="674">
        <f>'Old Counts Pivot Table'!G$58</f>
        <v>0</v>
      </c>
      <c r="Y64" s="270">
        <f>'Old Counts Pivot Table'!H$58</f>
        <v>0</v>
      </c>
      <c r="Z64" s="270">
        <f>'Old Counts Pivot Table'!I$58</f>
        <v>0</v>
      </c>
      <c r="AA64" s="271">
        <f>'Old Counts Pivot Table'!J$58</f>
        <v>0</v>
      </c>
      <c r="AB64" s="271">
        <f>'Old Counts Pivot Table'!K$58</f>
        <v>0</v>
      </c>
      <c r="AC64" s="271">
        <f>'Old Counts Pivot Table'!L$58</f>
        <v>0</v>
      </c>
      <c r="AD64" s="271">
        <f>'Old Counts Pivot Table'!M$58</f>
        <v>0</v>
      </c>
      <c r="AE64" s="270">
        <f>'Old Counts Pivot Table'!N$58</f>
        <v>0</v>
      </c>
      <c r="AF64" s="270">
        <f>'Old Counts Pivot Table'!O$58</f>
        <v>0</v>
      </c>
      <c r="AG64" s="271">
        <f>'Old Counts Pivot Table'!P$58</f>
        <v>0</v>
      </c>
      <c r="AH64" s="270">
        <f>'Old Counts Pivot Table'!Q$58</f>
        <v>0</v>
      </c>
    </row>
    <row r="65" spans="1:36" s="280" customFormat="1" x14ac:dyDescent="0.25">
      <c r="A65" s="691"/>
      <c r="B65" s="272" t="s">
        <v>220</v>
      </c>
      <c r="C65" s="273">
        <f t="shared" si="53"/>
        <v>1</v>
      </c>
      <c r="D65" s="274">
        <f t="shared" si="54"/>
        <v>1</v>
      </c>
      <c r="E65" s="274">
        <f t="shared" si="55"/>
        <v>1</v>
      </c>
      <c r="F65" s="274">
        <f t="shared" si="56"/>
        <v>1</v>
      </c>
      <c r="G65" s="274">
        <f t="shared" si="56"/>
        <v>0</v>
      </c>
      <c r="H65" s="274">
        <f t="shared" si="56"/>
        <v>1</v>
      </c>
      <c r="I65" s="273">
        <f t="shared" si="57"/>
        <v>1</v>
      </c>
      <c r="J65" s="273">
        <f t="shared" si="58"/>
        <v>0</v>
      </c>
      <c r="K65" s="274">
        <f t="shared" si="59"/>
        <v>1</v>
      </c>
      <c r="L65" s="274">
        <f t="shared" si="59"/>
        <v>1</v>
      </c>
      <c r="M65" s="275">
        <f t="shared" si="60"/>
        <v>1</v>
      </c>
      <c r="N65" s="273">
        <f t="shared" si="61"/>
        <v>1</v>
      </c>
      <c r="O65" s="273">
        <f t="shared" si="62"/>
        <v>1</v>
      </c>
      <c r="P65" s="275">
        <f t="shared" si="62"/>
        <v>0</v>
      </c>
      <c r="Q65" s="686">
        <f t="shared" si="62"/>
        <v>1</v>
      </c>
      <c r="R65" s="276"/>
      <c r="S65" s="277">
        <f>'Old Counts Pivot Table'!B$59</f>
        <v>1166</v>
      </c>
      <c r="T65" s="278">
        <f>'Old Counts Pivot Table'!C$59</f>
        <v>1313</v>
      </c>
      <c r="U65" s="278">
        <f>'Old Counts Pivot Table'!D$59</f>
        <v>1210</v>
      </c>
      <c r="V65" s="278">
        <f>'Old Counts Pivot Table'!E$59</f>
        <v>1266</v>
      </c>
      <c r="W65" s="278">
        <f>'Old Counts Pivot Table'!F$59</f>
        <v>0</v>
      </c>
      <c r="X65" s="675">
        <f>'Old Counts Pivot Table'!G$59</f>
        <v>95</v>
      </c>
      <c r="Y65" s="277">
        <f>'Old Counts Pivot Table'!H$59</f>
        <v>5050</v>
      </c>
      <c r="Z65" s="277">
        <f>'Old Counts Pivot Table'!I$59</f>
        <v>0</v>
      </c>
      <c r="AA65" s="278">
        <f>'Old Counts Pivot Table'!J$59</f>
        <v>797</v>
      </c>
      <c r="AB65" s="278">
        <f>'Old Counts Pivot Table'!K$59</f>
        <v>124</v>
      </c>
      <c r="AC65" s="278">
        <f>'Old Counts Pivot Table'!L$59</f>
        <v>237</v>
      </c>
      <c r="AD65" s="278">
        <f>'Old Counts Pivot Table'!M$59</f>
        <v>0</v>
      </c>
      <c r="AE65" s="277">
        <f>'Old Counts Pivot Table'!N$59</f>
        <v>1158</v>
      </c>
      <c r="AF65" s="277">
        <f>'Old Counts Pivot Table'!O$59</f>
        <v>683</v>
      </c>
      <c r="AG65" s="278">
        <f>'Old Counts Pivot Table'!P$59</f>
        <v>0</v>
      </c>
      <c r="AH65" s="277">
        <f>'Old Counts Pivot Table'!Q$59</f>
        <v>683</v>
      </c>
      <c r="AI65" s="279"/>
      <c r="AJ65" s="279"/>
    </row>
    <row r="66" spans="1:36" x14ac:dyDescent="0.2">
      <c r="A66" s="692" t="s">
        <v>38</v>
      </c>
      <c r="B66" s="259" t="s">
        <v>3</v>
      </c>
      <c r="C66" s="260">
        <f t="shared" ref="C66:C72" si="63">S66/S$72</f>
        <v>0.39388489208633093</v>
      </c>
      <c r="D66" s="261">
        <f t="shared" ref="D66:D72" si="64">IFERROR(T66/T$72,0)</f>
        <v>0.20811099252934898</v>
      </c>
      <c r="E66" s="261">
        <f t="shared" ref="E66:E72" si="65">U66/U$72</f>
        <v>0.22235434007134364</v>
      </c>
      <c r="F66" s="261">
        <f t="shared" ref="F66:H72" si="66">IFERROR(V66/V$72,0)</f>
        <v>0.23859934853420195</v>
      </c>
      <c r="G66" s="261">
        <f t="shared" si="66"/>
        <v>0.16447368421052633</v>
      </c>
      <c r="H66" s="261">
        <f t="shared" si="66"/>
        <v>0.31914893617021278</v>
      </c>
      <c r="I66" s="260">
        <f t="shared" ref="I66:I72" si="67">Y66/Y$72</f>
        <v>0.28226293537346486</v>
      </c>
      <c r="J66" s="260">
        <f t="shared" ref="J66:J72" si="68">IFERROR(Z66/Z$72,0)</f>
        <v>0</v>
      </c>
      <c r="K66" s="261">
        <f t="shared" ref="K66:L72" si="69">AA66/AA$72</f>
        <v>0.37557077625570778</v>
      </c>
      <c r="L66" s="261">
        <f t="shared" si="69"/>
        <v>0.20922570016474465</v>
      </c>
      <c r="M66" s="262">
        <f t="shared" ref="M66:M72" si="70">IFERROR(AC66/AC$72,0)</f>
        <v>0.29457364341085274</v>
      </c>
      <c r="N66" s="260">
        <f t="shared" ref="N66:N72" si="71">AE66/AE$72</f>
        <v>0.33078778135048231</v>
      </c>
      <c r="O66" s="260">
        <f t="shared" ref="O66:Q72" si="72">IFERROR(AF66/AF$72,0)</f>
        <v>0</v>
      </c>
      <c r="P66" s="262">
        <f t="shared" si="72"/>
        <v>0</v>
      </c>
      <c r="Q66" s="684">
        <f t="shared" si="72"/>
        <v>0</v>
      </c>
      <c r="R66" s="263"/>
      <c r="S66" s="264">
        <f>'Old Counts Pivot Table'!B$61</f>
        <v>657</v>
      </c>
      <c r="T66" s="265">
        <f>'Old Counts Pivot Table'!C$61</f>
        <v>195</v>
      </c>
      <c r="U66" s="265">
        <f>'Old Counts Pivot Table'!D$61</f>
        <v>187</v>
      </c>
      <c r="V66" s="265">
        <f>'Old Counts Pivot Table'!E$61</f>
        <v>293</v>
      </c>
      <c r="W66" s="265">
        <f>'Old Counts Pivot Table'!F$61</f>
        <v>25</v>
      </c>
      <c r="X66" s="673">
        <f>'Old Counts Pivot Table'!G$61</f>
        <v>45</v>
      </c>
      <c r="Y66" s="264">
        <f>'Old Counts Pivot Table'!H$61</f>
        <v>1402</v>
      </c>
      <c r="Z66" s="264">
        <f>'Old Counts Pivot Table'!I$61</f>
        <v>0</v>
      </c>
      <c r="AA66" s="265">
        <f>'Old Counts Pivot Table'!J$61</f>
        <v>658</v>
      </c>
      <c r="AB66" s="265">
        <f>'Old Counts Pivot Table'!K$61</f>
        <v>127</v>
      </c>
      <c r="AC66" s="265">
        <f>'Old Counts Pivot Table'!L$61</f>
        <v>38</v>
      </c>
      <c r="AD66" s="265">
        <f>'Old Counts Pivot Table'!M$61</f>
        <v>0</v>
      </c>
      <c r="AE66" s="264">
        <f>'Old Counts Pivot Table'!N$61</f>
        <v>823</v>
      </c>
      <c r="AF66" s="264">
        <f>'Old Counts Pivot Table'!O$61</f>
        <v>0</v>
      </c>
      <c r="AG66" s="265">
        <f>'Old Counts Pivot Table'!P$61</f>
        <v>0</v>
      </c>
      <c r="AH66" s="264">
        <f>'Old Counts Pivot Table'!Q$61</f>
        <v>0</v>
      </c>
    </row>
    <row r="67" spans="1:36" x14ac:dyDescent="0.2">
      <c r="A67" s="690"/>
      <c r="B67" s="258" t="s">
        <v>4</v>
      </c>
      <c r="C67" s="266">
        <f t="shared" si="63"/>
        <v>0.25359712230215825</v>
      </c>
      <c r="D67" s="267">
        <f t="shared" si="64"/>
        <v>0.31163287086446106</v>
      </c>
      <c r="E67" s="267">
        <f t="shared" si="65"/>
        <v>0.20689655172413793</v>
      </c>
      <c r="F67" s="267">
        <f t="shared" si="66"/>
        <v>0.25651465798045603</v>
      </c>
      <c r="G67" s="267">
        <f t="shared" si="66"/>
        <v>0.16447368421052633</v>
      </c>
      <c r="H67" s="267">
        <f t="shared" si="66"/>
        <v>0.36170212765957449</v>
      </c>
      <c r="I67" s="266">
        <f t="shared" si="67"/>
        <v>0.25770082544795653</v>
      </c>
      <c r="J67" s="266">
        <f t="shared" si="68"/>
        <v>0</v>
      </c>
      <c r="K67" s="267">
        <f t="shared" si="69"/>
        <v>0.2865296803652968</v>
      </c>
      <c r="L67" s="267">
        <f t="shared" si="69"/>
        <v>0.24546952224052718</v>
      </c>
      <c r="M67" s="268">
        <f t="shared" si="70"/>
        <v>0.30232558139534882</v>
      </c>
      <c r="N67" s="266">
        <f t="shared" si="71"/>
        <v>0.27733118971061094</v>
      </c>
      <c r="O67" s="266">
        <f t="shared" si="72"/>
        <v>0</v>
      </c>
      <c r="P67" s="268">
        <f t="shared" si="72"/>
        <v>0</v>
      </c>
      <c r="Q67" s="685">
        <f t="shared" si="72"/>
        <v>0</v>
      </c>
      <c r="R67" s="269"/>
      <c r="S67" s="270">
        <f>'Old Counts Pivot Table'!B$62</f>
        <v>423</v>
      </c>
      <c r="T67" s="271">
        <f>'Old Counts Pivot Table'!C$62</f>
        <v>292</v>
      </c>
      <c r="U67" s="271">
        <f>'Old Counts Pivot Table'!D$62</f>
        <v>174</v>
      </c>
      <c r="V67" s="271">
        <f>'Old Counts Pivot Table'!E$62</f>
        <v>315</v>
      </c>
      <c r="W67" s="271">
        <f>'Old Counts Pivot Table'!F$62</f>
        <v>25</v>
      </c>
      <c r="X67" s="674">
        <f>'Old Counts Pivot Table'!G$62</f>
        <v>51</v>
      </c>
      <c r="Y67" s="270">
        <f>'Old Counts Pivot Table'!H$62</f>
        <v>1280</v>
      </c>
      <c r="Z67" s="270">
        <f>'Old Counts Pivot Table'!I$62</f>
        <v>0</v>
      </c>
      <c r="AA67" s="271">
        <f>'Old Counts Pivot Table'!J$62</f>
        <v>502</v>
      </c>
      <c r="AB67" s="271">
        <f>'Old Counts Pivot Table'!K$62</f>
        <v>149</v>
      </c>
      <c r="AC67" s="271">
        <f>'Old Counts Pivot Table'!L$62</f>
        <v>39</v>
      </c>
      <c r="AD67" s="271">
        <f>'Old Counts Pivot Table'!M$62</f>
        <v>0</v>
      </c>
      <c r="AE67" s="270">
        <f>'Old Counts Pivot Table'!N$62</f>
        <v>690</v>
      </c>
      <c r="AF67" s="270">
        <f>'Old Counts Pivot Table'!O$62</f>
        <v>0</v>
      </c>
      <c r="AG67" s="271">
        <f>'Old Counts Pivot Table'!P$62</f>
        <v>0</v>
      </c>
      <c r="AH67" s="270">
        <f>'Old Counts Pivot Table'!Q$62</f>
        <v>0</v>
      </c>
    </row>
    <row r="68" spans="1:36" x14ac:dyDescent="0.2">
      <c r="A68" s="690"/>
      <c r="B68" s="258" t="s">
        <v>5</v>
      </c>
      <c r="C68" s="266">
        <f t="shared" si="63"/>
        <v>0.18944844124700239</v>
      </c>
      <c r="D68" s="267">
        <f t="shared" si="64"/>
        <v>0.18996798292422626</v>
      </c>
      <c r="E68" s="267">
        <f t="shared" si="65"/>
        <v>0.34244946492271106</v>
      </c>
      <c r="F68" s="267">
        <f t="shared" si="66"/>
        <v>0.29967426710097722</v>
      </c>
      <c r="G68" s="267">
        <f t="shared" si="66"/>
        <v>0.53289473684210531</v>
      </c>
      <c r="H68" s="267">
        <f t="shared" si="66"/>
        <v>0.2978723404255319</v>
      </c>
      <c r="I68" s="266">
        <f t="shared" si="67"/>
        <v>0.25629152405878802</v>
      </c>
      <c r="J68" s="266">
        <f t="shared" si="68"/>
        <v>0</v>
      </c>
      <c r="K68" s="267">
        <f t="shared" si="69"/>
        <v>0.27625570776255709</v>
      </c>
      <c r="L68" s="267">
        <f t="shared" si="69"/>
        <v>0.4332784184514003</v>
      </c>
      <c r="M68" s="268">
        <f t="shared" si="70"/>
        <v>0.27906976744186046</v>
      </c>
      <c r="N68" s="266">
        <f t="shared" si="71"/>
        <v>0.31471061093247588</v>
      </c>
      <c r="O68" s="266">
        <f t="shared" si="72"/>
        <v>0</v>
      </c>
      <c r="P68" s="268">
        <f t="shared" si="72"/>
        <v>0</v>
      </c>
      <c r="Q68" s="685">
        <f t="shared" si="72"/>
        <v>0</v>
      </c>
      <c r="R68" s="269"/>
      <c r="S68" s="270">
        <f>'Old Counts Pivot Table'!B$63</f>
        <v>316</v>
      </c>
      <c r="T68" s="271">
        <f>'Old Counts Pivot Table'!C$63</f>
        <v>178</v>
      </c>
      <c r="U68" s="271">
        <f>'Old Counts Pivot Table'!D$63</f>
        <v>288</v>
      </c>
      <c r="V68" s="271">
        <f>'Old Counts Pivot Table'!E$63</f>
        <v>368</v>
      </c>
      <c r="W68" s="271">
        <f>'Old Counts Pivot Table'!F$63</f>
        <v>81</v>
      </c>
      <c r="X68" s="674">
        <f>'Old Counts Pivot Table'!G$63</f>
        <v>42</v>
      </c>
      <c r="Y68" s="270">
        <f>'Old Counts Pivot Table'!H$63</f>
        <v>1273</v>
      </c>
      <c r="Z68" s="270">
        <f>'Old Counts Pivot Table'!I$63</f>
        <v>0</v>
      </c>
      <c r="AA68" s="271">
        <f>'Old Counts Pivot Table'!J$63</f>
        <v>484</v>
      </c>
      <c r="AB68" s="271">
        <f>'Old Counts Pivot Table'!K$63</f>
        <v>263</v>
      </c>
      <c r="AC68" s="271">
        <f>'Old Counts Pivot Table'!L$63</f>
        <v>36</v>
      </c>
      <c r="AD68" s="271">
        <f>'Old Counts Pivot Table'!M$63</f>
        <v>0</v>
      </c>
      <c r="AE68" s="270">
        <f>'Old Counts Pivot Table'!N$63</f>
        <v>783</v>
      </c>
      <c r="AF68" s="270">
        <f>'Old Counts Pivot Table'!O$63</f>
        <v>0</v>
      </c>
      <c r="AG68" s="271">
        <f>'Old Counts Pivot Table'!P$63</f>
        <v>0</v>
      </c>
      <c r="AH68" s="270">
        <f>'Old Counts Pivot Table'!Q$63</f>
        <v>0</v>
      </c>
    </row>
    <row r="69" spans="1:36" x14ac:dyDescent="0.2">
      <c r="A69" s="690"/>
      <c r="B69" s="258" t="s">
        <v>6</v>
      </c>
      <c r="C69" s="266">
        <f t="shared" si="63"/>
        <v>7.1942446043165471E-3</v>
      </c>
      <c r="D69" s="267">
        <f t="shared" si="64"/>
        <v>1.7075773745997867E-2</v>
      </c>
      <c r="E69" s="267">
        <f t="shared" si="65"/>
        <v>2.6159334126040427E-2</v>
      </c>
      <c r="F69" s="267">
        <f t="shared" si="66"/>
        <v>2.6872964169381109E-2</v>
      </c>
      <c r="G69" s="267">
        <f t="shared" si="66"/>
        <v>1.9736842105263157E-2</v>
      </c>
      <c r="H69" s="267">
        <f t="shared" si="66"/>
        <v>2.1276595744680851E-2</v>
      </c>
      <c r="I69" s="266">
        <f t="shared" si="67"/>
        <v>1.7918260519428228E-2</v>
      </c>
      <c r="J69" s="266">
        <f t="shared" si="68"/>
        <v>0</v>
      </c>
      <c r="K69" s="267">
        <f t="shared" si="69"/>
        <v>6.0502283105022828E-2</v>
      </c>
      <c r="L69" s="267">
        <f t="shared" si="69"/>
        <v>0.10873146622734761</v>
      </c>
      <c r="M69" s="268">
        <f t="shared" si="70"/>
        <v>0.11627906976744186</v>
      </c>
      <c r="N69" s="266">
        <f t="shared" si="71"/>
        <v>7.5160771704180063E-2</v>
      </c>
      <c r="O69" s="266">
        <f t="shared" si="72"/>
        <v>0</v>
      </c>
      <c r="P69" s="268">
        <f t="shared" si="72"/>
        <v>0</v>
      </c>
      <c r="Q69" s="685">
        <f t="shared" si="72"/>
        <v>0</v>
      </c>
      <c r="R69" s="269"/>
      <c r="S69" s="270">
        <f>'Old Counts Pivot Table'!B$64</f>
        <v>12</v>
      </c>
      <c r="T69" s="271">
        <f>'Old Counts Pivot Table'!C$64</f>
        <v>16</v>
      </c>
      <c r="U69" s="271">
        <f>'Old Counts Pivot Table'!D$64</f>
        <v>22</v>
      </c>
      <c r="V69" s="271">
        <f>'Old Counts Pivot Table'!E$64</f>
        <v>33</v>
      </c>
      <c r="W69" s="271">
        <f>'Old Counts Pivot Table'!F$64</f>
        <v>3</v>
      </c>
      <c r="X69" s="674">
        <f>'Old Counts Pivot Table'!G$64</f>
        <v>3</v>
      </c>
      <c r="Y69" s="270">
        <f>'Old Counts Pivot Table'!H$64</f>
        <v>89</v>
      </c>
      <c r="Z69" s="270">
        <f>'Old Counts Pivot Table'!I$64</f>
        <v>0</v>
      </c>
      <c r="AA69" s="271">
        <f>'Old Counts Pivot Table'!J$64</f>
        <v>106</v>
      </c>
      <c r="AB69" s="271">
        <f>'Old Counts Pivot Table'!K$64</f>
        <v>66</v>
      </c>
      <c r="AC69" s="271">
        <f>'Old Counts Pivot Table'!L$64</f>
        <v>15</v>
      </c>
      <c r="AD69" s="271">
        <f>'Old Counts Pivot Table'!M$64</f>
        <v>0</v>
      </c>
      <c r="AE69" s="270">
        <f>'Old Counts Pivot Table'!N$64</f>
        <v>187</v>
      </c>
      <c r="AF69" s="270">
        <f>'Old Counts Pivot Table'!O$64</f>
        <v>0</v>
      </c>
      <c r="AG69" s="271">
        <f>'Old Counts Pivot Table'!P$64</f>
        <v>0</v>
      </c>
      <c r="AH69" s="270">
        <f>'Old Counts Pivot Table'!Q$64</f>
        <v>0</v>
      </c>
    </row>
    <row r="70" spans="1:36" x14ac:dyDescent="0.2">
      <c r="A70" s="690"/>
      <c r="B70" s="258" t="s">
        <v>26</v>
      </c>
      <c r="C70" s="266">
        <f t="shared" si="63"/>
        <v>0.15587529976019185</v>
      </c>
      <c r="D70" s="267">
        <f t="shared" si="64"/>
        <v>0.27321237993596587</v>
      </c>
      <c r="E70" s="267">
        <f t="shared" si="65"/>
        <v>0.20214030915576695</v>
      </c>
      <c r="F70" s="267">
        <f t="shared" si="66"/>
        <v>0.17833876221498371</v>
      </c>
      <c r="G70" s="267">
        <f t="shared" si="66"/>
        <v>0.11842105263157894</v>
      </c>
      <c r="H70" s="267">
        <f t="shared" si="66"/>
        <v>0</v>
      </c>
      <c r="I70" s="266">
        <f t="shared" si="67"/>
        <v>0.1858264546003624</v>
      </c>
      <c r="J70" s="266">
        <f t="shared" si="68"/>
        <v>0</v>
      </c>
      <c r="K70" s="267">
        <f t="shared" si="69"/>
        <v>1.1415525114155251E-3</v>
      </c>
      <c r="L70" s="267">
        <f t="shared" si="69"/>
        <v>3.2948929159802307E-3</v>
      </c>
      <c r="M70" s="268">
        <f t="shared" si="70"/>
        <v>7.7519379844961239E-3</v>
      </c>
      <c r="N70" s="266">
        <f t="shared" si="71"/>
        <v>2.0096463022508037E-3</v>
      </c>
      <c r="O70" s="266">
        <f t="shared" si="72"/>
        <v>0</v>
      </c>
      <c r="P70" s="268">
        <f t="shared" si="72"/>
        <v>0</v>
      </c>
      <c r="Q70" s="685">
        <f t="shared" si="72"/>
        <v>0</v>
      </c>
      <c r="R70" s="269"/>
      <c r="S70" s="270">
        <f>'Old Counts Pivot Table'!B$65</f>
        <v>260</v>
      </c>
      <c r="T70" s="271">
        <f>'Old Counts Pivot Table'!C$65</f>
        <v>256</v>
      </c>
      <c r="U70" s="271">
        <f>'Old Counts Pivot Table'!D$65</f>
        <v>170</v>
      </c>
      <c r="V70" s="271">
        <f>'Old Counts Pivot Table'!E$65</f>
        <v>219</v>
      </c>
      <c r="W70" s="271">
        <f>'Old Counts Pivot Table'!F$65</f>
        <v>18</v>
      </c>
      <c r="X70" s="674">
        <f>'Old Counts Pivot Table'!G$65</f>
        <v>0</v>
      </c>
      <c r="Y70" s="270">
        <f>'Old Counts Pivot Table'!H$65</f>
        <v>923</v>
      </c>
      <c r="Z70" s="270">
        <f>'Old Counts Pivot Table'!I$65</f>
        <v>0</v>
      </c>
      <c r="AA70" s="271">
        <f>'Old Counts Pivot Table'!J$65</f>
        <v>2</v>
      </c>
      <c r="AB70" s="271">
        <f>'Old Counts Pivot Table'!K$65</f>
        <v>2</v>
      </c>
      <c r="AC70" s="271">
        <f>'Old Counts Pivot Table'!L$65</f>
        <v>1</v>
      </c>
      <c r="AD70" s="271">
        <f>'Old Counts Pivot Table'!M$65</f>
        <v>0</v>
      </c>
      <c r="AE70" s="270">
        <f>'Old Counts Pivot Table'!N$65</f>
        <v>5</v>
      </c>
      <c r="AF70" s="270">
        <f>'Old Counts Pivot Table'!O$65</f>
        <v>0</v>
      </c>
      <c r="AG70" s="271">
        <f>'Old Counts Pivot Table'!P$65</f>
        <v>0</v>
      </c>
      <c r="AH70" s="270">
        <f>'Old Counts Pivot Table'!Q$65</f>
        <v>0</v>
      </c>
    </row>
    <row r="71" spans="1:36" x14ac:dyDescent="0.2">
      <c r="A71" s="690"/>
      <c r="B71" s="258" t="s">
        <v>23</v>
      </c>
      <c r="C71" s="266">
        <f t="shared" si="63"/>
        <v>0</v>
      </c>
      <c r="D71" s="267">
        <f t="shared" si="64"/>
        <v>0</v>
      </c>
      <c r="E71" s="267">
        <f t="shared" si="65"/>
        <v>0</v>
      </c>
      <c r="F71" s="267">
        <f t="shared" si="66"/>
        <v>0</v>
      </c>
      <c r="G71" s="267">
        <f t="shared" si="66"/>
        <v>0</v>
      </c>
      <c r="H71" s="267">
        <f t="shared" si="66"/>
        <v>0</v>
      </c>
      <c r="I71" s="266">
        <f t="shared" si="67"/>
        <v>0</v>
      </c>
      <c r="J71" s="266">
        <f t="shared" si="68"/>
        <v>0</v>
      </c>
      <c r="K71" s="267">
        <f t="shared" si="69"/>
        <v>0</v>
      </c>
      <c r="L71" s="267">
        <f t="shared" si="69"/>
        <v>0</v>
      </c>
      <c r="M71" s="268">
        <f t="shared" si="70"/>
        <v>0</v>
      </c>
      <c r="N71" s="266">
        <f t="shared" si="71"/>
        <v>0</v>
      </c>
      <c r="O71" s="266">
        <f t="shared" si="72"/>
        <v>0</v>
      </c>
      <c r="P71" s="268">
        <f t="shared" si="72"/>
        <v>0</v>
      </c>
      <c r="Q71" s="685">
        <f t="shared" si="72"/>
        <v>0</v>
      </c>
      <c r="R71" s="269"/>
      <c r="S71" s="270">
        <f>'Old Counts Pivot Table'!B$66</f>
        <v>0</v>
      </c>
      <c r="T71" s="271">
        <f>'Old Counts Pivot Table'!C$66</f>
        <v>0</v>
      </c>
      <c r="U71" s="271">
        <f>'Old Counts Pivot Table'!D$66</f>
        <v>0</v>
      </c>
      <c r="V71" s="271">
        <f>'Old Counts Pivot Table'!E$66</f>
        <v>0</v>
      </c>
      <c r="W71" s="271">
        <f>'Old Counts Pivot Table'!F$66</f>
        <v>0</v>
      </c>
      <c r="X71" s="674">
        <f>'Old Counts Pivot Table'!G$66</f>
        <v>0</v>
      </c>
      <c r="Y71" s="270">
        <f>'Old Counts Pivot Table'!H$66</f>
        <v>0</v>
      </c>
      <c r="Z71" s="270">
        <f>'Old Counts Pivot Table'!I$66</f>
        <v>0</v>
      </c>
      <c r="AA71" s="271">
        <f>'Old Counts Pivot Table'!J$66</f>
        <v>0</v>
      </c>
      <c r="AB71" s="271">
        <f>'Old Counts Pivot Table'!K$66</f>
        <v>0</v>
      </c>
      <c r="AC71" s="271">
        <f>'Old Counts Pivot Table'!L$66</f>
        <v>0</v>
      </c>
      <c r="AD71" s="271">
        <f>'Old Counts Pivot Table'!M$66</f>
        <v>0</v>
      </c>
      <c r="AE71" s="270">
        <f>'Old Counts Pivot Table'!N$66</f>
        <v>0</v>
      </c>
      <c r="AF71" s="270">
        <f>'Old Counts Pivot Table'!O$66</f>
        <v>0</v>
      </c>
      <c r="AG71" s="271">
        <f>'Old Counts Pivot Table'!P$66</f>
        <v>0</v>
      </c>
      <c r="AH71" s="270">
        <f>'Old Counts Pivot Table'!Q$66</f>
        <v>0</v>
      </c>
    </row>
    <row r="72" spans="1:36" s="280" customFormat="1" x14ac:dyDescent="0.25">
      <c r="A72" s="691"/>
      <c r="B72" s="272" t="s">
        <v>220</v>
      </c>
      <c r="C72" s="273">
        <f t="shared" si="63"/>
        <v>1</v>
      </c>
      <c r="D72" s="274">
        <f t="shared" si="64"/>
        <v>1</v>
      </c>
      <c r="E72" s="274">
        <f t="shared" si="65"/>
        <v>1</v>
      </c>
      <c r="F72" s="274">
        <f t="shared" si="66"/>
        <v>1</v>
      </c>
      <c r="G72" s="274">
        <f t="shared" si="66"/>
        <v>1</v>
      </c>
      <c r="H72" s="274">
        <f t="shared" si="66"/>
        <v>1</v>
      </c>
      <c r="I72" s="273">
        <f t="shared" si="67"/>
        <v>1</v>
      </c>
      <c r="J72" s="273">
        <f t="shared" si="68"/>
        <v>0</v>
      </c>
      <c r="K72" s="274">
        <f t="shared" si="69"/>
        <v>1</v>
      </c>
      <c r="L72" s="274">
        <f t="shared" si="69"/>
        <v>1</v>
      </c>
      <c r="M72" s="275">
        <f t="shared" si="70"/>
        <v>1</v>
      </c>
      <c r="N72" s="273">
        <f t="shared" si="71"/>
        <v>1</v>
      </c>
      <c r="O72" s="273">
        <f t="shared" si="72"/>
        <v>0</v>
      </c>
      <c r="P72" s="275">
        <f t="shared" si="72"/>
        <v>0</v>
      </c>
      <c r="Q72" s="686">
        <f t="shared" si="72"/>
        <v>0</v>
      </c>
      <c r="R72" s="276"/>
      <c r="S72" s="277">
        <f>'Old Counts Pivot Table'!B$67</f>
        <v>1668</v>
      </c>
      <c r="T72" s="278">
        <f>'Old Counts Pivot Table'!C$67</f>
        <v>937</v>
      </c>
      <c r="U72" s="278">
        <f>'Old Counts Pivot Table'!D$67</f>
        <v>841</v>
      </c>
      <c r="V72" s="278">
        <f>'Old Counts Pivot Table'!E$67</f>
        <v>1228</v>
      </c>
      <c r="W72" s="278">
        <f>'Old Counts Pivot Table'!F$67</f>
        <v>152</v>
      </c>
      <c r="X72" s="675">
        <f>'Old Counts Pivot Table'!G$67</f>
        <v>141</v>
      </c>
      <c r="Y72" s="277">
        <f>'Old Counts Pivot Table'!H$67</f>
        <v>4967</v>
      </c>
      <c r="Z72" s="277">
        <f>'Old Counts Pivot Table'!I$67</f>
        <v>0</v>
      </c>
      <c r="AA72" s="278">
        <f>'Old Counts Pivot Table'!J$67</f>
        <v>1752</v>
      </c>
      <c r="AB72" s="278">
        <f>'Old Counts Pivot Table'!K$67</f>
        <v>607</v>
      </c>
      <c r="AC72" s="278">
        <f>'Old Counts Pivot Table'!L$67</f>
        <v>129</v>
      </c>
      <c r="AD72" s="278">
        <f>'Old Counts Pivot Table'!M$67</f>
        <v>0</v>
      </c>
      <c r="AE72" s="277">
        <f>'Old Counts Pivot Table'!N$67</f>
        <v>2488</v>
      </c>
      <c r="AF72" s="277">
        <f>'Old Counts Pivot Table'!O$67</f>
        <v>0</v>
      </c>
      <c r="AG72" s="278">
        <f>'Old Counts Pivot Table'!P$67</f>
        <v>0</v>
      </c>
      <c r="AH72" s="277">
        <f>'Old Counts Pivot Table'!Q$67</f>
        <v>0</v>
      </c>
      <c r="AI72" s="279"/>
      <c r="AJ72" s="279"/>
    </row>
    <row r="73" spans="1:36" x14ac:dyDescent="0.2">
      <c r="A73" s="692" t="s">
        <v>39</v>
      </c>
      <c r="B73" s="259" t="s">
        <v>3</v>
      </c>
      <c r="C73" s="260">
        <f t="shared" ref="C73:C79" si="73">S73/S$79</f>
        <v>0.22672577580747308</v>
      </c>
      <c r="D73" s="261">
        <f t="shared" ref="D73:H79" si="74">IFERROR(T73/T$79,0)</f>
        <v>0.21628721541155868</v>
      </c>
      <c r="E73" s="261">
        <f t="shared" si="74"/>
        <v>0</v>
      </c>
      <c r="F73" s="261">
        <f t="shared" si="74"/>
        <v>0.18029350104821804</v>
      </c>
      <c r="G73" s="261">
        <f t="shared" si="74"/>
        <v>0.21897810218978103</v>
      </c>
      <c r="H73" s="261">
        <f t="shared" si="74"/>
        <v>0</v>
      </c>
      <c r="I73" s="260">
        <f t="shared" ref="I73:I79" si="75">Y73/Y$79</f>
        <v>0.216191904047976</v>
      </c>
      <c r="J73" s="260">
        <f t="shared" ref="J73:J79" si="76">IFERROR(Z73/Z$79,0)</f>
        <v>0</v>
      </c>
      <c r="K73" s="261">
        <f t="shared" ref="K73:L79" si="77">AA73/AA$79</f>
        <v>0</v>
      </c>
      <c r="L73" s="261">
        <f t="shared" si="77"/>
        <v>0</v>
      </c>
      <c r="M73" s="262">
        <f t="shared" ref="M73:M79" si="78">IFERROR(AC73/AC$79,0)</f>
        <v>0</v>
      </c>
      <c r="N73" s="260">
        <f t="shared" ref="N73:N79" si="79">AE73/AE$79</f>
        <v>0</v>
      </c>
      <c r="O73" s="260">
        <f t="shared" ref="O73:Q79" si="80">IFERROR(AF73/AF$79,0)</f>
        <v>0</v>
      </c>
      <c r="P73" s="262">
        <f t="shared" si="80"/>
        <v>0</v>
      </c>
      <c r="Q73" s="684">
        <f t="shared" si="80"/>
        <v>0</v>
      </c>
      <c r="R73" s="263"/>
      <c r="S73" s="264">
        <f>'Old Counts Pivot Table'!B$69</f>
        <v>358</v>
      </c>
      <c r="T73" s="265">
        <f>'Old Counts Pivot Table'!C$69</f>
        <v>247</v>
      </c>
      <c r="U73" s="265">
        <f>'Old Counts Pivot Table'!D$69</f>
        <v>0</v>
      </c>
      <c r="V73" s="265">
        <f>'Old Counts Pivot Table'!E$69</f>
        <v>86</v>
      </c>
      <c r="W73" s="265">
        <f>'Old Counts Pivot Table'!F$69</f>
        <v>30</v>
      </c>
      <c r="X73" s="673">
        <f>'Old Counts Pivot Table'!G$69</f>
        <v>0</v>
      </c>
      <c r="Y73" s="264">
        <f>'Old Counts Pivot Table'!H$69</f>
        <v>721</v>
      </c>
      <c r="Z73" s="264">
        <f>'Old Counts Pivot Table'!I$69</f>
        <v>0</v>
      </c>
      <c r="AA73" s="265">
        <f>'Old Counts Pivot Table'!J$69</f>
        <v>0</v>
      </c>
      <c r="AB73" s="265">
        <f>'Old Counts Pivot Table'!K$69</f>
        <v>0</v>
      </c>
      <c r="AC73" s="265">
        <f>'Old Counts Pivot Table'!L$69</f>
        <v>0</v>
      </c>
      <c r="AD73" s="265">
        <f>'Old Counts Pivot Table'!M$69</f>
        <v>0</v>
      </c>
      <c r="AE73" s="264">
        <f>'Old Counts Pivot Table'!N$69</f>
        <v>0</v>
      </c>
      <c r="AF73" s="264">
        <f>'Old Counts Pivot Table'!O$69</f>
        <v>0</v>
      </c>
      <c r="AG73" s="265">
        <f>'Old Counts Pivot Table'!P$69</f>
        <v>0</v>
      </c>
      <c r="AH73" s="264">
        <f>'Old Counts Pivot Table'!Q$69</f>
        <v>0</v>
      </c>
    </row>
    <row r="74" spans="1:36" x14ac:dyDescent="0.2">
      <c r="A74" s="690"/>
      <c r="B74" s="258" t="s">
        <v>4</v>
      </c>
      <c r="C74" s="266">
        <f t="shared" si="73"/>
        <v>0.25585813806206459</v>
      </c>
      <c r="D74" s="267">
        <f t="shared" si="74"/>
        <v>0.28809106830122594</v>
      </c>
      <c r="E74" s="267">
        <f t="shared" si="74"/>
        <v>0</v>
      </c>
      <c r="F74" s="267">
        <f t="shared" si="74"/>
        <v>0.23480083857442349</v>
      </c>
      <c r="G74" s="267">
        <f t="shared" si="74"/>
        <v>0.16788321167883211</v>
      </c>
      <c r="H74" s="267">
        <f t="shared" si="74"/>
        <v>0</v>
      </c>
      <c r="I74" s="266">
        <f t="shared" si="75"/>
        <v>0.26026986506746624</v>
      </c>
      <c r="J74" s="266">
        <f t="shared" si="76"/>
        <v>0</v>
      </c>
      <c r="K74" s="267">
        <f t="shared" si="77"/>
        <v>0</v>
      </c>
      <c r="L74" s="267">
        <f t="shared" si="77"/>
        <v>0</v>
      </c>
      <c r="M74" s="268">
        <f t="shared" si="78"/>
        <v>0</v>
      </c>
      <c r="N74" s="266">
        <f t="shared" si="79"/>
        <v>0</v>
      </c>
      <c r="O74" s="266">
        <f t="shared" si="80"/>
        <v>0</v>
      </c>
      <c r="P74" s="268">
        <f t="shared" si="80"/>
        <v>0</v>
      </c>
      <c r="Q74" s="685">
        <f t="shared" si="80"/>
        <v>0</v>
      </c>
      <c r="R74" s="269"/>
      <c r="S74" s="270">
        <f>'Old Counts Pivot Table'!B$70</f>
        <v>404</v>
      </c>
      <c r="T74" s="271">
        <f>'Old Counts Pivot Table'!C$70</f>
        <v>329</v>
      </c>
      <c r="U74" s="271">
        <f>'Old Counts Pivot Table'!D$70</f>
        <v>0</v>
      </c>
      <c r="V74" s="271">
        <f>'Old Counts Pivot Table'!E$70</f>
        <v>112</v>
      </c>
      <c r="W74" s="271">
        <f>'Old Counts Pivot Table'!F$70</f>
        <v>23</v>
      </c>
      <c r="X74" s="674">
        <f>'Old Counts Pivot Table'!G$70</f>
        <v>0</v>
      </c>
      <c r="Y74" s="270">
        <f>'Old Counts Pivot Table'!H$70</f>
        <v>868</v>
      </c>
      <c r="Z74" s="270">
        <f>'Old Counts Pivot Table'!I$70</f>
        <v>0</v>
      </c>
      <c r="AA74" s="271">
        <f>'Old Counts Pivot Table'!J$70</f>
        <v>0</v>
      </c>
      <c r="AB74" s="271">
        <f>'Old Counts Pivot Table'!K$70</f>
        <v>0</v>
      </c>
      <c r="AC74" s="271">
        <f>'Old Counts Pivot Table'!L$70</f>
        <v>0</v>
      </c>
      <c r="AD74" s="271">
        <f>'Old Counts Pivot Table'!M$70</f>
        <v>0</v>
      </c>
      <c r="AE74" s="270">
        <f>'Old Counts Pivot Table'!N$70</f>
        <v>0</v>
      </c>
      <c r="AF74" s="270">
        <f>'Old Counts Pivot Table'!O$70</f>
        <v>0</v>
      </c>
      <c r="AG74" s="271">
        <f>'Old Counts Pivot Table'!P$70</f>
        <v>0</v>
      </c>
      <c r="AH74" s="270">
        <f>'Old Counts Pivot Table'!Q$70</f>
        <v>0</v>
      </c>
    </row>
    <row r="75" spans="1:36" x14ac:dyDescent="0.2">
      <c r="A75" s="690"/>
      <c r="B75" s="258" t="s">
        <v>5</v>
      </c>
      <c r="C75" s="266">
        <f t="shared" si="73"/>
        <v>0.30018999366687776</v>
      </c>
      <c r="D75" s="267">
        <f t="shared" si="74"/>
        <v>0.29334500875656744</v>
      </c>
      <c r="E75" s="267">
        <f t="shared" si="74"/>
        <v>0</v>
      </c>
      <c r="F75" s="267">
        <f t="shared" si="74"/>
        <v>0.33333333333333331</v>
      </c>
      <c r="G75" s="267">
        <f t="shared" si="74"/>
        <v>0.22627737226277372</v>
      </c>
      <c r="H75" s="267">
        <f t="shared" si="74"/>
        <v>0</v>
      </c>
      <c r="I75" s="266">
        <f t="shared" si="75"/>
        <v>0.29955022488755623</v>
      </c>
      <c r="J75" s="266">
        <f t="shared" si="76"/>
        <v>0</v>
      </c>
      <c r="K75" s="267">
        <f t="shared" si="77"/>
        <v>0</v>
      </c>
      <c r="L75" s="267">
        <f t="shared" si="77"/>
        <v>0</v>
      </c>
      <c r="M75" s="268">
        <f t="shared" si="78"/>
        <v>0</v>
      </c>
      <c r="N75" s="266">
        <f t="shared" si="79"/>
        <v>0</v>
      </c>
      <c r="O75" s="266">
        <f t="shared" si="80"/>
        <v>0</v>
      </c>
      <c r="P75" s="268">
        <f t="shared" si="80"/>
        <v>0</v>
      </c>
      <c r="Q75" s="685">
        <f t="shared" si="80"/>
        <v>0</v>
      </c>
      <c r="R75" s="269"/>
      <c r="S75" s="270">
        <f>'Old Counts Pivot Table'!B$71</f>
        <v>474</v>
      </c>
      <c r="T75" s="271">
        <f>'Old Counts Pivot Table'!C$71</f>
        <v>335</v>
      </c>
      <c r="U75" s="271">
        <f>'Old Counts Pivot Table'!D$71</f>
        <v>0</v>
      </c>
      <c r="V75" s="271">
        <f>'Old Counts Pivot Table'!E$71</f>
        <v>159</v>
      </c>
      <c r="W75" s="271">
        <f>'Old Counts Pivot Table'!F$71</f>
        <v>31</v>
      </c>
      <c r="X75" s="674">
        <f>'Old Counts Pivot Table'!G$71</f>
        <v>0</v>
      </c>
      <c r="Y75" s="270">
        <f>'Old Counts Pivot Table'!H$71</f>
        <v>999</v>
      </c>
      <c r="Z75" s="270">
        <f>'Old Counts Pivot Table'!I$71</f>
        <v>0</v>
      </c>
      <c r="AA75" s="271">
        <f>'Old Counts Pivot Table'!J$71</f>
        <v>0</v>
      </c>
      <c r="AB75" s="271">
        <f>'Old Counts Pivot Table'!K$71</f>
        <v>0</v>
      </c>
      <c r="AC75" s="271">
        <f>'Old Counts Pivot Table'!L$71</f>
        <v>0</v>
      </c>
      <c r="AD75" s="271">
        <f>'Old Counts Pivot Table'!M$71</f>
        <v>0</v>
      </c>
      <c r="AE75" s="270">
        <f>'Old Counts Pivot Table'!N$71</f>
        <v>0</v>
      </c>
      <c r="AF75" s="270">
        <f>'Old Counts Pivot Table'!O$71</f>
        <v>0</v>
      </c>
      <c r="AG75" s="271">
        <f>'Old Counts Pivot Table'!P$71</f>
        <v>0</v>
      </c>
      <c r="AH75" s="270">
        <f>'Old Counts Pivot Table'!Q$71</f>
        <v>0</v>
      </c>
    </row>
    <row r="76" spans="1:36" x14ac:dyDescent="0.2">
      <c r="A76" s="690"/>
      <c r="B76" s="258" t="s">
        <v>6</v>
      </c>
      <c r="C76" s="266">
        <f t="shared" si="73"/>
        <v>0.1779607346421786</v>
      </c>
      <c r="D76" s="267">
        <f t="shared" si="74"/>
        <v>0.18826619964973731</v>
      </c>
      <c r="E76" s="267">
        <f t="shared" si="74"/>
        <v>0</v>
      </c>
      <c r="F76" s="267">
        <f t="shared" si="74"/>
        <v>0.25157232704402516</v>
      </c>
      <c r="G76" s="267">
        <f t="shared" si="74"/>
        <v>0.38686131386861317</v>
      </c>
      <c r="H76" s="267">
        <f t="shared" si="74"/>
        <v>0</v>
      </c>
      <c r="I76" s="266">
        <f t="shared" si="75"/>
        <v>0.20059970014992504</v>
      </c>
      <c r="J76" s="266">
        <f t="shared" si="76"/>
        <v>0</v>
      </c>
      <c r="K76" s="267">
        <f t="shared" si="77"/>
        <v>0</v>
      </c>
      <c r="L76" s="267">
        <f t="shared" si="77"/>
        <v>0</v>
      </c>
      <c r="M76" s="268">
        <f t="shared" si="78"/>
        <v>0</v>
      </c>
      <c r="N76" s="266">
        <f t="shared" si="79"/>
        <v>0</v>
      </c>
      <c r="O76" s="266">
        <f t="shared" si="80"/>
        <v>0</v>
      </c>
      <c r="P76" s="268">
        <f t="shared" si="80"/>
        <v>0</v>
      </c>
      <c r="Q76" s="685">
        <f t="shared" si="80"/>
        <v>0</v>
      </c>
      <c r="R76" s="269"/>
      <c r="S76" s="270">
        <f>'Old Counts Pivot Table'!B$72</f>
        <v>281</v>
      </c>
      <c r="T76" s="271">
        <f>'Old Counts Pivot Table'!C$72</f>
        <v>215</v>
      </c>
      <c r="U76" s="271">
        <f>'Old Counts Pivot Table'!D$72</f>
        <v>0</v>
      </c>
      <c r="V76" s="271">
        <f>'Old Counts Pivot Table'!E$72</f>
        <v>120</v>
      </c>
      <c r="W76" s="271">
        <f>'Old Counts Pivot Table'!F$72</f>
        <v>53</v>
      </c>
      <c r="X76" s="674">
        <f>'Old Counts Pivot Table'!G$72</f>
        <v>0</v>
      </c>
      <c r="Y76" s="270">
        <f>'Old Counts Pivot Table'!H$72</f>
        <v>669</v>
      </c>
      <c r="Z76" s="270">
        <f>'Old Counts Pivot Table'!I$72</f>
        <v>0</v>
      </c>
      <c r="AA76" s="271">
        <f>'Old Counts Pivot Table'!J$72</f>
        <v>0</v>
      </c>
      <c r="AB76" s="271">
        <f>'Old Counts Pivot Table'!K$72</f>
        <v>0</v>
      </c>
      <c r="AC76" s="271">
        <f>'Old Counts Pivot Table'!L$72</f>
        <v>0</v>
      </c>
      <c r="AD76" s="271">
        <f>'Old Counts Pivot Table'!M$72</f>
        <v>0</v>
      </c>
      <c r="AE76" s="270">
        <f>'Old Counts Pivot Table'!N$72</f>
        <v>0</v>
      </c>
      <c r="AF76" s="270">
        <f>'Old Counts Pivot Table'!O$72</f>
        <v>0</v>
      </c>
      <c r="AG76" s="271">
        <f>'Old Counts Pivot Table'!P$72</f>
        <v>0</v>
      </c>
      <c r="AH76" s="270">
        <f>'Old Counts Pivot Table'!Q$72</f>
        <v>0</v>
      </c>
    </row>
    <row r="77" spans="1:36" x14ac:dyDescent="0.2">
      <c r="A77" s="690"/>
      <c r="B77" s="258" t="s">
        <v>26</v>
      </c>
      <c r="C77" s="266">
        <f t="shared" si="73"/>
        <v>3.9265357821405951E-2</v>
      </c>
      <c r="D77" s="267">
        <f t="shared" si="74"/>
        <v>1.4010507880910683E-2</v>
      </c>
      <c r="E77" s="267">
        <f t="shared" si="74"/>
        <v>0</v>
      </c>
      <c r="F77" s="267">
        <f t="shared" si="74"/>
        <v>0</v>
      </c>
      <c r="G77" s="267">
        <f t="shared" si="74"/>
        <v>0</v>
      </c>
      <c r="H77" s="267">
        <f t="shared" si="74"/>
        <v>0</v>
      </c>
      <c r="I77" s="266">
        <f t="shared" si="75"/>
        <v>2.3388305847076463E-2</v>
      </c>
      <c r="J77" s="266">
        <f t="shared" si="76"/>
        <v>0</v>
      </c>
      <c r="K77" s="267">
        <f t="shared" si="77"/>
        <v>0</v>
      </c>
      <c r="L77" s="267">
        <f t="shared" si="77"/>
        <v>0</v>
      </c>
      <c r="M77" s="268">
        <f t="shared" si="78"/>
        <v>0</v>
      </c>
      <c r="N77" s="266">
        <f t="shared" si="79"/>
        <v>0</v>
      </c>
      <c r="O77" s="266">
        <f t="shared" si="80"/>
        <v>0</v>
      </c>
      <c r="P77" s="268">
        <f t="shared" si="80"/>
        <v>0</v>
      </c>
      <c r="Q77" s="685">
        <f t="shared" si="80"/>
        <v>0</v>
      </c>
      <c r="R77" s="269"/>
      <c r="S77" s="270">
        <f>'Old Counts Pivot Table'!B$73</f>
        <v>62</v>
      </c>
      <c r="T77" s="271">
        <f>'Old Counts Pivot Table'!C$73</f>
        <v>16</v>
      </c>
      <c r="U77" s="271">
        <f>'Old Counts Pivot Table'!D$73</f>
        <v>0</v>
      </c>
      <c r="V77" s="271">
        <f>'Old Counts Pivot Table'!E$73</f>
        <v>0</v>
      </c>
      <c r="W77" s="271">
        <f>'Old Counts Pivot Table'!F$73</f>
        <v>0</v>
      </c>
      <c r="X77" s="674">
        <f>'Old Counts Pivot Table'!G$73</f>
        <v>0</v>
      </c>
      <c r="Y77" s="270">
        <f>'Old Counts Pivot Table'!H$73</f>
        <v>78</v>
      </c>
      <c r="Z77" s="270">
        <f>'Old Counts Pivot Table'!I$73</f>
        <v>0</v>
      </c>
      <c r="AA77" s="271">
        <f>'Old Counts Pivot Table'!J$73</f>
        <v>0</v>
      </c>
      <c r="AB77" s="271">
        <f>'Old Counts Pivot Table'!K$73</f>
        <v>0</v>
      </c>
      <c r="AC77" s="271">
        <f>'Old Counts Pivot Table'!L$73</f>
        <v>0</v>
      </c>
      <c r="AD77" s="271">
        <f>'Old Counts Pivot Table'!M$73</f>
        <v>0</v>
      </c>
      <c r="AE77" s="270">
        <f>'Old Counts Pivot Table'!N$73</f>
        <v>0</v>
      </c>
      <c r="AF77" s="270">
        <f>'Old Counts Pivot Table'!O$73</f>
        <v>0</v>
      </c>
      <c r="AG77" s="271">
        <f>'Old Counts Pivot Table'!P$73</f>
        <v>0</v>
      </c>
      <c r="AH77" s="270">
        <f>'Old Counts Pivot Table'!Q$73</f>
        <v>0</v>
      </c>
    </row>
    <row r="78" spans="1:36" x14ac:dyDescent="0.2">
      <c r="A78" s="690"/>
      <c r="B78" s="258" t="s">
        <v>23</v>
      </c>
      <c r="C78" s="266">
        <f t="shared" si="73"/>
        <v>0</v>
      </c>
      <c r="D78" s="267">
        <f t="shared" si="74"/>
        <v>0</v>
      </c>
      <c r="E78" s="267">
        <f t="shared" si="74"/>
        <v>0</v>
      </c>
      <c r="F78" s="267">
        <f t="shared" si="74"/>
        <v>0</v>
      </c>
      <c r="G78" s="267">
        <f t="shared" si="74"/>
        <v>0</v>
      </c>
      <c r="H78" s="267">
        <f t="shared" si="74"/>
        <v>0</v>
      </c>
      <c r="I78" s="266">
        <f t="shared" si="75"/>
        <v>0</v>
      </c>
      <c r="J78" s="266">
        <f t="shared" si="76"/>
        <v>0</v>
      </c>
      <c r="K78" s="267">
        <f t="shared" si="77"/>
        <v>1</v>
      </c>
      <c r="L78" s="267">
        <f t="shared" si="77"/>
        <v>1</v>
      </c>
      <c r="M78" s="268">
        <f t="shared" si="78"/>
        <v>1</v>
      </c>
      <c r="N78" s="266">
        <f t="shared" si="79"/>
        <v>1</v>
      </c>
      <c r="O78" s="266">
        <f t="shared" si="80"/>
        <v>0</v>
      </c>
      <c r="P78" s="268">
        <f t="shared" si="80"/>
        <v>0</v>
      </c>
      <c r="Q78" s="685">
        <f t="shared" si="80"/>
        <v>0</v>
      </c>
      <c r="R78" s="269"/>
      <c r="S78" s="270">
        <f>'Old Counts Pivot Table'!B$74</f>
        <v>0</v>
      </c>
      <c r="T78" s="271">
        <f>'Old Counts Pivot Table'!C$74</f>
        <v>0</v>
      </c>
      <c r="U78" s="271">
        <f>'Old Counts Pivot Table'!D$74</f>
        <v>0</v>
      </c>
      <c r="V78" s="271">
        <f>'Old Counts Pivot Table'!E$74</f>
        <v>0</v>
      </c>
      <c r="W78" s="271">
        <f>'Old Counts Pivot Table'!F$74</f>
        <v>0</v>
      </c>
      <c r="X78" s="674">
        <f>'Old Counts Pivot Table'!G$74</f>
        <v>0</v>
      </c>
      <c r="Y78" s="270">
        <f>'Old Counts Pivot Table'!H$74</f>
        <v>0</v>
      </c>
      <c r="Z78" s="270">
        <f>'Old Counts Pivot Table'!I$74</f>
        <v>0</v>
      </c>
      <c r="AA78" s="271">
        <f>'Old Counts Pivot Table'!J$74</f>
        <v>1173.9000000000001</v>
      </c>
      <c r="AB78" s="271">
        <f>'Old Counts Pivot Table'!K$74</f>
        <v>1199</v>
      </c>
      <c r="AC78" s="271">
        <f>'Old Counts Pivot Table'!L$74</f>
        <v>149</v>
      </c>
      <c r="AD78" s="271">
        <f>'Old Counts Pivot Table'!M$74</f>
        <v>0</v>
      </c>
      <c r="AE78" s="270">
        <f>'Old Counts Pivot Table'!N$74</f>
        <v>2521.9</v>
      </c>
      <c r="AF78" s="270">
        <f>'Old Counts Pivot Table'!O$74</f>
        <v>0</v>
      </c>
      <c r="AG78" s="271">
        <f>'Old Counts Pivot Table'!P$74</f>
        <v>0</v>
      </c>
      <c r="AH78" s="270">
        <f>'Old Counts Pivot Table'!Q$74</f>
        <v>0</v>
      </c>
    </row>
    <row r="79" spans="1:36" s="280" customFormat="1" x14ac:dyDescent="0.25">
      <c r="A79" s="691"/>
      <c r="B79" s="272" t="s">
        <v>220</v>
      </c>
      <c r="C79" s="273">
        <f t="shared" si="73"/>
        <v>1</v>
      </c>
      <c r="D79" s="274">
        <f t="shared" si="74"/>
        <v>1</v>
      </c>
      <c r="E79" s="274">
        <f t="shared" si="74"/>
        <v>0</v>
      </c>
      <c r="F79" s="274">
        <f t="shared" si="74"/>
        <v>1</v>
      </c>
      <c r="G79" s="274">
        <f t="shared" si="74"/>
        <v>1</v>
      </c>
      <c r="H79" s="274">
        <f t="shared" si="74"/>
        <v>0</v>
      </c>
      <c r="I79" s="273">
        <f t="shared" si="75"/>
        <v>1</v>
      </c>
      <c r="J79" s="273">
        <f t="shared" si="76"/>
        <v>0</v>
      </c>
      <c r="K79" s="274">
        <f t="shared" si="77"/>
        <v>1</v>
      </c>
      <c r="L79" s="274">
        <f t="shared" si="77"/>
        <v>1</v>
      </c>
      <c r="M79" s="275">
        <f t="shared" si="78"/>
        <v>1</v>
      </c>
      <c r="N79" s="273">
        <f t="shared" si="79"/>
        <v>1</v>
      </c>
      <c r="O79" s="273">
        <f t="shared" si="80"/>
        <v>0</v>
      </c>
      <c r="P79" s="275">
        <f t="shared" si="80"/>
        <v>0</v>
      </c>
      <c r="Q79" s="686">
        <f t="shared" si="80"/>
        <v>0</v>
      </c>
      <c r="R79" s="276"/>
      <c r="S79" s="277">
        <f>'Old Counts Pivot Table'!B$75</f>
        <v>1579</v>
      </c>
      <c r="T79" s="278">
        <f>'Old Counts Pivot Table'!C$75</f>
        <v>1142</v>
      </c>
      <c r="U79" s="278">
        <f>'Old Counts Pivot Table'!D$75</f>
        <v>0</v>
      </c>
      <c r="V79" s="278">
        <f>'Old Counts Pivot Table'!E$75</f>
        <v>477</v>
      </c>
      <c r="W79" s="278">
        <f>'Old Counts Pivot Table'!F$75</f>
        <v>137</v>
      </c>
      <c r="X79" s="675">
        <f>'Old Counts Pivot Table'!G$75</f>
        <v>0</v>
      </c>
      <c r="Y79" s="277">
        <f>'Old Counts Pivot Table'!H$75</f>
        <v>3335</v>
      </c>
      <c r="Z79" s="277">
        <f>'Old Counts Pivot Table'!I$75</f>
        <v>0</v>
      </c>
      <c r="AA79" s="278">
        <f>'Old Counts Pivot Table'!J$75</f>
        <v>1173.9000000000001</v>
      </c>
      <c r="AB79" s="278">
        <f>'Old Counts Pivot Table'!K$75</f>
        <v>1199</v>
      </c>
      <c r="AC79" s="278">
        <f>'Old Counts Pivot Table'!L$75</f>
        <v>149</v>
      </c>
      <c r="AD79" s="278">
        <f>'Old Counts Pivot Table'!M$75</f>
        <v>0</v>
      </c>
      <c r="AE79" s="277">
        <f>'Old Counts Pivot Table'!N$75</f>
        <v>2521.9</v>
      </c>
      <c r="AF79" s="277">
        <f>'Old Counts Pivot Table'!O$75</f>
        <v>0</v>
      </c>
      <c r="AG79" s="278">
        <f>'Old Counts Pivot Table'!P$75</f>
        <v>0</v>
      </c>
      <c r="AH79" s="277">
        <f>'Old Counts Pivot Table'!Q$75</f>
        <v>0</v>
      </c>
      <c r="AI79" s="279"/>
      <c r="AJ79" s="279"/>
    </row>
    <row r="80" spans="1:36" x14ac:dyDescent="0.2">
      <c r="A80" s="692" t="s">
        <v>40</v>
      </c>
      <c r="B80" s="259" t="s">
        <v>3</v>
      </c>
      <c r="C80" s="260">
        <f t="shared" ref="C80:C86" si="81">S80/S$86</f>
        <v>0.34720908230842007</v>
      </c>
      <c r="D80" s="261">
        <f t="shared" ref="D80:H86" si="82">IFERROR(T80/T$86,0)</f>
        <v>0.2029520295202952</v>
      </c>
      <c r="E80" s="261">
        <f t="shared" si="82"/>
        <v>0.23927450296477154</v>
      </c>
      <c r="F80" s="261">
        <f t="shared" si="82"/>
        <v>0.17857142857142858</v>
      </c>
      <c r="G80" s="261">
        <f t="shared" si="82"/>
        <v>0.14732142857142858</v>
      </c>
      <c r="H80" s="261">
        <f t="shared" si="82"/>
        <v>0.30107526881720431</v>
      </c>
      <c r="I80" s="260">
        <f t="shared" ref="I80:I86" si="83">Y80/Y$86</f>
        <v>0.26967035042977239</v>
      </c>
      <c r="J80" s="260">
        <f t="shared" ref="J80:J86" si="84">IFERROR(Z80/Z$86,0)</f>
        <v>0</v>
      </c>
      <c r="K80" s="261">
        <f t="shared" ref="K80:L86" si="85">AA80/AA$86</f>
        <v>0</v>
      </c>
      <c r="L80" s="261">
        <f t="shared" si="85"/>
        <v>0</v>
      </c>
      <c r="M80" s="262">
        <f t="shared" ref="M80:M86" si="86">IFERROR(AC80/AC$86,0)</f>
        <v>0</v>
      </c>
      <c r="N80" s="260">
        <f t="shared" ref="N80:N86" si="87">AE80/AE$86</f>
        <v>0</v>
      </c>
      <c r="O80" s="260">
        <f t="shared" ref="O80:Q86" si="88">IFERROR(AF80/AF$86,0)</f>
        <v>0</v>
      </c>
      <c r="P80" s="262">
        <f t="shared" si="88"/>
        <v>0</v>
      </c>
      <c r="Q80" s="684">
        <f t="shared" si="88"/>
        <v>0</v>
      </c>
      <c r="R80" s="263"/>
      <c r="S80" s="264">
        <f>'Old Counts Pivot Table'!B$77</f>
        <v>1468</v>
      </c>
      <c r="T80" s="265">
        <f>'Old Counts Pivot Table'!C$77</f>
        <v>440</v>
      </c>
      <c r="U80" s="265">
        <f>'Old Counts Pivot Table'!D$77</f>
        <v>686</v>
      </c>
      <c r="V80" s="265">
        <f>'Old Counts Pivot Table'!E$77</f>
        <v>50</v>
      </c>
      <c r="W80" s="265">
        <f>'Old Counts Pivot Table'!F$77</f>
        <v>99</v>
      </c>
      <c r="X80" s="673">
        <f>'Old Counts Pivot Table'!G$77</f>
        <v>112</v>
      </c>
      <c r="Y80" s="264">
        <f>'Old Counts Pivot Table'!H$77</f>
        <v>2855</v>
      </c>
      <c r="Z80" s="264">
        <f>'Old Counts Pivot Table'!I$77</f>
        <v>0</v>
      </c>
      <c r="AA80" s="265">
        <f>'Old Counts Pivot Table'!J$77</f>
        <v>0</v>
      </c>
      <c r="AB80" s="265">
        <f>'Old Counts Pivot Table'!K$77</f>
        <v>0</v>
      </c>
      <c r="AC80" s="265">
        <f>'Old Counts Pivot Table'!L$77</f>
        <v>0</v>
      </c>
      <c r="AD80" s="265">
        <f>'Old Counts Pivot Table'!M$77</f>
        <v>0</v>
      </c>
      <c r="AE80" s="264">
        <f>'Old Counts Pivot Table'!N$77</f>
        <v>0</v>
      </c>
      <c r="AF80" s="264">
        <f>'Old Counts Pivot Table'!O$77</f>
        <v>0</v>
      </c>
      <c r="AG80" s="265">
        <f>'Old Counts Pivot Table'!P$77</f>
        <v>0</v>
      </c>
      <c r="AH80" s="264">
        <f>'Old Counts Pivot Table'!Q$77</f>
        <v>0</v>
      </c>
    </row>
    <row r="81" spans="1:36" x14ac:dyDescent="0.2">
      <c r="A81" s="690"/>
      <c r="B81" s="258" t="s">
        <v>4</v>
      </c>
      <c r="C81" s="266">
        <f t="shared" si="81"/>
        <v>0.25070955534531691</v>
      </c>
      <c r="D81" s="267">
        <f t="shared" si="82"/>
        <v>0.32426199261992622</v>
      </c>
      <c r="E81" s="267">
        <f t="shared" si="82"/>
        <v>0.29368678060690617</v>
      </c>
      <c r="F81" s="267">
        <f t="shared" si="82"/>
        <v>0.31785714285714284</v>
      </c>
      <c r="G81" s="267">
        <f t="shared" si="82"/>
        <v>0.27976190476190477</v>
      </c>
      <c r="H81" s="267">
        <f t="shared" si="82"/>
        <v>0.26881720430107525</v>
      </c>
      <c r="I81" s="266">
        <f t="shared" si="83"/>
        <v>0.28166619438934543</v>
      </c>
      <c r="J81" s="266">
        <f t="shared" si="84"/>
        <v>0</v>
      </c>
      <c r="K81" s="267">
        <f t="shared" si="85"/>
        <v>0</v>
      </c>
      <c r="L81" s="267">
        <f t="shared" si="85"/>
        <v>0</v>
      </c>
      <c r="M81" s="268">
        <f t="shared" si="86"/>
        <v>0</v>
      </c>
      <c r="N81" s="266">
        <f t="shared" si="87"/>
        <v>0</v>
      </c>
      <c r="O81" s="266">
        <f t="shared" si="88"/>
        <v>0</v>
      </c>
      <c r="P81" s="268">
        <f t="shared" si="88"/>
        <v>0</v>
      </c>
      <c r="Q81" s="685">
        <f t="shared" si="88"/>
        <v>0</v>
      </c>
      <c r="R81" s="269"/>
      <c r="S81" s="270">
        <f>'Old Counts Pivot Table'!B$78</f>
        <v>1060</v>
      </c>
      <c r="T81" s="271">
        <f>'Old Counts Pivot Table'!C$78</f>
        <v>703</v>
      </c>
      <c r="U81" s="271">
        <f>'Old Counts Pivot Table'!D$78</f>
        <v>842</v>
      </c>
      <c r="V81" s="271">
        <f>'Old Counts Pivot Table'!E$78</f>
        <v>89</v>
      </c>
      <c r="W81" s="271">
        <f>'Old Counts Pivot Table'!F$78</f>
        <v>188</v>
      </c>
      <c r="X81" s="674">
        <f>'Old Counts Pivot Table'!G$78</f>
        <v>100</v>
      </c>
      <c r="Y81" s="270">
        <f>'Old Counts Pivot Table'!H$78</f>
        <v>2982</v>
      </c>
      <c r="Z81" s="270">
        <f>'Old Counts Pivot Table'!I$78</f>
        <v>0</v>
      </c>
      <c r="AA81" s="271">
        <f>'Old Counts Pivot Table'!J$78</f>
        <v>0</v>
      </c>
      <c r="AB81" s="271">
        <f>'Old Counts Pivot Table'!K$78</f>
        <v>0</v>
      </c>
      <c r="AC81" s="271">
        <f>'Old Counts Pivot Table'!L$78</f>
        <v>0</v>
      </c>
      <c r="AD81" s="271">
        <f>'Old Counts Pivot Table'!M$78</f>
        <v>0</v>
      </c>
      <c r="AE81" s="270">
        <f>'Old Counts Pivot Table'!N$78</f>
        <v>0</v>
      </c>
      <c r="AF81" s="270">
        <f>'Old Counts Pivot Table'!O$78</f>
        <v>0</v>
      </c>
      <c r="AG81" s="271">
        <f>'Old Counts Pivot Table'!P$78</f>
        <v>0</v>
      </c>
      <c r="AH81" s="270">
        <f>'Old Counts Pivot Table'!Q$78</f>
        <v>0</v>
      </c>
    </row>
    <row r="82" spans="1:36" x14ac:dyDescent="0.2">
      <c r="A82" s="690"/>
      <c r="B82" s="258" t="s">
        <v>5</v>
      </c>
      <c r="C82" s="266">
        <f t="shared" si="81"/>
        <v>0.19607379375591297</v>
      </c>
      <c r="D82" s="267">
        <f t="shared" si="82"/>
        <v>0.22509225092250923</v>
      </c>
      <c r="E82" s="267">
        <f t="shared" si="82"/>
        <v>0.25148238576909659</v>
      </c>
      <c r="F82" s="267">
        <f t="shared" si="82"/>
        <v>0.36071428571428571</v>
      </c>
      <c r="G82" s="267">
        <f t="shared" si="82"/>
        <v>0.33035714285714285</v>
      </c>
      <c r="H82" s="267">
        <f t="shared" si="82"/>
        <v>0.22580645161290322</v>
      </c>
      <c r="I82" s="266">
        <f t="shared" si="83"/>
        <v>0.23094361008784359</v>
      </c>
      <c r="J82" s="266">
        <f t="shared" si="84"/>
        <v>0</v>
      </c>
      <c r="K82" s="267">
        <f t="shared" si="85"/>
        <v>0</v>
      </c>
      <c r="L82" s="267">
        <f t="shared" si="85"/>
        <v>0</v>
      </c>
      <c r="M82" s="268">
        <f t="shared" si="86"/>
        <v>0</v>
      </c>
      <c r="N82" s="266">
        <f t="shared" si="87"/>
        <v>0</v>
      </c>
      <c r="O82" s="266">
        <f t="shared" si="88"/>
        <v>0</v>
      </c>
      <c r="P82" s="268">
        <f t="shared" si="88"/>
        <v>0</v>
      </c>
      <c r="Q82" s="685">
        <f t="shared" si="88"/>
        <v>0</v>
      </c>
      <c r="R82" s="269"/>
      <c r="S82" s="270">
        <f>'Old Counts Pivot Table'!B$79</f>
        <v>829</v>
      </c>
      <c r="T82" s="271">
        <f>'Old Counts Pivot Table'!C$79</f>
        <v>488</v>
      </c>
      <c r="U82" s="271">
        <f>'Old Counts Pivot Table'!D$79</f>
        <v>721</v>
      </c>
      <c r="V82" s="271">
        <f>'Old Counts Pivot Table'!E$79</f>
        <v>101</v>
      </c>
      <c r="W82" s="271">
        <f>'Old Counts Pivot Table'!F$79</f>
        <v>222</v>
      </c>
      <c r="X82" s="674">
        <f>'Old Counts Pivot Table'!G$79</f>
        <v>84</v>
      </c>
      <c r="Y82" s="270">
        <f>'Old Counts Pivot Table'!H$79</f>
        <v>2445</v>
      </c>
      <c r="Z82" s="270">
        <f>'Old Counts Pivot Table'!I$79</f>
        <v>0</v>
      </c>
      <c r="AA82" s="271">
        <f>'Old Counts Pivot Table'!J$79</f>
        <v>0</v>
      </c>
      <c r="AB82" s="271">
        <f>'Old Counts Pivot Table'!K$79</f>
        <v>0</v>
      </c>
      <c r="AC82" s="271">
        <f>'Old Counts Pivot Table'!L$79</f>
        <v>0</v>
      </c>
      <c r="AD82" s="271">
        <f>'Old Counts Pivot Table'!M$79</f>
        <v>0</v>
      </c>
      <c r="AE82" s="270">
        <f>'Old Counts Pivot Table'!N$79</f>
        <v>0</v>
      </c>
      <c r="AF82" s="270">
        <f>'Old Counts Pivot Table'!O$79</f>
        <v>0</v>
      </c>
      <c r="AG82" s="271">
        <f>'Old Counts Pivot Table'!P$79</f>
        <v>0</v>
      </c>
      <c r="AH82" s="270">
        <f>'Old Counts Pivot Table'!Q$79</f>
        <v>0</v>
      </c>
    </row>
    <row r="83" spans="1:36" x14ac:dyDescent="0.2">
      <c r="A83" s="690"/>
      <c r="B83" s="258" t="s">
        <v>6</v>
      </c>
      <c r="C83" s="266">
        <f t="shared" si="81"/>
        <v>1.5610217596972564E-2</v>
      </c>
      <c r="D83" s="267">
        <f t="shared" si="82"/>
        <v>3.6900369003690036E-3</v>
      </c>
      <c r="E83" s="267">
        <f t="shared" si="82"/>
        <v>1.2207882804325079E-2</v>
      </c>
      <c r="F83" s="267">
        <f t="shared" si="82"/>
        <v>2.5000000000000001E-2</v>
      </c>
      <c r="G83" s="267">
        <f t="shared" si="82"/>
        <v>7.8869047619047616E-2</v>
      </c>
      <c r="H83" s="267">
        <f t="shared" si="82"/>
        <v>1.3440860215053764E-2</v>
      </c>
      <c r="I83" s="266">
        <f t="shared" si="83"/>
        <v>1.6435250779257581E-2</v>
      </c>
      <c r="J83" s="266">
        <f t="shared" si="84"/>
        <v>0</v>
      </c>
      <c r="K83" s="267">
        <f t="shared" si="85"/>
        <v>0</v>
      </c>
      <c r="L83" s="267">
        <f t="shared" si="85"/>
        <v>0</v>
      </c>
      <c r="M83" s="268">
        <f t="shared" si="86"/>
        <v>0</v>
      </c>
      <c r="N83" s="266">
        <f t="shared" si="87"/>
        <v>0</v>
      </c>
      <c r="O83" s="266">
        <f t="shared" si="88"/>
        <v>0</v>
      </c>
      <c r="P83" s="268">
        <f t="shared" si="88"/>
        <v>0</v>
      </c>
      <c r="Q83" s="685">
        <f t="shared" si="88"/>
        <v>0</v>
      </c>
      <c r="R83" s="269"/>
      <c r="S83" s="270">
        <f>'Old Counts Pivot Table'!B$80</f>
        <v>66</v>
      </c>
      <c r="T83" s="271">
        <f>'Old Counts Pivot Table'!C$80</f>
        <v>8</v>
      </c>
      <c r="U83" s="271">
        <f>'Old Counts Pivot Table'!D$80</f>
        <v>35</v>
      </c>
      <c r="V83" s="271">
        <f>'Old Counts Pivot Table'!E$80</f>
        <v>7</v>
      </c>
      <c r="W83" s="271">
        <f>'Old Counts Pivot Table'!F$80</f>
        <v>53</v>
      </c>
      <c r="X83" s="674">
        <f>'Old Counts Pivot Table'!G$80</f>
        <v>5</v>
      </c>
      <c r="Y83" s="270">
        <f>'Old Counts Pivot Table'!H$80</f>
        <v>174</v>
      </c>
      <c r="Z83" s="270">
        <f>'Old Counts Pivot Table'!I$80</f>
        <v>0</v>
      </c>
      <c r="AA83" s="271">
        <f>'Old Counts Pivot Table'!J$80</f>
        <v>0</v>
      </c>
      <c r="AB83" s="271">
        <f>'Old Counts Pivot Table'!K$80</f>
        <v>0</v>
      </c>
      <c r="AC83" s="271">
        <f>'Old Counts Pivot Table'!L$80</f>
        <v>0</v>
      </c>
      <c r="AD83" s="271">
        <f>'Old Counts Pivot Table'!M$80</f>
        <v>0</v>
      </c>
      <c r="AE83" s="270">
        <f>'Old Counts Pivot Table'!N$80</f>
        <v>0</v>
      </c>
      <c r="AF83" s="270">
        <f>'Old Counts Pivot Table'!O$80</f>
        <v>0</v>
      </c>
      <c r="AG83" s="271">
        <f>'Old Counts Pivot Table'!P$80</f>
        <v>0</v>
      </c>
      <c r="AH83" s="270">
        <f>'Old Counts Pivot Table'!Q$80</f>
        <v>0</v>
      </c>
    </row>
    <row r="84" spans="1:36" x14ac:dyDescent="0.2">
      <c r="A84" s="690"/>
      <c r="B84" s="258" t="s">
        <v>26</v>
      </c>
      <c r="C84" s="266">
        <f t="shared" si="81"/>
        <v>0.19039735099337748</v>
      </c>
      <c r="D84" s="267">
        <f t="shared" si="82"/>
        <v>0.24400369003690037</v>
      </c>
      <c r="E84" s="267">
        <f t="shared" si="82"/>
        <v>0.20334844785490058</v>
      </c>
      <c r="F84" s="267">
        <f t="shared" si="82"/>
        <v>0.11785714285714285</v>
      </c>
      <c r="G84" s="267">
        <f t="shared" si="82"/>
        <v>0.16369047619047619</v>
      </c>
      <c r="H84" s="267">
        <f t="shared" si="82"/>
        <v>0.19086021505376344</v>
      </c>
      <c r="I84" s="266">
        <f t="shared" si="83"/>
        <v>0.20128459431378104</v>
      </c>
      <c r="J84" s="266">
        <f t="shared" si="84"/>
        <v>0</v>
      </c>
      <c r="K84" s="267">
        <f t="shared" si="85"/>
        <v>0</v>
      </c>
      <c r="L84" s="267">
        <f t="shared" si="85"/>
        <v>0</v>
      </c>
      <c r="M84" s="268">
        <f t="shared" si="86"/>
        <v>0</v>
      </c>
      <c r="N84" s="266">
        <f t="shared" si="87"/>
        <v>0</v>
      </c>
      <c r="O84" s="266">
        <f t="shared" si="88"/>
        <v>0</v>
      </c>
      <c r="P84" s="268">
        <f t="shared" si="88"/>
        <v>0</v>
      </c>
      <c r="Q84" s="685">
        <f t="shared" si="88"/>
        <v>0</v>
      </c>
      <c r="R84" s="269"/>
      <c r="S84" s="270">
        <f>'Old Counts Pivot Table'!B$81</f>
        <v>805</v>
      </c>
      <c r="T84" s="271">
        <f>'Old Counts Pivot Table'!C$81</f>
        <v>529</v>
      </c>
      <c r="U84" s="271">
        <f>'Old Counts Pivot Table'!D$81</f>
        <v>583</v>
      </c>
      <c r="V84" s="271">
        <f>'Old Counts Pivot Table'!E$81</f>
        <v>33</v>
      </c>
      <c r="W84" s="271">
        <f>'Old Counts Pivot Table'!F$81</f>
        <v>110</v>
      </c>
      <c r="X84" s="674">
        <f>'Old Counts Pivot Table'!G$81</f>
        <v>71</v>
      </c>
      <c r="Y84" s="270">
        <f>'Old Counts Pivot Table'!H$81</f>
        <v>2131</v>
      </c>
      <c r="Z84" s="270">
        <f>'Old Counts Pivot Table'!I$81</f>
        <v>0</v>
      </c>
      <c r="AA84" s="271">
        <f>'Old Counts Pivot Table'!J$81</f>
        <v>0</v>
      </c>
      <c r="AB84" s="271">
        <f>'Old Counts Pivot Table'!K$81</f>
        <v>0</v>
      </c>
      <c r="AC84" s="271">
        <f>'Old Counts Pivot Table'!L$81</f>
        <v>0</v>
      </c>
      <c r="AD84" s="271">
        <f>'Old Counts Pivot Table'!M$81</f>
        <v>0</v>
      </c>
      <c r="AE84" s="270">
        <f>'Old Counts Pivot Table'!N$81</f>
        <v>0</v>
      </c>
      <c r="AF84" s="270">
        <f>'Old Counts Pivot Table'!O$81</f>
        <v>0</v>
      </c>
      <c r="AG84" s="271">
        <f>'Old Counts Pivot Table'!P$81</f>
        <v>0</v>
      </c>
      <c r="AH84" s="270">
        <f>'Old Counts Pivot Table'!Q$81</f>
        <v>0</v>
      </c>
    </row>
    <row r="85" spans="1:36" x14ac:dyDescent="0.2">
      <c r="A85" s="690"/>
      <c r="B85" s="258" t="s">
        <v>23</v>
      </c>
      <c r="C85" s="266">
        <f t="shared" si="81"/>
        <v>0</v>
      </c>
      <c r="D85" s="267">
        <f t="shared" si="82"/>
        <v>0</v>
      </c>
      <c r="E85" s="267">
        <f t="shared" si="82"/>
        <v>0</v>
      </c>
      <c r="F85" s="267">
        <f t="shared" si="82"/>
        <v>0</v>
      </c>
      <c r="G85" s="267">
        <f t="shared" si="82"/>
        <v>0</v>
      </c>
      <c r="H85" s="267">
        <f t="shared" si="82"/>
        <v>0</v>
      </c>
      <c r="I85" s="266">
        <f t="shared" si="83"/>
        <v>0</v>
      </c>
      <c r="J85" s="266">
        <f t="shared" si="84"/>
        <v>0</v>
      </c>
      <c r="K85" s="267">
        <f t="shared" si="85"/>
        <v>1</v>
      </c>
      <c r="L85" s="267">
        <f t="shared" si="85"/>
        <v>1</v>
      </c>
      <c r="M85" s="268">
        <f t="shared" si="86"/>
        <v>1</v>
      </c>
      <c r="N85" s="266">
        <f t="shared" si="87"/>
        <v>1</v>
      </c>
      <c r="O85" s="266">
        <f t="shared" si="88"/>
        <v>0</v>
      </c>
      <c r="P85" s="268">
        <f t="shared" si="88"/>
        <v>0</v>
      </c>
      <c r="Q85" s="685">
        <f t="shared" si="88"/>
        <v>0</v>
      </c>
      <c r="R85" s="269"/>
      <c r="S85" s="270">
        <f>'Old Counts Pivot Table'!B$82</f>
        <v>0</v>
      </c>
      <c r="T85" s="271">
        <f>'Old Counts Pivot Table'!C$82</f>
        <v>0</v>
      </c>
      <c r="U85" s="271">
        <f>'Old Counts Pivot Table'!D$82</f>
        <v>0</v>
      </c>
      <c r="V85" s="271">
        <f>'Old Counts Pivot Table'!E$82</f>
        <v>0</v>
      </c>
      <c r="W85" s="271">
        <f>'Old Counts Pivot Table'!F$82</f>
        <v>0</v>
      </c>
      <c r="X85" s="674">
        <f>'Old Counts Pivot Table'!G$82</f>
        <v>0</v>
      </c>
      <c r="Y85" s="270">
        <f>'Old Counts Pivot Table'!H$82</f>
        <v>0</v>
      </c>
      <c r="Z85" s="270">
        <f>'Old Counts Pivot Table'!I$82</f>
        <v>0</v>
      </c>
      <c r="AA85" s="271">
        <f>'Old Counts Pivot Table'!J$82</f>
        <v>2573</v>
      </c>
      <c r="AB85" s="271">
        <f>'Old Counts Pivot Table'!K$82</f>
        <v>2485</v>
      </c>
      <c r="AC85" s="271">
        <f>'Old Counts Pivot Table'!L$82</f>
        <v>1158</v>
      </c>
      <c r="AD85" s="271">
        <f>'Old Counts Pivot Table'!M$82</f>
        <v>0</v>
      </c>
      <c r="AE85" s="270">
        <f>'Old Counts Pivot Table'!N$82</f>
        <v>6216</v>
      </c>
      <c r="AF85" s="270">
        <f>'Old Counts Pivot Table'!O$82</f>
        <v>0</v>
      </c>
      <c r="AG85" s="271">
        <f>'Old Counts Pivot Table'!P$82</f>
        <v>0</v>
      </c>
      <c r="AH85" s="270">
        <f>'Old Counts Pivot Table'!Q$82</f>
        <v>0</v>
      </c>
    </row>
    <row r="86" spans="1:36" s="280" customFormat="1" x14ac:dyDescent="0.25">
      <c r="A86" s="691"/>
      <c r="B86" s="272" t="s">
        <v>220</v>
      </c>
      <c r="C86" s="273">
        <f t="shared" si="81"/>
        <v>1</v>
      </c>
      <c r="D86" s="274">
        <f t="shared" si="82"/>
        <v>1</v>
      </c>
      <c r="E86" s="274">
        <f t="shared" si="82"/>
        <v>1</v>
      </c>
      <c r="F86" s="274">
        <f t="shared" si="82"/>
        <v>1</v>
      </c>
      <c r="G86" s="274">
        <f t="shared" si="82"/>
        <v>1</v>
      </c>
      <c r="H86" s="274">
        <f t="shared" si="82"/>
        <v>1</v>
      </c>
      <c r="I86" s="273">
        <f t="shared" si="83"/>
        <v>1</v>
      </c>
      <c r="J86" s="273">
        <f t="shared" si="84"/>
        <v>0</v>
      </c>
      <c r="K86" s="274">
        <f t="shared" si="85"/>
        <v>1</v>
      </c>
      <c r="L86" s="274">
        <f t="shared" si="85"/>
        <v>1</v>
      </c>
      <c r="M86" s="275">
        <f t="shared" si="86"/>
        <v>1</v>
      </c>
      <c r="N86" s="273">
        <f t="shared" si="87"/>
        <v>1</v>
      </c>
      <c r="O86" s="273">
        <f t="shared" si="88"/>
        <v>0</v>
      </c>
      <c r="P86" s="275">
        <f t="shared" si="88"/>
        <v>0</v>
      </c>
      <c r="Q86" s="686">
        <f t="shared" si="88"/>
        <v>0</v>
      </c>
      <c r="R86" s="276"/>
      <c r="S86" s="277">
        <f>'Old Counts Pivot Table'!B$83</f>
        <v>4228</v>
      </c>
      <c r="T86" s="278">
        <f>'Old Counts Pivot Table'!C$83</f>
        <v>2168</v>
      </c>
      <c r="U86" s="278">
        <f>'Old Counts Pivot Table'!D$83</f>
        <v>2867</v>
      </c>
      <c r="V86" s="278">
        <f>'Old Counts Pivot Table'!E$83</f>
        <v>280</v>
      </c>
      <c r="W86" s="278">
        <f>'Old Counts Pivot Table'!F$83</f>
        <v>672</v>
      </c>
      <c r="X86" s="675">
        <f>'Old Counts Pivot Table'!G$83</f>
        <v>372</v>
      </c>
      <c r="Y86" s="277">
        <f>'Old Counts Pivot Table'!H$83</f>
        <v>10587</v>
      </c>
      <c r="Z86" s="277">
        <f>'Old Counts Pivot Table'!I$83</f>
        <v>0</v>
      </c>
      <c r="AA86" s="278">
        <f>'Old Counts Pivot Table'!J$83</f>
        <v>2573</v>
      </c>
      <c r="AB86" s="278">
        <f>'Old Counts Pivot Table'!K$83</f>
        <v>2485</v>
      </c>
      <c r="AC86" s="278">
        <f>'Old Counts Pivot Table'!L$83</f>
        <v>1158</v>
      </c>
      <c r="AD86" s="278">
        <f>'Old Counts Pivot Table'!M$83</f>
        <v>0</v>
      </c>
      <c r="AE86" s="277">
        <f>'Old Counts Pivot Table'!N$83</f>
        <v>6216</v>
      </c>
      <c r="AF86" s="277">
        <f>'Old Counts Pivot Table'!O$83</f>
        <v>0</v>
      </c>
      <c r="AG86" s="278">
        <f>'Old Counts Pivot Table'!P$83</f>
        <v>0</v>
      </c>
      <c r="AH86" s="277">
        <f>'Old Counts Pivot Table'!Q$83</f>
        <v>0</v>
      </c>
      <c r="AI86" s="279"/>
      <c r="AJ86" s="279"/>
    </row>
    <row r="87" spans="1:36" x14ac:dyDescent="0.2">
      <c r="A87" s="692" t="s">
        <v>41</v>
      </c>
      <c r="B87" s="259" t="s">
        <v>3</v>
      </c>
      <c r="C87" s="260">
        <f t="shared" ref="C87:C93" si="89">S87/S$93</f>
        <v>0.34514563106796114</v>
      </c>
      <c r="D87" s="261">
        <f t="shared" ref="D87:H93" si="90">IFERROR(T87/T$93,0)</f>
        <v>0</v>
      </c>
      <c r="E87" s="261">
        <f t="shared" si="90"/>
        <v>0.28774193548387095</v>
      </c>
      <c r="F87" s="261">
        <f t="shared" si="90"/>
        <v>0.3671875</v>
      </c>
      <c r="G87" s="261">
        <f t="shared" si="90"/>
        <v>0.19108280254777071</v>
      </c>
      <c r="H87" s="261">
        <f t="shared" si="90"/>
        <v>0.18357487922705315</v>
      </c>
      <c r="I87" s="260">
        <f t="shared" ref="I87:I93" si="91">Y87/Y$93</f>
        <v>0.29557522123893804</v>
      </c>
      <c r="J87" s="260">
        <f t="shared" ref="J87:J93" si="92">IFERROR(Z87/Z$93,0)</f>
        <v>0</v>
      </c>
      <c r="K87" s="261">
        <f t="shared" ref="K87:L93" si="93">AA87/AA$93</f>
        <v>0</v>
      </c>
      <c r="L87" s="261">
        <f t="shared" si="93"/>
        <v>0</v>
      </c>
      <c r="M87" s="262">
        <f t="shared" ref="M87:M93" si="94">IFERROR(AC87/AC$93,0)</f>
        <v>0</v>
      </c>
      <c r="N87" s="260">
        <f t="shared" ref="N87:N93" si="95">AE87/AE$93</f>
        <v>0</v>
      </c>
      <c r="O87" s="260">
        <f t="shared" ref="O87:Q93" si="96">IFERROR(AF87/AF$93,0)</f>
        <v>0</v>
      </c>
      <c r="P87" s="262">
        <f t="shared" si="96"/>
        <v>0</v>
      </c>
      <c r="Q87" s="684">
        <f t="shared" si="96"/>
        <v>0</v>
      </c>
      <c r="R87" s="263"/>
      <c r="S87" s="264">
        <f>'Old Counts Pivot Table'!B$85</f>
        <v>711</v>
      </c>
      <c r="T87" s="265">
        <f>'Old Counts Pivot Table'!C$85</f>
        <v>0</v>
      </c>
      <c r="U87" s="265">
        <f>'Old Counts Pivot Table'!D$85</f>
        <v>223</v>
      </c>
      <c r="V87" s="265">
        <f>'Old Counts Pivot Table'!E$85</f>
        <v>47</v>
      </c>
      <c r="W87" s="265">
        <f>'Old Counts Pivot Table'!F$85</f>
        <v>150</v>
      </c>
      <c r="X87" s="673">
        <f>'Old Counts Pivot Table'!G$85</f>
        <v>38</v>
      </c>
      <c r="Y87" s="264">
        <f>'Old Counts Pivot Table'!H$85</f>
        <v>1169</v>
      </c>
      <c r="Z87" s="264">
        <f>'Old Counts Pivot Table'!I$85</f>
        <v>0</v>
      </c>
      <c r="AA87" s="265">
        <f>'Old Counts Pivot Table'!J$85</f>
        <v>0</v>
      </c>
      <c r="AB87" s="265">
        <f>'Old Counts Pivot Table'!K$85</f>
        <v>0</v>
      </c>
      <c r="AC87" s="265">
        <f>'Old Counts Pivot Table'!L$85</f>
        <v>0</v>
      </c>
      <c r="AD87" s="265">
        <f>'Old Counts Pivot Table'!M$85</f>
        <v>0</v>
      </c>
      <c r="AE87" s="264">
        <f>'Old Counts Pivot Table'!N$85</f>
        <v>0</v>
      </c>
      <c r="AF87" s="264">
        <f>'Old Counts Pivot Table'!O$85</f>
        <v>0</v>
      </c>
      <c r="AG87" s="265">
        <f>'Old Counts Pivot Table'!P$85</f>
        <v>0</v>
      </c>
      <c r="AH87" s="264">
        <f>'Old Counts Pivot Table'!Q$85</f>
        <v>0</v>
      </c>
    </row>
    <row r="88" spans="1:36" x14ac:dyDescent="0.2">
      <c r="A88" s="690"/>
      <c r="B88" s="258" t="s">
        <v>4</v>
      </c>
      <c r="C88" s="266">
        <f t="shared" si="89"/>
        <v>0.279126213592233</v>
      </c>
      <c r="D88" s="267">
        <f t="shared" si="90"/>
        <v>0</v>
      </c>
      <c r="E88" s="267">
        <f t="shared" si="90"/>
        <v>0.19741935483870968</v>
      </c>
      <c r="F88" s="267">
        <f t="shared" si="90"/>
        <v>0.2734375</v>
      </c>
      <c r="G88" s="267">
        <f t="shared" si="90"/>
        <v>0.1961783439490446</v>
      </c>
      <c r="H88" s="267">
        <f t="shared" si="90"/>
        <v>0.28019323671497587</v>
      </c>
      <c r="I88" s="266">
        <f t="shared" si="91"/>
        <v>0.24652338811630847</v>
      </c>
      <c r="J88" s="266">
        <f t="shared" si="92"/>
        <v>0</v>
      </c>
      <c r="K88" s="267">
        <f t="shared" si="93"/>
        <v>0</v>
      </c>
      <c r="L88" s="267">
        <f t="shared" si="93"/>
        <v>0</v>
      </c>
      <c r="M88" s="268">
        <f t="shared" si="94"/>
        <v>0</v>
      </c>
      <c r="N88" s="266">
        <f t="shared" si="95"/>
        <v>0</v>
      </c>
      <c r="O88" s="266">
        <f t="shared" si="96"/>
        <v>0</v>
      </c>
      <c r="P88" s="268">
        <f t="shared" si="96"/>
        <v>0</v>
      </c>
      <c r="Q88" s="685">
        <f t="shared" si="96"/>
        <v>0</v>
      </c>
      <c r="R88" s="269"/>
      <c r="S88" s="270">
        <f>'Old Counts Pivot Table'!B$86</f>
        <v>575</v>
      </c>
      <c r="T88" s="271">
        <f>'Old Counts Pivot Table'!C$86</f>
        <v>0</v>
      </c>
      <c r="U88" s="271">
        <f>'Old Counts Pivot Table'!D$86</f>
        <v>153</v>
      </c>
      <c r="V88" s="271">
        <f>'Old Counts Pivot Table'!E$86</f>
        <v>35</v>
      </c>
      <c r="W88" s="271">
        <f>'Old Counts Pivot Table'!F$86</f>
        <v>154</v>
      </c>
      <c r="X88" s="674">
        <f>'Old Counts Pivot Table'!G$86</f>
        <v>58</v>
      </c>
      <c r="Y88" s="270">
        <f>'Old Counts Pivot Table'!H$86</f>
        <v>975</v>
      </c>
      <c r="Z88" s="270">
        <f>'Old Counts Pivot Table'!I$86</f>
        <v>0</v>
      </c>
      <c r="AA88" s="271">
        <f>'Old Counts Pivot Table'!J$86</f>
        <v>0</v>
      </c>
      <c r="AB88" s="271">
        <f>'Old Counts Pivot Table'!K$86</f>
        <v>0</v>
      </c>
      <c r="AC88" s="271">
        <f>'Old Counts Pivot Table'!L$86</f>
        <v>0</v>
      </c>
      <c r="AD88" s="271">
        <f>'Old Counts Pivot Table'!M$86</f>
        <v>0</v>
      </c>
      <c r="AE88" s="270">
        <f>'Old Counts Pivot Table'!N$86</f>
        <v>0</v>
      </c>
      <c r="AF88" s="270">
        <f>'Old Counts Pivot Table'!O$86</f>
        <v>0</v>
      </c>
      <c r="AG88" s="271">
        <f>'Old Counts Pivot Table'!P$86</f>
        <v>0</v>
      </c>
      <c r="AH88" s="270">
        <f>'Old Counts Pivot Table'!Q$86</f>
        <v>0</v>
      </c>
    </row>
    <row r="89" spans="1:36" x14ac:dyDescent="0.2">
      <c r="A89" s="690"/>
      <c r="B89" s="258" t="s">
        <v>5</v>
      </c>
      <c r="C89" s="266">
        <f t="shared" si="89"/>
        <v>0.23592233009708738</v>
      </c>
      <c r="D89" s="267">
        <f t="shared" si="90"/>
        <v>0</v>
      </c>
      <c r="E89" s="267">
        <f t="shared" si="90"/>
        <v>0.28387096774193549</v>
      </c>
      <c r="F89" s="267">
        <f t="shared" si="90"/>
        <v>0.2265625</v>
      </c>
      <c r="G89" s="267">
        <f t="shared" si="90"/>
        <v>0.29426751592356687</v>
      </c>
      <c r="H89" s="267">
        <f t="shared" si="90"/>
        <v>0.29468599033816423</v>
      </c>
      <c r="I89" s="266">
        <f t="shared" si="91"/>
        <v>0.25967130214917827</v>
      </c>
      <c r="J89" s="266">
        <f t="shared" si="92"/>
        <v>0</v>
      </c>
      <c r="K89" s="267">
        <f t="shared" si="93"/>
        <v>0</v>
      </c>
      <c r="L89" s="267">
        <f t="shared" si="93"/>
        <v>0</v>
      </c>
      <c r="M89" s="268">
        <f t="shared" si="94"/>
        <v>0</v>
      </c>
      <c r="N89" s="266">
        <f t="shared" si="95"/>
        <v>0</v>
      </c>
      <c r="O89" s="266">
        <f t="shared" si="96"/>
        <v>0</v>
      </c>
      <c r="P89" s="268">
        <f t="shared" si="96"/>
        <v>0</v>
      </c>
      <c r="Q89" s="685">
        <f t="shared" si="96"/>
        <v>0</v>
      </c>
      <c r="R89" s="269"/>
      <c r="S89" s="270">
        <f>'Old Counts Pivot Table'!B$87</f>
        <v>486</v>
      </c>
      <c r="T89" s="271">
        <f>'Old Counts Pivot Table'!C$87</f>
        <v>0</v>
      </c>
      <c r="U89" s="271">
        <f>'Old Counts Pivot Table'!D$87</f>
        <v>220</v>
      </c>
      <c r="V89" s="271">
        <f>'Old Counts Pivot Table'!E$87</f>
        <v>29</v>
      </c>
      <c r="W89" s="271">
        <f>'Old Counts Pivot Table'!F$87</f>
        <v>231</v>
      </c>
      <c r="X89" s="674">
        <f>'Old Counts Pivot Table'!G$87</f>
        <v>61</v>
      </c>
      <c r="Y89" s="270">
        <f>'Old Counts Pivot Table'!H$87</f>
        <v>1027</v>
      </c>
      <c r="Z89" s="270">
        <f>'Old Counts Pivot Table'!I$87</f>
        <v>0</v>
      </c>
      <c r="AA89" s="271">
        <f>'Old Counts Pivot Table'!J$87</f>
        <v>0</v>
      </c>
      <c r="AB89" s="271">
        <f>'Old Counts Pivot Table'!K$87</f>
        <v>0</v>
      </c>
      <c r="AC89" s="271">
        <f>'Old Counts Pivot Table'!L$87</f>
        <v>0</v>
      </c>
      <c r="AD89" s="271">
        <f>'Old Counts Pivot Table'!M$87</f>
        <v>0</v>
      </c>
      <c r="AE89" s="270">
        <f>'Old Counts Pivot Table'!N$87</f>
        <v>0</v>
      </c>
      <c r="AF89" s="270">
        <f>'Old Counts Pivot Table'!O$87</f>
        <v>0</v>
      </c>
      <c r="AG89" s="271">
        <f>'Old Counts Pivot Table'!P$87</f>
        <v>0</v>
      </c>
      <c r="AH89" s="270">
        <f>'Old Counts Pivot Table'!Q$87</f>
        <v>0</v>
      </c>
    </row>
    <row r="90" spans="1:36" x14ac:dyDescent="0.2">
      <c r="A90" s="690"/>
      <c r="B90" s="258" t="s">
        <v>6</v>
      </c>
      <c r="C90" s="266">
        <f t="shared" si="89"/>
        <v>0.13980582524271845</v>
      </c>
      <c r="D90" s="267">
        <f t="shared" si="90"/>
        <v>0</v>
      </c>
      <c r="E90" s="267">
        <f t="shared" si="90"/>
        <v>0.23096774193548386</v>
      </c>
      <c r="F90" s="267">
        <f t="shared" si="90"/>
        <v>0.1328125</v>
      </c>
      <c r="G90" s="267">
        <f t="shared" si="90"/>
        <v>0.31847133757961782</v>
      </c>
      <c r="H90" s="267">
        <f t="shared" si="90"/>
        <v>0.24154589371980675</v>
      </c>
      <c r="I90" s="266">
        <f t="shared" si="91"/>
        <v>0.19823008849557522</v>
      </c>
      <c r="J90" s="266">
        <f t="shared" si="92"/>
        <v>0</v>
      </c>
      <c r="K90" s="267">
        <f t="shared" si="93"/>
        <v>0</v>
      </c>
      <c r="L90" s="267">
        <f t="shared" si="93"/>
        <v>0</v>
      </c>
      <c r="M90" s="268">
        <f t="shared" si="94"/>
        <v>0</v>
      </c>
      <c r="N90" s="266">
        <f t="shared" si="95"/>
        <v>0</v>
      </c>
      <c r="O90" s="266">
        <f t="shared" si="96"/>
        <v>0</v>
      </c>
      <c r="P90" s="268">
        <f t="shared" si="96"/>
        <v>0</v>
      </c>
      <c r="Q90" s="685">
        <f t="shared" si="96"/>
        <v>0</v>
      </c>
      <c r="R90" s="269"/>
      <c r="S90" s="270">
        <f>'Old Counts Pivot Table'!B$88</f>
        <v>288</v>
      </c>
      <c r="T90" s="271">
        <f>'Old Counts Pivot Table'!C$88</f>
        <v>0</v>
      </c>
      <c r="U90" s="271">
        <f>'Old Counts Pivot Table'!D$88</f>
        <v>179</v>
      </c>
      <c r="V90" s="271">
        <f>'Old Counts Pivot Table'!E$88</f>
        <v>17</v>
      </c>
      <c r="W90" s="271">
        <f>'Old Counts Pivot Table'!F$88</f>
        <v>250</v>
      </c>
      <c r="X90" s="674">
        <f>'Old Counts Pivot Table'!G$88</f>
        <v>50</v>
      </c>
      <c r="Y90" s="270">
        <f>'Old Counts Pivot Table'!H$88</f>
        <v>784</v>
      </c>
      <c r="Z90" s="270">
        <f>'Old Counts Pivot Table'!I$88</f>
        <v>0</v>
      </c>
      <c r="AA90" s="271">
        <f>'Old Counts Pivot Table'!J$88</f>
        <v>0</v>
      </c>
      <c r="AB90" s="271">
        <f>'Old Counts Pivot Table'!K$88</f>
        <v>0</v>
      </c>
      <c r="AC90" s="271">
        <f>'Old Counts Pivot Table'!L$88</f>
        <v>0</v>
      </c>
      <c r="AD90" s="271">
        <f>'Old Counts Pivot Table'!M$88</f>
        <v>0</v>
      </c>
      <c r="AE90" s="270">
        <f>'Old Counts Pivot Table'!N$88</f>
        <v>0</v>
      </c>
      <c r="AF90" s="270">
        <f>'Old Counts Pivot Table'!O$88</f>
        <v>0</v>
      </c>
      <c r="AG90" s="271">
        <f>'Old Counts Pivot Table'!P$88</f>
        <v>0</v>
      </c>
      <c r="AH90" s="270">
        <f>'Old Counts Pivot Table'!Q$88</f>
        <v>0</v>
      </c>
    </row>
    <row r="91" spans="1:36" x14ac:dyDescent="0.2">
      <c r="A91" s="690"/>
      <c r="B91" s="258" t="s">
        <v>26</v>
      </c>
      <c r="C91" s="266">
        <f t="shared" si="89"/>
        <v>0</v>
      </c>
      <c r="D91" s="267">
        <f t="shared" si="90"/>
        <v>0</v>
      </c>
      <c r="E91" s="267">
        <f t="shared" si="90"/>
        <v>0</v>
      </c>
      <c r="F91" s="267">
        <f t="shared" si="90"/>
        <v>0</v>
      </c>
      <c r="G91" s="267">
        <f t="shared" si="90"/>
        <v>0</v>
      </c>
      <c r="H91" s="267">
        <f t="shared" si="90"/>
        <v>0</v>
      </c>
      <c r="I91" s="266">
        <f t="shared" si="91"/>
        <v>0</v>
      </c>
      <c r="J91" s="266">
        <f t="shared" si="92"/>
        <v>0</v>
      </c>
      <c r="K91" s="267">
        <f t="shared" si="93"/>
        <v>0</v>
      </c>
      <c r="L91" s="267">
        <f t="shared" si="93"/>
        <v>0</v>
      </c>
      <c r="M91" s="268">
        <f t="shared" si="94"/>
        <v>0</v>
      </c>
      <c r="N91" s="266">
        <f t="shared" si="95"/>
        <v>0</v>
      </c>
      <c r="O91" s="266">
        <f t="shared" si="96"/>
        <v>0</v>
      </c>
      <c r="P91" s="268">
        <f t="shared" si="96"/>
        <v>0</v>
      </c>
      <c r="Q91" s="685">
        <f t="shared" si="96"/>
        <v>0</v>
      </c>
      <c r="R91" s="269"/>
      <c r="S91" s="270">
        <f>'Old Counts Pivot Table'!B$89</f>
        <v>0</v>
      </c>
      <c r="T91" s="271">
        <f>'Old Counts Pivot Table'!C$89</f>
        <v>0</v>
      </c>
      <c r="U91" s="271">
        <f>'Old Counts Pivot Table'!D$89</f>
        <v>0</v>
      </c>
      <c r="V91" s="271">
        <f>'Old Counts Pivot Table'!E$89</f>
        <v>0</v>
      </c>
      <c r="W91" s="271">
        <f>'Old Counts Pivot Table'!F$89</f>
        <v>0</v>
      </c>
      <c r="X91" s="674">
        <f>'Old Counts Pivot Table'!G$89</f>
        <v>0</v>
      </c>
      <c r="Y91" s="270">
        <f>'Old Counts Pivot Table'!H$89</f>
        <v>0</v>
      </c>
      <c r="Z91" s="270">
        <f>'Old Counts Pivot Table'!I$89</f>
        <v>0</v>
      </c>
      <c r="AA91" s="271">
        <f>'Old Counts Pivot Table'!J$89</f>
        <v>0</v>
      </c>
      <c r="AB91" s="271">
        <f>'Old Counts Pivot Table'!K$89</f>
        <v>0</v>
      </c>
      <c r="AC91" s="271">
        <f>'Old Counts Pivot Table'!L$89</f>
        <v>0</v>
      </c>
      <c r="AD91" s="271">
        <f>'Old Counts Pivot Table'!M$89</f>
        <v>0</v>
      </c>
      <c r="AE91" s="270">
        <f>'Old Counts Pivot Table'!N$89</f>
        <v>0</v>
      </c>
      <c r="AF91" s="270">
        <f>'Old Counts Pivot Table'!O$89</f>
        <v>0</v>
      </c>
      <c r="AG91" s="271">
        <f>'Old Counts Pivot Table'!P$89</f>
        <v>0</v>
      </c>
      <c r="AH91" s="270">
        <f>'Old Counts Pivot Table'!Q$89</f>
        <v>0</v>
      </c>
    </row>
    <row r="92" spans="1:36" x14ac:dyDescent="0.2">
      <c r="A92" s="690"/>
      <c r="B92" s="258" t="s">
        <v>23</v>
      </c>
      <c r="C92" s="266">
        <f t="shared" si="89"/>
        <v>0</v>
      </c>
      <c r="D92" s="267">
        <f t="shared" si="90"/>
        <v>0</v>
      </c>
      <c r="E92" s="267">
        <f t="shared" si="90"/>
        <v>0</v>
      </c>
      <c r="F92" s="267">
        <f t="shared" si="90"/>
        <v>0</v>
      </c>
      <c r="G92" s="267">
        <f t="shared" si="90"/>
        <v>0</v>
      </c>
      <c r="H92" s="267">
        <f t="shared" si="90"/>
        <v>0</v>
      </c>
      <c r="I92" s="266">
        <f t="shared" si="91"/>
        <v>0</v>
      </c>
      <c r="J92" s="266">
        <f t="shared" si="92"/>
        <v>1</v>
      </c>
      <c r="K92" s="267">
        <f t="shared" si="93"/>
        <v>1</v>
      </c>
      <c r="L92" s="267">
        <f t="shared" si="93"/>
        <v>1</v>
      </c>
      <c r="M92" s="268">
        <f t="shared" si="94"/>
        <v>1</v>
      </c>
      <c r="N92" s="266">
        <f t="shared" si="95"/>
        <v>1</v>
      </c>
      <c r="O92" s="266">
        <f t="shared" si="96"/>
        <v>1</v>
      </c>
      <c r="P92" s="268">
        <f t="shared" si="96"/>
        <v>1</v>
      </c>
      <c r="Q92" s="685">
        <f t="shared" si="96"/>
        <v>1</v>
      </c>
      <c r="R92" s="269"/>
      <c r="S92" s="270">
        <f>'Old Counts Pivot Table'!B$90</f>
        <v>0</v>
      </c>
      <c r="T92" s="271">
        <f>'Old Counts Pivot Table'!C$90</f>
        <v>0</v>
      </c>
      <c r="U92" s="271">
        <f>'Old Counts Pivot Table'!D$90</f>
        <v>0</v>
      </c>
      <c r="V92" s="271">
        <f>'Old Counts Pivot Table'!E$90</f>
        <v>0</v>
      </c>
      <c r="W92" s="271">
        <f>'Old Counts Pivot Table'!F$90</f>
        <v>0</v>
      </c>
      <c r="X92" s="674">
        <f>'Old Counts Pivot Table'!G$90</f>
        <v>0</v>
      </c>
      <c r="Y92" s="270">
        <f>'Old Counts Pivot Table'!H$90</f>
        <v>0</v>
      </c>
      <c r="Z92" s="270">
        <f>'Old Counts Pivot Table'!I$90</f>
        <v>212</v>
      </c>
      <c r="AA92" s="271">
        <f>'Old Counts Pivot Table'!J$90</f>
        <v>570</v>
      </c>
      <c r="AB92" s="271">
        <f>'Old Counts Pivot Table'!K$90</f>
        <v>151</v>
      </c>
      <c r="AC92" s="271">
        <f>'Old Counts Pivot Table'!L$90</f>
        <v>328</v>
      </c>
      <c r="AD92" s="271">
        <f>'Old Counts Pivot Table'!M$90</f>
        <v>0</v>
      </c>
      <c r="AE92" s="270">
        <f>'Old Counts Pivot Table'!N$90</f>
        <v>1261</v>
      </c>
      <c r="AF92" s="270">
        <f>'Old Counts Pivot Table'!O$90</f>
        <v>215</v>
      </c>
      <c r="AG92" s="271">
        <f>'Old Counts Pivot Table'!P$90</f>
        <v>916</v>
      </c>
      <c r="AH92" s="270">
        <f>'Old Counts Pivot Table'!Q$90</f>
        <v>1131</v>
      </c>
    </row>
    <row r="93" spans="1:36" s="280" customFormat="1" x14ac:dyDescent="0.25">
      <c r="A93" s="691"/>
      <c r="B93" s="272" t="s">
        <v>220</v>
      </c>
      <c r="C93" s="273">
        <f t="shared" si="89"/>
        <v>1</v>
      </c>
      <c r="D93" s="274">
        <f t="shared" si="90"/>
        <v>0</v>
      </c>
      <c r="E93" s="274">
        <f t="shared" si="90"/>
        <v>1</v>
      </c>
      <c r="F93" s="274">
        <f t="shared" si="90"/>
        <v>1</v>
      </c>
      <c r="G93" s="274">
        <f t="shared" si="90"/>
        <v>1</v>
      </c>
      <c r="H93" s="274">
        <f t="shared" si="90"/>
        <v>1</v>
      </c>
      <c r="I93" s="273">
        <f t="shared" si="91"/>
        <v>1</v>
      </c>
      <c r="J93" s="273">
        <f t="shared" si="92"/>
        <v>1</v>
      </c>
      <c r="K93" s="274">
        <f t="shared" si="93"/>
        <v>1</v>
      </c>
      <c r="L93" s="274">
        <f t="shared" si="93"/>
        <v>1</v>
      </c>
      <c r="M93" s="275">
        <f t="shared" si="94"/>
        <v>1</v>
      </c>
      <c r="N93" s="273">
        <f t="shared" si="95"/>
        <v>1</v>
      </c>
      <c r="O93" s="273">
        <f t="shared" si="96"/>
        <v>1</v>
      </c>
      <c r="P93" s="275">
        <f t="shared" si="96"/>
        <v>1</v>
      </c>
      <c r="Q93" s="686">
        <f t="shared" si="96"/>
        <v>1</v>
      </c>
      <c r="R93" s="276"/>
      <c r="S93" s="277">
        <f>'Old Counts Pivot Table'!B$91</f>
        <v>2060</v>
      </c>
      <c r="T93" s="278">
        <f>'Old Counts Pivot Table'!C$91</f>
        <v>0</v>
      </c>
      <c r="U93" s="278">
        <f>'Old Counts Pivot Table'!D$91</f>
        <v>775</v>
      </c>
      <c r="V93" s="278">
        <f>'Old Counts Pivot Table'!E$91</f>
        <v>128</v>
      </c>
      <c r="W93" s="278">
        <f>'Old Counts Pivot Table'!F$91</f>
        <v>785</v>
      </c>
      <c r="X93" s="675">
        <f>'Old Counts Pivot Table'!G$91</f>
        <v>207</v>
      </c>
      <c r="Y93" s="277">
        <f>'Old Counts Pivot Table'!H$91</f>
        <v>3955</v>
      </c>
      <c r="Z93" s="277">
        <f>'Old Counts Pivot Table'!I$91</f>
        <v>212</v>
      </c>
      <c r="AA93" s="278">
        <f>'Old Counts Pivot Table'!J$91</f>
        <v>570</v>
      </c>
      <c r="AB93" s="278">
        <f>'Old Counts Pivot Table'!K$91</f>
        <v>151</v>
      </c>
      <c r="AC93" s="278">
        <f>'Old Counts Pivot Table'!L$91</f>
        <v>328</v>
      </c>
      <c r="AD93" s="278">
        <f>'Old Counts Pivot Table'!M$91</f>
        <v>0</v>
      </c>
      <c r="AE93" s="277">
        <f>'Old Counts Pivot Table'!N$91</f>
        <v>1261</v>
      </c>
      <c r="AF93" s="277">
        <f>'Old Counts Pivot Table'!O$91</f>
        <v>215</v>
      </c>
      <c r="AG93" s="278">
        <f>'Old Counts Pivot Table'!P$91</f>
        <v>916</v>
      </c>
      <c r="AH93" s="277">
        <f>'Old Counts Pivot Table'!Q$91</f>
        <v>1131</v>
      </c>
      <c r="AI93" s="279"/>
      <c r="AJ93" s="279"/>
    </row>
    <row r="94" spans="1:36" x14ac:dyDescent="0.2">
      <c r="A94" s="692" t="s">
        <v>21</v>
      </c>
      <c r="B94" s="259" t="s">
        <v>3</v>
      </c>
      <c r="C94" s="260">
        <f t="shared" ref="C94:C100" si="97">S94/S$100</f>
        <v>0.30227374052608114</v>
      </c>
      <c r="D94" s="261">
        <f t="shared" ref="D94:H100" si="98">IFERROR(T94/T$100,0)</f>
        <v>0</v>
      </c>
      <c r="E94" s="261">
        <f t="shared" si="98"/>
        <v>0.26889714993804215</v>
      </c>
      <c r="F94" s="261">
        <f t="shared" si="98"/>
        <v>0.3258426966292135</v>
      </c>
      <c r="G94" s="261">
        <f t="shared" si="98"/>
        <v>0.21642764015645372</v>
      </c>
      <c r="H94" s="261">
        <f t="shared" si="98"/>
        <v>0.15315315315315314</v>
      </c>
      <c r="I94" s="260">
        <f t="shared" ref="I94:I100" si="99">Y94/Y$100</f>
        <v>0.26461538461538464</v>
      </c>
      <c r="J94" s="260">
        <f t="shared" ref="J94:J100" si="100">IFERROR(Z94/Z$100,0)</f>
        <v>0</v>
      </c>
      <c r="K94" s="261">
        <f t="shared" ref="K94:L100" si="101">AA94/AA$100</f>
        <v>0</v>
      </c>
      <c r="L94" s="261">
        <f t="shared" si="101"/>
        <v>0</v>
      </c>
      <c r="M94" s="262">
        <f t="shared" ref="M94:M100" si="102">IFERROR(AC94/AC$100,0)</f>
        <v>6.6666666666666666E-2</v>
      </c>
      <c r="N94" s="260">
        <f t="shared" ref="N94:N100" si="103">AE94/AE$100</f>
        <v>8.126195028680689E-3</v>
      </c>
      <c r="O94" s="260">
        <f t="shared" ref="O94:Q100" si="104">IFERROR(AF94/AF$100,0)</f>
        <v>0</v>
      </c>
      <c r="P94" s="262">
        <f t="shared" si="104"/>
        <v>0</v>
      </c>
      <c r="Q94" s="684">
        <f t="shared" si="104"/>
        <v>0</v>
      </c>
      <c r="R94" s="263"/>
      <c r="S94" s="264">
        <f>'Old Counts Pivot Table'!B$93</f>
        <v>678</v>
      </c>
      <c r="T94" s="265">
        <f>'Old Counts Pivot Table'!C$93</f>
        <v>0</v>
      </c>
      <c r="U94" s="265">
        <f>'Old Counts Pivot Table'!D$93</f>
        <v>217</v>
      </c>
      <c r="V94" s="265">
        <f>'Old Counts Pivot Table'!E$93</f>
        <v>58</v>
      </c>
      <c r="W94" s="265">
        <f>'Old Counts Pivot Table'!F$93</f>
        <v>166</v>
      </c>
      <c r="X94" s="673">
        <f>'Old Counts Pivot Table'!G$93</f>
        <v>85</v>
      </c>
      <c r="Y94" s="264">
        <f>'Old Counts Pivot Table'!H$93</f>
        <v>1204</v>
      </c>
      <c r="Z94" s="264">
        <f>'Old Counts Pivot Table'!I$93</f>
        <v>0</v>
      </c>
      <c r="AA94" s="265">
        <f>'Old Counts Pivot Table'!J$93</f>
        <v>0</v>
      </c>
      <c r="AB94" s="265">
        <f>'Old Counts Pivot Table'!K$93</f>
        <v>0</v>
      </c>
      <c r="AC94" s="265">
        <f>'Old Counts Pivot Table'!L$93</f>
        <v>17</v>
      </c>
      <c r="AD94" s="265">
        <f>'Old Counts Pivot Table'!M$93</f>
        <v>0</v>
      </c>
      <c r="AE94" s="264">
        <f>'Old Counts Pivot Table'!N$93</f>
        <v>17</v>
      </c>
      <c r="AF94" s="264">
        <f>'Old Counts Pivot Table'!O$93</f>
        <v>0</v>
      </c>
      <c r="AG94" s="265">
        <f>'Old Counts Pivot Table'!P$93</f>
        <v>0</v>
      </c>
      <c r="AH94" s="264">
        <f>'Old Counts Pivot Table'!Q$93</f>
        <v>0</v>
      </c>
    </row>
    <row r="95" spans="1:36" x14ac:dyDescent="0.2">
      <c r="A95" s="690"/>
      <c r="B95" s="258" t="s">
        <v>4</v>
      </c>
      <c r="C95" s="266">
        <f t="shared" si="97"/>
        <v>0.27017387427552386</v>
      </c>
      <c r="D95" s="267">
        <f t="shared" si="98"/>
        <v>0</v>
      </c>
      <c r="E95" s="267">
        <f t="shared" si="98"/>
        <v>0.31598513011152418</v>
      </c>
      <c r="F95" s="267">
        <f t="shared" si="98"/>
        <v>0.29775280898876405</v>
      </c>
      <c r="G95" s="267">
        <f t="shared" si="98"/>
        <v>0.26466753585397651</v>
      </c>
      <c r="H95" s="267">
        <f t="shared" si="98"/>
        <v>0.24144144144144145</v>
      </c>
      <c r="I95" s="266">
        <f t="shared" si="99"/>
        <v>0.27494505494505495</v>
      </c>
      <c r="J95" s="266">
        <f t="shared" si="100"/>
        <v>0</v>
      </c>
      <c r="K95" s="267">
        <f t="shared" si="101"/>
        <v>0</v>
      </c>
      <c r="L95" s="267">
        <f t="shared" si="101"/>
        <v>0</v>
      </c>
      <c r="M95" s="268">
        <f t="shared" si="102"/>
        <v>9.4117647058823528E-2</v>
      </c>
      <c r="N95" s="266">
        <f t="shared" si="103"/>
        <v>1.1472275334608031E-2</v>
      </c>
      <c r="O95" s="266">
        <f t="shared" si="104"/>
        <v>0</v>
      </c>
      <c r="P95" s="268">
        <f t="shared" si="104"/>
        <v>0</v>
      </c>
      <c r="Q95" s="685">
        <f t="shared" si="104"/>
        <v>0</v>
      </c>
      <c r="R95" s="269"/>
      <c r="S95" s="270">
        <f>'Old Counts Pivot Table'!B$94</f>
        <v>606</v>
      </c>
      <c r="T95" s="271">
        <f>'Old Counts Pivot Table'!C$94</f>
        <v>0</v>
      </c>
      <c r="U95" s="271">
        <f>'Old Counts Pivot Table'!D$94</f>
        <v>255</v>
      </c>
      <c r="V95" s="271">
        <f>'Old Counts Pivot Table'!E$94</f>
        <v>53</v>
      </c>
      <c r="W95" s="271">
        <f>'Old Counts Pivot Table'!F$94</f>
        <v>203</v>
      </c>
      <c r="X95" s="674">
        <f>'Old Counts Pivot Table'!G$94</f>
        <v>134</v>
      </c>
      <c r="Y95" s="270">
        <f>'Old Counts Pivot Table'!H$94</f>
        <v>1251</v>
      </c>
      <c r="Z95" s="270">
        <f>'Old Counts Pivot Table'!I$94</f>
        <v>0</v>
      </c>
      <c r="AA95" s="271">
        <f>'Old Counts Pivot Table'!J$94</f>
        <v>0</v>
      </c>
      <c r="AB95" s="271">
        <f>'Old Counts Pivot Table'!K$94</f>
        <v>0</v>
      </c>
      <c r="AC95" s="271">
        <f>'Old Counts Pivot Table'!L$94</f>
        <v>24</v>
      </c>
      <c r="AD95" s="271">
        <f>'Old Counts Pivot Table'!M$94</f>
        <v>0</v>
      </c>
      <c r="AE95" s="270">
        <f>'Old Counts Pivot Table'!N$94</f>
        <v>24</v>
      </c>
      <c r="AF95" s="270">
        <f>'Old Counts Pivot Table'!O$94</f>
        <v>0</v>
      </c>
      <c r="AG95" s="271">
        <f>'Old Counts Pivot Table'!P$94</f>
        <v>0</v>
      </c>
      <c r="AH95" s="270">
        <f>'Old Counts Pivot Table'!Q$94</f>
        <v>0</v>
      </c>
    </row>
    <row r="96" spans="1:36" x14ac:dyDescent="0.2">
      <c r="A96" s="690"/>
      <c r="B96" s="258" t="s">
        <v>5</v>
      </c>
      <c r="C96" s="266">
        <f t="shared" si="97"/>
        <v>0.25590726705305394</v>
      </c>
      <c r="D96" s="267">
        <f t="shared" si="98"/>
        <v>0</v>
      </c>
      <c r="E96" s="267">
        <f t="shared" si="98"/>
        <v>0.30235439900867411</v>
      </c>
      <c r="F96" s="267">
        <f t="shared" si="98"/>
        <v>0.3595505617977528</v>
      </c>
      <c r="G96" s="267">
        <f t="shared" si="98"/>
        <v>0.32855280312907431</v>
      </c>
      <c r="H96" s="267">
        <f t="shared" si="98"/>
        <v>0.31531531531531531</v>
      </c>
      <c r="I96" s="266">
        <f t="shared" si="99"/>
        <v>0.28769230769230769</v>
      </c>
      <c r="J96" s="266">
        <f t="shared" si="100"/>
        <v>0</v>
      </c>
      <c r="K96" s="267">
        <f t="shared" si="101"/>
        <v>0</v>
      </c>
      <c r="L96" s="267">
        <f t="shared" si="101"/>
        <v>0</v>
      </c>
      <c r="M96" s="268">
        <f t="shared" si="102"/>
        <v>0.14117647058823529</v>
      </c>
      <c r="N96" s="266">
        <f t="shared" si="103"/>
        <v>1.7208413001912046E-2</v>
      </c>
      <c r="O96" s="266">
        <f t="shared" si="104"/>
        <v>0</v>
      </c>
      <c r="P96" s="268">
        <f t="shared" si="104"/>
        <v>0</v>
      </c>
      <c r="Q96" s="685">
        <f t="shared" si="104"/>
        <v>0</v>
      </c>
      <c r="R96" s="269"/>
      <c r="S96" s="270">
        <f>'Old Counts Pivot Table'!B$95</f>
        <v>574</v>
      </c>
      <c r="T96" s="271">
        <f>'Old Counts Pivot Table'!C$95</f>
        <v>0</v>
      </c>
      <c r="U96" s="271">
        <f>'Old Counts Pivot Table'!D$95</f>
        <v>244</v>
      </c>
      <c r="V96" s="271">
        <f>'Old Counts Pivot Table'!E$95</f>
        <v>64</v>
      </c>
      <c r="W96" s="271">
        <f>'Old Counts Pivot Table'!F$95</f>
        <v>252</v>
      </c>
      <c r="X96" s="674">
        <f>'Old Counts Pivot Table'!G$95</f>
        <v>175</v>
      </c>
      <c r="Y96" s="270">
        <f>'Old Counts Pivot Table'!H$95</f>
        <v>1309</v>
      </c>
      <c r="Z96" s="270">
        <f>'Old Counts Pivot Table'!I$95</f>
        <v>0</v>
      </c>
      <c r="AA96" s="271">
        <f>'Old Counts Pivot Table'!J$95</f>
        <v>0</v>
      </c>
      <c r="AB96" s="271">
        <f>'Old Counts Pivot Table'!K$95</f>
        <v>0</v>
      </c>
      <c r="AC96" s="271">
        <f>'Old Counts Pivot Table'!L$95</f>
        <v>36</v>
      </c>
      <c r="AD96" s="271">
        <f>'Old Counts Pivot Table'!M$95</f>
        <v>0</v>
      </c>
      <c r="AE96" s="270">
        <f>'Old Counts Pivot Table'!N$95</f>
        <v>36</v>
      </c>
      <c r="AF96" s="270">
        <f>'Old Counts Pivot Table'!O$95</f>
        <v>0</v>
      </c>
      <c r="AG96" s="271">
        <f>'Old Counts Pivot Table'!P$95</f>
        <v>0</v>
      </c>
      <c r="AH96" s="270">
        <f>'Old Counts Pivot Table'!Q$95</f>
        <v>0</v>
      </c>
    </row>
    <row r="97" spans="1:36" x14ac:dyDescent="0.2">
      <c r="A97" s="690"/>
      <c r="B97" s="258" t="s">
        <v>6</v>
      </c>
      <c r="C97" s="266">
        <f t="shared" si="97"/>
        <v>6.9995541685242982E-2</v>
      </c>
      <c r="D97" s="267">
        <f t="shared" si="98"/>
        <v>0</v>
      </c>
      <c r="E97" s="267">
        <f t="shared" si="98"/>
        <v>0.11152416356877323</v>
      </c>
      <c r="F97" s="267">
        <f t="shared" si="98"/>
        <v>1.6853932584269662E-2</v>
      </c>
      <c r="G97" s="267">
        <f t="shared" si="98"/>
        <v>7.9530638852672753E-2</v>
      </c>
      <c r="H97" s="267">
        <f t="shared" si="98"/>
        <v>0.2810810810810811</v>
      </c>
      <c r="I97" s="266">
        <f t="shared" si="99"/>
        <v>0.10263736263736263</v>
      </c>
      <c r="J97" s="266">
        <f t="shared" si="100"/>
        <v>0</v>
      </c>
      <c r="K97" s="267">
        <f t="shared" si="101"/>
        <v>0</v>
      </c>
      <c r="L97" s="267">
        <f t="shared" si="101"/>
        <v>0</v>
      </c>
      <c r="M97" s="268">
        <f t="shared" si="102"/>
        <v>0.19607843137254902</v>
      </c>
      <c r="N97" s="266">
        <f t="shared" si="103"/>
        <v>2.390057361376673E-2</v>
      </c>
      <c r="O97" s="266">
        <f t="shared" si="104"/>
        <v>0</v>
      </c>
      <c r="P97" s="268">
        <f t="shared" si="104"/>
        <v>0</v>
      </c>
      <c r="Q97" s="685">
        <f t="shared" si="104"/>
        <v>0</v>
      </c>
      <c r="R97" s="269"/>
      <c r="S97" s="270">
        <f>'Old Counts Pivot Table'!B$96</f>
        <v>157</v>
      </c>
      <c r="T97" s="271">
        <f>'Old Counts Pivot Table'!C$96</f>
        <v>0</v>
      </c>
      <c r="U97" s="271">
        <f>'Old Counts Pivot Table'!D$96</f>
        <v>90</v>
      </c>
      <c r="V97" s="271">
        <f>'Old Counts Pivot Table'!E$96</f>
        <v>3</v>
      </c>
      <c r="W97" s="271">
        <f>'Old Counts Pivot Table'!F$96</f>
        <v>61</v>
      </c>
      <c r="X97" s="674">
        <f>'Old Counts Pivot Table'!G$96</f>
        <v>156</v>
      </c>
      <c r="Y97" s="270">
        <f>'Old Counts Pivot Table'!H$96</f>
        <v>467</v>
      </c>
      <c r="Z97" s="270">
        <f>'Old Counts Pivot Table'!I$96</f>
        <v>0</v>
      </c>
      <c r="AA97" s="271">
        <f>'Old Counts Pivot Table'!J$96</f>
        <v>0</v>
      </c>
      <c r="AB97" s="271">
        <f>'Old Counts Pivot Table'!K$96</f>
        <v>0</v>
      </c>
      <c r="AC97" s="271">
        <f>'Old Counts Pivot Table'!L$96</f>
        <v>50</v>
      </c>
      <c r="AD97" s="271">
        <f>'Old Counts Pivot Table'!M$96</f>
        <v>0</v>
      </c>
      <c r="AE97" s="270">
        <f>'Old Counts Pivot Table'!N$96</f>
        <v>50</v>
      </c>
      <c r="AF97" s="270">
        <f>'Old Counts Pivot Table'!O$96</f>
        <v>0</v>
      </c>
      <c r="AG97" s="271">
        <f>'Old Counts Pivot Table'!P$96</f>
        <v>0</v>
      </c>
      <c r="AH97" s="270">
        <f>'Old Counts Pivot Table'!Q$96</f>
        <v>0</v>
      </c>
    </row>
    <row r="98" spans="1:36" x14ac:dyDescent="0.2">
      <c r="A98" s="690"/>
      <c r="B98" s="258" t="s">
        <v>26</v>
      </c>
      <c r="C98" s="266">
        <f t="shared" si="97"/>
        <v>0.10164957646009808</v>
      </c>
      <c r="D98" s="267">
        <f t="shared" si="98"/>
        <v>0</v>
      </c>
      <c r="E98" s="267">
        <f t="shared" si="98"/>
        <v>1.2391573729863693E-3</v>
      </c>
      <c r="F98" s="267">
        <f t="shared" si="98"/>
        <v>0</v>
      </c>
      <c r="G98" s="267">
        <f t="shared" si="98"/>
        <v>0.11082138200782268</v>
      </c>
      <c r="H98" s="267">
        <f t="shared" si="98"/>
        <v>9.0090090090090089E-3</v>
      </c>
      <c r="I98" s="266">
        <f t="shared" si="99"/>
        <v>7.0109890109890105E-2</v>
      </c>
      <c r="J98" s="266">
        <f t="shared" si="100"/>
        <v>0</v>
      </c>
      <c r="K98" s="267">
        <f t="shared" si="101"/>
        <v>1</v>
      </c>
      <c r="L98" s="267">
        <f t="shared" si="101"/>
        <v>1</v>
      </c>
      <c r="M98" s="268">
        <f t="shared" si="102"/>
        <v>0.50196078431372548</v>
      </c>
      <c r="N98" s="266">
        <f t="shared" si="103"/>
        <v>0.93929254302103249</v>
      </c>
      <c r="O98" s="266">
        <f t="shared" si="104"/>
        <v>0</v>
      </c>
      <c r="P98" s="268">
        <f t="shared" si="104"/>
        <v>0</v>
      </c>
      <c r="Q98" s="685">
        <f t="shared" si="104"/>
        <v>0</v>
      </c>
      <c r="R98" s="269"/>
      <c r="S98" s="270">
        <f>'Old Counts Pivot Table'!B$97</f>
        <v>228</v>
      </c>
      <c r="T98" s="271">
        <f>'Old Counts Pivot Table'!C$97</f>
        <v>0</v>
      </c>
      <c r="U98" s="271">
        <f>'Old Counts Pivot Table'!D$97</f>
        <v>1</v>
      </c>
      <c r="V98" s="271">
        <f>'Old Counts Pivot Table'!E$97</f>
        <v>0</v>
      </c>
      <c r="W98" s="271">
        <f>'Old Counts Pivot Table'!F$97</f>
        <v>85</v>
      </c>
      <c r="X98" s="674">
        <f>'Old Counts Pivot Table'!G$97</f>
        <v>5</v>
      </c>
      <c r="Y98" s="270">
        <f>'Old Counts Pivot Table'!H$97</f>
        <v>319</v>
      </c>
      <c r="Z98" s="270">
        <f>'Old Counts Pivot Table'!I$97</f>
        <v>0</v>
      </c>
      <c r="AA98" s="271">
        <f>'Old Counts Pivot Table'!J$97</f>
        <v>1360</v>
      </c>
      <c r="AB98" s="271">
        <f>'Old Counts Pivot Table'!K$97</f>
        <v>477</v>
      </c>
      <c r="AC98" s="271">
        <f>'Old Counts Pivot Table'!L$97</f>
        <v>128</v>
      </c>
      <c r="AD98" s="271">
        <f>'Old Counts Pivot Table'!M$97</f>
        <v>0</v>
      </c>
      <c r="AE98" s="270">
        <f>'Old Counts Pivot Table'!N$97</f>
        <v>1965</v>
      </c>
      <c r="AF98" s="270">
        <f>'Old Counts Pivot Table'!O$97</f>
        <v>0</v>
      </c>
      <c r="AG98" s="271">
        <f>'Old Counts Pivot Table'!P$97</f>
        <v>0</v>
      </c>
      <c r="AH98" s="270">
        <f>'Old Counts Pivot Table'!Q$97</f>
        <v>0</v>
      </c>
    </row>
    <row r="99" spans="1:36" x14ac:dyDescent="0.2">
      <c r="A99" s="690"/>
      <c r="B99" s="258" t="s">
        <v>23</v>
      </c>
      <c r="C99" s="266">
        <f t="shared" si="97"/>
        <v>0</v>
      </c>
      <c r="D99" s="267">
        <f t="shared" si="98"/>
        <v>0</v>
      </c>
      <c r="E99" s="267">
        <f t="shared" si="98"/>
        <v>0</v>
      </c>
      <c r="F99" s="267">
        <f t="shared" si="98"/>
        <v>0</v>
      </c>
      <c r="G99" s="267">
        <f t="shared" si="98"/>
        <v>0</v>
      </c>
      <c r="H99" s="267">
        <f t="shared" si="98"/>
        <v>0</v>
      </c>
      <c r="I99" s="266">
        <f t="shared" si="99"/>
        <v>0</v>
      </c>
      <c r="J99" s="266">
        <f t="shared" si="100"/>
        <v>0</v>
      </c>
      <c r="K99" s="267">
        <f t="shared" si="101"/>
        <v>0</v>
      </c>
      <c r="L99" s="267">
        <f t="shared" si="101"/>
        <v>0</v>
      </c>
      <c r="M99" s="268">
        <f t="shared" si="102"/>
        <v>0</v>
      </c>
      <c r="N99" s="266">
        <f t="shared" si="103"/>
        <v>0</v>
      </c>
      <c r="O99" s="266">
        <f t="shared" si="104"/>
        <v>0</v>
      </c>
      <c r="P99" s="268">
        <f t="shared" si="104"/>
        <v>0</v>
      </c>
      <c r="Q99" s="685">
        <f t="shared" si="104"/>
        <v>0</v>
      </c>
      <c r="R99" s="269"/>
      <c r="S99" s="270">
        <f>'Old Counts Pivot Table'!B$98</f>
        <v>0</v>
      </c>
      <c r="T99" s="271">
        <f>'Old Counts Pivot Table'!C$98</f>
        <v>0</v>
      </c>
      <c r="U99" s="271">
        <f>'Old Counts Pivot Table'!D$98</f>
        <v>0</v>
      </c>
      <c r="V99" s="271">
        <f>'Old Counts Pivot Table'!E$98</f>
        <v>0</v>
      </c>
      <c r="W99" s="271">
        <f>'Old Counts Pivot Table'!F$98</f>
        <v>0</v>
      </c>
      <c r="X99" s="674">
        <f>'Old Counts Pivot Table'!G$98</f>
        <v>0</v>
      </c>
      <c r="Y99" s="270">
        <f>'Old Counts Pivot Table'!H$98</f>
        <v>0</v>
      </c>
      <c r="Z99" s="270">
        <f>'Old Counts Pivot Table'!I$98</f>
        <v>0</v>
      </c>
      <c r="AA99" s="271">
        <f>'Old Counts Pivot Table'!J$98</f>
        <v>0</v>
      </c>
      <c r="AB99" s="271">
        <f>'Old Counts Pivot Table'!K$98</f>
        <v>0</v>
      </c>
      <c r="AC99" s="271">
        <f>'Old Counts Pivot Table'!L$98</f>
        <v>0</v>
      </c>
      <c r="AD99" s="271">
        <f>'Old Counts Pivot Table'!M$98</f>
        <v>0</v>
      </c>
      <c r="AE99" s="270">
        <f>'Old Counts Pivot Table'!N$98</f>
        <v>0</v>
      </c>
      <c r="AF99" s="270">
        <f>'Old Counts Pivot Table'!O$98</f>
        <v>0</v>
      </c>
      <c r="AG99" s="271">
        <f>'Old Counts Pivot Table'!P$98</f>
        <v>0</v>
      </c>
      <c r="AH99" s="270">
        <f>'Old Counts Pivot Table'!Q$98</f>
        <v>0</v>
      </c>
    </row>
    <row r="100" spans="1:36" s="280" customFormat="1" x14ac:dyDescent="0.25">
      <c r="A100" s="691"/>
      <c r="B100" s="272" t="s">
        <v>220</v>
      </c>
      <c r="C100" s="273">
        <f t="shared" si="97"/>
        <v>1</v>
      </c>
      <c r="D100" s="274">
        <f t="shared" si="98"/>
        <v>0</v>
      </c>
      <c r="E100" s="274">
        <f t="shared" si="98"/>
        <v>1</v>
      </c>
      <c r="F100" s="274">
        <f t="shared" si="98"/>
        <v>1</v>
      </c>
      <c r="G100" s="274">
        <f t="shared" si="98"/>
        <v>1</v>
      </c>
      <c r="H100" s="274">
        <f t="shared" si="98"/>
        <v>1</v>
      </c>
      <c r="I100" s="273">
        <f t="shared" si="99"/>
        <v>1</v>
      </c>
      <c r="J100" s="273">
        <f t="shared" si="100"/>
        <v>0</v>
      </c>
      <c r="K100" s="274">
        <f t="shared" si="101"/>
        <v>1</v>
      </c>
      <c r="L100" s="274">
        <f t="shared" si="101"/>
        <v>1</v>
      </c>
      <c r="M100" s="275">
        <f t="shared" si="102"/>
        <v>1</v>
      </c>
      <c r="N100" s="273">
        <f t="shared" si="103"/>
        <v>1</v>
      </c>
      <c r="O100" s="273">
        <f t="shared" si="104"/>
        <v>0</v>
      </c>
      <c r="P100" s="275">
        <f t="shared" si="104"/>
        <v>0</v>
      </c>
      <c r="Q100" s="686">
        <f t="shared" si="104"/>
        <v>0</v>
      </c>
      <c r="R100" s="276"/>
      <c r="S100" s="277">
        <f>'Old Counts Pivot Table'!B$99</f>
        <v>2243</v>
      </c>
      <c r="T100" s="278">
        <f>'Old Counts Pivot Table'!C$99</f>
        <v>0</v>
      </c>
      <c r="U100" s="278">
        <f>'Old Counts Pivot Table'!D$99</f>
        <v>807</v>
      </c>
      <c r="V100" s="278">
        <f>'Old Counts Pivot Table'!E$99</f>
        <v>178</v>
      </c>
      <c r="W100" s="278">
        <f>'Old Counts Pivot Table'!F$99</f>
        <v>767</v>
      </c>
      <c r="X100" s="675">
        <f>'Old Counts Pivot Table'!G$99</f>
        <v>555</v>
      </c>
      <c r="Y100" s="277">
        <f>'Old Counts Pivot Table'!H$99</f>
        <v>4550</v>
      </c>
      <c r="Z100" s="277">
        <f>'Old Counts Pivot Table'!I$99</f>
        <v>0</v>
      </c>
      <c r="AA100" s="278">
        <f>'Old Counts Pivot Table'!J$99</f>
        <v>1360</v>
      </c>
      <c r="AB100" s="278">
        <f>'Old Counts Pivot Table'!K$99</f>
        <v>477</v>
      </c>
      <c r="AC100" s="278">
        <f>'Old Counts Pivot Table'!L$99</f>
        <v>255</v>
      </c>
      <c r="AD100" s="278">
        <f>'Old Counts Pivot Table'!M$99</f>
        <v>0</v>
      </c>
      <c r="AE100" s="277">
        <f>'Old Counts Pivot Table'!N$99</f>
        <v>2092</v>
      </c>
      <c r="AF100" s="277">
        <f>'Old Counts Pivot Table'!O$99</f>
        <v>0</v>
      </c>
      <c r="AG100" s="278">
        <f>'Old Counts Pivot Table'!P$99</f>
        <v>0</v>
      </c>
      <c r="AH100" s="277">
        <f>'Old Counts Pivot Table'!Q$99</f>
        <v>0</v>
      </c>
      <c r="AI100" s="279"/>
      <c r="AJ100" s="279"/>
    </row>
    <row r="101" spans="1:36" x14ac:dyDescent="0.2">
      <c r="A101" s="692" t="s">
        <v>42</v>
      </c>
      <c r="B101" s="259" t="s">
        <v>3</v>
      </c>
      <c r="C101" s="260">
        <f t="shared" ref="C101:C107" si="105">S101/S$107</f>
        <v>0.31541218637992829</v>
      </c>
      <c r="D101" s="261">
        <f t="shared" ref="D101:H107" si="106">IFERROR(T101/T$107,0)</f>
        <v>0.2446043165467626</v>
      </c>
      <c r="E101" s="261">
        <f t="shared" si="106"/>
        <v>0.33967499009116131</v>
      </c>
      <c r="F101" s="261">
        <f t="shared" si="106"/>
        <v>0</v>
      </c>
      <c r="G101" s="261">
        <f t="shared" si="106"/>
        <v>0.27941176470588236</v>
      </c>
      <c r="H101" s="261">
        <f t="shared" si="106"/>
        <v>0</v>
      </c>
      <c r="I101" s="260">
        <f t="shared" ref="I101:I107" si="107">Y101/Y$107</f>
        <v>0.31923816180325004</v>
      </c>
      <c r="J101" s="260">
        <f t="shared" ref="J101:J107" si="108">IFERROR(Z101/Z$107,0)</f>
        <v>0</v>
      </c>
      <c r="K101" s="261">
        <f t="shared" ref="K101:L107" si="109">AA101/AA$107</f>
        <v>0.11336032388663968</v>
      </c>
      <c r="L101" s="261">
        <f t="shared" si="109"/>
        <v>0.12359550561797752</v>
      </c>
      <c r="M101" s="262">
        <f t="shared" ref="M101:M107" si="110">IFERROR(AC101/AC$107,0)</f>
        <v>0</v>
      </c>
      <c r="N101" s="260">
        <f t="shared" ref="N101:N107" si="111">AE101/AE$107</f>
        <v>0.11794298490776971</v>
      </c>
      <c r="O101" s="260">
        <f t="shared" ref="O101:Q107" si="112">IFERROR(AF101/AF$107,0)</f>
        <v>0</v>
      </c>
      <c r="P101" s="262">
        <f t="shared" si="112"/>
        <v>0</v>
      </c>
      <c r="Q101" s="684">
        <f t="shared" si="112"/>
        <v>0</v>
      </c>
      <c r="R101" s="263"/>
      <c r="S101" s="264">
        <f>'Old Counts Pivot Table'!B$101</f>
        <v>792</v>
      </c>
      <c r="T101" s="265">
        <f>'Old Counts Pivot Table'!C$101</f>
        <v>102</v>
      </c>
      <c r="U101" s="265">
        <f>'Old Counts Pivot Table'!D$101</f>
        <v>857</v>
      </c>
      <c r="V101" s="265">
        <f>'Old Counts Pivot Table'!E$101</f>
        <v>0</v>
      </c>
      <c r="W101" s="265">
        <f>'Old Counts Pivot Table'!F$101</f>
        <v>76</v>
      </c>
      <c r="X101" s="673">
        <f>'Old Counts Pivot Table'!G$101</f>
        <v>0</v>
      </c>
      <c r="Y101" s="264">
        <f>'Old Counts Pivot Table'!H$101</f>
        <v>1827</v>
      </c>
      <c r="Z101" s="264">
        <f>'Old Counts Pivot Table'!I$101</f>
        <v>0</v>
      </c>
      <c r="AA101" s="265">
        <f>'Old Counts Pivot Table'!J$101</f>
        <v>112</v>
      </c>
      <c r="AB101" s="265">
        <f>'Old Counts Pivot Table'!K$101</f>
        <v>99</v>
      </c>
      <c r="AC101" s="265">
        <f>'Old Counts Pivot Table'!L$101</f>
        <v>0</v>
      </c>
      <c r="AD101" s="265">
        <f>'Old Counts Pivot Table'!M$101</f>
        <v>0</v>
      </c>
      <c r="AE101" s="264">
        <f>'Old Counts Pivot Table'!N$101</f>
        <v>211</v>
      </c>
      <c r="AF101" s="264">
        <f>'Old Counts Pivot Table'!O$101</f>
        <v>0</v>
      </c>
      <c r="AG101" s="265">
        <f>'Old Counts Pivot Table'!P$101</f>
        <v>0</v>
      </c>
      <c r="AH101" s="264">
        <f>'Old Counts Pivot Table'!Q$101</f>
        <v>0</v>
      </c>
    </row>
    <row r="102" spans="1:36" x14ac:dyDescent="0.2">
      <c r="A102" s="690"/>
      <c r="B102" s="258" t="s">
        <v>4</v>
      </c>
      <c r="C102" s="266">
        <f t="shared" si="105"/>
        <v>0.26762246117084826</v>
      </c>
      <c r="D102" s="267">
        <f t="shared" si="106"/>
        <v>0.27817745803357313</v>
      </c>
      <c r="E102" s="267">
        <f t="shared" si="106"/>
        <v>0.21918351169242964</v>
      </c>
      <c r="F102" s="267">
        <f t="shared" si="106"/>
        <v>0</v>
      </c>
      <c r="G102" s="267">
        <f t="shared" si="106"/>
        <v>0.23529411764705882</v>
      </c>
      <c r="H102" s="267">
        <f t="shared" si="106"/>
        <v>0</v>
      </c>
      <c r="I102" s="266">
        <f t="shared" si="107"/>
        <v>0.24550061156735978</v>
      </c>
      <c r="J102" s="266">
        <f t="shared" si="108"/>
        <v>0</v>
      </c>
      <c r="K102" s="267">
        <f t="shared" si="109"/>
        <v>0.40789473684210525</v>
      </c>
      <c r="L102" s="267">
        <f t="shared" si="109"/>
        <v>0.44444444444444442</v>
      </c>
      <c r="M102" s="268">
        <f t="shared" si="110"/>
        <v>0</v>
      </c>
      <c r="N102" s="266">
        <f t="shared" si="111"/>
        <v>0.42425936277249859</v>
      </c>
      <c r="O102" s="266">
        <f t="shared" si="112"/>
        <v>0</v>
      </c>
      <c r="P102" s="268">
        <f t="shared" si="112"/>
        <v>0</v>
      </c>
      <c r="Q102" s="685">
        <f t="shared" si="112"/>
        <v>0</v>
      </c>
      <c r="R102" s="269"/>
      <c r="S102" s="270">
        <f>'Old Counts Pivot Table'!B$102</f>
        <v>672</v>
      </c>
      <c r="T102" s="271">
        <f>'Old Counts Pivot Table'!C$102</f>
        <v>116</v>
      </c>
      <c r="U102" s="271">
        <f>'Old Counts Pivot Table'!D$102</f>
        <v>553</v>
      </c>
      <c r="V102" s="271">
        <f>'Old Counts Pivot Table'!E$102</f>
        <v>0</v>
      </c>
      <c r="W102" s="271">
        <f>'Old Counts Pivot Table'!F$102</f>
        <v>64</v>
      </c>
      <c r="X102" s="674">
        <f>'Old Counts Pivot Table'!G$102</f>
        <v>0</v>
      </c>
      <c r="Y102" s="270">
        <f>'Old Counts Pivot Table'!H$102</f>
        <v>1405</v>
      </c>
      <c r="Z102" s="270">
        <f>'Old Counts Pivot Table'!I$102</f>
        <v>0</v>
      </c>
      <c r="AA102" s="271">
        <f>'Old Counts Pivot Table'!J$102</f>
        <v>403</v>
      </c>
      <c r="AB102" s="271">
        <f>'Old Counts Pivot Table'!K$102</f>
        <v>356</v>
      </c>
      <c r="AC102" s="271">
        <f>'Old Counts Pivot Table'!L$102</f>
        <v>0</v>
      </c>
      <c r="AD102" s="271">
        <f>'Old Counts Pivot Table'!M$102</f>
        <v>0</v>
      </c>
      <c r="AE102" s="270">
        <f>'Old Counts Pivot Table'!N$102</f>
        <v>759</v>
      </c>
      <c r="AF102" s="270">
        <f>'Old Counts Pivot Table'!O$102</f>
        <v>0</v>
      </c>
      <c r="AG102" s="271">
        <f>'Old Counts Pivot Table'!P$102</f>
        <v>0</v>
      </c>
      <c r="AH102" s="270">
        <f>'Old Counts Pivot Table'!Q$102</f>
        <v>0</v>
      </c>
    </row>
    <row r="103" spans="1:36" x14ac:dyDescent="0.2">
      <c r="A103" s="690"/>
      <c r="B103" s="258" t="s">
        <v>5</v>
      </c>
      <c r="C103" s="266">
        <f t="shared" si="105"/>
        <v>0.2321784149741139</v>
      </c>
      <c r="D103" s="267">
        <f t="shared" si="106"/>
        <v>0.30215827338129497</v>
      </c>
      <c r="E103" s="267">
        <f t="shared" si="106"/>
        <v>0.27506936187078873</v>
      </c>
      <c r="F103" s="267">
        <f t="shared" si="106"/>
        <v>0</v>
      </c>
      <c r="G103" s="267">
        <f t="shared" si="106"/>
        <v>0.29044117647058826</v>
      </c>
      <c r="H103" s="267">
        <f t="shared" si="106"/>
        <v>0</v>
      </c>
      <c r="I103" s="266">
        <f t="shared" si="107"/>
        <v>0.25895509348243928</v>
      </c>
      <c r="J103" s="266">
        <f t="shared" si="108"/>
        <v>0</v>
      </c>
      <c r="K103" s="267">
        <f t="shared" si="109"/>
        <v>0.18016194331983806</v>
      </c>
      <c r="L103" s="267">
        <f t="shared" si="109"/>
        <v>0.22596754057428214</v>
      </c>
      <c r="M103" s="268">
        <f t="shared" si="110"/>
        <v>0</v>
      </c>
      <c r="N103" s="266">
        <f t="shared" si="111"/>
        <v>0.20067076579094467</v>
      </c>
      <c r="O103" s="266">
        <f t="shared" si="112"/>
        <v>0</v>
      </c>
      <c r="P103" s="268">
        <f t="shared" si="112"/>
        <v>0</v>
      </c>
      <c r="Q103" s="685">
        <f t="shared" si="112"/>
        <v>0</v>
      </c>
      <c r="R103" s="269"/>
      <c r="S103" s="270">
        <f>'Old Counts Pivot Table'!B$103</f>
        <v>583</v>
      </c>
      <c r="T103" s="271">
        <f>'Old Counts Pivot Table'!C$103</f>
        <v>126</v>
      </c>
      <c r="U103" s="271">
        <f>'Old Counts Pivot Table'!D$103</f>
        <v>694</v>
      </c>
      <c r="V103" s="271">
        <f>'Old Counts Pivot Table'!E$103</f>
        <v>0</v>
      </c>
      <c r="W103" s="271">
        <f>'Old Counts Pivot Table'!F$103</f>
        <v>79</v>
      </c>
      <c r="X103" s="674">
        <f>'Old Counts Pivot Table'!G$103</f>
        <v>0</v>
      </c>
      <c r="Y103" s="270">
        <f>'Old Counts Pivot Table'!H$103</f>
        <v>1482</v>
      </c>
      <c r="Z103" s="270">
        <f>'Old Counts Pivot Table'!I$103</f>
        <v>0</v>
      </c>
      <c r="AA103" s="271">
        <f>'Old Counts Pivot Table'!J$103</f>
        <v>178</v>
      </c>
      <c r="AB103" s="271">
        <f>'Old Counts Pivot Table'!K$103</f>
        <v>181</v>
      </c>
      <c r="AC103" s="271">
        <f>'Old Counts Pivot Table'!L$103</f>
        <v>0</v>
      </c>
      <c r="AD103" s="271">
        <f>'Old Counts Pivot Table'!M$103</f>
        <v>0</v>
      </c>
      <c r="AE103" s="270">
        <f>'Old Counts Pivot Table'!N$103</f>
        <v>359</v>
      </c>
      <c r="AF103" s="270">
        <f>'Old Counts Pivot Table'!O$103</f>
        <v>0</v>
      </c>
      <c r="AG103" s="271">
        <f>'Old Counts Pivot Table'!P$103</f>
        <v>0</v>
      </c>
      <c r="AH103" s="270">
        <f>'Old Counts Pivot Table'!Q$103</f>
        <v>0</v>
      </c>
    </row>
    <row r="104" spans="1:36" x14ac:dyDescent="0.2">
      <c r="A104" s="690"/>
      <c r="B104" s="258" t="s">
        <v>6</v>
      </c>
      <c r="C104" s="266">
        <f t="shared" si="105"/>
        <v>6.8100358422939072E-2</v>
      </c>
      <c r="D104" s="267">
        <f t="shared" si="106"/>
        <v>2.8776978417266189E-2</v>
      </c>
      <c r="E104" s="267">
        <f t="shared" si="106"/>
        <v>0.10622275069361871</v>
      </c>
      <c r="F104" s="267">
        <f t="shared" si="106"/>
        <v>0</v>
      </c>
      <c r="G104" s="267">
        <f t="shared" si="106"/>
        <v>6.985294117647059E-2</v>
      </c>
      <c r="H104" s="267">
        <f t="shared" si="106"/>
        <v>0</v>
      </c>
      <c r="I104" s="266">
        <f t="shared" si="107"/>
        <v>8.2124759741394368E-2</v>
      </c>
      <c r="J104" s="266">
        <f t="shared" si="108"/>
        <v>0</v>
      </c>
      <c r="K104" s="267">
        <f t="shared" si="109"/>
        <v>0.29858299595141702</v>
      </c>
      <c r="L104" s="267">
        <f t="shared" si="109"/>
        <v>0.20599250936329588</v>
      </c>
      <c r="M104" s="268">
        <f t="shared" si="110"/>
        <v>0</v>
      </c>
      <c r="N104" s="266">
        <f t="shared" si="111"/>
        <v>0.25712688652878701</v>
      </c>
      <c r="O104" s="266">
        <f t="shared" si="112"/>
        <v>0</v>
      </c>
      <c r="P104" s="268">
        <f t="shared" si="112"/>
        <v>0</v>
      </c>
      <c r="Q104" s="685">
        <f t="shared" si="112"/>
        <v>0</v>
      </c>
      <c r="R104" s="269"/>
      <c r="S104" s="270">
        <f>'Old Counts Pivot Table'!B$104</f>
        <v>171</v>
      </c>
      <c r="T104" s="271">
        <f>'Old Counts Pivot Table'!C$104</f>
        <v>12</v>
      </c>
      <c r="U104" s="271">
        <f>'Old Counts Pivot Table'!D$104</f>
        <v>268</v>
      </c>
      <c r="V104" s="271">
        <f>'Old Counts Pivot Table'!E$104</f>
        <v>0</v>
      </c>
      <c r="W104" s="271">
        <f>'Old Counts Pivot Table'!F$104</f>
        <v>19</v>
      </c>
      <c r="X104" s="674">
        <f>'Old Counts Pivot Table'!G$104</f>
        <v>0</v>
      </c>
      <c r="Y104" s="270">
        <f>'Old Counts Pivot Table'!H$104</f>
        <v>470</v>
      </c>
      <c r="Z104" s="270">
        <f>'Old Counts Pivot Table'!I$104</f>
        <v>0</v>
      </c>
      <c r="AA104" s="271">
        <f>'Old Counts Pivot Table'!J$104</f>
        <v>295</v>
      </c>
      <c r="AB104" s="271">
        <f>'Old Counts Pivot Table'!K$104</f>
        <v>165</v>
      </c>
      <c r="AC104" s="271">
        <f>'Old Counts Pivot Table'!L$104</f>
        <v>0</v>
      </c>
      <c r="AD104" s="271">
        <f>'Old Counts Pivot Table'!M$104</f>
        <v>0</v>
      </c>
      <c r="AE104" s="270">
        <f>'Old Counts Pivot Table'!N$104</f>
        <v>460</v>
      </c>
      <c r="AF104" s="270">
        <f>'Old Counts Pivot Table'!O$104</f>
        <v>0</v>
      </c>
      <c r="AG104" s="271">
        <f>'Old Counts Pivot Table'!P$104</f>
        <v>0</v>
      </c>
      <c r="AH104" s="270">
        <f>'Old Counts Pivot Table'!Q$104</f>
        <v>0</v>
      </c>
    </row>
    <row r="105" spans="1:36" x14ac:dyDescent="0.2">
      <c r="A105" s="690"/>
      <c r="B105" s="258" t="s">
        <v>26</v>
      </c>
      <c r="C105" s="266">
        <f t="shared" si="105"/>
        <v>0.11668657905217045</v>
      </c>
      <c r="D105" s="267">
        <f t="shared" si="106"/>
        <v>0.14628297362110312</v>
      </c>
      <c r="E105" s="267">
        <f t="shared" si="106"/>
        <v>5.9849385652001583E-2</v>
      </c>
      <c r="F105" s="267">
        <f t="shared" si="106"/>
        <v>0</v>
      </c>
      <c r="G105" s="267">
        <f t="shared" si="106"/>
        <v>0.125</v>
      </c>
      <c r="H105" s="267">
        <f t="shared" si="106"/>
        <v>0</v>
      </c>
      <c r="I105" s="266">
        <f t="shared" si="107"/>
        <v>9.4181373405556532E-2</v>
      </c>
      <c r="J105" s="266">
        <f t="shared" si="108"/>
        <v>0</v>
      </c>
      <c r="K105" s="267">
        <f t="shared" si="109"/>
        <v>0</v>
      </c>
      <c r="L105" s="267">
        <f t="shared" si="109"/>
        <v>0</v>
      </c>
      <c r="M105" s="268">
        <f t="shared" si="110"/>
        <v>0</v>
      </c>
      <c r="N105" s="266">
        <f t="shared" si="111"/>
        <v>0</v>
      </c>
      <c r="O105" s="266">
        <f t="shared" si="112"/>
        <v>0</v>
      </c>
      <c r="P105" s="268">
        <f t="shared" si="112"/>
        <v>0</v>
      </c>
      <c r="Q105" s="685">
        <f t="shared" si="112"/>
        <v>0</v>
      </c>
      <c r="R105" s="269"/>
      <c r="S105" s="270">
        <f>'Old Counts Pivot Table'!B$105</f>
        <v>293</v>
      </c>
      <c r="T105" s="271">
        <f>'Old Counts Pivot Table'!C$105</f>
        <v>61</v>
      </c>
      <c r="U105" s="271">
        <f>'Old Counts Pivot Table'!D$105</f>
        <v>151</v>
      </c>
      <c r="V105" s="271">
        <f>'Old Counts Pivot Table'!E$105</f>
        <v>0</v>
      </c>
      <c r="W105" s="271">
        <f>'Old Counts Pivot Table'!F$105</f>
        <v>34</v>
      </c>
      <c r="X105" s="674">
        <f>'Old Counts Pivot Table'!G$105</f>
        <v>0</v>
      </c>
      <c r="Y105" s="270">
        <f>'Old Counts Pivot Table'!H$105</f>
        <v>539</v>
      </c>
      <c r="Z105" s="270">
        <f>'Old Counts Pivot Table'!I$105</f>
        <v>0</v>
      </c>
      <c r="AA105" s="271">
        <f>'Old Counts Pivot Table'!J$105</f>
        <v>0</v>
      </c>
      <c r="AB105" s="271">
        <f>'Old Counts Pivot Table'!K$105</f>
        <v>0</v>
      </c>
      <c r="AC105" s="271">
        <f>'Old Counts Pivot Table'!L$105</f>
        <v>0</v>
      </c>
      <c r="AD105" s="271">
        <f>'Old Counts Pivot Table'!M$105</f>
        <v>0</v>
      </c>
      <c r="AE105" s="270">
        <f>'Old Counts Pivot Table'!N$105</f>
        <v>0</v>
      </c>
      <c r="AF105" s="270">
        <f>'Old Counts Pivot Table'!O$105</f>
        <v>0</v>
      </c>
      <c r="AG105" s="271">
        <f>'Old Counts Pivot Table'!P$105</f>
        <v>0</v>
      </c>
      <c r="AH105" s="270">
        <f>'Old Counts Pivot Table'!Q$105</f>
        <v>0</v>
      </c>
    </row>
    <row r="106" spans="1:36" x14ac:dyDescent="0.2">
      <c r="A106" s="690"/>
      <c r="B106" s="258" t="s">
        <v>23</v>
      </c>
      <c r="C106" s="266">
        <f t="shared" si="105"/>
        <v>0</v>
      </c>
      <c r="D106" s="267">
        <f t="shared" si="106"/>
        <v>0</v>
      </c>
      <c r="E106" s="267">
        <f t="shared" si="106"/>
        <v>0</v>
      </c>
      <c r="F106" s="267">
        <f t="shared" si="106"/>
        <v>0</v>
      </c>
      <c r="G106" s="267">
        <f t="shared" si="106"/>
        <v>0</v>
      </c>
      <c r="H106" s="267">
        <f t="shared" si="106"/>
        <v>0</v>
      </c>
      <c r="I106" s="266">
        <f t="shared" si="107"/>
        <v>0</v>
      </c>
      <c r="J106" s="266">
        <f t="shared" si="108"/>
        <v>0</v>
      </c>
      <c r="K106" s="267">
        <f t="shared" si="109"/>
        <v>0</v>
      </c>
      <c r="L106" s="267">
        <f t="shared" si="109"/>
        <v>0</v>
      </c>
      <c r="M106" s="268">
        <f t="shared" si="110"/>
        <v>0</v>
      </c>
      <c r="N106" s="266">
        <f t="shared" si="111"/>
        <v>0</v>
      </c>
      <c r="O106" s="266">
        <f t="shared" si="112"/>
        <v>1</v>
      </c>
      <c r="P106" s="268">
        <f t="shared" si="112"/>
        <v>1</v>
      </c>
      <c r="Q106" s="685">
        <f t="shared" si="112"/>
        <v>1</v>
      </c>
      <c r="R106" s="269"/>
      <c r="S106" s="270">
        <f>'Old Counts Pivot Table'!B$106</f>
        <v>0</v>
      </c>
      <c r="T106" s="271">
        <f>'Old Counts Pivot Table'!C$106</f>
        <v>0</v>
      </c>
      <c r="U106" s="271">
        <f>'Old Counts Pivot Table'!D$106</f>
        <v>0</v>
      </c>
      <c r="V106" s="271">
        <f>'Old Counts Pivot Table'!E$106</f>
        <v>0</v>
      </c>
      <c r="W106" s="271">
        <f>'Old Counts Pivot Table'!F$106</f>
        <v>0</v>
      </c>
      <c r="X106" s="674">
        <f>'Old Counts Pivot Table'!G$106</f>
        <v>0</v>
      </c>
      <c r="Y106" s="270">
        <f>'Old Counts Pivot Table'!H$106</f>
        <v>0</v>
      </c>
      <c r="Z106" s="270">
        <f>'Old Counts Pivot Table'!I$106</f>
        <v>0</v>
      </c>
      <c r="AA106" s="271">
        <f>'Old Counts Pivot Table'!J$106</f>
        <v>0</v>
      </c>
      <c r="AB106" s="271">
        <f>'Old Counts Pivot Table'!K$106</f>
        <v>0</v>
      </c>
      <c r="AC106" s="271">
        <f>'Old Counts Pivot Table'!L$106</f>
        <v>0</v>
      </c>
      <c r="AD106" s="271">
        <f>'Old Counts Pivot Table'!M$106</f>
        <v>0</v>
      </c>
      <c r="AE106" s="270">
        <f>'Old Counts Pivot Table'!N$106</f>
        <v>0</v>
      </c>
      <c r="AF106" s="270">
        <f>'Old Counts Pivot Table'!O$106</f>
        <v>37</v>
      </c>
      <c r="AG106" s="271">
        <f>'Old Counts Pivot Table'!P$106</f>
        <v>421</v>
      </c>
      <c r="AH106" s="270">
        <f>'Old Counts Pivot Table'!Q$106</f>
        <v>458</v>
      </c>
    </row>
    <row r="107" spans="1:36" s="280" customFormat="1" x14ac:dyDescent="0.25">
      <c r="A107" s="691"/>
      <c r="B107" s="272" t="s">
        <v>220</v>
      </c>
      <c r="C107" s="273">
        <f t="shared" si="105"/>
        <v>1</v>
      </c>
      <c r="D107" s="274">
        <f t="shared" si="106"/>
        <v>1</v>
      </c>
      <c r="E107" s="274">
        <f t="shared" si="106"/>
        <v>1</v>
      </c>
      <c r="F107" s="274">
        <f t="shared" si="106"/>
        <v>0</v>
      </c>
      <c r="G107" s="274">
        <f t="shared" si="106"/>
        <v>1</v>
      </c>
      <c r="H107" s="274">
        <f t="shared" si="106"/>
        <v>0</v>
      </c>
      <c r="I107" s="273">
        <f t="shared" si="107"/>
        <v>1</v>
      </c>
      <c r="J107" s="273">
        <f t="shared" si="108"/>
        <v>0</v>
      </c>
      <c r="K107" s="274">
        <f t="shared" si="109"/>
        <v>1</v>
      </c>
      <c r="L107" s="274">
        <f t="shared" si="109"/>
        <v>1</v>
      </c>
      <c r="M107" s="275">
        <f t="shared" si="110"/>
        <v>0</v>
      </c>
      <c r="N107" s="273">
        <f t="shared" si="111"/>
        <v>1</v>
      </c>
      <c r="O107" s="273">
        <f t="shared" si="112"/>
        <v>1</v>
      </c>
      <c r="P107" s="275">
        <f t="shared" si="112"/>
        <v>1</v>
      </c>
      <c r="Q107" s="686">
        <f t="shared" si="112"/>
        <v>1</v>
      </c>
      <c r="R107" s="276"/>
      <c r="S107" s="277">
        <f>'Old Counts Pivot Table'!B$107</f>
        <v>2511</v>
      </c>
      <c r="T107" s="278">
        <f>'Old Counts Pivot Table'!C$107</f>
        <v>417</v>
      </c>
      <c r="U107" s="278">
        <f>'Old Counts Pivot Table'!D$107</f>
        <v>2523</v>
      </c>
      <c r="V107" s="278">
        <f>'Old Counts Pivot Table'!E$107</f>
        <v>0</v>
      </c>
      <c r="W107" s="278">
        <f>'Old Counts Pivot Table'!F$107</f>
        <v>272</v>
      </c>
      <c r="X107" s="675">
        <f>'Old Counts Pivot Table'!G$107</f>
        <v>0</v>
      </c>
      <c r="Y107" s="277">
        <f>'Old Counts Pivot Table'!H$107</f>
        <v>5723</v>
      </c>
      <c r="Z107" s="277">
        <f>'Old Counts Pivot Table'!I$107</f>
        <v>0</v>
      </c>
      <c r="AA107" s="278">
        <f>'Old Counts Pivot Table'!J$107</f>
        <v>988</v>
      </c>
      <c r="AB107" s="278">
        <f>'Old Counts Pivot Table'!K$107</f>
        <v>801</v>
      </c>
      <c r="AC107" s="278">
        <f>'Old Counts Pivot Table'!L$107</f>
        <v>0</v>
      </c>
      <c r="AD107" s="278">
        <f>'Old Counts Pivot Table'!M$107</f>
        <v>0</v>
      </c>
      <c r="AE107" s="277">
        <f>'Old Counts Pivot Table'!N$107</f>
        <v>1789</v>
      </c>
      <c r="AF107" s="277">
        <f>'Old Counts Pivot Table'!O$107</f>
        <v>37</v>
      </c>
      <c r="AG107" s="278">
        <f>'Old Counts Pivot Table'!P$107</f>
        <v>421</v>
      </c>
      <c r="AH107" s="277">
        <f>'Old Counts Pivot Table'!Q$107</f>
        <v>458</v>
      </c>
      <c r="AI107" s="279"/>
      <c r="AJ107" s="279"/>
    </row>
    <row r="108" spans="1:36" x14ac:dyDescent="0.2">
      <c r="A108" s="692" t="s">
        <v>43</v>
      </c>
      <c r="B108" s="259" t="s">
        <v>3</v>
      </c>
      <c r="C108" s="260">
        <f t="shared" ref="C108:C114" si="113">S108/S$114</f>
        <v>0.33164058451653022</v>
      </c>
      <c r="D108" s="261">
        <f t="shared" ref="D108:H114" si="114">IFERROR(T108/T$114,0)</f>
        <v>0.19846547314578006</v>
      </c>
      <c r="E108" s="261">
        <f t="shared" si="114"/>
        <v>0.22402461194238568</v>
      </c>
      <c r="F108" s="261">
        <f t="shared" si="114"/>
        <v>0.24870466321243523</v>
      </c>
      <c r="G108" s="261">
        <f t="shared" si="114"/>
        <v>0.18122977346278318</v>
      </c>
      <c r="H108" s="261">
        <f t="shared" si="114"/>
        <v>0.26732673267326734</v>
      </c>
      <c r="I108" s="260">
        <f t="shared" ref="I108:I114" si="115">Y108/Y$114</f>
        <v>0.27487343733856806</v>
      </c>
      <c r="J108" s="260">
        <f t="shared" ref="J108:J114" si="116">IFERROR(Z108/Z$114,0)</f>
        <v>8.5635359116022103E-2</v>
      </c>
      <c r="K108" s="261">
        <f t="shared" ref="K108:L114" si="117">AA108/AA$114</f>
        <v>0.20143884892086331</v>
      </c>
      <c r="L108" s="261">
        <f t="shared" si="117"/>
        <v>0.15928853754940711</v>
      </c>
      <c r="M108" s="262">
        <f t="shared" ref="M108:M114" si="118">IFERROR(AC108/AC$114,0)</f>
        <v>0.1288056206088993</v>
      </c>
      <c r="N108" s="260">
        <f t="shared" ref="N108:N114" si="119">AE108/AE$114</f>
        <v>0.18301306047749771</v>
      </c>
      <c r="O108" s="260">
        <f t="shared" ref="O108:Q114" si="120">IFERROR(AF108/AF$114,0)</f>
        <v>0</v>
      </c>
      <c r="P108" s="262">
        <f t="shared" si="120"/>
        <v>0</v>
      </c>
      <c r="Q108" s="684">
        <f t="shared" si="120"/>
        <v>0</v>
      </c>
      <c r="R108" s="263"/>
      <c r="S108" s="264">
        <f>'Old Counts Pivot Table'!B$109</f>
        <v>3200</v>
      </c>
      <c r="T108" s="265">
        <f>'Old Counts Pivot Table'!C$109</f>
        <v>388</v>
      </c>
      <c r="U108" s="265">
        <f>'Old Counts Pivot Table'!D$109</f>
        <v>1602</v>
      </c>
      <c r="V108" s="265">
        <f>'Old Counts Pivot Table'!E$109</f>
        <v>48</v>
      </c>
      <c r="W108" s="265">
        <f>'Old Counts Pivot Table'!F$109</f>
        <v>56</v>
      </c>
      <c r="X108" s="673">
        <f>'Old Counts Pivot Table'!G$109</f>
        <v>27</v>
      </c>
      <c r="Y108" s="264">
        <f>'Old Counts Pivot Table'!H$109</f>
        <v>5321</v>
      </c>
      <c r="Z108" s="264">
        <f>'Old Counts Pivot Table'!I$109</f>
        <v>62</v>
      </c>
      <c r="AA108" s="265">
        <f>'Old Counts Pivot Table'!J$109</f>
        <v>1680</v>
      </c>
      <c r="AB108" s="265">
        <f>'Old Counts Pivot Table'!K$109</f>
        <v>403</v>
      </c>
      <c r="AC108" s="265">
        <f>'Old Counts Pivot Table'!L$109</f>
        <v>55</v>
      </c>
      <c r="AD108" s="265">
        <f>'Old Counts Pivot Table'!M$109</f>
        <v>0</v>
      </c>
      <c r="AE108" s="264">
        <f>'Old Counts Pivot Table'!N$109</f>
        <v>2200</v>
      </c>
      <c r="AF108" s="264">
        <f>'Old Counts Pivot Table'!O$109</f>
        <v>0</v>
      </c>
      <c r="AG108" s="265">
        <f>'Old Counts Pivot Table'!P$109</f>
        <v>0</v>
      </c>
      <c r="AH108" s="264">
        <f>'Old Counts Pivot Table'!Q$109</f>
        <v>0</v>
      </c>
    </row>
    <row r="109" spans="1:36" x14ac:dyDescent="0.2">
      <c r="A109" s="690"/>
      <c r="B109" s="258" t="s">
        <v>4</v>
      </c>
      <c r="C109" s="266">
        <f t="shared" si="113"/>
        <v>0.24790133692610633</v>
      </c>
      <c r="D109" s="267">
        <f t="shared" si="114"/>
        <v>0.24705882352941178</v>
      </c>
      <c r="E109" s="267">
        <f t="shared" si="114"/>
        <v>0.25367081527059154</v>
      </c>
      <c r="F109" s="267">
        <f t="shared" si="114"/>
        <v>0.26424870466321243</v>
      </c>
      <c r="G109" s="267">
        <f t="shared" si="114"/>
        <v>0.33656957928802589</v>
      </c>
      <c r="H109" s="267">
        <f t="shared" si="114"/>
        <v>0.13861386138613863</v>
      </c>
      <c r="I109" s="266">
        <f t="shared" si="115"/>
        <v>0.25095567723938422</v>
      </c>
      <c r="J109" s="266">
        <f t="shared" si="116"/>
        <v>0.10220994475138122</v>
      </c>
      <c r="K109" s="267">
        <f t="shared" si="117"/>
        <v>0.11151079136690648</v>
      </c>
      <c r="L109" s="267">
        <f t="shared" si="117"/>
        <v>5.8498023715415022E-2</v>
      </c>
      <c r="M109" s="268">
        <f t="shared" si="118"/>
        <v>5.3864168618266976E-2</v>
      </c>
      <c r="N109" s="266">
        <f t="shared" si="119"/>
        <v>9.7745611845936275E-2</v>
      </c>
      <c r="O109" s="266">
        <f t="shared" si="120"/>
        <v>0</v>
      </c>
      <c r="P109" s="268">
        <f t="shared" si="120"/>
        <v>0</v>
      </c>
      <c r="Q109" s="685">
        <f t="shared" si="120"/>
        <v>0</v>
      </c>
      <c r="R109" s="269"/>
      <c r="S109" s="270">
        <f>'Old Counts Pivot Table'!B$110</f>
        <v>2392</v>
      </c>
      <c r="T109" s="271">
        <f>'Old Counts Pivot Table'!C$110</f>
        <v>483</v>
      </c>
      <c r="U109" s="271">
        <f>'Old Counts Pivot Table'!D$110</f>
        <v>1814</v>
      </c>
      <c r="V109" s="271">
        <f>'Old Counts Pivot Table'!E$110</f>
        <v>51</v>
      </c>
      <c r="W109" s="271">
        <f>'Old Counts Pivot Table'!F$110</f>
        <v>104</v>
      </c>
      <c r="X109" s="674">
        <f>'Old Counts Pivot Table'!G$110</f>
        <v>14</v>
      </c>
      <c r="Y109" s="270">
        <f>'Old Counts Pivot Table'!H$110</f>
        <v>4858</v>
      </c>
      <c r="Z109" s="270">
        <f>'Old Counts Pivot Table'!I$110</f>
        <v>74</v>
      </c>
      <c r="AA109" s="271">
        <f>'Old Counts Pivot Table'!J$110</f>
        <v>930</v>
      </c>
      <c r="AB109" s="271">
        <f>'Old Counts Pivot Table'!K$110</f>
        <v>148</v>
      </c>
      <c r="AC109" s="271">
        <f>'Old Counts Pivot Table'!L$110</f>
        <v>23</v>
      </c>
      <c r="AD109" s="271">
        <f>'Old Counts Pivot Table'!M$110</f>
        <v>0</v>
      </c>
      <c r="AE109" s="270">
        <f>'Old Counts Pivot Table'!N$110</f>
        <v>1175</v>
      </c>
      <c r="AF109" s="270">
        <f>'Old Counts Pivot Table'!O$110</f>
        <v>0</v>
      </c>
      <c r="AG109" s="271">
        <f>'Old Counts Pivot Table'!P$110</f>
        <v>0</v>
      </c>
      <c r="AH109" s="270">
        <f>'Old Counts Pivot Table'!Q$110</f>
        <v>0</v>
      </c>
    </row>
    <row r="110" spans="1:36" x14ac:dyDescent="0.2">
      <c r="A110" s="690"/>
      <c r="B110" s="258" t="s">
        <v>5</v>
      </c>
      <c r="C110" s="266">
        <f t="shared" si="113"/>
        <v>0.20178256814177634</v>
      </c>
      <c r="D110" s="267">
        <f t="shared" si="114"/>
        <v>0.19948849104859334</v>
      </c>
      <c r="E110" s="267">
        <f t="shared" si="114"/>
        <v>0.28807159837784924</v>
      </c>
      <c r="F110" s="267">
        <f t="shared" si="114"/>
        <v>0.36269430051813473</v>
      </c>
      <c r="G110" s="267">
        <f t="shared" si="114"/>
        <v>0.27831715210355989</v>
      </c>
      <c r="H110" s="267">
        <f t="shared" si="114"/>
        <v>0.14851485148514851</v>
      </c>
      <c r="I110" s="266">
        <f t="shared" si="115"/>
        <v>0.23597479078417191</v>
      </c>
      <c r="J110" s="266">
        <f t="shared" si="116"/>
        <v>0.11049723756906077</v>
      </c>
      <c r="K110" s="267">
        <f t="shared" si="117"/>
        <v>9.2086330935251801E-2</v>
      </c>
      <c r="L110" s="267">
        <f t="shared" si="117"/>
        <v>6.1264822134387352E-2</v>
      </c>
      <c r="M110" s="268">
        <f t="shared" si="118"/>
        <v>7.9625292740046844E-2</v>
      </c>
      <c r="N110" s="266">
        <f t="shared" si="119"/>
        <v>8.6265701688711421E-2</v>
      </c>
      <c r="O110" s="266">
        <f t="shared" si="120"/>
        <v>0</v>
      </c>
      <c r="P110" s="268">
        <f t="shared" si="120"/>
        <v>0</v>
      </c>
      <c r="Q110" s="685">
        <f t="shared" si="120"/>
        <v>0</v>
      </c>
      <c r="R110" s="269"/>
      <c r="S110" s="270">
        <f>'Old Counts Pivot Table'!B$111</f>
        <v>1947</v>
      </c>
      <c r="T110" s="271">
        <f>'Old Counts Pivot Table'!C$111</f>
        <v>390</v>
      </c>
      <c r="U110" s="271">
        <f>'Old Counts Pivot Table'!D$111</f>
        <v>2060</v>
      </c>
      <c r="V110" s="271">
        <f>'Old Counts Pivot Table'!E$111</f>
        <v>70</v>
      </c>
      <c r="W110" s="271">
        <f>'Old Counts Pivot Table'!F$111</f>
        <v>86</v>
      </c>
      <c r="X110" s="674">
        <f>'Old Counts Pivot Table'!G$111</f>
        <v>15</v>
      </c>
      <c r="Y110" s="270">
        <f>'Old Counts Pivot Table'!H$111</f>
        <v>4568</v>
      </c>
      <c r="Z110" s="270">
        <f>'Old Counts Pivot Table'!I$111</f>
        <v>80</v>
      </c>
      <c r="AA110" s="271">
        <f>'Old Counts Pivot Table'!J$111</f>
        <v>768</v>
      </c>
      <c r="AB110" s="271">
        <f>'Old Counts Pivot Table'!K$111</f>
        <v>155</v>
      </c>
      <c r="AC110" s="271">
        <f>'Old Counts Pivot Table'!L$111</f>
        <v>34</v>
      </c>
      <c r="AD110" s="271">
        <f>'Old Counts Pivot Table'!M$111</f>
        <v>0</v>
      </c>
      <c r="AE110" s="270">
        <f>'Old Counts Pivot Table'!N$111</f>
        <v>1037</v>
      </c>
      <c r="AF110" s="270">
        <f>'Old Counts Pivot Table'!O$111</f>
        <v>0</v>
      </c>
      <c r="AG110" s="271">
        <f>'Old Counts Pivot Table'!P$111</f>
        <v>0</v>
      </c>
      <c r="AH110" s="270">
        <f>'Old Counts Pivot Table'!Q$111</f>
        <v>0</v>
      </c>
    </row>
    <row r="111" spans="1:36" x14ac:dyDescent="0.2">
      <c r="A111" s="690"/>
      <c r="B111" s="258" t="s">
        <v>6</v>
      </c>
      <c r="C111" s="266">
        <f t="shared" si="113"/>
        <v>3.1713130894393204E-2</v>
      </c>
      <c r="D111" s="267">
        <f t="shared" si="114"/>
        <v>5.6265984654731462E-3</v>
      </c>
      <c r="E111" s="267">
        <f t="shared" si="114"/>
        <v>6.0690812473779894E-2</v>
      </c>
      <c r="F111" s="267">
        <f t="shared" si="114"/>
        <v>4.6632124352331605E-2</v>
      </c>
      <c r="G111" s="267">
        <f t="shared" si="114"/>
        <v>9.7087378640776691E-3</v>
      </c>
      <c r="H111" s="267">
        <f t="shared" si="114"/>
        <v>0</v>
      </c>
      <c r="I111" s="266">
        <f t="shared" si="115"/>
        <v>3.9415228845955164E-2</v>
      </c>
      <c r="J111" s="266">
        <f t="shared" si="116"/>
        <v>0.68784530386740328</v>
      </c>
      <c r="K111" s="267">
        <f t="shared" si="117"/>
        <v>0.29028776978417264</v>
      </c>
      <c r="L111" s="267">
        <f t="shared" si="117"/>
        <v>0.45335968379446639</v>
      </c>
      <c r="M111" s="268">
        <f t="shared" si="118"/>
        <v>0.70257611241217799</v>
      </c>
      <c r="N111" s="266">
        <f t="shared" si="119"/>
        <v>0.36319773729307048</v>
      </c>
      <c r="O111" s="266">
        <f t="shared" si="120"/>
        <v>0</v>
      </c>
      <c r="P111" s="268">
        <f t="shared" si="120"/>
        <v>0</v>
      </c>
      <c r="Q111" s="685">
        <f t="shared" si="120"/>
        <v>0</v>
      </c>
      <c r="R111" s="269"/>
      <c r="S111" s="270">
        <f>'Old Counts Pivot Table'!B$112</f>
        <v>306</v>
      </c>
      <c r="T111" s="271">
        <f>'Old Counts Pivot Table'!C$112</f>
        <v>11</v>
      </c>
      <c r="U111" s="271">
        <f>'Old Counts Pivot Table'!D$112</f>
        <v>434</v>
      </c>
      <c r="V111" s="271">
        <f>'Old Counts Pivot Table'!E$112</f>
        <v>9</v>
      </c>
      <c r="W111" s="271">
        <f>'Old Counts Pivot Table'!F$112</f>
        <v>3</v>
      </c>
      <c r="X111" s="674">
        <f>'Old Counts Pivot Table'!G$112</f>
        <v>0</v>
      </c>
      <c r="Y111" s="270">
        <f>'Old Counts Pivot Table'!H$112</f>
        <v>763</v>
      </c>
      <c r="Z111" s="270">
        <f>'Old Counts Pivot Table'!I$112</f>
        <v>498</v>
      </c>
      <c r="AA111" s="271">
        <f>'Old Counts Pivot Table'!J$112</f>
        <v>2421</v>
      </c>
      <c r="AB111" s="271">
        <f>'Old Counts Pivot Table'!K$112</f>
        <v>1147</v>
      </c>
      <c r="AC111" s="271">
        <f>'Old Counts Pivot Table'!L$112</f>
        <v>300</v>
      </c>
      <c r="AD111" s="271">
        <f>'Old Counts Pivot Table'!M$112</f>
        <v>0</v>
      </c>
      <c r="AE111" s="270">
        <f>'Old Counts Pivot Table'!N$112</f>
        <v>4366</v>
      </c>
      <c r="AF111" s="270">
        <f>'Old Counts Pivot Table'!O$112</f>
        <v>0</v>
      </c>
      <c r="AG111" s="271">
        <f>'Old Counts Pivot Table'!P$112</f>
        <v>0</v>
      </c>
      <c r="AH111" s="270">
        <f>'Old Counts Pivot Table'!Q$112</f>
        <v>0</v>
      </c>
    </row>
    <row r="112" spans="1:36" x14ac:dyDescent="0.2">
      <c r="A112" s="690"/>
      <c r="B112" s="258" t="s">
        <v>26</v>
      </c>
      <c r="C112" s="266">
        <f t="shared" si="113"/>
        <v>0.18696237952119391</v>
      </c>
      <c r="D112" s="267">
        <f t="shared" si="114"/>
        <v>0.34936061381074168</v>
      </c>
      <c r="E112" s="267">
        <f t="shared" si="114"/>
        <v>0.17354216193539365</v>
      </c>
      <c r="F112" s="267">
        <f t="shared" si="114"/>
        <v>7.7720207253886009E-2</v>
      </c>
      <c r="G112" s="267">
        <f t="shared" si="114"/>
        <v>0.1941747572815534</v>
      </c>
      <c r="H112" s="267">
        <f t="shared" si="114"/>
        <v>0.44554455445544555</v>
      </c>
      <c r="I112" s="266">
        <f t="shared" si="115"/>
        <v>0.19878086579192064</v>
      </c>
      <c r="J112" s="266">
        <f t="shared" si="116"/>
        <v>0</v>
      </c>
      <c r="K112" s="267">
        <f t="shared" si="117"/>
        <v>8.9928057553956831E-3</v>
      </c>
      <c r="L112" s="267">
        <f t="shared" si="117"/>
        <v>0</v>
      </c>
      <c r="M112" s="268">
        <f t="shared" si="118"/>
        <v>0</v>
      </c>
      <c r="N112" s="266">
        <f t="shared" si="119"/>
        <v>6.2390816071874224E-3</v>
      </c>
      <c r="O112" s="266">
        <f t="shared" si="120"/>
        <v>0</v>
      </c>
      <c r="P112" s="268">
        <f t="shared" si="120"/>
        <v>0</v>
      </c>
      <c r="Q112" s="685">
        <f t="shared" si="120"/>
        <v>0</v>
      </c>
      <c r="R112" s="269"/>
      <c r="S112" s="270">
        <f>'Old Counts Pivot Table'!B$113</f>
        <v>1804</v>
      </c>
      <c r="T112" s="271">
        <f>'Old Counts Pivot Table'!C$113</f>
        <v>683</v>
      </c>
      <c r="U112" s="271">
        <f>'Old Counts Pivot Table'!D$113</f>
        <v>1241</v>
      </c>
      <c r="V112" s="271">
        <f>'Old Counts Pivot Table'!E$113</f>
        <v>15</v>
      </c>
      <c r="W112" s="271">
        <f>'Old Counts Pivot Table'!F$113</f>
        <v>60</v>
      </c>
      <c r="X112" s="674">
        <f>'Old Counts Pivot Table'!G$113</f>
        <v>45</v>
      </c>
      <c r="Y112" s="270">
        <f>'Old Counts Pivot Table'!H$113</f>
        <v>3848</v>
      </c>
      <c r="Z112" s="270">
        <f>'Old Counts Pivot Table'!I$113</f>
        <v>0</v>
      </c>
      <c r="AA112" s="271">
        <f>'Old Counts Pivot Table'!J$113</f>
        <v>75</v>
      </c>
      <c r="AB112" s="271">
        <f>'Old Counts Pivot Table'!K$113</f>
        <v>0</v>
      </c>
      <c r="AC112" s="271">
        <f>'Old Counts Pivot Table'!L$113</f>
        <v>0</v>
      </c>
      <c r="AD112" s="271">
        <f>'Old Counts Pivot Table'!M$113</f>
        <v>0</v>
      </c>
      <c r="AE112" s="270">
        <f>'Old Counts Pivot Table'!N$113</f>
        <v>75</v>
      </c>
      <c r="AF112" s="270">
        <f>'Old Counts Pivot Table'!O$113</f>
        <v>0</v>
      </c>
      <c r="AG112" s="271">
        <f>'Old Counts Pivot Table'!P$113</f>
        <v>0</v>
      </c>
      <c r="AH112" s="270">
        <f>'Old Counts Pivot Table'!Q$113</f>
        <v>0</v>
      </c>
    </row>
    <row r="113" spans="1:36" x14ac:dyDescent="0.2">
      <c r="A113" s="690"/>
      <c r="B113" s="258" t="s">
        <v>23</v>
      </c>
      <c r="C113" s="266">
        <f t="shared" si="113"/>
        <v>0</v>
      </c>
      <c r="D113" s="267">
        <f t="shared" si="114"/>
        <v>0</v>
      </c>
      <c r="E113" s="267">
        <f t="shared" si="114"/>
        <v>0</v>
      </c>
      <c r="F113" s="267">
        <f t="shared" si="114"/>
        <v>0</v>
      </c>
      <c r="G113" s="267">
        <f t="shared" si="114"/>
        <v>0</v>
      </c>
      <c r="H113" s="267">
        <f t="shared" si="114"/>
        <v>0</v>
      </c>
      <c r="I113" s="266">
        <f t="shared" si="115"/>
        <v>0</v>
      </c>
      <c r="J113" s="266">
        <f t="shared" si="116"/>
        <v>1.3812154696132596E-2</v>
      </c>
      <c r="K113" s="267">
        <f t="shared" si="117"/>
        <v>0.29568345323741008</v>
      </c>
      <c r="L113" s="267">
        <f t="shared" si="117"/>
        <v>0.26758893280632412</v>
      </c>
      <c r="M113" s="268">
        <f t="shared" si="118"/>
        <v>3.5128805620608897E-2</v>
      </c>
      <c r="N113" s="266">
        <f t="shared" si="119"/>
        <v>0.26353880708759669</v>
      </c>
      <c r="O113" s="266">
        <f t="shared" si="120"/>
        <v>0</v>
      </c>
      <c r="P113" s="268">
        <f t="shared" si="120"/>
        <v>0</v>
      </c>
      <c r="Q113" s="685">
        <f t="shared" si="120"/>
        <v>0</v>
      </c>
      <c r="R113" s="269"/>
      <c r="S113" s="270">
        <f>'Old Counts Pivot Table'!B$114</f>
        <v>0</v>
      </c>
      <c r="T113" s="271">
        <f>'Old Counts Pivot Table'!C$114</f>
        <v>0</v>
      </c>
      <c r="U113" s="271">
        <f>'Old Counts Pivot Table'!D$114</f>
        <v>0</v>
      </c>
      <c r="V113" s="271">
        <f>'Old Counts Pivot Table'!E$114</f>
        <v>0</v>
      </c>
      <c r="W113" s="271">
        <f>'Old Counts Pivot Table'!F$114</f>
        <v>0</v>
      </c>
      <c r="X113" s="674">
        <f>'Old Counts Pivot Table'!G$114</f>
        <v>0</v>
      </c>
      <c r="Y113" s="270">
        <f>'Old Counts Pivot Table'!H$114</f>
        <v>0</v>
      </c>
      <c r="Z113" s="270">
        <f>'Old Counts Pivot Table'!I$114</f>
        <v>10</v>
      </c>
      <c r="AA113" s="271">
        <f>'Old Counts Pivot Table'!J$114</f>
        <v>2466</v>
      </c>
      <c r="AB113" s="271">
        <f>'Old Counts Pivot Table'!K$114</f>
        <v>677</v>
      </c>
      <c r="AC113" s="271">
        <f>'Old Counts Pivot Table'!L$114</f>
        <v>15</v>
      </c>
      <c r="AD113" s="271">
        <f>'Old Counts Pivot Table'!M$114</f>
        <v>0</v>
      </c>
      <c r="AE113" s="270">
        <f>'Old Counts Pivot Table'!N$114</f>
        <v>3168</v>
      </c>
      <c r="AF113" s="270">
        <f>'Old Counts Pivot Table'!O$114</f>
        <v>0</v>
      </c>
      <c r="AG113" s="271">
        <f>'Old Counts Pivot Table'!P$114</f>
        <v>0</v>
      </c>
      <c r="AH113" s="270">
        <f>'Old Counts Pivot Table'!Q$114</f>
        <v>0</v>
      </c>
    </row>
    <row r="114" spans="1:36" s="280" customFormat="1" x14ac:dyDescent="0.25">
      <c r="A114" s="691"/>
      <c r="B114" s="272" t="s">
        <v>220</v>
      </c>
      <c r="C114" s="273">
        <f t="shared" si="113"/>
        <v>1</v>
      </c>
      <c r="D114" s="274">
        <f t="shared" si="114"/>
        <v>1</v>
      </c>
      <c r="E114" s="274">
        <f t="shared" si="114"/>
        <v>1</v>
      </c>
      <c r="F114" s="274">
        <f t="shared" si="114"/>
        <v>1</v>
      </c>
      <c r="G114" s="274">
        <f t="shared" si="114"/>
        <v>1</v>
      </c>
      <c r="H114" s="274">
        <f t="shared" si="114"/>
        <v>1</v>
      </c>
      <c r="I114" s="273">
        <f t="shared" si="115"/>
        <v>1</v>
      </c>
      <c r="J114" s="273">
        <f t="shared" si="116"/>
        <v>1</v>
      </c>
      <c r="K114" s="274">
        <f t="shared" si="117"/>
        <v>1</v>
      </c>
      <c r="L114" s="274">
        <f t="shared" si="117"/>
        <v>1</v>
      </c>
      <c r="M114" s="275">
        <f t="shared" si="118"/>
        <v>1</v>
      </c>
      <c r="N114" s="273">
        <f t="shared" si="119"/>
        <v>1</v>
      </c>
      <c r="O114" s="273">
        <f t="shared" si="120"/>
        <v>0</v>
      </c>
      <c r="P114" s="275">
        <f t="shared" si="120"/>
        <v>0</v>
      </c>
      <c r="Q114" s="686">
        <f t="shared" si="120"/>
        <v>0</v>
      </c>
      <c r="R114" s="276"/>
      <c r="S114" s="277">
        <f>'Old Counts Pivot Table'!B$115</f>
        <v>9649</v>
      </c>
      <c r="T114" s="278">
        <f>'Old Counts Pivot Table'!C$115</f>
        <v>1955</v>
      </c>
      <c r="U114" s="278">
        <f>'Old Counts Pivot Table'!D$115</f>
        <v>7151</v>
      </c>
      <c r="V114" s="278">
        <f>'Old Counts Pivot Table'!E$115</f>
        <v>193</v>
      </c>
      <c r="W114" s="278">
        <f>'Old Counts Pivot Table'!F$115</f>
        <v>309</v>
      </c>
      <c r="X114" s="675">
        <f>'Old Counts Pivot Table'!G$115</f>
        <v>101</v>
      </c>
      <c r="Y114" s="277">
        <f>'Old Counts Pivot Table'!H$115</f>
        <v>19358</v>
      </c>
      <c r="Z114" s="277">
        <f>'Old Counts Pivot Table'!I$115</f>
        <v>724</v>
      </c>
      <c r="AA114" s="278">
        <f>'Old Counts Pivot Table'!J$115</f>
        <v>8340</v>
      </c>
      <c r="AB114" s="278">
        <f>'Old Counts Pivot Table'!K$115</f>
        <v>2530</v>
      </c>
      <c r="AC114" s="278">
        <f>'Old Counts Pivot Table'!L$115</f>
        <v>427</v>
      </c>
      <c r="AD114" s="278">
        <f>'Old Counts Pivot Table'!M$115</f>
        <v>0</v>
      </c>
      <c r="AE114" s="277">
        <f>'Old Counts Pivot Table'!N$115</f>
        <v>12021</v>
      </c>
      <c r="AF114" s="277">
        <f>'Old Counts Pivot Table'!O$115</f>
        <v>0</v>
      </c>
      <c r="AG114" s="278">
        <f>'Old Counts Pivot Table'!P$115</f>
        <v>0</v>
      </c>
      <c r="AH114" s="277">
        <f>'Old Counts Pivot Table'!Q$115</f>
        <v>0</v>
      </c>
      <c r="AI114" s="279"/>
      <c r="AJ114" s="279"/>
    </row>
    <row r="115" spans="1:36" x14ac:dyDescent="0.2">
      <c r="A115" s="692" t="s">
        <v>44</v>
      </c>
      <c r="B115" s="259" t="s">
        <v>3</v>
      </c>
      <c r="C115" s="260">
        <f t="shared" ref="C115:C121" si="121">S115/S$121</f>
        <v>0.34724729241877256</v>
      </c>
      <c r="D115" s="261">
        <f t="shared" ref="D115:H121" si="122">IFERROR(T115/T$121,0)</f>
        <v>0.24870466321243523</v>
      </c>
      <c r="E115" s="261">
        <f t="shared" si="122"/>
        <v>0.2951096121416526</v>
      </c>
      <c r="F115" s="261">
        <f t="shared" si="122"/>
        <v>0.24941995359628771</v>
      </c>
      <c r="G115" s="261">
        <f t="shared" si="122"/>
        <v>0.23780487804878048</v>
      </c>
      <c r="H115" s="261">
        <f t="shared" si="122"/>
        <v>0.17241379310344829</v>
      </c>
      <c r="I115" s="260">
        <f t="shared" ref="I115:I121" si="123">Y115/Y$121</f>
        <v>0.30331969076853116</v>
      </c>
      <c r="J115" s="260">
        <f t="shared" ref="J115:M121" si="124">IFERROR(Z115/Z$121,0)</f>
        <v>0</v>
      </c>
      <c r="K115" s="261">
        <f t="shared" si="124"/>
        <v>0</v>
      </c>
      <c r="L115" s="261">
        <f t="shared" si="124"/>
        <v>0</v>
      </c>
      <c r="M115" s="262">
        <f t="shared" si="124"/>
        <v>0.3235294117647059</v>
      </c>
      <c r="N115" s="260">
        <f t="shared" ref="N115:N121" si="125">AE115/AE$121</f>
        <v>0.19107744107744107</v>
      </c>
      <c r="O115" s="260">
        <f t="shared" ref="O115:Q121" si="126">IFERROR(AF115/AF$121,0)</f>
        <v>0</v>
      </c>
      <c r="P115" s="262">
        <f t="shared" si="126"/>
        <v>0</v>
      </c>
      <c r="Q115" s="684">
        <f t="shared" si="126"/>
        <v>0</v>
      </c>
      <c r="R115" s="263"/>
      <c r="S115" s="264">
        <f>'Old Counts Pivot Table'!B$117</f>
        <v>1539</v>
      </c>
      <c r="T115" s="265">
        <f>'Old Counts Pivot Table'!C$117</f>
        <v>432</v>
      </c>
      <c r="U115" s="265">
        <f>'Old Counts Pivot Table'!D$117</f>
        <v>350</v>
      </c>
      <c r="V115" s="265">
        <f>'Old Counts Pivot Table'!E$117</f>
        <v>215</v>
      </c>
      <c r="W115" s="265">
        <f>'Old Counts Pivot Table'!F$117</f>
        <v>117</v>
      </c>
      <c r="X115" s="673">
        <f>'Old Counts Pivot Table'!G$117</f>
        <v>15</v>
      </c>
      <c r="Y115" s="264">
        <f>'Old Counts Pivot Table'!H$117</f>
        <v>2668</v>
      </c>
      <c r="Z115" s="264">
        <f>'Old Counts Pivot Table'!I$117</f>
        <v>0</v>
      </c>
      <c r="AA115" s="265">
        <f>'Old Counts Pivot Table'!J$117</f>
        <v>0</v>
      </c>
      <c r="AB115" s="265">
        <f>'Old Counts Pivot Table'!K$117</f>
        <v>0</v>
      </c>
      <c r="AC115" s="265">
        <f>'Old Counts Pivot Table'!L$117</f>
        <v>11</v>
      </c>
      <c r="AD115" s="265">
        <f>'Old Counts Pivot Table'!M$117</f>
        <v>443</v>
      </c>
      <c r="AE115" s="264">
        <f>'Old Counts Pivot Table'!N$117</f>
        <v>454</v>
      </c>
      <c r="AF115" s="264">
        <f>'Old Counts Pivot Table'!O$117</f>
        <v>0</v>
      </c>
      <c r="AG115" s="265">
        <f>'Old Counts Pivot Table'!P$117</f>
        <v>0</v>
      </c>
      <c r="AH115" s="264">
        <f>'Old Counts Pivot Table'!Q$117</f>
        <v>0</v>
      </c>
    </row>
    <row r="116" spans="1:36" x14ac:dyDescent="0.2">
      <c r="A116" s="690"/>
      <c r="B116" s="258" t="s">
        <v>4</v>
      </c>
      <c r="C116" s="266">
        <f t="shared" si="121"/>
        <v>0.3009927797833935</v>
      </c>
      <c r="D116" s="267">
        <f t="shared" si="122"/>
        <v>0.29360967184801384</v>
      </c>
      <c r="E116" s="267">
        <f t="shared" si="122"/>
        <v>0.24873524451939291</v>
      </c>
      <c r="F116" s="267">
        <f t="shared" si="122"/>
        <v>0.32830626450116007</v>
      </c>
      <c r="G116" s="267">
        <f t="shared" si="122"/>
        <v>0.33943089430894308</v>
      </c>
      <c r="H116" s="267">
        <f t="shared" si="122"/>
        <v>0.35632183908045978</v>
      </c>
      <c r="I116" s="266">
        <f t="shared" si="123"/>
        <v>0.29786266484765805</v>
      </c>
      <c r="J116" s="266">
        <f t="shared" si="124"/>
        <v>0</v>
      </c>
      <c r="K116" s="267">
        <f t="shared" si="124"/>
        <v>0</v>
      </c>
      <c r="L116" s="267">
        <f t="shared" si="124"/>
        <v>0</v>
      </c>
      <c r="M116" s="268">
        <f t="shared" si="124"/>
        <v>0.38235294117647056</v>
      </c>
      <c r="N116" s="266">
        <f t="shared" si="125"/>
        <v>0.29966329966329969</v>
      </c>
      <c r="O116" s="266">
        <f t="shared" si="126"/>
        <v>0</v>
      </c>
      <c r="P116" s="268">
        <f t="shared" si="126"/>
        <v>0</v>
      </c>
      <c r="Q116" s="685">
        <f t="shared" si="126"/>
        <v>0</v>
      </c>
      <c r="R116" s="269"/>
      <c r="S116" s="270">
        <f>'Old Counts Pivot Table'!B$118</f>
        <v>1334</v>
      </c>
      <c r="T116" s="271">
        <f>'Old Counts Pivot Table'!C$118</f>
        <v>510</v>
      </c>
      <c r="U116" s="271">
        <f>'Old Counts Pivot Table'!D$118</f>
        <v>295</v>
      </c>
      <c r="V116" s="271">
        <f>'Old Counts Pivot Table'!E$118</f>
        <v>283</v>
      </c>
      <c r="W116" s="271">
        <f>'Old Counts Pivot Table'!F$118</f>
        <v>167</v>
      </c>
      <c r="X116" s="674">
        <f>'Old Counts Pivot Table'!G$118</f>
        <v>31</v>
      </c>
      <c r="Y116" s="270">
        <f>'Old Counts Pivot Table'!H$118</f>
        <v>2620</v>
      </c>
      <c r="Z116" s="270">
        <f>'Old Counts Pivot Table'!I$118</f>
        <v>0</v>
      </c>
      <c r="AA116" s="271">
        <f>'Old Counts Pivot Table'!J$118</f>
        <v>0</v>
      </c>
      <c r="AB116" s="271">
        <f>'Old Counts Pivot Table'!K$118</f>
        <v>0</v>
      </c>
      <c r="AC116" s="271">
        <f>'Old Counts Pivot Table'!L$118</f>
        <v>13</v>
      </c>
      <c r="AD116" s="271">
        <f>'Old Counts Pivot Table'!M$118</f>
        <v>699</v>
      </c>
      <c r="AE116" s="270">
        <f>'Old Counts Pivot Table'!N$118</f>
        <v>712</v>
      </c>
      <c r="AF116" s="270">
        <f>'Old Counts Pivot Table'!O$118</f>
        <v>0</v>
      </c>
      <c r="AG116" s="271">
        <f>'Old Counts Pivot Table'!P$118</f>
        <v>0</v>
      </c>
      <c r="AH116" s="270">
        <f>'Old Counts Pivot Table'!Q$118</f>
        <v>0</v>
      </c>
    </row>
    <row r="117" spans="1:36" x14ac:dyDescent="0.2">
      <c r="A117" s="690"/>
      <c r="B117" s="258" t="s">
        <v>5</v>
      </c>
      <c r="C117" s="266">
        <f t="shared" si="121"/>
        <v>0.22991877256317689</v>
      </c>
      <c r="D117" s="267">
        <f t="shared" si="122"/>
        <v>0.31088082901554404</v>
      </c>
      <c r="E117" s="267">
        <f t="shared" si="122"/>
        <v>0.30354131534569984</v>
      </c>
      <c r="F117" s="267">
        <f t="shared" si="122"/>
        <v>0.31902552204176332</v>
      </c>
      <c r="G117" s="267">
        <f t="shared" si="122"/>
        <v>0.23780487804878048</v>
      </c>
      <c r="H117" s="267">
        <f t="shared" si="122"/>
        <v>0.17241379310344829</v>
      </c>
      <c r="I117" s="266">
        <f t="shared" si="123"/>
        <v>0.26443838108231016</v>
      </c>
      <c r="J117" s="266">
        <f t="shared" si="124"/>
        <v>0</v>
      </c>
      <c r="K117" s="267">
        <f t="shared" si="124"/>
        <v>0</v>
      </c>
      <c r="L117" s="267">
        <f t="shared" si="124"/>
        <v>0</v>
      </c>
      <c r="M117" s="268">
        <f t="shared" si="124"/>
        <v>0.29411764705882354</v>
      </c>
      <c r="N117" s="266">
        <f t="shared" si="125"/>
        <v>0.28956228956228958</v>
      </c>
      <c r="O117" s="266">
        <f t="shared" si="126"/>
        <v>0</v>
      </c>
      <c r="P117" s="268">
        <f t="shared" si="126"/>
        <v>0</v>
      </c>
      <c r="Q117" s="685">
        <f t="shared" si="126"/>
        <v>0</v>
      </c>
      <c r="R117" s="269"/>
      <c r="S117" s="270">
        <f>'Old Counts Pivot Table'!B$119</f>
        <v>1019</v>
      </c>
      <c r="T117" s="271">
        <f>'Old Counts Pivot Table'!C$119</f>
        <v>540</v>
      </c>
      <c r="U117" s="271">
        <f>'Old Counts Pivot Table'!D$119</f>
        <v>360</v>
      </c>
      <c r="V117" s="271">
        <f>'Old Counts Pivot Table'!E$119</f>
        <v>275</v>
      </c>
      <c r="W117" s="271">
        <f>'Old Counts Pivot Table'!F$119</f>
        <v>117</v>
      </c>
      <c r="X117" s="674">
        <f>'Old Counts Pivot Table'!G$119</f>
        <v>15</v>
      </c>
      <c r="Y117" s="270">
        <f>'Old Counts Pivot Table'!H$119</f>
        <v>2326</v>
      </c>
      <c r="Z117" s="270">
        <f>'Old Counts Pivot Table'!I$119</f>
        <v>0</v>
      </c>
      <c r="AA117" s="271">
        <f>'Old Counts Pivot Table'!J$119</f>
        <v>0</v>
      </c>
      <c r="AB117" s="271">
        <f>'Old Counts Pivot Table'!K$119</f>
        <v>0</v>
      </c>
      <c r="AC117" s="271">
        <f>'Old Counts Pivot Table'!L$119</f>
        <v>10</v>
      </c>
      <c r="AD117" s="271">
        <f>'Old Counts Pivot Table'!M$119</f>
        <v>678</v>
      </c>
      <c r="AE117" s="270">
        <f>'Old Counts Pivot Table'!N$119</f>
        <v>688</v>
      </c>
      <c r="AF117" s="270">
        <f>'Old Counts Pivot Table'!O$119</f>
        <v>0</v>
      </c>
      <c r="AG117" s="271">
        <f>'Old Counts Pivot Table'!P$119</f>
        <v>0</v>
      </c>
      <c r="AH117" s="270">
        <f>'Old Counts Pivot Table'!Q$119</f>
        <v>0</v>
      </c>
    </row>
    <row r="118" spans="1:36" x14ac:dyDescent="0.2">
      <c r="A118" s="690"/>
      <c r="B118" s="258" t="s">
        <v>6</v>
      </c>
      <c r="C118" s="266">
        <f t="shared" si="121"/>
        <v>6.8140794223826712E-2</v>
      </c>
      <c r="D118" s="267">
        <f t="shared" si="122"/>
        <v>0.14104778353483016</v>
      </c>
      <c r="E118" s="267">
        <f t="shared" si="122"/>
        <v>0.15261382799325462</v>
      </c>
      <c r="F118" s="267">
        <f t="shared" si="122"/>
        <v>9.860788863109049E-2</v>
      </c>
      <c r="G118" s="267">
        <f t="shared" si="122"/>
        <v>7.5203252032520332E-2</v>
      </c>
      <c r="H118" s="267">
        <f t="shared" si="122"/>
        <v>0.28735632183908044</v>
      </c>
      <c r="I118" s="266">
        <f t="shared" si="123"/>
        <v>9.9477035015916329E-2</v>
      </c>
      <c r="J118" s="266">
        <f t="shared" si="124"/>
        <v>0</v>
      </c>
      <c r="K118" s="267">
        <f t="shared" si="124"/>
        <v>0</v>
      </c>
      <c r="L118" s="267">
        <f t="shared" si="124"/>
        <v>0</v>
      </c>
      <c r="M118" s="268">
        <f t="shared" si="124"/>
        <v>0</v>
      </c>
      <c r="N118" s="266">
        <f t="shared" si="125"/>
        <v>0.21885521885521886</v>
      </c>
      <c r="O118" s="266">
        <f t="shared" si="126"/>
        <v>0</v>
      </c>
      <c r="P118" s="268">
        <f t="shared" si="126"/>
        <v>0</v>
      </c>
      <c r="Q118" s="685">
        <f t="shared" si="126"/>
        <v>0</v>
      </c>
      <c r="R118" s="269"/>
      <c r="S118" s="270">
        <f>'Old Counts Pivot Table'!B$120</f>
        <v>302</v>
      </c>
      <c r="T118" s="271">
        <f>'Old Counts Pivot Table'!C$120</f>
        <v>245</v>
      </c>
      <c r="U118" s="271">
        <f>'Old Counts Pivot Table'!D$120</f>
        <v>181</v>
      </c>
      <c r="V118" s="271">
        <f>'Old Counts Pivot Table'!E$120</f>
        <v>85</v>
      </c>
      <c r="W118" s="271">
        <f>'Old Counts Pivot Table'!F$120</f>
        <v>37</v>
      </c>
      <c r="X118" s="674">
        <f>'Old Counts Pivot Table'!G$120</f>
        <v>25</v>
      </c>
      <c r="Y118" s="270">
        <f>'Old Counts Pivot Table'!H$120</f>
        <v>875</v>
      </c>
      <c r="Z118" s="270">
        <f>'Old Counts Pivot Table'!I$120</f>
        <v>0</v>
      </c>
      <c r="AA118" s="271">
        <f>'Old Counts Pivot Table'!J$120</f>
        <v>0</v>
      </c>
      <c r="AB118" s="271">
        <f>'Old Counts Pivot Table'!K$120</f>
        <v>0</v>
      </c>
      <c r="AC118" s="271">
        <f>'Old Counts Pivot Table'!L$120</f>
        <v>0</v>
      </c>
      <c r="AD118" s="271">
        <f>'Old Counts Pivot Table'!M$120</f>
        <v>520</v>
      </c>
      <c r="AE118" s="270">
        <f>'Old Counts Pivot Table'!N$120</f>
        <v>520</v>
      </c>
      <c r="AF118" s="270">
        <f>'Old Counts Pivot Table'!O$120</f>
        <v>0</v>
      </c>
      <c r="AG118" s="271">
        <f>'Old Counts Pivot Table'!P$120</f>
        <v>0</v>
      </c>
      <c r="AH118" s="270">
        <f>'Old Counts Pivot Table'!Q$120</f>
        <v>0</v>
      </c>
    </row>
    <row r="119" spans="1:36" x14ac:dyDescent="0.2">
      <c r="A119" s="690"/>
      <c r="B119" s="258" t="s">
        <v>26</v>
      </c>
      <c r="C119" s="266">
        <f t="shared" si="121"/>
        <v>5.3700361010830325E-2</v>
      </c>
      <c r="D119" s="267">
        <f t="shared" si="122"/>
        <v>5.7570523891767415E-3</v>
      </c>
      <c r="E119" s="267">
        <f t="shared" si="122"/>
        <v>0</v>
      </c>
      <c r="F119" s="267">
        <f t="shared" si="122"/>
        <v>4.6403712296983757E-3</v>
      </c>
      <c r="G119" s="267">
        <f t="shared" si="122"/>
        <v>0.10975609756097561</v>
      </c>
      <c r="H119" s="267">
        <f t="shared" si="122"/>
        <v>1.1494252873563218E-2</v>
      </c>
      <c r="I119" s="266">
        <f t="shared" si="123"/>
        <v>3.4902228285584355E-2</v>
      </c>
      <c r="J119" s="266">
        <f t="shared" si="124"/>
        <v>0</v>
      </c>
      <c r="K119" s="267">
        <f t="shared" si="124"/>
        <v>0</v>
      </c>
      <c r="L119" s="267">
        <f t="shared" si="124"/>
        <v>0</v>
      </c>
      <c r="M119" s="268">
        <f t="shared" si="124"/>
        <v>0</v>
      </c>
      <c r="N119" s="266">
        <f t="shared" si="125"/>
        <v>8.4175084175084171E-4</v>
      </c>
      <c r="O119" s="266">
        <f t="shared" si="126"/>
        <v>0</v>
      </c>
      <c r="P119" s="268">
        <f t="shared" si="126"/>
        <v>0</v>
      </c>
      <c r="Q119" s="685">
        <f t="shared" si="126"/>
        <v>0</v>
      </c>
      <c r="R119" s="269"/>
      <c r="S119" s="270">
        <f>'Old Counts Pivot Table'!B$121</f>
        <v>238</v>
      </c>
      <c r="T119" s="271">
        <f>'Old Counts Pivot Table'!C$121</f>
        <v>10</v>
      </c>
      <c r="U119" s="271">
        <f>'Old Counts Pivot Table'!D$121</f>
        <v>0</v>
      </c>
      <c r="V119" s="271">
        <f>'Old Counts Pivot Table'!E$121</f>
        <v>4</v>
      </c>
      <c r="W119" s="271">
        <f>'Old Counts Pivot Table'!F$121</f>
        <v>54</v>
      </c>
      <c r="X119" s="674">
        <f>'Old Counts Pivot Table'!G$121</f>
        <v>1</v>
      </c>
      <c r="Y119" s="270">
        <f>'Old Counts Pivot Table'!H$121</f>
        <v>307</v>
      </c>
      <c r="Z119" s="270">
        <f>'Old Counts Pivot Table'!I$121</f>
        <v>0</v>
      </c>
      <c r="AA119" s="271">
        <f>'Old Counts Pivot Table'!J$121</f>
        <v>0</v>
      </c>
      <c r="AB119" s="271">
        <f>'Old Counts Pivot Table'!K$121</f>
        <v>0</v>
      </c>
      <c r="AC119" s="271">
        <f>'Old Counts Pivot Table'!L$121</f>
        <v>0</v>
      </c>
      <c r="AD119" s="271">
        <f>'Old Counts Pivot Table'!M$121</f>
        <v>2</v>
      </c>
      <c r="AE119" s="270">
        <f>'Old Counts Pivot Table'!N$121</f>
        <v>2</v>
      </c>
      <c r="AF119" s="270">
        <f>'Old Counts Pivot Table'!O$121</f>
        <v>0</v>
      </c>
      <c r="AG119" s="271">
        <f>'Old Counts Pivot Table'!P$121</f>
        <v>0</v>
      </c>
      <c r="AH119" s="270">
        <f>'Old Counts Pivot Table'!Q$121</f>
        <v>0</v>
      </c>
    </row>
    <row r="120" spans="1:36" x14ac:dyDescent="0.2">
      <c r="A120" s="690"/>
      <c r="B120" s="258" t="s">
        <v>23</v>
      </c>
      <c r="C120" s="266">
        <f t="shared" si="121"/>
        <v>0</v>
      </c>
      <c r="D120" s="267">
        <f t="shared" si="122"/>
        <v>0</v>
      </c>
      <c r="E120" s="267">
        <f t="shared" si="122"/>
        <v>0</v>
      </c>
      <c r="F120" s="267">
        <f t="shared" si="122"/>
        <v>0</v>
      </c>
      <c r="G120" s="267">
        <f t="shared" si="122"/>
        <v>0</v>
      </c>
      <c r="H120" s="267">
        <f t="shared" si="122"/>
        <v>0</v>
      </c>
      <c r="I120" s="266">
        <f t="shared" si="123"/>
        <v>0</v>
      </c>
      <c r="J120" s="266">
        <f t="shared" si="124"/>
        <v>0</v>
      </c>
      <c r="K120" s="267">
        <f t="shared" si="124"/>
        <v>0</v>
      </c>
      <c r="L120" s="267">
        <f t="shared" si="124"/>
        <v>0</v>
      </c>
      <c r="M120" s="268">
        <f t="shared" si="124"/>
        <v>0</v>
      </c>
      <c r="N120" s="266">
        <f t="shared" si="125"/>
        <v>0</v>
      </c>
      <c r="O120" s="266">
        <f t="shared" si="126"/>
        <v>0</v>
      </c>
      <c r="P120" s="268">
        <f t="shared" si="126"/>
        <v>0</v>
      </c>
      <c r="Q120" s="685">
        <f t="shared" si="126"/>
        <v>0</v>
      </c>
      <c r="R120" s="269"/>
      <c r="S120" s="270">
        <f>'Old Counts Pivot Table'!B$122</f>
        <v>0</v>
      </c>
      <c r="T120" s="271">
        <f>'Old Counts Pivot Table'!C$122</f>
        <v>0</v>
      </c>
      <c r="U120" s="271">
        <f>'Old Counts Pivot Table'!D$122</f>
        <v>0</v>
      </c>
      <c r="V120" s="271">
        <f>'Old Counts Pivot Table'!E$122</f>
        <v>0</v>
      </c>
      <c r="W120" s="271">
        <f>'Old Counts Pivot Table'!F$122</f>
        <v>0</v>
      </c>
      <c r="X120" s="674">
        <f>'Old Counts Pivot Table'!G$122</f>
        <v>0</v>
      </c>
      <c r="Y120" s="270">
        <f>'Old Counts Pivot Table'!H$122</f>
        <v>0</v>
      </c>
      <c r="Z120" s="270">
        <f>'Old Counts Pivot Table'!I$122</f>
        <v>0</v>
      </c>
      <c r="AA120" s="271">
        <f>'Old Counts Pivot Table'!J$122</f>
        <v>0</v>
      </c>
      <c r="AB120" s="271">
        <f>'Old Counts Pivot Table'!K$122</f>
        <v>0</v>
      </c>
      <c r="AC120" s="271">
        <f>'Old Counts Pivot Table'!L$122</f>
        <v>0</v>
      </c>
      <c r="AD120" s="271">
        <f>'Old Counts Pivot Table'!M$122</f>
        <v>0</v>
      </c>
      <c r="AE120" s="270">
        <f>'Old Counts Pivot Table'!N$122</f>
        <v>0</v>
      </c>
      <c r="AF120" s="270">
        <f>'Old Counts Pivot Table'!O$122</f>
        <v>0</v>
      </c>
      <c r="AG120" s="271">
        <f>'Old Counts Pivot Table'!P$122</f>
        <v>0</v>
      </c>
      <c r="AH120" s="270">
        <f>'Old Counts Pivot Table'!Q$122</f>
        <v>0</v>
      </c>
    </row>
    <row r="121" spans="1:36" s="280" customFormat="1" x14ac:dyDescent="0.25">
      <c r="A121" s="691"/>
      <c r="B121" s="272" t="s">
        <v>220</v>
      </c>
      <c r="C121" s="273">
        <f t="shared" si="121"/>
        <v>1</v>
      </c>
      <c r="D121" s="274">
        <f t="shared" si="122"/>
        <v>1</v>
      </c>
      <c r="E121" s="274">
        <f t="shared" si="122"/>
        <v>1</v>
      </c>
      <c r="F121" s="274">
        <f t="shared" si="122"/>
        <v>1</v>
      </c>
      <c r="G121" s="274">
        <f t="shared" si="122"/>
        <v>1</v>
      </c>
      <c r="H121" s="274">
        <f t="shared" si="122"/>
        <v>1</v>
      </c>
      <c r="I121" s="273">
        <f t="shared" si="123"/>
        <v>1</v>
      </c>
      <c r="J121" s="273">
        <f t="shared" si="124"/>
        <v>0</v>
      </c>
      <c r="K121" s="274">
        <f t="shared" si="124"/>
        <v>0</v>
      </c>
      <c r="L121" s="274">
        <f t="shared" si="124"/>
        <v>0</v>
      </c>
      <c r="M121" s="275">
        <f t="shared" si="124"/>
        <v>1</v>
      </c>
      <c r="N121" s="273">
        <f t="shared" si="125"/>
        <v>1</v>
      </c>
      <c r="O121" s="273">
        <f t="shared" si="126"/>
        <v>0</v>
      </c>
      <c r="P121" s="275">
        <f t="shared" si="126"/>
        <v>0</v>
      </c>
      <c r="Q121" s="686">
        <f t="shared" si="126"/>
        <v>0</v>
      </c>
      <c r="R121" s="276"/>
      <c r="S121" s="277">
        <f>'Old Counts Pivot Table'!B$123</f>
        <v>4432</v>
      </c>
      <c r="T121" s="278">
        <f>'Old Counts Pivot Table'!C$123</f>
        <v>1737</v>
      </c>
      <c r="U121" s="278">
        <f>'Old Counts Pivot Table'!D$123</f>
        <v>1186</v>
      </c>
      <c r="V121" s="278">
        <f>'Old Counts Pivot Table'!E$123</f>
        <v>862</v>
      </c>
      <c r="W121" s="278">
        <f>'Old Counts Pivot Table'!F$123</f>
        <v>492</v>
      </c>
      <c r="X121" s="675">
        <f>'Old Counts Pivot Table'!G$123</f>
        <v>87</v>
      </c>
      <c r="Y121" s="277">
        <f>'Old Counts Pivot Table'!H$123</f>
        <v>8796</v>
      </c>
      <c r="Z121" s="277">
        <f>'Old Counts Pivot Table'!I$123</f>
        <v>0</v>
      </c>
      <c r="AA121" s="278">
        <f>'Old Counts Pivot Table'!J$123</f>
        <v>0</v>
      </c>
      <c r="AB121" s="278">
        <f>'Old Counts Pivot Table'!K$123</f>
        <v>0</v>
      </c>
      <c r="AC121" s="278">
        <f>'Old Counts Pivot Table'!L$123</f>
        <v>34</v>
      </c>
      <c r="AD121" s="278">
        <f>'Old Counts Pivot Table'!M$123</f>
        <v>2342</v>
      </c>
      <c r="AE121" s="277">
        <f>'Old Counts Pivot Table'!N$123</f>
        <v>2376</v>
      </c>
      <c r="AF121" s="277">
        <f>'Old Counts Pivot Table'!O$123</f>
        <v>0</v>
      </c>
      <c r="AG121" s="278">
        <f>'Old Counts Pivot Table'!P$123</f>
        <v>0</v>
      </c>
      <c r="AH121" s="277">
        <f>'Old Counts Pivot Table'!Q$123</f>
        <v>0</v>
      </c>
      <c r="AI121" s="279"/>
      <c r="AJ121" s="279"/>
    </row>
    <row r="122" spans="1:36" x14ac:dyDescent="0.2">
      <c r="A122" s="692" t="s">
        <v>45</v>
      </c>
      <c r="B122" s="259" t="s">
        <v>3</v>
      </c>
      <c r="C122" s="260">
        <f t="shared" ref="C122:C128" si="127">S122/S$128</f>
        <v>0.29494949494949496</v>
      </c>
      <c r="D122" s="261">
        <f t="shared" ref="D122:H128" si="128">IFERROR(T122/T$128,0)</f>
        <v>0</v>
      </c>
      <c r="E122" s="261">
        <f t="shared" si="128"/>
        <v>0.40600000000000003</v>
      </c>
      <c r="F122" s="261">
        <f t="shared" si="128"/>
        <v>0</v>
      </c>
      <c r="G122" s="261">
        <f t="shared" si="128"/>
        <v>0.28382838283828382</v>
      </c>
      <c r="H122" s="261">
        <f t="shared" si="128"/>
        <v>0.22390572390572391</v>
      </c>
      <c r="I122" s="260">
        <f t="shared" ref="I122:I128" si="129">Y122/Y$128</f>
        <v>0.29912023460410558</v>
      </c>
      <c r="J122" s="260">
        <f t="shared" ref="J122:M128" si="130">IFERROR(Z122/Z$128,0)</f>
        <v>0.31060606060606061</v>
      </c>
      <c r="K122" s="261">
        <f t="shared" si="130"/>
        <v>0</v>
      </c>
      <c r="L122" s="261">
        <f t="shared" si="130"/>
        <v>0.20571428571428571</v>
      </c>
      <c r="M122" s="262">
        <f t="shared" si="130"/>
        <v>0.15037593984962405</v>
      </c>
      <c r="N122" s="260">
        <f t="shared" ref="N122:N128" si="131">AE122/AE$128</f>
        <v>0.20418848167539266</v>
      </c>
      <c r="O122" s="260">
        <f t="shared" ref="O122:Q128" si="132">IFERROR(AF122/AF$128,0)</f>
        <v>0</v>
      </c>
      <c r="P122" s="262">
        <f t="shared" si="132"/>
        <v>0</v>
      </c>
      <c r="Q122" s="684">
        <f t="shared" si="132"/>
        <v>0</v>
      </c>
      <c r="R122" s="263"/>
      <c r="S122" s="264">
        <f>'Old Counts Pivot Table'!B$125</f>
        <v>292</v>
      </c>
      <c r="T122" s="265">
        <f>'Old Counts Pivot Table'!C$125</f>
        <v>0</v>
      </c>
      <c r="U122" s="265">
        <f>'Old Counts Pivot Table'!D$125</f>
        <v>203</v>
      </c>
      <c r="V122" s="265">
        <f>'Old Counts Pivot Table'!E$125</f>
        <v>0</v>
      </c>
      <c r="W122" s="265">
        <f>'Old Counts Pivot Table'!F$125</f>
        <v>86</v>
      </c>
      <c r="X122" s="673">
        <f>'Old Counts Pivot Table'!G$125</f>
        <v>133</v>
      </c>
      <c r="Y122" s="264">
        <f>'Old Counts Pivot Table'!H$125</f>
        <v>714</v>
      </c>
      <c r="Z122" s="264">
        <f>'Old Counts Pivot Table'!I$125</f>
        <v>41</v>
      </c>
      <c r="AA122" s="265">
        <f>'Old Counts Pivot Table'!J$125</f>
        <v>0</v>
      </c>
      <c r="AB122" s="265">
        <f>'Old Counts Pivot Table'!K$125</f>
        <v>36</v>
      </c>
      <c r="AC122" s="265">
        <f>'Old Counts Pivot Table'!L$125</f>
        <v>40</v>
      </c>
      <c r="AD122" s="265">
        <f>'Old Counts Pivot Table'!M$125</f>
        <v>0</v>
      </c>
      <c r="AE122" s="264">
        <f>'Old Counts Pivot Table'!N$125</f>
        <v>117</v>
      </c>
      <c r="AF122" s="264">
        <f>'Old Counts Pivot Table'!O$125</f>
        <v>0</v>
      </c>
      <c r="AG122" s="265">
        <f>'Old Counts Pivot Table'!P$125</f>
        <v>0</v>
      </c>
      <c r="AH122" s="264">
        <f>'Old Counts Pivot Table'!Q$125</f>
        <v>0</v>
      </c>
    </row>
    <row r="123" spans="1:36" x14ac:dyDescent="0.2">
      <c r="A123" s="690"/>
      <c r="B123" s="258" t="s">
        <v>4</v>
      </c>
      <c r="C123" s="266">
        <f t="shared" si="127"/>
        <v>0.26464646464646463</v>
      </c>
      <c r="D123" s="267">
        <f t="shared" si="128"/>
        <v>0</v>
      </c>
      <c r="E123" s="267">
        <f t="shared" si="128"/>
        <v>0.23599999999999999</v>
      </c>
      <c r="F123" s="267">
        <f t="shared" si="128"/>
        <v>0</v>
      </c>
      <c r="G123" s="267">
        <f t="shared" si="128"/>
        <v>0.25412541254125415</v>
      </c>
      <c r="H123" s="267">
        <f t="shared" si="128"/>
        <v>0.25084175084175087</v>
      </c>
      <c r="I123" s="266">
        <f t="shared" si="129"/>
        <v>0.25387515710096353</v>
      </c>
      <c r="J123" s="266">
        <f t="shared" si="130"/>
        <v>8.3333333333333329E-2</v>
      </c>
      <c r="K123" s="267">
        <f t="shared" si="130"/>
        <v>0</v>
      </c>
      <c r="L123" s="267">
        <f t="shared" si="130"/>
        <v>0.11428571428571428</v>
      </c>
      <c r="M123" s="268">
        <f t="shared" si="130"/>
        <v>0.13909774436090225</v>
      </c>
      <c r="N123" s="266">
        <f t="shared" si="131"/>
        <v>0.11867364746945899</v>
      </c>
      <c r="O123" s="266">
        <f t="shared" si="132"/>
        <v>0</v>
      </c>
      <c r="P123" s="268">
        <f t="shared" si="132"/>
        <v>0</v>
      </c>
      <c r="Q123" s="685">
        <f t="shared" si="132"/>
        <v>0</v>
      </c>
      <c r="R123" s="269"/>
      <c r="S123" s="270">
        <f>'Old Counts Pivot Table'!B$126</f>
        <v>262</v>
      </c>
      <c r="T123" s="271">
        <f>'Old Counts Pivot Table'!C$126</f>
        <v>0</v>
      </c>
      <c r="U123" s="271">
        <f>'Old Counts Pivot Table'!D$126</f>
        <v>118</v>
      </c>
      <c r="V123" s="271">
        <f>'Old Counts Pivot Table'!E$126</f>
        <v>0</v>
      </c>
      <c r="W123" s="271">
        <f>'Old Counts Pivot Table'!F$126</f>
        <v>77</v>
      </c>
      <c r="X123" s="674">
        <f>'Old Counts Pivot Table'!G$126</f>
        <v>149</v>
      </c>
      <c r="Y123" s="270">
        <f>'Old Counts Pivot Table'!H$126</f>
        <v>606</v>
      </c>
      <c r="Z123" s="270">
        <f>'Old Counts Pivot Table'!I$126</f>
        <v>11</v>
      </c>
      <c r="AA123" s="271">
        <f>'Old Counts Pivot Table'!J$126</f>
        <v>0</v>
      </c>
      <c r="AB123" s="271">
        <f>'Old Counts Pivot Table'!K$126</f>
        <v>20</v>
      </c>
      <c r="AC123" s="271">
        <f>'Old Counts Pivot Table'!L$126</f>
        <v>37</v>
      </c>
      <c r="AD123" s="271">
        <f>'Old Counts Pivot Table'!M$126</f>
        <v>0</v>
      </c>
      <c r="AE123" s="270">
        <f>'Old Counts Pivot Table'!N$126</f>
        <v>68</v>
      </c>
      <c r="AF123" s="270">
        <f>'Old Counts Pivot Table'!O$126</f>
        <v>0</v>
      </c>
      <c r="AG123" s="271">
        <f>'Old Counts Pivot Table'!P$126</f>
        <v>0</v>
      </c>
      <c r="AH123" s="270">
        <f>'Old Counts Pivot Table'!Q$126</f>
        <v>0</v>
      </c>
    </row>
    <row r="124" spans="1:36" x14ac:dyDescent="0.2">
      <c r="A124" s="690"/>
      <c r="B124" s="258" t="s">
        <v>5</v>
      </c>
      <c r="C124" s="266">
        <f t="shared" si="127"/>
        <v>0.36363636363636365</v>
      </c>
      <c r="D124" s="267">
        <f t="shared" si="128"/>
        <v>0</v>
      </c>
      <c r="E124" s="267">
        <f t="shared" si="128"/>
        <v>0.23400000000000001</v>
      </c>
      <c r="F124" s="267">
        <f t="shared" si="128"/>
        <v>0</v>
      </c>
      <c r="G124" s="267">
        <f t="shared" si="128"/>
        <v>0.35973597359735976</v>
      </c>
      <c r="H124" s="267">
        <f t="shared" si="128"/>
        <v>0.35858585858585856</v>
      </c>
      <c r="I124" s="266">
        <f t="shared" si="129"/>
        <v>0.33472978634268957</v>
      </c>
      <c r="J124" s="266">
        <f t="shared" si="130"/>
        <v>0.23484848484848486</v>
      </c>
      <c r="K124" s="267">
        <f t="shared" si="130"/>
        <v>0</v>
      </c>
      <c r="L124" s="267">
        <f t="shared" si="130"/>
        <v>0.25714285714285712</v>
      </c>
      <c r="M124" s="268">
        <f t="shared" si="130"/>
        <v>0.29699248120300753</v>
      </c>
      <c r="N124" s="266">
        <f t="shared" si="131"/>
        <v>0.27050610820244331</v>
      </c>
      <c r="O124" s="266">
        <f t="shared" si="132"/>
        <v>0</v>
      </c>
      <c r="P124" s="268">
        <f t="shared" si="132"/>
        <v>0</v>
      </c>
      <c r="Q124" s="685">
        <f t="shared" si="132"/>
        <v>0</v>
      </c>
      <c r="R124" s="269"/>
      <c r="S124" s="270">
        <f>'Old Counts Pivot Table'!B$127</f>
        <v>360</v>
      </c>
      <c r="T124" s="271">
        <f>'Old Counts Pivot Table'!C$127</f>
        <v>0</v>
      </c>
      <c r="U124" s="271">
        <f>'Old Counts Pivot Table'!D$127</f>
        <v>117</v>
      </c>
      <c r="V124" s="271">
        <f>'Old Counts Pivot Table'!E$127</f>
        <v>0</v>
      </c>
      <c r="W124" s="271">
        <f>'Old Counts Pivot Table'!F$127</f>
        <v>109</v>
      </c>
      <c r="X124" s="674">
        <f>'Old Counts Pivot Table'!G$127</f>
        <v>213</v>
      </c>
      <c r="Y124" s="270">
        <f>'Old Counts Pivot Table'!H$127</f>
        <v>799</v>
      </c>
      <c r="Z124" s="270">
        <f>'Old Counts Pivot Table'!I$127</f>
        <v>31</v>
      </c>
      <c r="AA124" s="271">
        <f>'Old Counts Pivot Table'!J$127</f>
        <v>0</v>
      </c>
      <c r="AB124" s="271">
        <f>'Old Counts Pivot Table'!K$127</f>
        <v>45</v>
      </c>
      <c r="AC124" s="271">
        <f>'Old Counts Pivot Table'!L$127</f>
        <v>79</v>
      </c>
      <c r="AD124" s="271">
        <f>'Old Counts Pivot Table'!M$127</f>
        <v>0</v>
      </c>
      <c r="AE124" s="270">
        <f>'Old Counts Pivot Table'!N$127</f>
        <v>155</v>
      </c>
      <c r="AF124" s="270">
        <f>'Old Counts Pivot Table'!O$127</f>
        <v>0</v>
      </c>
      <c r="AG124" s="271">
        <f>'Old Counts Pivot Table'!P$127</f>
        <v>0</v>
      </c>
      <c r="AH124" s="270">
        <f>'Old Counts Pivot Table'!Q$127</f>
        <v>0</v>
      </c>
    </row>
    <row r="125" spans="1:36" x14ac:dyDescent="0.2">
      <c r="A125" s="690"/>
      <c r="B125" s="258" t="s">
        <v>6</v>
      </c>
      <c r="C125" s="266">
        <f t="shared" si="127"/>
        <v>5.1515151515151514E-2</v>
      </c>
      <c r="D125" s="267">
        <f t="shared" si="128"/>
        <v>0</v>
      </c>
      <c r="E125" s="267">
        <f t="shared" si="128"/>
        <v>0.124</v>
      </c>
      <c r="F125" s="267">
        <f t="shared" si="128"/>
        <v>0</v>
      </c>
      <c r="G125" s="267">
        <f t="shared" si="128"/>
        <v>4.9504950495049507E-2</v>
      </c>
      <c r="H125" s="267">
        <f t="shared" si="128"/>
        <v>0.132996632996633</v>
      </c>
      <c r="I125" s="266">
        <f t="shared" si="129"/>
        <v>8.6719731881022208E-2</v>
      </c>
      <c r="J125" s="266">
        <f t="shared" si="130"/>
        <v>0.28030303030303028</v>
      </c>
      <c r="K125" s="267">
        <f t="shared" si="130"/>
        <v>0</v>
      </c>
      <c r="L125" s="267">
        <f t="shared" si="130"/>
        <v>0.41142857142857142</v>
      </c>
      <c r="M125" s="268">
        <f t="shared" si="130"/>
        <v>0.28947368421052633</v>
      </c>
      <c r="N125" s="266">
        <f t="shared" si="131"/>
        <v>0.32460732984293195</v>
      </c>
      <c r="O125" s="266">
        <f t="shared" si="132"/>
        <v>0</v>
      </c>
      <c r="P125" s="268">
        <f t="shared" si="132"/>
        <v>0</v>
      </c>
      <c r="Q125" s="685">
        <f t="shared" si="132"/>
        <v>0</v>
      </c>
      <c r="R125" s="269"/>
      <c r="S125" s="270">
        <f>'Old Counts Pivot Table'!B$128</f>
        <v>51</v>
      </c>
      <c r="T125" s="271">
        <f>'Old Counts Pivot Table'!C$128</f>
        <v>0</v>
      </c>
      <c r="U125" s="271">
        <f>'Old Counts Pivot Table'!D$128</f>
        <v>62</v>
      </c>
      <c r="V125" s="271">
        <f>'Old Counts Pivot Table'!E$128</f>
        <v>0</v>
      </c>
      <c r="W125" s="271">
        <f>'Old Counts Pivot Table'!F$128</f>
        <v>15</v>
      </c>
      <c r="X125" s="674">
        <f>'Old Counts Pivot Table'!G$128</f>
        <v>79</v>
      </c>
      <c r="Y125" s="270">
        <f>'Old Counts Pivot Table'!H$128</f>
        <v>207</v>
      </c>
      <c r="Z125" s="270">
        <f>'Old Counts Pivot Table'!I$128</f>
        <v>37</v>
      </c>
      <c r="AA125" s="271">
        <f>'Old Counts Pivot Table'!J$128</f>
        <v>0</v>
      </c>
      <c r="AB125" s="271">
        <f>'Old Counts Pivot Table'!K$128</f>
        <v>72</v>
      </c>
      <c r="AC125" s="271">
        <f>'Old Counts Pivot Table'!L$128</f>
        <v>77</v>
      </c>
      <c r="AD125" s="271">
        <f>'Old Counts Pivot Table'!M$128</f>
        <v>0</v>
      </c>
      <c r="AE125" s="270">
        <f>'Old Counts Pivot Table'!N$128</f>
        <v>186</v>
      </c>
      <c r="AF125" s="270">
        <f>'Old Counts Pivot Table'!O$128</f>
        <v>0</v>
      </c>
      <c r="AG125" s="271">
        <f>'Old Counts Pivot Table'!P$128</f>
        <v>0</v>
      </c>
      <c r="AH125" s="270">
        <f>'Old Counts Pivot Table'!Q$128</f>
        <v>0</v>
      </c>
    </row>
    <row r="126" spans="1:36" x14ac:dyDescent="0.2">
      <c r="A126" s="690"/>
      <c r="B126" s="258" t="s">
        <v>26</v>
      </c>
      <c r="C126" s="266">
        <f t="shared" si="127"/>
        <v>2.5252525252525252E-2</v>
      </c>
      <c r="D126" s="267">
        <f t="shared" si="128"/>
        <v>0</v>
      </c>
      <c r="E126" s="267">
        <f t="shared" si="128"/>
        <v>0</v>
      </c>
      <c r="F126" s="267">
        <f t="shared" si="128"/>
        <v>0</v>
      </c>
      <c r="G126" s="267">
        <f t="shared" si="128"/>
        <v>5.2805280528052806E-2</v>
      </c>
      <c r="H126" s="267">
        <f t="shared" si="128"/>
        <v>3.3670033670033669E-2</v>
      </c>
      <c r="I126" s="266">
        <f t="shared" si="129"/>
        <v>2.5555090071219103E-2</v>
      </c>
      <c r="J126" s="266">
        <f t="shared" si="130"/>
        <v>9.0909090909090912E-2</v>
      </c>
      <c r="K126" s="267">
        <f t="shared" si="130"/>
        <v>0</v>
      </c>
      <c r="L126" s="267">
        <f t="shared" si="130"/>
        <v>1.1428571428571429E-2</v>
      </c>
      <c r="M126" s="268">
        <f t="shared" si="130"/>
        <v>0.12406015037593984</v>
      </c>
      <c r="N126" s="266">
        <f t="shared" si="131"/>
        <v>8.2024432809773118E-2</v>
      </c>
      <c r="O126" s="266">
        <f t="shared" si="132"/>
        <v>0</v>
      </c>
      <c r="P126" s="268">
        <f t="shared" si="132"/>
        <v>0</v>
      </c>
      <c r="Q126" s="685">
        <f t="shared" si="132"/>
        <v>0</v>
      </c>
      <c r="R126" s="269"/>
      <c r="S126" s="270">
        <f>'Old Counts Pivot Table'!B$129</f>
        <v>25</v>
      </c>
      <c r="T126" s="271">
        <f>'Old Counts Pivot Table'!C$129</f>
        <v>0</v>
      </c>
      <c r="U126" s="271">
        <f>'Old Counts Pivot Table'!D$129</f>
        <v>0</v>
      </c>
      <c r="V126" s="271">
        <f>'Old Counts Pivot Table'!E$129</f>
        <v>0</v>
      </c>
      <c r="W126" s="271">
        <f>'Old Counts Pivot Table'!F$129</f>
        <v>16</v>
      </c>
      <c r="X126" s="674">
        <f>'Old Counts Pivot Table'!G$129</f>
        <v>20</v>
      </c>
      <c r="Y126" s="270">
        <f>'Old Counts Pivot Table'!H$129</f>
        <v>61</v>
      </c>
      <c r="Z126" s="270">
        <f>'Old Counts Pivot Table'!I$129</f>
        <v>12</v>
      </c>
      <c r="AA126" s="271">
        <f>'Old Counts Pivot Table'!J$129</f>
        <v>0</v>
      </c>
      <c r="AB126" s="271">
        <f>'Old Counts Pivot Table'!K$129</f>
        <v>2</v>
      </c>
      <c r="AC126" s="271">
        <f>'Old Counts Pivot Table'!L$129</f>
        <v>33</v>
      </c>
      <c r="AD126" s="271">
        <f>'Old Counts Pivot Table'!M$129</f>
        <v>0</v>
      </c>
      <c r="AE126" s="270">
        <f>'Old Counts Pivot Table'!N$129</f>
        <v>47</v>
      </c>
      <c r="AF126" s="270">
        <f>'Old Counts Pivot Table'!O$129</f>
        <v>0</v>
      </c>
      <c r="AG126" s="271">
        <f>'Old Counts Pivot Table'!P$129</f>
        <v>0</v>
      </c>
      <c r="AH126" s="270">
        <f>'Old Counts Pivot Table'!Q$129</f>
        <v>0</v>
      </c>
    </row>
    <row r="127" spans="1:36" x14ac:dyDescent="0.2">
      <c r="A127" s="690"/>
      <c r="B127" s="258" t="s">
        <v>23</v>
      </c>
      <c r="C127" s="266">
        <f t="shared" si="127"/>
        <v>0</v>
      </c>
      <c r="D127" s="267">
        <f t="shared" si="128"/>
        <v>0</v>
      </c>
      <c r="E127" s="267">
        <f t="shared" si="128"/>
        <v>0</v>
      </c>
      <c r="F127" s="267">
        <f t="shared" si="128"/>
        <v>0</v>
      </c>
      <c r="G127" s="267">
        <f t="shared" si="128"/>
        <v>0</v>
      </c>
      <c r="H127" s="267">
        <f t="shared" si="128"/>
        <v>0</v>
      </c>
      <c r="I127" s="266">
        <f t="shared" si="129"/>
        <v>0</v>
      </c>
      <c r="J127" s="266">
        <f t="shared" si="130"/>
        <v>0</v>
      </c>
      <c r="K127" s="267">
        <f t="shared" si="130"/>
        <v>0</v>
      </c>
      <c r="L127" s="267">
        <f t="shared" si="130"/>
        <v>0</v>
      </c>
      <c r="M127" s="268">
        <f t="shared" si="130"/>
        <v>0</v>
      </c>
      <c r="N127" s="266">
        <f t="shared" si="131"/>
        <v>0</v>
      </c>
      <c r="O127" s="266">
        <f t="shared" si="132"/>
        <v>0</v>
      </c>
      <c r="P127" s="268">
        <f t="shared" si="132"/>
        <v>0</v>
      </c>
      <c r="Q127" s="685">
        <f t="shared" si="132"/>
        <v>0</v>
      </c>
      <c r="R127" s="269"/>
      <c r="S127" s="270">
        <f>'Old Counts Pivot Table'!B$130</f>
        <v>0</v>
      </c>
      <c r="T127" s="271">
        <f>'Old Counts Pivot Table'!C$130</f>
        <v>0</v>
      </c>
      <c r="U127" s="271">
        <f>'Old Counts Pivot Table'!D$130</f>
        <v>0</v>
      </c>
      <c r="V127" s="271">
        <f>'Old Counts Pivot Table'!E$130</f>
        <v>0</v>
      </c>
      <c r="W127" s="271">
        <f>'Old Counts Pivot Table'!F$130</f>
        <v>0</v>
      </c>
      <c r="X127" s="674">
        <f>'Old Counts Pivot Table'!G$130</f>
        <v>0</v>
      </c>
      <c r="Y127" s="270">
        <f>'Old Counts Pivot Table'!H$130</f>
        <v>0</v>
      </c>
      <c r="Z127" s="270">
        <f>'Old Counts Pivot Table'!I$130</f>
        <v>0</v>
      </c>
      <c r="AA127" s="271">
        <f>'Old Counts Pivot Table'!J$130</f>
        <v>0</v>
      </c>
      <c r="AB127" s="271">
        <f>'Old Counts Pivot Table'!K$130</f>
        <v>0</v>
      </c>
      <c r="AC127" s="271">
        <f>'Old Counts Pivot Table'!L$130</f>
        <v>0</v>
      </c>
      <c r="AD127" s="271">
        <f>'Old Counts Pivot Table'!M$130</f>
        <v>0</v>
      </c>
      <c r="AE127" s="270">
        <f>'Old Counts Pivot Table'!N$130</f>
        <v>0</v>
      </c>
      <c r="AF127" s="270">
        <f>'Old Counts Pivot Table'!O$130</f>
        <v>0</v>
      </c>
      <c r="AG127" s="271">
        <f>'Old Counts Pivot Table'!P$130</f>
        <v>0</v>
      </c>
      <c r="AH127" s="270">
        <f>'Old Counts Pivot Table'!Q$130</f>
        <v>0</v>
      </c>
    </row>
    <row r="128" spans="1:36" s="280" customFormat="1" x14ac:dyDescent="0.25">
      <c r="A128" s="691"/>
      <c r="B128" s="272" t="s">
        <v>220</v>
      </c>
      <c r="C128" s="273">
        <f t="shared" si="127"/>
        <v>1</v>
      </c>
      <c r="D128" s="274">
        <f t="shared" si="128"/>
        <v>0</v>
      </c>
      <c r="E128" s="274">
        <f t="shared" si="128"/>
        <v>1</v>
      </c>
      <c r="F128" s="274">
        <f t="shared" si="128"/>
        <v>0</v>
      </c>
      <c r="G128" s="274">
        <f t="shared" si="128"/>
        <v>1</v>
      </c>
      <c r="H128" s="274">
        <f t="shared" si="128"/>
        <v>1</v>
      </c>
      <c r="I128" s="273">
        <f t="shared" si="129"/>
        <v>1</v>
      </c>
      <c r="J128" s="273">
        <f t="shared" si="130"/>
        <v>1</v>
      </c>
      <c r="K128" s="274">
        <f t="shared" si="130"/>
        <v>0</v>
      </c>
      <c r="L128" s="274">
        <f t="shared" si="130"/>
        <v>1</v>
      </c>
      <c r="M128" s="275">
        <f t="shared" si="130"/>
        <v>1</v>
      </c>
      <c r="N128" s="273">
        <f t="shared" si="131"/>
        <v>1</v>
      </c>
      <c r="O128" s="273">
        <f t="shared" si="132"/>
        <v>0</v>
      </c>
      <c r="P128" s="275">
        <f t="shared" si="132"/>
        <v>0</v>
      </c>
      <c r="Q128" s="686">
        <f t="shared" si="132"/>
        <v>0</v>
      </c>
      <c r="R128" s="276"/>
      <c r="S128" s="277">
        <f>'Old Counts Pivot Table'!B$131</f>
        <v>990</v>
      </c>
      <c r="T128" s="278">
        <f>'Old Counts Pivot Table'!C$131</f>
        <v>0</v>
      </c>
      <c r="U128" s="278">
        <f>'Old Counts Pivot Table'!D$131</f>
        <v>500</v>
      </c>
      <c r="V128" s="278">
        <f>'Old Counts Pivot Table'!E$131</f>
        <v>0</v>
      </c>
      <c r="W128" s="278">
        <f>'Old Counts Pivot Table'!F$131</f>
        <v>303</v>
      </c>
      <c r="X128" s="675">
        <f>'Old Counts Pivot Table'!G$131</f>
        <v>594</v>
      </c>
      <c r="Y128" s="277">
        <f>'Old Counts Pivot Table'!H$131</f>
        <v>2387</v>
      </c>
      <c r="Z128" s="277">
        <f>'Old Counts Pivot Table'!I$131</f>
        <v>132</v>
      </c>
      <c r="AA128" s="278">
        <f>'Old Counts Pivot Table'!J$131</f>
        <v>0</v>
      </c>
      <c r="AB128" s="278">
        <f>'Old Counts Pivot Table'!K$131</f>
        <v>175</v>
      </c>
      <c r="AC128" s="278">
        <f>'Old Counts Pivot Table'!L$131</f>
        <v>266</v>
      </c>
      <c r="AD128" s="278">
        <f>'Old Counts Pivot Table'!M$131</f>
        <v>0</v>
      </c>
      <c r="AE128" s="277">
        <f>'Old Counts Pivot Table'!N$131</f>
        <v>573</v>
      </c>
      <c r="AF128" s="277">
        <f>'Old Counts Pivot Table'!O$131</f>
        <v>0</v>
      </c>
      <c r="AG128" s="278">
        <f>'Old Counts Pivot Table'!P$131</f>
        <v>0</v>
      </c>
      <c r="AH128" s="277">
        <f>'Old Counts Pivot Table'!Q$131</f>
        <v>0</v>
      </c>
      <c r="AI128" s="279"/>
      <c r="AJ128" s="279"/>
    </row>
    <row r="129" spans="17:17" s="100" customFormat="1" x14ac:dyDescent="0.2">
      <c r="Q129" s="281"/>
    </row>
  </sheetData>
  <pageMargins left="0.7" right="0.7" top="0.75" bottom="0.75" header="0.3" footer="0.3"/>
  <pageSetup scale="94" firstPageNumber="162" orientation="landscape" useFirstPageNumber="1" r:id="rId1"/>
  <headerFooter>
    <oddHeader>&amp;R&amp;"Arial,Regular"&amp;8SREB-State Data Exchange</oddHeader>
    <oddFooter>&amp;C&amp;"Arial,Regular"&amp;8C-&amp;P&amp;R&amp;"Arial,Regular"&amp;8February 2014</oddFooter>
  </headerFooter>
  <rowBreaks count="5" manualBreakCount="5">
    <brk id="30" max="16" man="1"/>
    <brk id="51" max="16" man="1"/>
    <brk id="72" max="16" man="1"/>
    <brk id="93" max="16" man="1"/>
    <brk id="114"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X497"/>
  <sheetViews>
    <sheetView workbookViewId="0">
      <pane xSplit="1" ySplit="3" topLeftCell="B19" activePane="bottomRight" state="frozen"/>
      <selection pane="topRight" activeCell="B1" sqref="B1"/>
      <selection pane="bottomLeft" activeCell="A4" sqref="A4"/>
      <selection pane="bottomRight"/>
    </sheetView>
  </sheetViews>
  <sheetFormatPr defaultColWidth="9" defaultRowHeight="12.75" x14ac:dyDescent="0.2"/>
  <cols>
    <col min="1" max="1" width="23.5" style="292" customWidth="1"/>
    <col min="2" max="2" width="13.125" style="293" customWidth="1"/>
    <col min="3" max="3" width="8.625" style="293" customWidth="1"/>
    <col min="4" max="4" width="9.875" style="293" customWidth="1"/>
    <col min="5" max="7" width="8.625" style="293" customWidth="1"/>
    <col min="8" max="8" width="11.625" style="293" customWidth="1"/>
    <col min="9" max="9" width="9.375" style="293" customWidth="1"/>
    <col min="10" max="10" width="9.875" style="293" customWidth="1"/>
    <col min="11" max="13" width="8.625" style="293" customWidth="1"/>
    <col min="14" max="14" width="11.5" style="293" customWidth="1"/>
    <col min="15" max="15" width="9.5" style="293" customWidth="1"/>
    <col min="16" max="16" width="7.875" style="293" customWidth="1"/>
    <col min="17" max="17" width="11.625" style="293" customWidth="1"/>
    <col min="18" max="18" width="3.125" style="298" customWidth="1"/>
    <col min="19" max="34" width="7" style="293" customWidth="1"/>
    <col min="35" max="35" width="7.125" style="298" customWidth="1"/>
    <col min="36" max="38" width="6.375" style="298" customWidth="1"/>
    <col min="39" max="39" width="7.375" style="298" customWidth="1"/>
    <col min="40" max="47" width="6.375" style="298" customWidth="1"/>
    <col min="48" max="48" width="7" style="298" customWidth="1"/>
    <col min="49" max="49" width="6.375" style="298" customWidth="1"/>
    <col min="50" max="50" width="7.25" style="298" customWidth="1"/>
    <col min="51" max="16384" width="9" style="298"/>
  </cols>
  <sheetData>
    <row r="1" spans="1:50" x14ac:dyDescent="0.2">
      <c r="A1" s="693"/>
      <c r="B1" s="700" t="s">
        <v>292</v>
      </c>
      <c r="C1" s="697"/>
      <c r="D1" s="697"/>
      <c r="E1" s="697"/>
      <c r="F1" s="697"/>
      <c r="G1" s="697"/>
      <c r="H1" s="697"/>
      <c r="I1" s="697"/>
      <c r="J1" s="697"/>
      <c r="K1" s="697"/>
      <c r="L1" s="697"/>
      <c r="M1" s="697"/>
      <c r="N1" s="697"/>
      <c r="O1" s="697"/>
      <c r="P1" s="697"/>
      <c r="Q1" s="697"/>
      <c r="S1" s="303" t="s">
        <v>340</v>
      </c>
      <c r="T1" s="303"/>
      <c r="U1" s="303"/>
      <c r="V1" s="303"/>
      <c r="W1" s="303"/>
      <c r="X1" s="303"/>
      <c r="Y1" s="303"/>
      <c r="Z1" s="303"/>
      <c r="AA1" s="303"/>
      <c r="AB1" s="303"/>
      <c r="AC1" s="303"/>
      <c r="AD1" s="303"/>
      <c r="AE1" s="303"/>
      <c r="AF1" s="303"/>
      <c r="AG1" s="303"/>
      <c r="AH1" s="303"/>
      <c r="AI1" s="514" t="s">
        <v>1123</v>
      </c>
      <c r="AJ1" s="303"/>
      <c r="AK1" s="303"/>
      <c r="AL1" s="303"/>
      <c r="AM1" s="303"/>
      <c r="AN1" s="303"/>
      <c r="AO1" s="303"/>
      <c r="AP1" s="303"/>
      <c r="AQ1" s="303"/>
      <c r="AR1" s="303"/>
      <c r="AS1" s="303"/>
      <c r="AT1" s="303"/>
      <c r="AU1" s="303"/>
      <c r="AV1" s="303"/>
      <c r="AW1" s="303"/>
      <c r="AX1" s="303"/>
    </row>
    <row r="2" spans="1:50" s="300" customFormat="1" ht="38.25" x14ac:dyDescent="0.2">
      <c r="A2" s="693"/>
      <c r="B2" s="697" t="s">
        <v>261</v>
      </c>
      <c r="C2" s="697"/>
      <c r="D2" s="697"/>
      <c r="E2" s="697"/>
      <c r="F2" s="697"/>
      <c r="G2" s="697"/>
      <c r="H2" s="697" t="s">
        <v>337</v>
      </c>
      <c r="I2" s="697" t="s">
        <v>262</v>
      </c>
      <c r="J2" s="697"/>
      <c r="K2" s="697"/>
      <c r="L2" s="697"/>
      <c r="M2" s="697"/>
      <c r="N2" s="697" t="s">
        <v>338</v>
      </c>
      <c r="O2" s="697" t="s">
        <v>336</v>
      </c>
      <c r="P2" s="697"/>
      <c r="Q2" s="697" t="s">
        <v>339</v>
      </c>
      <c r="S2" s="301" t="s">
        <v>261</v>
      </c>
      <c r="T2" s="299"/>
      <c r="U2" s="299"/>
      <c r="V2" s="299"/>
      <c r="W2" s="299"/>
      <c r="X2" s="299"/>
      <c r="Y2" s="299" t="s">
        <v>337</v>
      </c>
      <c r="Z2" s="308" t="s">
        <v>262</v>
      </c>
      <c r="AA2" s="299"/>
      <c r="AB2" s="299"/>
      <c r="AC2" s="299"/>
      <c r="AD2" s="299"/>
      <c r="AE2" s="299" t="s">
        <v>338</v>
      </c>
      <c r="AF2" s="308" t="s">
        <v>336</v>
      </c>
      <c r="AG2" s="299"/>
      <c r="AH2" s="299" t="s">
        <v>339</v>
      </c>
      <c r="AI2" s="515" t="s">
        <v>261</v>
      </c>
      <c r="AJ2" s="299"/>
      <c r="AK2" s="299"/>
      <c r="AL2" s="299"/>
      <c r="AM2" s="299"/>
      <c r="AN2" s="299"/>
      <c r="AO2" s="299" t="s">
        <v>337</v>
      </c>
      <c r="AP2" s="308" t="s">
        <v>262</v>
      </c>
      <c r="AQ2" s="299"/>
      <c r="AR2" s="299"/>
      <c r="AS2" s="299"/>
      <c r="AT2" s="299"/>
      <c r="AU2" s="522" t="s">
        <v>338</v>
      </c>
      <c r="AV2" s="521" t="s">
        <v>336</v>
      </c>
      <c r="AW2" s="299"/>
      <c r="AX2" s="522" t="s">
        <v>339</v>
      </c>
    </row>
    <row r="3" spans="1:50" x14ac:dyDescent="0.2">
      <c r="A3" s="694" t="s">
        <v>291</v>
      </c>
      <c r="B3" s="697">
        <v>1</v>
      </c>
      <c r="C3" s="697">
        <v>2</v>
      </c>
      <c r="D3" s="697">
        <v>3</v>
      </c>
      <c r="E3" s="697">
        <v>4</v>
      </c>
      <c r="F3" s="697">
        <v>5</v>
      </c>
      <c r="G3" s="697">
        <v>6</v>
      </c>
      <c r="H3" s="697"/>
      <c r="I3" s="697">
        <v>7</v>
      </c>
      <c r="J3" s="697">
        <v>8</v>
      </c>
      <c r="K3" s="697">
        <v>9</v>
      </c>
      <c r="L3" s="697">
        <v>10</v>
      </c>
      <c r="M3" s="697">
        <v>11</v>
      </c>
      <c r="N3" s="697"/>
      <c r="O3" s="697">
        <v>12</v>
      </c>
      <c r="P3" s="697">
        <v>13</v>
      </c>
      <c r="Q3" s="697"/>
      <c r="S3" s="297">
        <v>1</v>
      </c>
      <c r="T3" s="297">
        <v>2</v>
      </c>
      <c r="U3" s="297">
        <v>3</v>
      </c>
      <c r="V3" s="297">
        <v>4</v>
      </c>
      <c r="W3" s="297">
        <v>5</v>
      </c>
      <c r="X3" s="297">
        <v>6</v>
      </c>
      <c r="Y3" s="297"/>
      <c r="Z3" s="304">
        <v>7</v>
      </c>
      <c r="AA3" s="297">
        <v>8</v>
      </c>
      <c r="AB3" s="297">
        <v>9</v>
      </c>
      <c r="AC3" s="297">
        <v>10</v>
      </c>
      <c r="AD3" s="297">
        <v>11</v>
      </c>
      <c r="AE3" s="297"/>
      <c r="AF3" s="304">
        <v>12</v>
      </c>
      <c r="AG3" s="297">
        <v>13</v>
      </c>
      <c r="AH3" s="297"/>
      <c r="AI3" s="304">
        <v>1</v>
      </c>
      <c r="AJ3" s="297">
        <v>2</v>
      </c>
      <c r="AK3" s="297">
        <v>3</v>
      </c>
      <c r="AL3" s="297">
        <v>4</v>
      </c>
      <c r="AM3" s="297">
        <v>5</v>
      </c>
      <c r="AN3" s="297">
        <v>6</v>
      </c>
      <c r="AO3" s="523"/>
      <c r="AP3" s="513">
        <v>7</v>
      </c>
      <c r="AQ3" s="297">
        <v>8</v>
      </c>
      <c r="AR3" s="297">
        <v>9</v>
      </c>
      <c r="AS3" s="297">
        <v>10</v>
      </c>
      <c r="AT3" s="297">
        <v>11</v>
      </c>
      <c r="AU3" s="523"/>
      <c r="AV3" s="513">
        <v>12</v>
      </c>
      <c r="AW3" s="297">
        <v>13</v>
      </c>
      <c r="AX3" s="523"/>
    </row>
    <row r="4" spans="1:50" x14ac:dyDescent="0.2">
      <c r="A4" s="695" t="s">
        <v>31</v>
      </c>
      <c r="B4" s="697"/>
      <c r="C4" s="697"/>
      <c r="D4" s="697"/>
      <c r="E4" s="697"/>
      <c r="F4" s="697"/>
      <c r="G4" s="697"/>
      <c r="H4" s="697"/>
      <c r="I4" s="697"/>
      <c r="J4" s="697"/>
      <c r="K4" s="697"/>
      <c r="L4" s="697"/>
      <c r="M4" s="697"/>
      <c r="N4" s="697"/>
      <c r="O4" s="697"/>
      <c r="P4" s="697"/>
      <c r="Q4" s="697"/>
      <c r="Y4" s="309"/>
      <c r="Z4" s="305"/>
      <c r="AE4" s="309"/>
      <c r="AF4" s="305"/>
      <c r="AH4" s="309"/>
      <c r="AI4" s="516"/>
      <c r="AO4" s="524"/>
      <c r="AU4" s="524"/>
      <c r="AX4" s="524"/>
    </row>
    <row r="5" spans="1:50" x14ac:dyDescent="0.2">
      <c r="A5" s="696" t="s">
        <v>1067</v>
      </c>
      <c r="B5" s="697">
        <v>780</v>
      </c>
      <c r="C5" s="697">
        <v>296</v>
      </c>
      <c r="D5" s="697">
        <v>314</v>
      </c>
      <c r="E5" s="697">
        <v>198</v>
      </c>
      <c r="F5" s="697">
        <v>45</v>
      </c>
      <c r="G5" s="697">
        <v>20</v>
      </c>
      <c r="H5" s="697">
        <v>1653</v>
      </c>
      <c r="I5" s="697"/>
      <c r="J5" s="697">
        <v>0</v>
      </c>
      <c r="K5" s="697">
        <v>0</v>
      </c>
      <c r="L5" s="697">
        <v>0</v>
      </c>
      <c r="M5" s="697"/>
      <c r="N5" s="697">
        <v>0</v>
      </c>
      <c r="O5" s="697">
        <v>0</v>
      </c>
      <c r="P5" s="697">
        <v>0</v>
      </c>
      <c r="Q5" s="697">
        <v>0</v>
      </c>
      <c r="S5" s="295"/>
      <c r="T5" s="295"/>
      <c r="U5" s="295"/>
      <c r="V5" s="295"/>
      <c r="W5" s="295"/>
      <c r="X5" s="295"/>
      <c r="Y5" s="310"/>
      <c r="Z5" s="305"/>
      <c r="AA5" s="295"/>
      <c r="AB5" s="295"/>
      <c r="AC5" s="295"/>
      <c r="AD5" s="295"/>
      <c r="AE5" s="310"/>
      <c r="AF5" s="305"/>
      <c r="AG5" s="295"/>
      <c r="AH5" s="310"/>
      <c r="AI5" s="516"/>
      <c r="AO5" s="524"/>
      <c r="AU5" s="524"/>
      <c r="AX5" s="524"/>
    </row>
    <row r="6" spans="1:50" x14ac:dyDescent="0.2">
      <c r="A6" s="698" t="s">
        <v>1069</v>
      </c>
      <c r="B6" s="699">
        <v>91071324.139805794</v>
      </c>
      <c r="C6" s="699">
        <v>37122683.099213682</v>
      </c>
      <c r="D6" s="699">
        <v>26014307.846665058</v>
      </c>
      <c r="E6" s="699">
        <v>16208393.952865375</v>
      </c>
      <c r="F6" s="699">
        <v>3425366</v>
      </c>
      <c r="G6" s="699">
        <v>1693993.4042553189</v>
      </c>
      <c r="H6" s="699">
        <v>175536068.44280523</v>
      </c>
      <c r="I6" s="699"/>
      <c r="J6" s="699">
        <v>0</v>
      </c>
      <c r="K6" s="699">
        <v>0</v>
      </c>
      <c r="L6" s="699">
        <v>0</v>
      </c>
      <c r="M6" s="699"/>
      <c r="N6" s="699">
        <v>0</v>
      </c>
      <c r="O6" s="699">
        <v>0</v>
      </c>
      <c r="P6" s="699">
        <v>0</v>
      </c>
      <c r="Q6" s="699">
        <v>0</v>
      </c>
      <c r="S6" s="296">
        <f>IF(B5&gt;0,(B6/B5),)</f>
        <v>116758.10787154589</v>
      </c>
      <c r="T6" s="296">
        <f t="shared" ref="T6:AH6" si="0">IF(C5&gt;0,(C6/C5),)</f>
        <v>125414.46992977595</v>
      </c>
      <c r="U6" s="296">
        <f t="shared" si="0"/>
        <v>82848.114161353689</v>
      </c>
      <c r="V6" s="296">
        <f t="shared" si="0"/>
        <v>81860.575519522099</v>
      </c>
      <c r="W6" s="296">
        <f t="shared" si="0"/>
        <v>76119.244444444441</v>
      </c>
      <c r="X6" s="296">
        <f t="shared" si="0"/>
        <v>84699.670212765952</v>
      </c>
      <c r="Y6" s="311">
        <f t="shared" si="0"/>
        <v>106192.41890066862</v>
      </c>
      <c r="Z6" s="306">
        <f t="shared" si="0"/>
        <v>0</v>
      </c>
      <c r="AA6" s="296">
        <f t="shared" si="0"/>
        <v>0</v>
      </c>
      <c r="AB6" s="296">
        <f t="shared" si="0"/>
        <v>0</v>
      </c>
      <c r="AC6" s="296">
        <f t="shared" si="0"/>
        <v>0</v>
      </c>
      <c r="AD6" s="296">
        <f t="shared" si="0"/>
        <v>0</v>
      </c>
      <c r="AE6" s="311">
        <f t="shared" si="0"/>
        <v>0</v>
      </c>
      <c r="AF6" s="306">
        <f t="shared" si="0"/>
        <v>0</v>
      </c>
      <c r="AG6" s="296">
        <f t="shared" si="0"/>
        <v>0</v>
      </c>
      <c r="AH6" s="311">
        <f t="shared" si="0"/>
        <v>0</v>
      </c>
      <c r="AI6" s="516"/>
      <c r="AO6" s="524"/>
      <c r="AU6" s="524"/>
      <c r="AX6" s="524"/>
    </row>
    <row r="7" spans="1:50" x14ac:dyDescent="0.2">
      <c r="A7" s="696" t="s">
        <v>1071</v>
      </c>
      <c r="B7" s="697">
        <v>781</v>
      </c>
      <c r="C7" s="697">
        <v>301</v>
      </c>
      <c r="D7" s="697">
        <v>350</v>
      </c>
      <c r="E7" s="697">
        <v>188</v>
      </c>
      <c r="F7" s="697">
        <v>60</v>
      </c>
      <c r="G7" s="697">
        <v>20</v>
      </c>
      <c r="H7" s="697">
        <v>1700</v>
      </c>
      <c r="I7" s="697"/>
      <c r="J7" s="697">
        <v>0</v>
      </c>
      <c r="K7" s="697">
        <v>0</v>
      </c>
      <c r="L7" s="697">
        <v>0</v>
      </c>
      <c r="M7" s="697"/>
      <c r="N7" s="697">
        <v>0</v>
      </c>
      <c r="O7" s="697">
        <v>0</v>
      </c>
      <c r="P7" s="697">
        <v>0</v>
      </c>
      <c r="Q7" s="697">
        <v>0</v>
      </c>
      <c r="Y7" s="309"/>
      <c r="Z7" s="305"/>
      <c r="AE7" s="309"/>
      <c r="AF7" s="305"/>
      <c r="AH7" s="309"/>
      <c r="AI7" s="516"/>
      <c r="AO7" s="524"/>
      <c r="AU7" s="524"/>
      <c r="AX7" s="524"/>
    </row>
    <row r="8" spans="1:50" x14ac:dyDescent="0.2">
      <c r="A8" s="696" t="s">
        <v>1073</v>
      </c>
      <c r="B8" s="697">
        <v>90924061.684669808</v>
      </c>
      <c r="C8" s="697">
        <v>36714009.928042844</v>
      </c>
      <c r="D8" s="697">
        <v>27805945.770173136</v>
      </c>
      <c r="E8" s="697">
        <v>14688017.212807821</v>
      </c>
      <c r="F8" s="697">
        <v>4121918.4090909092</v>
      </c>
      <c r="G8" s="697">
        <v>1664410.4761904762</v>
      </c>
      <c r="H8" s="697">
        <v>175918363.480975</v>
      </c>
      <c r="I8" s="697"/>
      <c r="J8" s="697">
        <v>0</v>
      </c>
      <c r="K8" s="697">
        <v>0</v>
      </c>
      <c r="L8" s="697">
        <v>0</v>
      </c>
      <c r="M8" s="697"/>
      <c r="N8" s="697">
        <v>0</v>
      </c>
      <c r="O8" s="697">
        <v>0</v>
      </c>
      <c r="P8" s="697">
        <v>0</v>
      </c>
      <c r="Q8" s="697">
        <v>0</v>
      </c>
      <c r="R8" s="294"/>
      <c r="S8" s="296">
        <f>IF(B7&gt;0,(B8/B7),)</f>
        <v>116420.05337345686</v>
      </c>
      <c r="T8" s="296">
        <f t="shared" ref="T8" si="1">IF(C7&gt;0,(C8/C7),)</f>
        <v>121973.45491044135</v>
      </c>
      <c r="U8" s="296">
        <f t="shared" ref="U8" si="2">IF(D7&gt;0,(D8/D7),)</f>
        <v>79445.559343351822</v>
      </c>
      <c r="V8" s="296">
        <f t="shared" ref="V8" si="3">IF(E7&gt;0,(E8/E7),)</f>
        <v>78127.751131956495</v>
      </c>
      <c r="W8" s="296">
        <f t="shared" ref="W8" si="4">IF(F7&gt;0,(F8/F7),)</f>
        <v>68698.640151515152</v>
      </c>
      <c r="X8" s="296">
        <f t="shared" ref="X8" si="5">IF(G7&gt;0,(G8/G7),)</f>
        <v>83220.523809523816</v>
      </c>
      <c r="Y8" s="311">
        <f t="shared" ref="Y8" si="6">IF(H7&gt;0,(H8/H7),)</f>
        <v>103481.39028292647</v>
      </c>
      <c r="Z8" s="306">
        <f t="shared" ref="Z8" si="7">IF(I7&gt;0,(I8/I7),)</f>
        <v>0</v>
      </c>
      <c r="AA8" s="296">
        <f t="shared" ref="AA8" si="8">IF(J7&gt;0,(J8/J7),)</f>
        <v>0</v>
      </c>
      <c r="AB8" s="296">
        <f t="shared" ref="AB8" si="9">IF(K7&gt;0,(K8/K7),)</f>
        <v>0</v>
      </c>
      <c r="AC8" s="296">
        <f t="shared" ref="AC8" si="10">IF(L7&gt;0,(L8/L7),)</f>
        <v>0</v>
      </c>
      <c r="AD8" s="296">
        <f t="shared" ref="AD8" si="11">IF(M7&gt;0,(M8/M7),)</f>
        <v>0</v>
      </c>
      <c r="AE8" s="311">
        <f t="shared" ref="AE8" si="12">IF(N7&gt;0,(N8/N7),)</f>
        <v>0</v>
      </c>
      <c r="AF8" s="306">
        <f t="shared" ref="AF8" si="13">IF(O7&gt;0,(O8/O7),)</f>
        <v>0</v>
      </c>
      <c r="AG8" s="296">
        <f t="shared" ref="AG8" si="14">IF(P7&gt;0,(P8/P7),)</f>
        <v>0</v>
      </c>
      <c r="AH8" s="311">
        <f t="shared" ref="AH8" si="15">IF(Q7&gt;0,(Q8/Q7),)</f>
        <v>0</v>
      </c>
      <c r="AI8" s="517">
        <f>IF(S6&gt;0,(S8-S6)/S6,)</f>
        <v>-2.8953406684265963E-3</v>
      </c>
      <c r="AJ8" s="518">
        <f t="shared" ref="AJ8:AX8" si="16">IF(T6&gt;0,(T8-T6)/T6,)</f>
        <v>-2.7437145181583536E-2</v>
      </c>
      <c r="AK8" s="518">
        <f t="shared" si="16"/>
        <v>-4.1069792021760497E-2</v>
      </c>
      <c r="AL8" s="518">
        <f t="shared" si="16"/>
        <v>-4.5599781871499316E-2</v>
      </c>
      <c r="AM8" s="527">
        <f t="shared" si="16"/>
        <v>-9.7486573166726709E-2</v>
      </c>
      <c r="AN8" s="518">
        <f t="shared" si="16"/>
        <v>-1.7463425766906921E-2</v>
      </c>
      <c r="AO8" s="525">
        <f t="shared" si="16"/>
        <v>-2.5529398857351782E-2</v>
      </c>
      <c r="AP8" s="518">
        <f t="shared" si="16"/>
        <v>0</v>
      </c>
      <c r="AQ8" s="518">
        <f t="shared" si="16"/>
        <v>0</v>
      </c>
      <c r="AR8" s="518">
        <f t="shared" si="16"/>
        <v>0</v>
      </c>
      <c r="AS8" s="518">
        <f t="shared" si="16"/>
        <v>0</v>
      </c>
      <c r="AT8" s="518">
        <f t="shared" si="16"/>
        <v>0</v>
      </c>
      <c r="AU8" s="525">
        <f t="shared" si="16"/>
        <v>0</v>
      </c>
      <c r="AV8" s="518">
        <f t="shared" si="16"/>
        <v>0</v>
      </c>
      <c r="AW8" s="518">
        <f t="shared" si="16"/>
        <v>0</v>
      </c>
      <c r="AX8" s="525">
        <f t="shared" si="16"/>
        <v>0</v>
      </c>
    </row>
    <row r="9" spans="1:50" x14ac:dyDescent="0.2">
      <c r="A9" s="696" t="s">
        <v>1075</v>
      </c>
      <c r="B9" s="697">
        <v>664</v>
      </c>
      <c r="C9" s="697">
        <v>336</v>
      </c>
      <c r="D9" s="697">
        <v>366</v>
      </c>
      <c r="E9" s="697">
        <v>170</v>
      </c>
      <c r="F9" s="697">
        <v>64</v>
      </c>
      <c r="G9" s="697">
        <v>23</v>
      </c>
      <c r="H9" s="697">
        <v>1623</v>
      </c>
      <c r="I9" s="697"/>
      <c r="J9" s="697">
        <v>0</v>
      </c>
      <c r="K9" s="697">
        <v>0</v>
      </c>
      <c r="L9" s="697">
        <v>0</v>
      </c>
      <c r="M9" s="697"/>
      <c r="N9" s="697">
        <v>0</v>
      </c>
      <c r="O9" s="697">
        <v>0</v>
      </c>
      <c r="P9" s="697">
        <v>0</v>
      </c>
      <c r="Q9" s="697">
        <v>0</v>
      </c>
      <c r="Y9" s="309"/>
      <c r="Z9" s="305"/>
      <c r="AE9" s="309"/>
      <c r="AF9" s="305"/>
      <c r="AH9" s="309"/>
      <c r="AI9" s="516"/>
      <c r="AO9" s="524"/>
      <c r="AU9" s="524"/>
      <c r="AX9" s="524"/>
    </row>
    <row r="10" spans="1:50" x14ac:dyDescent="0.2">
      <c r="A10" s="698" t="s">
        <v>1077</v>
      </c>
      <c r="B10" s="699">
        <v>53885947.338066414</v>
      </c>
      <c r="C10" s="699">
        <v>28718674.266129028</v>
      </c>
      <c r="D10" s="699">
        <v>24557993.318036795</v>
      </c>
      <c r="E10" s="699">
        <v>11649847.342636947</v>
      </c>
      <c r="F10" s="699">
        <v>3877280</v>
      </c>
      <c r="G10" s="699">
        <v>1689469.7260273972</v>
      </c>
      <c r="H10" s="699">
        <v>124379211.99089658</v>
      </c>
      <c r="I10" s="699"/>
      <c r="J10" s="699">
        <v>0</v>
      </c>
      <c r="K10" s="699">
        <v>0</v>
      </c>
      <c r="L10" s="699">
        <v>0</v>
      </c>
      <c r="M10" s="699"/>
      <c r="N10" s="699">
        <v>0</v>
      </c>
      <c r="O10" s="699">
        <v>0</v>
      </c>
      <c r="P10" s="699">
        <v>0</v>
      </c>
      <c r="Q10" s="699">
        <v>0</v>
      </c>
      <c r="S10" s="296">
        <f>IF(B9&gt;0,(B10/B9),)</f>
        <v>81153.535147690389</v>
      </c>
      <c r="T10" s="296">
        <f t="shared" ref="T10" si="17">IF(C9&gt;0,(C10/C9),)</f>
        <v>85472.244839669729</v>
      </c>
      <c r="U10" s="296">
        <f t="shared" ref="U10" si="18">IF(D9&gt;0,(D10/D9),)</f>
        <v>67098.342399007641</v>
      </c>
      <c r="V10" s="296">
        <f t="shared" ref="V10" si="19">IF(E9&gt;0,(E10/E9),)</f>
        <v>68528.513780217327</v>
      </c>
      <c r="W10" s="296">
        <f t="shared" ref="W10" si="20">IF(F9&gt;0,(F10/F9),)</f>
        <v>60582.5</v>
      </c>
      <c r="X10" s="296">
        <f t="shared" ref="X10" si="21">IF(G9&gt;0,(G10/G9),)</f>
        <v>73455.205479452052</v>
      </c>
      <c r="Y10" s="311">
        <f t="shared" ref="Y10" si="22">IF(H9&gt;0,(H10/H9),)</f>
        <v>76635.373993158704</v>
      </c>
      <c r="Z10" s="306">
        <f t="shared" ref="Z10" si="23">IF(I9&gt;0,(I10/I9),)</f>
        <v>0</v>
      </c>
      <c r="AA10" s="296">
        <f t="shared" ref="AA10" si="24">IF(J9&gt;0,(J10/J9),)</f>
        <v>0</v>
      </c>
      <c r="AB10" s="296">
        <f t="shared" ref="AB10" si="25">IF(K9&gt;0,(K10/K9),)</f>
        <v>0</v>
      </c>
      <c r="AC10" s="296">
        <f t="shared" ref="AC10" si="26">IF(L9&gt;0,(L10/L9),)</f>
        <v>0</v>
      </c>
      <c r="AD10" s="296">
        <f t="shared" ref="AD10" si="27">IF(M9&gt;0,(M10/M9),)</f>
        <v>0</v>
      </c>
      <c r="AE10" s="311">
        <f t="shared" ref="AE10" si="28">IF(N9&gt;0,(N10/N9),)</f>
        <v>0</v>
      </c>
      <c r="AF10" s="306">
        <f t="shared" ref="AF10" si="29">IF(O9&gt;0,(O10/O9),)</f>
        <v>0</v>
      </c>
      <c r="AG10" s="296">
        <f t="shared" ref="AG10" si="30">IF(P9&gt;0,(P10/P9),)</f>
        <v>0</v>
      </c>
      <c r="AH10" s="311">
        <f t="shared" ref="AH10" si="31">IF(Q9&gt;0,(Q10/Q9),)</f>
        <v>0</v>
      </c>
      <c r="AI10" s="516"/>
      <c r="AO10" s="524"/>
      <c r="AU10" s="524"/>
      <c r="AX10" s="524"/>
    </row>
    <row r="11" spans="1:50" x14ac:dyDescent="0.2">
      <c r="A11" s="696" t="s">
        <v>1079</v>
      </c>
      <c r="B11" s="697">
        <v>706</v>
      </c>
      <c r="C11" s="697">
        <v>345</v>
      </c>
      <c r="D11" s="697">
        <v>373</v>
      </c>
      <c r="E11" s="697">
        <v>184</v>
      </c>
      <c r="F11" s="697">
        <v>68</v>
      </c>
      <c r="G11" s="697">
        <v>26</v>
      </c>
      <c r="H11" s="697">
        <v>1702</v>
      </c>
      <c r="I11" s="697"/>
      <c r="J11" s="697">
        <v>0</v>
      </c>
      <c r="K11" s="697">
        <v>0</v>
      </c>
      <c r="L11" s="697">
        <v>0</v>
      </c>
      <c r="M11" s="697"/>
      <c r="N11" s="697">
        <v>0</v>
      </c>
      <c r="O11" s="697">
        <v>0</v>
      </c>
      <c r="P11" s="697">
        <v>0</v>
      </c>
      <c r="Q11" s="697">
        <v>0</v>
      </c>
      <c r="Y11" s="309"/>
      <c r="Z11" s="305"/>
      <c r="AE11" s="309"/>
      <c r="AF11" s="305"/>
      <c r="AH11" s="309"/>
      <c r="AI11" s="516"/>
      <c r="AO11" s="524"/>
      <c r="AU11" s="524"/>
      <c r="AX11" s="524"/>
    </row>
    <row r="12" spans="1:50" x14ac:dyDescent="0.2">
      <c r="A12" s="696" t="s">
        <v>1081</v>
      </c>
      <c r="B12" s="697">
        <v>57028282.792208105</v>
      </c>
      <c r="C12" s="697">
        <v>28873242.842043314</v>
      </c>
      <c r="D12" s="697">
        <v>24114014.490568511</v>
      </c>
      <c r="E12" s="697">
        <v>12113215.43831786</v>
      </c>
      <c r="F12" s="697">
        <v>3767630.6633663364</v>
      </c>
      <c r="G12" s="697">
        <v>1859881.8837209302</v>
      </c>
      <c r="H12" s="697">
        <v>127756268.11022507</v>
      </c>
      <c r="I12" s="697"/>
      <c r="J12" s="697">
        <v>0</v>
      </c>
      <c r="K12" s="697">
        <v>0</v>
      </c>
      <c r="L12" s="697">
        <v>0</v>
      </c>
      <c r="M12" s="697"/>
      <c r="N12" s="697">
        <v>0</v>
      </c>
      <c r="O12" s="697">
        <v>0</v>
      </c>
      <c r="P12" s="697">
        <v>0</v>
      </c>
      <c r="Q12" s="697">
        <v>0</v>
      </c>
      <c r="R12" s="294"/>
      <c r="S12" s="296">
        <f>IF(B11&gt;0,(B12/B11),)</f>
        <v>80776.60452154123</v>
      </c>
      <c r="T12" s="296">
        <f t="shared" ref="T12" si="32">IF(C11&gt;0,(C12/C11),)</f>
        <v>83690.558962444382</v>
      </c>
      <c r="U12" s="296">
        <f t="shared" ref="U12" si="33">IF(D11&gt;0,(D12/D11),)</f>
        <v>64648.832414392789</v>
      </c>
      <c r="V12" s="296">
        <f t="shared" ref="V12" si="34">IF(E11&gt;0,(E12/E11),)</f>
        <v>65832.692599553586</v>
      </c>
      <c r="W12" s="296">
        <f t="shared" ref="W12" si="35">IF(F11&gt;0,(F12/F11),)</f>
        <v>55406.333284799068</v>
      </c>
      <c r="X12" s="296">
        <f t="shared" ref="X12" si="36">IF(G11&gt;0,(G12/G11),)</f>
        <v>71533.91860465116</v>
      </c>
      <c r="Y12" s="311">
        <f t="shared" ref="Y12" si="37">IF(H11&gt;0,(H12/H11),)</f>
        <v>75062.437197547042</v>
      </c>
      <c r="Z12" s="306">
        <f t="shared" ref="Z12" si="38">IF(I11&gt;0,(I12/I11),)</f>
        <v>0</v>
      </c>
      <c r="AA12" s="296">
        <f t="shared" ref="AA12" si="39">IF(J11&gt;0,(J12/J11),)</f>
        <v>0</v>
      </c>
      <c r="AB12" s="296">
        <f t="shared" ref="AB12" si="40">IF(K11&gt;0,(K12/K11),)</f>
        <v>0</v>
      </c>
      <c r="AC12" s="296">
        <f t="shared" ref="AC12" si="41">IF(L11&gt;0,(L12/L11),)</f>
        <v>0</v>
      </c>
      <c r="AD12" s="296">
        <f t="shared" ref="AD12" si="42">IF(M11&gt;0,(M12/M11),)</f>
        <v>0</v>
      </c>
      <c r="AE12" s="311">
        <f t="shared" ref="AE12" si="43">IF(N11&gt;0,(N12/N11),)</f>
        <v>0</v>
      </c>
      <c r="AF12" s="306">
        <f t="shared" ref="AF12" si="44">IF(O11&gt;0,(O12/O11),)</f>
        <v>0</v>
      </c>
      <c r="AG12" s="296">
        <f t="shared" ref="AG12" si="45">IF(P11&gt;0,(P12/P11),)</f>
        <v>0</v>
      </c>
      <c r="AH12" s="311">
        <f t="shared" ref="AH12" si="46">IF(Q11&gt;0,(Q12/Q11),)</f>
        <v>0</v>
      </c>
      <c r="AI12" s="517">
        <f>IF(S10&gt;0,(S12-S10)/S10,)</f>
        <v>-4.6446605864203776E-3</v>
      </c>
      <c r="AJ12" s="518">
        <f t="shared" ref="AJ12" si="47">IF(T10&gt;0,(T12-T10)/T10,)</f>
        <v>-2.0845198117441087E-2</v>
      </c>
      <c r="AK12" s="518">
        <f t="shared" ref="AK12" si="48">IF(U10&gt;0,(U12-U10)/U10,)</f>
        <v>-3.6506266727851074E-2</v>
      </c>
      <c r="AL12" s="518">
        <f t="shared" ref="AL12" si="49">IF(V10&gt;0,(V12-V10)/V10,)</f>
        <v>-3.9338678631054232E-2</v>
      </c>
      <c r="AM12" s="527">
        <f t="shared" ref="AM12" si="50">IF(W10&gt;0,(W12-W10)/W10,)</f>
        <v>-8.5439965587437494E-2</v>
      </c>
      <c r="AN12" s="518">
        <f t="shared" ref="AN12" si="51">IF(X10&gt;0,(X12-X10)/X10,)</f>
        <v>-2.6155898173048354E-2</v>
      </c>
      <c r="AO12" s="525">
        <f t="shared" ref="AO12" si="52">IF(Y10&gt;0,(Y12-Y10)/Y10,)</f>
        <v>-2.0524944469535431E-2</v>
      </c>
      <c r="AP12" s="518">
        <f t="shared" ref="AP12" si="53">IF(Z10&gt;0,(Z12-Z10)/Z10,)</f>
        <v>0</v>
      </c>
      <c r="AQ12" s="518">
        <f t="shared" ref="AQ12" si="54">IF(AA10&gt;0,(AA12-AA10)/AA10,)</f>
        <v>0</v>
      </c>
      <c r="AR12" s="518">
        <f t="shared" ref="AR12" si="55">IF(AB10&gt;0,(AB12-AB10)/AB10,)</f>
        <v>0</v>
      </c>
      <c r="AS12" s="518">
        <f t="shared" ref="AS12" si="56">IF(AC10&gt;0,(AC12-AC10)/AC10,)</f>
        <v>0</v>
      </c>
      <c r="AT12" s="518">
        <f t="shared" ref="AT12" si="57">IF(AD10&gt;0,(AD12-AD10)/AD10,)</f>
        <v>0</v>
      </c>
      <c r="AU12" s="525">
        <f t="shared" ref="AU12" si="58">IF(AE10&gt;0,(AE12-AE10)/AE10,)</f>
        <v>0</v>
      </c>
      <c r="AV12" s="518">
        <f t="shared" ref="AV12" si="59">IF(AF10&gt;0,(AF12-AF10)/AF10,)</f>
        <v>0</v>
      </c>
      <c r="AW12" s="518">
        <f t="shared" ref="AW12" si="60">IF(AG10&gt;0,(AG12-AG10)/AG10,)</f>
        <v>0</v>
      </c>
      <c r="AX12" s="525">
        <f t="shared" ref="AX12" si="61">IF(AH10&gt;0,(AH12-AH10)/AH10,)</f>
        <v>0</v>
      </c>
    </row>
    <row r="13" spans="1:50" x14ac:dyDescent="0.2">
      <c r="A13" s="696" t="s">
        <v>1083</v>
      </c>
      <c r="B13" s="697">
        <v>599</v>
      </c>
      <c r="C13" s="697">
        <v>375</v>
      </c>
      <c r="D13" s="697">
        <v>495</v>
      </c>
      <c r="E13" s="697">
        <v>220</v>
      </c>
      <c r="F13" s="697">
        <v>104</v>
      </c>
      <c r="G13" s="697">
        <v>39</v>
      </c>
      <c r="H13" s="697">
        <v>1832</v>
      </c>
      <c r="I13" s="697"/>
      <c r="J13" s="697">
        <v>0</v>
      </c>
      <c r="K13" s="697">
        <v>0</v>
      </c>
      <c r="L13" s="697">
        <v>0</v>
      </c>
      <c r="M13" s="697"/>
      <c r="N13" s="697">
        <v>0</v>
      </c>
      <c r="O13" s="697">
        <v>0</v>
      </c>
      <c r="P13" s="697">
        <v>0</v>
      </c>
      <c r="Q13" s="697">
        <v>0</v>
      </c>
      <c r="Y13" s="309"/>
      <c r="Z13" s="305"/>
      <c r="AE13" s="309"/>
      <c r="AF13" s="305"/>
      <c r="AH13" s="309"/>
      <c r="AI13" s="516"/>
      <c r="AO13" s="524"/>
      <c r="AU13" s="524"/>
      <c r="AX13" s="524"/>
    </row>
    <row r="14" spans="1:50" x14ac:dyDescent="0.2">
      <c r="A14" s="696" t="s">
        <v>1085</v>
      </c>
      <c r="B14" s="697">
        <v>39490245.336847812</v>
      </c>
      <c r="C14" s="697">
        <v>26176238.960529193</v>
      </c>
      <c r="D14" s="697">
        <v>28289650.432178695</v>
      </c>
      <c r="E14" s="697">
        <v>12122215.114582712</v>
      </c>
      <c r="F14" s="697">
        <v>5214564</v>
      </c>
      <c r="G14" s="697">
        <v>2392551.9025069638</v>
      </c>
      <c r="H14" s="697">
        <v>113685465.74664538</v>
      </c>
      <c r="I14" s="697"/>
      <c r="J14" s="697">
        <v>0</v>
      </c>
      <c r="K14" s="697">
        <v>0</v>
      </c>
      <c r="L14" s="697">
        <v>0</v>
      </c>
      <c r="M14" s="697"/>
      <c r="N14" s="697">
        <v>0</v>
      </c>
      <c r="O14" s="697">
        <v>0</v>
      </c>
      <c r="P14" s="697">
        <v>0</v>
      </c>
      <c r="Q14" s="697">
        <v>0</v>
      </c>
      <c r="R14" s="294"/>
      <c r="S14" s="296">
        <f>IF(B13&gt;0,(B14/B13),)</f>
        <v>65926.953817775982</v>
      </c>
      <c r="T14" s="296">
        <f t="shared" ref="T14" si="62">IF(C13&gt;0,(C14/C13),)</f>
        <v>69803.303894744517</v>
      </c>
      <c r="U14" s="296">
        <f t="shared" ref="U14" si="63">IF(D13&gt;0,(D14/D13),)</f>
        <v>57150.808953896354</v>
      </c>
      <c r="V14" s="296">
        <f t="shared" ref="V14" si="64">IF(E13&gt;0,(E14/E13),)</f>
        <v>55100.97779355778</v>
      </c>
      <c r="W14" s="296">
        <f t="shared" ref="W14" si="65">IF(F13&gt;0,(F14/F13),)</f>
        <v>50140.038461538461</v>
      </c>
      <c r="X14" s="296">
        <f t="shared" ref="X14" si="66">IF(G13&gt;0,(G14/G13),)</f>
        <v>61347.484679665737</v>
      </c>
      <c r="Y14" s="311">
        <f t="shared" ref="Y14" si="67">IF(H13&gt;0,(H14/H13),)</f>
        <v>62055.385232885033</v>
      </c>
      <c r="Z14" s="306">
        <f t="shared" ref="Z14" si="68">IF(I13&gt;0,(I14/I13),)</f>
        <v>0</v>
      </c>
      <c r="AA14" s="296">
        <f t="shared" ref="AA14" si="69">IF(J13&gt;0,(J14/J13),)</f>
        <v>0</v>
      </c>
      <c r="AB14" s="296">
        <f t="shared" ref="AB14" si="70">IF(K13&gt;0,(K14/K13),)</f>
        <v>0</v>
      </c>
      <c r="AC14" s="296">
        <f t="shared" ref="AC14" si="71">IF(L13&gt;0,(L14/L13),)</f>
        <v>0</v>
      </c>
      <c r="AD14" s="296">
        <f t="shared" ref="AD14" si="72">IF(M13&gt;0,(M14/M13),)</f>
        <v>0</v>
      </c>
      <c r="AE14" s="311">
        <f t="shared" ref="AE14" si="73">IF(N13&gt;0,(N14/N13),)</f>
        <v>0</v>
      </c>
      <c r="AF14" s="306">
        <f t="shared" ref="AF14" si="74">IF(O13&gt;0,(O14/O13),)</f>
        <v>0</v>
      </c>
      <c r="AG14" s="296">
        <f t="shared" ref="AG14" si="75">IF(P13&gt;0,(P14/P13),)</f>
        <v>0</v>
      </c>
      <c r="AH14" s="311">
        <f t="shared" ref="AH14" si="76">IF(Q13&gt;0,(Q14/Q13),)</f>
        <v>0</v>
      </c>
      <c r="AI14" s="516"/>
      <c r="AO14" s="524"/>
      <c r="AU14" s="524"/>
      <c r="AX14" s="524"/>
    </row>
    <row r="15" spans="1:50" x14ac:dyDescent="0.2">
      <c r="A15" s="696" t="s">
        <v>1087</v>
      </c>
      <c r="B15" s="697">
        <v>576</v>
      </c>
      <c r="C15" s="697">
        <v>370</v>
      </c>
      <c r="D15" s="697">
        <v>472</v>
      </c>
      <c r="E15" s="697">
        <v>228</v>
      </c>
      <c r="F15" s="697">
        <v>111</v>
      </c>
      <c r="G15" s="697">
        <v>39</v>
      </c>
      <c r="H15" s="697">
        <v>1796</v>
      </c>
      <c r="I15" s="697"/>
      <c r="J15" s="697">
        <v>0</v>
      </c>
      <c r="K15" s="697">
        <v>0</v>
      </c>
      <c r="L15" s="697">
        <v>0</v>
      </c>
      <c r="M15" s="697"/>
      <c r="N15" s="697">
        <v>0</v>
      </c>
      <c r="O15" s="697">
        <v>0</v>
      </c>
      <c r="P15" s="697">
        <v>0</v>
      </c>
      <c r="Q15" s="697">
        <v>0</v>
      </c>
      <c r="Y15" s="309"/>
      <c r="Z15" s="305"/>
      <c r="AE15" s="309"/>
      <c r="AF15" s="305"/>
      <c r="AH15" s="309"/>
      <c r="AI15" s="516"/>
      <c r="AO15" s="524"/>
      <c r="AU15" s="524"/>
      <c r="AX15" s="524"/>
    </row>
    <row r="16" spans="1:50" x14ac:dyDescent="0.2">
      <c r="A16" s="696" t="s">
        <v>1089</v>
      </c>
      <c r="B16" s="697">
        <v>38171243.017883718</v>
      </c>
      <c r="C16" s="697">
        <v>25175409.897102721</v>
      </c>
      <c r="D16" s="697">
        <v>26022628.150530085</v>
      </c>
      <c r="E16" s="697">
        <v>12244623.390024062</v>
      </c>
      <c r="F16" s="697">
        <v>4806273.9471365642</v>
      </c>
      <c r="G16" s="697">
        <v>2316951</v>
      </c>
      <c r="H16" s="697">
        <v>108737129.40267716</v>
      </c>
      <c r="I16" s="697"/>
      <c r="J16" s="697">
        <v>0</v>
      </c>
      <c r="K16" s="697">
        <v>0</v>
      </c>
      <c r="L16" s="697">
        <v>0</v>
      </c>
      <c r="M16" s="697"/>
      <c r="N16" s="697">
        <v>0</v>
      </c>
      <c r="O16" s="697">
        <v>0</v>
      </c>
      <c r="P16" s="697">
        <v>0</v>
      </c>
      <c r="Q16" s="697">
        <v>0</v>
      </c>
      <c r="R16" s="294"/>
      <c r="S16" s="296">
        <f>IF(B15&gt;0,(B16/B15),)</f>
        <v>66269.519128270345</v>
      </c>
      <c r="T16" s="296">
        <f t="shared" ref="T16" si="77">IF(C15&gt;0,(C16/C15),)</f>
        <v>68041.648370547889</v>
      </c>
      <c r="U16" s="296">
        <f t="shared" ref="U16" si="78">IF(D15&gt;0,(D16/D15),)</f>
        <v>55132.686759597636</v>
      </c>
      <c r="V16" s="296">
        <f t="shared" ref="V16" si="79">IF(E15&gt;0,(E16/E15),)</f>
        <v>53704.488552737115</v>
      </c>
      <c r="W16" s="296">
        <f t="shared" ref="W16" si="80">IF(F15&gt;0,(F16/F15),)</f>
        <v>43299.765289518597</v>
      </c>
      <c r="X16" s="296">
        <f t="shared" ref="X16" si="81">IF(G15&gt;0,(G16/G15),)</f>
        <v>59409</v>
      </c>
      <c r="Y16" s="311">
        <f t="shared" ref="Y16" si="82">IF(H15&gt;0,(H16/H15),)</f>
        <v>60544.058687459445</v>
      </c>
      <c r="Z16" s="306">
        <f t="shared" ref="Z16" si="83">IF(I15&gt;0,(I16/I15),)</f>
        <v>0</v>
      </c>
      <c r="AA16" s="296">
        <f t="shared" ref="AA16" si="84">IF(J15&gt;0,(J16/J15),)</f>
        <v>0</v>
      </c>
      <c r="AB16" s="296">
        <f t="shared" ref="AB16" si="85">IF(K15&gt;0,(K16/K15),)</f>
        <v>0</v>
      </c>
      <c r="AC16" s="296">
        <f t="shared" ref="AC16" si="86">IF(L15&gt;0,(L16/L15),)</f>
        <v>0</v>
      </c>
      <c r="AD16" s="296">
        <f t="shared" ref="AD16" si="87">IF(M15&gt;0,(M16/M15),)</f>
        <v>0</v>
      </c>
      <c r="AE16" s="311">
        <f t="shared" ref="AE16" si="88">IF(N15&gt;0,(N16/N15),)</f>
        <v>0</v>
      </c>
      <c r="AF16" s="306">
        <f t="shared" ref="AF16" si="89">IF(O15&gt;0,(O16/O15),)</f>
        <v>0</v>
      </c>
      <c r="AG16" s="296">
        <f t="shared" ref="AG16" si="90">IF(P15&gt;0,(P16/P15),)</f>
        <v>0</v>
      </c>
      <c r="AH16" s="311">
        <f t="shared" ref="AH16" si="91">IF(Q15&gt;0,(Q16/Q15),)</f>
        <v>0</v>
      </c>
      <c r="AI16" s="517">
        <f>IF(S14&gt;0,(S16-S14)/S14,)</f>
        <v>5.1961343677613793E-3</v>
      </c>
      <c r="AJ16" s="518">
        <f t="shared" ref="AJ16" si="92">IF(T14&gt;0,(T16-T14)/T14,)</f>
        <v>-2.523742324364767E-2</v>
      </c>
      <c r="AK16" s="518">
        <f t="shared" ref="AK16" si="93">IF(U14&gt;0,(U16-U14)/U14,)</f>
        <v>-3.5312224467841567E-2</v>
      </c>
      <c r="AL16" s="518">
        <f t="shared" ref="AL16" si="94">IF(V14&gt;0,(V16-V14)/V14,)</f>
        <v>-2.5344182567009509E-2</v>
      </c>
      <c r="AM16" s="518">
        <f t="shared" ref="AM16" si="95">IF(W14&gt;0,(W16-W14)/W14,)</f>
        <v>-0.13642337305478769</v>
      </c>
      <c r="AN16" s="518">
        <f t="shared" ref="AN16" si="96">IF(X14&gt;0,(X16-X14)/X14,)</f>
        <v>-3.1598437813511002E-2</v>
      </c>
      <c r="AO16" s="525">
        <f t="shared" ref="AO16" si="97">IF(Y14&gt;0,(Y16-Y14)/Y14,)</f>
        <v>-2.4354478499388817E-2</v>
      </c>
      <c r="AP16" s="518">
        <f t="shared" ref="AP16" si="98">IF(Z14&gt;0,(Z16-Z14)/Z14,)</f>
        <v>0</v>
      </c>
      <c r="AQ16" s="518">
        <f t="shared" ref="AQ16" si="99">IF(AA14&gt;0,(AA16-AA14)/AA14,)</f>
        <v>0</v>
      </c>
      <c r="AR16" s="518">
        <f t="shared" ref="AR16" si="100">IF(AB14&gt;0,(AB16-AB14)/AB14,)</f>
        <v>0</v>
      </c>
      <c r="AS16" s="518">
        <f t="shared" ref="AS16" si="101">IF(AC14&gt;0,(AC16-AC14)/AC14,)</f>
        <v>0</v>
      </c>
      <c r="AT16" s="518">
        <f t="shared" ref="AT16" si="102">IF(AD14&gt;0,(AD16-AD14)/AD14,)</f>
        <v>0</v>
      </c>
      <c r="AU16" s="525">
        <f t="shared" ref="AU16" si="103">IF(AE14&gt;0,(AE16-AE14)/AE14,)</f>
        <v>0</v>
      </c>
      <c r="AV16" s="518">
        <f t="shared" ref="AV16" si="104">IF(AF14&gt;0,(AF16-AF14)/AF14,)</f>
        <v>0</v>
      </c>
      <c r="AW16" s="518">
        <f t="shared" ref="AW16" si="105">IF(AG14&gt;0,(AG16-AG14)/AG14,)</f>
        <v>0</v>
      </c>
      <c r="AX16" s="525">
        <f t="shared" ref="AX16" si="106">IF(AH14&gt;0,(AH16-AH14)/AH14,)</f>
        <v>0</v>
      </c>
    </row>
    <row r="17" spans="1:50" x14ac:dyDescent="0.2">
      <c r="A17" s="696" t="s">
        <v>1091</v>
      </c>
      <c r="B17" s="697">
        <v>326</v>
      </c>
      <c r="C17" s="697">
        <v>111</v>
      </c>
      <c r="D17" s="697">
        <v>273</v>
      </c>
      <c r="E17" s="697">
        <v>97</v>
      </c>
      <c r="F17" s="697">
        <v>15</v>
      </c>
      <c r="G17" s="697">
        <v>3</v>
      </c>
      <c r="H17" s="697">
        <v>825</v>
      </c>
      <c r="I17" s="697"/>
      <c r="J17" s="697">
        <v>0</v>
      </c>
      <c r="K17" s="697">
        <v>0</v>
      </c>
      <c r="L17" s="697">
        <v>0</v>
      </c>
      <c r="M17" s="697"/>
      <c r="N17" s="697">
        <v>0</v>
      </c>
      <c r="O17" s="697">
        <v>0</v>
      </c>
      <c r="P17" s="697">
        <v>0</v>
      </c>
      <c r="Q17" s="697">
        <v>0</v>
      </c>
      <c r="Y17" s="309"/>
      <c r="Z17" s="305"/>
      <c r="AE17" s="309"/>
      <c r="AF17" s="305"/>
      <c r="AH17" s="309"/>
      <c r="AI17" s="516"/>
      <c r="AO17" s="524"/>
      <c r="AU17" s="524"/>
      <c r="AX17" s="524"/>
    </row>
    <row r="18" spans="1:50" x14ac:dyDescent="0.2">
      <c r="A18" s="696" t="s">
        <v>1093</v>
      </c>
      <c r="B18" s="697">
        <v>13747552.681654729</v>
      </c>
      <c r="C18" s="697">
        <v>6444201.7117117122</v>
      </c>
      <c r="D18" s="697">
        <v>12831420.450780775</v>
      </c>
      <c r="E18" s="697">
        <v>4368186.0487294402</v>
      </c>
      <c r="F18" s="697">
        <v>627725</v>
      </c>
      <c r="G18" s="697">
        <v>132867</v>
      </c>
      <c r="H18" s="697">
        <v>38151952.892876655</v>
      </c>
      <c r="I18" s="697"/>
      <c r="J18" s="697">
        <v>0</v>
      </c>
      <c r="K18" s="697">
        <v>0</v>
      </c>
      <c r="L18" s="697">
        <v>0</v>
      </c>
      <c r="M18" s="697"/>
      <c r="N18" s="697">
        <v>0</v>
      </c>
      <c r="O18" s="697">
        <v>0</v>
      </c>
      <c r="P18" s="697">
        <v>0</v>
      </c>
      <c r="Q18" s="697">
        <v>0</v>
      </c>
      <c r="R18" s="294"/>
      <c r="S18" s="296">
        <f>IF(B17&gt;0,(B18/B17),)</f>
        <v>42170.406998940889</v>
      </c>
      <c r="T18" s="296">
        <f t="shared" ref="T18" si="107">IF(C17&gt;0,(C18/C17),)</f>
        <v>58055.87127668209</v>
      </c>
      <c r="U18" s="296">
        <f t="shared" ref="U18" si="108">IF(D17&gt;0,(D18/D17),)</f>
        <v>47001.540112750095</v>
      </c>
      <c r="V18" s="296">
        <f t="shared" ref="V18" si="109">IF(E17&gt;0,(E18/E17),)</f>
        <v>45032.845863190109</v>
      </c>
      <c r="W18" s="296">
        <f t="shared" ref="W18" si="110">IF(F17&gt;0,(F18/F17),)</f>
        <v>41848.333333333336</v>
      </c>
      <c r="X18" s="296">
        <f t="shared" ref="X18" si="111">IF(G17&gt;0,(G18/G17),)</f>
        <v>44289</v>
      </c>
      <c r="Y18" s="311">
        <f t="shared" ref="Y18" si="112">IF(H17&gt;0,(H18/H17),)</f>
        <v>46244.791385305034</v>
      </c>
      <c r="Z18" s="306">
        <f t="shared" ref="Z18" si="113">IF(I17&gt;0,(I18/I17),)</f>
        <v>0</v>
      </c>
      <c r="AA18" s="296">
        <f t="shared" ref="AA18" si="114">IF(J17&gt;0,(J18/J17),)</f>
        <v>0</v>
      </c>
      <c r="AB18" s="296">
        <f t="shared" ref="AB18" si="115">IF(K17&gt;0,(K18/K17),)</f>
        <v>0</v>
      </c>
      <c r="AC18" s="296">
        <f t="shared" ref="AC18" si="116">IF(L17&gt;0,(L18/L17),)</f>
        <v>0</v>
      </c>
      <c r="AD18" s="296">
        <f t="shared" ref="AD18" si="117">IF(M17&gt;0,(M18/M17),)</f>
        <v>0</v>
      </c>
      <c r="AE18" s="311">
        <f t="shared" ref="AE18" si="118">IF(N17&gt;0,(N18/N17),)</f>
        <v>0</v>
      </c>
      <c r="AF18" s="306">
        <f t="shared" ref="AF18" si="119">IF(O17&gt;0,(O18/O17),)</f>
        <v>0</v>
      </c>
      <c r="AG18" s="296">
        <f t="shared" ref="AG18" si="120">IF(P17&gt;0,(P18/P17),)</f>
        <v>0</v>
      </c>
      <c r="AH18" s="311">
        <f t="shared" ref="AH18" si="121">IF(Q17&gt;0,(Q18/Q17),)</f>
        <v>0</v>
      </c>
      <c r="AI18" s="516"/>
      <c r="AO18" s="524"/>
      <c r="AU18" s="524"/>
      <c r="AX18" s="524"/>
    </row>
    <row r="19" spans="1:50" x14ac:dyDescent="0.2">
      <c r="A19" s="696" t="s">
        <v>1095</v>
      </c>
      <c r="B19" s="697">
        <v>349</v>
      </c>
      <c r="C19" s="697">
        <v>110</v>
      </c>
      <c r="D19" s="697">
        <v>256</v>
      </c>
      <c r="E19" s="697">
        <v>104</v>
      </c>
      <c r="F19" s="697">
        <v>20</v>
      </c>
      <c r="G19" s="697">
        <v>3</v>
      </c>
      <c r="H19" s="697">
        <v>842</v>
      </c>
      <c r="I19" s="697"/>
      <c r="J19" s="697">
        <v>0</v>
      </c>
      <c r="K19" s="697">
        <v>0</v>
      </c>
      <c r="L19" s="697">
        <v>0</v>
      </c>
      <c r="M19" s="697"/>
      <c r="N19" s="697">
        <v>0</v>
      </c>
      <c r="O19" s="697">
        <v>0</v>
      </c>
      <c r="P19" s="697">
        <v>0</v>
      </c>
      <c r="Q19" s="697">
        <v>0</v>
      </c>
      <c r="Y19" s="309"/>
      <c r="Z19" s="305"/>
      <c r="AE19" s="309"/>
      <c r="AF19" s="305"/>
      <c r="AH19" s="309"/>
      <c r="AI19" s="516"/>
      <c r="AO19" s="524"/>
      <c r="AU19" s="524"/>
      <c r="AX19" s="524"/>
    </row>
    <row r="20" spans="1:50" x14ac:dyDescent="0.2">
      <c r="A20" s="696" t="s">
        <v>1097</v>
      </c>
      <c r="B20" s="697">
        <v>15113545.839920558</v>
      </c>
      <c r="C20" s="697">
        <v>6441062.4220963176</v>
      </c>
      <c r="D20" s="697">
        <v>11503625.148882141</v>
      </c>
      <c r="E20" s="697">
        <v>4390825.2676636837</v>
      </c>
      <c r="F20" s="697">
        <v>703137.8823529412</v>
      </c>
      <c r="G20" s="697">
        <v>124814.45454545456</v>
      </c>
      <c r="H20" s="697">
        <v>38277011.015461095</v>
      </c>
      <c r="I20" s="697"/>
      <c r="J20" s="697">
        <v>0</v>
      </c>
      <c r="K20" s="697">
        <v>0</v>
      </c>
      <c r="L20" s="697">
        <v>0</v>
      </c>
      <c r="M20" s="697"/>
      <c r="N20" s="697">
        <v>0</v>
      </c>
      <c r="O20" s="697">
        <v>0</v>
      </c>
      <c r="P20" s="697">
        <v>0</v>
      </c>
      <c r="Q20" s="697">
        <v>0</v>
      </c>
      <c r="R20" s="294"/>
      <c r="S20" s="296">
        <f>IF(B19&gt;0,(B20/B19),)</f>
        <v>43305.288939600454</v>
      </c>
      <c r="T20" s="296">
        <f t="shared" ref="T20" si="122">IF(C19&gt;0,(C20/C19),)</f>
        <v>58555.112928148345</v>
      </c>
      <c r="U20" s="296">
        <f t="shared" ref="U20" si="123">IF(D19&gt;0,(D20/D19),)</f>
        <v>44936.035737820865</v>
      </c>
      <c r="V20" s="296">
        <f t="shared" ref="V20" si="124">IF(E19&gt;0,(E20/E19),)</f>
        <v>42219.47372753542</v>
      </c>
      <c r="W20" s="296">
        <f t="shared" ref="W20" si="125">IF(F19&gt;0,(F20/F19),)</f>
        <v>35156.894117647062</v>
      </c>
      <c r="X20" s="296">
        <f t="shared" ref="X20" si="126">IF(G19&gt;0,(G20/G19),)</f>
        <v>41604.818181818184</v>
      </c>
      <c r="Y20" s="311">
        <f t="shared" ref="Y20" si="127">IF(H19&gt;0,(H20/H19),)</f>
        <v>45459.633034989427</v>
      </c>
      <c r="Z20" s="306">
        <f t="shared" ref="Z20" si="128">IF(I19&gt;0,(I20/I19),)</f>
        <v>0</v>
      </c>
      <c r="AA20" s="296">
        <f t="shared" ref="AA20" si="129">IF(J19&gt;0,(J20/J19),)</f>
        <v>0</v>
      </c>
      <c r="AB20" s="296">
        <f t="shared" ref="AB20" si="130">IF(K19&gt;0,(K20/K19),)</f>
        <v>0</v>
      </c>
      <c r="AC20" s="296">
        <f t="shared" ref="AC20" si="131">IF(L19&gt;0,(L20/L19),)</f>
        <v>0</v>
      </c>
      <c r="AD20" s="296">
        <f t="shared" ref="AD20" si="132">IF(M19&gt;0,(M20/M19),)</f>
        <v>0</v>
      </c>
      <c r="AE20" s="311">
        <f t="shared" ref="AE20" si="133">IF(N19&gt;0,(N20/N19),)</f>
        <v>0</v>
      </c>
      <c r="AF20" s="306">
        <f t="shared" ref="AF20" si="134">IF(O19&gt;0,(O20/O19),)</f>
        <v>0</v>
      </c>
      <c r="AG20" s="296">
        <f t="shared" ref="AG20" si="135">IF(P19&gt;0,(P20/P19),)</f>
        <v>0</v>
      </c>
      <c r="AH20" s="311">
        <f t="shared" ref="AH20" si="136">IF(Q19&gt;0,(Q20/Q19),)</f>
        <v>0</v>
      </c>
      <c r="AI20" s="517">
        <f>IF(S18&gt;0,(S20-S18)/S18,)</f>
        <v>2.6911809048655078E-2</v>
      </c>
      <c r="AJ20" s="518">
        <f t="shared" ref="AJ20" si="137">IF(T18&gt;0,(T20-T18)/T18,)</f>
        <v>8.5993309632194422E-3</v>
      </c>
      <c r="AK20" s="518">
        <f t="shared" ref="AK20" si="138">IF(U18&gt;0,(U20-U18)/U18,)</f>
        <v>-4.3945461573692605E-2</v>
      </c>
      <c r="AL20" s="518">
        <f t="shared" ref="AL20" si="139">IF(V18&gt;0,(V20-V18)/V18,)</f>
        <v>-6.24737806755922E-2</v>
      </c>
      <c r="AM20" s="518">
        <f t="shared" ref="AM20" si="140">IF(W18&gt;0,(W20-W18)/W18,)</f>
        <v>-0.15989738856233876</v>
      </c>
      <c r="AN20" s="518">
        <f t="shared" ref="AN20" si="141">IF(X18&gt;0,(X20-X18)/X18,)</f>
        <v>-6.0606060606060559E-2</v>
      </c>
      <c r="AO20" s="525">
        <f t="shared" ref="AO20" si="142">IF(Y18&gt;0,(Y20-Y18)/Y18,)</f>
        <v>-1.6978308838584203E-2</v>
      </c>
      <c r="AP20" s="518">
        <f t="shared" ref="AP20" si="143">IF(Z18&gt;0,(Z20-Z18)/Z18,)</f>
        <v>0</v>
      </c>
      <c r="AQ20" s="518">
        <f t="shared" ref="AQ20" si="144">IF(AA18&gt;0,(AA20-AA18)/AA18,)</f>
        <v>0</v>
      </c>
      <c r="AR20" s="518">
        <f t="shared" ref="AR20" si="145">IF(AB18&gt;0,(AB20-AB18)/AB18,)</f>
        <v>0</v>
      </c>
      <c r="AS20" s="518">
        <f t="shared" ref="AS20" si="146">IF(AC18&gt;0,(AC20-AC18)/AC18,)</f>
        <v>0</v>
      </c>
      <c r="AT20" s="518">
        <f t="shared" ref="AT20" si="147">IF(AD18&gt;0,(AD20-AD18)/AD18,)</f>
        <v>0</v>
      </c>
      <c r="AU20" s="525">
        <f t="shared" ref="AU20" si="148">IF(AE18&gt;0,(AE20-AE18)/AE18,)</f>
        <v>0</v>
      </c>
      <c r="AV20" s="518">
        <f t="shared" ref="AV20" si="149">IF(AF18&gt;0,(AF20-AF18)/AF18,)</f>
        <v>0</v>
      </c>
      <c r="AW20" s="518">
        <f t="shared" ref="AW20" si="150">IF(AG18&gt;0,(AG20-AG18)/AG18,)</f>
        <v>0</v>
      </c>
      <c r="AX20" s="525">
        <f t="shared" ref="AX20" si="151">IF(AH18&gt;0,(AH20-AH18)/AH18,)</f>
        <v>0</v>
      </c>
    </row>
    <row r="21" spans="1:50" x14ac:dyDescent="0.2">
      <c r="A21" s="696" t="s">
        <v>1099</v>
      </c>
      <c r="B21" s="697">
        <v>25</v>
      </c>
      <c r="C21" s="697">
        <v>40</v>
      </c>
      <c r="D21" s="697">
        <v>71</v>
      </c>
      <c r="E21" s="697">
        <v>1</v>
      </c>
      <c r="F21" s="697">
        <v>9</v>
      </c>
      <c r="G21" s="697">
        <v>0</v>
      </c>
      <c r="H21" s="697">
        <v>146</v>
      </c>
      <c r="I21" s="697"/>
      <c r="J21" s="697">
        <v>0</v>
      </c>
      <c r="K21" s="697">
        <v>0</v>
      </c>
      <c r="L21" s="697">
        <v>0</v>
      </c>
      <c r="M21" s="697"/>
      <c r="N21" s="697">
        <v>0</v>
      </c>
      <c r="O21" s="697">
        <v>0</v>
      </c>
      <c r="P21" s="697">
        <v>0</v>
      </c>
      <c r="Q21" s="697">
        <v>0</v>
      </c>
      <c r="Y21" s="309"/>
      <c r="Z21" s="305"/>
      <c r="AE21" s="309"/>
      <c r="AF21" s="305"/>
      <c r="AH21" s="309"/>
      <c r="AI21" s="516"/>
      <c r="AO21" s="524"/>
      <c r="AU21" s="524"/>
      <c r="AX21" s="524"/>
    </row>
    <row r="22" spans="1:50" x14ac:dyDescent="0.2">
      <c r="A22" s="696" t="s">
        <v>1101</v>
      </c>
      <c r="B22" s="697">
        <v>1629811.3658681745</v>
      </c>
      <c r="C22" s="697">
        <v>1900581.1578947366</v>
      </c>
      <c r="D22" s="697">
        <v>3060595.297297297</v>
      </c>
      <c r="E22" s="697">
        <v>66874.909090909088</v>
      </c>
      <c r="F22" s="697">
        <v>589800.13483146066</v>
      </c>
      <c r="G22" s="697">
        <v>0</v>
      </c>
      <c r="H22" s="697">
        <v>7247662.8649825789</v>
      </c>
      <c r="I22" s="697"/>
      <c r="J22" s="697">
        <v>0</v>
      </c>
      <c r="K22" s="697">
        <v>0</v>
      </c>
      <c r="L22" s="697">
        <v>0</v>
      </c>
      <c r="M22" s="697"/>
      <c r="N22" s="697">
        <v>0</v>
      </c>
      <c r="O22" s="697">
        <v>0</v>
      </c>
      <c r="P22" s="697">
        <v>0</v>
      </c>
      <c r="Q22" s="697">
        <v>0</v>
      </c>
      <c r="R22" s="294"/>
      <c r="S22" s="296">
        <f>IF(B21&gt;0,(B22/B21),)</f>
        <v>65192.454634726979</v>
      </c>
      <c r="T22" s="296">
        <f t="shared" ref="T22" si="152">IF(C21&gt;0,(C22/C21),)</f>
        <v>47514.528947368417</v>
      </c>
      <c r="U22" s="296">
        <f t="shared" ref="U22" si="153">IF(D21&gt;0,(D22/D21),)</f>
        <v>43106.976018271787</v>
      </c>
      <c r="V22" s="296">
        <f t="shared" ref="V22" si="154">IF(E21&gt;0,(E22/E21),)</f>
        <v>66874.909090909088</v>
      </c>
      <c r="W22" s="296">
        <f t="shared" ref="W22" si="155">IF(F21&gt;0,(F22/F21),)</f>
        <v>65533.348314606737</v>
      </c>
      <c r="X22" s="296">
        <f t="shared" ref="X22" si="156">IF(G21&gt;0,(G22/G21),)</f>
        <v>0</v>
      </c>
      <c r="Y22" s="311">
        <f t="shared" ref="Y22" si="157">IF(H21&gt;0,(H22/H21),)</f>
        <v>49641.52647248342</v>
      </c>
      <c r="Z22" s="306">
        <f t="shared" ref="Z22" si="158">IF(I21&gt;0,(I22/I21),)</f>
        <v>0</v>
      </c>
      <c r="AA22" s="296">
        <f t="shared" ref="AA22" si="159">IF(J21&gt;0,(J22/J21),)</f>
        <v>0</v>
      </c>
      <c r="AB22" s="296">
        <f t="shared" ref="AB22" si="160">IF(K21&gt;0,(K22/K21),)</f>
        <v>0</v>
      </c>
      <c r="AC22" s="296">
        <f t="shared" ref="AC22" si="161">IF(L21&gt;0,(L22/L21),)</f>
        <v>0</v>
      </c>
      <c r="AD22" s="296">
        <f t="shared" ref="AD22" si="162">IF(M21&gt;0,(M22/M21),)</f>
        <v>0</v>
      </c>
      <c r="AE22" s="311">
        <f t="shared" ref="AE22" si="163">IF(N21&gt;0,(N22/N21),)</f>
        <v>0</v>
      </c>
      <c r="AF22" s="306">
        <f t="shared" ref="AF22" si="164">IF(O21&gt;0,(O22/O21),)</f>
        <v>0</v>
      </c>
      <c r="AG22" s="296">
        <f t="shared" ref="AG22" si="165">IF(P21&gt;0,(P22/P21),)</f>
        <v>0</v>
      </c>
      <c r="AH22" s="311">
        <f t="shared" ref="AH22" si="166">IF(Q21&gt;0,(Q22/Q21),)</f>
        <v>0</v>
      </c>
      <c r="AI22" s="516"/>
      <c r="AO22" s="524"/>
      <c r="AU22" s="524"/>
      <c r="AX22" s="524"/>
    </row>
    <row r="23" spans="1:50" x14ac:dyDescent="0.2">
      <c r="A23" s="696" t="s">
        <v>1103</v>
      </c>
      <c r="B23" s="697">
        <v>19</v>
      </c>
      <c r="C23" s="697">
        <v>41</v>
      </c>
      <c r="D23" s="697">
        <v>77</v>
      </c>
      <c r="E23" s="697">
        <v>4</v>
      </c>
      <c r="F23" s="697">
        <v>4</v>
      </c>
      <c r="G23" s="697">
        <v>0</v>
      </c>
      <c r="H23" s="697">
        <v>145</v>
      </c>
      <c r="I23" s="697"/>
      <c r="J23" s="697">
        <v>0</v>
      </c>
      <c r="K23" s="697">
        <v>0</v>
      </c>
      <c r="L23" s="697">
        <v>0</v>
      </c>
      <c r="M23" s="697"/>
      <c r="N23" s="697">
        <v>0</v>
      </c>
      <c r="O23" s="697">
        <v>0</v>
      </c>
      <c r="P23" s="697">
        <v>0</v>
      </c>
      <c r="Q23" s="697">
        <v>0</v>
      </c>
      <c r="Y23" s="309"/>
      <c r="Z23" s="305"/>
      <c r="AE23" s="309"/>
      <c r="AF23" s="305"/>
      <c r="AH23" s="309"/>
      <c r="AI23" s="516"/>
      <c r="AO23" s="524"/>
      <c r="AU23" s="524"/>
      <c r="AX23" s="524"/>
    </row>
    <row r="24" spans="1:50" x14ac:dyDescent="0.2">
      <c r="A24" s="696" t="s">
        <v>1105</v>
      </c>
      <c r="B24" s="697">
        <v>1272698</v>
      </c>
      <c r="C24" s="697">
        <v>1973685.7443609023</v>
      </c>
      <c r="D24" s="697">
        <v>3138635.0349999997</v>
      </c>
      <c r="E24" s="697">
        <v>243836.57142857142</v>
      </c>
      <c r="F24" s="697">
        <v>126097</v>
      </c>
      <c r="G24" s="697">
        <v>0</v>
      </c>
      <c r="H24" s="697">
        <v>6754952.3507894734</v>
      </c>
      <c r="I24" s="697"/>
      <c r="J24" s="697">
        <v>0</v>
      </c>
      <c r="K24" s="697">
        <v>0</v>
      </c>
      <c r="L24" s="697">
        <v>0</v>
      </c>
      <c r="M24" s="697"/>
      <c r="N24" s="697">
        <v>0</v>
      </c>
      <c r="O24" s="697">
        <v>0</v>
      </c>
      <c r="P24" s="697">
        <v>0</v>
      </c>
      <c r="Q24" s="697">
        <v>0</v>
      </c>
      <c r="R24" s="294"/>
      <c r="S24" s="296">
        <f>IF(B23&gt;0,(B24/B23),)</f>
        <v>66984.105263157893</v>
      </c>
      <c r="T24" s="296">
        <f t="shared" ref="T24" si="167">IF(C23&gt;0,(C24/C23),)</f>
        <v>48138.676691729328</v>
      </c>
      <c r="U24" s="296">
        <f t="shared" ref="U24" si="168">IF(D23&gt;0,(D24/D23),)</f>
        <v>40761.493961038956</v>
      </c>
      <c r="V24" s="296">
        <f t="shared" ref="V24" si="169">IF(E23&gt;0,(E24/E23),)</f>
        <v>60959.142857142855</v>
      </c>
      <c r="W24" s="296">
        <f t="shared" ref="W24" si="170">IF(F23&gt;0,(F24/F23),)</f>
        <v>31524.25</v>
      </c>
      <c r="X24" s="296">
        <f t="shared" ref="X24" si="171">IF(G23&gt;0,(G24/G23),)</f>
        <v>0</v>
      </c>
      <c r="Y24" s="311">
        <f t="shared" ref="Y24" si="172">IF(H23&gt;0,(H24/H23),)</f>
        <v>46585.878281306716</v>
      </c>
      <c r="Z24" s="306">
        <f t="shared" ref="Z24" si="173">IF(I23&gt;0,(I24/I23),)</f>
        <v>0</v>
      </c>
      <c r="AA24" s="296">
        <f t="shared" ref="AA24" si="174">IF(J23&gt;0,(J24/J23),)</f>
        <v>0</v>
      </c>
      <c r="AB24" s="296">
        <f t="shared" ref="AB24" si="175">IF(K23&gt;0,(K24/K23),)</f>
        <v>0</v>
      </c>
      <c r="AC24" s="296">
        <f t="shared" ref="AC24" si="176">IF(L23&gt;0,(L24/L23),)</f>
        <v>0</v>
      </c>
      <c r="AD24" s="296">
        <f t="shared" ref="AD24" si="177">IF(M23&gt;0,(M24/M23),)</f>
        <v>0</v>
      </c>
      <c r="AE24" s="311">
        <f t="shared" ref="AE24" si="178">IF(N23&gt;0,(N24/N23),)</f>
        <v>0</v>
      </c>
      <c r="AF24" s="306">
        <f t="shared" ref="AF24" si="179">IF(O23&gt;0,(O24/O23),)</f>
        <v>0</v>
      </c>
      <c r="AG24" s="296">
        <f t="shared" ref="AG24" si="180">IF(P23&gt;0,(P24/P23),)</f>
        <v>0</v>
      </c>
      <c r="AH24" s="311">
        <f t="shared" ref="AH24" si="181">IF(Q23&gt;0,(Q24/Q23),)</f>
        <v>0</v>
      </c>
      <c r="AI24" s="517">
        <f>IF(S22&gt;0,(S24-S22)/S22,)</f>
        <v>2.7482484567723741E-2</v>
      </c>
      <c r="AJ24" s="518">
        <f t="shared" ref="AJ24" si="182">IF(T22&gt;0,(T24-T22)/T22,)</f>
        <v>1.313593459070753E-2</v>
      </c>
      <c r="AK24" s="518">
        <f t="shared" ref="AK24" si="183">IF(U22&gt;0,(U24-U22)/U22,)</f>
        <v>-5.4410730556433612E-2</v>
      </c>
      <c r="AL24" s="518">
        <f t="shared" ref="AL24" si="184">IF(V22&gt;0,(V24-V22)/V22,)</f>
        <v>-8.8460176083744638E-2</v>
      </c>
      <c r="AM24" s="518">
        <f t="shared" ref="AM24" si="185">IF(W22&gt;0,(W24-W22)/W22,)</f>
        <v>-0.51895865523822848</v>
      </c>
      <c r="AN24" s="518">
        <f t="shared" ref="AN24" si="186">IF(X22&gt;0,(X24-X22)/X22,)</f>
        <v>0</v>
      </c>
      <c r="AO24" s="525">
        <f t="shared" ref="AO24" si="187">IF(Y22&gt;0,(Y24-Y22)/Y22,)</f>
        <v>-6.1554275388176614E-2</v>
      </c>
      <c r="AP24" s="518">
        <f t="shared" ref="AP24" si="188">IF(Z22&gt;0,(Z24-Z22)/Z22,)</f>
        <v>0</v>
      </c>
      <c r="AQ24" s="518">
        <f t="shared" ref="AQ24" si="189">IF(AA22&gt;0,(AA24-AA22)/AA22,)</f>
        <v>0</v>
      </c>
      <c r="AR24" s="518">
        <f t="shared" ref="AR24" si="190">IF(AB22&gt;0,(AB24-AB22)/AB22,)</f>
        <v>0</v>
      </c>
      <c r="AS24" s="518">
        <f t="shared" ref="AS24" si="191">IF(AC22&gt;0,(AC24-AC22)/AC22,)</f>
        <v>0</v>
      </c>
      <c r="AT24" s="518">
        <f t="shared" ref="AT24" si="192">IF(AD22&gt;0,(AD24-AD22)/AD22,)</f>
        <v>0</v>
      </c>
      <c r="AU24" s="525">
        <f t="shared" ref="AU24" si="193">IF(AE22&gt;0,(AE24-AE22)/AE22,)</f>
        <v>0</v>
      </c>
      <c r="AV24" s="518">
        <f t="shared" ref="AV24" si="194">IF(AF22&gt;0,(AF24-AF22)/AF22,)</f>
        <v>0</v>
      </c>
      <c r="AW24" s="518">
        <f t="shared" ref="AW24" si="195">IF(AG22&gt;0,(AG24-AG22)/AG22,)</f>
        <v>0</v>
      </c>
      <c r="AX24" s="525">
        <f t="shared" ref="AX24" si="196">IF(AH22&gt;0,(AH24-AH22)/AH22,)</f>
        <v>0</v>
      </c>
    </row>
    <row r="25" spans="1:50" x14ac:dyDescent="0.2">
      <c r="A25" s="696" t="s">
        <v>1107</v>
      </c>
      <c r="B25" s="697">
        <v>0</v>
      </c>
      <c r="C25" s="697">
        <v>0</v>
      </c>
      <c r="D25" s="697">
        <v>0</v>
      </c>
      <c r="E25" s="697">
        <v>0</v>
      </c>
      <c r="F25" s="697">
        <v>0</v>
      </c>
      <c r="G25" s="697">
        <v>0</v>
      </c>
      <c r="H25" s="697">
        <v>0</v>
      </c>
      <c r="I25" s="697"/>
      <c r="J25" s="697">
        <v>560</v>
      </c>
      <c r="K25" s="697">
        <v>942</v>
      </c>
      <c r="L25" s="697">
        <v>271</v>
      </c>
      <c r="M25" s="697"/>
      <c r="N25" s="697">
        <v>1773</v>
      </c>
      <c r="O25" s="697">
        <v>60</v>
      </c>
      <c r="P25" s="697">
        <v>89</v>
      </c>
      <c r="Q25" s="697">
        <v>149</v>
      </c>
      <c r="Y25" s="309"/>
      <c r="Z25" s="305"/>
      <c r="AE25" s="309"/>
      <c r="AF25" s="305"/>
      <c r="AH25" s="309"/>
      <c r="AI25" s="516"/>
      <c r="AO25" s="524"/>
      <c r="AU25" s="524"/>
      <c r="AX25" s="524"/>
    </row>
    <row r="26" spans="1:50" x14ac:dyDescent="0.2">
      <c r="A26" s="696" t="s">
        <v>1109</v>
      </c>
      <c r="B26" s="697">
        <v>0</v>
      </c>
      <c r="C26" s="697">
        <v>0</v>
      </c>
      <c r="D26" s="697">
        <v>0</v>
      </c>
      <c r="E26" s="697">
        <v>0</v>
      </c>
      <c r="F26" s="697">
        <v>0</v>
      </c>
      <c r="G26" s="697">
        <v>0</v>
      </c>
      <c r="H26" s="697">
        <v>0</v>
      </c>
      <c r="I26" s="697"/>
      <c r="J26" s="697">
        <v>30044677.890546504</v>
      </c>
      <c r="K26" s="697">
        <v>50007210.73122704</v>
      </c>
      <c r="L26" s="697">
        <v>14097327.085932635</v>
      </c>
      <c r="M26" s="697"/>
      <c r="N26" s="697">
        <v>94149215.707706183</v>
      </c>
      <c r="O26" s="697">
        <v>3223314.3816254418</v>
      </c>
      <c r="P26" s="697">
        <v>4726033.5991480276</v>
      </c>
      <c r="Q26" s="697">
        <v>7949347.9807734694</v>
      </c>
      <c r="R26" s="294"/>
      <c r="S26" s="296">
        <f>IF(B25&gt;0,(B26/B25),)</f>
        <v>0</v>
      </c>
      <c r="T26" s="296">
        <f t="shared" ref="T26" si="197">IF(C25&gt;0,(C26/C25),)</f>
        <v>0</v>
      </c>
      <c r="U26" s="296">
        <f t="shared" ref="U26" si="198">IF(D25&gt;0,(D26/D25),)</f>
        <v>0</v>
      </c>
      <c r="V26" s="296">
        <f t="shared" ref="V26" si="199">IF(E25&gt;0,(E26/E25),)</f>
        <v>0</v>
      </c>
      <c r="W26" s="296">
        <f t="shared" ref="W26" si="200">IF(F25&gt;0,(F26/F25),)</f>
        <v>0</v>
      </c>
      <c r="X26" s="296">
        <f t="shared" ref="X26" si="201">IF(G25&gt;0,(G26/G25),)</f>
        <v>0</v>
      </c>
      <c r="Y26" s="311">
        <f t="shared" ref="Y26" si="202">IF(H25&gt;0,(H26/H25),)</f>
        <v>0</v>
      </c>
      <c r="Z26" s="306">
        <f t="shared" ref="Z26" si="203">IF(I25&gt;0,(I26/I25),)</f>
        <v>0</v>
      </c>
      <c r="AA26" s="296">
        <f t="shared" ref="AA26" si="204">IF(J25&gt;0,(J26/J25),)</f>
        <v>53651.210518833046</v>
      </c>
      <c r="AB26" s="296">
        <f t="shared" ref="AB26" si="205">IF(K25&gt;0,(K26/K25),)</f>
        <v>53086.210967332314</v>
      </c>
      <c r="AC26" s="296">
        <f t="shared" ref="AC26" si="206">IF(L25&gt;0,(L26/L25),)</f>
        <v>52019.657143662858</v>
      </c>
      <c r="AD26" s="296">
        <f t="shared" ref="AD26" si="207">IF(M25&gt;0,(M26/M25),)</f>
        <v>0</v>
      </c>
      <c r="AE26" s="311">
        <f t="shared" ref="AE26" si="208">IF(N25&gt;0,(N26/N25),)</f>
        <v>53101.644505192431</v>
      </c>
      <c r="AF26" s="306">
        <f t="shared" ref="AF26" si="209">IF(O25&gt;0,(O26/O25),)</f>
        <v>53721.906360424029</v>
      </c>
      <c r="AG26" s="296">
        <f t="shared" ref="AG26" si="210">IF(P25&gt;0,(P26/P25),)</f>
        <v>53101.50111402278</v>
      </c>
      <c r="AH26" s="311">
        <f t="shared" ref="AH26" si="211">IF(Q25&gt;0,(Q26/Q25),)</f>
        <v>53351.328730023284</v>
      </c>
      <c r="AI26" s="516"/>
      <c r="AO26" s="524"/>
      <c r="AU26" s="524"/>
      <c r="AX26" s="524"/>
    </row>
    <row r="27" spans="1:50" x14ac:dyDescent="0.2">
      <c r="A27" s="696" t="s">
        <v>1111</v>
      </c>
      <c r="B27" s="697">
        <v>0</v>
      </c>
      <c r="C27" s="697">
        <v>0</v>
      </c>
      <c r="D27" s="697">
        <v>0</v>
      </c>
      <c r="E27" s="697">
        <v>0</v>
      </c>
      <c r="F27" s="697">
        <v>0</v>
      </c>
      <c r="G27" s="697">
        <v>0</v>
      </c>
      <c r="H27" s="697">
        <v>0</v>
      </c>
      <c r="I27" s="697"/>
      <c r="J27" s="697">
        <v>517</v>
      </c>
      <c r="K27" s="697">
        <v>933</v>
      </c>
      <c r="L27" s="697">
        <v>258</v>
      </c>
      <c r="M27" s="697"/>
      <c r="N27" s="697">
        <v>1708</v>
      </c>
      <c r="O27" s="697">
        <v>64</v>
      </c>
      <c r="P27" s="697">
        <v>89</v>
      </c>
      <c r="Q27" s="697">
        <v>153</v>
      </c>
      <c r="Y27" s="309"/>
      <c r="Z27" s="305"/>
      <c r="AE27" s="309"/>
      <c r="AF27" s="305"/>
      <c r="AH27" s="309"/>
      <c r="AI27" s="516"/>
      <c r="AO27" s="524"/>
      <c r="AU27" s="524"/>
      <c r="AX27" s="524"/>
    </row>
    <row r="28" spans="1:50" x14ac:dyDescent="0.2">
      <c r="A28" s="696" t="s">
        <v>1113</v>
      </c>
      <c r="B28" s="697">
        <v>0</v>
      </c>
      <c r="C28" s="697">
        <v>0</v>
      </c>
      <c r="D28" s="697">
        <v>0</v>
      </c>
      <c r="E28" s="697">
        <v>0</v>
      </c>
      <c r="F28" s="697">
        <v>0</v>
      </c>
      <c r="G28" s="697">
        <v>0</v>
      </c>
      <c r="H28" s="697">
        <v>0</v>
      </c>
      <c r="I28" s="697"/>
      <c r="J28" s="697">
        <v>30552164.027209572</v>
      </c>
      <c r="K28" s="697">
        <v>48059187.963936433</v>
      </c>
      <c r="L28" s="697">
        <v>13433758.73509806</v>
      </c>
      <c r="M28" s="697"/>
      <c r="N28" s="697">
        <v>92045110.726244062</v>
      </c>
      <c r="O28" s="697">
        <v>3415299.8592964821</v>
      </c>
      <c r="P28" s="697">
        <v>4366927.0164963659</v>
      </c>
      <c r="Q28" s="697">
        <v>7782226.8757928479</v>
      </c>
      <c r="R28" s="294"/>
      <c r="S28" s="296">
        <f>IF(B27&gt;0,(B28/B27),)</f>
        <v>0</v>
      </c>
      <c r="T28" s="296">
        <f t="shared" ref="T28" si="212">IF(C27&gt;0,(C28/C27),)</f>
        <v>0</v>
      </c>
      <c r="U28" s="296">
        <f t="shared" ref="U28" si="213">IF(D27&gt;0,(D28/D27),)</f>
        <v>0</v>
      </c>
      <c r="V28" s="296">
        <f t="shared" ref="V28" si="214">IF(E27&gt;0,(E28/E27),)</f>
        <v>0</v>
      </c>
      <c r="W28" s="296">
        <f t="shared" ref="W28" si="215">IF(F27&gt;0,(F28/F27),)</f>
        <v>0</v>
      </c>
      <c r="X28" s="296">
        <f t="shared" ref="X28" si="216">IF(G27&gt;0,(G28/G27),)</f>
        <v>0</v>
      </c>
      <c r="Y28" s="311">
        <f t="shared" ref="Y28" si="217">IF(H27&gt;0,(H28/H27),)</f>
        <v>0</v>
      </c>
      <c r="Z28" s="306">
        <f t="shared" ref="Z28" si="218">IF(I27&gt;0,(I28/I27),)</f>
        <v>0</v>
      </c>
      <c r="AA28" s="296">
        <f t="shared" ref="AA28" si="219">IF(J27&gt;0,(J28/J27),)</f>
        <v>59095.094830192596</v>
      </c>
      <c r="AB28" s="296">
        <f t="shared" ref="AB28" si="220">IF(K27&gt;0,(K28/K27),)</f>
        <v>51510.383669813971</v>
      </c>
      <c r="AC28" s="296">
        <f t="shared" ref="AC28" si="221">IF(L27&gt;0,(L28/L27),)</f>
        <v>52068.832306581629</v>
      </c>
      <c r="AD28" s="296">
        <f t="shared" ref="AD28" si="222">IF(M27&gt;0,(M28/M27),)</f>
        <v>0</v>
      </c>
      <c r="AE28" s="311">
        <f t="shared" ref="AE28" si="223">IF(N27&gt;0,(N28/N27),)</f>
        <v>53890.58005049418</v>
      </c>
      <c r="AF28" s="306">
        <f t="shared" ref="AF28" si="224">IF(O27&gt;0,(O28/O27),)</f>
        <v>53364.060301507532</v>
      </c>
      <c r="AG28" s="296">
        <f t="shared" ref="AG28" si="225">IF(P27&gt;0,(P28/P27),)</f>
        <v>49066.595690970404</v>
      </c>
      <c r="AH28" s="311">
        <f t="shared" ref="AH28" si="226">IF(Q27&gt;0,(Q28/Q27),)</f>
        <v>50864.227946358485</v>
      </c>
      <c r="AI28" s="517">
        <f>IF(S26&gt;0,(S28-S26)/S26,)</f>
        <v>0</v>
      </c>
      <c r="AJ28" s="518">
        <f t="shared" ref="AJ28" si="227">IF(T26&gt;0,(T28-T26)/T26,)</f>
        <v>0</v>
      </c>
      <c r="AK28" s="518">
        <f t="shared" ref="AK28" si="228">IF(U26&gt;0,(U28-U26)/U26,)</f>
        <v>0</v>
      </c>
      <c r="AL28" s="518">
        <f t="shared" ref="AL28" si="229">IF(V26&gt;0,(V28-V26)/V26,)</f>
        <v>0</v>
      </c>
      <c r="AM28" s="518">
        <f t="shared" ref="AM28" si="230">IF(W26&gt;0,(W28-W26)/W26,)</f>
        <v>0</v>
      </c>
      <c r="AN28" s="518">
        <f t="shared" ref="AN28" si="231">IF(X26&gt;0,(X28-X26)/X26,)</f>
        <v>0</v>
      </c>
      <c r="AO28" s="525">
        <f t="shared" ref="AO28" si="232">IF(Y26&gt;0,(Y28-Y26)/Y26,)</f>
        <v>0</v>
      </c>
      <c r="AP28" s="518">
        <f t="shared" ref="AP28" si="233">IF(Z26&gt;0,(Z28-Z26)/Z26,)</f>
        <v>0</v>
      </c>
      <c r="AQ28" s="527">
        <f t="shared" ref="AQ28" si="234">IF(AA26&gt;0,(AA28-AA26)/AA26,)</f>
        <v>0.10146806118099791</v>
      </c>
      <c r="AR28" s="527">
        <f t="shared" ref="AR28" si="235">IF(AB26&gt;0,(AB28-AB26)/AB26,)</f>
        <v>-2.9684305374291269E-2</v>
      </c>
      <c r="AS28" s="527">
        <f t="shared" ref="AS28" si="236">IF(AC26&gt;0,(AC28-AC26)/AC26,)</f>
        <v>9.4531885865690893E-4</v>
      </c>
      <c r="AT28" s="518">
        <f t="shared" ref="AT28" si="237">IF(AD26&gt;0,(AD28-AD26)/AD26,)</f>
        <v>0</v>
      </c>
      <c r="AU28" s="525">
        <f t="shared" ref="AU28" si="238">IF(AE26&gt;0,(AE28-AE26)/AE26,)</f>
        <v>1.4857083102663692E-2</v>
      </c>
      <c r="AV28" s="518">
        <f t="shared" ref="AV28" si="239">IF(AF26&gt;0,(AF28-AF26)/AF26,)</f>
        <v>-6.6610826599429055E-3</v>
      </c>
      <c r="AW28" s="518">
        <f t="shared" ref="AW28" si="240">IF(AG26&gt;0,(AG28-AG26)/AG26,)</f>
        <v>-7.5984771398239406E-2</v>
      </c>
      <c r="AX28" s="525">
        <f t="shared" ref="AX28" si="241">IF(AH26&gt;0,(AH28-AH26)/AH26,)</f>
        <v>-4.6617410341369639E-2</v>
      </c>
    </row>
    <row r="29" spans="1:50" x14ac:dyDescent="0.2">
      <c r="A29" s="696" t="s">
        <v>1115</v>
      </c>
      <c r="B29" s="697">
        <v>2394</v>
      </c>
      <c r="C29" s="697">
        <v>1158</v>
      </c>
      <c r="D29" s="697">
        <v>1519</v>
      </c>
      <c r="E29" s="697">
        <v>686</v>
      </c>
      <c r="F29" s="697">
        <v>237</v>
      </c>
      <c r="G29" s="697">
        <v>85</v>
      </c>
      <c r="H29" s="697">
        <v>6079</v>
      </c>
      <c r="I29" s="697"/>
      <c r="J29" s="697">
        <v>560</v>
      </c>
      <c r="K29" s="697">
        <v>942</v>
      </c>
      <c r="L29" s="697">
        <v>271</v>
      </c>
      <c r="M29" s="697"/>
      <c r="N29" s="697">
        <v>1773</v>
      </c>
      <c r="O29" s="697">
        <v>60</v>
      </c>
      <c r="P29" s="697">
        <v>89</v>
      </c>
      <c r="Q29" s="697">
        <v>149</v>
      </c>
      <c r="Y29" s="309"/>
      <c r="Z29" s="305"/>
      <c r="AE29" s="309"/>
      <c r="AF29" s="305"/>
      <c r="AH29" s="309"/>
      <c r="AI29" s="516"/>
      <c r="AO29" s="524"/>
      <c r="AU29" s="524"/>
      <c r="AX29" s="524"/>
    </row>
    <row r="30" spans="1:50" x14ac:dyDescent="0.2">
      <c r="A30" s="696" t="s">
        <v>1117</v>
      </c>
      <c r="B30" s="697">
        <v>199824880.86224288</v>
      </c>
      <c r="C30" s="697">
        <v>100362379.19547836</v>
      </c>
      <c r="D30" s="697">
        <v>94753967.344958633</v>
      </c>
      <c r="E30" s="697">
        <v>44415517.367905378</v>
      </c>
      <c r="F30" s="697">
        <v>13734735.13483146</v>
      </c>
      <c r="G30" s="697">
        <v>5908882.0327896802</v>
      </c>
      <c r="H30" s="697">
        <v>459000361.93820649</v>
      </c>
      <c r="I30" s="697"/>
      <c r="J30" s="697">
        <v>30044677.890546504</v>
      </c>
      <c r="K30" s="697">
        <v>50007210.73122704</v>
      </c>
      <c r="L30" s="697">
        <v>14097327.085932635</v>
      </c>
      <c r="M30" s="697"/>
      <c r="N30" s="697">
        <v>94149215.707706183</v>
      </c>
      <c r="O30" s="697">
        <v>3223314.3816254418</v>
      </c>
      <c r="P30" s="697">
        <v>4726033.5991480276</v>
      </c>
      <c r="Q30" s="697">
        <v>7949347.9807734694</v>
      </c>
      <c r="R30" s="294"/>
      <c r="S30" s="296">
        <f>IF(B29&gt;0,(B30/B29),)</f>
        <v>83469.039624997022</v>
      </c>
      <c r="T30" s="296">
        <f t="shared" ref="T30" si="242">IF(C29&gt;0,(C30/C29),)</f>
        <v>86668.721239618622</v>
      </c>
      <c r="U30" s="296">
        <f t="shared" ref="U30" si="243">IF(D29&gt;0,(D30/D29),)</f>
        <v>62379.17534230325</v>
      </c>
      <c r="V30" s="296">
        <f t="shared" ref="V30" si="244">IF(E29&gt;0,(E30/E29),)</f>
        <v>64745.652139803758</v>
      </c>
      <c r="W30" s="296">
        <f t="shared" ref="W30" si="245">IF(F29&gt;0,(F30/F29),)</f>
        <v>57952.468923339497</v>
      </c>
      <c r="X30" s="296">
        <f t="shared" ref="X30" si="246">IF(G29&gt;0,(G30/G29),)</f>
        <v>69516.259209290351</v>
      </c>
      <c r="Y30" s="311">
        <f t="shared" ref="Y30" si="247">IF(H29&gt;0,(H30/H29),)</f>
        <v>75505.899315381888</v>
      </c>
      <c r="Z30" s="306">
        <f t="shared" ref="Z30" si="248">IF(I29&gt;0,(I30/I29),)</f>
        <v>0</v>
      </c>
      <c r="AA30" s="296">
        <f t="shared" ref="AA30" si="249">IF(J29&gt;0,(J30/J29),)</f>
        <v>53651.210518833046</v>
      </c>
      <c r="AB30" s="296">
        <f t="shared" ref="AB30" si="250">IF(K29&gt;0,(K30/K29),)</f>
        <v>53086.210967332314</v>
      </c>
      <c r="AC30" s="296">
        <f t="shared" ref="AC30" si="251">IF(L29&gt;0,(L30/L29),)</f>
        <v>52019.657143662858</v>
      </c>
      <c r="AD30" s="296">
        <f t="shared" ref="AD30" si="252">IF(M29&gt;0,(M30/M29),)</f>
        <v>0</v>
      </c>
      <c r="AE30" s="311">
        <f t="shared" ref="AE30" si="253">IF(N29&gt;0,(N30/N29),)</f>
        <v>53101.644505192431</v>
      </c>
      <c r="AF30" s="306">
        <f t="shared" ref="AF30" si="254">IF(O29&gt;0,(O30/O29),)</f>
        <v>53721.906360424029</v>
      </c>
      <c r="AG30" s="296">
        <f t="shared" ref="AG30" si="255">IF(P29&gt;0,(P30/P29),)</f>
        <v>53101.50111402278</v>
      </c>
      <c r="AH30" s="311">
        <f t="shared" ref="AH30" si="256">IF(Q29&gt;0,(Q30/Q29),)</f>
        <v>53351.328730023284</v>
      </c>
      <c r="AI30" s="516"/>
      <c r="AO30" s="524"/>
      <c r="AU30" s="524"/>
      <c r="AX30" s="524"/>
    </row>
    <row r="31" spans="1:50" x14ac:dyDescent="0.2">
      <c r="A31" s="696" t="s">
        <v>1119</v>
      </c>
      <c r="B31" s="697">
        <v>2431</v>
      </c>
      <c r="C31" s="697">
        <v>1167</v>
      </c>
      <c r="D31" s="697">
        <v>1528</v>
      </c>
      <c r="E31" s="697">
        <v>708</v>
      </c>
      <c r="F31" s="697">
        <v>263</v>
      </c>
      <c r="G31" s="697">
        <v>88</v>
      </c>
      <c r="H31" s="697">
        <v>6185</v>
      </c>
      <c r="I31" s="697"/>
      <c r="J31" s="697">
        <v>517</v>
      </c>
      <c r="K31" s="697">
        <v>933</v>
      </c>
      <c r="L31" s="697">
        <v>258</v>
      </c>
      <c r="M31" s="697"/>
      <c r="N31" s="697">
        <v>1708</v>
      </c>
      <c r="O31" s="697">
        <v>64</v>
      </c>
      <c r="P31" s="697">
        <v>89</v>
      </c>
      <c r="Q31" s="697">
        <v>153</v>
      </c>
      <c r="Y31" s="309"/>
      <c r="Z31" s="305"/>
      <c r="AE31" s="309"/>
      <c r="AF31" s="305"/>
      <c r="AH31" s="309"/>
      <c r="AI31" s="516"/>
      <c r="AO31" s="524"/>
      <c r="AU31" s="524"/>
      <c r="AX31" s="524"/>
    </row>
    <row r="32" spans="1:50" ht="13.5" thickBot="1" x14ac:dyDescent="0.25">
      <c r="A32" s="701" t="s">
        <v>1121</v>
      </c>
      <c r="B32" s="702">
        <v>202509831.3346822</v>
      </c>
      <c r="C32" s="702">
        <v>99177410.833646104</v>
      </c>
      <c r="D32" s="702">
        <v>92584848.595153868</v>
      </c>
      <c r="E32" s="702">
        <v>43680517.880241998</v>
      </c>
      <c r="F32" s="702">
        <v>13525057.90194675</v>
      </c>
      <c r="G32" s="702">
        <v>5966057.8144568605</v>
      </c>
      <c r="H32" s="702">
        <v>457443724.36012775</v>
      </c>
      <c r="I32" s="702"/>
      <c r="J32" s="702">
        <v>30552164.027209572</v>
      </c>
      <c r="K32" s="702">
        <v>48059187.963936433</v>
      </c>
      <c r="L32" s="702">
        <v>13433758.73509806</v>
      </c>
      <c r="M32" s="702"/>
      <c r="N32" s="702">
        <v>92045110.726244062</v>
      </c>
      <c r="O32" s="702">
        <v>3415299.8592964821</v>
      </c>
      <c r="P32" s="702">
        <v>4366927.0164963659</v>
      </c>
      <c r="Q32" s="702">
        <v>7782226.8757928479</v>
      </c>
      <c r="S32" s="302">
        <f>IF(B31&gt;0,(B32/B31),)</f>
        <v>83303.098039770543</v>
      </c>
      <c r="T32" s="302">
        <f t="shared" ref="T32" si="257">IF(C31&gt;0,(C32/C31),)</f>
        <v>84984.927878017232</v>
      </c>
      <c r="U32" s="302">
        <f t="shared" ref="U32" si="258">IF(D31&gt;0,(D32/D31),)</f>
        <v>60592.178399969809</v>
      </c>
      <c r="V32" s="302">
        <f t="shared" ref="V32" si="259">IF(E31&gt;0,(E32/E31),)</f>
        <v>61695.646723505648</v>
      </c>
      <c r="W32" s="302">
        <f t="shared" ref="W32" si="260">IF(F31&gt;0,(F32/F31),)</f>
        <v>51426.075672801329</v>
      </c>
      <c r="X32" s="302">
        <f t="shared" ref="X32" si="261">IF(G31&gt;0,(G32/G31),)</f>
        <v>67796.111527918867</v>
      </c>
      <c r="Y32" s="312">
        <f t="shared" ref="Y32" si="262">IF(H31&gt;0,(H32/H31),)</f>
        <v>73960.181788217902</v>
      </c>
      <c r="Z32" s="307">
        <f t="shared" ref="Z32" si="263">IF(I31&gt;0,(I32/I31),)</f>
        <v>0</v>
      </c>
      <c r="AA32" s="302">
        <f t="shared" ref="AA32" si="264">IF(J31&gt;0,(J32/J31),)</f>
        <v>59095.094830192596</v>
      </c>
      <c r="AB32" s="302">
        <f t="shared" ref="AB32" si="265">IF(K31&gt;0,(K32/K31),)</f>
        <v>51510.383669813971</v>
      </c>
      <c r="AC32" s="302">
        <f t="shared" ref="AC32" si="266">IF(L31&gt;0,(L32/L31),)</f>
        <v>52068.832306581629</v>
      </c>
      <c r="AD32" s="302">
        <f t="shared" ref="AD32" si="267">IF(M31&gt;0,(M32/M31),)</f>
        <v>0</v>
      </c>
      <c r="AE32" s="312">
        <f t="shared" ref="AE32" si="268">IF(N31&gt;0,(N32/N31),)</f>
        <v>53890.58005049418</v>
      </c>
      <c r="AF32" s="307">
        <f t="shared" ref="AF32" si="269">IF(O31&gt;0,(O32/O31),)</f>
        <v>53364.060301507532</v>
      </c>
      <c r="AG32" s="302">
        <f t="shared" ref="AG32" si="270">IF(P31&gt;0,(P32/P31),)</f>
        <v>49066.595690970404</v>
      </c>
      <c r="AH32" s="312">
        <f t="shared" ref="AH32" si="271">IF(Q31&gt;0,(Q32/Q31),)</f>
        <v>50864.227946358485</v>
      </c>
      <c r="AI32" s="519">
        <f>IF(S30&gt;0,(S32-S30)/S30,)</f>
        <v>-1.9880615132509996E-3</v>
      </c>
      <c r="AJ32" s="520">
        <f t="shared" ref="AJ32" si="272">IF(T30&gt;0,(T32-T30)/T30,)</f>
        <v>-1.9427924371309208E-2</v>
      </c>
      <c r="AK32" s="520">
        <f t="shared" ref="AK32" si="273">IF(U30&gt;0,(U32-U30)/U30,)</f>
        <v>-2.8647331942549186E-2</v>
      </c>
      <c r="AL32" s="520">
        <f t="shared" ref="AL32" si="274">IF(V30&gt;0,(V32-V30)/V30,)</f>
        <v>-4.7107493947428407E-2</v>
      </c>
      <c r="AM32" s="520">
        <f t="shared" ref="AM32" si="275">IF(W30&gt;0,(W32-W30)/W30,)</f>
        <v>-0.11261631077653292</v>
      </c>
      <c r="AN32" s="520">
        <f t="shared" ref="AN32" si="276">IF(X30&gt;0,(X32-X30)/X30,)</f>
        <v>-2.4744537478529886E-2</v>
      </c>
      <c r="AO32" s="526">
        <f t="shared" ref="AO32" si="277">IF(Y30&gt;0,(Y32-Y30)/Y30,)</f>
        <v>-2.0471480257557784E-2</v>
      </c>
      <c r="AP32" s="520">
        <f t="shared" ref="AP32" si="278">IF(Z30&gt;0,(Z32-Z30)/Z30,)</f>
        <v>0</v>
      </c>
      <c r="AQ32" s="520">
        <f t="shared" ref="AQ32" si="279">IF(AA30&gt;0,(AA32-AA30)/AA30,)</f>
        <v>0.10146806118099791</v>
      </c>
      <c r="AR32" s="520">
        <f t="shared" ref="AR32" si="280">IF(AB30&gt;0,(AB32-AB30)/AB30,)</f>
        <v>-2.9684305374291269E-2</v>
      </c>
      <c r="AS32" s="520">
        <f t="shared" ref="AS32" si="281">IF(AC30&gt;0,(AC32-AC30)/AC30,)</f>
        <v>9.4531885865690893E-4</v>
      </c>
      <c r="AT32" s="520">
        <f t="shared" ref="AT32" si="282">IF(AD30&gt;0,(AD32-AD30)/AD30,)</f>
        <v>0</v>
      </c>
      <c r="AU32" s="526">
        <f t="shared" ref="AU32" si="283">IF(AE30&gt;0,(AE32-AE30)/AE30,)</f>
        <v>1.4857083102663692E-2</v>
      </c>
      <c r="AV32" s="520">
        <f t="shared" ref="AV32" si="284">IF(AF30&gt;0,(AF32-AF30)/AF30,)</f>
        <v>-6.6610826599429055E-3</v>
      </c>
      <c r="AW32" s="520">
        <f t="shared" ref="AW32" si="285">IF(AG30&gt;0,(AG32-AG30)/AG30,)</f>
        <v>-7.5984771398239406E-2</v>
      </c>
      <c r="AX32" s="526">
        <f t="shared" ref="AX32" si="286">IF(AH30&gt;0,(AH32-AH30)/AH30,)</f>
        <v>-4.6617410341369639E-2</v>
      </c>
    </row>
    <row r="33" spans="1:50" x14ac:dyDescent="0.2">
      <c r="A33" s="695" t="s">
        <v>32</v>
      </c>
      <c r="B33" s="697"/>
      <c r="C33" s="697"/>
      <c r="D33" s="697"/>
      <c r="E33" s="697"/>
      <c r="F33" s="697"/>
      <c r="G33" s="697"/>
      <c r="H33" s="697"/>
      <c r="I33" s="697"/>
      <c r="J33" s="697"/>
      <c r="K33" s="697"/>
      <c r="L33" s="697"/>
      <c r="M33" s="697"/>
      <c r="N33" s="697"/>
      <c r="O33" s="697"/>
      <c r="P33" s="697"/>
      <c r="Q33" s="697"/>
      <c r="Y33" s="309"/>
      <c r="Z33" s="305"/>
      <c r="AE33" s="309"/>
      <c r="AF33" s="305"/>
      <c r="AH33" s="309"/>
      <c r="AI33" s="516"/>
      <c r="AO33" s="524"/>
      <c r="AU33" s="524"/>
      <c r="AX33" s="524"/>
    </row>
    <row r="34" spans="1:50" x14ac:dyDescent="0.2">
      <c r="A34" s="696" t="s">
        <v>1067</v>
      </c>
      <c r="B34" s="697">
        <v>363</v>
      </c>
      <c r="C34" s="697"/>
      <c r="D34" s="697">
        <v>390</v>
      </c>
      <c r="E34" s="697">
        <v>87</v>
      </c>
      <c r="F34" s="697">
        <v>20</v>
      </c>
      <c r="G34" s="697">
        <v>41</v>
      </c>
      <c r="H34" s="697">
        <v>901</v>
      </c>
      <c r="I34" s="697"/>
      <c r="J34" s="697">
        <v>0</v>
      </c>
      <c r="K34" s="697">
        <v>5</v>
      </c>
      <c r="L34" s="697">
        <v>15</v>
      </c>
      <c r="M34" s="697"/>
      <c r="N34" s="697">
        <v>20</v>
      </c>
      <c r="O34" s="697"/>
      <c r="P34" s="697"/>
      <c r="Q34" s="697"/>
      <c r="S34" s="295"/>
      <c r="T34" s="295"/>
      <c r="U34" s="295"/>
      <c r="V34" s="295"/>
      <c r="W34" s="295"/>
      <c r="X34" s="295"/>
      <c r="Y34" s="310"/>
      <c r="Z34" s="305"/>
      <c r="AA34" s="295"/>
      <c r="AB34" s="295"/>
      <c r="AC34" s="295"/>
      <c r="AD34" s="295"/>
      <c r="AE34" s="310"/>
      <c r="AF34" s="305"/>
      <c r="AG34" s="295"/>
      <c r="AH34" s="310"/>
      <c r="AI34" s="516"/>
      <c r="AO34" s="524"/>
      <c r="AU34" s="524"/>
      <c r="AX34" s="524"/>
    </row>
    <row r="35" spans="1:50" x14ac:dyDescent="0.2">
      <c r="A35" s="696" t="s">
        <v>1069</v>
      </c>
      <c r="B35" s="697">
        <v>38835428.074822478</v>
      </c>
      <c r="C35" s="697"/>
      <c r="D35" s="697">
        <v>31202628.414680652</v>
      </c>
      <c r="E35" s="697">
        <v>5786788.0724407928</v>
      </c>
      <c r="F35" s="697">
        <v>1339740.9387096774</v>
      </c>
      <c r="G35" s="697">
        <v>2800924.4037396396</v>
      </c>
      <c r="H35" s="697">
        <v>79965509.904393241</v>
      </c>
      <c r="I35" s="697"/>
      <c r="J35" s="697">
        <v>0</v>
      </c>
      <c r="K35" s="697">
        <v>231904</v>
      </c>
      <c r="L35" s="697">
        <v>814892.58620689658</v>
      </c>
      <c r="M35" s="697"/>
      <c r="N35" s="697">
        <v>1046796.5862068966</v>
      </c>
      <c r="O35" s="697"/>
      <c r="P35" s="697"/>
      <c r="Q35" s="697"/>
      <c r="S35" s="296">
        <f>IF(B34&gt;0,(B35/B34),)</f>
        <v>106984.65034386357</v>
      </c>
      <c r="T35" s="296">
        <f t="shared" ref="T35" si="287">IF(C34&gt;0,(C35/C34),)</f>
        <v>0</v>
      </c>
      <c r="U35" s="296">
        <f t="shared" ref="U35" si="288">IF(D34&gt;0,(D35/D34),)</f>
        <v>80006.739524822187</v>
      </c>
      <c r="V35" s="296">
        <f t="shared" ref="V35" si="289">IF(E34&gt;0,(E35/E34),)</f>
        <v>66514.805430353939</v>
      </c>
      <c r="W35" s="296">
        <f t="shared" ref="W35" si="290">IF(F34&gt;0,(F35/F34),)</f>
        <v>66987.046935483871</v>
      </c>
      <c r="X35" s="296">
        <f t="shared" ref="X35" si="291">IF(G34&gt;0,(G35/G34),)</f>
        <v>68315.229359503399</v>
      </c>
      <c r="Y35" s="311">
        <f t="shared" ref="Y35" si="292">IF(H34&gt;0,(H35/H34),)</f>
        <v>88751.953279015812</v>
      </c>
      <c r="Z35" s="306">
        <f t="shared" ref="Z35" si="293">IF(I34&gt;0,(I35/I34),)</f>
        <v>0</v>
      </c>
      <c r="AA35" s="296">
        <f t="shared" ref="AA35" si="294">IF(J34&gt;0,(J35/J34),)</f>
        <v>0</v>
      </c>
      <c r="AB35" s="296">
        <f t="shared" ref="AB35" si="295">IF(K34&gt;0,(K35/K34),)</f>
        <v>46380.800000000003</v>
      </c>
      <c r="AC35" s="296">
        <f t="shared" ref="AC35" si="296">IF(L34&gt;0,(L35/L34),)</f>
        <v>54326.172413793109</v>
      </c>
      <c r="AD35" s="296">
        <f t="shared" ref="AD35" si="297">IF(M34&gt;0,(M35/M34),)</f>
        <v>0</v>
      </c>
      <c r="AE35" s="311">
        <f t="shared" ref="AE35" si="298">IF(N34&gt;0,(N35/N34),)</f>
        <v>52339.82931034483</v>
      </c>
      <c r="AF35" s="306">
        <f t="shared" ref="AF35" si="299">IF(O34&gt;0,(O35/O34),)</f>
        <v>0</v>
      </c>
      <c r="AG35" s="296">
        <f t="shared" ref="AG35" si="300">IF(P34&gt;0,(P35/P34),)</f>
        <v>0</v>
      </c>
      <c r="AH35" s="311">
        <f t="shared" ref="AH35" si="301">IF(Q34&gt;0,(Q35/Q34),)</f>
        <v>0</v>
      </c>
      <c r="AI35" s="516"/>
      <c r="AO35" s="524"/>
      <c r="AU35" s="524"/>
      <c r="AX35" s="524"/>
    </row>
    <row r="36" spans="1:50" x14ac:dyDescent="0.2">
      <c r="A36" s="696" t="s">
        <v>1071</v>
      </c>
      <c r="B36" s="697">
        <v>367</v>
      </c>
      <c r="C36" s="697"/>
      <c r="D36" s="697">
        <v>408</v>
      </c>
      <c r="E36" s="697">
        <v>88</v>
      </c>
      <c r="F36" s="697">
        <v>19</v>
      </c>
      <c r="G36" s="697">
        <v>42</v>
      </c>
      <c r="H36" s="697">
        <v>924</v>
      </c>
      <c r="I36" s="697"/>
      <c r="J36" s="697">
        <v>0</v>
      </c>
      <c r="K36" s="697">
        <v>1</v>
      </c>
      <c r="L36" s="697">
        <v>15</v>
      </c>
      <c r="M36" s="697"/>
      <c r="N36" s="697">
        <v>16</v>
      </c>
      <c r="O36" s="697"/>
      <c r="P36" s="697"/>
      <c r="Q36" s="697"/>
      <c r="Y36" s="309"/>
      <c r="Z36" s="305"/>
      <c r="AE36" s="309"/>
      <c r="AF36" s="305"/>
      <c r="AH36" s="309"/>
      <c r="AI36" s="516"/>
      <c r="AO36" s="524"/>
      <c r="AU36" s="524"/>
      <c r="AX36" s="524"/>
    </row>
    <row r="37" spans="1:50" x14ac:dyDescent="0.2">
      <c r="A37" s="696" t="s">
        <v>1073</v>
      </c>
      <c r="B37" s="697">
        <v>39184896.418660291</v>
      </c>
      <c r="C37" s="697"/>
      <c r="D37" s="697">
        <v>32416775.6660618</v>
      </c>
      <c r="E37" s="697">
        <v>5581458.4488073392</v>
      </c>
      <c r="F37" s="697">
        <v>946445.09999999986</v>
      </c>
      <c r="G37" s="697">
        <v>2956192.458333333</v>
      </c>
      <c r="H37" s="697">
        <v>81085768.091862753</v>
      </c>
      <c r="I37" s="697"/>
      <c r="J37" s="697">
        <v>0</v>
      </c>
      <c r="K37" s="697">
        <v>55482</v>
      </c>
      <c r="L37" s="697">
        <v>762315.29999999993</v>
      </c>
      <c r="M37" s="697"/>
      <c r="N37" s="697">
        <v>817797.29999999993</v>
      </c>
      <c r="O37" s="697"/>
      <c r="P37" s="697"/>
      <c r="Q37" s="697"/>
      <c r="R37" s="294"/>
      <c r="S37" s="296">
        <f>IF(B36&gt;0,(B37/B36),)</f>
        <v>106770.83492822967</v>
      </c>
      <c r="T37" s="296">
        <f t="shared" ref="T37" si="302">IF(C36&gt;0,(C37/C36),)</f>
        <v>0</v>
      </c>
      <c r="U37" s="296">
        <f t="shared" ref="U37" si="303">IF(D36&gt;0,(D37/D36),)</f>
        <v>79452.881534465196</v>
      </c>
      <c r="V37" s="296">
        <f t="shared" ref="V37" si="304">IF(E36&gt;0,(E37/E36),)</f>
        <v>63425.664190992487</v>
      </c>
      <c r="W37" s="296">
        <f t="shared" ref="W37" si="305">IF(F36&gt;0,(F37/F36),)</f>
        <v>49812.899999999994</v>
      </c>
      <c r="X37" s="296">
        <f t="shared" ref="X37" si="306">IF(G36&gt;0,(G37/G36),)</f>
        <v>70385.534722222219</v>
      </c>
      <c r="Y37" s="311">
        <f t="shared" ref="Y37" si="307">IF(H36&gt;0,(H37/H36),)</f>
        <v>87755.160272578738</v>
      </c>
      <c r="Z37" s="306">
        <f t="shared" ref="Z37" si="308">IF(I36&gt;0,(I37/I36),)</f>
        <v>0</v>
      </c>
      <c r="AA37" s="296">
        <f t="shared" ref="AA37" si="309">IF(J36&gt;0,(J37/J36),)</f>
        <v>0</v>
      </c>
      <c r="AB37" s="296">
        <f t="shared" ref="AB37" si="310">IF(K36&gt;0,(K37/K36),)</f>
        <v>55482</v>
      </c>
      <c r="AC37" s="296">
        <f t="shared" ref="AC37" si="311">IF(L36&gt;0,(L37/L36),)</f>
        <v>50821.02</v>
      </c>
      <c r="AD37" s="296">
        <f t="shared" ref="AD37" si="312">IF(M36&gt;0,(M37/M36),)</f>
        <v>0</v>
      </c>
      <c r="AE37" s="311">
        <f t="shared" ref="AE37" si="313">IF(N36&gt;0,(N37/N36),)</f>
        <v>51112.331249999996</v>
      </c>
      <c r="AF37" s="306">
        <f t="shared" ref="AF37" si="314">IF(O36&gt;0,(O37/O36),)</f>
        <v>0</v>
      </c>
      <c r="AG37" s="296">
        <f t="shared" ref="AG37" si="315">IF(P36&gt;0,(P37/P36),)</f>
        <v>0</v>
      </c>
      <c r="AH37" s="311">
        <f t="shared" ref="AH37" si="316">IF(Q36&gt;0,(Q37/Q36),)</f>
        <v>0</v>
      </c>
      <c r="AI37" s="527">
        <f>IF(S35&gt;0,(S37-S35)/S35,)</f>
        <v>-1.998561615583806E-3</v>
      </c>
      <c r="AJ37" s="518">
        <f t="shared" ref="AJ37" si="317">IF(T35&gt;0,(T37-T35)/T35,)</f>
        <v>0</v>
      </c>
      <c r="AK37" s="518">
        <f t="shared" ref="AK37" si="318">IF(U35&gt;0,(U37-U35)/U35,)</f>
        <v>-6.9226416880187516E-3</v>
      </c>
      <c r="AL37" s="518">
        <f t="shared" ref="AL37" si="319">IF(V35&gt;0,(V37-V35)/V35,)</f>
        <v>-4.6442911760390213E-2</v>
      </c>
      <c r="AM37" s="527">
        <f t="shared" ref="AM37" si="320">IF(W35&gt;0,(W37-W35)/W35,)</f>
        <v>-0.25638011706986469</v>
      </c>
      <c r="AN37" s="518">
        <f t="shared" ref="AN37" si="321">IF(X35&gt;0,(X37-X35)/X35,)</f>
        <v>3.0305180589001682E-2</v>
      </c>
      <c r="AO37" s="525">
        <f t="shared" ref="AO37" si="322">IF(Y35&gt;0,(Y37-Y35)/Y35,)</f>
        <v>-1.1231223309569143E-2</v>
      </c>
      <c r="AP37" s="518">
        <f t="shared" ref="AP37" si="323">IF(Z35&gt;0,(Z37-Z35)/Z35,)</f>
        <v>0</v>
      </c>
      <c r="AQ37" s="518">
        <f t="shared" ref="AQ37" si="324">IF(AA35&gt;0,(AA37-AA35)/AA35,)</f>
        <v>0</v>
      </c>
      <c r="AR37" s="527">
        <f t="shared" ref="AR37" si="325">IF(AB35&gt;0,(AB37-AB35)/AB35,)</f>
        <v>0.19622774941355037</v>
      </c>
      <c r="AS37" s="527">
        <f t="shared" ref="AS37" si="326">IF(AC35&gt;0,(AC37-AC35)/AC35,)</f>
        <v>-6.4520511165317679E-2</v>
      </c>
      <c r="AT37" s="518">
        <f t="shared" ref="AT37" si="327">IF(AD35&gt;0,(AD37-AD35)/AD35,)</f>
        <v>0</v>
      </c>
      <c r="AU37" s="525">
        <f t="shared" ref="AU37" si="328">IF(AE35&gt;0,(AE37-AE35)/AE35,)</f>
        <v>-2.3452465866223661E-2</v>
      </c>
      <c r="AV37" s="518">
        <f t="shared" ref="AV37" si="329">IF(AF35&gt;0,(AF37-AF35)/AF35,)</f>
        <v>0</v>
      </c>
      <c r="AW37" s="518">
        <f t="shared" ref="AW37" si="330">IF(AG35&gt;0,(AG37-AG35)/AG35,)</f>
        <v>0</v>
      </c>
      <c r="AX37" s="525">
        <f t="shared" ref="AX37" si="331">IF(AH35&gt;0,(AH37-AH35)/AH35,)</f>
        <v>0</v>
      </c>
    </row>
    <row r="38" spans="1:50" x14ac:dyDescent="0.2">
      <c r="A38" s="696" t="s">
        <v>1075</v>
      </c>
      <c r="B38" s="697">
        <v>214</v>
      </c>
      <c r="C38" s="697"/>
      <c r="D38" s="697">
        <v>453</v>
      </c>
      <c r="E38" s="697">
        <v>62</v>
      </c>
      <c r="F38" s="697">
        <v>45</v>
      </c>
      <c r="G38" s="697">
        <v>91</v>
      </c>
      <c r="H38" s="697">
        <v>865</v>
      </c>
      <c r="I38" s="697"/>
      <c r="J38" s="697">
        <v>0</v>
      </c>
      <c r="K38" s="697">
        <v>10</v>
      </c>
      <c r="L38" s="697">
        <v>4</v>
      </c>
      <c r="M38" s="697"/>
      <c r="N38" s="697">
        <v>14</v>
      </c>
      <c r="O38" s="697"/>
      <c r="P38" s="697"/>
      <c r="Q38" s="697"/>
      <c r="Y38" s="309"/>
      <c r="Z38" s="305"/>
      <c r="AE38" s="309"/>
      <c r="AF38" s="305"/>
      <c r="AH38" s="309"/>
      <c r="AI38" s="516"/>
      <c r="AO38" s="524"/>
      <c r="AU38" s="524"/>
      <c r="AX38" s="524"/>
    </row>
    <row r="39" spans="1:50" x14ac:dyDescent="0.2">
      <c r="A39" s="698" t="s">
        <v>1077</v>
      </c>
      <c r="B39" s="699">
        <v>16073297.473736372</v>
      </c>
      <c r="C39" s="699"/>
      <c r="D39" s="699">
        <v>29014521.269499451</v>
      </c>
      <c r="E39" s="699">
        <v>3499781.6618710812</v>
      </c>
      <c r="F39" s="699">
        <v>2502748.4892086331</v>
      </c>
      <c r="G39" s="699">
        <v>5977367.8394157877</v>
      </c>
      <c r="H39" s="699">
        <v>57067716.733731329</v>
      </c>
      <c r="I39" s="699"/>
      <c r="J39" s="699">
        <v>0</v>
      </c>
      <c r="K39" s="699">
        <v>564105.30612244899</v>
      </c>
      <c r="L39" s="699">
        <v>184938.30000000002</v>
      </c>
      <c r="M39" s="699"/>
      <c r="N39" s="699">
        <v>749043.60612244904</v>
      </c>
      <c r="O39" s="699"/>
      <c r="P39" s="699"/>
      <c r="Q39" s="699"/>
      <c r="S39" s="296">
        <f>IF(B38&gt;0,(B39/B38),)</f>
        <v>75108.866699702674</v>
      </c>
      <c r="T39" s="296">
        <f t="shared" ref="T39" si="332">IF(C38&gt;0,(C39/C38),)</f>
        <v>0</v>
      </c>
      <c r="U39" s="296">
        <f t="shared" ref="U39" si="333">IF(D38&gt;0,(D39/D38),)</f>
        <v>64049.715826709602</v>
      </c>
      <c r="V39" s="296">
        <f t="shared" ref="V39" si="334">IF(E38&gt;0,(E39/E38),)</f>
        <v>56448.091320501313</v>
      </c>
      <c r="W39" s="296">
        <f t="shared" ref="W39" si="335">IF(F38&gt;0,(F39/F38),)</f>
        <v>55616.633093525183</v>
      </c>
      <c r="X39" s="296">
        <f t="shared" ref="X39" si="336">IF(G38&gt;0,(G39/G38),)</f>
        <v>65685.360872700971</v>
      </c>
      <c r="Y39" s="311">
        <f t="shared" ref="Y39" si="337">IF(H38&gt;0,(H39/H38),)</f>
        <v>65974.238998533328</v>
      </c>
      <c r="Z39" s="306">
        <f t="shared" ref="Z39" si="338">IF(I38&gt;0,(I39/I38),)</f>
        <v>0</v>
      </c>
      <c r="AA39" s="296">
        <f t="shared" ref="AA39" si="339">IF(J38&gt;0,(J39/J38),)</f>
        <v>0</v>
      </c>
      <c r="AB39" s="296">
        <f t="shared" ref="AB39" si="340">IF(K38&gt;0,(K39/K38),)</f>
        <v>56410.530612244896</v>
      </c>
      <c r="AC39" s="296">
        <f t="shared" ref="AC39" si="341">IF(L38&gt;0,(L39/L38),)</f>
        <v>46234.575000000004</v>
      </c>
      <c r="AD39" s="296">
        <f t="shared" ref="AD39" si="342">IF(M38&gt;0,(M39/M38),)</f>
        <v>0</v>
      </c>
      <c r="AE39" s="311">
        <f t="shared" ref="AE39" si="343">IF(N38&gt;0,(N39/N38),)</f>
        <v>53503.114723032071</v>
      </c>
      <c r="AF39" s="306">
        <f t="shared" ref="AF39" si="344">IF(O38&gt;0,(O39/O38),)</f>
        <v>0</v>
      </c>
      <c r="AG39" s="296">
        <f t="shared" ref="AG39" si="345">IF(P38&gt;0,(P39/P38),)</f>
        <v>0</v>
      </c>
      <c r="AH39" s="311">
        <f t="shared" ref="AH39" si="346">IF(Q38&gt;0,(Q39/Q38),)</f>
        <v>0</v>
      </c>
      <c r="AI39" s="516"/>
      <c r="AO39" s="524"/>
      <c r="AU39" s="524"/>
      <c r="AX39" s="524"/>
    </row>
    <row r="40" spans="1:50" x14ac:dyDescent="0.2">
      <c r="A40" s="696" t="s">
        <v>1079</v>
      </c>
      <c r="B40" s="697">
        <v>218</v>
      </c>
      <c r="C40" s="697"/>
      <c r="D40" s="697">
        <v>474</v>
      </c>
      <c r="E40" s="697">
        <v>73</v>
      </c>
      <c r="F40" s="697">
        <v>49</v>
      </c>
      <c r="G40" s="697">
        <v>94</v>
      </c>
      <c r="H40" s="697">
        <v>908</v>
      </c>
      <c r="I40" s="697"/>
      <c r="J40" s="697">
        <v>0</v>
      </c>
      <c r="K40" s="697">
        <v>10</v>
      </c>
      <c r="L40" s="697">
        <v>3</v>
      </c>
      <c r="M40" s="697"/>
      <c r="N40" s="697">
        <v>13</v>
      </c>
      <c r="O40" s="697"/>
      <c r="P40" s="697"/>
      <c r="Q40" s="697"/>
      <c r="Y40" s="309"/>
      <c r="Z40" s="305"/>
      <c r="AE40" s="309"/>
      <c r="AF40" s="305"/>
      <c r="AH40" s="309"/>
      <c r="AI40" s="516"/>
      <c r="AO40" s="524"/>
      <c r="AU40" s="524"/>
      <c r="AX40" s="524"/>
    </row>
    <row r="41" spans="1:50" x14ac:dyDescent="0.2">
      <c r="A41" s="696" t="s">
        <v>1081</v>
      </c>
      <c r="B41" s="697">
        <v>16693073.199426113</v>
      </c>
      <c r="C41" s="697"/>
      <c r="D41" s="697">
        <v>30183416.507803809</v>
      </c>
      <c r="E41" s="697">
        <v>3950754.2691568346</v>
      </c>
      <c r="F41" s="697">
        <v>2038610.5065789474</v>
      </c>
      <c r="G41" s="697">
        <v>6057394.2191319121</v>
      </c>
      <c r="H41" s="697">
        <v>58923248.70209761</v>
      </c>
      <c r="I41" s="697"/>
      <c r="J41" s="697">
        <v>0</v>
      </c>
      <c r="K41" s="697">
        <v>589916.79611650482</v>
      </c>
      <c r="L41" s="697">
        <v>133202.45454545453</v>
      </c>
      <c r="M41" s="697"/>
      <c r="N41" s="697">
        <v>723119.25066195941</v>
      </c>
      <c r="O41" s="697"/>
      <c r="P41" s="697"/>
      <c r="Q41" s="697"/>
      <c r="R41" s="294"/>
      <c r="S41" s="296">
        <f>IF(B40&gt;0,(B41/B40),)</f>
        <v>76573.730272596847</v>
      </c>
      <c r="T41" s="296">
        <f t="shared" ref="T41" si="347">IF(C40&gt;0,(C41/C40),)</f>
        <v>0</v>
      </c>
      <c r="U41" s="296">
        <f t="shared" ref="U41" si="348">IF(D40&gt;0,(D41/D40),)</f>
        <v>63678.093898320272</v>
      </c>
      <c r="V41" s="296">
        <f t="shared" ref="V41" si="349">IF(E40&gt;0,(E41/E40),)</f>
        <v>54119.921495299102</v>
      </c>
      <c r="W41" s="296">
        <f t="shared" ref="W41" si="350">IF(F40&gt;0,(F41/F40),)</f>
        <v>41604.29605263158</v>
      </c>
      <c r="X41" s="296">
        <f t="shared" ref="X41" si="351">IF(G40&gt;0,(G41/G40),)</f>
        <v>64440.364033318212</v>
      </c>
      <c r="Y41" s="311">
        <f t="shared" ref="Y41" si="352">IF(H40&gt;0,(H41/H40),)</f>
        <v>64893.445707155959</v>
      </c>
      <c r="Z41" s="306">
        <f t="shared" ref="Z41" si="353">IF(I40&gt;0,(I41/I40),)</f>
        <v>0</v>
      </c>
      <c r="AA41" s="296">
        <f t="shared" ref="AA41" si="354">IF(J40&gt;0,(J41/J40),)</f>
        <v>0</v>
      </c>
      <c r="AB41" s="296">
        <f t="shared" ref="AB41" si="355">IF(K40&gt;0,(K41/K40),)</f>
        <v>58991.679611650485</v>
      </c>
      <c r="AC41" s="296">
        <f t="shared" ref="AC41" si="356">IF(L40&gt;0,(L41/L40),)</f>
        <v>44400.818181818177</v>
      </c>
      <c r="AD41" s="296">
        <f t="shared" ref="AD41" si="357">IF(M40&gt;0,(M41/M40),)</f>
        <v>0</v>
      </c>
      <c r="AE41" s="311">
        <f t="shared" ref="AE41" si="358">IF(N40&gt;0,(N41/N40),)</f>
        <v>55624.557743227648</v>
      </c>
      <c r="AF41" s="306">
        <f t="shared" ref="AF41" si="359">IF(O40&gt;0,(O41/O40),)</f>
        <v>0</v>
      </c>
      <c r="AG41" s="296">
        <f t="shared" ref="AG41" si="360">IF(P40&gt;0,(P41/P40),)</f>
        <v>0</v>
      </c>
      <c r="AH41" s="311">
        <f t="shared" ref="AH41" si="361">IF(Q40&gt;0,(Q41/Q40),)</f>
        <v>0</v>
      </c>
      <c r="AI41" s="517">
        <f>IF(S39&gt;0,(S41-S39)/S39,)</f>
        <v>1.9503204312094517E-2</v>
      </c>
      <c r="AJ41" s="518">
        <f t="shared" ref="AJ41" si="362">IF(T39&gt;0,(T41-T39)/T39,)</f>
        <v>0</v>
      </c>
      <c r="AK41" s="518">
        <f t="shared" ref="AK41" si="363">IF(U39&gt;0,(U41-U39)/U39,)</f>
        <v>-5.802085514239835E-3</v>
      </c>
      <c r="AL41" s="518">
        <f t="shared" ref="AL41" si="364">IF(V39&gt;0,(V41-V39)/V39,)</f>
        <v>-4.1244438398870105E-2</v>
      </c>
      <c r="AM41" s="527">
        <f t="shared" ref="AM41" si="365">IF(W39&gt;0,(W41-W39)/W39,)</f>
        <v>-0.25194507940332156</v>
      </c>
      <c r="AN41" s="518">
        <f t="shared" ref="AN41" si="366">IF(X39&gt;0,(X41-X39)/X39,)</f>
        <v>-1.8953946858807361E-2</v>
      </c>
      <c r="AO41" s="525">
        <f t="shared" ref="AO41" si="367">IF(Y39&gt;0,(Y41-Y39)/Y39,)</f>
        <v>-1.6382050142350203E-2</v>
      </c>
      <c r="AP41" s="518">
        <f t="shared" ref="AP41" si="368">IF(Z39&gt;0,(Z41-Z39)/Z39,)</f>
        <v>0</v>
      </c>
      <c r="AQ41" s="518">
        <f t="shared" ref="AQ41" si="369">IF(AA39&gt;0,(AA41-AA39)/AA39,)</f>
        <v>0</v>
      </c>
      <c r="AR41" s="527">
        <f t="shared" ref="AR41" si="370">IF(AB39&gt;0,(AB41-AB39)/AB39,)</f>
        <v>4.5756509846502036E-2</v>
      </c>
      <c r="AS41" s="527">
        <f t="shared" ref="AS41" si="371">IF(AC39&gt;0,(AC41-AC39)/AC39,)</f>
        <v>-3.9662023889736796E-2</v>
      </c>
      <c r="AT41" s="518">
        <f t="shared" ref="AT41" si="372">IF(AD39&gt;0,(AD41-AD39)/AD39,)</f>
        <v>0</v>
      </c>
      <c r="AU41" s="525">
        <f t="shared" ref="AU41" si="373">IF(AE39&gt;0,(AE41-AE39)/AE39,)</f>
        <v>3.9650832127766496E-2</v>
      </c>
      <c r="AV41" s="518">
        <f t="shared" ref="AV41" si="374">IF(AF39&gt;0,(AF41-AF39)/AF39,)</f>
        <v>0</v>
      </c>
      <c r="AW41" s="518">
        <f t="shared" ref="AW41" si="375">IF(AG39&gt;0,(AG41-AG39)/AG39,)</f>
        <v>0</v>
      </c>
      <c r="AX41" s="525">
        <f t="shared" ref="AX41" si="376">IF(AH39&gt;0,(AH41-AH39)/AH39,)</f>
        <v>0</v>
      </c>
    </row>
    <row r="42" spans="1:50" x14ac:dyDescent="0.2">
      <c r="A42" s="696" t="s">
        <v>1083</v>
      </c>
      <c r="B42" s="697">
        <v>167</v>
      </c>
      <c r="C42" s="697"/>
      <c r="D42" s="697">
        <v>522</v>
      </c>
      <c r="E42" s="697">
        <v>111</v>
      </c>
      <c r="F42" s="697">
        <v>23</v>
      </c>
      <c r="G42" s="697">
        <v>153</v>
      </c>
      <c r="H42" s="697">
        <v>976</v>
      </c>
      <c r="I42" s="697"/>
      <c r="J42" s="697">
        <v>0</v>
      </c>
      <c r="K42" s="697">
        <v>32</v>
      </c>
      <c r="L42" s="697">
        <v>44</v>
      </c>
      <c r="M42" s="697"/>
      <c r="N42" s="697">
        <v>76</v>
      </c>
      <c r="O42" s="697"/>
      <c r="P42" s="697"/>
      <c r="Q42" s="697"/>
      <c r="Y42" s="309"/>
      <c r="Z42" s="305"/>
      <c r="AE42" s="309"/>
      <c r="AF42" s="305"/>
      <c r="AH42" s="309"/>
      <c r="AI42" s="516"/>
      <c r="AO42" s="524"/>
      <c r="AU42" s="524"/>
      <c r="AX42" s="524"/>
    </row>
    <row r="43" spans="1:50" x14ac:dyDescent="0.2">
      <c r="A43" s="696" t="s">
        <v>1085</v>
      </c>
      <c r="B43" s="697">
        <v>12502443.030392412</v>
      </c>
      <c r="C43" s="697"/>
      <c r="D43" s="697">
        <v>28749046.905793414</v>
      </c>
      <c r="E43" s="697">
        <v>5606000.8199245492</v>
      </c>
      <c r="F43" s="697">
        <v>1090352.5774647889</v>
      </c>
      <c r="G43" s="697">
        <v>8033920.0517416205</v>
      </c>
      <c r="H43" s="697">
        <v>55981763.385316782</v>
      </c>
      <c r="I43" s="697"/>
      <c r="J43" s="697">
        <v>0</v>
      </c>
      <c r="K43" s="697">
        <v>1463209.0018791945</v>
      </c>
      <c r="L43" s="697">
        <v>1701114.8200890648</v>
      </c>
      <c r="M43" s="697"/>
      <c r="N43" s="697">
        <v>3164323.8219682593</v>
      </c>
      <c r="O43" s="697"/>
      <c r="P43" s="697"/>
      <c r="Q43" s="697"/>
      <c r="R43" s="294"/>
      <c r="S43" s="296">
        <f>IF(B42&gt;0,(B43/B42),)</f>
        <v>74864.928325703062</v>
      </c>
      <c r="T43" s="296">
        <f t="shared" ref="T43" si="377">IF(C42&gt;0,(C43/C42),)</f>
        <v>0</v>
      </c>
      <c r="U43" s="296">
        <f t="shared" ref="U43" si="378">IF(D42&gt;0,(D43/D42),)</f>
        <v>55074.802501519953</v>
      </c>
      <c r="V43" s="296">
        <f t="shared" ref="V43" si="379">IF(E42&gt;0,(E43/E42),)</f>
        <v>50504.511891212154</v>
      </c>
      <c r="W43" s="296">
        <f t="shared" ref="W43" si="380">IF(F42&gt;0,(F43/F42),)</f>
        <v>47406.633802816912</v>
      </c>
      <c r="X43" s="296">
        <f t="shared" ref="X43" si="381">IF(G42&gt;0,(G43/G42),)</f>
        <v>52509.281383932161</v>
      </c>
      <c r="Y43" s="311">
        <f t="shared" ref="Y43" si="382">IF(H42&gt;0,(H43/H42),)</f>
        <v>57358.36412429998</v>
      </c>
      <c r="Z43" s="306">
        <f t="shared" ref="Z43" si="383">IF(I42&gt;0,(I43/I42),)</f>
        <v>0</v>
      </c>
      <c r="AA43" s="296">
        <f t="shared" ref="AA43" si="384">IF(J42&gt;0,(J43/J42),)</f>
        <v>0</v>
      </c>
      <c r="AB43" s="296">
        <f t="shared" ref="AB43" si="385">IF(K42&gt;0,(K43/K42),)</f>
        <v>45725.281308724829</v>
      </c>
      <c r="AC43" s="296">
        <f t="shared" ref="AC43" si="386">IF(L42&gt;0,(L43/L42),)</f>
        <v>38661.700456569655</v>
      </c>
      <c r="AD43" s="296">
        <f t="shared" ref="AD43" si="387">IF(M42&gt;0,(M43/M42),)</f>
        <v>0</v>
      </c>
      <c r="AE43" s="311">
        <f t="shared" ref="AE43" si="388">IF(N42&gt;0,(N43/N42),)</f>
        <v>41635.839762740252</v>
      </c>
      <c r="AF43" s="306">
        <f t="shared" ref="AF43" si="389">IF(O42&gt;0,(O43/O42),)</f>
        <v>0</v>
      </c>
      <c r="AG43" s="296">
        <f t="shared" ref="AG43" si="390">IF(P42&gt;0,(P43/P42),)</f>
        <v>0</v>
      </c>
      <c r="AH43" s="311">
        <f t="shared" ref="AH43" si="391">IF(Q42&gt;0,(Q43/Q42),)</f>
        <v>0</v>
      </c>
      <c r="AI43" s="516"/>
      <c r="AO43" s="524"/>
      <c r="AU43" s="524"/>
      <c r="AX43" s="524"/>
    </row>
    <row r="44" spans="1:50" x14ac:dyDescent="0.2">
      <c r="A44" s="696" t="s">
        <v>1087</v>
      </c>
      <c r="B44" s="697">
        <v>195</v>
      </c>
      <c r="C44" s="697"/>
      <c r="D44" s="697">
        <v>521</v>
      </c>
      <c r="E44" s="697">
        <v>100</v>
      </c>
      <c r="F44" s="697">
        <v>21</v>
      </c>
      <c r="G44" s="697">
        <v>149</v>
      </c>
      <c r="H44" s="697">
        <v>986</v>
      </c>
      <c r="I44" s="697"/>
      <c r="J44" s="697">
        <v>0</v>
      </c>
      <c r="K44" s="697">
        <v>36</v>
      </c>
      <c r="L44" s="697">
        <v>50</v>
      </c>
      <c r="M44" s="697"/>
      <c r="N44" s="697">
        <v>86</v>
      </c>
      <c r="O44" s="697"/>
      <c r="P44" s="697"/>
      <c r="Q44" s="697"/>
      <c r="Y44" s="309"/>
      <c r="Z44" s="305"/>
      <c r="AE44" s="309"/>
      <c r="AF44" s="305"/>
      <c r="AH44" s="309"/>
      <c r="AI44" s="516"/>
      <c r="AO44" s="524"/>
      <c r="AU44" s="524"/>
      <c r="AX44" s="524"/>
    </row>
    <row r="45" spans="1:50" x14ac:dyDescent="0.2">
      <c r="A45" s="696" t="s">
        <v>1089</v>
      </c>
      <c r="B45" s="697">
        <v>14478251.200331125</v>
      </c>
      <c r="C45" s="697"/>
      <c r="D45" s="697">
        <v>28948200.117462467</v>
      </c>
      <c r="E45" s="697">
        <v>5043941.4945205487</v>
      </c>
      <c r="F45" s="697">
        <v>682431.98507462686</v>
      </c>
      <c r="G45" s="697">
        <v>7930554.7806940898</v>
      </c>
      <c r="H45" s="697">
        <v>57083379.578082852</v>
      </c>
      <c r="I45" s="697"/>
      <c r="J45" s="697">
        <v>0</v>
      </c>
      <c r="K45" s="697">
        <v>1738471.5529411766</v>
      </c>
      <c r="L45" s="697">
        <v>2087680.3163678427</v>
      </c>
      <c r="M45" s="697"/>
      <c r="N45" s="697">
        <v>3826151.8693090193</v>
      </c>
      <c r="O45" s="697"/>
      <c r="P45" s="697"/>
      <c r="Q45" s="697"/>
      <c r="R45" s="294"/>
      <c r="S45" s="296">
        <f>IF(B44&gt;0,(B45/B44),)</f>
        <v>74247.442052980128</v>
      </c>
      <c r="T45" s="296">
        <f t="shared" ref="T45" si="392">IF(C44&gt;0,(C45/C44),)</f>
        <v>0</v>
      </c>
      <c r="U45" s="296">
        <f t="shared" ref="U45" si="393">IF(D44&gt;0,(D45/D44),)</f>
        <v>55562.764141002815</v>
      </c>
      <c r="V45" s="296">
        <f t="shared" ref="V45" si="394">IF(E44&gt;0,(E45/E44),)</f>
        <v>50439.414945205484</v>
      </c>
      <c r="W45" s="296">
        <f t="shared" ref="W45" si="395">IF(F44&gt;0,(F45/F44),)</f>
        <v>32496.761194029852</v>
      </c>
      <c r="X45" s="296">
        <f t="shared" ref="X45" si="396">IF(G44&gt;0,(G45/G44),)</f>
        <v>53225.19987043013</v>
      </c>
      <c r="Y45" s="311">
        <f t="shared" ref="Y45" si="397">IF(H44&gt;0,(H45/H44),)</f>
        <v>57893.894095418713</v>
      </c>
      <c r="Z45" s="306">
        <f t="shared" ref="Z45" si="398">IF(I44&gt;0,(I45/I44),)</f>
        <v>0</v>
      </c>
      <c r="AA45" s="296">
        <f t="shared" ref="AA45" si="399">IF(J44&gt;0,(J45/J44),)</f>
        <v>0</v>
      </c>
      <c r="AB45" s="296">
        <f t="shared" ref="AB45" si="400">IF(K44&gt;0,(K45/K44),)</f>
        <v>48290.876470588235</v>
      </c>
      <c r="AC45" s="296">
        <f t="shared" ref="AC45" si="401">IF(L44&gt;0,(L45/L44),)</f>
        <v>41753.606327356858</v>
      </c>
      <c r="AD45" s="296">
        <f t="shared" ref="AD45" si="402">IF(M44&gt;0,(M45/M44),)</f>
        <v>0</v>
      </c>
      <c r="AE45" s="311">
        <f t="shared" ref="AE45" si="403">IF(N44&gt;0,(N45/N44),)</f>
        <v>44490.138015221157</v>
      </c>
      <c r="AF45" s="306">
        <f t="shared" ref="AF45" si="404">IF(O44&gt;0,(O45/O44),)</f>
        <v>0</v>
      </c>
      <c r="AG45" s="296">
        <f t="shared" ref="AG45" si="405">IF(P44&gt;0,(P45/P44),)</f>
        <v>0</v>
      </c>
      <c r="AH45" s="311">
        <f t="shared" ref="AH45" si="406">IF(Q44&gt;0,(Q45/Q44),)</f>
        <v>0</v>
      </c>
      <c r="AI45" s="517">
        <f>IF(S43&gt;0,(S45-S43)/S43,)</f>
        <v>-8.2480045935065006E-3</v>
      </c>
      <c r="AJ45" s="518">
        <f t="shared" ref="AJ45" si="407">IF(T43&gt;0,(T45-T43)/T43,)</f>
        <v>0</v>
      </c>
      <c r="AK45" s="518">
        <f t="shared" ref="AK45" si="408">IF(U43&gt;0,(U45-U43)/U43,)</f>
        <v>8.8599798332349156E-3</v>
      </c>
      <c r="AL45" s="518">
        <f t="shared" ref="AL45" si="409">IF(V43&gt;0,(V45-V43)/V43,)</f>
        <v>-1.2889332768305963E-3</v>
      </c>
      <c r="AM45" s="527">
        <f t="shared" ref="AM45" si="410">IF(W43&gt;0,(W45-W43)/W43,)</f>
        <v>-0.31451025758975343</v>
      </c>
      <c r="AN45" s="518">
        <f t="shared" ref="AN45" si="411">IF(X43&gt;0,(X45-X43)/X43,)</f>
        <v>1.3634132245371765E-2</v>
      </c>
      <c r="AO45" s="525">
        <f t="shared" ref="AO45" si="412">IF(Y43&gt;0,(Y45-Y43)/Y43,)</f>
        <v>9.3365628412658015E-3</v>
      </c>
      <c r="AP45" s="518">
        <f t="shared" ref="AP45" si="413">IF(Z43&gt;0,(Z45-Z43)/Z43,)</f>
        <v>0</v>
      </c>
      <c r="AQ45" s="518">
        <f t="shared" ref="AQ45" si="414">IF(AA43&gt;0,(AA45-AA43)/AA43,)</f>
        <v>0</v>
      </c>
      <c r="AR45" s="518">
        <f t="shared" ref="AR45" si="415">IF(AB43&gt;0,(AB45-AB43)/AB43,)</f>
        <v>5.6108898369398676E-2</v>
      </c>
      <c r="AS45" s="518">
        <f t="shared" ref="AS45" si="416">IF(AC43&gt;0,(AC45-AC43)/AC43,)</f>
        <v>7.9973354360356533E-2</v>
      </c>
      <c r="AT45" s="518">
        <f t="shared" ref="AT45" si="417">IF(AD43&gt;0,(AD45-AD43)/AD43,)</f>
        <v>0</v>
      </c>
      <c r="AU45" s="525">
        <f t="shared" ref="AU45" si="418">IF(AE43&gt;0,(AE45-AE43)/AE43,)</f>
        <v>6.8553877350522541E-2</v>
      </c>
      <c r="AV45" s="518">
        <f t="shared" ref="AV45" si="419">IF(AF43&gt;0,(AF45-AF43)/AF43,)</f>
        <v>0</v>
      </c>
      <c r="AW45" s="518">
        <f t="shared" ref="AW45" si="420">IF(AG43&gt;0,(AG45-AG43)/AG43,)</f>
        <v>0</v>
      </c>
      <c r="AX45" s="525">
        <f t="shared" ref="AX45" si="421">IF(AH43&gt;0,(AH45-AH43)/AH43,)</f>
        <v>0</v>
      </c>
    </row>
    <row r="46" spans="1:50" x14ac:dyDescent="0.2">
      <c r="A46" s="696" t="s">
        <v>1091</v>
      </c>
      <c r="B46" s="697">
        <v>178</v>
      </c>
      <c r="C46" s="697"/>
      <c r="D46" s="697">
        <v>327</v>
      </c>
      <c r="E46" s="697">
        <v>70</v>
      </c>
      <c r="F46" s="697">
        <v>29</v>
      </c>
      <c r="G46" s="697">
        <v>127</v>
      </c>
      <c r="H46" s="697">
        <v>731</v>
      </c>
      <c r="I46" s="697"/>
      <c r="J46" s="697">
        <v>0</v>
      </c>
      <c r="K46" s="697">
        <v>74</v>
      </c>
      <c r="L46" s="697">
        <v>111</v>
      </c>
      <c r="M46" s="697"/>
      <c r="N46" s="697">
        <v>185</v>
      </c>
      <c r="O46" s="697"/>
      <c r="P46" s="697"/>
      <c r="Q46" s="697"/>
      <c r="Y46" s="309"/>
      <c r="Z46" s="305"/>
      <c r="AE46" s="309"/>
      <c r="AF46" s="305"/>
      <c r="AH46" s="309"/>
      <c r="AI46" s="516"/>
      <c r="AO46" s="524"/>
      <c r="AU46" s="524"/>
      <c r="AX46" s="524"/>
    </row>
    <row r="47" spans="1:50" x14ac:dyDescent="0.2">
      <c r="A47" s="696" t="s">
        <v>1093</v>
      </c>
      <c r="B47" s="697">
        <v>7733673.2263473049</v>
      </c>
      <c r="C47" s="697"/>
      <c r="D47" s="697">
        <v>12966400.053038482</v>
      </c>
      <c r="E47" s="697">
        <v>2844404.7136086579</v>
      </c>
      <c r="F47" s="697">
        <v>1200547.2535018052</v>
      </c>
      <c r="G47" s="697">
        <v>5364219.8757997938</v>
      </c>
      <c r="H47" s="697">
        <v>30109245.122296043</v>
      </c>
      <c r="I47" s="697"/>
      <c r="J47" s="697">
        <v>0</v>
      </c>
      <c r="K47" s="697">
        <v>2990671.315751445</v>
      </c>
      <c r="L47" s="697">
        <v>4400607.4538693745</v>
      </c>
      <c r="M47" s="697"/>
      <c r="N47" s="697">
        <v>7391278.769620819</v>
      </c>
      <c r="O47" s="697"/>
      <c r="P47" s="697"/>
      <c r="Q47" s="697"/>
      <c r="R47" s="294"/>
      <c r="S47" s="296">
        <f>IF(B46&gt;0,(B47/B46),)</f>
        <v>43447.602395209578</v>
      </c>
      <c r="T47" s="296">
        <f t="shared" ref="T47" si="422">IF(C46&gt;0,(C47/C46),)</f>
        <v>0</v>
      </c>
      <c r="U47" s="296">
        <f t="shared" ref="U47" si="423">IF(D46&gt;0,(D47/D46),)</f>
        <v>39652.599550576393</v>
      </c>
      <c r="V47" s="296">
        <f t="shared" ref="V47" si="424">IF(E46&gt;0,(E47/E46),)</f>
        <v>40634.353051552258</v>
      </c>
      <c r="W47" s="296">
        <f t="shared" ref="W47" si="425">IF(F46&gt;0,(F47/F46),)</f>
        <v>41398.181155234663</v>
      </c>
      <c r="X47" s="296">
        <f t="shared" ref="X47" si="426">IF(G46&gt;0,(G47/G46),)</f>
        <v>42237.95177795113</v>
      </c>
      <c r="Y47" s="311">
        <f t="shared" ref="Y47" si="427">IF(H46&gt;0,(H47/H46),)</f>
        <v>41189.117814358469</v>
      </c>
      <c r="Z47" s="306">
        <f t="shared" ref="Z47" si="428">IF(I46&gt;0,(I47/I46),)</f>
        <v>0</v>
      </c>
      <c r="AA47" s="296">
        <f t="shared" ref="AA47" si="429">IF(J46&gt;0,(J47/J46),)</f>
        <v>0</v>
      </c>
      <c r="AB47" s="296">
        <f t="shared" ref="AB47" si="430">IF(K46&gt;0,(K47/K46),)</f>
        <v>40414.477239884392</v>
      </c>
      <c r="AC47" s="296">
        <f t="shared" ref="AC47" si="431">IF(L46&gt;0,(L47/L46),)</f>
        <v>39645.112197021394</v>
      </c>
      <c r="AD47" s="296">
        <f t="shared" ref="AD47" si="432">IF(M46&gt;0,(M47/M46),)</f>
        <v>0</v>
      </c>
      <c r="AE47" s="311">
        <f t="shared" ref="AE47" si="433">IF(N46&gt;0,(N47/N46),)</f>
        <v>39952.85821416659</v>
      </c>
      <c r="AF47" s="306">
        <f t="shared" ref="AF47" si="434">IF(O46&gt;0,(O47/O46),)</f>
        <v>0</v>
      </c>
      <c r="AG47" s="296">
        <f t="shared" ref="AG47" si="435">IF(P46&gt;0,(P47/P46),)</f>
        <v>0</v>
      </c>
      <c r="AH47" s="311">
        <f t="shared" ref="AH47" si="436">IF(Q46&gt;0,(Q47/Q46),)</f>
        <v>0</v>
      </c>
      <c r="AI47" s="516"/>
      <c r="AO47" s="524"/>
      <c r="AU47" s="524"/>
      <c r="AX47" s="524"/>
    </row>
    <row r="48" spans="1:50" x14ac:dyDescent="0.2">
      <c r="A48" s="696" t="s">
        <v>1095</v>
      </c>
      <c r="B48" s="697">
        <v>182</v>
      </c>
      <c r="C48" s="697"/>
      <c r="D48" s="697">
        <v>318</v>
      </c>
      <c r="E48" s="697">
        <v>73</v>
      </c>
      <c r="F48" s="697">
        <v>62</v>
      </c>
      <c r="G48" s="697">
        <v>116</v>
      </c>
      <c r="H48" s="697">
        <v>751</v>
      </c>
      <c r="I48" s="697"/>
      <c r="J48" s="697">
        <v>0</v>
      </c>
      <c r="K48" s="697">
        <v>82</v>
      </c>
      <c r="L48" s="697">
        <v>100</v>
      </c>
      <c r="M48" s="697"/>
      <c r="N48" s="697">
        <v>182</v>
      </c>
      <c r="O48" s="697"/>
      <c r="P48" s="697"/>
      <c r="Q48" s="697"/>
      <c r="Y48" s="309"/>
      <c r="Z48" s="305"/>
      <c r="AE48" s="309"/>
      <c r="AF48" s="305"/>
      <c r="AH48" s="309"/>
      <c r="AI48" s="516"/>
      <c r="AO48" s="524"/>
      <c r="AU48" s="524"/>
      <c r="AX48" s="524"/>
    </row>
    <row r="49" spans="1:50" x14ac:dyDescent="0.2">
      <c r="A49" s="696" t="s">
        <v>1097</v>
      </c>
      <c r="B49" s="697">
        <v>8083070.4578313241</v>
      </c>
      <c r="C49" s="697"/>
      <c r="D49" s="697">
        <v>12711627.736808732</v>
      </c>
      <c r="E49" s="697">
        <v>2779613.438166582</v>
      </c>
      <c r="F49" s="697">
        <v>1797050.3699059561</v>
      </c>
      <c r="G49" s="697">
        <v>5126241.0607287455</v>
      </c>
      <c r="H49" s="697">
        <v>30497603.063441336</v>
      </c>
      <c r="I49" s="697"/>
      <c r="J49" s="697">
        <v>0</v>
      </c>
      <c r="K49" s="697">
        <v>3283039.7088607592</v>
      </c>
      <c r="L49" s="697">
        <v>3975768.279594657</v>
      </c>
      <c r="M49" s="697"/>
      <c r="N49" s="697">
        <v>7258807.9884554166</v>
      </c>
      <c r="O49" s="697"/>
      <c r="P49" s="697"/>
      <c r="Q49" s="697"/>
      <c r="R49" s="294"/>
      <c r="S49" s="296">
        <f>IF(B48&gt;0,(B49/B48),)</f>
        <v>44412.475043029255</v>
      </c>
      <c r="T49" s="296">
        <f t="shared" ref="T49" si="437">IF(C48&gt;0,(C49/C48),)</f>
        <v>0</v>
      </c>
      <c r="U49" s="296">
        <f t="shared" ref="U49" si="438">IF(D48&gt;0,(D49/D48),)</f>
        <v>39973.672128329345</v>
      </c>
      <c r="V49" s="296">
        <f t="shared" ref="V49" si="439">IF(E48&gt;0,(E49/E48),)</f>
        <v>38076.896413240851</v>
      </c>
      <c r="W49" s="296">
        <f t="shared" ref="W49" si="440">IF(F48&gt;0,(F49/F48),)</f>
        <v>28984.683385579938</v>
      </c>
      <c r="X49" s="296">
        <f t="shared" ref="X49" si="441">IF(G48&gt;0,(G49/G48),)</f>
        <v>44191.733282144356</v>
      </c>
      <c r="Y49" s="311">
        <f t="shared" ref="Y49" si="442">IF(H48&gt;0,(H49/H48),)</f>
        <v>40609.324984608967</v>
      </c>
      <c r="Z49" s="306">
        <f t="shared" ref="Z49" si="443">IF(I48&gt;0,(I49/I48),)</f>
        <v>0</v>
      </c>
      <c r="AA49" s="296">
        <f t="shared" ref="AA49" si="444">IF(J48&gt;0,(J49/J48),)</f>
        <v>0</v>
      </c>
      <c r="AB49" s="296">
        <f t="shared" ref="AB49" si="445">IF(K48&gt;0,(K49/K48),)</f>
        <v>40037.069620253162</v>
      </c>
      <c r="AC49" s="296">
        <f t="shared" ref="AC49" si="446">IF(L48&gt;0,(L49/L48),)</f>
        <v>39757.682795946574</v>
      </c>
      <c r="AD49" s="296">
        <f t="shared" ref="AD49" si="447">IF(M48&gt;0,(M49/M48),)</f>
        <v>0</v>
      </c>
      <c r="AE49" s="311">
        <f t="shared" ref="AE49" si="448">IF(N48&gt;0,(N49/N48),)</f>
        <v>39883.560376128662</v>
      </c>
      <c r="AF49" s="306">
        <f t="shared" ref="AF49" si="449">IF(O48&gt;0,(O49/O48),)</f>
        <v>0</v>
      </c>
      <c r="AG49" s="296">
        <f t="shared" ref="AG49" si="450">IF(P48&gt;0,(P49/P48),)</f>
        <v>0</v>
      </c>
      <c r="AH49" s="311">
        <f t="shared" ref="AH49" si="451">IF(Q48&gt;0,(Q49/Q48),)</f>
        <v>0</v>
      </c>
      <c r="AI49" s="517">
        <f>IF(S47&gt;0,(S49-S47)/S47,)</f>
        <v>2.2207730568029254E-2</v>
      </c>
      <c r="AJ49" s="518">
        <f t="shared" ref="AJ49" si="452">IF(T47&gt;0,(T49-T47)/T47,)</f>
        <v>0</v>
      </c>
      <c r="AK49" s="518">
        <f t="shared" ref="AK49" si="453">IF(U47&gt;0,(U49-U47)/U47,)</f>
        <v>8.0971381798922767E-3</v>
      </c>
      <c r="AL49" s="518">
        <f t="shared" ref="AL49" si="454">IF(V47&gt;0,(V49-V47)/V47,)</f>
        <v>-6.2938288572400705E-2</v>
      </c>
      <c r="AM49" s="527">
        <f t="shared" ref="AM49" si="455">IF(W47&gt;0,(W49-W47)/W47,)</f>
        <v>-0.29985611500917547</v>
      </c>
      <c r="AN49" s="518">
        <f t="shared" ref="AN49" si="456">IF(X47&gt;0,(X49-X47)/X47,)</f>
        <v>4.6256539958765962E-2</v>
      </c>
      <c r="AO49" s="525">
        <f t="shared" ref="AO49" si="457">IF(Y47&gt;0,(Y49-Y47)/Y47,)</f>
        <v>-1.4076359497735755E-2</v>
      </c>
      <c r="AP49" s="518">
        <f t="shared" ref="AP49" si="458">IF(Z47&gt;0,(Z49-Z47)/Z47,)</f>
        <v>0</v>
      </c>
      <c r="AQ49" s="518">
        <f t="shared" ref="AQ49" si="459">IF(AA47&gt;0,(AA49-AA47)/AA47,)</f>
        <v>0</v>
      </c>
      <c r="AR49" s="518">
        <f t="shared" ref="AR49" si="460">IF(AB47&gt;0,(AB49-AB47)/AB47,)</f>
        <v>-9.3384263612043775E-3</v>
      </c>
      <c r="AS49" s="518">
        <f t="shared" ref="AS49" si="461">IF(AC47&gt;0,(AC49-AC47)/AC47,)</f>
        <v>2.8394571912357387E-3</v>
      </c>
      <c r="AT49" s="518">
        <f t="shared" ref="AT49" si="462">IF(AD47&gt;0,(AD49-AD47)/AD47,)</f>
        <v>0</v>
      </c>
      <c r="AU49" s="525">
        <f t="shared" ref="AU49" si="463">IF(AE47&gt;0,(AE49-AE47)/AE47,)</f>
        <v>-1.7344901249982747E-3</v>
      </c>
      <c r="AV49" s="518">
        <f t="shared" ref="AV49" si="464">IF(AF47&gt;0,(AF49-AF47)/AF47,)</f>
        <v>0</v>
      </c>
      <c r="AW49" s="518">
        <f t="shared" ref="AW49" si="465">IF(AG47&gt;0,(AG49-AG47)/AG47,)</f>
        <v>0</v>
      </c>
      <c r="AX49" s="525">
        <f t="shared" ref="AX49" si="466">IF(AH47&gt;0,(AH49-AH47)/AH47,)</f>
        <v>0</v>
      </c>
    </row>
    <row r="50" spans="1:50" x14ac:dyDescent="0.2">
      <c r="A50" s="696" t="s">
        <v>1099</v>
      </c>
      <c r="B50" s="697">
        <v>73</v>
      </c>
      <c r="C50" s="697"/>
      <c r="D50" s="697">
        <v>128</v>
      </c>
      <c r="E50" s="697">
        <v>2</v>
      </c>
      <c r="F50" s="697">
        <v>37</v>
      </c>
      <c r="G50" s="697">
        <v>9</v>
      </c>
      <c r="H50" s="697">
        <v>249</v>
      </c>
      <c r="I50" s="697"/>
      <c r="J50" s="697">
        <v>0</v>
      </c>
      <c r="K50" s="697">
        <v>0</v>
      </c>
      <c r="L50" s="697">
        <v>0</v>
      </c>
      <c r="M50" s="697"/>
      <c r="N50" s="697">
        <v>0</v>
      </c>
      <c r="O50" s="697"/>
      <c r="P50" s="697"/>
      <c r="Q50" s="697"/>
      <c r="Y50" s="309"/>
      <c r="Z50" s="305"/>
      <c r="AE50" s="309"/>
      <c r="AF50" s="305"/>
      <c r="AH50" s="309"/>
      <c r="AI50" s="516"/>
      <c r="AO50" s="524"/>
      <c r="AU50" s="524"/>
      <c r="AX50" s="524"/>
    </row>
    <row r="51" spans="1:50" x14ac:dyDescent="0.2">
      <c r="A51" s="696" t="s">
        <v>1101</v>
      </c>
      <c r="B51" s="697">
        <v>3413900.8466367712</v>
      </c>
      <c r="C51" s="697"/>
      <c r="D51" s="697">
        <v>5213749.3438629415</v>
      </c>
      <c r="E51" s="697">
        <v>97677.818181818177</v>
      </c>
      <c r="F51" s="697">
        <v>1298186.4560869567</v>
      </c>
      <c r="G51" s="697">
        <v>391640.89445783134</v>
      </c>
      <c r="H51" s="697">
        <v>10415155.359226318</v>
      </c>
      <c r="I51" s="697"/>
      <c r="J51" s="697">
        <v>0</v>
      </c>
      <c r="K51" s="697">
        <v>0</v>
      </c>
      <c r="L51" s="697">
        <v>0</v>
      </c>
      <c r="M51" s="697"/>
      <c r="N51" s="697">
        <v>0</v>
      </c>
      <c r="O51" s="697"/>
      <c r="P51" s="697"/>
      <c r="Q51" s="697"/>
      <c r="R51" s="294"/>
      <c r="S51" s="296">
        <f>IF(B50&gt;0,(B51/B50),)</f>
        <v>46765.765022421525</v>
      </c>
      <c r="T51" s="296">
        <f t="shared" ref="T51" si="467">IF(C50&gt;0,(C51/C50),)</f>
        <v>0</v>
      </c>
      <c r="U51" s="296">
        <f t="shared" ref="U51" si="468">IF(D50&gt;0,(D51/D50),)</f>
        <v>40732.41674892923</v>
      </c>
      <c r="V51" s="296">
        <f t="shared" ref="V51" si="469">IF(E50&gt;0,(E51/E50),)</f>
        <v>48838.909090909088</v>
      </c>
      <c r="W51" s="296">
        <f t="shared" ref="W51" si="470">IF(F50&gt;0,(F51/F50),)</f>
        <v>35086.120434782613</v>
      </c>
      <c r="X51" s="296">
        <f t="shared" ref="X51" si="471">IF(G50&gt;0,(G51/G50),)</f>
        <v>43515.654939759035</v>
      </c>
      <c r="Y51" s="311">
        <f t="shared" ref="Y51" si="472">IF(H50&gt;0,(H51/H50),)</f>
        <v>41827.933169583608</v>
      </c>
      <c r="Z51" s="306">
        <f t="shared" ref="Z51" si="473">IF(I50&gt;0,(I51/I50),)</f>
        <v>0</v>
      </c>
      <c r="AA51" s="296">
        <f t="shared" ref="AA51" si="474">IF(J50&gt;0,(J51/J50),)</f>
        <v>0</v>
      </c>
      <c r="AB51" s="296">
        <f t="shared" ref="AB51" si="475">IF(K50&gt;0,(K51/K50),)</f>
        <v>0</v>
      </c>
      <c r="AC51" s="296">
        <f t="shared" ref="AC51" si="476">IF(L50&gt;0,(L51/L50),)</f>
        <v>0</v>
      </c>
      <c r="AD51" s="296">
        <f t="shared" ref="AD51" si="477">IF(M50&gt;0,(M51/M50),)</f>
        <v>0</v>
      </c>
      <c r="AE51" s="311">
        <f t="shared" ref="AE51" si="478">IF(N50&gt;0,(N51/N50),)</f>
        <v>0</v>
      </c>
      <c r="AF51" s="306">
        <f t="shared" ref="AF51" si="479">IF(O50&gt;0,(O51/O50),)</f>
        <v>0</v>
      </c>
      <c r="AG51" s="296">
        <f t="shared" ref="AG51" si="480">IF(P50&gt;0,(P51/P50),)</f>
        <v>0</v>
      </c>
      <c r="AH51" s="311">
        <f t="shared" ref="AH51" si="481">IF(Q50&gt;0,(Q51/Q50),)</f>
        <v>0</v>
      </c>
      <c r="AI51" s="516"/>
      <c r="AO51" s="524"/>
      <c r="AU51" s="524"/>
      <c r="AX51" s="524"/>
    </row>
    <row r="52" spans="1:50" x14ac:dyDescent="0.2">
      <c r="A52" s="696" t="s">
        <v>1103</v>
      </c>
      <c r="B52" s="697">
        <v>86</v>
      </c>
      <c r="C52" s="697"/>
      <c r="D52" s="697">
        <v>161</v>
      </c>
      <c r="E52" s="697">
        <v>2</v>
      </c>
      <c r="F52" s="697">
        <v>0</v>
      </c>
      <c r="G52" s="697">
        <v>11</v>
      </c>
      <c r="H52" s="697">
        <v>260</v>
      </c>
      <c r="I52" s="697"/>
      <c r="J52" s="697">
        <v>0</v>
      </c>
      <c r="K52" s="697">
        <v>0</v>
      </c>
      <c r="L52" s="697">
        <v>0</v>
      </c>
      <c r="M52" s="697"/>
      <c r="N52" s="697">
        <v>0</v>
      </c>
      <c r="O52" s="697"/>
      <c r="P52" s="697"/>
      <c r="Q52" s="697"/>
      <c r="Y52" s="309"/>
      <c r="Z52" s="305"/>
      <c r="AE52" s="309"/>
      <c r="AF52" s="305"/>
      <c r="AH52" s="309"/>
      <c r="AI52" s="516"/>
      <c r="AO52" s="524"/>
      <c r="AU52" s="524"/>
      <c r="AX52" s="524"/>
    </row>
    <row r="53" spans="1:50" x14ac:dyDescent="0.2">
      <c r="A53" s="696" t="s">
        <v>1105</v>
      </c>
      <c r="B53" s="697">
        <v>3984053.5245283013</v>
      </c>
      <c r="C53" s="697"/>
      <c r="D53" s="697">
        <v>4628172.4842888741</v>
      </c>
      <c r="E53" s="697">
        <v>76095</v>
      </c>
      <c r="F53" s="697">
        <v>0</v>
      </c>
      <c r="G53" s="697">
        <v>452137.71428571432</v>
      </c>
      <c r="H53" s="697">
        <v>9140458.72310289</v>
      </c>
      <c r="I53" s="697"/>
      <c r="J53" s="697">
        <v>0</v>
      </c>
      <c r="K53" s="697">
        <v>0</v>
      </c>
      <c r="L53" s="697">
        <v>0</v>
      </c>
      <c r="M53" s="697"/>
      <c r="N53" s="697">
        <v>0</v>
      </c>
      <c r="O53" s="697"/>
      <c r="P53" s="697"/>
      <c r="Q53" s="697"/>
      <c r="R53" s="294"/>
      <c r="S53" s="296">
        <f>IF(B52&gt;0,(B53/B52),)</f>
        <v>46326.203773584901</v>
      </c>
      <c r="T53" s="296">
        <f t="shared" ref="T53" si="482">IF(C52&gt;0,(C53/C52),)</f>
        <v>0</v>
      </c>
      <c r="U53" s="296">
        <f t="shared" ref="U53" si="483">IF(D52&gt;0,(D53/D52),)</f>
        <v>28746.41294589363</v>
      </c>
      <c r="V53" s="296">
        <f t="shared" ref="V53" si="484">IF(E52&gt;0,(E53/E52),)</f>
        <v>38047.5</v>
      </c>
      <c r="W53" s="296">
        <f t="shared" ref="W53" si="485">IF(F52&gt;0,(F53/F52),)</f>
        <v>0</v>
      </c>
      <c r="X53" s="296">
        <f t="shared" ref="X53" si="486">IF(G52&gt;0,(G53/G52),)</f>
        <v>41103.428571428572</v>
      </c>
      <c r="Y53" s="311">
        <f t="shared" ref="Y53" si="487">IF(H52&gt;0,(H53/H52),)</f>
        <v>35155.610473472654</v>
      </c>
      <c r="Z53" s="306">
        <f t="shared" ref="Z53" si="488">IF(I52&gt;0,(I53/I52),)</f>
        <v>0</v>
      </c>
      <c r="AA53" s="296">
        <f t="shared" ref="AA53" si="489">IF(J52&gt;0,(J53/J52),)</f>
        <v>0</v>
      </c>
      <c r="AB53" s="296">
        <f t="shared" ref="AB53" si="490">IF(K52&gt;0,(K53/K52),)</f>
        <v>0</v>
      </c>
      <c r="AC53" s="296">
        <f t="shared" ref="AC53" si="491">IF(L52&gt;0,(L53/L52),)</f>
        <v>0</v>
      </c>
      <c r="AD53" s="296">
        <f t="shared" ref="AD53" si="492">IF(M52&gt;0,(M53/M52),)</f>
        <v>0</v>
      </c>
      <c r="AE53" s="311">
        <f t="shared" ref="AE53" si="493">IF(N52&gt;0,(N53/N52),)</f>
        <v>0</v>
      </c>
      <c r="AF53" s="306">
        <f t="shared" ref="AF53" si="494">IF(O52&gt;0,(O53/O52),)</f>
        <v>0</v>
      </c>
      <c r="AG53" s="296">
        <f t="shared" ref="AG53" si="495">IF(P52&gt;0,(P53/P52),)</f>
        <v>0</v>
      </c>
      <c r="AH53" s="311">
        <f t="shared" ref="AH53" si="496">IF(Q52&gt;0,(Q53/Q52),)</f>
        <v>0</v>
      </c>
      <c r="AI53" s="517">
        <f>IF(S51&gt;0,(S53-S51)/S51,)</f>
        <v>-9.3992100551734698E-3</v>
      </c>
      <c r="AJ53" s="518">
        <f t="shared" ref="AJ53" si="497">IF(T51&gt;0,(T53-T51)/T51,)</f>
        <v>0</v>
      </c>
      <c r="AK53" s="518">
        <f t="shared" ref="AK53" si="498">IF(U51&gt;0,(U53-U51)/U51,)</f>
        <v>-0.2942620340186588</v>
      </c>
      <c r="AL53" s="518">
        <f t="shared" ref="AL53" si="499">IF(V51&gt;0,(V53-V51)/V51,)</f>
        <v>-0.22095925752194595</v>
      </c>
      <c r="AM53" s="518">
        <f t="shared" ref="AM53" si="500">IF(W51&gt;0,(W53-W51)/W51,)</f>
        <v>-1</v>
      </c>
      <c r="AN53" s="518">
        <f t="shared" ref="AN53" si="501">IF(X51&gt;0,(X53-X51)/X51,)</f>
        <v>-5.5433530109332656E-2</v>
      </c>
      <c r="AO53" s="525">
        <f t="shared" ref="AO53" si="502">IF(Y51&gt;0,(Y53-Y51)/Y51,)</f>
        <v>-0.15951834552903338</v>
      </c>
      <c r="AP53" s="518">
        <f t="shared" ref="AP53" si="503">IF(Z51&gt;0,(Z53-Z51)/Z51,)</f>
        <v>0</v>
      </c>
      <c r="AQ53" s="518">
        <f t="shared" ref="AQ53" si="504">IF(AA51&gt;0,(AA53-AA51)/AA51,)</f>
        <v>0</v>
      </c>
      <c r="AR53" s="518">
        <f t="shared" ref="AR53" si="505">IF(AB51&gt;0,(AB53-AB51)/AB51,)</f>
        <v>0</v>
      </c>
      <c r="AS53" s="518">
        <f t="shared" ref="AS53" si="506">IF(AC51&gt;0,(AC53-AC51)/AC51,)</f>
        <v>0</v>
      </c>
      <c r="AT53" s="518">
        <f t="shared" ref="AT53" si="507">IF(AD51&gt;0,(AD53-AD51)/AD51,)</f>
        <v>0</v>
      </c>
      <c r="AU53" s="525">
        <f t="shared" ref="AU53" si="508">IF(AE51&gt;0,(AE53-AE51)/AE51,)</f>
        <v>0</v>
      </c>
      <c r="AV53" s="518">
        <f t="shared" ref="AV53" si="509">IF(AF51&gt;0,(AF53-AF51)/AF51,)</f>
        <v>0</v>
      </c>
      <c r="AW53" s="518">
        <f t="shared" ref="AW53" si="510">IF(AG51&gt;0,(AG53-AG51)/AG51,)</f>
        <v>0</v>
      </c>
      <c r="AX53" s="525">
        <f t="shared" ref="AX53" si="511">IF(AH51&gt;0,(AH53-AH51)/AH51,)</f>
        <v>0</v>
      </c>
    </row>
    <row r="54" spans="1:50" x14ac:dyDescent="0.2">
      <c r="A54" s="696" t="s">
        <v>1107</v>
      </c>
      <c r="B54" s="697">
        <v>0</v>
      </c>
      <c r="C54" s="697"/>
      <c r="D54" s="697">
        <v>0</v>
      </c>
      <c r="E54" s="697">
        <v>0</v>
      </c>
      <c r="F54" s="697">
        <v>0</v>
      </c>
      <c r="G54" s="697">
        <v>0</v>
      </c>
      <c r="H54" s="697">
        <v>0</v>
      </c>
      <c r="I54" s="697"/>
      <c r="J54" s="697">
        <v>327</v>
      </c>
      <c r="K54" s="697">
        <v>97</v>
      </c>
      <c r="L54" s="697">
        <v>732</v>
      </c>
      <c r="M54" s="697"/>
      <c r="N54" s="697">
        <v>1156</v>
      </c>
      <c r="O54" s="697"/>
      <c r="P54" s="697"/>
      <c r="Q54" s="697"/>
      <c r="Y54" s="309"/>
      <c r="Z54" s="305"/>
      <c r="AE54" s="309"/>
      <c r="AF54" s="305"/>
      <c r="AH54" s="309"/>
      <c r="AI54" s="516"/>
      <c r="AO54" s="524"/>
      <c r="AU54" s="524"/>
      <c r="AX54" s="524"/>
    </row>
    <row r="55" spans="1:50" x14ac:dyDescent="0.2">
      <c r="A55" s="696" t="s">
        <v>1109</v>
      </c>
      <c r="B55" s="697">
        <v>0</v>
      </c>
      <c r="C55" s="697"/>
      <c r="D55" s="697">
        <v>0</v>
      </c>
      <c r="E55" s="697">
        <v>0</v>
      </c>
      <c r="F55" s="697">
        <v>0</v>
      </c>
      <c r="G55" s="697">
        <v>0</v>
      </c>
      <c r="H55" s="697">
        <v>0</v>
      </c>
      <c r="I55" s="697"/>
      <c r="J55" s="697">
        <v>16436377.291601708</v>
      </c>
      <c r="K55" s="697">
        <v>4181257.682004381</v>
      </c>
      <c r="L55" s="697">
        <v>30863620.049477287</v>
      </c>
      <c r="M55" s="697"/>
      <c r="N55" s="697">
        <v>51481255.023083374</v>
      </c>
      <c r="O55" s="697"/>
      <c r="P55" s="697"/>
      <c r="Q55" s="697"/>
      <c r="R55" s="294"/>
      <c r="S55" s="296">
        <f>IF(B54&gt;0,(B55/B54),)</f>
        <v>0</v>
      </c>
      <c r="T55" s="296">
        <f t="shared" ref="T55" si="512">IF(C54&gt;0,(C55/C54),)</f>
        <v>0</v>
      </c>
      <c r="U55" s="296">
        <f t="shared" ref="U55" si="513">IF(D54&gt;0,(D55/D54),)</f>
        <v>0</v>
      </c>
      <c r="V55" s="296">
        <f t="shared" ref="V55" si="514">IF(E54&gt;0,(E55/E54),)</f>
        <v>0</v>
      </c>
      <c r="W55" s="296">
        <f t="shared" ref="W55" si="515">IF(F54&gt;0,(F55/F54),)</f>
        <v>0</v>
      </c>
      <c r="X55" s="296">
        <f t="shared" ref="X55" si="516">IF(G54&gt;0,(G55/G54),)</f>
        <v>0</v>
      </c>
      <c r="Y55" s="311">
        <f t="shared" ref="Y55" si="517">IF(H54&gt;0,(H55/H54),)</f>
        <v>0</v>
      </c>
      <c r="Z55" s="306">
        <f t="shared" ref="Z55" si="518">IF(I54&gt;0,(I55/I54),)</f>
        <v>0</v>
      </c>
      <c r="AA55" s="296">
        <f t="shared" ref="AA55" si="519">IF(J54&gt;0,(J55/J54),)</f>
        <v>50264.150738843142</v>
      </c>
      <c r="AB55" s="296">
        <f t="shared" ref="AB55" si="520">IF(K54&gt;0,(K55/K54),)</f>
        <v>43105.749299014235</v>
      </c>
      <c r="AC55" s="296">
        <f t="shared" ref="AC55" si="521">IF(L54&gt;0,(L55/L54),)</f>
        <v>42163.415368138369</v>
      </c>
      <c r="AD55" s="296">
        <f t="shared" ref="AD55" si="522">IF(M54&gt;0,(M55/M54),)</f>
        <v>0</v>
      </c>
      <c r="AE55" s="311">
        <f t="shared" ref="AE55" si="523">IF(N54&gt;0,(N55/N54),)</f>
        <v>44533.957632425067</v>
      </c>
      <c r="AF55" s="306">
        <f t="shared" ref="AF55" si="524">IF(O54&gt;0,(O55/O54),)</f>
        <v>0</v>
      </c>
      <c r="AG55" s="296">
        <f t="shared" ref="AG55" si="525">IF(P54&gt;0,(P55/P54),)</f>
        <v>0</v>
      </c>
      <c r="AH55" s="311">
        <f t="shared" ref="AH55" si="526">IF(Q54&gt;0,(Q55/Q54),)</f>
        <v>0</v>
      </c>
      <c r="AI55" s="516"/>
      <c r="AO55" s="524"/>
      <c r="AU55" s="524"/>
      <c r="AX55" s="524"/>
    </row>
    <row r="56" spans="1:50" x14ac:dyDescent="0.2">
      <c r="A56" s="696" t="s">
        <v>1111</v>
      </c>
      <c r="B56" s="697">
        <v>0</v>
      </c>
      <c r="C56" s="697"/>
      <c r="D56" s="697">
        <v>0</v>
      </c>
      <c r="E56" s="697">
        <v>0</v>
      </c>
      <c r="F56" s="697">
        <v>0</v>
      </c>
      <c r="G56" s="697">
        <v>0</v>
      </c>
      <c r="H56" s="697">
        <v>0</v>
      </c>
      <c r="I56" s="697"/>
      <c r="J56" s="697">
        <v>320</v>
      </c>
      <c r="K56" s="697">
        <v>98</v>
      </c>
      <c r="L56" s="697">
        <v>715</v>
      </c>
      <c r="M56" s="697"/>
      <c r="N56" s="697">
        <v>1133</v>
      </c>
      <c r="O56" s="697"/>
      <c r="P56" s="697"/>
      <c r="Q56" s="697"/>
      <c r="Y56" s="309"/>
      <c r="Z56" s="305"/>
      <c r="AE56" s="309"/>
      <c r="AF56" s="305"/>
      <c r="AH56" s="309"/>
      <c r="AI56" s="516"/>
      <c r="AO56" s="524"/>
      <c r="AU56" s="524"/>
      <c r="AX56" s="524"/>
    </row>
    <row r="57" spans="1:50" x14ac:dyDescent="0.2">
      <c r="A57" s="696" t="s">
        <v>1113</v>
      </c>
      <c r="B57" s="697">
        <v>0</v>
      </c>
      <c r="C57" s="697"/>
      <c r="D57" s="697">
        <v>0</v>
      </c>
      <c r="E57" s="697">
        <v>0</v>
      </c>
      <c r="F57" s="697">
        <v>0</v>
      </c>
      <c r="G57" s="697">
        <v>0</v>
      </c>
      <c r="H57" s="697">
        <v>0</v>
      </c>
      <c r="I57" s="697"/>
      <c r="J57" s="697">
        <v>16089035.638144379</v>
      </c>
      <c r="K57" s="697">
        <v>4062923.6765327691</v>
      </c>
      <c r="L57" s="697">
        <v>29493484.179907989</v>
      </c>
      <c r="M57" s="697"/>
      <c r="N57" s="697">
        <v>49645443.494585142</v>
      </c>
      <c r="O57" s="697"/>
      <c r="P57" s="697"/>
      <c r="Q57" s="697"/>
      <c r="R57" s="294"/>
      <c r="S57" s="296">
        <f>IF(B56&gt;0,(B57/B56),)</f>
        <v>0</v>
      </c>
      <c r="T57" s="296">
        <f t="shared" ref="T57" si="527">IF(C56&gt;0,(C57/C56),)</f>
        <v>0</v>
      </c>
      <c r="U57" s="296">
        <f t="shared" ref="U57" si="528">IF(D56&gt;0,(D57/D56),)</f>
        <v>0</v>
      </c>
      <c r="V57" s="296">
        <f t="shared" ref="V57" si="529">IF(E56&gt;0,(E57/E56),)</f>
        <v>0</v>
      </c>
      <c r="W57" s="296">
        <f t="shared" ref="W57" si="530">IF(F56&gt;0,(F57/F56),)</f>
        <v>0</v>
      </c>
      <c r="X57" s="296">
        <f t="shared" ref="X57" si="531">IF(G56&gt;0,(G57/G56),)</f>
        <v>0</v>
      </c>
      <c r="Y57" s="311">
        <f t="shared" ref="Y57" si="532">IF(H56&gt;0,(H57/H56),)</f>
        <v>0</v>
      </c>
      <c r="Z57" s="306">
        <f t="shared" ref="Z57" si="533">IF(I56&gt;0,(I57/I56),)</f>
        <v>0</v>
      </c>
      <c r="AA57" s="296">
        <f t="shared" ref="AA57" si="534">IF(J56&gt;0,(J57/J56),)</f>
        <v>50278.236369201186</v>
      </c>
      <c r="AB57" s="296">
        <f t="shared" ref="AB57" si="535">IF(K56&gt;0,(K57/K56),)</f>
        <v>41458.404862579278</v>
      </c>
      <c r="AC57" s="296">
        <f t="shared" ref="AC57" si="536">IF(L56&gt;0,(L57/L56),)</f>
        <v>41249.628223647538</v>
      </c>
      <c r="AD57" s="296">
        <f t="shared" ref="AD57" si="537">IF(M56&gt;0,(M57/M56),)</f>
        <v>0</v>
      </c>
      <c r="AE57" s="311">
        <f t="shared" ref="AE57" si="538">IF(N56&gt;0,(N57/N56),)</f>
        <v>43817.690639527929</v>
      </c>
      <c r="AF57" s="306">
        <f t="shared" ref="AF57" si="539">IF(O56&gt;0,(O57/O56),)</f>
        <v>0</v>
      </c>
      <c r="AG57" s="296">
        <f t="shared" ref="AG57" si="540">IF(P56&gt;0,(P57/P56),)</f>
        <v>0</v>
      </c>
      <c r="AH57" s="311">
        <f t="shared" ref="AH57" si="541">IF(Q56&gt;0,(Q57/Q56),)</f>
        <v>0</v>
      </c>
      <c r="AI57" s="517">
        <f>IF(S55&gt;0,(S57-S55)/S55,)</f>
        <v>0</v>
      </c>
      <c r="AJ57" s="518">
        <f t="shared" ref="AJ57" si="542">IF(T55&gt;0,(T57-T55)/T55,)</f>
        <v>0</v>
      </c>
      <c r="AK57" s="518">
        <f t="shared" ref="AK57" si="543">IF(U55&gt;0,(U57-U55)/U55,)</f>
        <v>0</v>
      </c>
      <c r="AL57" s="518">
        <f t="shared" ref="AL57" si="544">IF(V55&gt;0,(V57-V55)/V55,)</f>
        <v>0</v>
      </c>
      <c r="AM57" s="518">
        <f t="shared" ref="AM57" si="545">IF(W55&gt;0,(W57-W55)/W55,)</f>
        <v>0</v>
      </c>
      <c r="AN57" s="518">
        <f t="shared" ref="AN57" si="546">IF(X55&gt;0,(X57-X55)/X55,)</f>
        <v>0</v>
      </c>
      <c r="AO57" s="525">
        <f t="shared" ref="AO57" si="547">IF(Y55&gt;0,(Y57-Y55)/Y55,)</f>
        <v>0</v>
      </c>
      <c r="AP57" s="518">
        <f t="shared" ref="AP57" si="548">IF(Z55&gt;0,(Z57-Z55)/Z55,)</f>
        <v>0</v>
      </c>
      <c r="AQ57" s="527">
        <f t="shared" ref="AQ57" si="549">IF(AA55&gt;0,(AA57-AA55)/AA55,)</f>
        <v>2.802321366420482E-4</v>
      </c>
      <c r="AR57" s="527">
        <f t="shared" ref="AR57" si="550">IF(AB55&gt;0,(AB57-AB55)/AB55,)</f>
        <v>-3.8216350793666136E-2</v>
      </c>
      <c r="AS57" s="518">
        <f t="shared" ref="AS57" si="551">IF(AC55&gt;0,(AC57-AC55)/AC55,)</f>
        <v>-2.1672512449770663E-2</v>
      </c>
      <c r="AT57" s="518">
        <f t="shared" ref="AT57" si="552">IF(AD55&gt;0,(AD57-AD55)/AD55,)</f>
        <v>0</v>
      </c>
      <c r="AU57" s="525">
        <f t="shared" ref="AU57" si="553">IF(AE55&gt;0,(AE57-AE55)/AE55,)</f>
        <v>-1.60836141896274E-2</v>
      </c>
      <c r="AV57" s="518">
        <f t="shared" ref="AV57" si="554">IF(AF55&gt;0,(AF57-AF55)/AF55,)</f>
        <v>0</v>
      </c>
      <c r="AW57" s="518">
        <f t="shared" ref="AW57" si="555">IF(AG55&gt;0,(AG57-AG55)/AG55,)</f>
        <v>0</v>
      </c>
      <c r="AX57" s="525">
        <f t="shared" ref="AX57" si="556">IF(AH55&gt;0,(AH57-AH55)/AH55,)</f>
        <v>0</v>
      </c>
    </row>
    <row r="58" spans="1:50" x14ac:dyDescent="0.2">
      <c r="A58" s="696" t="s">
        <v>1115</v>
      </c>
      <c r="B58" s="697">
        <v>995</v>
      </c>
      <c r="C58" s="697"/>
      <c r="D58" s="697">
        <v>1820</v>
      </c>
      <c r="E58" s="697">
        <v>332</v>
      </c>
      <c r="F58" s="697">
        <v>154</v>
      </c>
      <c r="G58" s="697">
        <v>421</v>
      </c>
      <c r="H58" s="697">
        <v>3722</v>
      </c>
      <c r="I58" s="697"/>
      <c r="J58" s="697">
        <v>327</v>
      </c>
      <c r="K58" s="697">
        <v>218</v>
      </c>
      <c r="L58" s="697">
        <v>906</v>
      </c>
      <c r="M58" s="697"/>
      <c r="N58" s="697">
        <v>1451</v>
      </c>
      <c r="O58" s="697"/>
      <c r="P58" s="697"/>
      <c r="Q58" s="697"/>
      <c r="Y58" s="309"/>
      <c r="Z58" s="305"/>
      <c r="AE58" s="309"/>
      <c r="AF58" s="305"/>
      <c r="AH58" s="309"/>
      <c r="AI58" s="516"/>
      <c r="AO58" s="524"/>
      <c r="AU58" s="524"/>
      <c r="AX58" s="524"/>
    </row>
    <row r="59" spans="1:50" x14ac:dyDescent="0.2">
      <c r="A59" s="696" t="s">
        <v>1117</v>
      </c>
      <c r="B59" s="697">
        <v>78558742.651935339</v>
      </c>
      <c r="C59" s="697"/>
      <c r="D59" s="697">
        <v>107146345.98687494</v>
      </c>
      <c r="E59" s="697">
        <v>17834653.0860269</v>
      </c>
      <c r="F59" s="697">
        <v>7431575.7149718618</v>
      </c>
      <c r="G59" s="697">
        <v>22568073.065154672</v>
      </c>
      <c r="H59" s="697">
        <v>233539390.50496373</v>
      </c>
      <c r="I59" s="697"/>
      <c r="J59" s="697">
        <v>16436377.291601708</v>
      </c>
      <c r="K59" s="697">
        <v>9431147.3057574704</v>
      </c>
      <c r="L59" s="697">
        <v>37965173.209642634</v>
      </c>
      <c r="M59" s="697"/>
      <c r="N59" s="697">
        <v>63832697.807001814</v>
      </c>
      <c r="O59" s="697"/>
      <c r="P59" s="697"/>
      <c r="Q59" s="697"/>
      <c r="R59" s="294"/>
      <c r="S59" s="296">
        <f>IF(B58&gt;0,(B59/B58),)</f>
        <v>78953.510202950085</v>
      </c>
      <c r="T59" s="296">
        <f t="shared" ref="T59" si="557">IF(C58&gt;0,(C59/C58),)</f>
        <v>0</v>
      </c>
      <c r="U59" s="296">
        <f t="shared" ref="U59" si="558">IF(D58&gt;0,(D59/D58),)</f>
        <v>58871.618674107107</v>
      </c>
      <c r="V59" s="296">
        <f t="shared" ref="V59" si="559">IF(E58&gt;0,(E59/E58),)</f>
        <v>53718.834596466564</v>
      </c>
      <c r="W59" s="296">
        <f t="shared" ref="W59" si="560">IF(F58&gt;0,(F59/F58),)</f>
        <v>48256.985162154946</v>
      </c>
      <c r="X59" s="296">
        <f t="shared" ref="X59" si="561">IF(G58&gt;0,(G59/G58),)</f>
        <v>53605.874264025348</v>
      </c>
      <c r="Y59" s="311">
        <f t="shared" ref="Y59" si="562">IF(H58&gt;0,(H59/H58),)</f>
        <v>62745.671817561451</v>
      </c>
      <c r="Z59" s="306">
        <f t="shared" ref="Z59" si="563">IF(I58&gt;0,(I59/I58),)</f>
        <v>0</v>
      </c>
      <c r="AA59" s="296">
        <f t="shared" ref="AA59" si="564">IF(J58&gt;0,(J59/J58),)</f>
        <v>50264.150738843142</v>
      </c>
      <c r="AB59" s="296">
        <f t="shared" ref="AB59" si="565">IF(K58&gt;0,(K59/K58),)</f>
        <v>43262.143604392069</v>
      </c>
      <c r="AC59" s="296">
        <f t="shared" ref="AC59" si="566">IF(L58&gt;0,(L59/L58),)</f>
        <v>41904.164690554782</v>
      </c>
      <c r="AD59" s="296">
        <f t="shared" ref="AD59" si="567">IF(M58&gt;0,(M59/M58),)</f>
        <v>0</v>
      </c>
      <c r="AE59" s="311">
        <f t="shared" ref="AE59" si="568">IF(N58&gt;0,(N59/N58),)</f>
        <v>43992.210756031571</v>
      </c>
      <c r="AF59" s="306">
        <f t="shared" ref="AF59" si="569">IF(O58&gt;0,(O59/O58),)</f>
        <v>0</v>
      </c>
      <c r="AG59" s="296">
        <f t="shared" ref="AG59" si="570">IF(P58&gt;0,(P59/P58),)</f>
        <v>0</v>
      </c>
      <c r="AH59" s="311">
        <f t="shared" ref="AH59" si="571">IF(Q58&gt;0,(Q59/Q58),)</f>
        <v>0</v>
      </c>
      <c r="AI59" s="516"/>
      <c r="AO59" s="524"/>
      <c r="AU59" s="524"/>
      <c r="AX59" s="524"/>
    </row>
    <row r="60" spans="1:50" x14ac:dyDescent="0.2">
      <c r="A60" s="696" t="s">
        <v>1119</v>
      </c>
      <c r="B60" s="697">
        <v>1048</v>
      </c>
      <c r="C60" s="697"/>
      <c r="D60" s="697">
        <v>1882</v>
      </c>
      <c r="E60" s="697">
        <v>336</v>
      </c>
      <c r="F60" s="697">
        <v>151</v>
      </c>
      <c r="G60" s="697">
        <v>412</v>
      </c>
      <c r="H60" s="697">
        <v>3829</v>
      </c>
      <c r="I60" s="697"/>
      <c r="J60" s="697">
        <v>320</v>
      </c>
      <c r="K60" s="697">
        <v>227</v>
      </c>
      <c r="L60" s="697">
        <v>883</v>
      </c>
      <c r="M60" s="697"/>
      <c r="N60" s="697">
        <v>1430</v>
      </c>
      <c r="O60" s="697"/>
      <c r="P60" s="697"/>
      <c r="Q60" s="697"/>
      <c r="Y60" s="309"/>
      <c r="Z60" s="305"/>
      <c r="AE60" s="309"/>
      <c r="AF60" s="305"/>
      <c r="AH60" s="309"/>
      <c r="AI60" s="516"/>
      <c r="AO60" s="524"/>
      <c r="AU60" s="524"/>
      <c r="AX60" s="524"/>
    </row>
    <row r="61" spans="1:50" ht="13.5" thickBot="1" x14ac:dyDescent="0.25">
      <c r="A61" s="701" t="s">
        <v>1121</v>
      </c>
      <c r="B61" s="702">
        <v>82423344.800777152</v>
      </c>
      <c r="C61" s="702"/>
      <c r="D61" s="702">
        <v>108888192.51242568</v>
      </c>
      <c r="E61" s="702">
        <v>17431862.650651306</v>
      </c>
      <c r="F61" s="702">
        <v>5464537.9615595303</v>
      </c>
      <c r="G61" s="702">
        <v>22522520.233173795</v>
      </c>
      <c r="H61" s="702">
        <v>236730458.15858746</v>
      </c>
      <c r="I61" s="702"/>
      <c r="J61" s="702">
        <v>16089035.638144379</v>
      </c>
      <c r="K61" s="702">
        <v>9729833.7344512101</v>
      </c>
      <c r="L61" s="702">
        <v>36452450.530415937</v>
      </c>
      <c r="M61" s="702"/>
      <c r="N61" s="702">
        <v>62271319.903011531</v>
      </c>
      <c r="O61" s="702"/>
      <c r="P61" s="702"/>
      <c r="Q61" s="702"/>
      <c r="S61" s="302">
        <f>IF(B60&gt;0,(B61/B60),)</f>
        <v>78648.229771733924</v>
      </c>
      <c r="T61" s="302">
        <f t="shared" ref="T61" si="572">IF(C60&gt;0,(C61/C60),)</f>
        <v>0</v>
      </c>
      <c r="U61" s="302">
        <f t="shared" ref="U61" si="573">IF(D60&gt;0,(D61/D60),)</f>
        <v>57857.70059108697</v>
      </c>
      <c r="V61" s="302">
        <f t="shared" ref="V61" si="574">IF(E60&gt;0,(E61/E60),)</f>
        <v>51880.543603128885</v>
      </c>
      <c r="W61" s="302">
        <f t="shared" ref="W61" si="575">IF(F60&gt;0,(F61/F60),)</f>
        <v>36188.993122910797</v>
      </c>
      <c r="X61" s="302">
        <f t="shared" ref="X61" si="576">IF(G60&gt;0,(G61/G60),)</f>
        <v>54666.311245567464</v>
      </c>
      <c r="Y61" s="312">
        <f t="shared" ref="Y61" si="577">IF(H60&gt;0,(H61/H60),)</f>
        <v>61825.661571843157</v>
      </c>
      <c r="Z61" s="307">
        <f t="shared" ref="Z61" si="578">IF(I60&gt;0,(I61/I60),)</f>
        <v>0</v>
      </c>
      <c r="AA61" s="302">
        <f t="shared" ref="AA61" si="579">IF(J60&gt;0,(J61/J60),)</f>
        <v>50278.236369201186</v>
      </c>
      <c r="AB61" s="302">
        <f t="shared" ref="AB61" si="580">IF(K60&gt;0,(K61/K60),)</f>
        <v>42862.703675996519</v>
      </c>
      <c r="AC61" s="302">
        <f t="shared" ref="AC61" si="581">IF(L60&gt;0,(L61/L60),)</f>
        <v>41282.503431954632</v>
      </c>
      <c r="AD61" s="302">
        <f t="shared" ref="AD61" si="582">IF(M60&gt;0,(M61/M60),)</f>
        <v>0</v>
      </c>
      <c r="AE61" s="312">
        <f t="shared" ref="AE61" si="583">IF(N60&gt;0,(N61/N60),)</f>
        <v>43546.377554553517</v>
      </c>
      <c r="AF61" s="307">
        <f t="shared" ref="AF61" si="584">IF(O60&gt;0,(O61/O60),)</f>
        <v>0</v>
      </c>
      <c r="AG61" s="302">
        <f t="shared" ref="AG61" si="585">IF(P60&gt;0,(P61/P60),)</f>
        <v>0</v>
      </c>
      <c r="AH61" s="312">
        <f t="shared" ref="AH61" si="586">IF(Q60&gt;0,(Q61/Q60),)</f>
        <v>0</v>
      </c>
      <c r="AI61" s="519">
        <f>IF(S59&gt;0,(S61-S59)/S59,)</f>
        <v>-3.8665846576224029E-3</v>
      </c>
      <c r="AJ61" s="520">
        <f t="shared" ref="AJ61" si="587">IF(T59&gt;0,(T61-T59)/T59,)</f>
        <v>0</v>
      </c>
      <c r="AK61" s="520">
        <f t="shared" ref="AK61" si="588">IF(U59&gt;0,(U61-U59)/U59,)</f>
        <v>-1.7222527694250027E-2</v>
      </c>
      <c r="AL61" s="520">
        <f t="shared" ref="AL61" si="589">IF(V59&gt;0,(V61-V59)/V59,)</f>
        <v>-3.4220604507652443E-2</v>
      </c>
      <c r="AM61" s="520">
        <f t="shared" ref="AM61" si="590">IF(W59&gt;0,(W61-W59)/W59,)</f>
        <v>-0.25007762086033403</v>
      </c>
      <c r="AN61" s="520">
        <f t="shared" ref="AN61" si="591">IF(X59&gt;0,(X61-X59)/X59,)</f>
        <v>1.9782104034329132E-2</v>
      </c>
      <c r="AO61" s="526">
        <f t="shared" ref="AO61" si="592">IF(Y59&gt;0,(Y61-Y59)/Y59,)</f>
        <v>-1.4662529208282371E-2</v>
      </c>
      <c r="AP61" s="520">
        <f t="shared" ref="AP61" si="593">IF(Z59&gt;0,(Z61-Z59)/Z59,)</f>
        <v>0</v>
      </c>
      <c r="AQ61" s="520">
        <f t="shared" ref="AQ61" si="594">IF(AA59&gt;0,(AA61-AA59)/AA59,)</f>
        <v>2.802321366420482E-4</v>
      </c>
      <c r="AR61" s="520">
        <f t="shared" ref="AR61" si="595">IF(AB59&gt;0,(AB61-AB59)/AB59,)</f>
        <v>-9.2330128633523814E-3</v>
      </c>
      <c r="AS61" s="520">
        <f t="shared" ref="AS61" si="596">IF(AC59&gt;0,(AC61-AC59)/AC59,)</f>
        <v>-1.4835309645016571E-2</v>
      </c>
      <c r="AT61" s="520">
        <f t="shared" ref="AT61" si="597">IF(AD59&gt;0,(AD61-AD59)/AD59,)</f>
        <v>0</v>
      </c>
      <c r="AU61" s="526">
        <f t="shared" ref="AU61" si="598">IF(AE59&gt;0,(AE61-AE59)/AE59,)</f>
        <v>-1.0134366830312736E-2</v>
      </c>
      <c r="AV61" s="520">
        <f t="shared" ref="AV61" si="599">IF(AF59&gt;0,(AF61-AF59)/AF59,)</f>
        <v>0</v>
      </c>
      <c r="AW61" s="520">
        <f t="shared" ref="AW61" si="600">IF(AG59&gt;0,(AG61-AG59)/AG59,)</f>
        <v>0</v>
      </c>
      <c r="AX61" s="526">
        <f t="shared" ref="AX61" si="601">IF(AH59&gt;0,(AH61-AH59)/AH59,)</f>
        <v>0</v>
      </c>
    </row>
    <row r="62" spans="1:50" x14ac:dyDescent="0.2">
      <c r="A62" s="695" t="s">
        <v>33</v>
      </c>
      <c r="B62" s="697"/>
      <c r="C62" s="697"/>
      <c r="D62" s="697"/>
      <c r="E62" s="697"/>
      <c r="F62" s="697"/>
      <c r="G62" s="697"/>
      <c r="H62" s="697"/>
      <c r="I62" s="697"/>
      <c r="J62" s="697"/>
      <c r="K62" s="697"/>
      <c r="L62" s="697"/>
      <c r="M62" s="697"/>
      <c r="N62" s="697"/>
      <c r="O62" s="697"/>
      <c r="P62" s="697"/>
      <c r="Q62" s="697"/>
      <c r="Y62" s="309"/>
      <c r="Z62" s="305"/>
      <c r="AE62" s="309"/>
      <c r="AF62" s="305"/>
      <c r="AH62" s="309"/>
      <c r="AI62" s="516"/>
      <c r="AO62" s="524"/>
      <c r="AU62" s="524"/>
      <c r="AX62" s="524"/>
    </row>
    <row r="63" spans="1:50" x14ac:dyDescent="0.2">
      <c r="A63" s="696" t="s">
        <v>1067</v>
      </c>
      <c r="B63" s="697">
        <v>395</v>
      </c>
      <c r="C63" s="697"/>
      <c r="D63" s="697">
        <v>39</v>
      </c>
      <c r="E63" s="697"/>
      <c r="F63" s="697"/>
      <c r="G63" s="697"/>
      <c r="H63" s="697">
        <v>434</v>
      </c>
      <c r="I63" s="697"/>
      <c r="J63" s="697">
        <v>0</v>
      </c>
      <c r="K63" s="697">
        <v>0</v>
      </c>
      <c r="L63" s="697"/>
      <c r="M63" s="697"/>
      <c r="N63" s="697">
        <v>0</v>
      </c>
      <c r="O63" s="697"/>
      <c r="P63" s="697"/>
      <c r="Q63" s="697"/>
      <c r="S63" s="295"/>
      <c r="T63" s="295"/>
      <c r="U63" s="295"/>
      <c r="V63" s="295"/>
      <c r="W63" s="295"/>
      <c r="X63" s="295"/>
      <c r="Y63" s="310"/>
      <c r="Z63" s="305"/>
      <c r="AA63" s="295"/>
      <c r="AB63" s="295"/>
      <c r="AC63" s="295"/>
      <c r="AD63" s="295"/>
      <c r="AE63" s="310"/>
      <c r="AF63" s="305"/>
      <c r="AG63" s="295"/>
      <c r="AH63" s="310"/>
      <c r="AI63" s="516"/>
      <c r="AO63" s="524"/>
      <c r="AU63" s="524"/>
      <c r="AX63" s="524"/>
    </row>
    <row r="64" spans="1:50" x14ac:dyDescent="0.2">
      <c r="A64" s="696" t="s">
        <v>1069</v>
      </c>
      <c r="B64" s="697">
        <v>54654056.401985109</v>
      </c>
      <c r="C64" s="697"/>
      <c r="D64" s="697">
        <v>3128782.9463806972</v>
      </c>
      <c r="E64" s="697"/>
      <c r="F64" s="697"/>
      <c r="G64" s="697"/>
      <c r="H64" s="697">
        <v>57782839.348365806</v>
      </c>
      <c r="I64" s="697"/>
      <c r="J64" s="697">
        <v>0</v>
      </c>
      <c r="K64" s="697">
        <v>0</v>
      </c>
      <c r="L64" s="697"/>
      <c r="M64" s="697"/>
      <c r="N64" s="697">
        <v>0</v>
      </c>
      <c r="O64" s="697"/>
      <c r="P64" s="697"/>
      <c r="Q64" s="697"/>
      <c r="S64" s="296">
        <f>IF(B63&gt;0,(B64/B63),)</f>
        <v>138364.69975186104</v>
      </c>
      <c r="T64" s="296">
        <f t="shared" ref="T64" si="602">IF(C63&gt;0,(C64/C63),)</f>
        <v>0</v>
      </c>
      <c r="U64" s="296">
        <f t="shared" ref="U64" si="603">IF(D63&gt;0,(D64/D63),)</f>
        <v>80225.203753351205</v>
      </c>
      <c r="V64" s="296">
        <f t="shared" ref="V64" si="604">IF(E63&gt;0,(E64/E63),)</f>
        <v>0</v>
      </c>
      <c r="W64" s="296">
        <f t="shared" ref="W64" si="605">IF(F63&gt;0,(F64/F63),)</f>
        <v>0</v>
      </c>
      <c r="X64" s="296">
        <f t="shared" ref="X64" si="606">IF(G63&gt;0,(G64/G63),)</f>
        <v>0</v>
      </c>
      <c r="Y64" s="311">
        <f t="shared" ref="Y64" si="607">IF(H63&gt;0,(H64/H63),)</f>
        <v>133140.18283033595</v>
      </c>
      <c r="Z64" s="306">
        <f t="shared" ref="Z64" si="608">IF(I63&gt;0,(I64/I63),)</f>
        <v>0</v>
      </c>
      <c r="AA64" s="296">
        <f t="shared" ref="AA64" si="609">IF(J63&gt;0,(J64/J63),)</f>
        <v>0</v>
      </c>
      <c r="AB64" s="296">
        <f t="shared" ref="AB64" si="610">IF(K63&gt;0,(K64/K63),)</f>
        <v>0</v>
      </c>
      <c r="AC64" s="296">
        <f t="shared" ref="AC64" si="611">IF(L63&gt;0,(L64/L63),)</f>
        <v>0</v>
      </c>
      <c r="AD64" s="296">
        <f t="shared" ref="AD64" si="612">IF(M63&gt;0,(M64/M63),)</f>
        <v>0</v>
      </c>
      <c r="AE64" s="311">
        <f t="shared" ref="AE64" si="613">IF(N63&gt;0,(N64/N63),)</f>
        <v>0</v>
      </c>
      <c r="AF64" s="306">
        <f t="shared" ref="AF64" si="614">IF(O63&gt;0,(O64/O63),)</f>
        <v>0</v>
      </c>
      <c r="AG64" s="296">
        <f t="shared" ref="AG64" si="615">IF(P63&gt;0,(P64/P63),)</f>
        <v>0</v>
      </c>
      <c r="AH64" s="311">
        <f t="shared" ref="AH64" si="616">IF(Q63&gt;0,(Q64/Q63),)</f>
        <v>0</v>
      </c>
      <c r="AI64" s="516"/>
      <c r="AO64" s="524"/>
      <c r="AU64" s="524"/>
      <c r="AX64" s="524"/>
    </row>
    <row r="65" spans="1:50" x14ac:dyDescent="0.2">
      <c r="A65" s="696" t="s">
        <v>1071</v>
      </c>
      <c r="B65" s="697">
        <v>385</v>
      </c>
      <c r="C65" s="697"/>
      <c r="D65" s="697">
        <v>37</v>
      </c>
      <c r="E65" s="697"/>
      <c r="F65" s="697"/>
      <c r="G65" s="697"/>
      <c r="H65" s="697">
        <v>422</v>
      </c>
      <c r="I65" s="697"/>
      <c r="J65" s="697">
        <v>0</v>
      </c>
      <c r="K65" s="697">
        <v>0</v>
      </c>
      <c r="L65" s="697"/>
      <c r="M65" s="697"/>
      <c r="N65" s="697">
        <v>0</v>
      </c>
      <c r="O65" s="697"/>
      <c r="P65" s="697"/>
      <c r="Q65" s="697"/>
      <c r="Y65" s="309"/>
      <c r="Z65" s="305"/>
      <c r="AE65" s="309"/>
      <c r="AF65" s="305"/>
      <c r="AH65" s="309"/>
      <c r="AI65" s="516"/>
      <c r="AO65" s="524"/>
      <c r="AU65" s="524"/>
      <c r="AX65" s="524"/>
    </row>
    <row r="66" spans="1:50" x14ac:dyDescent="0.2">
      <c r="A66" s="696" t="s">
        <v>1073</v>
      </c>
      <c r="B66" s="697">
        <v>54456025.75778643</v>
      </c>
      <c r="C66" s="697"/>
      <c r="D66" s="697">
        <v>3131081.8691860465</v>
      </c>
      <c r="E66" s="697"/>
      <c r="F66" s="697"/>
      <c r="G66" s="697"/>
      <c r="H66" s="697">
        <v>57587107.626972474</v>
      </c>
      <c r="I66" s="697"/>
      <c r="J66" s="697">
        <v>0</v>
      </c>
      <c r="K66" s="697">
        <v>0</v>
      </c>
      <c r="L66" s="697"/>
      <c r="M66" s="697"/>
      <c r="N66" s="697">
        <v>0</v>
      </c>
      <c r="O66" s="697"/>
      <c r="P66" s="697"/>
      <c r="Q66" s="697"/>
      <c r="R66" s="294"/>
      <c r="S66" s="296">
        <f>IF(B65&gt;0,(B66/B65),)</f>
        <v>141444.22274749723</v>
      </c>
      <c r="T66" s="296">
        <f t="shared" ref="T66" si="617">IF(C65&gt;0,(C66/C65),)</f>
        <v>0</v>
      </c>
      <c r="U66" s="296">
        <f t="shared" ref="U66" si="618">IF(D65&gt;0,(D66/D65),)</f>
        <v>84623.834302325587</v>
      </c>
      <c r="V66" s="296">
        <f t="shared" ref="V66" si="619">IF(E65&gt;0,(E66/E65),)</f>
        <v>0</v>
      </c>
      <c r="W66" s="296">
        <f t="shared" ref="W66" si="620">IF(F65&gt;0,(F66/F65),)</f>
        <v>0</v>
      </c>
      <c r="X66" s="296">
        <f t="shared" ref="X66" si="621">IF(G65&gt;0,(G66/G65),)</f>
        <v>0</v>
      </c>
      <c r="Y66" s="311">
        <f t="shared" ref="Y66" si="622">IF(H65&gt;0,(H66/H65),)</f>
        <v>136462.34034827602</v>
      </c>
      <c r="Z66" s="306">
        <f t="shared" ref="Z66" si="623">IF(I65&gt;0,(I66/I65),)</f>
        <v>0</v>
      </c>
      <c r="AA66" s="296">
        <f t="shared" ref="AA66" si="624">IF(J65&gt;0,(J66/J65),)</f>
        <v>0</v>
      </c>
      <c r="AB66" s="296">
        <f t="shared" ref="AB66" si="625">IF(K65&gt;0,(K66/K65),)</f>
        <v>0</v>
      </c>
      <c r="AC66" s="296">
        <f t="shared" ref="AC66" si="626">IF(L65&gt;0,(L66/L65),)</f>
        <v>0</v>
      </c>
      <c r="AD66" s="296">
        <f t="shared" ref="AD66" si="627">IF(M65&gt;0,(M66/M65),)</f>
        <v>0</v>
      </c>
      <c r="AE66" s="311">
        <f t="shared" ref="AE66" si="628">IF(N65&gt;0,(N66/N65),)</f>
        <v>0</v>
      </c>
      <c r="AF66" s="306">
        <f t="shared" ref="AF66" si="629">IF(O65&gt;0,(O66/O65),)</f>
        <v>0</v>
      </c>
      <c r="AG66" s="296">
        <f t="shared" ref="AG66" si="630">IF(P65&gt;0,(P66/P65),)</f>
        <v>0</v>
      </c>
      <c r="AH66" s="311">
        <f t="shared" ref="AH66" si="631">IF(Q65&gt;0,(Q66/Q65),)</f>
        <v>0</v>
      </c>
      <c r="AI66" s="517">
        <f>IF(S64&gt;0,(S66-S64)/S64,)</f>
        <v>2.2256565447393073E-2</v>
      </c>
      <c r="AJ66" s="518">
        <f t="shared" ref="AJ66" si="632">IF(T64&gt;0,(T66-T64)/T64,)</f>
        <v>0</v>
      </c>
      <c r="AK66" s="518">
        <f t="shared" ref="AK66" si="633">IF(U64&gt;0,(U66-U64)/U64,)</f>
        <v>5.4828536958257845E-2</v>
      </c>
      <c r="AL66" s="518">
        <f t="shared" ref="AL66" si="634">IF(V64&gt;0,(V66-V64)/V64,)</f>
        <v>0</v>
      </c>
      <c r="AM66" s="518">
        <f t="shared" ref="AM66" si="635">IF(W64&gt;0,(W66-W64)/W64,)</f>
        <v>0</v>
      </c>
      <c r="AN66" s="518">
        <f t="shared" ref="AN66" si="636">IF(X64&gt;0,(X66-X64)/X64,)</f>
        <v>0</v>
      </c>
      <c r="AO66" s="525">
        <f t="shared" ref="AO66" si="637">IF(Y64&gt;0,(Y66-Y64)/Y64,)</f>
        <v>2.4952328044896714E-2</v>
      </c>
      <c r="AP66" s="518">
        <f t="shared" ref="AP66" si="638">IF(Z64&gt;0,(Z66-Z64)/Z64,)</f>
        <v>0</v>
      </c>
      <c r="AQ66" s="518">
        <f t="shared" ref="AQ66" si="639">IF(AA64&gt;0,(AA66-AA64)/AA64,)</f>
        <v>0</v>
      </c>
      <c r="AR66" s="518">
        <f t="shared" ref="AR66" si="640">IF(AB64&gt;0,(AB66-AB64)/AB64,)</f>
        <v>0</v>
      </c>
      <c r="AS66" s="518">
        <f t="shared" ref="AS66" si="641">IF(AC64&gt;0,(AC66-AC64)/AC64,)</f>
        <v>0</v>
      </c>
      <c r="AT66" s="518">
        <f t="shared" ref="AT66" si="642">IF(AD64&gt;0,(AD66-AD64)/AD64,)</f>
        <v>0</v>
      </c>
      <c r="AU66" s="525">
        <f t="shared" ref="AU66" si="643">IF(AE64&gt;0,(AE66-AE64)/AE64,)</f>
        <v>0</v>
      </c>
      <c r="AV66" s="518">
        <f t="shared" ref="AV66" si="644">IF(AF64&gt;0,(AF66-AF64)/AF64,)</f>
        <v>0</v>
      </c>
      <c r="AW66" s="518">
        <f t="shared" ref="AW66" si="645">IF(AG64&gt;0,(AG66-AG64)/AG64,)</f>
        <v>0</v>
      </c>
      <c r="AX66" s="525">
        <f t="shared" ref="AX66" si="646">IF(AH64&gt;0,(AH66-AH64)/AH64,)</f>
        <v>0</v>
      </c>
    </row>
    <row r="67" spans="1:50" x14ac:dyDescent="0.2">
      <c r="A67" s="696" t="s">
        <v>1075</v>
      </c>
      <c r="B67" s="697">
        <v>334</v>
      </c>
      <c r="C67" s="697"/>
      <c r="D67" s="697">
        <v>91</v>
      </c>
      <c r="E67" s="697"/>
      <c r="F67" s="697"/>
      <c r="G67" s="697"/>
      <c r="H67" s="697">
        <v>425</v>
      </c>
      <c r="I67" s="697"/>
      <c r="J67" s="697">
        <v>0</v>
      </c>
      <c r="K67" s="697">
        <v>0</v>
      </c>
      <c r="L67" s="697"/>
      <c r="M67" s="697"/>
      <c r="N67" s="697">
        <v>0</v>
      </c>
      <c r="O67" s="697"/>
      <c r="P67" s="697"/>
      <c r="Q67" s="697"/>
      <c r="Y67" s="309"/>
      <c r="Z67" s="305"/>
      <c r="AE67" s="309"/>
      <c r="AF67" s="305"/>
      <c r="AH67" s="309"/>
      <c r="AI67" s="516"/>
      <c r="AO67" s="524"/>
      <c r="AU67" s="524"/>
      <c r="AX67" s="524"/>
    </row>
    <row r="68" spans="1:50" x14ac:dyDescent="0.2">
      <c r="A68" s="698" t="s">
        <v>1077</v>
      </c>
      <c r="B68" s="699">
        <v>31548075.803289473</v>
      </c>
      <c r="C68" s="699"/>
      <c r="D68" s="699">
        <v>5738276.1948658107</v>
      </c>
      <c r="E68" s="699"/>
      <c r="F68" s="699"/>
      <c r="G68" s="699"/>
      <c r="H68" s="699">
        <v>37286351.998155281</v>
      </c>
      <c r="I68" s="699"/>
      <c r="J68" s="699">
        <v>0</v>
      </c>
      <c r="K68" s="699">
        <v>0</v>
      </c>
      <c r="L68" s="699"/>
      <c r="M68" s="699"/>
      <c r="N68" s="699">
        <v>0</v>
      </c>
      <c r="O68" s="699"/>
      <c r="P68" s="699"/>
      <c r="Q68" s="699"/>
      <c r="S68" s="296">
        <f>IF(B67&gt;0,(B68/B67),)</f>
        <v>94455.316776315783</v>
      </c>
      <c r="T68" s="296">
        <f t="shared" ref="T68" si="647">IF(C67&gt;0,(C68/C67),)</f>
        <v>0</v>
      </c>
      <c r="U68" s="296">
        <f t="shared" ref="U68" si="648">IF(D67&gt;0,(D68/D67),)</f>
        <v>63057.98016336056</v>
      </c>
      <c r="V68" s="296">
        <f t="shared" ref="V68" si="649">IF(E67&gt;0,(E68/E67),)</f>
        <v>0</v>
      </c>
      <c r="W68" s="296">
        <f t="shared" ref="W68" si="650">IF(F67&gt;0,(F68/F67),)</f>
        <v>0</v>
      </c>
      <c r="X68" s="296">
        <f t="shared" ref="X68" si="651">IF(G67&gt;0,(G68/G67),)</f>
        <v>0</v>
      </c>
      <c r="Y68" s="311">
        <f t="shared" ref="Y68" si="652">IF(H67&gt;0,(H68/H67),)</f>
        <v>87732.59293683595</v>
      </c>
      <c r="Z68" s="306">
        <f t="shared" ref="Z68" si="653">IF(I67&gt;0,(I68/I67),)</f>
        <v>0</v>
      </c>
      <c r="AA68" s="296">
        <f t="shared" ref="AA68" si="654">IF(J67&gt;0,(J68/J67),)</f>
        <v>0</v>
      </c>
      <c r="AB68" s="296">
        <f t="shared" ref="AB68" si="655">IF(K67&gt;0,(K68/K67),)</f>
        <v>0</v>
      </c>
      <c r="AC68" s="296">
        <f t="shared" ref="AC68" si="656">IF(L67&gt;0,(L68/L67),)</f>
        <v>0</v>
      </c>
      <c r="AD68" s="296">
        <f t="shared" ref="AD68" si="657">IF(M67&gt;0,(M68/M67),)</f>
        <v>0</v>
      </c>
      <c r="AE68" s="311">
        <f t="shared" ref="AE68" si="658">IF(N67&gt;0,(N68/N67),)</f>
        <v>0</v>
      </c>
      <c r="AF68" s="306">
        <f t="shared" ref="AF68" si="659">IF(O67&gt;0,(O68/O67),)</f>
        <v>0</v>
      </c>
      <c r="AG68" s="296">
        <f t="shared" ref="AG68" si="660">IF(P67&gt;0,(P68/P67),)</f>
        <v>0</v>
      </c>
      <c r="AH68" s="311">
        <f t="shared" ref="AH68" si="661">IF(Q67&gt;0,(Q68/Q67),)</f>
        <v>0</v>
      </c>
      <c r="AI68" s="516"/>
      <c r="AO68" s="524"/>
      <c r="AU68" s="524"/>
      <c r="AX68" s="524"/>
    </row>
    <row r="69" spans="1:50" x14ac:dyDescent="0.2">
      <c r="A69" s="696" t="s">
        <v>1079</v>
      </c>
      <c r="B69" s="697">
        <v>339</v>
      </c>
      <c r="C69" s="697"/>
      <c r="D69" s="697">
        <v>84</v>
      </c>
      <c r="E69" s="697"/>
      <c r="F69" s="697"/>
      <c r="G69" s="697"/>
      <c r="H69" s="697">
        <v>423</v>
      </c>
      <c r="I69" s="697"/>
      <c r="J69" s="697">
        <v>0</v>
      </c>
      <c r="K69" s="697">
        <v>0</v>
      </c>
      <c r="L69" s="697"/>
      <c r="M69" s="697"/>
      <c r="N69" s="697">
        <v>0</v>
      </c>
      <c r="O69" s="697"/>
      <c r="P69" s="697"/>
      <c r="Q69" s="697"/>
      <c r="Y69" s="309"/>
      <c r="Z69" s="305"/>
      <c r="AE69" s="309"/>
      <c r="AF69" s="305"/>
      <c r="AH69" s="309"/>
      <c r="AI69" s="516"/>
      <c r="AO69" s="524"/>
      <c r="AU69" s="524"/>
      <c r="AX69" s="524"/>
    </row>
    <row r="70" spans="1:50" x14ac:dyDescent="0.2">
      <c r="A70" s="696" t="s">
        <v>1081</v>
      </c>
      <c r="B70" s="697">
        <v>34137289.303927884</v>
      </c>
      <c r="C70" s="697"/>
      <c r="D70" s="697">
        <v>5714762.6424870472</v>
      </c>
      <c r="E70" s="697"/>
      <c r="F70" s="697"/>
      <c r="G70" s="697"/>
      <c r="H70" s="697">
        <v>39852051.946414933</v>
      </c>
      <c r="I70" s="697"/>
      <c r="J70" s="697">
        <v>0</v>
      </c>
      <c r="K70" s="697">
        <v>0</v>
      </c>
      <c r="L70" s="697"/>
      <c r="M70" s="697"/>
      <c r="N70" s="697">
        <v>0</v>
      </c>
      <c r="O70" s="697"/>
      <c r="P70" s="697"/>
      <c r="Q70" s="697"/>
      <c r="R70" s="294"/>
      <c r="S70" s="296">
        <f>IF(B69&gt;0,(B70/B69),)</f>
        <v>100699.96844816484</v>
      </c>
      <c r="T70" s="296">
        <f t="shared" ref="T70" si="662">IF(C69&gt;0,(C70/C69),)</f>
        <v>0</v>
      </c>
      <c r="U70" s="296">
        <f t="shared" ref="U70" si="663">IF(D69&gt;0,(D70/D69),)</f>
        <v>68032.888601036277</v>
      </c>
      <c r="V70" s="296">
        <f t="shared" ref="V70" si="664">IF(E69&gt;0,(E70/E69),)</f>
        <v>0</v>
      </c>
      <c r="W70" s="296">
        <f t="shared" ref="W70" si="665">IF(F69&gt;0,(F70/F69),)</f>
        <v>0</v>
      </c>
      <c r="X70" s="296">
        <f t="shared" ref="X70" si="666">IF(G69&gt;0,(G70/G69),)</f>
        <v>0</v>
      </c>
      <c r="Y70" s="311">
        <f t="shared" ref="Y70" si="667">IF(H69&gt;0,(H70/H69),)</f>
        <v>94212.888762210248</v>
      </c>
      <c r="Z70" s="306">
        <f t="shared" ref="Z70" si="668">IF(I69&gt;0,(I70/I69),)</f>
        <v>0</v>
      </c>
      <c r="AA70" s="296">
        <f t="shared" ref="AA70" si="669">IF(J69&gt;0,(J70/J69),)</f>
        <v>0</v>
      </c>
      <c r="AB70" s="296">
        <f t="shared" ref="AB70" si="670">IF(K69&gt;0,(K70/K69),)</f>
        <v>0</v>
      </c>
      <c r="AC70" s="296">
        <f t="shared" ref="AC70" si="671">IF(L69&gt;0,(L70/L69),)</f>
        <v>0</v>
      </c>
      <c r="AD70" s="296">
        <f t="shared" ref="AD70" si="672">IF(M69&gt;0,(M70/M69),)</f>
        <v>0</v>
      </c>
      <c r="AE70" s="311">
        <f t="shared" ref="AE70" si="673">IF(N69&gt;0,(N70/N69),)</f>
        <v>0</v>
      </c>
      <c r="AF70" s="306">
        <f t="shared" ref="AF70" si="674">IF(O69&gt;0,(O70/O69),)</f>
        <v>0</v>
      </c>
      <c r="AG70" s="296">
        <f t="shared" ref="AG70" si="675">IF(P69&gt;0,(P70/P69),)</f>
        <v>0</v>
      </c>
      <c r="AH70" s="311">
        <f t="shared" ref="AH70" si="676">IF(Q69&gt;0,(Q70/Q69),)</f>
        <v>0</v>
      </c>
      <c r="AI70" s="517">
        <f>IF(S68&gt;0,(S70-S68)/S68,)</f>
        <v>6.6112230470173769E-2</v>
      </c>
      <c r="AJ70" s="518">
        <f t="shared" ref="AJ70" si="677">IF(T68&gt;0,(T70-T68)/T68,)</f>
        <v>0</v>
      </c>
      <c r="AK70" s="518">
        <f t="shared" ref="AK70" si="678">IF(U68&gt;0,(U70-U68)/U68,)</f>
        <v>7.8894192690402015E-2</v>
      </c>
      <c r="AL70" s="518">
        <f t="shared" ref="AL70" si="679">IF(V68&gt;0,(V70-V68)/V68,)</f>
        <v>0</v>
      </c>
      <c r="AM70" s="518">
        <f t="shared" ref="AM70" si="680">IF(W68&gt;0,(W70-W68)/W68,)</f>
        <v>0</v>
      </c>
      <c r="AN70" s="518">
        <f t="shared" ref="AN70" si="681">IF(X68&gt;0,(X70-X68)/X68,)</f>
        <v>0</v>
      </c>
      <c r="AO70" s="525">
        <f t="shared" ref="AO70" si="682">IF(Y68&gt;0,(Y70-Y68)/Y68,)</f>
        <v>7.3864177592925573E-2</v>
      </c>
      <c r="AP70" s="518">
        <f t="shared" ref="AP70" si="683">IF(Z68&gt;0,(Z70-Z68)/Z68,)</f>
        <v>0</v>
      </c>
      <c r="AQ70" s="518">
        <f t="shared" ref="AQ70" si="684">IF(AA68&gt;0,(AA70-AA68)/AA68,)</f>
        <v>0</v>
      </c>
      <c r="AR70" s="518">
        <f t="shared" ref="AR70" si="685">IF(AB68&gt;0,(AB70-AB68)/AB68,)</f>
        <v>0</v>
      </c>
      <c r="AS70" s="518">
        <f t="shared" ref="AS70" si="686">IF(AC68&gt;0,(AC70-AC68)/AC68,)</f>
        <v>0</v>
      </c>
      <c r="AT70" s="518">
        <f t="shared" ref="AT70" si="687">IF(AD68&gt;0,(AD70-AD68)/AD68,)</f>
        <v>0</v>
      </c>
      <c r="AU70" s="525">
        <f t="shared" ref="AU70" si="688">IF(AE68&gt;0,(AE70-AE68)/AE68,)</f>
        <v>0</v>
      </c>
      <c r="AV70" s="518">
        <f t="shared" ref="AV70" si="689">IF(AF68&gt;0,(AF70-AF68)/AF68,)</f>
        <v>0</v>
      </c>
      <c r="AW70" s="518">
        <f t="shared" ref="AW70" si="690">IF(AG68&gt;0,(AG70-AG68)/AG68,)</f>
        <v>0</v>
      </c>
      <c r="AX70" s="525">
        <f t="shared" ref="AX70" si="691">IF(AH68&gt;0,(AH70-AH68)/AH68,)</f>
        <v>0</v>
      </c>
    </row>
    <row r="71" spans="1:50" x14ac:dyDescent="0.2">
      <c r="A71" s="696" t="s">
        <v>1083</v>
      </c>
      <c r="B71" s="697">
        <v>300</v>
      </c>
      <c r="C71" s="697"/>
      <c r="D71" s="697">
        <v>63</v>
      </c>
      <c r="E71" s="697"/>
      <c r="F71" s="697"/>
      <c r="G71" s="697"/>
      <c r="H71" s="697">
        <v>363</v>
      </c>
      <c r="I71" s="697"/>
      <c r="J71" s="697">
        <v>0</v>
      </c>
      <c r="K71" s="697">
        <v>0</v>
      </c>
      <c r="L71" s="697"/>
      <c r="M71" s="697"/>
      <c r="N71" s="697">
        <v>0</v>
      </c>
      <c r="O71" s="697"/>
      <c r="P71" s="697"/>
      <c r="Q71" s="697"/>
      <c r="Y71" s="309"/>
      <c r="Z71" s="305"/>
      <c r="AE71" s="309"/>
      <c r="AF71" s="305"/>
      <c r="AH71" s="309"/>
      <c r="AI71" s="516"/>
      <c r="AO71" s="524"/>
      <c r="AU71" s="524"/>
      <c r="AX71" s="524"/>
    </row>
    <row r="72" spans="1:50" x14ac:dyDescent="0.2">
      <c r="A72" s="696" t="s">
        <v>1085</v>
      </c>
      <c r="B72" s="697">
        <v>24419586.263736263</v>
      </c>
      <c r="C72" s="697"/>
      <c r="D72" s="697">
        <v>3659025.461538462</v>
      </c>
      <c r="E72" s="697"/>
      <c r="F72" s="697"/>
      <c r="G72" s="697"/>
      <c r="H72" s="697">
        <v>28078611.725274727</v>
      </c>
      <c r="I72" s="697"/>
      <c r="J72" s="697">
        <v>0</v>
      </c>
      <c r="K72" s="697">
        <v>0</v>
      </c>
      <c r="L72" s="697"/>
      <c r="M72" s="697"/>
      <c r="N72" s="697">
        <v>0</v>
      </c>
      <c r="O72" s="697"/>
      <c r="P72" s="697"/>
      <c r="Q72" s="697"/>
      <c r="R72" s="294"/>
      <c r="S72" s="296">
        <f>IF(B71&gt;0,(B72/B71),)</f>
        <v>81398.620879120877</v>
      </c>
      <c r="T72" s="296">
        <f t="shared" ref="T72" si="692">IF(C71&gt;0,(C72/C71),)</f>
        <v>0</v>
      </c>
      <c r="U72" s="296">
        <f t="shared" ref="U72" si="693">IF(D71&gt;0,(D72/D71),)</f>
        <v>58079.769230769234</v>
      </c>
      <c r="V72" s="296">
        <f t="shared" ref="V72" si="694">IF(E71&gt;0,(E72/E71),)</f>
        <v>0</v>
      </c>
      <c r="W72" s="296">
        <f t="shared" ref="W72" si="695">IF(F71&gt;0,(F72/F71),)</f>
        <v>0</v>
      </c>
      <c r="X72" s="296">
        <f t="shared" ref="X72" si="696">IF(G71&gt;0,(G72/G71),)</f>
        <v>0</v>
      </c>
      <c r="Y72" s="311">
        <f t="shared" ref="Y72" si="697">IF(H71&gt;0,(H72/H71),)</f>
        <v>77351.547452547456</v>
      </c>
      <c r="Z72" s="306">
        <f t="shared" ref="Z72" si="698">IF(I71&gt;0,(I72/I71),)</f>
        <v>0</v>
      </c>
      <c r="AA72" s="296">
        <f t="shared" ref="AA72" si="699">IF(J71&gt;0,(J72/J71),)</f>
        <v>0</v>
      </c>
      <c r="AB72" s="296">
        <f t="shared" ref="AB72" si="700">IF(K71&gt;0,(K72/K71),)</f>
        <v>0</v>
      </c>
      <c r="AC72" s="296">
        <f t="shared" ref="AC72" si="701">IF(L71&gt;0,(L72/L71),)</f>
        <v>0</v>
      </c>
      <c r="AD72" s="296">
        <f t="shared" ref="AD72" si="702">IF(M71&gt;0,(M72/M71),)</f>
        <v>0</v>
      </c>
      <c r="AE72" s="311">
        <f t="shared" ref="AE72" si="703">IF(N71&gt;0,(N72/N71),)</f>
        <v>0</v>
      </c>
      <c r="AF72" s="306">
        <f t="shared" ref="AF72" si="704">IF(O71&gt;0,(O72/O71),)</f>
        <v>0</v>
      </c>
      <c r="AG72" s="296">
        <f t="shared" ref="AG72" si="705">IF(P71&gt;0,(P72/P71),)</f>
        <v>0</v>
      </c>
      <c r="AH72" s="311">
        <f t="shared" ref="AH72" si="706">IF(Q71&gt;0,(Q72/Q71),)</f>
        <v>0</v>
      </c>
      <c r="AI72" s="516"/>
      <c r="AO72" s="524"/>
      <c r="AU72" s="524"/>
      <c r="AX72" s="524"/>
    </row>
    <row r="73" spans="1:50" x14ac:dyDescent="0.2">
      <c r="A73" s="696" t="s">
        <v>1087</v>
      </c>
      <c r="B73" s="697">
        <v>297</v>
      </c>
      <c r="C73" s="697"/>
      <c r="D73" s="697">
        <v>62</v>
      </c>
      <c r="E73" s="697"/>
      <c r="F73" s="697"/>
      <c r="G73" s="697"/>
      <c r="H73" s="697">
        <v>359</v>
      </c>
      <c r="I73" s="697"/>
      <c r="J73" s="697">
        <v>0</v>
      </c>
      <c r="K73" s="697">
        <v>0</v>
      </c>
      <c r="L73" s="697"/>
      <c r="M73" s="697"/>
      <c r="N73" s="697">
        <v>0</v>
      </c>
      <c r="O73" s="697"/>
      <c r="P73" s="697"/>
      <c r="Q73" s="697"/>
      <c r="Y73" s="309"/>
      <c r="Z73" s="305"/>
      <c r="AE73" s="309"/>
      <c r="AF73" s="305"/>
      <c r="AH73" s="309"/>
      <c r="AI73" s="516"/>
      <c r="AO73" s="524"/>
      <c r="AU73" s="524"/>
      <c r="AX73" s="524"/>
    </row>
    <row r="74" spans="1:50" x14ac:dyDescent="0.2">
      <c r="A74" s="696" t="s">
        <v>1089</v>
      </c>
      <c r="B74" s="697">
        <v>24390746.882480957</v>
      </c>
      <c r="C74" s="697"/>
      <c r="D74" s="697">
        <v>3926944.647887324</v>
      </c>
      <c r="E74" s="697"/>
      <c r="F74" s="697"/>
      <c r="G74" s="697"/>
      <c r="H74" s="697">
        <v>28317691.53036828</v>
      </c>
      <c r="I74" s="697"/>
      <c r="J74" s="697">
        <v>0</v>
      </c>
      <c r="K74" s="697">
        <v>0</v>
      </c>
      <c r="L74" s="697"/>
      <c r="M74" s="697"/>
      <c r="N74" s="697">
        <v>0</v>
      </c>
      <c r="O74" s="697"/>
      <c r="P74" s="697"/>
      <c r="Q74" s="697"/>
      <c r="R74" s="294"/>
      <c r="S74" s="296">
        <f>IF(B73&gt;0,(B74/B73),)</f>
        <v>82123.726877040259</v>
      </c>
      <c r="T74" s="296">
        <f t="shared" ref="T74" si="707">IF(C73&gt;0,(C74/C73),)</f>
        <v>0</v>
      </c>
      <c r="U74" s="296">
        <f t="shared" ref="U74" si="708">IF(D73&gt;0,(D74/D73),)</f>
        <v>63337.816901408449</v>
      </c>
      <c r="V74" s="296">
        <f t="shared" ref="V74" si="709">IF(E73&gt;0,(E74/E73),)</f>
        <v>0</v>
      </c>
      <c r="W74" s="296">
        <f t="shared" ref="W74" si="710">IF(F73&gt;0,(F74/F73),)</f>
        <v>0</v>
      </c>
      <c r="X74" s="296">
        <f t="shared" ref="X74" si="711">IF(G73&gt;0,(G74/G73),)</f>
        <v>0</v>
      </c>
      <c r="Y74" s="311">
        <f t="shared" ref="Y74" si="712">IF(H73&gt;0,(H74/H73),)</f>
        <v>78879.363594340612</v>
      </c>
      <c r="Z74" s="306">
        <f t="shared" ref="Z74" si="713">IF(I73&gt;0,(I74/I73),)</f>
        <v>0</v>
      </c>
      <c r="AA74" s="296">
        <f t="shared" ref="AA74" si="714">IF(J73&gt;0,(J74/J73),)</f>
        <v>0</v>
      </c>
      <c r="AB74" s="296">
        <f t="shared" ref="AB74" si="715">IF(K73&gt;0,(K74/K73),)</f>
        <v>0</v>
      </c>
      <c r="AC74" s="296">
        <f t="shared" ref="AC74" si="716">IF(L73&gt;0,(L74/L73),)</f>
        <v>0</v>
      </c>
      <c r="AD74" s="296">
        <f t="shared" ref="AD74" si="717">IF(M73&gt;0,(M74/M73),)</f>
        <v>0</v>
      </c>
      <c r="AE74" s="311">
        <f t="shared" ref="AE74" si="718">IF(N73&gt;0,(N74/N73),)</f>
        <v>0</v>
      </c>
      <c r="AF74" s="306">
        <f t="shared" ref="AF74" si="719">IF(O73&gt;0,(O74/O73),)</f>
        <v>0</v>
      </c>
      <c r="AG74" s="296">
        <f t="shared" ref="AG74" si="720">IF(P73&gt;0,(P74/P73),)</f>
        <v>0</v>
      </c>
      <c r="AH74" s="311">
        <f t="shared" ref="AH74" si="721">IF(Q73&gt;0,(Q74/Q73),)</f>
        <v>0</v>
      </c>
      <c r="AI74" s="517">
        <f>IF(S72&gt;0,(S74-S72)/S72,)</f>
        <v>8.9080870177909183E-3</v>
      </c>
      <c r="AJ74" s="518">
        <f t="shared" ref="AJ74" si="722">IF(T72&gt;0,(T74-T72)/T72,)</f>
        <v>0</v>
      </c>
      <c r="AK74" s="527">
        <f t="shared" ref="AK74" si="723">IF(U72&gt;0,(U74-U72)/U72,)</f>
        <v>9.0531483514463246E-2</v>
      </c>
      <c r="AL74" s="518">
        <f t="shared" ref="AL74" si="724">IF(V72&gt;0,(V74-V72)/V72,)</f>
        <v>0</v>
      </c>
      <c r="AM74" s="518">
        <f t="shared" ref="AM74" si="725">IF(W72&gt;0,(W74-W72)/W72,)</f>
        <v>0</v>
      </c>
      <c r="AN74" s="518">
        <f t="shared" ref="AN74" si="726">IF(X72&gt;0,(X74-X72)/X72,)</f>
        <v>0</v>
      </c>
      <c r="AO74" s="525">
        <f t="shared" ref="AO74" si="727">IF(Y72&gt;0,(Y74-Y72)/Y72,)</f>
        <v>1.9751591171856236E-2</v>
      </c>
      <c r="AP74" s="518">
        <f t="shared" ref="AP74" si="728">IF(Z72&gt;0,(Z74-Z72)/Z72,)</f>
        <v>0</v>
      </c>
      <c r="AQ74" s="518">
        <f t="shared" ref="AQ74" si="729">IF(AA72&gt;0,(AA74-AA72)/AA72,)</f>
        <v>0</v>
      </c>
      <c r="AR74" s="518">
        <f t="shared" ref="AR74" si="730">IF(AB72&gt;0,(AB74-AB72)/AB72,)</f>
        <v>0</v>
      </c>
      <c r="AS74" s="518">
        <f t="shared" ref="AS74" si="731">IF(AC72&gt;0,(AC74-AC72)/AC72,)</f>
        <v>0</v>
      </c>
      <c r="AT74" s="518">
        <f t="shared" ref="AT74" si="732">IF(AD72&gt;0,(AD74-AD72)/AD72,)</f>
        <v>0</v>
      </c>
      <c r="AU74" s="525">
        <f t="shared" ref="AU74" si="733">IF(AE72&gt;0,(AE74-AE72)/AE72,)</f>
        <v>0</v>
      </c>
      <c r="AV74" s="518">
        <f t="shared" ref="AV74" si="734">IF(AF72&gt;0,(AF74-AF72)/AF72,)</f>
        <v>0</v>
      </c>
      <c r="AW74" s="518">
        <f t="shared" ref="AW74" si="735">IF(AG72&gt;0,(AG74-AG72)/AG72,)</f>
        <v>0</v>
      </c>
      <c r="AX74" s="525">
        <f t="shared" ref="AX74" si="736">IF(AH72&gt;0,(AH74-AH72)/AH72,)</f>
        <v>0</v>
      </c>
    </row>
    <row r="75" spans="1:50" x14ac:dyDescent="0.2">
      <c r="A75" s="696" t="s">
        <v>1091</v>
      </c>
      <c r="B75" s="697">
        <v>102</v>
      </c>
      <c r="C75" s="697"/>
      <c r="D75" s="697">
        <v>12</v>
      </c>
      <c r="E75" s="697"/>
      <c r="F75" s="697"/>
      <c r="G75" s="697"/>
      <c r="H75" s="697">
        <v>114</v>
      </c>
      <c r="I75" s="697"/>
      <c r="J75" s="697">
        <v>0</v>
      </c>
      <c r="K75" s="697">
        <v>0</v>
      </c>
      <c r="L75" s="697"/>
      <c r="M75" s="697"/>
      <c r="N75" s="697">
        <v>0</v>
      </c>
      <c r="O75" s="697"/>
      <c r="P75" s="697"/>
      <c r="Q75" s="697"/>
      <c r="Y75" s="309"/>
      <c r="Z75" s="305"/>
      <c r="AE75" s="309"/>
      <c r="AF75" s="305"/>
      <c r="AH75" s="309"/>
      <c r="AI75" s="516"/>
      <c r="AO75" s="524"/>
      <c r="AU75" s="524"/>
      <c r="AX75" s="524"/>
    </row>
    <row r="76" spans="1:50" x14ac:dyDescent="0.2">
      <c r="A76" s="696" t="s">
        <v>1093</v>
      </c>
      <c r="B76" s="697">
        <v>6540919.566878981</v>
      </c>
      <c r="C76" s="697"/>
      <c r="D76" s="697">
        <v>566928</v>
      </c>
      <c r="E76" s="697"/>
      <c r="F76" s="697"/>
      <c r="G76" s="697"/>
      <c r="H76" s="697">
        <v>7107847.566878981</v>
      </c>
      <c r="I76" s="697"/>
      <c r="J76" s="697">
        <v>0</v>
      </c>
      <c r="K76" s="697">
        <v>0</v>
      </c>
      <c r="L76" s="697"/>
      <c r="M76" s="697"/>
      <c r="N76" s="697">
        <v>0</v>
      </c>
      <c r="O76" s="697"/>
      <c r="P76" s="697"/>
      <c r="Q76" s="697"/>
      <c r="R76" s="294"/>
      <c r="S76" s="296">
        <f>IF(B75&gt;0,(B76/B75),)</f>
        <v>64126.662420382163</v>
      </c>
      <c r="T76" s="296">
        <f t="shared" ref="T76" si="737">IF(C75&gt;0,(C76/C75),)</f>
        <v>0</v>
      </c>
      <c r="U76" s="296">
        <f t="shared" ref="U76" si="738">IF(D75&gt;0,(D76/D75),)</f>
        <v>47244</v>
      </c>
      <c r="V76" s="296">
        <f t="shared" ref="V76" si="739">IF(E75&gt;0,(E76/E75),)</f>
        <v>0</v>
      </c>
      <c r="W76" s="296">
        <f t="shared" ref="W76" si="740">IF(F75&gt;0,(F76/F75),)</f>
        <v>0</v>
      </c>
      <c r="X76" s="296">
        <f t="shared" ref="X76" si="741">IF(G75&gt;0,(G76/G75),)</f>
        <v>0</v>
      </c>
      <c r="Y76" s="311">
        <f t="shared" ref="Y76" si="742">IF(H75&gt;0,(H76/H75),)</f>
        <v>62349.54006034194</v>
      </c>
      <c r="Z76" s="306">
        <f t="shared" ref="Z76" si="743">IF(I75&gt;0,(I76/I75),)</f>
        <v>0</v>
      </c>
      <c r="AA76" s="296">
        <f t="shared" ref="AA76" si="744">IF(J75&gt;0,(J76/J75),)</f>
        <v>0</v>
      </c>
      <c r="AB76" s="296">
        <f t="shared" ref="AB76" si="745">IF(K75&gt;0,(K76/K75),)</f>
        <v>0</v>
      </c>
      <c r="AC76" s="296">
        <f t="shared" ref="AC76" si="746">IF(L75&gt;0,(L76/L75),)</f>
        <v>0</v>
      </c>
      <c r="AD76" s="296">
        <f t="shared" ref="AD76" si="747">IF(M75&gt;0,(M76/M75),)</f>
        <v>0</v>
      </c>
      <c r="AE76" s="311">
        <f t="shared" ref="AE76" si="748">IF(N75&gt;0,(N76/N75),)</f>
        <v>0</v>
      </c>
      <c r="AF76" s="306">
        <f t="shared" ref="AF76" si="749">IF(O75&gt;0,(O76/O75),)</f>
        <v>0</v>
      </c>
      <c r="AG76" s="296">
        <f t="shared" ref="AG76" si="750">IF(P75&gt;0,(P76/P75),)</f>
        <v>0</v>
      </c>
      <c r="AH76" s="311">
        <f t="shared" ref="AH76" si="751">IF(Q75&gt;0,(Q76/Q75),)</f>
        <v>0</v>
      </c>
      <c r="AI76" s="516"/>
      <c r="AO76" s="524"/>
      <c r="AU76" s="524"/>
      <c r="AX76" s="524"/>
    </row>
    <row r="77" spans="1:50" x14ac:dyDescent="0.2">
      <c r="A77" s="696" t="s">
        <v>1095</v>
      </c>
      <c r="B77" s="697">
        <v>97</v>
      </c>
      <c r="C77" s="697"/>
      <c r="D77" s="697">
        <v>0</v>
      </c>
      <c r="E77" s="697"/>
      <c r="F77" s="697"/>
      <c r="G77" s="697"/>
      <c r="H77" s="697">
        <v>97</v>
      </c>
      <c r="I77" s="697"/>
      <c r="J77" s="697">
        <v>0</v>
      </c>
      <c r="K77" s="697">
        <v>0</v>
      </c>
      <c r="L77" s="697"/>
      <c r="M77" s="697"/>
      <c r="N77" s="697">
        <v>0</v>
      </c>
      <c r="O77" s="697"/>
      <c r="P77" s="697"/>
      <c r="Q77" s="697"/>
      <c r="Y77" s="309"/>
      <c r="Z77" s="305"/>
      <c r="AE77" s="309"/>
      <c r="AF77" s="305"/>
      <c r="AH77" s="309"/>
      <c r="AI77" s="516"/>
      <c r="AO77" s="524"/>
      <c r="AU77" s="524"/>
      <c r="AX77" s="524"/>
    </row>
    <row r="78" spans="1:50" x14ac:dyDescent="0.2">
      <c r="A78" s="696" t="s">
        <v>1097</v>
      </c>
      <c r="B78" s="697">
        <v>6110989.9233997902</v>
      </c>
      <c r="C78" s="697"/>
      <c r="D78" s="697">
        <v>0</v>
      </c>
      <c r="E78" s="697"/>
      <c r="F78" s="697"/>
      <c r="G78" s="697"/>
      <c r="H78" s="697">
        <v>6110989.9233997902</v>
      </c>
      <c r="I78" s="697"/>
      <c r="J78" s="697">
        <v>0</v>
      </c>
      <c r="K78" s="697">
        <v>0</v>
      </c>
      <c r="L78" s="697"/>
      <c r="M78" s="697"/>
      <c r="N78" s="697">
        <v>0</v>
      </c>
      <c r="O78" s="697"/>
      <c r="P78" s="697"/>
      <c r="Q78" s="697"/>
      <c r="R78" s="294"/>
      <c r="S78" s="296">
        <f>IF(B77&gt;0,(B78/B77),)</f>
        <v>62999.896117523611</v>
      </c>
      <c r="T78" s="296">
        <f t="shared" ref="T78" si="752">IF(C77&gt;0,(C78/C77),)</f>
        <v>0</v>
      </c>
      <c r="U78" s="296">
        <f t="shared" ref="U78" si="753">IF(D77&gt;0,(D78/D77),)</f>
        <v>0</v>
      </c>
      <c r="V78" s="296">
        <f t="shared" ref="V78" si="754">IF(E77&gt;0,(E78/E77),)</f>
        <v>0</v>
      </c>
      <c r="W78" s="296">
        <f t="shared" ref="W78" si="755">IF(F77&gt;0,(F78/F77),)</f>
        <v>0</v>
      </c>
      <c r="X78" s="296">
        <f t="shared" ref="X78" si="756">IF(G77&gt;0,(G78/G77),)</f>
        <v>0</v>
      </c>
      <c r="Y78" s="311">
        <f t="shared" ref="Y78" si="757">IF(H77&gt;0,(H78/H77),)</f>
        <v>62999.896117523611</v>
      </c>
      <c r="Z78" s="306">
        <f t="shared" ref="Z78" si="758">IF(I77&gt;0,(I78/I77),)</f>
        <v>0</v>
      </c>
      <c r="AA78" s="296">
        <f t="shared" ref="AA78" si="759">IF(J77&gt;0,(J78/J77),)</f>
        <v>0</v>
      </c>
      <c r="AB78" s="296">
        <f t="shared" ref="AB78" si="760">IF(K77&gt;0,(K78/K77),)</f>
        <v>0</v>
      </c>
      <c r="AC78" s="296">
        <f t="shared" ref="AC78" si="761">IF(L77&gt;0,(L78/L77),)</f>
        <v>0</v>
      </c>
      <c r="AD78" s="296">
        <f t="shared" ref="AD78" si="762">IF(M77&gt;0,(M78/M77),)</f>
        <v>0</v>
      </c>
      <c r="AE78" s="311">
        <f t="shared" ref="AE78" si="763">IF(N77&gt;0,(N78/N77),)</f>
        <v>0</v>
      </c>
      <c r="AF78" s="306">
        <f t="shared" ref="AF78" si="764">IF(O77&gt;0,(O78/O77),)</f>
        <v>0</v>
      </c>
      <c r="AG78" s="296">
        <f t="shared" ref="AG78" si="765">IF(P77&gt;0,(P78/P77),)</f>
        <v>0</v>
      </c>
      <c r="AH78" s="311">
        <f t="shared" ref="AH78" si="766">IF(Q77&gt;0,(Q78/Q77),)</f>
        <v>0</v>
      </c>
      <c r="AI78" s="517">
        <f>IF(S76&gt;0,(S78-S76)/S76,)</f>
        <v>-1.757094881177565E-2</v>
      </c>
      <c r="AJ78" s="518">
        <f t="shared" ref="AJ78" si="767">IF(T76&gt;0,(T78-T76)/T76,)</f>
        <v>0</v>
      </c>
      <c r="AK78" s="518">
        <f t="shared" ref="AK78" si="768">IF(U76&gt;0,(U78-U76)/U76,)</f>
        <v>-1</v>
      </c>
      <c r="AL78" s="518">
        <f t="shared" ref="AL78" si="769">IF(V76&gt;0,(V78-V76)/V76,)</f>
        <v>0</v>
      </c>
      <c r="AM78" s="518">
        <f t="shared" ref="AM78" si="770">IF(W76&gt;0,(W78-W76)/W76,)</f>
        <v>0</v>
      </c>
      <c r="AN78" s="518">
        <f t="shared" ref="AN78" si="771">IF(X76&gt;0,(X78-X76)/X76,)</f>
        <v>0</v>
      </c>
      <c r="AO78" s="525">
        <f t="shared" ref="AO78" si="772">IF(Y76&gt;0,(Y78-Y76)/Y76,)</f>
        <v>1.0430807613853373E-2</v>
      </c>
      <c r="AP78" s="518">
        <f t="shared" ref="AP78" si="773">IF(Z76&gt;0,(Z78-Z76)/Z76,)</f>
        <v>0</v>
      </c>
      <c r="AQ78" s="518">
        <f t="shared" ref="AQ78" si="774">IF(AA76&gt;0,(AA78-AA76)/AA76,)</f>
        <v>0</v>
      </c>
      <c r="AR78" s="518">
        <f t="shared" ref="AR78" si="775">IF(AB76&gt;0,(AB78-AB76)/AB76,)</f>
        <v>0</v>
      </c>
      <c r="AS78" s="518">
        <f t="shared" ref="AS78" si="776">IF(AC76&gt;0,(AC78-AC76)/AC76,)</f>
        <v>0</v>
      </c>
      <c r="AT78" s="518">
        <f t="shared" ref="AT78" si="777">IF(AD76&gt;0,(AD78-AD76)/AD76,)</f>
        <v>0</v>
      </c>
      <c r="AU78" s="525">
        <f t="shared" ref="AU78" si="778">IF(AE76&gt;0,(AE78-AE76)/AE76,)</f>
        <v>0</v>
      </c>
      <c r="AV78" s="518">
        <f t="shared" ref="AV78" si="779">IF(AF76&gt;0,(AF78-AF76)/AF76,)</f>
        <v>0</v>
      </c>
      <c r="AW78" s="518">
        <f t="shared" ref="AW78" si="780">IF(AG76&gt;0,(AG78-AG76)/AG76,)</f>
        <v>0</v>
      </c>
      <c r="AX78" s="525">
        <f t="shared" ref="AX78" si="781">IF(AH76&gt;0,(AH78-AH76)/AH76,)</f>
        <v>0</v>
      </c>
    </row>
    <row r="79" spans="1:50" x14ac:dyDescent="0.2">
      <c r="A79" s="696" t="s">
        <v>1099</v>
      </c>
      <c r="B79" s="697">
        <v>0</v>
      </c>
      <c r="C79" s="697"/>
      <c r="D79" s="697">
        <v>2</v>
      </c>
      <c r="E79" s="697"/>
      <c r="F79" s="697"/>
      <c r="G79" s="697"/>
      <c r="H79" s="697">
        <v>2</v>
      </c>
      <c r="I79" s="697"/>
      <c r="J79" s="697">
        <v>0</v>
      </c>
      <c r="K79" s="697">
        <v>0</v>
      </c>
      <c r="L79" s="697"/>
      <c r="M79" s="697"/>
      <c r="N79" s="697">
        <v>0</v>
      </c>
      <c r="O79" s="697"/>
      <c r="P79" s="697"/>
      <c r="Q79" s="697"/>
      <c r="Y79" s="309"/>
      <c r="Z79" s="305"/>
      <c r="AE79" s="309"/>
      <c r="AF79" s="305"/>
      <c r="AH79" s="309"/>
      <c r="AI79" s="516"/>
      <c r="AO79" s="524"/>
      <c r="AU79" s="524"/>
      <c r="AX79" s="524"/>
    </row>
    <row r="80" spans="1:50" x14ac:dyDescent="0.2">
      <c r="A80" s="696" t="s">
        <v>1101</v>
      </c>
      <c r="B80" s="697">
        <v>0</v>
      </c>
      <c r="C80" s="697"/>
      <c r="D80" s="697">
        <v>94000</v>
      </c>
      <c r="E80" s="697"/>
      <c r="F80" s="697"/>
      <c r="G80" s="697"/>
      <c r="H80" s="697">
        <v>94000</v>
      </c>
      <c r="I80" s="697"/>
      <c r="J80" s="697">
        <v>0</v>
      </c>
      <c r="K80" s="697">
        <v>0</v>
      </c>
      <c r="L80" s="697"/>
      <c r="M80" s="697"/>
      <c r="N80" s="697">
        <v>0</v>
      </c>
      <c r="O80" s="697"/>
      <c r="P80" s="697"/>
      <c r="Q80" s="697"/>
      <c r="R80" s="294"/>
      <c r="S80" s="296">
        <f>IF(B79&gt;0,(B80/B79),)</f>
        <v>0</v>
      </c>
      <c r="T80" s="296">
        <f t="shared" ref="T80" si="782">IF(C79&gt;0,(C80/C79),)</f>
        <v>0</v>
      </c>
      <c r="U80" s="296">
        <f t="shared" ref="U80" si="783">IF(D79&gt;0,(D80/D79),)</f>
        <v>47000</v>
      </c>
      <c r="V80" s="296">
        <f t="shared" ref="V80" si="784">IF(E79&gt;0,(E80/E79),)</f>
        <v>0</v>
      </c>
      <c r="W80" s="296">
        <f t="shared" ref="W80" si="785">IF(F79&gt;0,(F80/F79),)</f>
        <v>0</v>
      </c>
      <c r="X80" s="296">
        <f t="shared" ref="X80" si="786">IF(G79&gt;0,(G80/G79),)</f>
        <v>0</v>
      </c>
      <c r="Y80" s="311">
        <f t="shared" ref="Y80" si="787">IF(H79&gt;0,(H80/H79),)</f>
        <v>47000</v>
      </c>
      <c r="Z80" s="306">
        <f t="shared" ref="Z80" si="788">IF(I79&gt;0,(I80/I79),)</f>
        <v>0</v>
      </c>
      <c r="AA80" s="296">
        <f t="shared" ref="AA80" si="789">IF(J79&gt;0,(J80/J79),)</f>
        <v>0</v>
      </c>
      <c r="AB80" s="296">
        <f t="shared" ref="AB80" si="790">IF(K79&gt;0,(K80/K79),)</f>
        <v>0</v>
      </c>
      <c r="AC80" s="296">
        <f t="shared" ref="AC80" si="791">IF(L79&gt;0,(L80/L79),)</f>
        <v>0</v>
      </c>
      <c r="AD80" s="296">
        <f t="shared" ref="AD80" si="792">IF(M79&gt;0,(M80/M79),)</f>
        <v>0</v>
      </c>
      <c r="AE80" s="311">
        <f t="shared" ref="AE80" si="793">IF(N79&gt;0,(N80/N79),)</f>
        <v>0</v>
      </c>
      <c r="AF80" s="306">
        <f t="shared" ref="AF80" si="794">IF(O79&gt;0,(O80/O79),)</f>
        <v>0</v>
      </c>
      <c r="AG80" s="296">
        <f t="shared" ref="AG80" si="795">IF(P79&gt;0,(P80/P79),)</f>
        <v>0</v>
      </c>
      <c r="AH80" s="311">
        <f t="shared" ref="AH80" si="796">IF(Q79&gt;0,(Q80/Q79),)</f>
        <v>0</v>
      </c>
      <c r="AI80" s="516"/>
      <c r="AO80" s="524"/>
      <c r="AU80" s="524"/>
      <c r="AX80" s="524"/>
    </row>
    <row r="81" spans="1:50" x14ac:dyDescent="0.2">
      <c r="A81" s="696" t="s">
        <v>1103</v>
      </c>
      <c r="B81" s="697">
        <v>0</v>
      </c>
      <c r="C81" s="697"/>
      <c r="D81" s="697">
        <v>0</v>
      </c>
      <c r="E81" s="697"/>
      <c r="F81" s="697"/>
      <c r="G81" s="697"/>
      <c r="H81" s="697">
        <v>0</v>
      </c>
      <c r="I81" s="697"/>
      <c r="J81" s="697">
        <v>0</v>
      </c>
      <c r="K81" s="697">
        <v>0</v>
      </c>
      <c r="L81" s="697"/>
      <c r="M81" s="697"/>
      <c r="N81" s="697">
        <v>0</v>
      </c>
      <c r="O81" s="697"/>
      <c r="P81" s="697"/>
      <c r="Q81" s="697"/>
      <c r="Y81" s="309"/>
      <c r="Z81" s="305"/>
      <c r="AE81" s="309"/>
      <c r="AF81" s="305"/>
      <c r="AH81" s="309"/>
      <c r="AI81" s="516"/>
      <c r="AO81" s="524"/>
      <c r="AU81" s="524"/>
      <c r="AX81" s="524"/>
    </row>
    <row r="82" spans="1:50" x14ac:dyDescent="0.2">
      <c r="A82" s="696" t="s">
        <v>1105</v>
      </c>
      <c r="B82" s="697">
        <v>0</v>
      </c>
      <c r="C82" s="697"/>
      <c r="D82" s="697">
        <v>0</v>
      </c>
      <c r="E82" s="697"/>
      <c r="F82" s="697"/>
      <c r="G82" s="697"/>
      <c r="H82" s="697">
        <v>0</v>
      </c>
      <c r="I82" s="697"/>
      <c r="J82" s="697">
        <v>0</v>
      </c>
      <c r="K82" s="697">
        <v>0</v>
      </c>
      <c r="L82" s="697"/>
      <c r="M82" s="697"/>
      <c r="N82" s="697">
        <v>0</v>
      </c>
      <c r="O82" s="697"/>
      <c r="P82" s="697"/>
      <c r="Q82" s="697"/>
      <c r="R82" s="294"/>
      <c r="S82" s="296">
        <f>IF(B81&gt;0,(B82/B81),)</f>
        <v>0</v>
      </c>
      <c r="T82" s="296">
        <f t="shared" ref="T82" si="797">IF(C81&gt;0,(C82/C81),)</f>
        <v>0</v>
      </c>
      <c r="U82" s="296">
        <f t="shared" ref="U82" si="798">IF(D81&gt;0,(D82/D81),)</f>
        <v>0</v>
      </c>
      <c r="V82" s="296">
        <f t="shared" ref="V82" si="799">IF(E81&gt;0,(E82/E81),)</f>
        <v>0</v>
      </c>
      <c r="W82" s="296">
        <f t="shared" ref="W82" si="800">IF(F81&gt;0,(F82/F81),)</f>
        <v>0</v>
      </c>
      <c r="X82" s="296">
        <f t="shared" ref="X82" si="801">IF(G81&gt;0,(G82/G81),)</f>
        <v>0</v>
      </c>
      <c r="Y82" s="311">
        <f t="shared" ref="Y82" si="802">IF(H81&gt;0,(H82/H81),)</f>
        <v>0</v>
      </c>
      <c r="Z82" s="306">
        <f t="shared" ref="Z82" si="803">IF(I81&gt;0,(I82/I81),)</f>
        <v>0</v>
      </c>
      <c r="AA82" s="296">
        <f t="shared" ref="AA82" si="804">IF(J81&gt;0,(J82/J81),)</f>
        <v>0</v>
      </c>
      <c r="AB82" s="296">
        <f t="shared" ref="AB82" si="805">IF(K81&gt;0,(K82/K81),)</f>
        <v>0</v>
      </c>
      <c r="AC82" s="296">
        <f t="shared" ref="AC82" si="806">IF(L81&gt;0,(L82/L81),)</f>
        <v>0</v>
      </c>
      <c r="AD82" s="296">
        <f t="shared" ref="AD82" si="807">IF(M81&gt;0,(M82/M81),)</f>
        <v>0</v>
      </c>
      <c r="AE82" s="311">
        <f t="shared" ref="AE82" si="808">IF(N81&gt;0,(N82/N81),)</f>
        <v>0</v>
      </c>
      <c r="AF82" s="306">
        <f t="shared" ref="AF82" si="809">IF(O81&gt;0,(O82/O81),)</f>
        <v>0</v>
      </c>
      <c r="AG82" s="296">
        <f t="shared" ref="AG82" si="810">IF(P81&gt;0,(P82/P81),)</f>
        <v>0</v>
      </c>
      <c r="AH82" s="311">
        <f t="shared" ref="AH82" si="811">IF(Q81&gt;0,(Q82/Q81),)</f>
        <v>0</v>
      </c>
      <c r="AI82" s="517">
        <f>IF(S80&gt;0,(S82-S80)/S80,)</f>
        <v>0</v>
      </c>
      <c r="AJ82" s="518">
        <f t="shared" ref="AJ82" si="812">IF(T80&gt;0,(T82-T80)/T80,)</f>
        <v>0</v>
      </c>
      <c r="AK82" s="518">
        <f t="shared" ref="AK82" si="813">IF(U80&gt;0,(U82-U80)/U80,)</f>
        <v>-1</v>
      </c>
      <c r="AL82" s="518">
        <f t="shared" ref="AL82" si="814">IF(V80&gt;0,(V82-V80)/V80,)</f>
        <v>0</v>
      </c>
      <c r="AM82" s="518">
        <f t="shared" ref="AM82" si="815">IF(W80&gt;0,(W82-W80)/W80,)</f>
        <v>0</v>
      </c>
      <c r="AN82" s="518">
        <f t="shared" ref="AN82" si="816">IF(X80&gt;0,(X82-X80)/X80,)</f>
        <v>0</v>
      </c>
      <c r="AO82" s="525">
        <f t="shared" ref="AO82" si="817">IF(Y80&gt;0,(Y82-Y80)/Y80,)</f>
        <v>-1</v>
      </c>
      <c r="AP82" s="518">
        <f t="shared" ref="AP82" si="818">IF(Z80&gt;0,(Z82-Z80)/Z80,)</f>
        <v>0</v>
      </c>
      <c r="AQ82" s="518">
        <f t="shared" ref="AQ82" si="819">IF(AA80&gt;0,(AA82-AA80)/AA80,)</f>
        <v>0</v>
      </c>
      <c r="AR82" s="518">
        <f t="shared" ref="AR82" si="820">IF(AB80&gt;0,(AB82-AB80)/AB80,)</f>
        <v>0</v>
      </c>
      <c r="AS82" s="518">
        <f t="shared" ref="AS82" si="821">IF(AC80&gt;0,(AC82-AC80)/AC80,)</f>
        <v>0</v>
      </c>
      <c r="AT82" s="518">
        <f t="shared" ref="AT82" si="822">IF(AD80&gt;0,(AD82-AD80)/AD80,)</f>
        <v>0</v>
      </c>
      <c r="AU82" s="525">
        <f t="shared" ref="AU82" si="823">IF(AE80&gt;0,(AE82-AE80)/AE80,)</f>
        <v>0</v>
      </c>
      <c r="AV82" s="518">
        <f t="shared" ref="AV82" si="824">IF(AF80&gt;0,(AF82-AF80)/AF80,)</f>
        <v>0</v>
      </c>
      <c r="AW82" s="518">
        <f t="shared" ref="AW82" si="825">IF(AG80&gt;0,(AG82-AG80)/AG80,)</f>
        <v>0</v>
      </c>
      <c r="AX82" s="525">
        <f t="shared" ref="AX82" si="826">IF(AH80&gt;0,(AH82-AH80)/AH80,)</f>
        <v>0</v>
      </c>
    </row>
    <row r="83" spans="1:50" x14ac:dyDescent="0.2">
      <c r="A83" s="696" t="s">
        <v>1107</v>
      </c>
      <c r="B83" s="697">
        <v>0</v>
      </c>
      <c r="C83" s="697"/>
      <c r="D83" s="697">
        <v>0</v>
      </c>
      <c r="E83" s="697"/>
      <c r="F83" s="697"/>
      <c r="G83" s="697"/>
      <c r="H83" s="697">
        <v>0</v>
      </c>
      <c r="I83" s="697"/>
      <c r="J83" s="697">
        <v>176</v>
      </c>
      <c r="K83" s="697">
        <v>207</v>
      </c>
      <c r="L83" s="697"/>
      <c r="M83" s="697"/>
      <c r="N83" s="697">
        <v>383</v>
      </c>
      <c r="O83" s="697"/>
      <c r="P83" s="697"/>
      <c r="Q83" s="697"/>
      <c r="Y83" s="309"/>
      <c r="Z83" s="305"/>
      <c r="AE83" s="309"/>
      <c r="AF83" s="305"/>
      <c r="AH83" s="309"/>
      <c r="AI83" s="516"/>
      <c r="AO83" s="524"/>
      <c r="AU83" s="524"/>
      <c r="AX83" s="524"/>
    </row>
    <row r="84" spans="1:50" x14ac:dyDescent="0.2">
      <c r="A84" s="696" t="s">
        <v>1109</v>
      </c>
      <c r="B84" s="697">
        <v>0</v>
      </c>
      <c r="C84" s="697"/>
      <c r="D84" s="697">
        <v>0</v>
      </c>
      <c r="E84" s="697"/>
      <c r="F84" s="697"/>
      <c r="G84" s="697"/>
      <c r="H84" s="697">
        <v>0</v>
      </c>
      <c r="I84" s="697"/>
      <c r="J84" s="697">
        <v>11290721.935943061</v>
      </c>
      <c r="K84" s="697">
        <v>13277062.316849817</v>
      </c>
      <c r="L84" s="697"/>
      <c r="M84" s="697"/>
      <c r="N84" s="697">
        <v>24567784.25279288</v>
      </c>
      <c r="O84" s="697"/>
      <c r="P84" s="697"/>
      <c r="Q84" s="697"/>
      <c r="R84" s="294"/>
      <c r="S84" s="296">
        <f>IF(B83&gt;0,(B84/B83),)</f>
        <v>0</v>
      </c>
      <c r="T84" s="296">
        <f t="shared" ref="T84" si="827">IF(C83&gt;0,(C84/C83),)</f>
        <v>0</v>
      </c>
      <c r="U84" s="296">
        <f t="shared" ref="U84" si="828">IF(D83&gt;0,(D84/D83),)</f>
        <v>0</v>
      </c>
      <c r="V84" s="296">
        <f t="shared" ref="V84" si="829">IF(E83&gt;0,(E84/E83),)</f>
        <v>0</v>
      </c>
      <c r="W84" s="296">
        <f t="shared" ref="W84" si="830">IF(F83&gt;0,(F84/F83),)</f>
        <v>0</v>
      </c>
      <c r="X84" s="296">
        <f t="shared" ref="X84" si="831">IF(G83&gt;0,(G84/G83),)</f>
        <v>0</v>
      </c>
      <c r="Y84" s="311">
        <f t="shared" ref="Y84" si="832">IF(H83&gt;0,(H84/H83),)</f>
        <v>0</v>
      </c>
      <c r="Z84" s="306">
        <f t="shared" ref="Z84" si="833">IF(I83&gt;0,(I84/I83),)</f>
        <v>0</v>
      </c>
      <c r="AA84" s="296">
        <f t="shared" ref="AA84" si="834">IF(J83&gt;0,(J84/J83),)</f>
        <v>64151.829181494664</v>
      </c>
      <c r="AB84" s="296">
        <f t="shared" ref="AB84" si="835">IF(K83&gt;0,(K84/K83),)</f>
        <v>64140.397665941142</v>
      </c>
      <c r="AC84" s="296">
        <f t="shared" ref="AC84" si="836">IF(L83&gt;0,(L84/L83),)</f>
        <v>0</v>
      </c>
      <c r="AD84" s="296">
        <f t="shared" ref="AD84" si="837">IF(M83&gt;0,(M84/M83),)</f>
        <v>0</v>
      </c>
      <c r="AE84" s="311">
        <f t="shared" ref="AE84" si="838">IF(N83&gt;0,(N84/N83),)</f>
        <v>64145.650790581931</v>
      </c>
      <c r="AF84" s="306">
        <f t="shared" ref="AF84" si="839">IF(O83&gt;0,(O84/O83),)</f>
        <v>0</v>
      </c>
      <c r="AG84" s="296">
        <f t="shared" ref="AG84" si="840">IF(P83&gt;0,(P84/P83),)</f>
        <v>0</v>
      </c>
      <c r="AH84" s="311">
        <f t="shared" ref="AH84" si="841">IF(Q83&gt;0,(Q84/Q83),)</f>
        <v>0</v>
      </c>
      <c r="AI84" s="516"/>
      <c r="AO84" s="524"/>
      <c r="AU84" s="524"/>
      <c r="AX84" s="524"/>
    </row>
    <row r="85" spans="1:50" x14ac:dyDescent="0.2">
      <c r="A85" s="696" t="s">
        <v>1111</v>
      </c>
      <c r="B85" s="697">
        <v>0</v>
      </c>
      <c r="C85" s="697"/>
      <c r="D85" s="697">
        <v>0</v>
      </c>
      <c r="E85" s="697"/>
      <c r="F85" s="697"/>
      <c r="G85" s="697"/>
      <c r="H85" s="697">
        <v>0</v>
      </c>
      <c r="I85" s="697"/>
      <c r="J85" s="697">
        <v>109</v>
      </c>
      <c r="K85" s="697">
        <v>207</v>
      </c>
      <c r="L85" s="697"/>
      <c r="M85" s="697"/>
      <c r="N85" s="697">
        <v>316</v>
      </c>
      <c r="O85" s="697"/>
      <c r="P85" s="697"/>
      <c r="Q85" s="697"/>
      <c r="Y85" s="309"/>
      <c r="Z85" s="305"/>
      <c r="AE85" s="309"/>
      <c r="AF85" s="305"/>
      <c r="AH85" s="309"/>
      <c r="AI85" s="516"/>
      <c r="AO85" s="524"/>
      <c r="AU85" s="524"/>
      <c r="AX85" s="524"/>
    </row>
    <row r="86" spans="1:50" x14ac:dyDescent="0.2">
      <c r="A86" s="696" t="s">
        <v>1113</v>
      </c>
      <c r="B86" s="697">
        <v>0</v>
      </c>
      <c r="C86" s="697"/>
      <c r="D86" s="697">
        <v>0</v>
      </c>
      <c r="E86" s="697"/>
      <c r="F86" s="697"/>
      <c r="G86" s="697"/>
      <c r="H86" s="697">
        <v>0</v>
      </c>
      <c r="I86" s="697"/>
      <c r="J86" s="697">
        <v>9161311.1409574468</v>
      </c>
      <c r="K86" s="697">
        <v>12629538.986652315</v>
      </c>
      <c r="L86" s="697"/>
      <c r="M86" s="697"/>
      <c r="N86" s="697">
        <v>21790850.12760976</v>
      </c>
      <c r="O86" s="697"/>
      <c r="P86" s="697"/>
      <c r="Q86" s="697"/>
      <c r="R86" s="294"/>
      <c r="S86" s="296">
        <f>IF(B85&gt;0,(B86/B85),)</f>
        <v>0</v>
      </c>
      <c r="T86" s="296">
        <f t="shared" ref="T86" si="842">IF(C85&gt;0,(C86/C85),)</f>
        <v>0</v>
      </c>
      <c r="U86" s="296">
        <f t="shared" ref="U86" si="843">IF(D85&gt;0,(D86/D85),)</f>
        <v>0</v>
      </c>
      <c r="V86" s="296">
        <f t="shared" ref="V86" si="844">IF(E85&gt;0,(E86/E85),)</f>
        <v>0</v>
      </c>
      <c r="W86" s="296">
        <f t="shared" ref="W86" si="845">IF(F85&gt;0,(F86/F85),)</f>
        <v>0</v>
      </c>
      <c r="X86" s="296">
        <f t="shared" ref="X86" si="846">IF(G85&gt;0,(G86/G85),)</f>
        <v>0</v>
      </c>
      <c r="Y86" s="311">
        <f t="shared" ref="Y86" si="847">IF(H85&gt;0,(H86/H85),)</f>
        <v>0</v>
      </c>
      <c r="Z86" s="306">
        <f t="shared" ref="Z86" si="848">IF(I85&gt;0,(I86/I85),)</f>
        <v>0</v>
      </c>
      <c r="AA86" s="296">
        <f t="shared" ref="AA86" si="849">IF(J85&gt;0,(J86/J85),)</f>
        <v>84048.726063829788</v>
      </c>
      <c r="AB86" s="296">
        <f t="shared" ref="AB86" si="850">IF(K85&gt;0,(K86/K85),)</f>
        <v>61012.265636001517</v>
      </c>
      <c r="AC86" s="296">
        <f t="shared" ref="AC86" si="851">IF(L85&gt;0,(L86/L85),)</f>
        <v>0</v>
      </c>
      <c r="AD86" s="296">
        <f t="shared" ref="AD86" si="852">IF(M85&gt;0,(M86/M85),)</f>
        <v>0</v>
      </c>
      <c r="AE86" s="311">
        <f t="shared" ref="AE86" si="853">IF(N85&gt;0,(N86/N85),)</f>
        <v>68958.386479777721</v>
      </c>
      <c r="AF86" s="306">
        <f t="shared" ref="AF86" si="854">IF(O85&gt;0,(O86/O85),)</f>
        <v>0</v>
      </c>
      <c r="AG86" s="296">
        <f t="shared" ref="AG86" si="855">IF(P85&gt;0,(P86/P85),)</f>
        <v>0</v>
      </c>
      <c r="AH86" s="311">
        <f t="shared" ref="AH86" si="856">IF(Q85&gt;0,(Q86/Q85),)</f>
        <v>0</v>
      </c>
      <c r="AI86" s="517">
        <f>IF(S84&gt;0,(S86-S84)/S84,)</f>
        <v>0</v>
      </c>
      <c r="AJ86" s="518">
        <f t="shared" ref="AJ86" si="857">IF(T84&gt;0,(T86-T84)/T84,)</f>
        <v>0</v>
      </c>
      <c r="AK86" s="518">
        <f t="shared" ref="AK86" si="858">IF(U84&gt;0,(U86-U84)/U84,)</f>
        <v>0</v>
      </c>
      <c r="AL86" s="518">
        <f t="shared" ref="AL86" si="859">IF(V84&gt;0,(V86-V84)/V84,)</f>
        <v>0</v>
      </c>
      <c r="AM86" s="518">
        <f t="shared" ref="AM86" si="860">IF(W84&gt;0,(W86-W84)/W84,)</f>
        <v>0</v>
      </c>
      <c r="AN86" s="518">
        <f t="shared" ref="AN86" si="861">IF(X84&gt;0,(X86-X84)/X84,)</f>
        <v>0</v>
      </c>
      <c r="AO86" s="525">
        <f t="shared" ref="AO86" si="862">IF(Y84&gt;0,(Y86-Y84)/Y84,)</f>
        <v>0</v>
      </c>
      <c r="AP86" s="518">
        <f t="shared" ref="AP86" si="863">IF(Z84&gt;0,(Z86-Z84)/Z84,)</f>
        <v>0</v>
      </c>
      <c r="AQ86" s="527">
        <f t="shared" ref="AQ86" si="864">IF(AA84&gt;0,(AA86-AA84)/AA84,)</f>
        <v>0.31015322768184783</v>
      </c>
      <c r="AR86" s="527">
        <f t="shared" ref="AR86" si="865">IF(AB84&gt;0,(AB86-AB84)/AB84,)</f>
        <v>-4.8770075393540599E-2</v>
      </c>
      <c r="AS86" s="518">
        <f t="shared" ref="AS86" si="866">IF(AC84&gt;0,(AC86-AC84)/AC84,)</f>
        <v>0</v>
      </c>
      <c r="AT86" s="518">
        <f t="shared" ref="AT86" si="867">IF(AD84&gt;0,(AD86-AD84)/AD84,)</f>
        <v>0</v>
      </c>
      <c r="AU86" s="525">
        <f t="shared" ref="AU86" si="868">IF(AE84&gt;0,(AE86-AE84)/AE84,)</f>
        <v>7.5028246340629712E-2</v>
      </c>
      <c r="AV86" s="518">
        <f t="shared" ref="AV86" si="869">IF(AF84&gt;0,(AF86-AF84)/AF84,)</f>
        <v>0</v>
      </c>
      <c r="AW86" s="518">
        <f t="shared" ref="AW86" si="870">IF(AG84&gt;0,(AG86-AG84)/AG84,)</f>
        <v>0</v>
      </c>
      <c r="AX86" s="525">
        <f t="shared" ref="AX86" si="871">IF(AH84&gt;0,(AH86-AH84)/AH84,)</f>
        <v>0</v>
      </c>
    </row>
    <row r="87" spans="1:50" x14ac:dyDescent="0.2">
      <c r="A87" s="696" t="s">
        <v>1115</v>
      </c>
      <c r="B87" s="697">
        <v>1131</v>
      </c>
      <c r="C87" s="697"/>
      <c r="D87" s="697">
        <v>207</v>
      </c>
      <c r="E87" s="697"/>
      <c r="F87" s="697"/>
      <c r="G87" s="697"/>
      <c r="H87" s="697">
        <v>1338</v>
      </c>
      <c r="I87" s="697"/>
      <c r="J87" s="697">
        <v>176</v>
      </c>
      <c r="K87" s="697">
        <v>207</v>
      </c>
      <c r="L87" s="697"/>
      <c r="M87" s="697"/>
      <c r="N87" s="697">
        <v>383</v>
      </c>
      <c r="O87" s="697"/>
      <c r="P87" s="697"/>
      <c r="Q87" s="697"/>
      <c r="Y87" s="309"/>
      <c r="Z87" s="305"/>
      <c r="AE87" s="309"/>
      <c r="AF87" s="305"/>
      <c r="AH87" s="309"/>
      <c r="AI87" s="516"/>
      <c r="AO87" s="524"/>
      <c r="AU87" s="524"/>
      <c r="AX87" s="524"/>
    </row>
    <row r="88" spans="1:50" x14ac:dyDescent="0.2">
      <c r="A88" s="696" t="s">
        <v>1117</v>
      </c>
      <c r="B88" s="697">
        <v>117162638.0358898</v>
      </c>
      <c r="C88" s="697"/>
      <c r="D88" s="697">
        <v>13187012.602784971</v>
      </c>
      <c r="E88" s="697"/>
      <c r="F88" s="697"/>
      <c r="G88" s="697"/>
      <c r="H88" s="697">
        <v>130349650.63867478</v>
      </c>
      <c r="I88" s="697"/>
      <c r="J88" s="697">
        <v>11290721.935943061</v>
      </c>
      <c r="K88" s="697">
        <v>13277062.316849817</v>
      </c>
      <c r="L88" s="697"/>
      <c r="M88" s="697"/>
      <c r="N88" s="697">
        <v>24567784.25279288</v>
      </c>
      <c r="O88" s="697"/>
      <c r="P88" s="697"/>
      <c r="Q88" s="697"/>
      <c r="R88" s="294"/>
      <c r="S88" s="296">
        <f>IF(B87&gt;0,(B88/B87),)</f>
        <v>103592.07607063644</v>
      </c>
      <c r="T88" s="296">
        <f t="shared" ref="T88" si="872">IF(C87&gt;0,(C88/C87),)</f>
        <v>0</v>
      </c>
      <c r="U88" s="296">
        <f t="shared" ref="U88" si="873">IF(D87&gt;0,(D88/D87),)</f>
        <v>63705.374892681015</v>
      </c>
      <c r="V88" s="296">
        <f t="shared" ref="V88" si="874">IF(E87&gt;0,(E88/E87),)</f>
        <v>0</v>
      </c>
      <c r="W88" s="296">
        <f t="shared" ref="W88" si="875">IF(F87&gt;0,(F88/F87),)</f>
        <v>0</v>
      </c>
      <c r="X88" s="296">
        <f t="shared" ref="X88" si="876">IF(G87&gt;0,(G88/G87),)</f>
        <v>0</v>
      </c>
      <c r="Y88" s="311">
        <f t="shared" ref="Y88" si="877">IF(H87&gt;0,(H88/H87),)</f>
        <v>97421.263556558129</v>
      </c>
      <c r="Z88" s="306">
        <f t="shared" ref="Z88" si="878">IF(I87&gt;0,(I88/I87),)</f>
        <v>0</v>
      </c>
      <c r="AA88" s="296">
        <f t="shared" ref="AA88" si="879">IF(J87&gt;0,(J88/J87),)</f>
        <v>64151.829181494664</v>
      </c>
      <c r="AB88" s="296">
        <f t="shared" ref="AB88" si="880">IF(K87&gt;0,(K88/K87),)</f>
        <v>64140.397665941142</v>
      </c>
      <c r="AC88" s="296">
        <f t="shared" ref="AC88" si="881">IF(L87&gt;0,(L88/L87),)</f>
        <v>0</v>
      </c>
      <c r="AD88" s="296">
        <f t="shared" ref="AD88" si="882">IF(M87&gt;0,(M88/M87),)</f>
        <v>0</v>
      </c>
      <c r="AE88" s="311">
        <f t="shared" ref="AE88" si="883">IF(N87&gt;0,(N88/N87),)</f>
        <v>64145.650790581931</v>
      </c>
      <c r="AF88" s="306">
        <f t="shared" ref="AF88" si="884">IF(O87&gt;0,(O88/O87),)</f>
        <v>0</v>
      </c>
      <c r="AG88" s="296">
        <f t="shared" ref="AG88" si="885">IF(P87&gt;0,(P88/P87),)</f>
        <v>0</v>
      </c>
      <c r="AH88" s="311">
        <f t="shared" ref="AH88" si="886">IF(Q87&gt;0,(Q88/Q87),)</f>
        <v>0</v>
      </c>
      <c r="AI88" s="516"/>
      <c r="AO88" s="524"/>
      <c r="AU88" s="524"/>
      <c r="AX88" s="524"/>
    </row>
    <row r="89" spans="1:50" x14ac:dyDescent="0.2">
      <c r="A89" s="696" t="s">
        <v>1119</v>
      </c>
      <c r="B89" s="697">
        <v>1118</v>
      </c>
      <c r="C89" s="697"/>
      <c r="D89" s="697">
        <v>183</v>
      </c>
      <c r="E89" s="697"/>
      <c r="F89" s="697"/>
      <c r="G89" s="697"/>
      <c r="H89" s="697">
        <v>1301</v>
      </c>
      <c r="I89" s="697"/>
      <c r="J89" s="697">
        <v>109</v>
      </c>
      <c r="K89" s="697">
        <v>207</v>
      </c>
      <c r="L89" s="697"/>
      <c r="M89" s="697"/>
      <c r="N89" s="697">
        <v>316</v>
      </c>
      <c r="O89" s="697"/>
      <c r="P89" s="697"/>
      <c r="Q89" s="697"/>
      <c r="Y89" s="309"/>
      <c r="Z89" s="305"/>
      <c r="AE89" s="309"/>
      <c r="AF89" s="305"/>
      <c r="AH89" s="309"/>
      <c r="AI89" s="516"/>
      <c r="AO89" s="524"/>
      <c r="AU89" s="524"/>
      <c r="AX89" s="524"/>
    </row>
    <row r="90" spans="1:50" ht="13.5" thickBot="1" x14ac:dyDescent="0.25">
      <c r="A90" s="701" t="s">
        <v>1121</v>
      </c>
      <c r="B90" s="702">
        <v>119095051.86759506</v>
      </c>
      <c r="C90" s="702"/>
      <c r="D90" s="702">
        <v>12772789.159560416</v>
      </c>
      <c r="E90" s="702"/>
      <c r="F90" s="702"/>
      <c r="G90" s="702"/>
      <c r="H90" s="702">
        <v>131867841.02715547</v>
      </c>
      <c r="I90" s="702"/>
      <c r="J90" s="702">
        <v>9161311.1409574468</v>
      </c>
      <c r="K90" s="702">
        <v>12629538.986652315</v>
      </c>
      <c r="L90" s="702"/>
      <c r="M90" s="702"/>
      <c r="N90" s="702">
        <v>21790850.12760976</v>
      </c>
      <c r="O90" s="702"/>
      <c r="P90" s="702"/>
      <c r="Q90" s="702"/>
      <c r="S90" s="302">
        <f>IF(B89&gt;0,(B90/B89),)</f>
        <v>106525.09111591688</v>
      </c>
      <c r="T90" s="302">
        <f t="shared" ref="T90" si="887">IF(C89&gt;0,(C90/C89),)</f>
        <v>0</v>
      </c>
      <c r="U90" s="302">
        <f t="shared" ref="U90" si="888">IF(D89&gt;0,(D90/D89),)</f>
        <v>69796.662074100634</v>
      </c>
      <c r="V90" s="302">
        <f t="shared" ref="V90" si="889">IF(E89&gt;0,(E90/E89),)</f>
        <v>0</v>
      </c>
      <c r="W90" s="302">
        <f t="shared" ref="W90" si="890">IF(F89&gt;0,(F90/F89),)</f>
        <v>0</v>
      </c>
      <c r="X90" s="302">
        <f t="shared" ref="X90" si="891">IF(G89&gt;0,(G90/G89),)</f>
        <v>0</v>
      </c>
      <c r="Y90" s="312">
        <f t="shared" ref="Y90" si="892">IF(H89&gt;0,(H90/H89),)</f>
        <v>101358.83245746001</v>
      </c>
      <c r="Z90" s="307">
        <f t="shared" ref="Z90" si="893">IF(I89&gt;0,(I90/I89),)</f>
        <v>0</v>
      </c>
      <c r="AA90" s="302">
        <f t="shared" ref="AA90" si="894">IF(J89&gt;0,(J90/J89),)</f>
        <v>84048.726063829788</v>
      </c>
      <c r="AB90" s="302">
        <f t="shared" ref="AB90" si="895">IF(K89&gt;0,(K90/K89),)</f>
        <v>61012.265636001517</v>
      </c>
      <c r="AC90" s="302">
        <f t="shared" ref="AC90" si="896">IF(L89&gt;0,(L90/L89),)</f>
        <v>0</v>
      </c>
      <c r="AD90" s="302">
        <f t="shared" ref="AD90" si="897">IF(M89&gt;0,(M90/M89),)</f>
        <v>0</v>
      </c>
      <c r="AE90" s="312">
        <f t="shared" ref="AE90" si="898">IF(N89&gt;0,(N90/N89),)</f>
        <v>68958.386479777721</v>
      </c>
      <c r="AF90" s="307">
        <f t="shared" ref="AF90" si="899">IF(O89&gt;0,(O90/O89),)</f>
        <v>0</v>
      </c>
      <c r="AG90" s="302">
        <f t="shared" ref="AG90" si="900">IF(P89&gt;0,(P90/P89),)</f>
        <v>0</v>
      </c>
      <c r="AH90" s="312">
        <f t="shared" ref="AH90" si="901">IF(Q89&gt;0,(Q90/Q89),)</f>
        <v>0</v>
      </c>
      <c r="AI90" s="519">
        <f>IF(S88&gt;0,(S90-S88)/S88,)</f>
        <v>2.8313121587412723E-2</v>
      </c>
      <c r="AJ90" s="520">
        <f t="shared" ref="AJ90" si="902">IF(T88&gt;0,(T90-T88)/T88,)</f>
        <v>0</v>
      </c>
      <c r="AK90" s="520">
        <f t="shared" ref="AK90" si="903">IF(U88&gt;0,(U90-U88)/U88,)</f>
        <v>9.5616534580968846E-2</v>
      </c>
      <c r="AL90" s="520">
        <f t="shared" ref="AL90" si="904">IF(V88&gt;0,(V90-V88)/V88,)</f>
        <v>0</v>
      </c>
      <c r="AM90" s="520">
        <f t="shared" ref="AM90" si="905">IF(W88&gt;0,(W90-W88)/W88,)</f>
        <v>0</v>
      </c>
      <c r="AN90" s="520">
        <f t="shared" ref="AN90" si="906">IF(X88&gt;0,(X90-X88)/X88,)</f>
        <v>0</v>
      </c>
      <c r="AO90" s="526">
        <f t="shared" ref="AO90" si="907">IF(Y88&gt;0,(Y90-Y88)/Y88,)</f>
        <v>4.0417961717525028E-2</v>
      </c>
      <c r="AP90" s="520">
        <f t="shared" ref="AP90" si="908">IF(Z88&gt;0,(Z90-Z88)/Z88,)</f>
        <v>0</v>
      </c>
      <c r="AQ90" s="520">
        <f t="shared" ref="AQ90" si="909">IF(AA88&gt;0,(AA90-AA88)/AA88,)</f>
        <v>0.31015322768184783</v>
      </c>
      <c r="AR90" s="520">
        <f t="shared" ref="AR90" si="910">IF(AB88&gt;0,(AB90-AB88)/AB88,)</f>
        <v>-4.8770075393540599E-2</v>
      </c>
      <c r="AS90" s="520">
        <f t="shared" ref="AS90" si="911">IF(AC88&gt;0,(AC90-AC88)/AC88,)</f>
        <v>0</v>
      </c>
      <c r="AT90" s="520">
        <f t="shared" ref="AT90" si="912">IF(AD88&gt;0,(AD90-AD88)/AD88,)</f>
        <v>0</v>
      </c>
      <c r="AU90" s="526">
        <f t="shared" ref="AU90" si="913">IF(AE88&gt;0,(AE90-AE88)/AE88,)</f>
        <v>7.5028246340629712E-2</v>
      </c>
      <c r="AV90" s="520">
        <f t="shared" ref="AV90" si="914">IF(AF88&gt;0,(AF90-AF88)/AF88,)</f>
        <v>0</v>
      </c>
      <c r="AW90" s="520">
        <f t="shared" ref="AW90" si="915">IF(AG88&gt;0,(AG90-AG88)/AG88,)</f>
        <v>0</v>
      </c>
      <c r="AX90" s="526">
        <f t="shared" ref="AX90" si="916">IF(AH88&gt;0,(AH90-AH88)/AH88,)</f>
        <v>0</v>
      </c>
    </row>
    <row r="91" spans="1:50" x14ac:dyDescent="0.2">
      <c r="A91" s="695" t="s">
        <v>34</v>
      </c>
      <c r="B91" s="697"/>
      <c r="C91" s="697"/>
      <c r="D91" s="697"/>
      <c r="E91" s="697"/>
      <c r="F91" s="697"/>
      <c r="G91" s="697"/>
      <c r="H91" s="697"/>
      <c r="I91" s="697"/>
      <c r="J91" s="697"/>
      <c r="K91" s="697"/>
      <c r="L91" s="697"/>
      <c r="M91" s="697"/>
      <c r="N91" s="697"/>
      <c r="O91" s="697"/>
      <c r="P91" s="697"/>
      <c r="Q91" s="697"/>
      <c r="Y91" s="309"/>
      <c r="Z91" s="305"/>
      <c r="AE91" s="309"/>
      <c r="AF91" s="305"/>
      <c r="AH91" s="309"/>
      <c r="AI91" s="516"/>
      <c r="AO91" s="524"/>
      <c r="AU91" s="524"/>
      <c r="AX91" s="524"/>
    </row>
    <row r="92" spans="1:50" x14ac:dyDescent="0.2">
      <c r="A92" s="696" t="s">
        <v>1067</v>
      </c>
      <c r="B92" s="697">
        <v>1943</v>
      </c>
      <c r="C92" s="697">
        <v>196</v>
      </c>
      <c r="D92" s="697">
        <v>298</v>
      </c>
      <c r="E92" s="697">
        <v>64</v>
      </c>
      <c r="F92" s="697"/>
      <c r="G92" s="697">
        <v>26</v>
      </c>
      <c r="H92" s="697">
        <v>2527</v>
      </c>
      <c r="I92" s="697">
        <v>0</v>
      </c>
      <c r="J92" s="697">
        <v>0</v>
      </c>
      <c r="K92" s="697">
        <v>0</v>
      </c>
      <c r="L92" s="697">
        <v>0</v>
      </c>
      <c r="M92" s="697"/>
      <c r="N92" s="697">
        <v>0</v>
      </c>
      <c r="O92" s="697"/>
      <c r="P92" s="697"/>
      <c r="Q92" s="697"/>
      <c r="S92" s="295"/>
      <c r="T92" s="295"/>
      <c r="U92" s="295"/>
      <c r="V92" s="295"/>
      <c r="W92" s="295"/>
      <c r="X92" s="295"/>
      <c r="Y92" s="310"/>
      <c r="Z92" s="305"/>
      <c r="AA92" s="295"/>
      <c r="AB92" s="295"/>
      <c r="AC92" s="295"/>
      <c r="AD92" s="295"/>
      <c r="AE92" s="310"/>
      <c r="AF92" s="305"/>
      <c r="AG92" s="295"/>
      <c r="AH92" s="310"/>
      <c r="AI92" s="516"/>
      <c r="AO92" s="524"/>
      <c r="AU92" s="524"/>
      <c r="AX92" s="524"/>
    </row>
    <row r="93" spans="1:50" x14ac:dyDescent="0.2">
      <c r="A93" s="696" t="s">
        <v>1069</v>
      </c>
      <c r="B93" s="697">
        <v>219616617.98505989</v>
      </c>
      <c r="C93" s="697">
        <v>18779083.566101696</v>
      </c>
      <c r="D93" s="697">
        <v>26415541.025058277</v>
      </c>
      <c r="E93" s="697">
        <v>5715640.615384616</v>
      </c>
      <c r="F93" s="697"/>
      <c r="G93" s="697">
        <v>2130492.66</v>
      </c>
      <c r="H93" s="697">
        <v>272657375.85160452</v>
      </c>
      <c r="I93" s="697">
        <v>0</v>
      </c>
      <c r="J93" s="697">
        <v>0</v>
      </c>
      <c r="K93" s="697">
        <v>0</v>
      </c>
      <c r="L93" s="697">
        <v>0</v>
      </c>
      <c r="M93" s="697"/>
      <c r="N93" s="697">
        <v>0</v>
      </c>
      <c r="O93" s="697"/>
      <c r="P93" s="697"/>
      <c r="Q93" s="697"/>
      <c r="S93" s="296">
        <f>IF(B92&gt;0,(B93/B92),)</f>
        <v>113029.65413538851</v>
      </c>
      <c r="T93" s="296">
        <f t="shared" ref="T93" si="917">IF(C92&gt;0,(C93/C92),)</f>
        <v>95811.65084745764</v>
      </c>
      <c r="U93" s="296">
        <f t="shared" ref="U93" si="918">IF(D92&gt;0,(D93/D92),)</f>
        <v>88642.755117645225</v>
      </c>
      <c r="V93" s="296">
        <f t="shared" ref="V93" si="919">IF(E92&gt;0,(E93/E92),)</f>
        <v>89306.884615384624</v>
      </c>
      <c r="W93" s="296">
        <f t="shared" ref="W93" si="920">IF(F92&gt;0,(F93/F92),)</f>
        <v>0</v>
      </c>
      <c r="X93" s="296">
        <f t="shared" ref="X93" si="921">IF(G92&gt;0,(G93/G92),)</f>
        <v>81942.025384615394</v>
      </c>
      <c r="Y93" s="311">
        <f t="shared" ref="Y93" si="922">IF(H92&gt;0,(H93/H92),)</f>
        <v>107897.655659519</v>
      </c>
      <c r="Z93" s="306">
        <f t="shared" ref="Z93" si="923">IF(I92&gt;0,(I93/I92),)</f>
        <v>0</v>
      </c>
      <c r="AA93" s="296">
        <f t="shared" ref="AA93" si="924">IF(J92&gt;0,(J93/J92),)</f>
        <v>0</v>
      </c>
      <c r="AB93" s="296">
        <f t="shared" ref="AB93" si="925">IF(K92&gt;0,(K93/K92),)</f>
        <v>0</v>
      </c>
      <c r="AC93" s="296">
        <f t="shared" ref="AC93" si="926">IF(L92&gt;0,(L93/L92),)</f>
        <v>0</v>
      </c>
      <c r="AD93" s="296">
        <f t="shared" ref="AD93" si="927">IF(M92&gt;0,(M93/M92),)</f>
        <v>0</v>
      </c>
      <c r="AE93" s="311">
        <f t="shared" ref="AE93" si="928">IF(N92&gt;0,(N93/N92),)</f>
        <v>0</v>
      </c>
      <c r="AF93" s="306">
        <f t="shared" ref="AF93" si="929">IF(O92&gt;0,(O93/O92),)</f>
        <v>0</v>
      </c>
      <c r="AG93" s="296">
        <f t="shared" ref="AG93" si="930">IF(P92&gt;0,(P93/P92),)</f>
        <v>0</v>
      </c>
      <c r="AH93" s="311">
        <f t="shared" ref="AH93" si="931">IF(Q92&gt;0,(Q93/Q92),)</f>
        <v>0</v>
      </c>
      <c r="AI93" s="516"/>
      <c r="AO93" s="524"/>
      <c r="AU93" s="524"/>
      <c r="AX93" s="524"/>
    </row>
    <row r="94" spans="1:50" x14ac:dyDescent="0.2">
      <c r="A94" s="696" t="s">
        <v>1071</v>
      </c>
      <c r="B94" s="697">
        <v>1953</v>
      </c>
      <c r="C94" s="697">
        <v>195</v>
      </c>
      <c r="D94" s="697">
        <v>284</v>
      </c>
      <c r="E94" s="697">
        <v>76</v>
      </c>
      <c r="F94" s="697"/>
      <c r="G94" s="697">
        <v>29</v>
      </c>
      <c r="H94" s="697">
        <v>2537</v>
      </c>
      <c r="I94" s="697">
        <v>0</v>
      </c>
      <c r="J94" s="697">
        <v>0</v>
      </c>
      <c r="K94" s="697">
        <v>0</v>
      </c>
      <c r="L94" s="697">
        <v>0</v>
      </c>
      <c r="M94" s="697"/>
      <c r="N94" s="697">
        <v>0</v>
      </c>
      <c r="O94" s="697"/>
      <c r="P94" s="697"/>
      <c r="Q94" s="697"/>
      <c r="Y94" s="309"/>
      <c r="Z94" s="305"/>
      <c r="AE94" s="309"/>
      <c r="AF94" s="305"/>
      <c r="AH94" s="309"/>
      <c r="AI94" s="516"/>
      <c r="AO94" s="524"/>
      <c r="AU94" s="524"/>
      <c r="AX94" s="524"/>
    </row>
    <row r="95" spans="1:50" x14ac:dyDescent="0.2">
      <c r="A95" s="696" t="s">
        <v>1073</v>
      </c>
      <c r="B95" s="697">
        <v>222213324.1159147</v>
      </c>
      <c r="C95" s="697">
        <v>18847945.579216354</v>
      </c>
      <c r="D95" s="697">
        <v>26088466.975951925</v>
      </c>
      <c r="E95" s="697">
        <v>7091083.8554216865</v>
      </c>
      <c r="F95" s="697"/>
      <c r="G95" s="697">
        <v>2452484</v>
      </c>
      <c r="H95" s="697">
        <v>276693304.52650464</v>
      </c>
      <c r="I95" s="697">
        <v>0</v>
      </c>
      <c r="J95" s="697">
        <v>0</v>
      </c>
      <c r="K95" s="697">
        <v>0</v>
      </c>
      <c r="L95" s="697">
        <v>0</v>
      </c>
      <c r="M95" s="697"/>
      <c r="N95" s="697">
        <v>0</v>
      </c>
      <c r="O95" s="697"/>
      <c r="P95" s="697"/>
      <c r="Q95" s="697"/>
      <c r="R95" s="294"/>
      <c r="S95" s="296">
        <f>IF(B94&gt;0,(B95/B94),)</f>
        <v>113780.5038995979</v>
      </c>
      <c r="T95" s="296">
        <f t="shared" ref="T95" si="932">IF(C94&gt;0,(C95/C94),)</f>
        <v>96656.131175468487</v>
      </c>
      <c r="U95" s="296">
        <f t="shared" ref="U95" si="933">IF(D94&gt;0,(D95/D94),)</f>
        <v>91860.799211098332</v>
      </c>
      <c r="V95" s="296">
        <f t="shared" ref="V95" si="934">IF(E94&gt;0,(E95/E94),)</f>
        <v>93303.73493975903</v>
      </c>
      <c r="W95" s="296">
        <f t="shared" ref="W95" si="935">IF(F94&gt;0,(F95/F94),)</f>
        <v>0</v>
      </c>
      <c r="X95" s="296">
        <f t="shared" ref="X95" si="936">IF(G94&gt;0,(G95/G94),)</f>
        <v>84568.413793103449</v>
      </c>
      <c r="Y95" s="311">
        <f t="shared" ref="Y95" si="937">IF(H94&gt;0,(H95/H94),)</f>
        <v>109063.18664820837</v>
      </c>
      <c r="Z95" s="306">
        <f t="shared" ref="Z95" si="938">IF(I94&gt;0,(I95/I94),)</f>
        <v>0</v>
      </c>
      <c r="AA95" s="296">
        <f t="shared" ref="AA95" si="939">IF(J94&gt;0,(J95/J94),)</f>
        <v>0</v>
      </c>
      <c r="AB95" s="296">
        <f t="shared" ref="AB95" si="940">IF(K94&gt;0,(K95/K94),)</f>
        <v>0</v>
      </c>
      <c r="AC95" s="296">
        <f t="shared" ref="AC95" si="941">IF(L94&gt;0,(L95/L94),)</f>
        <v>0</v>
      </c>
      <c r="AD95" s="296">
        <f t="shared" ref="AD95" si="942">IF(M94&gt;0,(M95/M94),)</f>
        <v>0</v>
      </c>
      <c r="AE95" s="311">
        <f t="shared" ref="AE95" si="943">IF(N94&gt;0,(N95/N94),)</f>
        <v>0</v>
      </c>
      <c r="AF95" s="306">
        <f t="shared" ref="AF95" si="944">IF(O94&gt;0,(O95/O94),)</f>
        <v>0</v>
      </c>
      <c r="AG95" s="296">
        <f t="shared" ref="AG95" si="945">IF(P94&gt;0,(P95/P94),)</f>
        <v>0</v>
      </c>
      <c r="AH95" s="311">
        <f t="shared" ref="AH95" si="946">IF(Q94&gt;0,(Q95/Q94),)</f>
        <v>0</v>
      </c>
      <c r="AI95" s="517">
        <f>IF(S93&gt;0,(S95-S93)/S93,)</f>
        <v>6.6429448975399655E-3</v>
      </c>
      <c r="AJ95" s="518">
        <f t="shared" ref="AJ95" si="947">IF(T93&gt;0,(T95-T93)/T93,)</f>
        <v>8.8139628170622892E-3</v>
      </c>
      <c r="AK95" s="518">
        <f t="shared" ref="AK95" si="948">IF(U93&gt;0,(U95-U93)/U93,)</f>
        <v>3.6303520678956459E-2</v>
      </c>
      <c r="AL95" s="518">
        <f t="shared" ref="AL95" si="949">IF(V93&gt;0,(V95-V93)/V93,)</f>
        <v>4.475411208875469E-2</v>
      </c>
      <c r="AM95" s="518">
        <f t="shared" ref="AM95" si="950">IF(W93&gt;0,(W95-W93)/W93,)</f>
        <v>0</v>
      </c>
      <c r="AN95" s="518">
        <f t="shared" ref="AN95" si="951">IF(X93&gt;0,(X95-X93)/X93,)</f>
        <v>3.205178778728552E-2</v>
      </c>
      <c r="AO95" s="525">
        <f t="shared" ref="AO95" si="952">IF(Y93&gt;0,(Y95-Y93)/Y93,)</f>
        <v>1.0802190108442272E-2</v>
      </c>
      <c r="AP95" s="518">
        <f t="shared" ref="AP95" si="953">IF(Z93&gt;0,(Z95-Z93)/Z93,)</f>
        <v>0</v>
      </c>
      <c r="AQ95" s="518">
        <f t="shared" ref="AQ95" si="954">IF(AA93&gt;0,(AA95-AA93)/AA93,)</f>
        <v>0</v>
      </c>
      <c r="AR95" s="518">
        <f t="shared" ref="AR95" si="955">IF(AB93&gt;0,(AB95-AB93)/AB93,)</f>
        <v>0</v>
      </c>
      <c r="AS95" s="518">
        <f t="shared" ref="AS95" si="956">IF(AC93&gt;0,(AC95-AC93)/AC93,)</f>
        <v>0</v>
      </c>
      <c r="AT95" s="518">
        <f t="shared" ref="AT95" si="957">IF(AD93&gt;0,(AD95-AD93)/AD93,)</f>
        <v>0</v>
      </c>
      <c r="AU95" s="525">
        <f t="shared" ref="AU95" si="958">IF(AE93&gt;0,(AE95-AE93)/AE93,)</f>
        <v>0</v>
      </c>
      <c r="AV95" s="518">
        <f t="shared" ref="AV95" si="959">IF(AF93&gt;0,(AF95-AF93)/AF93,)</f>
        <v>0</v>
      </c>
      <c r="AW95" s="518">
        <f t="shared" ref="AW95" si="960">IF(AG93&gt;0,(AG95-AG93)/AG93,)</f>
        <v>0</v>
      </c>
      <c r="AX95" s="525">
        <f t="shared" ref="AX95" si="961">IF(AH93&gt;0,(AH95-AH93)/AH93,)</f>
        <v>0</v>
      </c>
    </row>
    <row r="96" spans="1:50" x14ac:dyDescent="0.2">
      <c r="A96" s="696" t="s">
        <v>1075</v>
      </c>
      <c r="B96" s="697">
        <v>1866</v>
      </c>
      <c r="C96" s="697">
        <v>229</v>
      </c>
      <c r="D96" s="697">
        <v>405</v>
      </c>
      <c r="E96" s="697">
        <v>99</v>
      </c>
      <c r="F96" s="697"/>
      <c r="G96" s="697">
        <v>19</v>
      </c>
      <c r="H96" s="697">
        <v>2618</v>
      </c>
      <c r="I96" s="697">
        <v>0</v>
      </c>
      <c r="J96" s="697">
        <v>0</v>
      </c>
      <c r="K96" s="697">
        <v>0</v>
      </c>
      <c r="L96" s="697">
        <v>0</v>
      </c>
      <c r="M96" s="697"/>
      <c r="N96" s="697">
        <v>0</v>
      </c>
      <c r="O96" s="697"/>
      <c r="P96" s="697"/>
      <c r="Q96" s="697"/>
      <c r="Y96" s="309"/>
      <c r="Z96" s="305"/>
      <c r="AE96" s="309"/>
      <c r="AF96" s="305"/>
      <c r="AH96" s="309"/>
      <c r="AI96" s="516"/>
      <c r="AO96" s="524"/>
      <c r="AU96" s="524"/>
      <c r="AX96" s="524"/>
    </row>
    <row r="97" spans="1:50" x14ac:dyDescent="0.2">
      <c r="A97" s="698" t="s">
        <v>1077</v>
      </c>
      <c r="B97" s="699">
        <v>146668499.44209111</v>
      </c>
      <c r="C97" s="699">
        <v>16506433.838150287</v>
      </c>
      <c r="D97" s="699">
        <v>28079145.793536264</v>
      </c>
      <c r="E97" s="699">
        <v>6838555.5286624217</v>
      </c>
      <c r="F97" s="699"/>
      <c r="G97" s="699">
        <v>1264983.95</v>
      </c>
      <c r="H97" s="699">
        <v>199357618.55244008</v>
      </c>
      <c r="I97" s="699">
        <v>0</v>
      </c>
      <c r="J97" s="699">
        <v>0</v>
      </c>
      <c r="K97" s="699">
        <v>0</v>
      </c>
      <c r="L97" s="699">
        <v>0</v>
      </c>
      <c r="M97" s="699"/>
      <c r="N97" s="699">
        <v>0</v>
      </c>
      <c r="O97" s="699"/>
      <c r="P97" s="699"/>
      <c r="Q97" s="699"/>
      <c r="S97" s="296">
        <f>IF(B96&gt;0,(B97/B96),)</f>
        <v>78600.482016126</v>
      </c>
      <c r="T97" s="296">
        <f t="shared" ref="T97" si="962">IF(C96&gt;0,(C97/C96),)</f>
        <v>72080.497109826581</v>
      </c>
      <c r="U97" s="296">
        <f t="shared" ref="U97" si="963">IF(D96&gt;0,(D97/D96),)</f>
        <v>69331.224181571029</v>
      </c>
      <c r="V97" s="296">
        <f t="shared" ref="V97" si="964">IF(E96&gt;0,(E97/E96),)</f>
        <v>69076.318471337596</v>
      </c>
      <c r="W97" s="296">
        <f t="shared" ref="W97" si="965">IF(F96&gt;0,(F97/F96),)</f>
        <v>0</v>
      </c>
      <c r="X97" s="296">
        <f t="shared" ref="X97" si="966">IF(G96&gt;0,(G97/G96),)</f>
        <v>66578.10263157895</v>
      </c>
      <c r="Y97" s="311">
        <f t="shared" ref="Y97" si="967">IF(H96&gt;0,(H97/H96),)</f>
        <v>76148.822976485899</v>
      </c>
      <c r="Z97" s="306">
        <f t="shared" ref="Z97" si="968">IF(I96&gt;0,(I97/I96),)</f>
        <v>0</v>
      </c>
      <c r="AA97" s="296">
        <f t="shared" ref="AA97" si="969">IF(J96&gt;0,(J97/J96),)</f>
        <v>0</v>
      </c>
      <c r="AB97" s="296">
        <f t="shared" ref="AB97" si="970">IF(K96&gt;0,(K97/K96),)</f>
        <v>0</v>
      </c>
      <c r="AC97" s="296">
        <f t="shared" ref="AC97" si="971">IF(L96&gt;0,(L97/L96),)</f>
        <v>0</v>
      </c>
      <c r="AD97" s="296">
        <f t="shared" ref="AD97" si="972">IF(M96&gt;0,(M97/M96),)</f>
        <v>0</v>
      </c>
      <c r="AE97" s="311">
        <f t="shared" ref="AE97" si="973">IF(N96&gt;0,(N97/N96),)</f>
        <v>0</v>
      </c>
      <c r="AF97" s="306">
        <f t="shared" ref="AF97" si="974">IF(O96&gt;0,(O97/O96),)</f>
        <v>0</v>
      </c>
      <c r="AG97" s="296">
        <f t="shared" ref="AG97" si="975">IF(P96&gt;0,(P97/P96),)</f>
        <v>0</v>
      </c>
      <c r="AH97" s="311">
        <f t="shared" ref="AH97" si="976">IF(Q96&gt;0,(Q97/Q96),)</f>
        <v>0</v>
      </c>
      <c r="AI97" s="516"/>
      <c r="AO97" s="524"/>
      <c r="AU97" s="524"/>
      <c r="AX97" s="524"/>
    </row>
    <row r="98" spans="1:50" x14ac:dyDescent="0.2">
      <c r="A98" s="696" t="s">
        <v>1079</v>
      </c>
      <c r="B98" s="697">
        <v>1931</v>
      </c>
      <c r="C98" s="697">
        <v>232</v>
      </c>
      <c r="D98" s="697">
        <v>398</v>
      </c>
      <c r="E98" s="697">
        <v>101</v>
      </c>
      <c r="F98" s="697"/>
      <c r="G98" s="697">
        <v>20</v>
      </c>
      <c r="H98" s="697">
        <v>2682</v>
      </c>
      <c r="I98" s="697">
        <v>0</v>
      </c>
      <c r="J98" s="697">
        <v>0</v>
      </c>
      <c r="K98" s="697">
        <v>0</v>
      </c>
      <c r="L98" s="697">
        <v>0</v>
      </c>
      <c r="M98" s="697"/>
      <c r="N98" s="697">
        <v>0</v>
      </c>
      <c r="O98" s="697"/>
      <c r="P98" s="697"/>
      <c r="Q98" s="697"/>
      <c r="Y98" s="309"/>
      <c r="Z98" s="305"/>
      <c r="AE98" s="309"/>
      <c r="AF98" s="305"/>
      <c r="AH98" s="309"/>
      <c r="AI98" s="516"/>
      <c r="AO98" s="524"/>
      <c r="AU98" s="524"/>
      <c r="AX98" s="524"/>
    </row>
    <row r="99" spans="1:50" x14ac:dyDescent="0.2">
      <c r="A99" s="696" t="s">
        <v>1081</v>
      </c>
      <c r="B99" s="697">
        <v>154183727.53961384</v>
      </c>
      <c r="C99" s="697">
        <v>16667638.219686165</v>
      </c>
      <c r="D99" s="697">
        <v>28111095.525357444</v>
      </c>
      <c r="E99" s="697">
        <v>7010486.1482649846</v>
      </c>
      <c r="F99" s="697"/>
      <c r="G99" s="697">
        <v>1343790</v>
      </c>
      <c r="H99" s="697">
        <v>207316737.43292242</v>
      </c>
      <c r="I99" s="697">
        <v>0</v>
      </c>
      <c r="J99" s="697">
        <v>0</v>
      </c>
      <c r="K99" s="697">
        <v>0</v>
      </c>
      <c r="L99" s="697">
        <v>0</v>
      </c>
      <c r="M99" s="697"/>
      <c r="N99" s="697">
        <v>0</v>
      </c>
      <c r="O99" s="697"/>
      <c r="P99" s="697"/>
      <c r="Q99" s="697"/>
      <c r="R99" s="294"/>
      <c r="S99" s="296">
        <f>IF(B98&gt;0,(B99/B98),)</f>
        <v>79846.570450343788</v>
      </c>
      <c r="T99" s="296">
        <f t="shared" ref="T99" si="977">IF(C98&gt;0,(C99/C98),)</f>
        <v>71843.268188302434</v>
      </c>
      <c r="U99" s="296">
        <f t="shared" ref="U99" si="978">IF(D98&gt;0,(D99/D98),)</f>
        <v>70630.893279792566</v>
      </c>
      <c r="V99" s="296">
        <f t="shared" ref="V99" si="979">IF(E98&gt;0,(E99/E98),)</f>
        <v>69410.753943217671</v>
      </c>
      <c r="W99" s="296">
        <f t="shared" ref="W99" si="980">IF(F98&gt;0,(F99/F98),)</f>
        <v>0</v>
      </c>
      <c r="X99" s="296">
        <f t="shared" ref="X99" si="981">IF(G98&gt;0,(G99/G98),)</f>
        <v>67189.5</v>
      </c>
      <c r="Y99" s="311">
        <f t="shared" ref="Y99" si="982">IF(H98&gt;0,(H99/H98),)</f>
        <v>77299.305530545273</v>
      </c>
      <c r="Z99" s="306">
        <f t="shared" ref="Z99" si="983">IF(I98&gt;0,(I99/I98),)</f>
        <v>0</v>
      </c>
      <c r="AA99" s="296">
        <f t="shared" ref="AA99" si="984">IF(J98&gt;0,(J99/J98),)</f>
        <v>0</v>
      </c>
      <c r="AB99" s="296">
        <f t="shared" ref="AB99" si="985">IF(K98&gt;0,(K99/K98),)</f>
        <v>0</v>
      </c>
      <c r="AC99" s="296">
        <f t="shared" ref="AC99" si="986">IF(L98&gt;0,(L99/L98),)</f>
        <v>0</v>
      </c>
      <c r="AD99" s="296">
        <f t="shared" ref="AD99" si="987">IF(M98&gt;0,(M99/M98),)</f>
        <v>0</v>
      </c>
      <c r="AE99" s="311">
        <f t="shared" ref="AE99" si="988">IF(N98&gt;0,(N99/N98),)</f>
        <v>0</v>
      </c>
      <c r="AF99" s="306">
        <f t="shared" ref="AF99" si="989">IF(O98&gt;0,(O99/O98),)</f>
        <v>0</v>
      </c>
      <c r="AG99" s="296">
        <f t="shared" ref="AG99" si="990">IF(P98&gt;0,(P99/P98),)</f>
        <v>0</v>
      </c>
      <c r="AH99" s="311">
        <f t="shared" ref="AH99" si="991">IF(Q98&gt;0,(Q99/Q98),)</f>
        <v>0</v>
      </c>
      <c r="AI99" s="517">
        <f>IF(S97&gt;0,(S99-S97)/S97,)</f>
        <v>1.5853445198493007E-2</v>
      </c>
      <c r="AJ99" s="518">
        <f t="shared" ref="AJ99" si="992">IF(T97&gt;0,(T99-T97)/T97,)</f>
        <v>-3.2911665573378272E-3</v>
      </c>
      <c r="AK99" s="518">
        <f t="shared" ref="AK99" si="993">IF(U97&gt;0,(U99-U97)/U97,)</f>
        <v>1.8745797633946907E-2</v>
      </c>
      <c r="AL99" s="518">
        <f t="shared" ref="AL99" si="994">IF(V97&gt;0,(V99-V97)/V97,)</f>
        <v>4.8415358444275679E-3</v>
      </c>
      <c r="AM99" s="518">
        <f t="shared" ref="AM99" si="995">IF(W97&gt;0,(W99-W97)/W97,)</f>
        <v>0</v>
      </c>
      <c r="AN99" s="518">
        <f t="shared" ref="AN99" si="996">IF(X97&gt;0,(X99-X97)/X97,)</f>
        <v>9.1831599918718015E-3</v>
      </c>
      <c r="AO99" s="525">
        <f t="shared" ref="AO99" si="997">IF(Y97&gt;0,(Y99-Y97)/Y97,)</f>
        <v>1.5108343229607539E-2</v>
      </c>
      <c r="AP99" s="518">
        <f t="shared" ref="AP99" si="998">IF(Z97&gt;0,(Z99-Z97)/Z97,)</f>
        <v>0</v>
      </c>
      <c r="AQ99" s="518">
        <f t="shared" ref="AQ99" si="999">IF(AA97&gt;0,(AA99-AA97)/AA97,)</f>
        <v>0</v>
      </c>
      <c r="AR99" s="518">
        <f t="shared" ref="AR99" si="1000">IF(AB97&gt;0,(AB99-AB97)/AB97,)</f>
        <v>0</v>
      </c>
      <c r="AS99" s="518">
        <f t="shared" ref="AS99" si="1001">IF(AC97&gt;0,(AC99-AC97)/AC97,)</f>
        <v>0</v>
      </c>
      <c r="AT99" s="518">
        <f t="shared" ref="AT99" si="1002">IF(AD97&gt;0,(AD99-AD97)/AD97,)</f>
        <v>0</v>
      </c>
      <c r="AU99" s="525">
        <f t="shared" ref="AU99" si="1003">IF(AE97&gt;0,(AE99-AE97)/AE97,)</f>
        <v>0</v>
      </c>
      <c r="AV99" s="518">
        <f t="shared" ref="AV99" si="1004">IF(AF97&gt;0,(AF99-AF97)/AF97,)</f>
        <v>0</v>
      </c>
      <c r="AW99" s="518">
        <f t="shared" ref="AW99" si="1005">IF(AG97&gt;0,(AG99-AG97)/AG97,)</f>
        <v>0</v>
      </c>
      <c r="AX99" s="525">
        <f t="shared" ref="AX99" si="1006">IF(AH97&gt;0,(AH99-AH97)/AH97,)</f>
        <v>0</v>
      </c>
    </row>
    <row r="100" spans="1:50" x14ac:dyDescent="0.2">
      <c r="A100" s="696" t="s">
        <v>1083</v>
      </c>
      <c r="B100" s="697">
        <v>1522</v>
      </c>
      <c r="C100" s="697">
        <v>148</v>
      </c>
      <c r="D100" s="697">
        <v>378</v>
      </c>
      <c r="E100" s="697">
        <v>132</v>
      </c>
      <c r="F100" s="697"/>
      <c r="G100" s="697">
        <v>23</v>
      </c>
      <c r="H100" s="697">
        <v>2203</v>
      </c>
      <c r="I100" s="697">
        <v>0</v>
      </c>
      <c r="J100" s="697">
        <v>0</v>
      </c>
      <c r="K100" s="697">
        <v>0</v>
      </c>
      <c r="L100" s="697">
        <v>0</v>
      </c>
      <c r="M100" s="697"/>
      <c r="N100" s="697">
        <v>0</v>
      </c>
      <c r="O100" s="697"/>
      <c r="P100" s="697"/>
      <c r="Q100" s="697"/>
      <c r="Y100" s="309"/>
      <c r="Z100" s="305"/>
      <c r="AE100" s="309"/>
      <c r="AF100" s="305"/>
      <c r="AH100" s="309"/>
      <c r="AI100" s="516"/>
      <c r="AO100" s="524"/>
      <c r="AU100" s="524"/>
      <c r="AX100" s="524"/>
    </row>
    <row r="101" spans="1:50" x14ac:dyDescent="0.2">
      <c r="A101" s="696" t="s">
        <v>1085</v>
      </c>
      <c r="B101" s="697">
        <v>104516247.95154995</v>
      </c>
      <c r="C101" s="697">
        <v>9599649.3363228701</v>
      </c>
      <c r="D101" s="697">
        <v>21851128.285464212</v>
      </c>
      <c r="E101" s="697">
        <v>7775852.2105263155</v>
      </c>
      <c r="F101" s="697"/>
      <c r="G101" s="697">
        <v>1261516.1899999997</v>
      </c>
      <c r="H101" s="697">
        <v>145004393.97386333</v>
      </c>
      <c r="I101" s="697">
        <v>0</v>
      </c>
      <c r="J101" s="697">
        <v>0</v>
      </c>
      <c r="K101" s="697">
        <v>0</v>
      </c>
      <c r="L101" s="697">
        <v>0</v>
      </c>
      <c r="M101" s="697"/>
      <c r="N101" s="697">
        <v>0</v>
      </c>
      <c r="O101" s="697"/>
      <c r="P101" s="697"/>
      <c r="Q101" s="697"/>
      <c r="R101" s="294"/>
      <c r="S101" s="296">
        <f>IF(B100&gt;0,(B101/B100),)</f>
        <v>68670.333739520327</v>
      </c>
      <c r="T101" s="296">
        <f t="shared" ref="T101" si="1007">IF(C100&gt;0,(C101/C100),)</f>
        <v>64862.495515695067</v>
      </c>
      <c r="U101" s="296">
        <f t="shared" ref="U101" si="1008">IF(D100&gt;0,(D101/D100),)</f>
        <v>57807.217686413263</v>
      </c>
      <c r="V101" s="296">
        <f t="shared" ref="V101" si="1009">IF(E100&gt;0,(E101/E100),)</f>
        <v>58907.97129186603</v>
      </c>
      <c r="W101" s="296">
        <f t="shared" ref="W101" si="1010">IF(F100&gt;0,(F101/F100),)</f>
        <v>0</v>
      </c>
      <c r="X101" s="296">
        <f t="shared" ref="X101" si="1011">IF(G100&gt;0,(G101/G100),)</f>
        <v>54848.529999999984</v>
      </c>
      <c r="Y101" s="311">
        <f t="shared" ref="Y101" si="1012">IF(H100&gt;0,(H101/H100),)</f>
        <v>65821.331808381001</v>
      </c>
      <c r="Z101" s="306">
        <f t="shared" ref="Z101" si="1013">IF(I100&gt;0,(I101/I100),)</f>
        <v>0</v>
      </c>
      <c r="AA101" s="296">
        <f t="shared" ref="AA101" si="1014">IF(J100&gt;0,(J101/J100),)</f>
        <v>0</v>
      </c>
      <c r="AB101" s="296">
        <f t="shared" ref="AB101" si="1015">IF(K100&gt;0,(K101/K100),)</f>
        <v>0</v>
      </c>
      <c r="AC101" s="296">
        <f t="shared" ref="AC101" si="1016">IF(L100&gt;0,(L101/L100),)</f>
        <v>0</v>
      </c>
      <c r="AD101" s="296">
        <f t="shared" ref="AD101" si="1017">IF(M100&gt;0,(M101/M100),)</f>
        <v>0</v>
      </c>
      <c r="AE101" s="311">
        <f t="shared" ref="AE101" si="1018">IF(N100&gt;0,(N101/N100),)</f>
        <v>0</v>
      </c>
      <c r="AF101" s="306">
        <f t="shared" ref="AF101" si="1019">IF(O100&gt;0,(O101/O100),)</f>
        <v>0</v>
      </c>
      <c r="AG101" s="296">
        <f t="shared" ref="AG101" si="1020">IF(P100&gt;0,(P101/P100),)</f>
        <v>0</v>
      </c>
      <c r="AH101" s="311">
        <f t="shared" ref="AH101" si="1021">IF(Q100&gt;0,(Q101/Q100),)</f>
        <v>0</v>
      </c>
      <c r="AI101" s="516"/>
      <c r="AO101" s="524"/>
      <c r="AU101" s="524"/>
      <c r="AX101" s="524"/>
    </row>
    <row r="102" spans="1:50" x14ac:dyDescent="0.2">
      <c r="A102" s="696" t="s">
        <v>1087</v>
      </c>
      <c r="B102" s="697">
        <v>1505</v>
      </c>
      <c r="C102" s="697">
        <v>128</v>
      </c>
      <c r="D102" s="697">
        <v>379</v>
      </c>
      <c r="E102" s="697">
        <v>141</v>
      </c>
      <c r="F102" s="697"/>
      <c r="G102" s="697">
        <v>18</v>
      </c>
      <c r="H102" s="697">
        <v>2171</v>
      </c>
      <c r="I102" s="697">
        <v>0</v>
      </c>
      <c r="J102" s="697">
        <v>0</v>
      </c>
      <c r="K102" s="697">
        <v>0</v>
      </c>
      <c r="L102" s="697">
        <v>0</v>
      </c>
      <c r="M102" s="697"/>
      <c r="N102" s="697">
        <v>0</v>
      </c>
      <c r="O102" s="697"/>
      <c r="P102" s="697"/>
      <c r="Q102" s="697"/>
      <c r="Y102" s="309"/>
      <c r="Z102" s="305"/>
      <c r="AE102" s="309"/>
      <c r="AF102" s="305"/>
      <c r="AH102" s="309"/>
      <c r="AI102" s="516"/>
      <c r="AO102" s="524"/>
      <c r="AU102" s="524"/>
      <c r="AX102" s="524"/>
    </row>
    <row r="103" spans="1:50" x14ac:dyDescent="0.2">
      <c r="A103" s="696" t="s">
        <v>1089</v>
      </c>
      <c r="B103" s="697">
        <v>105376920.60457671</v>
      </c>
      <c r="C103" s="697">
        <v>8459285.2227979265</v>
      </c>
      <c r="D103" s="697">
        <v>22504640.578413557</v>
      </c>
      <c r="E103" s="697">
        <v>8555747.1830357146</v>
      </c>
      <c r="F103" s="697"/>
      <c r="G103" s="697">
        <v>985261.99999999988</v>
      </c>
      <c r="H103" s="697">
        <v>145881855.58882388</v>
      </c>
      <c r="I103" s="697">
        <v>0</v>
      </c>
      <c r="J103" s="697">
        <v>0</v>
      </c>
      <c r="K103" s="697">
        <v>0</v>
      </c>
      <c r="L103" s="697">
        <v>0</v>
      </c>
      <c r="M103" s="697"/>
      <c r="N103" s="697">
        <v>0</v>
      </c>
      <c r="O103" s="697"/>
      <c r="P103" s="697"/>
      <c r="Q103" s="697"/>
      <c r="R103" s="294"/>
      <c r="S103" s="296">
        <f>IF(B102&gt;0,(B103/B102),)</f>
        <v>70017.887444901469</v>
      </c>
      <c r="T103" s="296">
        <f t="shared" ref="T103" si="1022">IF(C102&gt;0,(C103/C102),)</f>
        <v>66088.165803108801</v>
      </c>
      <c r="U103" s="296">
        <f t="shared" ref="U103" si="1023">IF(D102&gt;0,(D103/D102),)</f>
        <v>59378.998887634712</v>
      </c>
      <c r="V103" s="296">
        <f t="shared" ref="V103" si="1024">IF(E102&gt;0,(E103/E102),)</f>
        <v>60679.05803571429</v>
      </c>
      <c r="W103" s="296">
        <f t="shared" ref="W103" si="1025">IF(F102&gt;0,(F103/F102),)</f>
        <v>0</v>
      </c>
      <c r="X103" s="296">
        <f t="shared" ref="X103" si="1026">IF(G102&gt;0,(G103/G102),)</f>
        <v>54736.777777777774</v>
      </c>
      <c r="Y103" s="311">
        <f t="shared" ref="Y103" si="1027">IF(H102&gt;0,(H103/H102),)</f>
        <v>67195.695803235329</v>
      </c>
      <c r="Z103" s="306">
        <f t="shared" ref="Z103" si="1028">IF(I102&gt;0,(I103/I102),)</f>
        <v>0</v>
      </c>
      <c r="AA103" s="296">
        <f t="shared" ref="AA103" si="1029">IF(J102&gt;0,(J103/J102),)</f>
        <v>0</v>
      </c>
      <c r="AB103" s="296">
        <f t="shared" ref="AB103" si="1030">IF(K102&gt;0,(K103/K102),)</f>
        <v>0</v>
      </c>
      <c r="AC103" s="296">
        <f t="shared" ref="AC103" si="1031">IF(L102&gt;0,(L103/L102),)</f>
        <v>0</v>
      </c>
      <c r="AD103" s="296">
        <f t="shared" ref="AD103" si="1032">IF(M102&gt;0,(M103/M102),)</f>
        <v>0</v>
      </c>
      <c r="AE103" s="311">
        <f t="shared" ref="AE103" si="1033">IF(N102&gt;0,(N103/N102),)</f>
        <v>0</v>
      </c>
      <c r="AF103" s="306">
        <f t="shared" ref="AF103" si="1034">IF(O102&gt;0,(O103/O102),)</f>
        <v>0</v>
      </c>
      <c r="AG103" s="296">
        <f t="shared" ref="AG103" si="1035">IF(P102&gt;0,(P103/P102),)</f>
        <v>0</v>
      </c>
      <c r="AH103" s="311">
        <f t="shared" ref="AH103" si="1036">IF(Q102&gt;0,(Q103/Q102),)</f>
        <v>0</v>
      </c>
      <c r="AI103" s="517">
        <f>IF(S101&gt;0,(S103-S101)/S101,)</f>
        <v>1.9623520550994707E-2</v>
      </c>
      <c r="AJ103" s="518">
        <f t="shared" ref="AJ103" si="1037">IF(T101&gt;0,(T103-T101)/T101,)</f>
        <v>1.8896440503390018E-2</v>
      </c>
      <c r="AK103" s="518">
        <f t="shared" ref="AK103" si="1038">IF(U101&gt;0,(U103-U101)/U101,)</f>
        <v>2.7190051071959358E-2</v>
      </c>
      <c r="AL103" s="518">
        <f t="shared" ref="AL103" si="1039">IF(V101&gt;0,(V103-V101)/V101,)</f>
        <v>3.0065315525350821E-2</v>
      </c>
      <c r="AM103" s="518">
        <f t="shared" ref="AM103" si="1040">IF(W101&gt;0,(W103-W101)/W101,)</f>
        <v>0</v>
      </c>
      <c r="AN103" s="518">
        <f t="shared" ref="AN103" si="1041">IF(X101&gt;0,(X103-X101)/X101,)</f>
        <v>-2.0374697776259559E-3</v>
      </c>
      <c r="AO103" s="525">
        <f t="shared" ref="AO103" si="1042">IF(Y101&gt;0,(Y103-Y101)/Y101,)</f>
        <v>2.0880221610455635E-2</v>
      </c>
      <c r="AP103" s="518">
        <f t="shared" ref="AP103" si="1043">IF(Z101&gt;0,(Z103-Z101)/Z101,)</f>
        <v>0</v>
      </c>
      <c r="AQ103" s="518">
        <f t="shared" ref="AQ103" si="1044">IF(AA101&gt;0,(AA103-AA101)/AA101,)</f>
        <v>0</v>
      </c>
      <c r="AR103" s="518">
        <f t="shared" ref="AR103" si="1045">IF(AB101&gt;0,(AB103-AB101)/AB101,)</f>
        <v>0</v>
      </c>
      <c r="AS103" s="518">
        <f t="shared" ref="AS103" si="1046">IF(AC101&gt;0,(AC103-AC101)/AC101,)</f>
        <v>0</v>
      </c>
      <c r="AT103" s="518">
        <f t="shared" ref="AT103" si="1047">IF(AD101&gt;0,(AD103-AD101)/AD101,)</f>
        <v>0</v>
      </c>
      <c r="AU103" s="525">
        <f t="shared" ref="AU103" si="1048">IF(AE101&gt;0,(AE103-AE101)/AE101,)</f>
        <v>0</v>
      </c>
      <c r="AV103" s="518">
        <f t="shared" ref="AV103" si="1049">IF(AF101&gt;0,(AF103-AF101)/AF101,)</f>
        <v>0</v>
      </c>
      <c r="AW103" s="518">
        <f t="shared" ref="AW103" si="1050">IF(AG101&gt;0,(AG103-AG101)/AG101,)</f>
        <v>0</v>
      </c>
      <c r="AX103" s="525">
        <f t="shared" ref="AX103" si="1051">IF(AH101&gt;0,(AH103-AH101)/AH101,)</f>
        <v>0</v>
      </c>
    </row>
    <row r="104" spans="1:50" x14ac:dyDescent="0.2">
      <c r="A104" s="696" t="s">
        <v>1091</v>
      </c>
      <c r="B104" s="697">
        <v>690</v>
      </c>
      <c r="C104" s="697">
        <v>188</v>
      </c>
      <c r="D104" s="697">
        <v>180</v>
      </c>
      <c r="E104" s="697">
        <v>99</v>
      </c>
      <c r="F104" s="697"/>
      <c r="G104" s="697">
        <v>1</v>
      </c>
      <c r="H104" s="697">
        <v>1158</v>
      </c>
      <c r="I104" s="697">
        <v>0</v>
      </c>
      <c r="J104" s="697">
        <v>0</v>
      </c>
      <c r="K104" s="697">
        <v>0</v>
      </c>
      <c r="L104" s="697">
        <v>0</v>
      </c>
      <c r="M104" s="697"/>
      <c r="N104" s="697">
        <v>0</v>
      </c>
      <c r="O104" s="697"/>
      <c r="P104" s="697"/>
      <c r="Q104" s="697"/>
      <c r="Y104" s="309"/>
      <c r="Z104" s="305"/>
      <c r="AE104" s="309"/>
      <c r="AF104" s="305"/>
      <c r="AH104" s="309"/>
      <c r="AI104" s="516"/>
      <c r="AO104" s="524"/>
      <c r="AU104" s="524"/>
      <c r="AX104" s="524"/>
    </row>
    <row r="105" spans="1:50" x14ac:dyDescent="0.2">
      <c r="A105" s="696" t="s">
        <v>1093</v>
      </c>
      <c r="B105" s="697">
        <v>33283169.169268783</v>
      </c>
      <c r="C105" s="697">
        <v>8902111.2162162159</v>
      </c>
      <c r="D105" s="697">
        <v>8467413.3020990845</v>
      </c>
      <c r="E105" s="697">
        <v>4318889.0094339624</v>
      </c>
      <c r="F105" s="697"/>
      <c r="G105" s="697">
        <v>42020.78</v>
      </c>
      <c r="H105" s="697">
        <v>55013603.477018051</v>
      </c>
      <c r="I105" s="697">
        <v>0</v>
      </c>
      <c r="J105" s="697">
        <v>0</v>
      </c>
      <c r="K105" s="697">
        <v>0</v>
      </c>
      <c r="L105" s="697">
        <v>0</v>
      </c>
      <c r="M105" s="697"/>
      <c r="N105" s="697">
        <v>0</v>
      </c>
      <c r="O105" s="697"/>
      <c r="P105" s="697"/>
      <c r="Q105" s="697"/>
      <c r="R105" s="294"/>
      <c r="S105" s="296">
        <f>IF(B104&gt;0,(B105/B104),)</f>
        <v>48236.477056911281</v>
      </c>
      <c r="T105" s="296">
        <f t="shared" ref="T105" si="1052">IF(C104&gt;0,(C105/C104),)</f>
        <v>47351.655405405407</v>
      </c>
      <c r="U105" s="296">
        <f t="shared" ref="U105" si="1053">IF(D104&gt;0,(D105/D104),)</f>
        <v>47041.185011661582</v>
      </c>
      <c r="V105" s="296">
        <f t="shared" ref="V105" si="1054">IF(E104&gt;0,(E105/E104),)</f>
        <v>43625.141509433961</v>
      </c>
      <c r="W105" s="296">
        <f t="shared" ref="W105" si="1055">IF(F104&gt;0,(F105/F104),)</f>
        <v>0</v>
      </c>
      <c r="X105" s="296">
        <f t="shared" ref="X105" si="1056">IF(G104&gt;0,(G105/G104),)</f>
        <v>42020.78</v>
      </c>
      <c r="Y105" s="311">
        <f t="shared" ref="Y105" si="1057">IF(H104&gt;0,(H105/H104),)</f>
        <v>47507.429600188298</v>
      </c>
      <c r="Z105" s="306">
        <f t="shared" ref="Z105" si="1058">IF(I104&gt;0,(I105/I104),)</f>
        <v>0</v>
      </c>
      <c r="AA105" s="296">
        <f t="shared" ref="AA105" si="1059">IF(J104&gt;0,(J105/J104),)</f>
        <v>0</v>
      </c>
      <c r="AB105" s="296">
        <f t="shared" ref="AB105" si="1060">IF(K104&gt;0,(K105/K104),)</f>
        <v>0</v>
      </c>
      <c r="AC105" s="296">
        <f t="shared" ref="AC105" si="1061">IF(L104&gt;0,(L105/L104),)</f>
        <v>0</v>
      </c>
      <c r="AD105" s="296">
        <f t="shared" ref="AD105" si="1062">IF(M104&gt;0,(M105/M104),)</f>
        <v>0</v>
      </c>
      <c r="AE105" s="311">
        <f t="shared" ref="AE105" si="1063">IF(N104&gt;0,(N105/N104),)</f>
        <v>0</v>
      </c>
      <c r="AF105" s="306">
        <f t="shared" ref="AF105" si="1064">IF(O104&gt;0,(O105/O104),)</f>
        <v>0</v>
      </c>
      <c r="AG105" s="296">
        <f t="shared" ref="AG105" si="1065">IF(P104&gt;0,(P105/P104),)</f>
        <v>0</v>
      </c>
      <c r="AH105" s="311">
        <f t="shared" ref="AH105" si="1066">IF(Q104&gt;0,(Q105/Q104),)</f>
        <v>0</v>
      </c>
      <c r="AI105" s="516"/>
      <c r="AO105" s="524"/>
      <c r="AU105" s="524"/>
      <c r="AX105" s="524"/>
    </row>
    <row r="106" spans="1:50" x14ac:dyDescent="0.2">
      <c r="A106" s="696" t="s">
        <v>1095</v>
      </c>
      <c r="B106" s="697">
        <v>765</v>
      </c>
      <c r="C106" s="697">
        <v>173</v>
      </c>
      <c r="D106" s="697">
        <v>196</v>
      </c>
      <c r="E106" s="697">
        <v>107</v>
      </c>
      <c r="F106" s="697"/>
      <c r="G106" s="697">
        <v>1</v>
      </c>
      <c r="H106" s="697">
        <v>1242</v>
      </c>
      <c r="I106" s="697">
        <v>0</v>
      </c>
      <c r="J106" s="697">
        <v>0</v>
      </c>
      <c r="K106" s="697">
        <v>0</v>
      </c>
      <c r="L106" s="697">
        <v>0</v>
      </c>
      <c r="M106" s="697"/>
      <c r="N106" s="697">
        <v>0</v>
      </c>
      <c r="O106" s="697"/>
      <c r="P106" s="697"/>
      <c r="Q106" s="697"/>
      <c r="Y106" s="309"/>
      <c r="Z106" s="305"/>
      <c r="AE106" s="309"/>
      <c r="AF106" s="305"/>
      <c r="AH106" s="309"/>
      <c r="AI106" s="516"/>
      <c r="AO106" s="524"/>
      <c r="AU106" s="524"/>
      <c r="AX106" s="524"/>
    </row>
    <row r="107" spans="1:50" x14ac:dyDescent="0.2">
      <c r="A107" s="696" t="s">
        <v>1097</v>
      </c>
      <c r="B107" s="697">
        <v>37184977.663158827</v>
      </c>
      <c r="C107" s="697">
        <v>8238119.2595978063</v>
      </c>
      <c r="D107" s="697">
        <v>9542077.5244370978</v>
      </c>
      <c r="E107" s="697">
        <v>4747228.9913043473</v>
      </c>
      <c r="F107" s="697"/>
      <c r="G107" s="697">
        <v>42396</v>
      </c>
      <c r="H107" s="697">
        <v>59754799.43849808</v>
      </c>
      <c r="I107" s="697">
        <v>0</v>
      </c>
      <c r="J107" s="697">
        <v>0</v>
      </c>
      <c r="K107" s="697">
        <v>0</v>
      </c>
      <c r="L107" s="697">
        <v>0</v>
      </c>
      <c r="M107" s="697"/>
      <c r="N107" s="697">
        <v>0</v>
      </c>
      <c r="O107" s="697"/>
      <c r="P107" s="697"/>
      <c r="Q107" s="697"/>
      <c r="R107" s="294"/>
      <c r="S107" s="296">
        <f>IF(B106&gt;0,(B107/B106),)</f>
        <v>48607.813938769708</v>
      </c>
      <c r="T107" s="296">
        <f t="shared" ref="T107" si="1067">IF(C106&gt;0,(C107/C106),)</f>
        <v>47619.186471663619</v>
      </c>
      <c r="U107" s="296">
        <f t="shared" ref="U107" si="1068">IF(D106&gt;0,(D107/D106),)</f>
        <v>48684.069002230091</v>
      </c>
      <c r="V107" s="296">
        <f t="shared" ref="V107" si="1069">IF(E106&gt;0,(E107/E106),)</f>
        <v>44366.626086956516</v>
      </c>
      <c r="W107" s="296">
        <f t="shared" ref="W107" si="1070">IF(F106&gt;0,(F107/F106),)</f>
        <v>0</v>
      </c>
      <c r="X107" s="296">
        <f t="shared" ref="X107" si="1071">IF(G106&gt;0,(G107/G106),)</f>
        <v>42396</v>
      </c>
      <c r="Y107" s="311">
        <f t="shared" ref="Y107" si="1072">IF(H106&gt;0,(H107/H106),)</f>
        <v>48111.754781399417</v>
      </c>
      <c r="Z107" s="306">
        <f t="shared" ref="Z107" si="1073">IF(I106&gt;0,(I107/I106),)</f>
        <v>0</v>
      </c>
      <c r="AA107" s="296">
        <f t="shared" ref="AA107" si="1074">IF(J106&gt;0,(J107/J106),)</f>
        <v>0</v>
      </c>
      <c r="AB107" s="296">
        <f t="shared" ref="AB107" si="1075">IF(K106&gt;0,(K107/K106),)</f>
        <v>0</v>
      </c>
      <c r="AC107" s="296">
        <f t="shared" ref="AC107" si="1076">IF(L106&gt;0,(L107/L106),)</f>
        <v>0</v>
      </c>
      <c r="AD107" s="296">
        <f t="shared" ref="AD107" si="1077">IF(M106&gt;0,(M107/M106),)</f>
        <v>0</v>
      </c>
      <c r="AE107" s="311">
        <f t="shared" ref="AE107" si="1078">IF(N106&gt;0,(N107/N106),)</f>
        <v>0</v>
      </c>
      <c r="AF107" s="306">
        <f t="shared" ref="AF107" si="1079">IF(O106&gt;0,(O107/O106),)</f>
        <v>0</v>
      </c>
      <c r="AG107" s="296">
        <f t="shared" ref="AG107" si="1080">IF(P106&gt;0,(P107/P106),)</f>
        <v>0</v>
      </c>
      <c r="AH107" s="311">
        <f t="shared" ref="AH107" si="1081">IF(Q106&gt;0,(Q107/Q106),)</f>
        <v>0</v>
      </c>
      <c r="AI107" s="517">
        <f>IF(S105&gt;0,(S107-S105)/S105,)</f>
        <v>7.6982587559267625E-3</v>
      </c>
      <c r="AJ107" s="518">
        <f t="shared" ref="AJ107" si="1082">IF(T105&gt;0,(T107-T105)/T105,)</f>
        <v>5.6498777913405853E-3</v>
      </c>
      <c r="AK107" s="518">
        <f t="shared" ref="AK107" si="1083">IF(U105&gt;0,(U107-U105)/U105,)</f>
        <v>3.4924375101546348E-2</v>
      </c>
      <c r="AL107" s="518">
        <f t="shared" ref="AL107" si="1084">IF(V105&gt;0,(V107-V105)/V105,)</f>
        <v>1.6996726013191462E-2</v>
      </c>
      <c r="AM107" s="518">
        <f t="shared" ref="AM107" si="1085">IF(W105&gt;0,(W107-W105)/W105,)</f>
        <v>0</v>
      </c>
      <c r="AN107" s="518">
        <f t="shared" ref="AN107" si="1086">IF(X105&gt;0,(X107-X105)/X105,)</f>
        <v>8.9293916010126703E-3</v>
      </c>
      <c r="AO107" s="525">
        <f t="shared" ref="AO107" si="1087">IF(Y105&gt;0,(Y107-Y105)/Y105,)</f>
        <v>1.2720645724194771E-2</v>
      </c>
      <c r="AP107" s="518">
        <f t="shared" ref="AP107" si="1088">IF(Z105&gt;0,(Z107-Z105)/Z105,)</f>
        <v>0</v>
      </c>
      <c r="AQ107" s="518">
        <f t="shared" ref="AQ107" si="1089">IF(AA105&gt;0,(AA107-AA105)/AA105,)</f>
        <v>0</v>
      </c>
      <c r="AR107" s="518">
        <f t="shared" ref="AR107" si="1090">IF(AB105&gt;0,(AB107-AB105)/AB105,)</f>
        <v>0</v>
      </c>
      <c r="AS107" s="518">
        <f t="shared" ref="AS107" si="1091">IF(AC105&gt;0,(AC107-AC105)/AC105,)</f>
        <v>0</v>
      </c>
      <c r="AT107" s="518">
        <f t="shared" ref="AT107" si="1092">IF(AD105&gt;0,(AD107-AD105)/AD105,)</f>
        <v>0</v>
      </c>
      <c r="AU107" s="525">
        <f t="shared" ref="AU107" si="1093">IF(AE105&gt;0,(AE107-AE105)/AE105,)</f>
        <v>0</v>
      </c>
      <c r="AV107" s="518">
        <f t="shared" ref="AV107" si="1094">IF(AF105&gt;0,(AF107-AF105)/AF105,)</f>
        <v>0</v>
      </c>
      <c r="AW107" s="518">
        <f t="shared" ref="AW107" si="1095">IF(AG105&gt;0,(AG107-AG105)/AG105,)</f>
        <v>0</v>
      </c>
      <c r="AX107" s="525">
        <f t="shared" ref="AX107" si="1096">IF(AH105&gt;0,(AH107-AH105)/AH105,)</f>
        <v>0</v>
      </c>
    </row>
    <row r="108" spans="1:50" x14ac:dyDescent="0.2">
      <c r="A108" s="696" t="s">
        <v>1099</v>
      </c>
      <c r="B108" s="697">
        <v>572</v>
      </c>
      <c r="C108" s="697">
        <v>2</v>
      </c>
      <c r="D108" s="697">
        <v>38</v>
      </c>
      <c r="E108" s="697">
        <v>0</v>
      </c>
      <c r="F108" s="697"/>
      <c r="G108" s="697">
        <v>0</v>
      </c>
      <c r="H108" s="697">
        <v>612</v>
      </c>
      <c r="I108" s="697">
        <v>0</v>
      </c>
      <c r="J108" s="697">
        <v>0</v>
      </c>
      <c r="K108" s="697">
        <v>0</v>
      </c>
      <c r="L108" s="697">
        <v>0</v>
      </c>
      <c r="M108" s="697"/>
      <c r="N108" s="697">
        <v>0</v>
      </c>
      <c r="O108" s="697"/>
      <c r="P108" s="697"/>
      <c r="Q108" s="697"/>
      <c r="Y108" s="309"/>
      <c r="Z108" s="305"/>
      <c r="AE108" s="309"/>
      <c r="AF108" s="305"/>
      <c r="AH108" s="309"/>
      <c r="AI108" s="516"/>
      <c r="AO108" s="524"/>
      <c r="AU108" s="524"/>
      <c r="AX108" s="524"/>
    </row>
    <row r="109" spans="1:50" x14ac:dyDescent="0.2">
      <c r="A109" s="696" t="s">
        <v>1101</v>
      </c>
      <c r="B109" s="697">
        <v>32526312.754324887</v>
      </c>
      <c r="C109" s="697">
        <v>101555.14285714286</v>
      </c>
      <c r="D109" s="697">
        <v>1600405.6019417476</v>
      </c>
      <c r="E109" s="697">
        <v>0</v>
      </c>
      <c r="F109" s="697"/>
      <c r="G109" s="697">
        <v>0</v>
      </c>
      <c r="H109" s="697">
        <v>34228273.499123774</v>
      </c>
      <c r="I109" s="697">
        <v>0</v>
      </c>
      <c r="J109" s="697">
        <v>0</v>
      </c>
      <c r="K109" s="697">
        <v>0</v>
      </c>
      <c r="L109" s="697">
        <v>0</v>
      </c>
      <c r="M109" s="697"/>
      <c r="N109" s="697">
        <v>0</v>
      </c>
      <c r="O109" s="697"/>
      <c r="P109" s="697"/>
      <c r="Q109" s="697"/>
      <c r="R109" s="294"/>
      <c r="S109" s="296">
        <f>IF(B108&gt;0,(B109/B108),)</f>
        <v>56864.183136931621</v>
      </c>
      <c r="T109" s="296">
        <f t="shared" ref="T109" si="1097">IF(C108&gt;0,(C109/C108),)</f>
        <v>50777.571428571428</v>
      </c>
      <c r="U109" s="296">
        <f t="shared" ref="U109" si="1098">IF(D108&gt;0,(D109/D108),)</f>
        <v>42115.936893203885</v>
      </c>
      <c r="V109" s="296">
        <f t="shared" ref="V109" si="1099">IF(E108&gt;0,(E109/E108),)</f>
        <v>0</v>
      </c>
      <c r="W109" s="296">
        <f t="shared" ref="W109" si="1100">IF(F108&gt;0,(F109/F108),)</f>
        <v>0</v>
      </c>
      <c r="X109" s="296">
        <f t="shared" ref="X109" si="1101">IF(G108&gt;0,(G109/G108),)</f>
        <v>0</v>
      </c>
      <c r="Y109" s="311">
        <f t="shared" ref="Y109" si="1102">IF(H108&gt;0,(H109/H108),)</f>
        <v>55928.551469156497</v>
      </c>
      <c r="Z109" s="306">
        <f t="shared" ref="Z109" si="1103">IF(I108&gt;0,(I109/I108),)</f>
        <v>0</v>
      </c>
      <c r="AA109" s="296">
        <f t="shared" ref="AA109" si="1104">IF(J108&gt;0,(J109/J108),)</f>
        <v>0</v>
      </c>
      <c r="AB109" s="296">
        <f t="shared" ref="AB109" si="1105">IF(K108&gt;0,(K109/K108),)</f>
        <v>0</v>
      </c>
      <c r="AC109" s="296">
        <f t="shared" ref="AC109" si="1106">IF(L108&gt;0,(L109/L108),)</f>
        <v>0</v>
      </c>
      <c r="AD109" s="296">
        <f t="shared" ref="AD109" si="1107">IF(M108&gt;0,(M109/M108),)</f>
        <v>0</v>
      </c>
      <c r="AE109" s="311">
        <f t="shared" ref="AE109" si="1108">IF(N108&gt;0,(N109/N108),)</f>
        <v>0</v>
      </c>
      <c r="AF109" s="306">
        <f t="shared" ref="AF109" si="1109">IF(O108&gt;0,(O109/O108),)</f>
        <v>0</v>
      </c>
      <c r="AG109" s="296">
        <f t="shared" ref="AG109" si="1110">IF(P108&gt;0,(P109/P108),)</f>
        <v>0</v>
      </c>
      <c r="AH109" s="311">
        <f t="shared" ref="AH109" si="1111">IF(Q108&gt;0,(Q109/Q108),)</f>
        <v>0</v>
      </c>
      <c r="AI109" s="516"/>
      <c r="AO109" s="524"/>
      <c r="AU109" s="524"/>
      <c r="AX109" s="524"/>
    </row>
    <row r="110" spans="1:50" x14ac:dyDescent="0.2">
      <c r="A110" s="696" t="s">
        <v>1103</v>
      </c>
      <c r="B110" s="697">
        <v>610</v>
      </c>
      <c r="C110" s="697">
        <v>2</v>
      </c>
      <c r="D110" s="697">
        <v>31</v>
      </c>
      <c r="E110" s="697">
        <v>1</v>
      </c>
      <c r="F110" s="697"/>
      <c r="G110" s="697">
        <v>0</v>
      </c>
      <c r="H110" s="697">
        <v>644</v>
      </c>
      <c r="I110" s="697">
        <v>0</v>
      </c>
      <c r="J110" s="697">
        <v>0</v>
      </c>
      <c r="K110" s="697">
        <v>0</v>
      </c>
      <c r="L110" s="697">
        <v>0</v>
      </c>
      <c r="M110" s="697"/>
      <c r="N110" s="697">
        <v>0</v>
      </c>
      <c r="O110" s="697"/>
      <c r="P110" s="697"/>
      <c r="Q110" s="697"/>
      <c r="Y110" s="309"/>
      <c r="Z110" s="305"/>
      <c r="AE110" s="309"/>
      <c r="AF110" s="305"/>
      <c r="AH110" s="309"/>
      <c r="AI110" s="516"/>
      <c r="AO110" s="524"/>
      <c r="AU110" s="524"/>
      <c r="AX110" s="524"/>
    </row>
    <row r="111" spans="1:50" x14ac:dyDescent="0.2">
      <c r="A111" s="696" t="s">
        <v>1105</v>
      </c>
      <c r="B111" s="697">
        <v>35343003.362532802</v>
      </c>
      <c r="C111" s="697">
        <v>101554.28571428571</v>
      </c>
      <c r="D111" s="697">
        <v>1418946.2651515151</v>
      </c>
      <c r="E111" s="697">
        <v>44000</v>
      </c>
      <c r="F111" s="697"/>
      <c r="G111" s="697">
        <v>0</v>
      </c>
      <c r="H111" s="697">
        <v>36907503.913398601</v>
      </c>
      <c r="I111" s="697">
        <v>0</v>
      </c>
      <c r="J111" s="697">
        <v>0</v>
      </c>
      <c r="K111" s="697">
        <v>0</v>
      </c>
      <c r="L111" s="697">
        <v>0</v>
      </c>
      <c r="M111" s="697"/>
      <c r="N111" s="697">
        <v>0</v>
      </c>
      <c r="O111" s="697"/>
      <c r="P111" s="697"/>
      <c r="Q111" s="697"/>
      <c r="R111" s="294"/>
      <c r="S111" s="296">
        <f>IF(B110&gt;0,(B111/B110),)</f>
        <v>57939.349774643939</v>
      </c>
      <c r="T111" s="296">
        <f t="shared" ref="T111" si="1112">IF(C110&gt;0,(C111/C110),)</f>
        <v>50777.142857142855</v>
      </c>
      <c r="U111" s="296">
        <f t="shared" ref="U111" si="1113">IF(D110&gt;0,(D111/D110),)</f>
        <v>45772.460166177909</v>
      </c>
      <c r="V111" s="296">
        <f t="shared" ref="V111" si="1114">IF(E110&gt;0,(E111/E110),)</f>
        <v>44000</v>
      </c>
      <c r="W111" s="296">
        <f t="shared" ref="W111" si="1115">IF(F110&gt;0,(F111/F110),)</f>
        <v>0</v>
      </c>
      <c r="X111" s="296">
        <f t="shared" ref="X111" si="1116">IF(G110&gt;0,(G111/G110),)</f>
        <v>0</v>
      </c>
      <c r="Y111" s="311">
        <f t="shared" ref="Y111" si="1117">IF(H110&gt;0,(H111/H110),)</f>
        <v>57309.788685401552</v>
      </c>
      <c r="Z111" s="306">
        <f t="shared" ref="Z111" si="1118">IF(I110&gt;0,(I111/I110),)</f>
        <v>0</v>
      </c>
      <c r="AA111" s="296">
        <f t="shared" ref="AA111" si="1119">IF(J110&gt;0,(J111/J110),)</f>
        <v>0</v>
      </c>
      <c r="AB111" s="296">
        <f t="shared" ref="AB111" si="1120">IF(K110&gt;0,(K111/K110),)</f>
        <v>0</v>
      </c>
      <c r="AC111" s="296">
        <f t="shared" ref="AC111" si="1121">IF(L110&gt;0,(L111/L110),)</f>
        <v>0</v>
      </c>
      <c r="AD111" s="296">
        <f t="shared" ref="AD111" si="1122">IF(M110&gt;0,(M111/M110),)</f>
        <v>0</v>
      </c>
      <c r="AE111" s="311">
        <f t="shared" ref="AE111" si="1123">IF(N110&gt;0,(N111/N110),)</f>
        <v>0</v>
      </c>
      <c r="AF111" s="306">
        <f t="shared" ref="AF111" si="1124">IF(O110&gt;0,(O111/O110),)</f>
        <v>0</v>
      </c>
      <c r="AG111" s="296">
        <f t="shared" ref="AG111" si="1125">IF(P110&gt;0,(P111/P110),)</f>
        <v>0</v>
      </c>
      <c r="AH111" s="311">
        <f t="shared" ref="AH111" si="1126">IF(Q110&gt;0,(Q111/Q110),)</f>
        <v>0</v>
      </c>
      <c r="AI111" s="517">
        <f>IF(S109&gt;0,(S111-S109)/S109,)</f>
        <v>1.8907624771875586E-2</v>
      </c>
      <c r="AJ111" s="518">
        <f t="shared" ref="AJ111" si="1127">IF(T109&gt;0,(T111-T109)/T109,)</f>
        <v>-8.4401718419191721E-6</v>
      </c>
      <c r="AK111" s="518">
        <f t="shared" ref="AK111" si="1128">IF(U109&gt;0,(U111-U109)/U109,)</f>
        <v>8.682041865164028E-2</v>
      </c>
      <c r="AL111" s="518">
        <f t="shared" ref="AL111" si="1129">IF(V109&gt;0,(V111-V109)/V109,)</f>
        <v>0</v>
      </c>
      <c r="AM111" s="518">
        <f t="shared" ref="AM111" si="1130">IF(W109&gt;0,(W111-W109)/W109,)</f>
        <v>0</v>
      </c>
      <c r="AN111" s="518">
        <f t="shared" ref="AN111" si="1131">IF(X109&gt;0,(X111-X109)/X109,)</f>
        <v>0</v>
      </c>
      <c r="AO111" s="525">
        <f t="shared" ref="AO111" si="1132">IF(Y109&gt;0,(Y111-Y109)/Y109,)</f>
        <v>2.4696459678680949E-2</v>
      </c>
      <c r="AP111" s="518">
        <f t="shared" ref="AP111" si="1133">IF(Z109&gt;0,(Z111-Z109)/Z109,)</f>
        <v>0</v>
      </c>
      <c r="AQ111" s="518">
        <f t="shared" ref="AQ111" si="1134">IF(AA109&gt;0,(AA111-AA109)/AA109,)</f>
        <v>0</v>
      </c>
      <c r="AR111" s="518">
        <f t="shared" ref="AR111" si="1135">IF(AB109&gt;0,(AB111-AB109)/AB109,)</f>
        <v>0</v>
      </c>
      <c r="AS111" s="518">
        <f t="shared" ref="AS111" si="1136">IF(AC109&gt;0,(AC111-AC109)/AC109,)</f>
        <v>0</v>
      </c>
      <c r="AT111" s="518">
        <f t="shared" ref="AT111" si="1137">IF(AD109&gt;0,(AD111-AD109)/AD109,)</f>
        <v>0</v>
      </c>
      <c r="AU111" s="525">
        <f t="shared" ref="AU111" si="1138">IF(AE109&gt;0,(AE111-AE109)/AE109,)</f>
        <v>0</v>
      </c>
      <c r="AV111" s="518">
        <f t="shared" ref="AV111" si="1139">IF(AF109&gt;0,(AF111-AF109)/AF109,)</f>
        <v>0</v>
      </c>
      <c r="AW111" s="518">
        <f t="shared" ref="AW111" si="1140">IF(AG109&gt;0,(AG111-AG109)/AG109,)</f>
        <v>0</v>
      </c>
      <c r="AX111" s="525">
        <f t="shared" ref="AX111" si="1141">IF(AH109&gt;0,(AH111-AH109)/AH109,)</f>
        <v>0</v>
      </c>
    </row>
    <row r="112" spans="1:50" x14ac:dyDescent="0.2">
      <c r="A112" s="696" t="s">
        <v>1107</v>
      </c>
      <c r="B112" s="697">
        <v>0</v>
      </c>
      <c r="C112" s="697">
        <v>0</v>
      </c>
      <c r="D112" s="697">
        <v>0</v>
      </c>
      <c r="E112" s="697">
        <v>0</v>
      </c>
      <c r="F112" s="697"/>
      <c r="G112" s="697">
        <v>0</v>
      </c>
      <c r="H112" s="697">
        <v>0</v>
      </c>
      <c r="I112" s="697">
        <v>2230</v>
      </c>
      <c r="J112" s="697">
        <v>2963</v>
      </c>
      <c r="K112" s="697">
        <v>441</v>
      </c>
      <c r="L112" s="697">
        <v>57</v>
      </c>
      <c r="M112" s="697"/>
      <c r="N112" s="697">
        <v>5691</v>
      </c>
      <c r="O112" s="697"/>
      <c r="P112" s="697"/>
      <c r="Q112" s="697"/>
      <c r="Y112" s="309"/>
      <c r="Z112" s="305"/>
      <c r="AE112" s="309"/>
      <c r="AF112" s="305"/>
      <c r="AH112" s="309"/>
      <c r="AI112" s="516"/>
      <c r="AO112" s="524"/>
      <c r="AU112" s="524"/>
      <c r="AX112" s="524"/>
    </row>
    <row r="113" spans="1:50" x14ac:dyDescent="0.2">
      <c r="A113" s="696" t="s">
        <v>1109</v>
      </c>
      <c r="B113" s="697">
        <v>0</v>
      </c>
      <c r="C113" s="697">
        <v>0</v>
      </c>
      <c r="D113" s="697">
        <v>0</v>
      </c>
      <c r="E113" s="697">
        <v>0</v>
      </c>
      <c r="F113" s="697"/>
      <c r="G113" s="697">
        <v>0</v>
      </c>
      <c r="H113" s="697">
        <v>0</v>
      </c>
      <c r="I113" s="697">
        <v>129896776</v>
      </c>
      <c r="J113" s="697">
        <v>156980065</v>
      </c>
      <c r="K113" s="697">
        <v>20980924</v>
      </c>
      <c r="L113" s="697">
        <v>2789760</v>
      </c>
      <c r="M113" s="697"/>
      <c r="N113" s="697">
        <v>310647525</v>
      </c>
      <c r="O113" s="697"/>
      <c r="P113" s="697"/>
      <c r="Q113" s="697"/>
      <c r="R113" s="294"/>
      <c r="S113" s="296">
        <f>IF(B112&gt;0,(B113/B112),)</f>
        <v>0</v>
      </c>
      <c r="T113" s="296">
        <f t="shared" ref="T113" si="1142">IF(C112&gt;0,(C113/C112),)</f>
        <v>0</v>
      </c>
      <c r="U113" s="296">
        <f t="shared" ref="U113" si="1143">IF(D112&gt;0,(D113/D112),)</f>
        <v>0</v>
      </c>
      <c r="V113" s="296">
        <f t="shared" ref="V113" si="1144">IF(E112&gt;0,(E113/E112),)</f>
        <v>0</v>
      </c>
      <c r="W113" s="296">
        <f t="shared" ref="W113" si="1145">IF(F112&gt;0,(F113/F112),)</f>
        <v>0</v>
      </c>
      <c r="X113" s="296">
        <f t="shared" ref="X113" si="1146">IF(G112&gt;0,(G113/G112),)</f>
        <v>0</v>
      </c>
      <c r="Y113" s="311">
        <f t="shared" ref="Y113" si="1147">IF(H112&gt;0,(H113/H112),)</f>
        <v>0</v>
      </c>
      <c r="Z113" s="306">
        <f t="shared" ref="Z113" si="1148">IF(I112&gt;0,(I113/I112),)</f>
        <v>58249.675336322871</v>
      </c>
      <c r="AA113" s="296">
        <f t="shared" ref="AA113" si="1149">IF(J112&gt;0,(J113/J112),)</f>
        <v>52980.109686128926</v>
      </c>
      <c r="AB113" s="296">
        <f t="shared" ref="AB113" si="1150">IF(K112&gt;0,(K113/K112),)</f>
        <v>47575.791383219956</v>
      </c>
      <c r="AC113" s="296">
        <f t="shared" ref="AC113" si="1151">IF(L112&gt;0,(L113/L112),)</f>
        <v>48943.15789473684</v>
      </c>
      <c r="AD113" s="296">
        <f t="shared" ref="AD113" si="1152">IF(M112&gt;0,(M113/M112),)</f>
        <v>0</v>
      </c>
      <c r="AE113" s="311">
        <f t="shared" ref="AE113" si="1153">IF(N112&gt;0,(N113/N112),)</f>
        <v>54585.753821823935</v>
      </c>
      <c r="AF113" s="306">
        <f t="shared" ref="AF113" si="1154">IF(O112&gt;0,(O113/O112),)</f>
        <v>0</v>
      </c>
      <c r="AG113" s="296">
        <f t="shared" ref="AG113" si="1155">IF(P112&gt;0,(P113/P112),)</f>
        <v>0</v>
      </c>
      <c r="AH113" s="311">
        <f t="shared" ref="AH113" si="1156">IF(Q112&gt;0,(Q113/Q112),)</f>
        <v>0</v>
      </c>
      <c r="AI113" s="516"/>
      <c r="AO113" s="524"/>
      <c r="AU113" s="524"/>
      <c r="AX113" s="524"/>
    </row>
    <row r="114" spans="1:50" x14ac:dyDescent="0.2">
      <c r="A114" s="696" t="s">
        <v>1111</v>
      </c>
      <c r="B114" s="697">
        <v>0</v>
      </c>
      <c r="C114" s="697">
        <v>0</v>
      </c>
      <c r="D114" s="697">
        <v>0</v>
      </c>
      <c r="E114" s="697">
        <v>0</v>
      </c>
      <c r="F114" s="697"/>
      <c r="G114" s="697">
        <v>0</v>
      </c>
      <c r="H114" s="697">
        <v>0</v>
      </c>
      <c r="I114" s="697">
        <v>2252</v>
      </c>
      <c r="J114" s="697">
        <v>2980</v>
      </c>
      <c r="K114" s="697">
        <v>434</v>
      </c>
      <c r="L114" s="697">
        <v>59</v>
      </c>
      <c r="M114" s="697"/>
      <c r="N114" s="697">
        <v>5725</v>
      </c>
      <c r="O114" s="697"/>
      <c r="P114" s="697"/>
      <c r="Q114" s="697"/>
      <c r="Y114" s="309"/>
      <c r="Z114" s="305"/>
      <c r="AE114" s="309"/>
      <c r="AF114" s="305"/>
      <c r="AH114" s="309"/>
      <c r="AI114" s="516"/>
      <c r="AO114" s="524"/>
      <c r="AU114" s="524"/>
      <c r="AX114" s="524"/>
    </row>
    <row r="115" spans="1:50" x14ac:dyDescent="0.2">
      <c r="A115" s="696" t="s">
        <v>1113</v>
      </c>
      <c r="B115" s="697">
        <v>0</v>
      </c>
      <c r="C115" s="697">
        <v>0</v>
      </c>
      <c r="D115" s="697">
        <v>0</v>
      </c>
      <c r="E115" s="697">
        <v>0</v>
      </c>
      <c r="F115" s="697"/>
      <c r="G115" s="697">
        <v>0</v>
      </c>
      <c r="H115" s="697">
        <v>0</v>
      </c>
      <c r="I115" s="697">
        <v>133327575</v>
      </c>
      <c r="J115" s="697">
        <v>159976132</v>
      </c>
      <c r="K115" s="697">
        <v>20164996</v>
      </c>
      <c r="L115" s="697">
        <v>2956507</v>
      </c>
      <c r="M115" s="697"/>
      <c r="N115" s="697">
        <v>316425210</v>
      </c>
      <c r="O115" s="697"/>
      <c r="P115" s="697"/>
      <c r="Q115" s="697"/>
      <c r="R115" s="294"/>
      <c r="S115" s="296">
        <f>IF(B114&gt;0,(B115/B114),)</f>
        <v>0</v>
      </c>
      <c r="T115" s="296">
        <f t="shared" ref="T115" si="1157">IF(C114&gt;0,(C115/C114),)</f>
        <v>0</v>
      </c>
      <c r="U115" s="296">
        <f t="shared" ref="U115" si="1158">IF(D114&gt;0,(D115/D114),)</f>
        <v>0</v>
      </c>
      <c r="V115" s="296">
        <f t="shared" ref="V115" si="1159">IF(E114&gt;0,(E115/E114),)</f>
        <v>0</v>
      </c>
      <c r="W115" s="296">
        <f t="shared" ref="W115" si="1160">IF(F114&gt;0,(F115/F114),)</f>
        <v>0</v>
      </c>
      <c r="X115" s="296">
        <f t="shared" ref="X115" si="1161">IF(G114&gt;0,(G115/G114),)</f>
        <v>0</v>
      </c>
      <c r="Y115" s="311">
        <f t="shared" ref="Y115" si="1162">IF(H114&gt;0,(H115/H114),)</f>
        <v>0</v>
      </c>
      <c r="Z115" s="306">
        <f t="shared" ref="Z115" si="1163">IF(I114&gt;0,(I115/I114),)</f>
        <v>59204.074156305505</v>
      </c>
      <c r="AA115" s="296">
        <f t="shared" ref="AA115" si="1164">IF(J114&gt;0,(J115/J114),)</f>
        <v>53683.265771812083</v>
      </c>
      <c r="AB115" s="296">
        <f t="shared" ref="AB115" si="1165">IF(K114&gt;0,(K115/K114),)</f>
        <v>46463.124423963134</v>
      </c>
      <c r="AC115" s="296">
        <f t="shared" ref="AC115" si="1166">IF(L114&gt;0,(L115/L114),)</f>
        <v>50110.288135593219</v>
      </c>
      <c r="AD115" s="296">
        <f t="shared" ref="AD115" si="1167">IF(M114&gt;0,(M115/M114),)</f>
        <v>0</v>
      </c>
      <c r="AE115" s="311">
        <f t="shared" ref="AE115" si="1168">IF(N114&gt;0,(N115/N114),)</f>
        <v>55270.779039301313</v>
      </c>
      <c r="AF115" s="306">
        <f t="shared" ref="AF115" si="1169">IF(O114&gt;0,(O115/O114),)</f>
        <v>0</v>
      </c>
      <c r="AG115" s="296">
        <f t="shared" ref="AG115" si="1170">IF(P114&gt;0,(P115/P114),)</f>
        <v>0</v>
      </c>
      <c r="AH115" s="311">
        <f t="shared" ref="AH115" si="1171">IF(Q114&gt;0,(Q115/Q114),)</f>
        <v>0</v>
      </c>
      <c r="AI115" s="517">
        <f>IF(S113&gt;0,(S115-S113)/S113,)</f>
        <v>0</v>
      </c>
      <c r="AJ115" s="518">
        <f t="shared" ref="AJ115" si="1172">IF(T113&gt;0,(T115-T113)/T113,)</f>
        <v>0</v>
      </c>
      <c r="AK115" s="518">
        <f t="shared" ref="AK115" si="1173">IF(U113&gt;0,(U115-U113)/U113,)</f>
        <v>0</v>
      </c>
      <c r="AL115" s="518">
        <f t="shared" ref="AL115" si="1174">IF(V113&gt;0,(V115-V113)/V113,)</f>
        <v>0</v>
      </c>
      <c r="AM115" s="518">
        <f t="shared" ref="AM115" si="1175">IF(W113&gt;0,(W115-W113)/W113,)</f>
        <v>0</v>
      </c>
      <c r="AN115" s="518">
        <f t="shared" ref="AN115" si="1176">IF(X113&gt;0,(X115-X113)/X113,)</f>
        <v>0</v>
      </c>
      <c r="AO115" s="525">
        <f t="shared" ref="AO115" si="1177">IF(Y113&gt;0,(Y115-Y113)/Y113,)</f>
        <v>0</v>
      </c>
      <c r="AP115" s="518">
        <f t="shared" ref="AP115" si="1178">IF(Z113&gt;0,(Z115-Z113)/Z113,)</f>
        <v>1.6384620420150188E-2</v>
      </c>
      <c r="AQ115" s="518">
        <f t="shared" ref="AQ115" si="1179">IF(AA113&gt;0,(AA115-AA113)/AA113,)</f>
        <v>1.3272076819940117E-2</v>
      </c>
      <c r="AR115" s="527">
        <f t="shared" ref="AR115" si="1180">IF(AB113&gt;0,(AB115-AB113)/AB113,)</f>
        <v>-2.3387250677437191E-2</v>
      </c>
      <c r="AS115" s="518">
        <f t="shared" ref="AS115" si="1181">IF(AC113&gt;0,(AC115-AC113)/AC113,)</f>
        <v>2.3846647643099621E-2</v>
      </c>
      <c r="AT115" s="518">
        <f t="shared" ref="AT115" si="1182">IF(AD113&gt;0,(AD115-AD113)/AD113,)</f>
        <v>0</v>
      </c>
      <c r="AU115" s="525">
        <f t="shared" ref="AU115" si="1183">IF(AE113&gt;0,(AE115-AE113)/AE113,)</f>
        <v>1.2549523813729906E-2</v>
      </c>
      <c r="AV115" s="518">
        <f t="shared" ref="AV115" si="1184">IF(AF113&gt;0,(AF115-AF113)/AF113,)</f>
        <v>0</v>
      </c>
      <c r="AW115" s="518">
        <f t="shared" ref="AW115" si="1185">IF(AG113&gt;0,(AG115-AG113)/AG113,)</f>
        <v>0</v>
      </c>
      <c r="AX115" s="525">
        <f t="shared" ref="AX115" si="1186">IF(AH113&gt;0,(AH115-AH113)/AH113,)</f>
        <v>0</v>
      </c>
    </row>
    <row r="116" spans="1:50" x14ac:dyDescent="0.2">
      <c r="A116" s="696" t="s">
        <v>1115</v>
      </c>
      <c r="B116" s="697">
        <v>6593</v>
      </c>
      <c r="C116" s="697">
        <v>763</v>
      </c>
      <c r="D116" s="697">
        <v>1299</v>
      </c>
      <c r="E116" s="697">
        <v>394</v>
      </c>
      <c r="F116" s="697"/>
      <c r="G116" s="697">
        <v>69</v>
      </c>
      <c r="H116" s="697">
        <v>9118</v>
      </c>
      <c r="I116" s="697">
        <v>2230</v>
      </c>
      <c r="J116" s="697">
        <v>2963</v>
      </c>
      <c r="K116" s="697">
        <v>441</v>
      </c>
      <c r="L116" s="697">
        <v>57</v>
      </c>
      <c r="M116" s="697"/>
      <c r="N116" s="697">
        <v>5691</v>
      </c>
      <c r="O116" s="697"/>
      <c r="P116" s="697"/>
      <c r="Q116" s="697"/>
      <c r="Y116" s="309"/>
      <c r="Z116" s="305"/>
      <c r="AE116" s="309"/>
      <c r="AF116" s="305"/>
      <c r="AH116" s="309"/>
      <c r="AI116" s="516"/>
      <c r="AO116" s="524"/>
      <c r="AU116" s="524"/>
      <c r="AX116" s="524"/>
    </row>
    <row r="117" spans="1:50" x14ac:dyDescent="0.2">
      <c r="A117" s="696" t="s">
        <v>1117</v>
      </c>
      <c r="B117" s="697">
        <v>536610847.30229461</v>
      </c>
      <c r="C117" s="697">
        <v>53888833.099648207</v>
      </c>
      <c r="D117" s="697">
        <v>86413634.008099586</v>
      </c>
      <c r="E117" s="697">
        <v>24648937.364007317</v>
      </c>
      <c r="F117" s="697"/>
      <c r="G117" s="697">
        <v>4699013.58</v>
      </c>
      <c r="H117" s="697">
        <v>706261265.3540498</v>
      </c>
      <c r="I117" s="697">
        <v>129896776</v>
      </c>
      <c r="J117" s="697">
        <v>156980065</v>
      </c>
      <c r="K117" s="697">
        <v>20980924</v>
      </c>
      <c r="L117" s="697">
        <v>2789760</v>
      </c>
      <c r="M117" s="697"/>
      <c r="N117" s="697">
        <v>310647525</v>
      </c>
      <c r="O117" s="697"/>
      <c r="P117" s="697"/>
      <c r="Q117" s="697"/>
      <c r="R117" s="294"/>
      <c r="S117" s="296">
        <f>IF(B116&gt;0,(B117/B116),)</f>
        <v>81390.997619034519</v>
      </c>
      <c r="T117" s="296">
        <f t="shared" ref="T117" si="1187">IF(C116&gt;0,(C117/C116),)</f>
        <v>70627.566316708006</v>
      </c>
      <c r="U117" s="296">
        <f t="shared" ref="U117" si="1188">IF(D116&gt;0,(D117/D116),)</f>
        <v>66523.197850731012</v>
      </c>
      <c r="V117" s="296">
        <f t="shared" ref="V117" si="1189">IF(E116&gt;0,(E117/E116),)</f>
        <v>62560.754730983033</v>
      </c>
      <c r="W117" s="296">
        <f t="shared" ref="W117" si="1190">IF(F116&gt;0,(F117/F116),)</f>
        <v>0</v>
      </c>
      <c r="X117" s="296">
        <f t="shared" ref="X117" si="1191">IF(G116&gt;0,(G117/G116),)</f>
        <v>68101.64608695652</v>
      </c>
      <c r="Y117" s="311">
        <f t="shared" ref="Y117" si="1192">IF(H116&gt;0,(H117/H116),)</f>
        <v>77457.914603427271</v>
      </c>
      <c r="Z117" s="306">
        <f t="shared" ref="Z117" si="1193">IF(I116&gt;0,(I117/I116),)</f>
        <v>58249.675336322871</v>
      </c>
      <c r="AA117" s="296">
        <f t="shared" ref="AA117" si="1194">IF(J116&gt;0,(J117/J116),)</f>
        <v>52980.109686128926</v>
      </c>
      <c r="AB117" s="296">
        <f t="shared" ref="AB117" si="1195">IF(K116&gt;0,(K117/K116),)</f>
        <v>47575.791383219956</v>
      </c>
      <c r="AC117" s="296">
        <f t="shared" ref="AC117" si="1196">IF(L116&gt;0,(L117/L116),)</f>
        <v>48943.15789473684</v>
      </c>
      <c r="AD117" s="296">
        <f t="shared" ref="AD117" si="1197">IF(M116&gt;0,(M117/M116),)</f>
        <v>0</v>
      </c>
      <c r="AE117" s="311">
        <f t="shared" ref="AE117" si="1198">IF(N116&gt;0,(N117/N116),)</f>
        <v>54585.753821823935</v>
      </c>
      <c r="AF117" s="306">
        <f t="shared" ref="AF117" si="1199">IF(O116&gt;0,(O117/O116),)</f>
        <v>0</v>
      </c>
      <c r="AG117" s="296">
        <f t="shared" ref="AG117" si="1200">IF(P116&gt;0,(P117/P116),)</f>
        <v>0</v>
      </c>
      <c r="AH117" s="311">
        <f t="shared" ref="AH117" si="1201">IF(Q116&gt;0,(Q117/Q116),)</f>
        <v>0</v>
      </c>
      <c r="AI117" s="516"/>
      <c r="AO117" s="524"/>
      <c r="AU117" s="524"/>
      <c r="AX117" s="524"/>
    </row>
    <row r="118" spans="1:50" x14ac:dyDescent="0.2">
      <c r="A118" s="696" t="s">
        <v>1119</v>
      </c>
      <c r="B118" s="697">
        <v>6764</v>
      </c>
      <c r="C118" s="697">
        <v>730</v>
      </c>
      <c r="D118" s="697">
        <v>1288</v>
      </c>
      <c r="E118" s="697">
        <v>426</v>
      </c>
      <c r="F118" s="697"/>
      <c r="G118" s="697">
        <v>68</v>
      </c>
      <c r="H118" s="697">
        <v>9276</v>
      </c>
      <c r="I118" s="697">
        <v>2252</v>
      </c>
      <c r="J118" s="697">
        <v>2980</v>
      </c>
      <c r="K118" s="697">
        <v>434</v>
      </c>
      <c r="L118" s="697">
        <v>59</v>
      </c>
      <c r="M118" s="697"/>
      <c r="N118" s="697">
        <v>5725</v>
      </c>
      <c r="O118" s="697"/>
      <c r="P118" s="697"/>
      <c r="Q118" s="697"/>
      <c r="Y118" s="309"/>
      <c r="Z118" s="305"/>
      <c r="AE118" s="309"/>
      <c r="AF118" s="305"/>
      <c r="AH118" s="309"/>
      <c r="AI118" s="516"/>
      <c r="AO118" s="524"/>
      <c r="AU118" s="524"/>
      <c r="AX118" s="524"/>
    </row>
    <row r="119" spans="1:50" ht="13.5" thickBot="1" x14ac:dyDescent="0.25">
      <c r="A119" s="701" t="s">
        <v>1121</v>
      </c>
      <c r="B119" s="702">
        <v>554301953.28579688</v>
      </c>
      <c r="C119" s="702">
        <v>52314542.567012526</v>
      </c>
      <c r="D119" s="702">
        <v>87665226.869311541</v>
      </c>
      <c r="E119" s="702">
        <v>27448546.178026728</v>
      </c>
      <c r="F119" s="702"/>
      <c r="G119" s="702">
        <v>4823932</v>
      </c>
      <c r="H119" s="702">
        <v>726554200.90014768</v>
      </c>
      <c r="I119" s="702">
        <v>133327575</v>
      </c>
      <c r="J119" s="702">
        <v>159976132</v>
      </c>
      <c r="K119" s="702">
        <v>20164996</v>
      </c>
      <c r="L119" s="702">
        <v>2956507</v>
      </c>
      <c r="M119" s="702"/>
      <c r="N119" s="702">
        <v>316425210</v>
      </c>
      <c r="O119" s="702"/>
      <c r="P119" s="702"/>
      <c r="Q119" s="702"/>
      <c r="S119" s="302">
        <f>IF(B118&gt;0,(B119/B118),)</f>
        <v>81948.839929893089</v>
      </c>
      <c r="T119" s="302">
        <f t="shared" ref="T119" si="1202">IF(C118&gt;0,(C119/C118),)</f>
        <v>71663.756941113053</v>
      </c>
      <c r="U119" s="302">
        <f t="shared" ref="U119" si="1203">IF(D118&gt;0,(D119/D118),)</f>
        <v>68063.064339527598</v>
      </c>
      <c r="V119" s="302">
        <f t="shared" ref="V119" si="1204">IF(E118&gt;0,(E119/E118),)</f>
        <v>64433.206990673069</v>
      </c>
      <c r="W119" s="302">
        <f t="shared" ref="W119" si="1205">IF(F118&gt;0,(F119/F118),)</f>
        <v>0</v>
      </c>
      <c r="X119" s="302">
        <f t="shared" ref="X119" si="1206">IF(G118&gt;0,(G119/G118),)</f>
        <v>70940.176470588238</v>
      </c>
      <c r="Y119" s="312">
        <f t="shared" ref="Y119" si="1207">IF(H118&gt;0,(H119/H118),)</f>
        <v>78326.239855557098</v>
      </c>
      <c r="Z119" s="307">
        <f t="shared" ref="Z119" si="1208">IF(I118&gt;0,(I119/I118),)</f>
        <v>59204.074156305505</v>
      </c>
      <c r="AA119" s="302">
        <f t="shared" ref="AA119" si="1209">IF(J118&gt;0,(J119/J118),)</f>
        <v>53683.265771812083</v>
      </c>
      <c r="AB119" s="302">
        <f t="shared" ref="AB119" si="1210">IF(K118&gt;0,(K119/K118),)</f>
        <v>46463.124423963134</v>
      </c>
      <c r="AC119" s="302">
        <f t="shared" ref="AC119" si="1211">IF(L118&gt;0,(L119/L118),)</f>
        <v>50110.288135593219</v>
      </c>
      <c r="AD119" s="302">
        <f t="shared" ref="AD119" si="1212">IF(M118&gt;0,(M119/M118),)</f>
        <v>0</v>
      </c>
      <c r="AE119" s="312">
        <f t="shared" ref="AE119" si="1213">IF(N118&gt;0,(N119/N118),)</f>
        <v>55270.779039301313</v>
      </c>
      <c r="AF119" s="307">
        <f t="shared" ref="AF119" si="1214">IF(O118&gt;0,(O119/O118),)</f>
        <v>0</v>
      </c>
      <c r="AG119" s="302">
        <f t="shared" ref="AG119" si="1215">IF(P118&gt;0,(P119/P118),)</f>
        <v>0</v>
      </c>
      <c r="AH119" s="312">
        <f t="shared" ref="AH119" si="1216">IF(Q118&gt;0,(Q119/Q118),)</f>
        <v>0</v>
      </c>
      <c r="AI119" s="519">
        <f>IF(S117&gt;0,(S119-S117)/S117,)</f>
        <v>6.8538576400015818E-3</v>
      </c>
      <c r="AJ119" s="520">
        <f t="shared" ref="AJ119" si="1217">IF(T117&gt;0,(T119-T117)/T117,)</f>
        <v>1.4671192544828229E-2</v>
      </c>
      <c r="AK119" s="520">
        <f t="shared" ref="AK119" si="1218">IF(U117&gt;0,(U119-U117)/U117,)</f>
        <v>2.3147812170001756E-2</v>
      </c>
      <c r="AL119" s="520">
        <f t="shared" ref="AL119" si="1219">IF(V117&gt;0,(V119-V117)/V117,)</f>
        <v>2.9930141791635206E-2</v>
      </c>
      <c r="AM119" s="520">
        <f t="shared" ref="AM119" si="1220">IF(W117&gt;0,(W119-W117)/W117,)</f>
        <v>0</v>
      </c>
      <c r="AN119" s="520">
        <f t="shared" ref="AN119" si="1221">IF(X117&gt;0,(X119-X117)/X117,)</f>
        <v>4.1680789624487222E-2</v>
      </c>
      <c r="AO119" s="526">
        <f t="shared" ref="AO119" si="1222">IF(Y117&gt;0,(Y119-Y117)/Y117,)</f>
        <v>1.1210284405093016E-2</v>
      </c>
      <c r="AP119" s="520">
        <f t="shared" ref="AP119" si="1223">IF(Z117&gt;0,(Z119-Z117)/Z117,)</f>
        <v>1.6384620420150188E-2</v>
      </c>
      <c r="AQ119" s="520">
        <f t="shared" ref="AQ119" si="1224">IF(AA117&gt;0,(AA119-AA117)/AA117,)</f>
        <v>1.3272076819940117E-2</v>
      </c>
      <c r="AR119" s="520">
        <f t="shared" ref="AR119" si="1225">IF(AB117&gt;0,(AB119-AB117)/AB117,)</f>
        <v>-2.3387250677437191E-2</v>
      </c>
      <c r="AS119" s="520">
        <f t="shared" ref="AS119" si="1226">IF(AC117&gt;0,(AC119-AC117)/AC117,)</f>
        <v>2.3846647643099621E-2</v>
      </c>
      <c r="AT119" s="520">
        <f t="shared" ref="AT119" si="1227">IF(AD117&gt;0,(AD119-AD117)/AD117,)</f>
        <v>0</v>
      </c>
      <c r="AU119" s="526">
        <f t="shared" ref="AU119" si="1228">IF(AE117&gt;0,(AE119-AE117)/AE117,)</f>
        <v>1.2549523813729906E-2</v>
      </c>
      <c r="AV119" s="520">
        <f t="shared" ref="AV119" si="1229">IF(AF117&gt;0,(AF119-AF117)/AF117,)</f>
        <v>0</v>
      </c>
      <c r="AW119" s="520">
        <f t="shared" ref="AW119" si="1230">IF(AG117&gt;0,(AG119-AG117)/AG117,)</f>
        <v>0</v>
      </c>
      <c r="AX119" s="526">
        <f t="shared" ref="AX119" si="1231">IF(AH117&gt;0,(AH119-AH117)/AH117,)</f>
        <v>0</v>
      </c>
    </row>
    <row r="120" spans="1:50" x14ac:dyDescent="0.2">
      <c r="A120" s="695" t="s">
        <v>35</v>
      </c>
      <c r="B120" s="697"/>
      <c r="C120" s="697"/>
      <c r="D120" s="697"/>
      <c r="E120" s="697"/>
      <c r="F120" s="697"/>
      <c r="G120" s="697"/>
      <c r="H120" s="697"/>
      <c r="I120" s="697"/>
      <c r="J120" s="697"/>
      <c r="K120" s="697"/>
      <c r="L120" s="697"/>
      <c r="M120" s="697"/>
      <c r="N120" s="697"/>
      <c r="O120" s="697"/>
      <c r="P120" s="697"/>
      <c r="Q120" s="697"/>
      <c r="Y120" s="309"/>
      <c r="Z120" s="305"/>
      <c r="AE120" s="309"/>
      <c r="AF120" s="305"/>
      <c r="AH120" s="309"/>
      <c r="AI120" s="516"/>
      <c r="AO120" s="524"/>
      <c r="AU120" s="524"/>
      <c r="AX120" s="524"/>
    </row>
    <row r="121" spans="1:50" x14ac:dyDescent="0.2">
      <c r="A121" s="696" t="s">
        <v>1067</v>
      </c>
      <c r="B121" s="697">
        <v>913</v>
      </c>
      <c r="C121" s="697">
        <v>417</v>
      </c>
      <c r="D121" s="697">
        <v>383</v>
      </c>
      <c r="E121" s="697">
        <v>426</v>
      </c>
      <c r="F121" s="697">
        <v>120</v>
      </c>
      <c r="G121" s="697">
        <v>31</v>
      </c>
      <c r="H121" s="697">
        <v>2290</v>
      </c>
      <c r="I121" s="697">
        <v>82</v>
      </c>
      <c r="J121" s="697">
        <v>31</v>
      </c>
      <c r="K121" s="697">
        <v>57</v>
      </c>
      <c r="L121" s="697">
        <v>4</v>
      </c>
      <c r="M121" s="697"/>
      <c r="N121" s="697">
        <v>174</v>
      </c>
      <c r="O121" s="697">
        <v>0</v>
      </c>
      <c r="P121" s="697"/>
      <c r="Q121" s="697">
        <v>0</v>
      </c>
      <c r="S121" s="295"/>
      <c r="T121" s="295"/>
      <c r="U121" s="295"/>
      <c r="V121" s="295"/>
      <c r="W121" s="295"/>
      <c r="X121" s="295"/>
      <c r="Y121" s="310"/>
      <c r="Z121" s="305"/>
      <c r="AA121" s="295"/>
      <c r="AB121" s="295"/>
      <c r="AC121" s="295"/>
      <c r="AD121" s="295"/>
      <c r="AE121" s="310"/>
      <c r="AF121" s="305"/>
      <c r="AG121" s="295"/>
      <c r="AH121" s="310"/>
      <c r="AI121" s="516"/>
      <c r="AO121" s="524"/>
      <c r="AU121" s="524"/>
      <c r="AX121" s="524"/>
    </row>
    <row r="122" spans="1:50" x14ac:dyDescent="0.2">
      <c r="A122" s="696" t="s">
        <v>1069</v>
      </c>
      <c r="B122" s="697">
        <v>100658757.33654532</v>
      </c>
      <c r="C122" s="697">
        <v>59164876.769992188</v>
      </c>
      <c r="D122" s="697">
        <v>29925538.115792051</v>
      </c>
      <c r="E122" s="697">
        <v>32904315.376462266</v>
      </c>
      <c r="F122" s="697">
        <v>9058986.3383164331</v>
      </c>
      <c r="G122" s="697">
        <v>2723847</v>
      </c>
      <c r="H122" s="697">
        <v>234436320.93710828</v>
      </c>
      <c r="I122" s="697">
        <v>5407580.6935683787</v>
      </c>
      <c r="J122" s="697">
        <v>1957269.3950177936</v>
      </c>
      <c r="K122" s="697">
        <v>3469505.304509284</v>
      </c>
      <c r="L122" s="697">
        <v>231204</v>
      </c>
      <c r="M122" s="697"/>
      <c r="N122" s="697">
        <v>11065559.393095456</v>
      </c>
      <c r="O122" s="697">
        <v>0</v>
      </c>
      <c r="P122" s="697"/>
      <c r="Q122" s="697">
        <v>0</v>
      </c>
      <c r="S122" s="296">
        <f>IF(B121&gt;0,(B122/B121),)</f>
        <v>110250.55568077252</v>
      </c>
      <c r="T122" s="296">
        <f t="shared" ref="T122" si="1232">IF(C121&gt;0,(C122/C121),)</f>
        <v>141882.1984891899</v>
      </c>
      <c r="U122" s="296">
        <f t="shared" ref="U122" si="1233">IF(D121&gt;0,(D122/D121),)</f>
        <v>78134.564270997522</v>
      </c>
      <c r="V122" s="296">
        <f t="shared" ref="V122" si="1234">IF(E121&gt;0,(E122/E121),)</f>
        <v>77240.176940052261</v>
      </c>
      <c r="W122" s="296">
        <f t="shared" ref="W122" si="1235">IF(F121&gt;0,(F122/F121),)</f>
        <v>75491.552819303615</v>
      </c>
      <c r="X122" s="296">
        <f t="shared" ref="X122" si="1236">IF(G121&gt;0,(G122/G121),)</f>
        <v>87866.032258064515</v>
      </c>
      <c r="Y122" s="311">
        <f t="shared" ref="Y122" si="1237">IF(H121&gt;0,(H122/H121),)</f>
        <v>102373.93927384641</v>
      </c>
      <c r="Z122" s="306">
        <f t="shared" ref="Z122" si="1238">IF(I121&gt;0,(I122/I121),)</f>
        <v>65946.106019126571</v>
      </c>
      <c r="AA122" s="296">
        <f t="shared" ref="AA122" si="1239">IF(J121&gt;0,(J122/J121),)</f>
        <v>63137.722419928825</v>
      </c>
      <c r="AB122" s="296">
        <f t="shared" ref="AB122" si="1240">IF(K121&gt;0,(K122/K121),)</f>
        <v>60868.514114197962</v>
      </c>
      <c r="AC122" s="296">
        <f t="shared" ref="AC122" si="1241">IF(L121&gt;0,(L122/L121),)</f>
        <v>57801</v>
      </c>
      <c r="AD122" s="296">
        <f t="shared" ref="AD122" si="1242">IF(M121&gt;0,(M122/M121),)</f>
        <v>0</v>
      </c>
      <c r="AE122" s="311">
        <f t="shared" ref="AE122" si="1243">IF(N121&gt;0,(N122/N121),)</f>
        <v>63595.168925835955</v>
      </c>
      <c r="AF122" s="306">
        <f t="shared" ref="AF122" si="1244">IF(O121&gt;0,(O122/O121),)</f>
        <v>0</v>
      </c>
      <c r="AG122" s="296">
        <f t="shared" ref="AG122" si="1245">IF(P121&gt;0,(P122/P121),)</f>
        <v>0</v>
      </c>
      <c r="AH122" s="311">
        <f t="shared" ref="AH122" si="1246">IF(Q121&gt;0,(Q122/Q121),)</f>
        <v>0</v>
      </c>
      <c r="AI122" s="516"/>
      <c r="AO122" s="524"/>
      <c r="AU122" s="524"/>
      <c r="AX122" s="524"/>
    </row>
    <row r="123" spans="1:50" x14ac:dyDescent="0.2">
      <c r="A123" s="696" t="s">
        <v>1071</v>
      </c>
      <c r="B123" s="697">
        <v>951</v>
      </c>
      <c r="C123" s="697">
        <v>429</v>
      </c>
      <c r="D123" s="697">
        <v>380</v>
      </c>
      <c r="E123" s="697">
        <v>435</v>
      </c>
      <c r="F123" s="697">
        <v>79</v>
      </c>
      <c r="G123" s="697">
        <v>32</v>
      </c>
      <c r="H123" s="697">
        <v>2306</v>
      </c>
      <c r="I123" s="697">
        <v>68</v>
      </c>
      <c r="J123" s="697">
        <v>38</v>
      </c>
      <c r="K123" s="697">
        <v>55</v>
      </c>
      <c r="L123" s="697">
        <v>4</v>
      </c>
      <c r="M123" s="697"/>
      <c r="N123" s="697">
        <v>165</v>
      </c>
      <c r="O123" s="697">
        <v>0</v>
      </c>
      <c r="P123" s="697"/>
      <c r="Q123" s="697">
        <v>0</v>
      </c>
      <c r="Y123" s="309"/>
      <c r="Z123" s="305"/>
      <c r="AE123" s="309"/>
      <c r="AF123" s="305"/>
      <c r="AH123" s="309"/>
      <c r="AI123" s="516"/>
      <c r="AO123" s="524"/>
      <c r="AU123" s="524"/>
      <c r="AX123" s="524"/>
    </row>
    <row r="124" spans="1:50" x14ac:dyDescent="0.2">
      <c r="A124" s="696" t="s">
        <v>1073</v>
      </c>
      <c r="B124" s="697">
        <v>105565337.88461405</v>
      </c>
      <c r="C124" s="697">
        <v>61676558.473537609</v>
      </c>
      <c r="D124" s="697">
        <v>31074962.134917729</v>
      </c>
      <c r="E124" s="697">
        <v>33627995.412916034</v>
      </c>
      <c r="F124" s="697">
        <v>5707053.7190785343</v>
      </c>
      <c r="G124" s="697">
        <v>2925816</v>
      </c>
      <c r="H124" s="697">
        <v>240577723.62506399</v>
      </c>
      <c r="I124" s="697">
        <v>4462295</v>
      </c>
      <c r="J124" s="697">
        <v>2442122</v>
      </c>
      <c r="K124" s="697">
        <v>3261067.153846154</v>
      </c>
      <c r="L124" s="697">
        <v>220072</v>
      </c>
      <c r="M124" s="697"/>
      <c r="N124" s="697">
        <v>10385556.153846154</v>
      </c>
      <c r="O124" s="697">
        <v>0</v>
      </c>
      <c r="P124" s="697"/>
      <c r="Q124" s="697">
        <v>0</v>
      </c>
      <c r="R124" s="294"/>
      <c r="S124" s="296">
        <f>IF(B123&gt;0,(B124/B123),)</f>
        <v>111004.5613928644</v>
      </c>
      <c r="T124" s="296">
        <f t="shared" ref="T124" si="1247">IF(C123&gt;0,(C124/C123),)</f>
        <v>143768.20157001773</v>
      </c>
      <c r="U124" s="296">
        <f t="shared" ref="U124" si="1248">IF(D123&gt;0,(D124/D123),)</f>
        <v>81776.216144520338</v>
      </c>
      <c r="V124" s="296">
        <f t="shared" ref="V124" si="1249">IF(E123&gt;0,(E124/E123),)</f>
        <v>77305.736581416175</v>
      </c>
      <c r="W124" s="296">
        <f t="shared" ref="W124" si="1250">IF(F123&gt;0,(F124/F123),)</f>
        <v>72241.186317449799</v>
      </c>
      <c r="X124" s="296">
        <f t="shared" ref="X124" si="1251">IF(G123&gt;0,(G124/G123),)</f>
        <v>91431.75</v>
      </c>
      <c r="Y124" s="311">
        <f t="shared" ref="Y124" si="1252">IF(H123&gt;0,(H124/H123),)</f>
        <v>104326.85326325412</v>
      </c>
      <c r="Z124" s="306">
        <f t="shared" ref="Z124" si="1253">IF(I123&gt;0,(I124/I123),)</f>
        <v>65621.98529411765</v>
      </c>
      <c r="AA124" s="296">
        <f t="shared" ref="AA124" si="1254">IF(J123&gt;0,(J124/J123),)</f>
        <v>64266.368421052633</v>
      </c>
      <c r="AB124" s="296">
        <f t="shared" ref="AB124" si="1255">IF(K123&gt;0,(K124/K123),)</f>
        <v>59292.13006993007</v>
      </c>
      <c r="AC124" s="296">
        <f t="shared" ref="AC124" si="1256">IF(L123&gt;0,(L124/L123),)</f>
        <v>55018</v>
      </c>
      <c r="AD124" s="296">
        <f t="shared" ref="AD124" si="1257">IF(M123&gt;0,(M124/M123),)</f>
        <v>0</v>
      </c>
      <c r="AE124" s="311">
        <f t="shared" ref="AE124" si="1258">IF(N123&gt;0,(N124/N123),)</f>
        <v>62942.764568764571</v>
      </c>
      <c r="AF124" s="306">
        <f t="shared" ref="AF124" si="1259">IF(O123&gt;0,(O124/O123),)</f>
        <v>0</v>
      </c>
      <c r="AG124" s="296">
        <f t="shared" ref="AG124" si="1260">IF(P123&gt;0,(P124/P123),)</f>
        <v>0</v>
      </c>
      <c r="AH124" s="311">
        <f t="shared" ref="AH124" si="1261">IF(Q123&gt;0,(Q124/Q123),)</f>
        <v>0</v>
      </c>
      <c r="AI124" s="517">
        <f>IF(S122&gt;0,(S124-S122)/S122,)</f>
        <v>6.8390196079834925E-3</v>
      </c>
      <c r="AJ124" s="518">
        <f t="shared" ref="AJ124" si="1262">IF(T122&gt;0,(T124-T122)/T122,)</f>
        <v>1.3292739335241693E-2</v>
      </c>
      <c r="AK124" s="518">
        <f t="shared" ref="AK124" si="1263">IF(U122&gt;0,(U124-U122)/U122,)</f>
        <v>4.6607438174126319E-2</v>
      </c>
      <c r="AL124" s="518">
        <f t="shared" ref="AL124" si="1264">IF(V122&gt;0,(V124-V122)/V122,)</f>
        <v>8.4877642648069481E-4</v>
      </c>
      <c r="AM124" s="527">
        <f t="shared" ref="AM124" si="1265">IF(W122&gt;0,(W124-W122)/W122,)</f>
        <v>-4.3056029190893512E-2</v>
      </c>
      <c r="AN124" s="518">
        <f t="shared" ref="AN124" si="1266">IF(X122&gt;0,(X124-X122)/X122,)</f>
        <v>4.0581299169887307E-2</v>
      </c>
      <c r="AO124" s="525">
        <f t="shared" ref="AO124" si="1267">IF(Y122&gt;0,(Y124-Y122)/Y122,)</f>
        <v>1.907628057745964E-2</v>
      </c>
      <c r="AP124" s="518">
        <f t="shared" ref="AP124" si="1268">IF(Z122&gt;0,(Z124-Z122)/Z122,)</f>
        <v>-4.9149334900064484E-3</v>
      </c>
      <c r="AQ124" s="518">
        <f t="shared" ref="AQ124" si="1269">IF(AA122&gt;0,(AA124-AA122)/AA122,)</f>
        <v>1.7875937836610373E-2</v>
      </c>
      <c r="AR124" s="518">
        <f t="shared" ref="AR124" si="1270">IF(AB122&gt;0,(AB124-AB122)/AB122,)</f>
        <v>-2.5898185083183929E-2</v>
      </c>
      <c r="AS124" s="518">
        <f t="shared" ref="AS124" si="1271">IF(AC122&gt;0,(AC124-AC122)/AC122,)</f>
        <v>-4.8147955917717686E-2</v>
      </c>
      <c r="AT124" s="518">
        <f t="shared" ref="AT124" si="1272">IF(AD122&gt;0,(AD124-AD122)/AD122,)</f>
        <v>0</v>
      </c>
      <c r="AU124" s="525">
        <f t="shared" ref="AU124" si="1273">IF(AE122&gt;0,(AE124-AE122)/AE122,)</f>
        <v>-1.0258709397127497E-2</v>
      </c>
      <c r="AV124" s="518">
        <f t="shared" ref="AV124" si="1274">IF(AF122&gt;0,(AF124-AF122)/AF122,)</f>
        <v>0</v>
      </c>
      <c r="AW124" s="518">
        <f t="shared" ref="AW124" si="1275">IF(AG122&gt;0,(AG124-AG122)/AG122,)</f>
        <v>0</v>
      </c>
      <c r="AX124" s="525">
        <f t="shared" ref="AX124" si="1276">IF(AH122&gt;0,(AH124-AH122)/AH122,)</f>
        <v>0</v>
      </c>
    </row>
    <row r="125" spans="1:50" x14ac:dyDescent="0.2">
      <c r="A125" s="696" t="s">
        <v>1075</v>
      </c>
      <c r="B125" s="697">
        <v>836</v>
      </c>
      <c r="C125" s="697">
        <v>254</v>
      </c>
      <c r="D125" s="697">
        <v>402</v>
      </c>
      <c r="E125" s="697">
        <v>542</v>
      </c>
      <c r="F125" s="697">
        <v>164</v>
      </c>
      <c r="G125" s="697">
        <v>107</v>
      </c>
      <c r="H125" s="697">
        <v>2305</v>
      </c>
      <c r="I125" s="697">
        <v>133</v>
      </c>
      <c r="J125" s="697">
        <v>134</v>
      </c>
      <c r="K125" s="697">
        <v>149</v>
      </c>
      <c r="L125" s="697">
        <v>12</v>
      </c>
      <c r="M125" s="697"/>
      <c r="N125" s="697">
        <v>428</v>
      </c>
      <c r="O125" s="697">
        <v>0</v>
      </c>
      <c r="P125" s="697"/>
      <c r="Q125" s="697">
        <v>0</v>
      </c>
      <c r="Y125" s="309"/>
      <c r="Z125" s="305"/>
      <c r="AE125" s="309"/>
      <c r="AF125" s="305"/>
      <c r="AH125" s="309"/>
      <c r="AI125" s="516"/>
      <c r="AO125" s="524"/>
      <c r="AU125" s="524"/>
      <c r="AX125" s="524"/>
    </row>
    <row r="126" spans="1:50" x14ac:dyDescent="0.2">
      <c r="A126" s="698" t="s">
        <v>1077</v>
      </c>
      <c r="B126" s="699">
        <v>65762854.964793399</v>
      </c>
      <c r="C126" s="699">
        <v>24123852.534497816</v>
      </c>
      <c r="D126" s="699">
        <v>25789423.055223286</v>
      </c>
      <c r="E126" s="699">
        <v>34424538.381770059</v>
      </c>
      <c r="F126" s="699">
        <v>10144719.077886498</v>
      </c>
      <c r="G126" s="699">
        <v>6875540</v>
      </c>
      <c r="H126" s="699">
        <v>167120928.01417103</v>
      </c>
      <c r="I126" s="699">
        <v>7073198.4958677683</v>
      </c>
      <c r="J126" s="699">
        <v>7476861.3694581278</v>
      </c>
      <c r="K126" s="699">
        <v>7581227.689755233</v>
      </c>
      <c r="L126" s="699">
        <v>580900</v>
      </c>
      <c r="M126" s="699"/>
      <c r="N126" s="699">
        <v>22712187.555081129</v>
      </c>
      <c r="O126" s="699">
        <v>0</v>
      </c>
      <c r="P126" s="699"/>
      <c r="Q126" s="699">
        <v>0</v>
      </c>
      <c r="S126" s="296">
        <f>IF(B125&gt;0,(B126/B125),)</f>
        <v>78663.702110996892</v>
      </c>
      <c r="T126" s="296">
        <f t="shared" ref="T126" si="1277">IF(C125&gt;0,(C126/C125),)</f>
        <v>94975.797379912663</v>
      </c>
      <c r="U126" s="296">
        <f t="shared" ref="U126" si="1278">IF(D125&gt;0,(D126/D125),)</f>
        <v>64152.793669709667</v>
      </c>
      <c r="V126" s="296">
        <f t="shared" ref="V126" si="1279">IF(E125&gt;0,(E126/E125),)</f>
        <v>63513.908453450291</v>
      </c>
      <c r="W126" s="296">
        <f t="shared" ref="W126" si="1280">IF(F125&gt;0,(F126/F125),)</f>
        <v>61858.043157844499</v>
      </c>
      <c r="X126" s="296">
        <f t="shared" ref="X126" si="1281">IF(G125&gt;0,(G126/G125),)</f>
        <v>64257.383177570096</v>
      </c>
      <c r="Y126" s="311">
        <f t="shared" ref="Y126" si="1282">IF(H125&gt;0,(H126/H125),)</f>
        <v>72503.656405280271</v>
      </c>
      <c r="Z126" s="306">
        <f t="shared" ref="Z126" si="1283">IF(I125&gt;0,(I126/I125),)</f>
        <v>53181.943577953149</v>
      </c>
      <c r="AA126" s="296">
        <f t="shared" ref="AA126" si="1284">IF(J125&gt;0,(J126/J125),)</f>
        <v>55797.472906403942</v>
      </c>
      <c r="AB126" s="296">
        <f t="shared" ref="AB126" si="1285">IF(K125&gt;0,(K126/K125),)</f>
        <v>50880.722750035122</v>
      </c>
      <c r="AC126" s="296">
        <f t="shared" ref="AC126" si="1286">IF(L125&gt;0,(L126/L125),)</f>
        <v>48408.333333333336</v>
      </c>
      <c r="AD126" s="296">
        <f t="shared" ref="AD126" si="1287">IF(M125&gt;0,(M126/M125),)</f>
        <v>0</v>
      </c>
      <c r="AE126" s="311">
        <f t="shared" ref="AE126" si="1288">IF(N125&gt;0,(N126/N125),)</f>
        <v>53065.858773554042</v>
      </c>
      <c r="AF126" s="306">
        <f t="shared" ref="AF126" si="1289">IF(O125&gt;0,(O126/O125),)</f>
        <v>0</v>
      </c>
      <c r="AG126" s="296">
        <f t="shared" ref="AG126" si="1290">IF(P125&gt;0,(P126/P125),)</f>
        <v>0</v>
      </c>
      <c r="AH126" s="311">
        <f t="shared" ref="AH126" si="1291">IF(Q125&gt;0,(Q126/Q125),)</f>
        <v>0</v>
      </c>
      <c r="AI126" s="516"/>
      <c r="AO126" s="524"/>
      <c r="AU126" s="524"/>
      <c r="AX126" s="524"/>
    </row>
    <row r="127" spans="1:50" x14ac:dyDescent="0.2">
      <c r="A127" s="696" t="s">
        <v>1079</v>
      </c>
      <c r="B127" s="697">
        <v>839</v>
      </c>
      <c r="C127" s="697">
        <v>263</v>
      </c>
      <c r="D127" s="697">
        <v>402</v>
      </c>
      <c r="E127" s="697">
        <v>518</v>
      </c>
      <c r="F127" s="697">
        <v>144</v>
      </c>
      <c r="G127" s="697">
        <v>126</v>
      </c>
      <c r="H127" s="697">
        <v>2292</v>
      </c>
      <c r="I127" s="697">
        <v>123</v>
      </c>
      <c r="J127" s="697">
        <v>117</v>
      </c>
      <c r="K127" s="697">
        <v>155</v>
      </c>
      <c r="L127" s="697">
        <v>19</v>
      </c>
      <c r="M127" s="697"/>
      <c r="N127" s="697">
        <v>414</v>
      </c>
      <c r="O127" s="697">
        <v>0</v>
      </c>
      <c r="P127" s="697"/>
      <c r="Q127" s="697">
        <v>0</v>
      </c>
      <c r="Y127" s="309"/>
      <c r="Z127" s="305"/>
      <c r="AE127" s="309"/>
      <c r="AF127" s="305"/>
      <c r="AH127" s="309"/>
      <c r="AI127" s="516"/>
      <c r="AO127" s="524"/>
      <c r="AU127" s="524"/>
      <c r="AX127" s="524"/>
    </row>
    <row r="128" spans="1:50" x14ac:dyDescent="0.2">
      <c r="A128" s="696" t="s">
        <v>1081</v>
      </c>
      <c r="B128" s="697">
        <v>67163630.863769293</v>
      </c>
      <c r="C128" s="697">
        <v>25226574.540278364</v>
      </c>
      <c r="D128" s="697">
        <v>25933261.977752525</v>
      </c>
      <c r="E128" s="697">
        <v>33829555.486828476</v>
      </c>
      <c r="F128" s="697">
        <v>9012824.7428143322</v>
      </c>
      <c r="G128" s="697">
        <v>7999708.7955706986</v>
      </c>
      <c r="H128" s="697">
        <v>169165556.40701368</v>
      </c>
      <c r="I128" s="697">
        <v>6414599</v>
      </c>
      <c r="J128" s="697">
        <v>6649916</v>
      </c>
      <c r="K128" s="697">
        <v>7931250.4846338909</v>
      </c>
      <c r="L128" s="697">
        <v>903032</v>
      </c>
      <c r="M128" s="697"/>
      <c r="N128" s="697">
        <v>21898797.484633893</v>
      </c>
      <c r="O128" s="697">
        <v>0</v>
      </c>
      <c r="P128" s="697"/>
      <c r="Q128" s="697">
        <v>0</v>
      </c>
      <c r="R128" s="294"/>
      <c r="S128" s="296">
        <f>IF(B127&gt;0,(B128/B127),)</f>
        <v>80052.003413312632</v>
      </c>
      <c r="T128" s="296">
        <f t="shared" ref="T128" si="1292">IF(C127&gt;0,(C128/C127),)</f>
        <v>95918.534373681992</v>
      </c>
      <c r="U128" s="296">
        <f t="shared" ref="U128" si="1293">IF(D127&gt;0,(D128/D127),)</f>
        <v>64510.601934707774</v>
      </c>
      <c r="V128" s="296">
        <f t="shared" ref="V128" si="1294">IF(E127&gt;0,(E128/E127),)</f>
        <v>65308.022175344551</v>
      </c>
      <c r="W128" s="296">
        <f t="shared" ref="W128" si="1295">IF(F127&gt;0,(F128/F127),)</f>
        <v>62589.060713988416</v>
      </c>
      <c r="X128" s="296">
        <f t="shared" ref="X128" si="1296">IF(G127&gt;0,(G128/G127),)</f>
        <v>63489.752345799192</v>
      </c>
      <c r="Y128" s="311">
        <f t="shared" ref="Y128" si="1297">IF(H127&gt;0,(H128/H127),)</f>
        <v>73806.961783164777</v>
      </c>
      <c r="Z128" s="306">
        <f t="shared" ref="Z128" si="1298">IF(I127&gt;0,(I128/I127),)</f>
        <v>52151.211382113819</v>
      </c>
      <c r="AA128" s="296">
        <f t="shared" ref="AA128" si="1299">IF(J127&gt;0,(J128/J127),)</f>
        <v>56836.888888888891</v>
      </c>
      <c r="AB128" s="296">
        <f t="shared" ref="AB128" si="1300">IF(K127&gt;0,(K128/K127),)</f>
        <v>51169.357965379939</v>
      </c>
      <c r="AC128" s="296">
        <f t="shared" ref="AC128" si="1301">IF(L127&gt;0,(L128/L127),)</f>
        <v>47528</v>
      </c>
      <c r="AD128" s="296">
        <f t="shared" ref="AD128" si="1302">IF(M127&gt;0,(M128/M127),)</f>
        <v>0</v>
      </c>
      <c r="AE128" s="311">
        <f t="shared" ref="AE128" si="1303">IF(N127&gt;0,(N128/N127),)</f>
        <v>52895.646098149497</v>
      </c>
      <c r="AF128" s="306">
        <f t="shared" ref="AF128" si="1304">IF(O127&gt;0,(O128/O127),)</f>
        <v>0</v>
      </c>
      <c r="AG128" s="296">
        <f t="shared" ref="AG128" si="1305">IF(P127&gt;0,(P128/P127),)</f>
        <v>0</v>
      </c>
      <c r="AH128" s="311">
        <f t="shared" ref="AH128" si="1306">IF(Q127&gt;0,(Q128/Q127),)</f>
        <v>0</v>
      </c>
      <c r="AI128" s="517">
        <f>IF(S126&gt;0,(S128-S126)/S126,)</f>
        <v>1.7648562997414036E-2</v>
      </c>
      <c r="AJ128" s="518">
        <f t="shared" ref="AJ128" si="1307">IF(T126&gt;0,(T128-T126)/T126,)</f>
        <v>9.9260761138786468E-3</v>
      </c>
      <c r="AK128" s="518">
        <f t="shared" ref="AK128" si="1308">IF(U126&gt;0,(U128-U126)/U126,)</f>
        <v>5.5774385577077434E-3</v>
      </c>
      <c r="AL128" s="518">
        <f t="shared" ref="AL128" si="1309">IF(V126&gt;0,(V128-V126)/V126,)</f>
        <v>2.8247572312593179E-2</v>
      </c>
      <c r="AM128" s="527">
        <f t="shared" ref="AM128" si="1310">IF(W126&gt;0,(W128-W126)/W126,)</f>
        <v>1.1817663780255125E-2</v>
      </c>
      <c r="AN128" s="518">
        <f t="shared" ref="AN128" si="1311">IF(X126&gt;0,(X128-X126)/X126,)</f>
        <v>-1.1946188808368037E-2</v>
      </c>
      <c r="AO128" s="525">
        <f t="shared" ref="AO128" si="1312">IF(Y126&gt;0,(Y128-Y126)/Y126,)</f>
        <v>1.7975719329233572E-2</v>
      </c>
      <c r="AP128" s="518">
        <f t="shared" ref="AP128" si="1313">IF(Z126&gt;0,(Z128-Z126)/Z126,)</f>
        <v>-1.9381243453964796E-2</v>
      </c>
      <c r="AQ128" s="518">
        <f t="shared" ref="AQ128" si="1314">IF(AA126&gt;0,(AA128-AA126)/AA126,)</f>
        <v>1.8628370217204829E-2</v>
      </c>
      <c r="AR128" s="518">
        <f t="shared" ref="AR128" si="1315">IF(AB126&gt;0,(AB128-AB126)/AB126,)</f>
        <v>5.6727813549900434E-3</v>
      </c>
      <c r="AS128" s="518">
        <f t="shared" ref="AS128" si="1316">IF(AC126&gt;0,(AC128-AC126)/AC126,)</f>
        <v>-1.8185574109141036E-2</v>
      </c>
      <c r="AT128" s="518">
        <f t="shared" ref="AT128" si="1317">IF(AD126&gt;0,(AD128-AD126)/AD126,)</f>
        <v>0</v>
      </c>
      <c r="AU128" s="525">
        <f t="shared" ref="AU128" si="1318">IF(AE126&gt;0,(AE128-AE126)/AE126,)</f>
        <v>-3.2075741227686133E-3</v>
      </c>
      <c r="AV128" s="518">
        <f t="shared" ref="AV128" si="1319">IF(AF126&gt;0,(AF128-AF126)/AF126,)</f>
        <v>0</v>
      </c>
      <c r="AW128" s="518">
        <f t="shared" ref="AW128" si="1320">IF(AG126&gt;0,(AG128-AG126)/AG126,)</f>
        <v>0</v>
      </c>
      <c r="AX128" s="525">
        <f t="shared" ref="AX128" si="1321">IF(AH126&gt;0,(AH128-AH126)/AH126,)</f>
        <v>0</v>
      </c>
    </row>
    <row r="129" spans="1:50" x14ac:dyDescent="0.2">
      <c r="A129" s="696" t="s">
        <v>1083</v>
      </c>
      <c r="B129" s="697">
        <v>732</v>
      </c>
      <c r="C129" s="697">
        <v>225</v>
      </c>
      <c r="D129" s="697">
        <v>567</v>
      </c>
      <c r="E129" s="697">
        <v>837</v>
      </c>
      <c r="F129" s="697">
        <v>238</v>
      </c>
      <c r="G129" s="697">
        <v>299</v>
      </c>
      <c r="H129" s="697">
        <v>2898</v>
      </c>
      <c r="I129" s="697">
        <v>184</v>
      </c>
      <c r="J129" s="697">
        <v>116</v>
      </c>
      <c r="K129" s="697">
        <v>311</v>
      </c>
      <c r="L129" s="697">
        <v>21</v>
      </c>
      <c r="M129" s="697"/>
      <c r="N129" s="697">
        <v>632</v>
      </c>
      <c r="O129" s="697">
        <v>0</v>
      </c>
      <c r="P129" s="697"/>
      <c r="Q129" s="697">
        <v>0</v>
      </c>
      <c r="Y129" s="309"/>
      <c r="Z129" s="305"/>
      <c r="AE129" s="309"/>
      <c r="AF129" s="305"/>
      <c r="AH129" s="309"/>
      <c r="AI129" s="516"/>
      <c r="AO129" s="524"/>
      <c r="AU129" s="524"/>
      <c r="AX129" s="524"/>
    </row>
    <row r="130" spans="1:50" x14ac:dyDescent="0.2">
      <c r="A130" s="696" t="s">
        <v>1085</v>
      </c>
      <c r="B130" s="697">
        <v>53117727.867493361</v>
      </c>
      <c r="C130" s="697">
        <v>19505025</v>
      </c>
      <c r="D130" s="697">
        <v>31179691.719480395</v>
      </c>
      <c r="E130" s="697">
        <v>44965361.576264463</v>
      </c>
      <c r="F130" s="697">
        <v>12531075.743986292</v>
      </c>
      <c r="G130" s="697">
        <v>17119231.391540918</v>
      </c>
      <c r="H130" s="697">
        <v>178418113.29876542</v>
      </c>
      <c r="I130" s="697">
        <v>8348700.3908754624</v>
      </c>
      <c r="J130" s="697">
        <v>5212675.0971428566</v>
      </c>
      <c r="K130" s="697">
        <v>13945529.523099847</v>
      </c>
      <c r="L130" s="697">
        <v>893634</v>
      </c>
      <c r="M130" s="697"/>
      <c r="N130" s="697">
        <v>28400539.011118166</v>
      </c>
      <c r="O130" s="697">
        <v>0</v>
      </c>
      <c r="P130" s="697"/>
      <c r="Q130" s="697">
        <v>0</v>
      </c>
      <c r="R130" s="294"/>
      <c r="S130" s="296">
        <f>IF(B129&gt;0,(B130/B129),)</f>
        <v>72565.202004772349</v>
      </c>
      <c r="T130" s="296">
        <f t="shared" ref="T130" si="1322">IF(C129&gt;0,(C130/C129),)</f>
        <v>86689</v>
      </c>
      <c r="U130" s="296">
        <f t="shared" ref="U130" si="1323">IF(D129&gt;0,(D130/D129),)</f>
        <v>54990.637953228208</v>
      </c>
      <c r="V130" s="296">
        <f t="shared" ref="V130" si="1324">IF(E129&gt;0,(E130/E129),)</f>
        <v>53722.056841415128</v>
      </c>
      <c r="W130" s="296">
        <f t="shared" ref="W130" si="1325">IF(F129&gt;0,(F130/F129),)</f>
        <v>52651.578756244926</v>
      </c>
      <c r="X130" s="296">
        <f t="shared" ref="X130" si="1326">IF(G129&gt;0,(G130/G129),)</f>
        <v>57254.954486758921</v>
      </c>
      <c r="Y130" s="311">
        <f t="shared" ref="Y130" si="1327">IF(H129&gt;0,(H130/H129),)</f>
        <v>61565.946617931477</v>
      </c>
      <c r="Z130" s="306">
        <f t="shared" ref="Z130" si="1328">IF(I129&gt;0,(I130/I129),)</f>
        <v>45373.37168954056</v>
      </c>
      <c r="AA130" s="296">
        <f t="shared" ref="AA130" si="1329">IF(J129&gt;0,(J130/J129),)</f>
        <v>44936.854285714282</v>
      </c>
      <c r="AB130" s="296">
        <f t="shared" ref="AB130" si="1330">IF(K129&gt;0,(K130/K129),)</f>
        <v>44840.930942443236</v>
      </c>
      <c r="AC130" s="296">
        <f t="shared" ref="AC130" si="1331">IF(L129&gt;0,(L130/L129),)</f>
        <v>42554</v>
      </c>
      <c r="AD130" s="296">
        <f t="shared" ref="AD130" si="1332">IF(M129&gt;0,(M130/M129),)</f>
        <v>0</v>
      </c>
      <c r="AE130" s="311">
        <f t="shared" ref="AE130" si="1333">IF(N129&gt;0,(N130/N129),)</f>
        <v>44937.561726452797</v>
      </c>
      <c r="AF130" s="306">
        <f t="shared" ref="AF130" si="1334">IF(O129&gt;0,(O130/O129),)</f>
        <v>0</v>
      </c>
      <c r="AG130" s="296">
        <f t="shared" ref="AG130" si="1335">IF(P129&gt;0,(P130/P129),)</f>
        <v>0</v>
      </c>
      <c r="AH130" s="311">
        <f t="shared" ref="AH130" si="1336">IF(Q129&gt;0,(Q130/Q129),)</f>
        <v>0</v>
      </c>
      <c r="AI130" s="516"/>
      <c r="AO130" s="524"/>
      <c r="AU130" s="524"/>
      <c r="AX130" s="524"/>
    </row>
    <row r="131" spans="1:50" x14ac:dyDescent="0.2">
      <c r="A131" s="696" t="s">
        <v>1087</v>
      </c>
      <c r="B131" s="697">
        <v>755</v>
      </c>
      <c r="C131" s="697">
        <v>216</v>
      </c>
      <c r="D131" s="697">
        <v>548</v>
      </c>
      <c r="E131" s="697">
        <v>771</v>
      </c>
      <c r="F131" s="697">
        <v>196</v>
      </c>
      <c r="G131" s="697">
        <v>337</v>
      </c>
      <c r="H131" s="697">
        <v>2823</v>
      </c>
      <c r="I131" s="697">
        <v>184</v>
      </c>
      <c r="J131" s="697">
        <v>123</v>
      </c>
      <c r="K131" s="697">
        <v>306</v>
      </c>
      <c r="L131" s="697">
        <v>16</v>
      </c>
      <c r="M131" s="697"/>
      <c r="N131" s="697">
        <v>629</v>
      </c>
      <c r="O131" s="697">
        <v>0</v>
      </c>
      <c r="P131" s="697"/>
      <c r="Q131" s="697">
        <v>0</v>
      </c>
      <c r="Y131" s="309"/>
      <c r="Z131" s="305"/>
      <c r="AE131" s="309"/>
      <c r="AF131" s="305"/>
      <c r="AH131" s="309"/>
      <c r="AI131" s="516"/>
      <c r="AO131" s="524"/>
      <c r="AU131" s="524"/>
      <c r="AX131" s="524"/>
    </row>
    <row r="132" spans="1:50" x14ac:dyDescent="0.2">
      <c r="A132" s="696" t="s">
        <v>1089</v>
      </c>
      <c r="B132" s="697">
        <v>55899045.722751528</v>
      </c>
      <c r="C132" s="697">
        <v>19339651.000000004</v>
      </c>
      <c r="D132" s="697">
        <v>31306928.100371674</v>
      </c>
      <c r="E132" s="697">
        <v>42014069.957067527</v>
      </c>
      <c r="F132" s="697">
        <v>10546236.838909524</v>
      </c>
      <c r="G132" s="697">
        <v>18223503.781818181</v>
      </c>
      <c r="H132" s="697">
        <v>177329435.40091845</v>
      </c>
      <c r="I132" s="697">
        <v>8518785.8131868131</v>
      </c>
      <c r="J132" s="697">
        <v>5461557</v>
      </c>
      <c r="K132" s="697">
        <v>13808058.322640717</v>
      </c>
      <c r="L132" s="697">
        <v>704425</v>
      </c>
      <c r="M132" s="697"/>
      <c r="N132" s="697">
        <v>28492826.13582753</v>
      </c>
      <c r="O132" s="697">
        <v>0</v>
      </c>
      <c r="P132" s="697"/>
      <c r="Q132" s="697">
        <v>0</v>
      </c>
      <c r="R132" s="294"/>
      <c r="S132" s="296">
        <f>IF(B131&gt;0,(B132/B131),)</f>
        <v>74038.471155962296</v>
      </c>
      <c r="T132" s="296">
        <f t="shared" ref="T132" si="1337">IF(C131&gt;0,(C132/C131),)</f>
        <v>89535.421296296307</v>
      </c>
      <c r="U132" s="296">
        <f t="shared" ref="U132" si="1338">IF(D131&gt;0,(D132/D131),)</f>
        <v>57129.430840094297</v>
      </c>
      <c r="V132" s="296">
        <f t="shared" ref="V132" si="1339">IF(E131&gt;0,(E132/E131),)</f>
        <v>54492.957142759435</v>
      </c>
      <c r="W132" s="296">
        <f t="shared" ref="W132" si="1340">IF(F131&gt;0,(F132/F131),)</f>
        <v>53807.330810762876</v>
      </c>
      <c r="X132" s="296">
        <f t="shared" ref="X132" si="1341">IF(G131&gt;0,(G132/G131),)</f>
        <v>54075.67887779876</v>
      </c>
      <c r="Y132" s="311">
        <f t="shared" ref="Y132" si="1342">IF(H131&gt;0,(H132/H131),)</f>
        <v>62815.95302901823</v>
      </c>
      <c r="Z132" s="306">
        <f t="shared" ref="Z132" si="1343">IF(I131&gt;0,(I132/I131),)</f>
        <v>46297.748984710939</v>
      </c>
      <c r="AA132" s="296">
        <f t="shared" ref="AA132" si="1344">IF(J131&gt;0,(J132/J131),)</f>
        <v>44402.902439024387</v>
      </c>
      <c r="AB132" s="296">
        <f t="shared" ref="AB132" si="1345">IF(K131&gt;0,(K132/K131),)</f>
        <v>45124.373603401036</v>
      </c>
      <c r="AC132" s="296">
        <f t="shared" ref="AC132" si="1346">IF(L131&gt;0,(L132/L131),)</f>
        <v>44026.5625</v>
      </c>
      <c r="AD132" s="296">
        <f t="shared" ref="AD132" si="1347">IF(M131&gt;0,(M132/M131),)</f>
        <v>0</v>
      </c>
      <c r="AE132" s="311">
        <f t="shared" ref="AE132" si="1348">IF(N131&gt;0,(N132/N131),)</f>
        <v>45298.610708787804</v>
      </c>
      <c r="AF132" s="306">
        <f t="shared" ref="AF132" si="1349">IF(O131&gt;0,(O132/O131),)</f>
        <v>0</v>
      </c>
      <c r="AG132" s="296">
        <f t="shared" ref="AG132" si="1350">IF(P131&gt;0,(P132/P131),)</f>
        <v>0</v>
      </c>
      <c r="AH132" s="311">
        <f t="shared" ref="AH132" si="1351">IF(Q131&gt;0,(Q132/Q131),)</f>
        <v>0</v>
      </c>
      <c r="AI132" s="517">
        <f>IF(S130&gt;0,(S132-S130)/S130,)</f>
        <v>2.0302694824622068E-2</v>
      </c>
      <c r="AJ132" s="518">
        <f t="shared" ref="AJ132" si="1352">IF(T130&gt;0,(T132-T130)/T130,)</f>
        <v>3.2834861358376571E-2</v>
      </c>
      <c r="AK132" s="518">
        <f t="shared" ref="AK132" si="1353">IF(U130&gt;0,(U132-U130)/U130,)</f>
        <v>3.8893763856408074E-2</v>
      </c>
      <c r="AL132" s="518">
        <f t="shared" ref="AL132" si="1354">IF(V130&gt;0,(V132-V130)/V130,)</f>
        <v>1.4349791252780341E-2</v>
      </c>
      <c r="AM132" s="527">
        <f t="shared" ref="AM132" si="1355">IF(W130&gt;0,(W132-W130)/W130,)</f>
        <v>2.19509477554055E-2</v>
      </c>
      <c r="AN132" s="527">
        <f t="shared" ref="AN132" si="1356">IF(X130&gt;0,(X132-X130)/X130,)</f>
        <v>-5.5528392913060769E-2</v>
      </c>
      <c r="AO132" s="525">
        <f t="shared" ref="AO132" si="1357">IF(Y130&gt;0,(Y132-Y130)/Y130,)</f>
        <v>2.0303535960294664E-2</v>
      </c>
      <c r="AP132" s="518">
        <f t="shared" ref="AP132" si="1358">IF(Z130&gt;0,(Z132-Z130)/Z130,)</f>
        <v>2.0372682495258917E-2</v>
      </c>
      <c r="AQ132" s="527">
        <f t="shared" ref="AQ132" si="1359">IF(AA130&gt;0,(AA132-AA130)/AA130,)</f>
        <v>-1.188227024737782E-2</v>
      </c>
      <c r="AR132" s="518">
        <f t="shared" ref="AR132" si="1360">IF(AB130&gt;0,(AB132-AB130)/AB130,)</f>
        <v>6.3210699465990287E-3</v>
      </c>
      <c r="AS132" s="518">
        <f t="shared" ref="AS132" si="1361">IF(AC130&gt;0,(AC132-AC130)/AC130,)</f>
        <v>3.4604561263335998E-2</v>
      </c>
      <c r="AT132" s="518">
        <f t="shared" ref="AT132" si="1362">IF(AD130&gt;0,(AD132-AD130)/AD130,)</f>
        <v>0</v>
      </c>
      <c r="AU132" s="525">
        <f t="shared" ref="AU132" si="1363">IF(AE130&gt;0,(AE132-AE130)/AE130,)</f>
        <v>8.0344586680695055E-3</v>
      </c>
      <c r="AV132" s="518">
        <f t="shared" ref="AV132" si="1364">IF(AF130&gt;0,(AF132-AF130)/AF130,)</f>
        <v>0</v>
      </c>
      <c r="AW132" s="518">
        <f t="shared" ref="AW132" si="1365">IF(AG130&gt;0,(AG132-AG130)/AG130,)</f>
        <v>0</v>
      </c>
      <c r="AX132" s="525">
        <f t="shared" ref="AX132" si="1366">IF(AH130&gt;0,(AH132-AH130)/AH130,)</f>
        <v>0</v>
      </c>
    </row>
    <row r="133" spans="1:50" x14ac:dyDescent="0.2">
      <c r="A133" s="696" t="s">
        <v>1091</v>
      </c>
      <c r="B133" s="697">
        <v>105</v>
      </c>
      <c r="C133" s="697">
        <v>45</v>
      </c>
      <c r="D133" s="697">
        <v>238</v>
      </c>
      <c r="E133" s="697">
        <v>210</v>
      </c>
      <c r="F133" s="697">
        <v>48</v>
      </c>
      <c r="G133" s="697">
        <v>18</v>
      </c>
      <c r="H133" s="697">
        <v>664</v>
      </c>
      <c r="I133" s="697">
        <v>34</v>
      </c>
      <c r="J133" s="697">
        <v>272</v>
      </c>
      <c r="K133" s="697">
        <v>179</v>
      </c>
      <c r="L133" s="697">
        <v>19</v>
      </c>
      <c r="M133" s="697"/>
      <c r="N133" s="697">
        <v>504</v>
      </c>
      <c r="O133" s="697">
        <v>0</v>
      </c>
      <c r="P133" s="697"/>
      <c r="Q133" s="697">
        <v>0</v>
      </c>
      <c r="Y133" s="309"/>
      <c r="Z133" s="305"/>
      <c r="AE133" s="309"/>
      <c r="AF133" s="305"/>
      <c r="AH133" s="309"/>
      <c r="AI133" s="516"/>
      <c r="AO133" s="524"/>
      <c r="AU133" s="524"/>
      <c r="AX133" s="524"/>
    </row>
    <row r="134" spans="1:50" x14ac:dyDescent="0.2">
      <c r="A134" s="696" t="s">
        <v>1093</v>
      </c>
      <c r="B134" s="697">
        <v>5576485.8622805607</v>
      </c>
      <c r="C134" s="697">
        <v>1566135</v>
      </c>
      <c r="D134" s="697">
        <v>9551507.9996217135</v>
      </c>
      <c r="E134" s="697">
        <v>9328438.8203724921</v>
      </c>
      <c r="F134" s="697">
        <v>2083514.3522267207</v>
      </c>
      <c r="G134" s="697">
        <v>870008.31325301202</v>
      </c>
      <c r="H134" s="697">
        <v>28976090.347754497</v>
      </c>
      <c r="I134" s="697">
        <v>1395159</v>
      </c>
      <c r="J134" s="697">
        <v>10532856.351219513</v>
      </c>
      <c r="K134" s="697">
        <v>7435050.7469350519</v>
      </c>
      <c r="L134" s="697">
        <v>713587</v>
      </c>
      <c r="M134" s="697"/>
      <c r="N134" s="697">
        <v>20076653.098154563</v>
      </c>
      <c r="O134" s="697">
        <v>0</v>
      </c>
      <c r="P134" s="697"/>
      <c r="Q134" s="697">
        <v>0</v>
      </c>
      <c r="R134" s="294"/>
      <c r="S134" s="296">
        <f>IF(B133&gt;0,(B134/B133),)</f>
        <v>53109.389164576765</v>
      </c>
      <c r="T134" s="296">
        <f t="shared" ref="T134" si="1367">IF(C133&gt;0,(C134/C133),)</f>
        <v>34803</v>
      </c>
      <c r="U134" s="296">
        <f t="shared" ref="U134" si="1368">IF(D133&gt;0,(D134/D133),)</f>
        <v>40132.386553032411</v>
      </c>
      <c r="V134" s="296">
        <f t="shared" ref="V134" si="1369">IF(E133&gt;0,(E134/E133),)</f>
        <v>44421.137239869007</v>
      </c>
      <c r="W134" s="296">
        <f t="shared" ref="W134" si="1370">IF(F133&gt;0,(F134/F133),)</f>
        <v>43406.549004723347</v>
      </c>
      <c r="X134" s="296">
        <f t="shared" ref="X134" si="1371">IF(G133&gt;0,(G134/G133),)</f>
        <v>48333.795180722889</v>
      </c>
      <c r="Y134" s="311">
        <f t="shared" ref="Y134" si="1372">IF(H133&gt;0,(H134/H133),)</f>
        <v>43638.6902827628</v>
      </c>
      <c r="Z134" s="306">
        <f t="shared" ref="Z134" si="1373">IF(I133&gt;0,(I134/I133),)</f>
        <v>41034.088235294119</v>
      </c>
      <c r="AA134" s="296">
        <f t="shared" ref="AA134" si="1374">IF(J133&gt;0,(J134/J133),)</f>
        <v>38723.736585365856</v>
      </c>
      <c r="AB134" s="296">
        <f t="shared" ref="AB134" si="1375">IF(K133&gt;0,(K134/K133),)</f>
        <v>41536.596351592467</v>
      </c>
      <c r="AC134" s="296">
        <f t="shared" ref="AC134" si="1376">IF(L133&gt;0,(L134/L133),)</f>
        <v>37557.210526315786</v>
      </c>
      <c r="AD134" s="296">
        <f t="shared" ref="AD134" si="1377">IF(M133&gt;0,(M134/M133),)</f>
        <v>0</v>
      </c>
      <c r="AE134" s="311">
        <f t="shared" ref="AE134" si="1378">IF(N133&gt;0,(N134/N133),)</f>
        <v>39834.629163005084</v>
      </c>
      <c r="AF134" s="306">
        <f t="shared" ref="AF134" si="1379">IF(O133&gt;0,(O134/O133),)</f>
        <v>0</v>
      </c>
      <c r="AG134" s="296">
        <f t="shared" ref="AG134" si="1380">IF(P133&gt;0,(P134/P133),)</f>
        <v>0</v>
      </c>
      <c r="AH134" s="311">
        <f t="shared" ref="AH134" si="1381">IF(Q133&gt;0,(Q134/Q133),)</f>
        <v>0</v>
      </c>
      <c r="AI134" s="516"/>
      <c r="AO134" s="524"/>
      <c r="AU134" s="524"/>
      <c r="AX134" s="524"/>
    </row>
    <row r="135" spans="1:50" x14ac:dyDescent="0.2">
      <c r="A135" s="696" t="s">
        <v>1095</v>
      </c>
      <c r="B135" s="697">
        <v>102</v>
      </c>
      <c r="C135" s="697">
        <v>48</v>
      </c>
      <c r="D135" s="697">
        <v>237</v>
      </c>
      <c r="E135" s="697">
        <v>207</v>
      </c>
      <c r="F135" s="697">
        <v>66</v>
      </c>
      <c r="G135" s="697">
        <v>4</v>
      </c>
      <c r="H135" s="697">
        <v>664</v>
      </c>
      <c r="I135" s="697">
        <v>54</v>
      </c>
      <c r="J135" s="697">
        <v>197</v>
      </c>
      <c r="K135" s="697">
        <v>153</v>
      </c>
      <c r="L135" s="697">
        <v>17</v>
      </c>
      <c r="M135" s="697"/>
      <c r="N135" s="697">
        <v>421</v>
      </c>
      <c r="O135" s="697">
        <v>0</v>
      </c>
      <c r="P135" s="697"/>
      <c r="Q135" s="697">
        <v>0</v>
      </c>
      <c r="Y135" s="309"/>
      <c r="Z135" s="305"/>
      <c r="AE135" s="309"/>
      <c r="AF135" s="305"/>
      <c r="AH135" s="309"/>
      <c r="AI135" s="516"/>
      <c r="AO135" s="524"/>
      <c r="AU135" s="524"/>
      <c r="AX135" s="524"/>
    </row>
    <row r="136" spans="1:50" x14ac:dyDescent="0.2">
      <c r="A136" s="696" t="s">
        <v>1097</v>
      </c>
      <c r="B136" s="697">
        <v>5343391.4615520705</v>
      </c>
      <c r="C136" s="697">
        <v>1744034.0000000002</v>
      </c>
      <c r="D136" s="697">
        <v>10198898.72879657</v>
      </c>
      <c r="E136" s="697">
        <v>9177140.5997478925</v>
      </c>
      <c r="F136" s="697">
        <v>2121404.0355871888</v>
      </c>
      <c r="G136" s="697">
        <v>176509</v>
      </c>
      <c r="H136" s="697">
        <v>28761377.82568372</v>
      </c>
      <c r="I136" s="697">
        <v>1288132</v>
      </c>
      <c r="J136" s="697">
        <v>7693659.9999999991</v>
      </c>
      <c r="K136" s="697">
        <v>7474385.6929771751</v>
      </c>
      <c r="L136" s="697">
        <v>630585</v>
      </c>
      <c r="M136" s="697"/>
      <c r="N136" s="697">
        <v>17086762.692977175</v>
      </c>
      <c r="O136" s="697">
        <v>0</v>
      </c>
      <c r="P136" s="697"/>
      <c r="Q136" s="697">
        <v>0</v>
      </c>
      <c r="R136" s="294"/>
      <c r="S136" s="296">
        <f>IF(B135&gt;0,(B136/B135),)</f>
        <v>52386.190799530101</v>
      </c>
      <c r="T136" s="296">
        <f t="shared" ref="T136" si="1382">IF(C135&gt;0,(C136/C135),)</f>
        <v>36334.041666666672</v>
      </c>
      <c r="U136" s="296">
        <f t="shared" ref="U136" si="1383">IF(D135&gt;0,(D136/D135),)</f>
        <v>43033.32796960578</v>
      </c>
      <c r="V136" s="296">
        <f t="shared" ref="V136" si="1384">IF(E135&gt;0,(E136/E135),)</f>
        <v>44334.012559168565</v>
      </c>
      <c r="W136" s="296">
        <f t="shared" ref="W136" si="1385">IF(F135&gt;0,(F136/F135),)</f>
        <v>32142.485387684679</v>
      </c>
      <c r="X136" s="296">
        <f t="shared" ref="X136" si="1386">IF(G135&gt;0,(G136/G135),)</f>
        <v>44127.25</v>
      </c>
      <c r="Y136" s="311">
        <f t="shared" ref="Y136" si="1387">IF(H135&gt;0,(H136/H135),)</f>
        <v>43315.328050728494</v>
      </c>
      <c r="Z136" s="306">
        <f t="shared" ref="Z136" si="1388">IF(I135&gt;0,(I136/I135),)</f>
        <v>23854.296296296296</v>
      </c>
      <c r="AA136" s="296">
        <f t="shared" ref="AA136" si="1389">IF(J135&gt;0,(J136/J135),)</f>
        <v>39054.1116751269</v>
      </c>
      <c r="AB136" s="296">
        <f t="shared" ref="AB136" si="1390">IF(K135&gt;0,(K136/K135),)</f>
        <v>48852.194071746242</v>
      </c>
      <c r="AC136" s="296">
        <f t="shared" ref="AC136" si="1391">IF(L135&gt;0,(L136/L135),)</f>
        <v>37093.23529411765</v>
      </c>
      <c r="AD136" s="296">
        <f t="shared" ref="AD136" si="1392">IF(M135&gt;0,(M136/M135),)</f>
        <v>0</v>
      </c>
      <c r="AE136" s="311">
        <f t="shared" ref="AE136" si="1393">IF(N135&gt;0,(N136/N135),)</f>
        <v>40586.134662653625</v>
      </c>
      <c r="AF136" s="306">
        <f t="shared" ref="AF136" si="1394">IF(O135&gt;0,(O136/O135),)</f>
        <v>0</v>
      </c>
      <c r="AG136" s="296">
        <f t="shared" ref="AG136" si="1395">IF(P135&gt;0,(P136/P135),)</f>
        <v>0</v>
      </c>
      <c r="AH136" s="311">
        <f t="shared" ref="AH136" si="1396">IF(Q135&gt;0,(Q136/Q135),)</f>
        <v>0</v>
      </c>
      <c r="AI136" s="636">
        <f>IF(S134&gt;0,(S136-S134)/S134,)</f>
        <v>-1.3617147107559428E-2</v>
      </c>
      <c r="AJ136" s="518">
        <f t="shared" ref="AJ136" si="1397">IF(T134&gt;0,(T136-T134)/T134,)</f>
        <v>4.399165780727729E-2</v>
      </c>
      <c r="AK136" s="518">
        <f t="shared" ref="AK136" si="1398">IF(U134&gt;0,(U136-U134)/U134,)</f>
        <v>7.2284298685799761E-2</v>
      </c>
      <c r="AL136" s="518">
        <f t="shared" ref="AL136" si="1399">IF(V134&gt;0,(V136-V134)/V134,)</f>
        <v>-1.9613338629756254E-3</v>
      </c>
      <c r="AM136" s="527">
        <f t="shared" ref="AM136" si="1400">IF(W134&gt;0,(W136-W134)/W134,)</f>
        <v>-0.25950147789479766</v>
      </c>
      <c r="AN136" s="527">
        <f t="shared" ref="AN136" si="1401">IF(X134&gt;0,(X136-X134)/X134,)</f>
        <v>-8.7031137633499928E-2</v>
      </c>
      <c r="AO136" s="525">
        <f t="shared" ref="AO136" si="1402">IF(Y134&gt;0,(Y136-Y134)/Y134,)</f>
        <v>-7.4099893910435045E-3</v>
      </c>
      <c r="AP136" s="527">
        <f t="shared" ref="AP136" si="1403">IF(Z134&gt;0,(Z136-Z134)/Z134,)</f>
        <v>-0.41867122380024496</v>
      </c>
      <c r="AQ136" s="518">
        <f t="shared" ref="AQ136" si="1404">IF(AA134&gt;0,(AA136-AA134)/AA134,)</f>
        <v>8.53159118652555E-3</v>
      </c>
      <c r="AR136" s="527">
        <f t="shared" ref="AR136" si="1405">IF(AB134&gt;0,(AB136-AB134)/AB134,)</f>
        <v>0.17612414985161159</v>
      </c>
      <c r="AS136" s="518">
        <f t="shared" ref="AS136" si="1406">IF(AC134&gt;0,(AC136-AC134)/AC134,)</f>
        <v>-1.2353825688759161E-2</v>
      </c>
      <c r="AT136" s="518">
        <f t="shared" ref="AT136" si="1407">IF(AD134&gt;0,(AD136-AD134)/AD134,)</f>
        <v>0</v>
      </c>
      <c r="AU136" s="525">
        <f t="shared" ref="AU136" si="1408">IF(AE134&gt;0,(AE136-AE134)/AE134,)</f>
        <v>1.8865633129741145E-2</v>
      </c>
      <c r="AV136" s="518">
        <f t="shared" ref="AV136" si="1409">IF(AF134&gt;0,(AF136-AF134)/AF134,)</f>
        <v>0</v>
      </c>
      <c r="AW136" s="518">
        <f t="shared" ref="AW136" si="1410">IF(AG134&gt;0,(AG136-AG134)/AG134,)</f>
        <v>0</v>
      </c>
      <c r="AX136" s="525">
        <f t="shared" ref="AX136" si="1411">IF(AH134&gt;0,(AH136-AH134)/AH134,)</f>
        <v>0</v>
      </c>
    </row>
    <row r="137" spans="1:50" x14ac:dyDescent="0.2">
      <c r="A137" s="696" t="s">
        <v>1099</v>
      </c>
      <c r="B137" s="697">
        <v>298</v>
      </c>
      <c r="C137" s="697">
        <v>87</v>
      </c>
      <c r="D137" s="697">
        <v>112</v>
      </c>
      <c r="E137" s="697">
        <v>195</v>
      </c>
      <c r="F137" s="697">
        <v>65</v>
      </c>
      <c r="G137" s="697">
        <v>16</v>
      </c>
      <c r="H137" s="697">
        <v>773</v>
      </c>
      <c r="I137" s="697">
        <v>34</v>
      </c>
      <c r="J137" s="697">
        <v>20</v>
      </c>
      <c r="K137" s="697">
        <v>34</v>
      </c>
      <c r="L137" s="697">
        <v>8</v>
      </c>
      <c r="M137" s="697"/>
      <c r="N137" s="697">
        <v>96</v>
      </c>
      <c r="O137" s="697">
        <v>0</v>
      </c>
      <c r="P137" s="697"/>
      <c r="Q137" s="697">
        <v>0</v>
      </c>
      <c r="Y137" s="309"/>
      <c r="Z137" s="305"/>
      <c r="AE137" s="309"/>
      <c r="AF137" s="305"/>
      <c r="AH137" s="309"/>
      <c r="AI137" s="516"/>
      <c r="AO137" s="524"/>
      <c r="AU137" s="524"/>
      <c r="AX137" s="524"/>
    </row>
    <row r="138" spans="1:50" x14ac:dyDescent="0.2">
      <c r="A138" s="696" t="s">
        <v>1101</v>
      </c>
      <c r="B138" s="697">
        <v>15412901.475568673</v>
      </c>
      <c r="C138" s="697">
        <v>5804745.4704463212</v>
      </c>
      <c r="D138" s="697">
        <v>4785378.493150685</v>
      </c>
      <c r="E138" s="697">
        <v>9129975.3187473919</v>
      </c>
      <c r="F138" s="697">
        <v>3015127.1219512196</v>
      </c>
      <c r="G138" s="697">
        <v>717184</v>
      </c>
      <c r="H138" s="697">
        <v>38865311.87986429</v>
      </c>
      <c r="I138" s="697">
        <v>1201151</v>
      </c>
      <c r="J138" s="697">
        <v>750680.52631578944</v>
      </c>
      <c r="K138" s="697">
        <v>1161314</v>
      </c>
      <c r="L138" s="697">
        <v>318400</v>
      </c>
      <c r="M138" s="697"/>
      <c r="N138" s="697">
        <v>3431545.5263157897</v>
      </c>
      <c r="O138" s="697">
        <v>0</v>
      </c>
      <c r="P138" s="697"/>
      <c r="Q138" s="697">
        <v>0</v>
      </c>
      <c r="R138" s="294"/>
      <c r="S138" s="296">
        <f>IF(B137&gt;0,(B138/B137),)</f>
        <v>51721.145891170039</v>
      </c>
      <c r="T138" s="296">
        <f t="shared" ref="T138" si="1412">IF(C137&gt;0,(C138/C137),)</f>
        <v>66721.212303980705</v>
      </c>
      <c r="U138" s="296">
        <f t="shared" ref="U138" si="1413">IF(D137&gt;0,(D138/D137),)</f>
        <v>42726.593688845402</v>
      </c>
      <c r="V138" s="296">
        <f t="shared" ref="V138" si="1414">IF(E137&gt;0,(E138/E137),)</f>
        <v>46820.386249986623</v>
      </c>
      <c r="W138" s="296">
        <f t="shared" ref="W138" si="1415">IF(F137&gt;0,(F138/F137),)</f>
        <v>46386.571106941839</v>
      </c>
      <c r="X138" s="296">
        <f t="shared" ref="X138" si="1416">IF(G137&gt;0,(G138/G137),)</f>
        <v>44824</v>
      </c>
      <c r="Y138" s="311">
        <f t="shared" ref="Y138" si="1417">IF(H137&gt;0,(H138/H137),)</f>
        <v>50278.540594908525</v>
      </c>
      <c r="Z138" s="306">
        <f t="shared" ref="Z138" si="1418">IF(I137&gt;0,(I138/I137),)</f>
        <v>35327.970588235294</v>
      </c>
      <c r="AA138" s="296">
        <f t="shared" ref="AA138" si="1419">IF(J137&gt;0,(J138/J137),)</f>
        <v>37534.026315789473</v>
      </c>
      <c r="AB138" s="296">
        <f t="shared" ref="AB138" si="1420">IF(K137&gt;0,(K138/K137),)</f>
        <v>34156.294117647056</v>
      </c>
      <c r="AC138" s="296">
        <f t="shared" ref="AC138" si="1421">IF(L137&gt;0,(L138/L137),)</f>
        <v>39800</v>
      </c>
      <c r="AD138" s="296">
        <f t="shared" ref="AD138" si="1422">IF(M137&gt;0,(M138/M137),)</f>
        <v>0</v>
      </c>
      <c r="AE138" s="311">
        <f t="shared" ref="AE138" si="1423">IF(N137&gt;0,(N138/N137),)</f>
        <v>35745.265899122809</v>
      </c>
      <c r="AF138" s="306">
        <f t="shared" ref="AF138" si="1424">IF(O137&gt;0,(O138/O137),)</f>
        <v>0</v>
      </c>
      <c r="AG138" s="296">
        <f t="shared" ref="AG138" si="1425">IF(P137&gt;0,(P138/P137),)</f>
        <v>0</v>
      </c>
      <c r="AH138" s="311">
        <f t="shared" ref="AH138" si="1426">IF(Q137&gt;0,(Q138/Q137),)</f>
        <v>0</v>
      </c>
      <c r="AI138" s="516"/>
      <c r="AO138" s="524"/>
      <c r="AU138" s="524"/>
      <c r="AX138" s="524"/>
    </row>
    <row r="139" spans="1:50" x14ac:dyDescent="0.2">
      <c r="A139" s="696" t="s">
        <v>1103</v>
      </c>
      <c r="B139" s="697">
        <v>332</v>
      </c>
      <c r="C139" s="697">
        <v>87</v>
      </c>
      <c r="D139" s="697">
        <v>121</v>
      </c>
      <c r="E139" s="697">
        <v>223</v>
      </c>
      <c r="F139" s="697">
        <v>50</v>
      </c>
      <c r="G139" s="697">
        <v>19</v>
      </c>
      <c r="H139" s="697">
        <v>832</v>
      </c>
      <c r="I139" s="697">
        <v>10</v>
      </c>
      <c r="J139" s="697">
        <v>13</v>
      </c>
      <c r="K139" s="697">
        <v>43</v>
      </c>
      <c r="L139" s="697">
        <v>5</v>
      </c>
      <c r="M139" s="697"/>
      <c r="N139" s="697">
        <v>71</v>
      </c>
      <c r="O139" s="697">
        <v>0</v>
      </c>
      <c r="P139" s="697"/>
      <c r="Q139" s="697">
        <v>0</v>
      </c>
      <c r="Y139" s="309"/>
      <c r="Z139" s="305"/>
      <c r="AE139" s="309"/>
      <c r="AF139" s="305"/>
      <c r="AH139" s="309"/>
      <c r="AI139" s="516"/>
      <c r="AO139" s="524"/>
      <c r="AU139" s="524"/>
      <c r="AX139" s="524"/>
    </row>
    <row r="140" spans="1:50" x14ac:dyDescent="0.2">
      <c r="A140" s="696" t="s">
        <v>1105</v>
      </c>
      <c r="B140" s="697">
        <v>17499541.973712124</v>
      </c>
      <c r="C140" s="697">
        <v>5946299.4354243539</v>
      </c>
      <c r="D140" s="697">
        <v>5493732.7247058824</v>
      </c>
      <c r="E140" s="697">
        <v>10057785.054555018</v>
      </c>
      <c r="F140" s="697">
        <v>2337127</v>
      </c>
      <c r="G140" s="697">
        <v>849655.00000000012</v>
      </c>
      <c r="H140" s="697">
        <v>42184141.188397378</v>
      </c>
      <c r="I140" s="697">
        <v>322500</v>
      </c>
      <c r="J140" s="697">
        <v>528632</v>
      </c>
      <c r="K140" s="697">
        <v>1579971</v>
      </c>
      <c r="L140" s="697">
        <v>179000</v>
      </c>
      <c r="M140" s="697"/>
      <c r="N140" s="697">
        <v>2610103</v>
      </c>
      <c r="O140" s="697">
        <v>0</v>
      </c>
      <c r="P140" s="697"/>
      <c r="Q140" s="697">
        <v>0</v>
      </c>
      <c r="R140" s="294"/>
      <c r="S140" s="296">
        <f>IF(B139&gt;0,(B140/B139),)</f>
        <v>52709.46377624134</v>
      </c>
      <c r="T140" s="296">
        <f t="shared" ref="T140" si="1427">IF(C139&gt;0,(C140/C139),)</f>
        <v>68348.269372693729</v>
      </c>
      <c r="U140" s="296">
        <f t="shared" ref="U140" si="1428">IF(D139&gt;0,(D140/D139),)</f>
        <v>45402.749790957707</v>
      </c>
      <c r="V140" s="296">
        <f t="shared" ref="V140" si="1429">IF(E139&gt;0,(E140/E139),)</f>
        <v>45102.17513253371</v>
      </c>
      <c r="W140" s="296">
        <f t="shared" ref="W140" si="1430">IF(F139&gt;0,(F140/F139),)</f>
        <v>46742.54</v>
      </c>
      <c r="X140" s="296">
        <f t="shared" ref="X140" si="1431">IF(G139&gt;0,(G140/G139),)</f>
        <v>44718.68421052632</v>
      </c>
      <c r="Y140" s="311">
        <f t="shared" ref="Y140" si="1432">IF(H139&gt;0,(H140/H139),)</f>
        <v>50702.092774516081</v>
      </c>
      <c r="Z140" s="306">
        <f t="shared" ref="Z140" si="1433">IF(I139&gt;0,(I140/I139),)</f>
        <v>32250</v>
      </c>
      <c r="AA140" s="296">
        <f t="shared" ref="AA140" si="1434">IF(J139&gt;0,(J140/J139),)</f>
        <v>40664</v>
      </c>
      <c r="AB140" s="296">
        <f t="shared" ref="AB140" si="1435">IF(K139&gt;0,(K140/K139),)</f>
        <v>36743.511627906977</v>
      </c>
      <c r="AC140" s="296">
        <f t="shared" ref="AC140" si="1436">IF(L139&gt;0,(L140/L139),)</f>
        <v>35800</v>
      </c>
      <c r="AD140" s="296">
        <f t="shared" ref="AD140" si="1437">IF(M139&gt;0,(M140/M139),)</f>
        <v>0</v>
      </c>
      <c r="AE140" s="311">
        <f t="shared" ref="AE140" si="1438">IF(N139&gt;0,(N140/N139),)</f>
        <v>36762.014084507042</v>
      </c>
      <c r="AF140" s="306">
        <f t="shared" ref="AF140" si="1439">IF(O139&gt;0,(O140/O139),)</f>
        <v>0</v>
      </c>
      <c r="AG140" s="296">
        <f t="shared" ref="AG140" si="1440">IF(P139&gt;0,(P140/P139),)</f>
        <v>0</v>
      </c>
      <c r="AH140" s="311">
        <f t="shared" ref="AH140" si="1441">IF(Q139&gt;0,(Q140/Q139),)</f>
        <v>0</v>
      </c>
      <c r="AI140" s="517">
        <f>IF(S138&gt;0,(S140-S138)/S138,)</f>
        <v>1.9108584468543827E-2</v>
      </c>
      <c r="AJ140" s="518">
        <f t="shared" ref="AJ140" si="1442">IF(T138&gt;0,(T140-T138)/T138,)</f>
        <v>2.4385903860681964E-2</v>
      </c>
      <c r="AK140" s="518">
        <f t="shared" ref="AK140" si="1443">IF(U138&gt;0,(U140-U138)/U138,)</f>
        <v>6.263443609854083E-2</v>
      </c>
      <c r="AL140" s="518">
        <f t="shared" ref="AL140" si="1444">IF(V138&gt;0,(V140-V138)/V138,)</f>
        <v>-3.6697927015785857E-2</v>
      </c>
      <c r="AM140" s="518">
        <f t="shared" ref="AM140" si="1445">IF(W138&gt;0,(W140-W138)/W138,)</f>
        <v>7.6739643513958735E-3</v>
      </c>
      <c r="AN140" s="518">
        <f t="shared" ref="AN140" si="1446">IF(X138&gt;0,(X140-X138)/X138,)</f>
        <v>-2.3495401899357401E-3</v>
      </c>
      <c r="AO140" s="525">
        <f t="shared" ref="AO140" si="1447">IF(Y138&gt;0,(Y140-Y138)/Y138,)</f>
        <v>8.4241144352238135E-3</v>
      </c>
      <c r="AP140" s="527">
        <f t="shared" ref="AP140" si="1448">IF(Z138&gt;0,(Z140-Z138)/Z138,)</f>
        <v>-8.7125598696583512E-2</v>
      </c>
      <c r="AQ140" s="527">
        <f t="shared" ref="AQ140" si="1449">IF(AA138&gt;0,(AA140-AA138)/AA138,)</f>
        <v>8.3390299188175226E-2</v>
      </c>
      <c r="AR140" s="527">
        <f t="shared" ref="AR140" si="1450">IF(AB138&gt;0,(AB140-AB138)/AB138,)</f>
        <v>7.5746434942519703E-2</v>
      </c>
      <c r="AS140" s="527">
        <f t="shared" ref="AS140" si="1451">IF(AC138&gt;0,(AC140-AC138)/AC138,)</f>
        <v>-0.10050251256281408</v>
      </c>
      <c r="AT140" s="518">
        <f t="shared" ref="AT140" si="1452">IF(AD138&gt;0,(AD140-AD138)/AD138,)</f>
        <v>0</v>
      </c>
      <c r="AU140" s="525">
        <f t="shared" ref="AU140" si="1453">IF(AE138&gt;0,(AE140-AE138)/AE138,)</f>
        <v>2.8444275341344818E-2</v>
      </c>
      <c r="AV140" s="518">
        <f t="shared" ref="AV140" si="1454">IF(AF138&gt;0,(AF140-AF138)/AF138,)</f>
        <v>0</v>
      </c>
      <c r="AW140" s="518">
        <f t="shared" ref="AW140" si="1455">IF(AG138&gt;0,(AG140-AG138)/AG138,)</f>
        <v>0</v>
      </c>
      <c r="AX140" s="525">
        <f t="shared" ref="AX140" si="1456">IF(AH138&gt;0,(AH140-AH138)/AH138,)</f>
        <v>0</v>
      </c>
    </row>
    <row r="141" spans="1:50" x14ac:dyDescent="0.2">
      <c r="A141" s="696" t="s">
        <v>1107</v>
      </c>
      <c r="B141" s="697">
        <v>0</v>
      </c>
      <c r="C141" s="697">
        <v>0</v>
      </c>
      <c r="D141" s="697">
        <v>0</v>
      </c>
      <c r="E141" s="697">
        <v>0</v>
      </c>
      <c r="F141" s="697">
        <v>0</v>
      </c>
      <c r="G141" s="697">
        <v>0</v>
      </c>
      <c r="H141" s="697">
        <v>0</v>
      </c>
      <c r="I141" s="697">
        <v>0</v>
      </c>
      <c r="J141" s="697">
        <v>0</v>
      </c>
      <c r="K141" s="697">
        <v>0</v>
      </c>
      <c r="L141" s="697">
        <v>0</v>
      </c>
      <c r="M141" s="697"/>
      <c r="N141" s="697">
        <v>0</v>
      </c>
      <c r="O141" s="697">
        <v>2288</v>
      </c>
      <c r="P141" s="697"/>
      <c r="Q141" s="697">
        <v>2288</v>
      </c>
      <c r="Y141" s="309"/>
      <c r="Z141" s="305"/>
      <c r="AE141" s="309"/>
      <c r="AF141" s="305"/>
      <c r="AH141" s="309"/>
      <c r="AI141" s="516"/>
      <c r="AO141" s="524"/>
      <c r="AU141" s="524"/>
      <c r="AX141" s="524"/>
    </row>
    <row r="142" spans="1:50" x14ac:dyDescent="0.2">
      <c r="A142" s="696" t="s">
        <v>1109</v>
      </c>
      <c r="B142" s="697">
        <v>0</v>
      </c>
      <c r="C142" s="697">
        <v>0</v>
      </c>
      <c r="D142" s="697">
        <v>0</v>
      </c>
      <c r="E142" s="697">
        <v>0</v>
      </c>
      <c r="F142" s="697">
        <v>0</v>
      </c>
      <c r="G142" s="697">
        <v>0</v>
      </c>
      <c r="H142" s="697">
        <v>0</v>
      </c>
      <c r="I142" s="697">
        <v>0</v>
      </c>
      <c r="J142" s="697">
        <v>0</v>
      </c>
      <c r="K142" s="697">
        <v>0</v>
      </c>
      <c r="L142" s="697">
        <v>0</v>
      </c>
      <c r="M142" s="697"/>
      <c r="N142" s="697">
        <v>0</v>
      </c>
      <c r="O142" s="697">
        <v>102236662.79078051</v>
      </c>
      <c r="P142" s="697"/>
      <c r="Q142" s="697">
        <v>102236662.79078051</v>
      </c>
      <c r="R142" s="294"/>
      <c r="S142" s="296">
        <f>IF(B141&gt;0,(B142/B141),)</f>
        <v>0</v>
      </c>
      <c r="T142" s="296">
        <f t="shared" ref="T142" si="1457">IF(C141&gt;0,(C142/C141),)</f>
        <v>0</v>
      </c>
      <c r="U142" s="296">
        <f t="shared" ref="U142" si="1458">IF(D141&gt;0,(D142/D141),)</f>
        <v>0</v>
      </c>
      <c r="V142" s="296">
        <f t="shared" ref="V142" si="1459">IF(E141&gt;0,(E142/E141),)</f>
        <v>0</v>
      </c>
      <c r="W142" s="296">
        <f t="shared" ref="W142" si="1460">IF(F141&gt;0,(F142/F141),)</f>
        <v>0</v>
      </c>
      <c r="X142" s="296">
        <f t="shared" ref="X142" si="1461">IF(G141&gt;0,(G142/G141),)</f>
        <v>0</v>
      </c>
      <c r="Y142" s="311">
        <f t="shared" ref="Y142" si="1462">IF(H141&gt;0,(H142/H141),)</f>
        <v>0</v>
      </c>
      <c r="Z142" s="306">
        <f t="shared" ref="Z142" si="1463">IF(I141&gt;0,(I142/I141),)</f>
        <v>0</v>
      </c>
      <c r="AA142" s="296">
        <f t="shared" ref="AA142" si="1464">IF(J141&gt;0,(J142/J141),)</f>
        <v>0</v>
      </c>
      <c r="AB142" s="296">
        <f t="shared" ref="AB142" si="1465">IF(K141&gt;0,(K142/K141),)</f>
        <v>0</v>
      </c>
      <c r="AC142" s="296">
        <f t="shared" ref="AC142" si="1466">IF(L141&gt;0,(L142/L141),)</f>
        <v>0</v>
      </c>
      <c r="AD142" s="296">
        <f t="shared" ref="AD142" si="1467">IF(M141&gt;0,(M142/M141),)</f>
        <v>0</v>
      </c>
      <c r="AE142" s="311">
        <f t="shared" ref="AE142" si="1468">IF(N141&gt;0,(N142/N141),)</f>
        <v>0</v>
      </c>
      <c r="AF142" s="306">
        <f t="shared" ref="AF142" si="1469">IF(O141&gt;0,(O142/O141),)</f>
        <v>44683.856114851624</v>
      </c>
      <c r="AG142" s="296">
        <f t="shared" ref="AG142" si="1470">IF(P141&gt;0,(P142/P141),)</f>
        <v>0</v>
      </c>
      <c r="AH142" s="311">
        <f t="shared" ref="AH142" si="1471">IF(Q141&gt;0,(Q142/Q141),)</f>
        <v>44683.856114851624</v>
      </c>
      <c r="AI142" s="516"/>
      <c r="AO142" s="524"/>
      <c r="AU142" s="524"/>
      <c r="AX142" s="524"/>
    </row>
    <row r="143" spans="1:50" x14ac:dyDescent="0.2">
      <c r="A143" s="696" t="s">
        <v>1111</v>
      </c>
      <c r="B143" s="697">
        <v>0</v>
      </c>
      <c r="C143" s="697">
        <v>0</v>
      </c>
      <c r="D143" s="697">
        <v>0</v>
      </c>
      <c r="E143" s="697">
        <v>0</v>
      </c>
      <c r="F143" s="697">
        <v>0</v>
      </c>
      <c r="G143" s="697">
        <v>0</v>
      </c>
      <c r="H143" s="697">
        <v>0</v>
      </c>
      <c r="I143" s="697">
        <v>0</v>
      </c>
      <c r="J143" s="697">
        <v>0</v>
      </c>
      <c r="K143" s="697">
        <v>0</v>
      </c>
      <c r="L143" s="697">
        <v>0</v>
      </c>
      <c r="M143" s="697"/>
      <c r="N143" s="697">
        <v>0</v>
      </c>
      <c r="O143" s="697">
        <v>2167</v>
      </c>
      <c r="P143" s="697"/>
      <c r="Q143" s="697">
        <v>2167</v>
      </c>
      <c r="Y143" s="309"/>
      <c r="Z143" s="305"/>
      <c r="AE143" s="309"/>
      <c r="AF143" s="305"/>
      <c r="AH143" s="309"/>
      <c r="AI143" s="516"/>
      <c r="AO143" s="524"/>
      <c r="AU143" s="524"/>
      <c r="AX143" s="524"/>
    </row>
    <row r="144" spans="1:50" x14ac:dyDescent="0.2">
      <c r="A144" s="696" t="s">
        <v>1113</v>
      </c>
      <c r="B144" s="697">
        <v>0</v>
      </c>
      <c r="C144" s="697">
        <v>0</v>
      </c>
      <c r="D144" s="697">
        <v>0</v>
      </c>
      <c r="E144" s="697">
        <v>0</v>
      </c>
      <c r="F144" s="697">
        <v>0</v>
      </c>
      <c r="G144" s="697">
        <v>0</v>
      </c>
      <c r="H144" s="697">
        <v>0</v>
      </c>
      <c r="I144" s="697">
        <v>0</v>
      </c>
      <c r="J144" s="697">
        <v>0</v>
      </c>
      <c r="K144" s="697">
        <v>0</v>
      </c>
      <c r="L144" s="697">
        <v>0</v>
      </c>
      <c r="M144" s="697"/>
      <c r="N144" s="697">
        <v>0</v>
      </c>
      <c r="O144" s="697">
        <v>90105716.361050621</v>
      </c>
      <c r="P144" s="697"/>
      <c r="Q144" s="697">
        <v>90105716.361050621</v>
      </c>
      <c r="R144" s="294"/>
      <c r="S144" s="296">
        <f>IF(B143&gt;0,(B144/B143),)</f>
        <v>0</v>
      </c>
      <c r="T144" s="296">
        <f t="shared" ref="T144" si="1472">IF(C143&gt;0,(C144/C143),)</f>
        <v>0</v>
      </c>
      <c r="U144" s="296">
        <f t="shared" ref="U144" si="1473">IF(D143&gt;0,(D144/D143),)</f>
        <v>0</v>
      </c>
      <c r="V144" s="296">
        <f t="shared" ref="V144" si="1474">IF(E143&gt;0,(E144/E143),)</f>
        <v>0</v>
      </c>
      <c r="W144" s="296">
        <f t="shared" ref="W144" si="1475">IF(F143&gt;0,(F144/F143),)</f>
        <v>0</v>
      </c>
      <c r="X144" s="296">
        <f t="shared" ref="X144" si="1476">IF(G143&gt;0,(G144/G143),)</f>
        <v>0</v>
      </c>
      <c r="Y144" s="311">
        <f t="shared" ref="Y144" si="1477">IF(H143&gt;0,(H144/H143),)</f>
        <v>0</v>
      </c>
      <c r="Z144" s="306">
        <f t="shared" ref="Z144" si="1478">IF(I143&gt;0,(I144/I143),)</f>
        <v>0</v>
      </c>
      <c r="AA144" s="296">
        <f t="shared" ref="AA144" si="1479">IF(J143&gt;0,(J144/J143),)</f>
        <v>0</v>
      </c>
      <c r="AB144" s="296">
        <f t="shared" ref="AB144" si="1480">IF(K143&gt;0,(K144/K143),)</f>
        <v>0</v>
      </c>
      <c r="AC144" s="296">
        <f t="shared" ref="AC144" si="1481">IF(L143&gt;0,(L144/L143),)</f>
        <v>0</v>
      </c>
      <c r="AD144" s="296">
        <f t="shared" ref="AD144" si="1482">IF(M143&gt;0,(M144/M143),)</f>
        <v>0</v>
      </c>
      <c r="AE144" s="311">
        <f t="shared" ref="AE144" si="1483">IF(N143&gt;0,(N144/N143),)</f>
        <v>0</v>
      </c>
      <c r="AF144" s="306">
        <f t="shared" ref="AF144" si="1484">IF(O143&gt;0,(O144/O143),)</f>
        <v>41580.85665023102</v>
      </c>
      <c r="AG144" s="296">
        <f t="shared" ref="AG144" si="1485">IF(P143&gt;0,(P144/P143),)</f>
        <v>0</v>
      </c>
      <c r="AH144" s="311">
        <f t="shared" ref="AH144" si="1486">IF(Q143&gt;0,(Q144/Q143),)</f>
        <v>41580.85665023102</v>
      </c>
      <c r="AI144" s="517">
        <f>IF(S142&gt;0,(S144-S142)/S142,)</f>
        <v>0</v>
      </c>
      <c r="AJ144" s="518">
        <f t="shared" ref="AJ144" si="1487">IF(T142&gt;0,(T144-T142)/T142,)</f>
        <v>0</v>
      </c>
      <c r="AK144" s="518">
        <f t="shared" ref="AK144" si="1488">IF(U142&gt;0,(U144-U142)/U142,)</f>
        <v>0</v>
      </c>
      <c r="AL144" s="518">
        <f t="shared" ref="AL144" si="1489">IF(V142&gt;0,(V144-V142)/V142,)</f>
        <v>0</v>
      </c>
      <c r="AM144" s="518">
        <f t="shared" ref="AM144" si="1490">IF(W142&gt;0,(W144-W142)/W142,)</f>
        <v>0</v>
      </c>
      <c r="AN144" s="518">
        <f t="shared" ref="AN144" si="1491">IF(X142&gt;0,(X144-X142)/X142,)</f>
        <v>0</v>
      </c>
      <c r="AO144" s="525">
        <f t="shared" ref="AO144" si="1492">IF(Y142&gt;0,(Y144-Y142)/Y142,)</f>
        <v>0</v>
      </c>
      <c r="AP144" s="518">
        <f t="shared" ref="AP144" si="1493">IF(Z142&gt;0,(Z144-Z142)/Z142,)</f>
        <v>0</v>
      </c>
      <c r="AQ144" s="518">
        <f t="shared" ref="AQ144" si="1494">IF(AA142&gt;0,(AA144-AA142)/AA142,)</f>
        <v>0</v>
      </c>
      <c r="AR144" s="518">
        <f t="shared" ref="AR144" si="1495">IF(AB142&gt;0,(AB144-AB142)/AB142,)</f>
        <v>0</v>
      </c>
      <c r="AS144" s="518">
        <f t="shared" ref="AS144" si="1496">IF(AC142&gt;0,(AC144-AC142)/AC142,)</f>
        <v>0</v>
      </c>
      <c r="AT144" s="518">
        <f t="shared" ref="AT144" si="1497">IF(AD142&gt;0,(AD144-AD142)/AD142,)</f>
        <v>0</v>
      </c>
      <c r="AU144" s="525">
        <f t="shared" ref="AU144" si="1498">IF(AE142&gt;0,(AE144-AE142)/AE142,)</f>
        <v>0</v>
      </c>
      <c r="AV144" s="527">
        <f t="shared" ref="AV144" si="1499">IF(AF142&gt;0,(AF144-AF142)/AF142,)</f>
        <v>-6.9443412776303698E-2</v>
      </c>
      <c r="AW144" s="518">
        <f t="shared" ref="AW144" si="1500">IF(AG142&gt;0,(AG144-AG142)/AG142,)</f>
        <v>0</v>
      </c>
      <c r="AX144" s="525">
        <f t="shared" ref="AX144" si="1501">IF(AH142&gt;0,(AH144-AH142)/AH142,)</f>
        <v>-6.9443412776303698E-2</v>
      </c>
    </row>
    <row r="145" spans="1:50" x14ac:dyDescent="0.2">
      <c r="A145" s="696" t="s">
        <v>1115</v>
      </c>
      <c r="B145" s="697">
        <v>2884</v>
      </c>
      <c r="C145" s="697">
        <v>1028</v>
      </c>
      <c r="D145" s="697">
        <v>1702</v>
      </c>
      <c r="E145" s="697">
        <v>2210</v>
      </c>
      <c r="F145" s="697">
        <v>635</v>
      </c>
      <c r="G145" s="697">
        <v>471</v>
      </c>
      <c r="H145" s="697">
        <v>8930</v>
      </c>
      <c r="I145" s="697">
        <v>467</v>
      </c>
      <c r="J145" s="697">
        <v>573</v>
      </c>
      <c r="K145" s="697">
        <v>730</v>
      </c>
      <c r="L145" s="697">
        <v>64</v>
      </c>
      <c r="M145" s="697"/>
      <c r="N145" s="697">
        <v>1834</v>
      </c>
      <c r="O145" s="697">
        <v>2288</v>
      </c>
      <c r="P145" s="697"/>
      <c r="Q145" s="697">
        <v>2288</v>
      </c>
      <c r="Y145" s="309"/>
      <c r="Z145" s="305"/>
      <c r="AE145" s="309"/>
      <c r="AF145" s="305"/>
      <c r="AH145" s="309"/>
      <c r="AI145" s="516"/>
      <c r="AO145" s="524"/>
      <c r="AU145" s="524"/>
      <c r="AX145" s="524"/>
    </row>
    <row r="146" spans="1:50" x14ac:dyDescent="0.2">
      <c r="A146" s="696" t="s">
        <v>1117</v>
      </c>
      <c r="B146" s="697">
        <v>240528727.50668132</v>
      </c>
      <c r="C146" s="697">
        <v>110164634.77493632</v>
      </c>
      <c r="D146" s="697">
        <v>101231539.38326812</v>
      </c>
      <c r="E146" s="697">
        <v>130752629.47361667</v>
      </c>
      <c r="F146" s="697">
        <v>36833422.634367168</v>
      </c>
      <c r="G146" s="697">
        <v>28305810.70479393</v>
      </c>
      <c r="H146" s="697">
        <v>647816764.47766352</v>
      </c>
      <c r="I146" s="697">
        <v>23425789.580311611</v>
      </c>
      <c r="J146" s="697">
        <v>25930342.739154082</v>
      </c>
      <c r="K146" s="697">
        <v>33592627.264299415</v>
      </c>
      <c r="L146" s="697">
        <v>2737725</v>
      </c>
      <c r="M146" s="697"/>
      <c r="N146" s="697">
        <v>85686484.583765119</v>
      </c>
      <c r="O146" s="697">
        <v>102236662.79078051</v>
      </c>
      <c r="P146" s="697"/>
      <c r="Q146" s="697">
        <v>102236662.79078051</v>
      </c>
      <c r="R146" s="294"/>
      <c r="S146" s="296">
        <f>IF(B145&gt;0,(B146/B145),)</f>
        <v>83401.084433662036</v>
      </c>
      <c r="T146" s="296">
        <f t="shared" ref="T146" si="1502">IF(C145&gt;0,(C146/C145),)</f>
        <v>107164.04160986023</v>
      </c>
      <c r="U146" s="296">
        <f t="shared" ref="U146" si="1503">IF(D145&gt;0,(D146/D145),)</f>
        <v>59477.990236937789</v>
      </c>
      <c r="V146" s="296">
        <f t="shared" ref="V146" si="1504">IF(E145&gt;0,(E146/E145),)</f>
        <v>59164.085734668181</v>
      </c>
      <c r="W146" s="296">
        <f t="shared" ref="W146" si="1505">IF(F145&gt;0,(F146/F145),)</f>
        <v>58005.389975381368</v>
      </c>
      <c r="X146" s="296">
        <f t="shared" ref="X146" si="1506">IF(G145&gt;0,(G146/G145),)</f>
        <v>60097.262642874586</v>
      </c>
      <c r="Y146" s="311">
        <f t="shared" ref="Y146" si="1507">IF(H145&gt;0,(H146/H145),)</f>
        <v>72543.870602201961</v>
      </c>
      <c r="Z146" s="306">
        <f t="shared" ref="Z146" si="1508">IF(I145&gt;0,(I146/I145),)</f>
        <v>50162.290321866407</v>
      </c>
      <c r="AA146" s="296">
        <f t="shared" ref="AA146" si="1509">IF(J145&gt;0,(J146/J145),)</f>
        <v>45253.652249832601</v>
      </c>
      <c r="AB146" s="296">
        <f t="shared" ref="AB146" si="1510">IF(K145&gt;0,(K146/K145),)</f>
        <v>46017.297622327969</v>
      </c>
      <c r="AC146" s="296">
        <f t="shared" ref="AC146" si="1511">IF(L145&gt;0,(L146/L145),)</f>
        <v>42776.953125</v>
      </c>
      <c r="AD146" s="296">
        <f t="shared" ref="AD146" si="1512">IF(M145&gt;0,(M146/M145),)</f>
        <v>0</v>
      </c>
      <c r="AE146" s="311">
        <f t="shared" ref="AE146" si="1513">IF(N145&gt;0,(N146/N145),)</f>
        <v>46721.093011867568</v>
      </c>
      <c r="AF146" s="306">
        <f t="shared" ref="AF146" si="1514">IF(O145&gt;0,(O146/O145),)</f>
        <v>44683.856114851624</v>
      </c>
      <c r="AG146" s="296">
        <f t="shared" ref="AG146" si="1515">IF(P145&gt;0,(P146/P145),)</f>
        <v>0</v>
      </c>
      <c r="AH146" s="311">
        <f t="shared" ref="AH146" si="1516">IF(Q145&gt;0,(Q146/Q145),)</f>
        <v>44683.856114851624</v>
      </c>
      <c r="AI146" s="516"/>
      <c r="AO146" s="524"/>
      <c r="AU146" s="524"/>
      <c r="AX146" s="524"/>
    </row>
    <row r="147" spans="1:50" x14ac:dyDescent="0.2">
      <c r="A147" s="696" t="s">
        <v>1119</v>
      </c>
      <c r="B147" s="697">
        <v>2979</v>
      </c>
      <c r="C147" s="697">
        <v>1043</v>
      </c>
      <c r="D147" s="697">
        <v>1688</v>
      </c>
      <c r="E147" s="697">
        <v>2154</v>
      </c>
      <c r="F147" s="697">
        <v>535</v>
      </c>
      <c r="G147" s="697">
        <v>518</v>
      </c>
      <c r="H147" s="697">
        <v>8917</v>
      </c>
      <c r="I147" s="697">
        <v>439</v>
      </c>
      <c r="J147" s="697">
        <v>488</v>
      </c>
      <c r="K147" s="697">
        <v>712</v>
      </c>
      <c r="L147" s="697">
        <v>61</v>
      </c>
      <c r="M147" s="697"/>
      <c r="N147" s="697">
        <v>1700</v>
      </c>
      <c r="O147" s="697">
        <v>2167</v>
      </c>
      <c r="P147" s="697"/>
      <c r="Q147" s="697">
        <v>2167</v>
      </c>
      <c r="Y147" s="309"/>
      <c r="Z147" s="305"/>
      <c r="AE147" s="309"/>
      <c r="AF147" s="305"/>
      <c r="AH147" s="309"/>
      <c r="AI147" s="516"/>
      <c r="AO147" s="524"/>
      <c r="AU147" s="524"/>
      <c r="AX147" s="524"/>
    </row>
    <row r="148" spans="1:50" ht="13.5" thickBot="1" x14ac:dyDescent="0.25">
      <c r="A148" s="701" t="s">
        <v>1121</v>
      </c>
      <c r="B148" s="702">
        <v>251470947.90639907</v>
      </c>
      <c r="C148" s="702">
        <v>113933117.44924033</v>
      </c>
      <c r="D148" s="702">
        <v>104007783.66654438</v>
      </c>
      <c r="E148" s="702">
        <v>128706546.51111497</v>
      </c>
      <c r="F148" s="702">
        <v>29724646.336389579</v>
      </c>
      <c r="G148" s="702">
        <v>30175192.577388879</v>
      </c>
      <c r="H148" s="702">
        <v>658018234.44707716</v>
      </c>
      <c r="I148" s="702">
        <v>21006311.813186813</v>
      </c>
      <c r="J148" s="702">
        <v>22775887</v>
      </c>
      <c r="K148" s="702">
        <v>34054732.654097937</v>
      </c>
      <c r="L148" s="702">
        <v>2637114</v>
      </c>
      <c r="M148" s="702"/>
      <c r="N148" s="702">
        <v>80474045.467284739</v>
      </c>
      <c r="O148" s="702">
        <v>90105716.361050621</v>
      </c>
      <c r="P148" s="702"/>
      <c r="Q148" s="702">
        <v>90105716.361050621</v>
      </c>
      <c r="S148" s="302">
        <f>IF(B147&gt;0,(B148/B147),)</f>
        <v>84414.551160254807</v>
      </c>
      <c r="T148" s="302">
        <f t="shared" ref="T148" si="1517">IF(C147&gt;0,(C148/C147),)</f>
        <v>109235.9707087635</v>
      </c>
      <c r="U148" s="302">
        <f t="shared" ref="U148" si="1518">IF(D147&gt;0,(D148/D147),)</f>
        <v>61615.98558444572</v>
      </c>
      <c r="V148" s="302">
        <f t="shared" ref="V148" si="1519">IF(E147&gt;0,(E148/E147),)</f>
        <v>59752.342855670831</v>
      </c>
      <c r="W148" s="302">
        <f t="shared" ref="W148" si="1520">IF(F147&gt;0,(F148/F147),)</f>
        <v>55560.08661007398</v>
      </c>
      <c r="X148" s="302">
        <f t="shared" ref="X148" si="1521">IF(G147&gt;0,(G148/G147),)</f>
        <v>58253.267523916751</v>
      </c>
      <c r="Y148" s="312">
        <f t="shared" ref="Y148" si="1522">IF(H147&gt;0,(H148/H147),)</f>
        <v>73793.67886588283</v>
      </c>
      <c r="Z148" s="307">
        <f t="shared" ref="Z148" si="1523">IF(I147&gt;0,(I148/I147),)</f>
        <v>47850.368594958571</v>
      </c>
      <c r="AA148" s="302">
        <f t="shared" ref="AA148" si="1524">IF(J147&gt;0,(J148/J147),)</f>
        <v>46671.899590163935</v>
      </c>
      <c r="AB148" s="302">
        <f t="shared" ref="AB148" si="1525">IF(K147&gt;0,(K148/K147),)</f>
        <v>47829.68069395778</v>
      </c>
      <c r="AC148" s="302">
        <f t="shared" ref="AC148" si="1526">IF(L147&gt;0,(L148/L147),)</f>
        <v>43231.37704918033</v>
      </c>
      <c r="AD148" s="302">
        <f t="shared" ref="AD148" si="1527">IF(M147&gt;0,(M148/M147),)</f>
        <v>0</v>
      </c>
      <c r="AE148" s="312">
        <f t="shared" ref="AE148" si="1528">IF(N147&gt;0,(N148/N147),)</f>
        <v>47337.673804285143</v>
      </c>
      <c r="AF148" s="307">
        <f t="shared" ref="AF148" si="1529">IF(O147&gt;0,(O148/O147),)</f>
        <v>41580.85665023102</v>
      </c>
      <c r="AG148" s="302">
        <f t="shared" ref="AG148" si="1530">IF(P147&gt;0,(P148/P147),)</f>
        <v>0</v>
      </c>
      <c r="AH148" s="312">
        <f t="shared" ref="AH148" si="1531">IF(Q147&gt;0,(Q148/Q147),)</f>
        <v>41580.85665023102</v>
      </c>
      <c r="AI148" s="519">
        <f>IF(S146&gt;0,(S148-S146)/S146,)</f>
        <v>1.2151721209319424E-2</v>
      </c>
      <c r="AJ148" s="520">
        <f t="shared" ref="AJ148" si="1532">IF(T146&gt;0,(T148-T146)/T146,)</f>
        <v>1.9334182135891324E-2</v>
      </c>
      <c r="AK148" s="520">
        <f t="shared" ref="AK148" si="1533">IF(U146&gt;0,(U148-U146)/U146,)</f>
        <v>3.5945991769240473E-2</v>
      </c>
      <c r="AL148" s="520">
        <f t="shared" ref="AL148" si="1534">IF(V146&gt;0,(V148-V146)/V146,)</f>
        <v>9.9428075951480781E-3</v>
      </c>
      <c r="AM148" s="520">
        <f t="shared" ref="AM148" si="1535">IF(W146&gt;0,(W148-W146)/W146,)</f>
        <v>-4.2156485222239214E-2</v>
      </c>
      <c r="AN148" s="520">
        <f t="shared" ref="AN148" si="1536">IF(X146&gt;0,(X148-X146)/X146,)</f>
        <v>-3.0683512657068878E-2</v>
      </c>
      <c r="AO148" s="526">
        <f t="shared" ref="AO148" si="1537">IF(Y146&gt;0,(Y148-Y146)/Y146,)</f>
        <v>1.7228309618799585E-2</v>
      </c>
      <c r="AP148" s="520">
        <f t="shared" ref="AP148" si="1538">IF(Z146&gt;0,(Z148-Z146)/Z146,)</f>
        <v>-4.608883908755735E-2</v>
      </c>
      <c r="AQ148" s="520">
        <f t="shared" ref="AQ148" si="1539">IF(AA146&gt;0,(AA148-AA146)/AA146,)</f>
        <v>3.1339953126912103E-2</v>
      </c>
      <c r="AR148" s="520">
        <f t="shared" ref="AR148" si="1540">IF(AB146&gt;0,(AB148-AB146)/AB146,)</f>
        <v>3.9384821909890413E-2</v>
      </c>
      <c r="AS148" s="520">
        <f t="shared" ref="AS148" si="1541">IF(AC146&gt;0,(AC148-AC146)/AC146,)</f>
        <v>1.0623101716768888E-2</v>
      </c>
      <c r="AT148" s="520">
        <f t="shared" ref="AT148" si="1542">IF(AD146&gt;0,(AD148-AD146)/AD146,)</f>
        <v>0</v>
      </c>
      <c r="AU148" s="526">
        <f t="shared" ref="AU148" si="1543">IF(AE146&gt;0,(AE148-AE146)/AE146,)</f>
        <v>1.3197054107038083E-2</v>
      </c>
      <c r="AV148" s="520">
        <f t="shared" ref="AV148" si="1544">IF(AF146&gt;0,(AF148-AF146)/AF146,)</f>
        <v>-6.9443412776303698E-2</v>
      </c>
      <c r="AW148" s="520">
        <f t="shared" ref="AW148" si="1545">IF(AG146&gt;0,(AG148-AG146)/AG146,)</f>
        <v>0</v>
      </c>
      <c r="AX148" s="526">
        <f t="shared" ref="AX148" si="1546">IF(AH146&gt;0,(AH148-AH146)/AH146,)</f>
        <v>-6.9443412776303698E-2</v>
      </c>
    </row>
    <row r="149" spans="1:50" x14ac:dyDescent="0.2">
      <c r="A149" s="695" t="s">
        <v>36</v>
      </c>
      <c r="B149" s="697"/>
      <c r="C149" s="697"/>
      <c r="D149" s="697"/>
      <c r="E149" s="697"/>
      <c r="F149" s="697"/>
      <c r="G149" s="697"/>
      <c r="H149" s="697"/>
      <c r="I149" s="697"/>
      <c r="J149" s="697"/>
      <c r="K149" s="697"/>
      <c r="L149" s="697"/>
      <c r="M149" s="697"/>
      <c r="N149" s="697"/>
      <c r="O149" s="697"/>
      <c r="P149" s="697"/>
      <c r="Q149" s="697"/>
      <c r="Y149" s="309"/>
      <c r="Z149" s="305"/>
      <c r="AE149" s="309"/>
      <c r="AF149" s="305"/>
      <c r="AH149" s="309"/>
      <c r="AI149" s="516"/>
      <c r="AO149" s="524"/>
      <c r="AU149" s="524"/>
      <c r="AX149" s="524"/>
    </row>
    <row r="150" spans="1:50" x14ac:dyDescent="0.2">
      <c r="A150" s="696" t="s">
        <v>1067</v>
      </c>
      <c r="B150" s="697">
        <v>774</v>
      </c>
      <c r="C150" s="697"/>
      <c r="D150" s="697">
        <v>455</v>
      </c>
      <c r="E150" s="697">
        <v>111</v>
      </c>
      <c r="F150" s="697"/>
      <c r="G150" s="697"/>
      <c r="H150" s="697">
        <v>1340</v>
      </c>
      <c r="I150" s="697"/>
      <c r="J150" s="697">
        <v>158</v>
      </c>
      <c r="K150" s="697">
        <v>420</v>
      </c>
      <c r="L150" s="697">
        <v>25</v>
      </c>
      <c r="M150" s="697"/>
      <c r="N150" s="697">
        <v>603</v>
      </c>
      <c r="O150" s="697">
        <v>12</v>
      </c>
      <c r="P150" s="697"/>
      <c r="Q150" s="697">
        <v>12</v>
      </c>
      <c r="S150" s="295"/>
      <c r="T150" s="295"/>
      <c r="U150" s="295"/>
      <c r="V150" s="295"/>
      <c r="W150" s="295"/>
      <c r="X150" s="295"/>
      <c r="Y150" s="310"/>
      <c r="Z150" s="305"/>
      <c r="AA150" s="295"/>
      <c r="AB150" s="295"/>
      <c r="AC150" s="295"/>
      <c r="AD150" s="295"/>
      <c r="AE150" s="310"/>
      <c r="AF150" s="305"/>
      <c r="AG150" s="295"/>
      <c r="AH150" s="310"/>
      <c r="AI150" s="516"/>
      <c r="AO150" s="524"/>
      <c r="AU150" s="524"/>
      <c r="AX150" s="524"/>
    </row>
    <row r="151" spans="1:50" x14ac:dyDescent="0.2">
      <c r="A151" s="696" t="s">
        <v>1069</v>
      </c>
      <c r="B151" s="697">
        <v>82639420.915951759</v>
      </c>
      <c r="C151" s="697"/>
      <c r="D151" s="697">
        <v>37306634.307925619</v>
      </c>
      <c r="E151" s="697">
        <v>10086744.104041334</v>
      </c>
      <c r="F151" s="697"/>
      <c r="G151" s="697"/>
      <c r="H151" s="697">
        <v>130032799.32791871</v>
      </c>
      <c r="I151" s="697"/>
      <c r="J151" s="697">
        <v>9560332.928390393</v>
      </c>
      <c r="K151" s="697">
        <v>24971350.233262002</v>
      </c>
      <c r="L151" s="697">
        <v>1515435.3896103895</v>
      </c>
      <c r="M151" s="697"/>
      <c r="N151" s="697">
        <v>36047118.551262781</v>
      </c>
      <c r="O151" s="697">
        <v>728835.82608695654</v>
      </c>
      <c r="P151" s="697"/>
      <c r="Q151" s="697">
        <v>728835.82608695654</v>
      </c>
      <c r="S151" s="296">
        <f>IF(B150&gt;0,(B151/B150),)</f>
        <v>106769.27766918832</v>
      </c>
      <c r="T151" s="296">
        <f t="shared" ref="T151" si="1547">IF(C150&gt;0,(C151/C150),)</f>
        <v>0</v>
      </c>
      <c r="U151" s="296">
        <f t="shared" ref="U151" si="1548">IF(D150&gt;0,(D151/D150),)</f>
        <v>81992.602874561795</v>
      </c>
      <c r="V151" s="296">
        <f t="shared" ref="V151" si="1549">IF(E150&gt;0,(E151/E150),)</f>
        <v>90871.568504876879</v>
      </c>
      <c r="W151" s="296">
        <f t="shared" ref="W151" si="1550">IF(F150&gt;0,(F151/F150),)</f>
        <v>0</v>
      </c>
      <c r="X151" s="296">
        <f t="shared" ref="X151" si="1551">IF(G150&gt;0,(G151/G150),)</f>
        <v>0</v>
      </c>
      <c r="Y151" s="311">
        <f t="shared" ref="Y151" si="1552">IF(H150&gt;0,(H151/H150),)</f>
        <v>97039.402483521422</v>
      </c>
      <c r="Z151" s="306">
        <f t="shared" ref="Z151" si="1553">IF(I150&gt;0,(I151/I150),)</f>
        <v>0</v>
      </c>
      <c r="AA151" s="296">
        <f t="shared" ref="AA151" si="1554">IF(J150&gt;0,(J151/J150),)</f>
        <v>60508.436255635395</v>
      </c>
      <c r="AB151" s="296">
        <f t="shared" ref="AB151" si="1555">IF(K150&gt;0,(K151/K150),)</f>
        <v>59455.595793480956</v>
      </c>
      <c r="AC151" s="296">
        <f t="shared" ref="AC151" si="1556">IF(L150&gt;0,(L151/L150),)</f>
        <v>60617.415584415576</v>
      </c>
      <c r="AD151" s="296">
        <f t="shared" ref="AD151" si="1557">IF(M150&gt;0,(M151/M150),)</f>
        <v>0</v>
      </c>
      <c r="AE151" s="311">
        <f t="shared" ref="AE151" si="1558">IF(N150&gt;0,(N151/N150),)</f>
        <v>59779.632754996317</v>
      </c>
      <c r="AF151" s="306">
        <f t="shared" ref="AF151" si="1559">IF(O150&gt;0,(O151/O150),)</f>
        <v>60736.318840579712</v>
      </c>
      <c r="AG151" s="296">
        <f t="shared" ref="AG151" si="1560">IF(P150&gt;0,(P151/P150),)</f>
        <v>0</v>
      </c>
      <c r="AH151" s="311">
        <f t="shared" ref="AH151" si="1561">IF(Q150&gt;0,(Q151/Q150),)</f>
        <v>60736.318840579712</v>
      </c>
      <c r="AI151" s="516"/>
      <c r="AO151" s="524"/>
      <c r="AU151" s="524"/>
      <c r="AX151" s="524"/>
    </row>
    <row r="152" spans="1:50" x14ac:dyDescent="0.2">
      <c r="A152" s="696" t="s">
        <v>1071</v>
      </c>
      <c r="B152" s="697">
        <v>791</v>
      </c>
      <c r="C152" s="697"/>
      <c r="D152" s="697">
        <v>496</v>
      </c>
      <c r="E152" s="697">
        <v>113</v>
      </c>
      <c r="F152" s="697"/>
      <c r="G152" s="697"/>
      <c r="H152" s="697">
        <v>1400</v>
      </c>
      <c r="I152" s="697"/>
      <c r="J152" s="697">
        <v>162</v>
      </c>
      <c r="K152" s="697">
        <v>426</v>
      </c>
      <c r="L152" s="697">
        <v>25</v>
      </c>
      <c r="M152" s="697"/>
      <c r="N152" s="697">
        <v>613</v>
      </c>
      <c r="O152" s="697">
        <v>15</v>
      </c>
      <c r="P152" s="697"/>
      <c r="Q152" s="697">
        <v>15</v>
      </c>
      <c r="Y152" s="309"/>
      <c r="Z152" s="305"/>
      <c r="AE152" s="309"/>
      <c r="AF152" s="305"/>
      <c r="AH152" s="309"/>
      <c r="AI152" s="516"/>
      <c r="AO152" s="524"/>
      <c r="AU152" s="524"/>
      <c r="AX152" s="524"/>
    </row>
    <row r="153" spans="1:50" x14ac:dyDescent="0.2">
      <c r="A153" s="696" t="s">
        <v>1073</v>
      </c>
      <c r="B153" s="697">
        <v>86451782.781163782</v>
      </c>
      <c r="C153" s="697"/>
      <c r="D153" s="697">
        <v>39485613.144800454</v>
      </c>
      <c r="E153" s="697">
        <v>9412645.4153818227</v>
      </c>
      <c r="F153" s="697"/>
      <c r="G153" s="697"/>
      <c r="H153" s="697">
        <v>135350041.34134606</v>
      </c>
      <c r="I153" s="697"/>
      <c r="J153" s="697">
        <v>8925142.3182967622</v>
      </c>
      <c r="K153" s="697">
        <v>23170618.727311749</v>
      </c>
      <c r="L153" s="697">
        <v>1400116.9921875</v>
      </c>
      <c r="M153" s="697"/>
      <c r="N153" s="697">
        <v>33495878.037796013</v>
      </c>
      <c r="O153" s="697">
        <v>822438.73018867918</v>
      </c>
      <c r="P153" s="697"/>
      <c r="Q153" s="697">
        <v>822438.73018867918</v>
      </c>
      <c r="R153" s="294"/>
      <c r="S153" s="296">
        <f>IF(B152&gt;0,(B153/B152),)</f>
        <v>109294.28923029556</v>
      </c>
      <c r="T153" s="296">
        <f t="shared" ref="T153" si="1562">IF(C152&gt;0,(C153/C152),)</f>
        <v>0</v>
      </c>
      <c r="U153" s="296">
        <f t="shared" ref="U153" si="1563">IF(D152&gt;0,(D153/D152),)</f>
        <v>79608.091017742845</v>
      </c>
      <c r="V153" s="296">
        <f t="shared" ref="V153" si="1564">IF(E152&gt;0,(E153/E152),)</f>
        <v>83297.74703877719</v>
      </c>
      <c r="W153" s="296">
        <f t="shared" ref="W153" si="1565">IF(F152&gt;0,(F153/F152),)</f>
        <v>0</v>
      </c>
      <c r="X153" s="296">
        <f t="shared" ref="X153" si="1566">IF(G152&gt;0,(G153/G152),)</f>
        <v>0</v>
      </c>
      <c r="Y153" s="311">
        <f t="shared" ref="Y153" si="1567">IF(H152&gt;0,(H153/H152),)</f>
        <v>96678.600958104318</v>
      </c>
      <c r="Z153" s="306">
        <f t="shared" ref="Z153" si="1568">IF(I152&gt;0,(I153/I152),)</f>
        <v>0</v>
      </c>
      <c r="AA153" s="296">
        <f t="shared" ref="AA153" si="1569">IF(J152&gt;0,(J153/J152),)</f>
        <v>55093.4711005973</v>
      </c>
      <c r="AB153" s="296">
        <f t="shared" ref="AB153" si="1570">IF(K152&gt;0,(K153/K152),)</f>
        <v>54391.123773032275</v>
      </c>
      <c r="AC153" s="296">
        <f t="shared" ref="AC153" si="1571">IF(L152&gt;0,(L153/L152),)</f>
        <v>56004.6796875</v>
      </c>
      <c r="AD153" s="296">
        <f t="shared" ref="AD153" si="1572">IF(M152&gt;0,(M153/M152),)</f>
        <v>0</v>
      </c>
      <c r="AE153" s="311">
        <f t="shared" ref="AE153" si="1573">IF(N152&gt;0,(N153/N152),)</f>
        <v>54642.541660352384</v>
      </c>
      <c r="AF153" s="306">
        <f t="shared" ref="AF153" si="1574">IF(O152&gt;0,(O153/O152),)</f>
        <v>54829.248679245276</v>
      </c>
      <c r="AG153" s="296">
        <f t="shared" ref="AG153" si="1575">IF(P152&gt;0,(P153/P152),)</f>
        <v>0</v>
      </c>
      <c r="AH153" s="311">
        <f t="shared" ref="AH153" si="1576">IF(Q152&gt;0,(Q153/Q152),)</f>
        <v>54829.248679245276</v>
      </c>
      <c r="AI153" s="517">
        <f>IF(S151&gt;0,(S153-S151)/S151,)</f>
        <v>2.3649233339675505E-2</v>
      </c>
      <c r="AJ153" s="518">
        <f t="shared" ref="AJ153" si="1577">IF(T151&gt;0,(T153-T151)/T151,)</f>
        <v>0</v>
      </c>
      <c r="AK153" s="518">
        <f t="shared" ref="AK153" si="1578">IF(U151&gt;0,(U153-U151)/U151,)</f>
        <v>-2.908203634499747E-2</v>
      </c>
      <c r="AL153" s="527">
        <f t="shared" ref="AL153" si="1579">IF(V151&gt;0,(V153-V151)/V151,)</f>
        <v>-8.334643707281468E-2</v>
      </c>
      <c r="AM153" s="518">
        <f t="shared" ref="AM153" si="1580">IF(W151&gt;0,(W153-W151)/W151,)</f>
        <v>0</v>
      </c>
      <c r="AN153" s="518">
        <f t="shared" ref="AN153" si="1581">IF(X151&gt;0,(X153-X151)/X151,)</f>
        <v>0</v>
      </c>
      <c r="AO153" s="525">
        <f t="shared" ref="AO153" si="1582">IF(Y151&gt;0,(Y153-Y151)/Y151,)</f>
        <v>-3.7180930238968962E-3</v>
      </c>
      <c r="AP153" s="518">
        <f t="shared" ref="AP153" si="1583">IF(Z151&gt;0,(Z153-Z151)/Z151,)</f>
        <v>0</v>
      </c>
      <c r="AQ153" s="527">
        <f t="shared" ref="AQ153" si="1584">IF(AA151&gt;0,(AA153-AA151)/AA151,)</f>
        <v>-8.9491077445151751E-2</v>
      </c>
      <c r="AR153" s="527">
        <f t="shared" ref="AR153" si="1585">IF(AB151&gt;0,(AB153-AB151)/AB151,)</f>
        <v>-8.5180746284002046E-2</v>
      </c>
      <c r="AS153" s="527">
        <f t="shared" ref="AS153" si="1586">IF(AC151&gt;0,(AC153-AC151)/AC151,)</f>
        <v>-7.6095885191474352E-2</v>
      </c>
      <c r="AT153" s="518">
        <f t="shared" ref="AT153" si="1587">IF(AD151&gt;0,(AD153-AD151)/AD151,)</f>
        <v>0</v>
      </c>
      <c r="AU153" s="525">
        <f t="shared" ref="AU153" si="1588">IF(AE151&gt;0,(AE153-AE151)/AE151,)</f>
        <v>-8.5933801495536616E-2</v>
      </c>
      <c r="AV153" s="527">
        <f t="shared" ref="AV153" si="1589">IF(AF151&gt;0,(AF153-AF151)/AF151,)</f>
        <v>-9.7257625652935512E-2</v>
      </c>
      <c r="AW153" s="518">
        <f t="shared" ref="AW153" si="1590">IF(AG151&gt;0,(AG153-AG151)/AG151,)</f>
        <v>0</v>
      </c>
      <c r="AX153" s="525">
        <f t="shared" ref="AX153" si="1591">IF(AH151&gt;0,(AH153-AH151)/AH151,)</f>
        <v>-9.7257625652935512E-2</v>
      </c>
    </row>
    <row r="154" spans="1:50" x14ac:dyDescent="0.2">
      <c r="A154" s="696" t="s">
        <v>1075</v>
      </c>
      <c r="B154" s="697">
        <v>609</v>
      </c>
      <c r="C154" s="697"/>
      <c r="D154" s="697">
        <v>608</v>
      </c>
      <c r="E154" s="697">
        <v>205</v>
      </c>
      <c r="F154" s="697"/>
      <c r="G154" s="697"/>
      <c r="H154" s="697">
        <v>1422</v>
      </c>
      <c r="I154" s="697"/>
      <c r="J154" s="697">
        <v>220</v>
      </c>
      <c r="K154" s="697">
        <v>354</v>
      </c>
      <c r="L154" s="697">
        <v>10</v>
      </c>
      <c r="M154" s="697"/>
      <c r="N154" s="697">
        <v>584</v>
      </c>
      <c r="O154" s="697">
        <v>42</v>
      </c>
      <c r="P154" s="697"/>
      <c r="Q154" s="697">
        <v>42</v>
      </c>
      <c r="Y154" s="309"/>
      <c r="Z154" s="305"/>
      <c r="AE154" s="309"/>
      <c r="AF154" s="305"/>
      <c r="AH154" s="309"/>
      <c r="AI154" s="516"/>
      <c r="AO154" s="524"/>
      <c r="AU154" s="524"/>
      <c r="AX154" s="524"/>
    </row>
    <row r="155" spans="1:50" x14ac:dyDescent="0.2">
      <c r="A155" s="698" t="s">
        <v>1077</v>
      </c>
      <c r="B155" s="699">
        <v>47717356.374188021</v>
      </c>
      <c r="C155" s="699"/>
      <c r="D155" s="699">
        <v>39287880.620463401</v>
      </c>
      <c r="E155" s="699">
        <v>14160927.205762368</v>
      </c>
      <c r="F155" s="699"/>
      <c r="G155" s="699"/>
      <c r="H155" s="699">
        <v>101166164.20041379</v>
      </c>
      <c r="I155" s="699"/>
      <c r="J155" s="699">
        <v>10990168.823501434</v>
      </c>
      <c r="K155" s="699">
        <v>17030636.591845803</v>
      </c>
      <c r="L155" s="699">
        <v>496713</v>
      </c>
      <c r="M155" s="699"/>
      <c r="N155" s="699">
        <v>28517518.415347237</v>
      </c>
      <c r="O155" s="699">
        <v>2066883.1583701326</v>
      </c>
      <c r="P155" s="699"/>
      <c r="Q155" s="699">
        <v>2066883.1583701326</v>
      </c>
      <c r="S155" s="296">
        <f>IF(B154&gt;0,(B155/B154),)</f>
        <v>78353.622946121541</v>
      </c>
      <c r="T155" s="296">
        <f t="shared" ref="T155" si="1592">IF(C154&gt;0,(C155/C154),)</f>
        <v>0</v>
      </c>
      <c r="U155" s="296">
        <f t="shared" ref="U155" si="1593">IF(D154&gt;0,(D155/D154),)</f>
        <v>64618.224704709544</v>
      </c>
      <c r="V155" s="296">
        <f t="shared" ref="V155" si="1594">IF(E154&gt;0,(E155/E154),)</f>
        <v>69077.693686645696</v>
      </c>
      <c r="W155" s="296">
        <f t="shared" ref="W155" si="1595">IF(F154&gt;0,(F155/F154),)</f>
        <v>0</v>
      </c>
      <c r="X155" s="296">
        <f t="shared" ref="X155" si="1596">IF(G154&gt;0,(G155/G154),)</f>
        <v>0</v>
      </c>
      <c r="Y155" s="311">
        <f t="shared" ref="Y155" si="1597">IF(H154&gt;0,(H155/H154),)</f>
        <v>71143.575387070174</v>
      </c>
      <c r="Z155" s="306">
        <f t="shared" ref="Z155" si="1598">IF(I154&gt;0,(I155/I154),)</f>
        <v>0</v>
      </c>
      <c r="AA155" s="296">
        <f t="shared" ref="AA155" si="1599">IF(J154&gt;0,(J155/J154),)</f>
        <v>49955.312834097429</v>
      </c>
      <c r="AB155" s="296">
        <f t="shared" ref="AB155" si="1600">IF(K154&gt;0,(K155/K154),)</f>
        <v>48109.142914818651</v>
      </c>
      <c r="AC155" s="296">
        <f t="shared" ref="AC155" si="1601">IF(L154&gt;0,(L155/L154),)</f>
        <v>49671.3</v>
      </c>
      <c r="AD155" s="296">
        <f t="shared" ref="AD155" si="1602">IF(M154&gt;0,(M155/M154),)</f>
        <v>0</v>
      </c>
      <c r="AE155" s="311">
        <f t="shared" ref="AE155" si="1603">IF(N154&gt;0,(N155/N154),)</f>
        <v>48831.367149567188</v>
      </c>
      <c r="AF155" s="306">
        <f t="shared" ref="AF155" si="1604">IF(O154&gt;0,(O155/O154),)</f>
        <v>49211.503770717442</v>
      </c>
      <c r="AG155" s="296">
        <f t="shared" ref="AG155" si="1605">IF(P154&gt;0,(P155/P154),)</f>
        <v>0</v>
      </c>
      <c r="AH155" s="311">
        <f t="shared" ref="AH155" si="1606">IF(Q154&gt;0,(Q155/Q154),)</f>
        <v>49211.503770717442</v>
      </c>
      <c r="AI155" s="516"/>
      <c r="AO155" s="524"/>
      <c r="AU155" s="524"/>
      <c r="AX155" s="524"/>
    </row>
    <row r="156" spans="1:50" x14ac:dyDescent="0.2">
      <c r="A156" s="696" t="s">
        <v>1079</v>
      </c>
      <c r="B156" s="697">
        <v>626</v>
      </c>
      <c r="C156" s="697"/>
      <c r="D156" s="697">
        <v>657</v>
      </c>
      <c r="E156" s="697">
        <v>205</v>
      </c>
      <c r="F156" s="697"/>
      <c r="G156" s="697"/>
      <c r="H156" s="697">
        <v>1488</v>
      </c>
      <c r="I156" s="697"/>
      <c r="J156" s="697">
        <v>211</v>
      </c>
      <c r="K156" s="697">
        <v>339</v>
      </c>
      <c r="L156" s="697">
        <v>11</v>
      </c>
      <c r="M156" s="697"/>
      <c r="N156" s="697">
        <v>561</v>
      </c>
      <c r="O156" s="697">
        <v>40</v>
      </c>
      <c r="P156" s="697"/>
      <c r="Q156" s="697">
        <v>40</v>
      </c>
      <c r="Y156" s="309"/>
      <c r="Z156" s="305"/>
      <c r="AE156" s="309"/>
      <c r="AF156" s="305"/>
      <c r="AH156" s="309"/>
      <c r="AI156" s="516"/>
      <c r="AO156" s="524"/>
      <c r="AU156" s="524"/>
      <c r="AX156" s="524"/>
    </row>
    <row r="157" spans="1:50" x14ac:dyDescent="0.2">
      <c r="A157" s="696" t="s">
        <v>1081</v>
      </c>
      <c r="B157" s="697">
        <v>48169233.875637218</v>
      </c>
      <c r="C157" s="697"/>
      <c r="D157" s="697">
        <v>41936422.878042445</v>
      </c>
      <c r="E157" s="697">
        <v>13166461.150431361</v>
      </c>
      <c r="F157" s="697"/>
      <c r="G157" s="697"/>
      <c r="H157" s="697">
        <v>103272117.90411103</v>
      </c>
      <c r="I157" s="697"/>
      <c r="J157" s="697">
        <v>9568896.6952575259</v>
      </c>
      <c r="K157" s="697">
        <v>14929351.432303445</v>
      </c>
      <c r="L157" s="697">
        <v>490377.6</v>
      </c>
      <c r="M157" s="697"/>
      <c r="N157" s="697">
        <v>24988625.727560975</v>
      </c>
      <c r="O157" s="697">
        <v>1819203.1420454546</v>
      </c>
      <c r="P157" s="697"/>
      <c r="Q157" s="697">
        <v>1819203.1420454546</v>
      </c>
      <c r="R157" s="294"/>
      <c r="S157" s="296">
        <f>IF(B156&gt;0,(B157/B156),)</f>
        <v>76947.657948302265</v>
      </c>
      <c r="T157" s="296">
        <f t="shared" ref="T157" si="1607">IF(C156&gt;0,(C157/C156),)</f>
        <v>0</v>
      </c>
      <c r="U157" s="296">
        <f t="shared" ref="U157" si="1608">IF(D156&gt;0,(D157/D156),)</f>
        <v>63830.171808283783</v>
      </c>
      <c r="V157" s="296">
        <f t="shared" ref="V157" si="1609">IF(E156&gt;0,(E157/E156),)</f>
        <v>64226.63975820176</v>
      </c>
      <c r="W157" s="296">
        <f t="shared" ref="W157" si="1610">IF(F156&gt;0,(F157/F156),)</f>
        <v>0</v>
      </c>
      <c r="X157" s="296">
        <f t="shared" ref="X157" si="1611">IF(G156&gt;0,(G157/G156),)</f>
        <v>0</v>
      </c>
      <c r="Y157" s="311">
        <f t="shared" ref="Y157" si="1612">IF(H156&gt;0,(H157/H156),)</f>
        <v>69403.305043085362</v>
      </c>
      <c r="Z157" s="306">
        <f t="shared" ref="Z157" si="1613">IF(I156&gt;0,(I157/I156),)</f>
        <v>0</v>
      </c>
      <c r="AA157" s="296">
        <f t="shared" ref="AA157" si="1614">IF(J156&gt;0,(J157/J156),)</f>
        <v>45350.221304538034</v>
      </c>
      <c r="AB157" s="296">
        <f t="shared" ref="AB157" si="1615">IF(K156&gt;0,(K157/K156),)</f>
        <v>44039.384756057363</v>
      </c>
      <c r="AC157" s="296">
        <f t="shared" ref="AC157" si="1616">IF(L156&gt;0,(L157/L156),)</f>
        <v>44579.781818181815</v>
      </c>
      <c r="AD157" s="296">
        <f t="shared" ref="AD157" si="1617">IF(M156&gt;0,(M157/M156),)</f>
        <v>0</v>
      </c>
      <c r="AE157" s="311">
        <f t="shared" ref="AE157" si="1618">IF(N156&gt;0,(N157/N156),)</f>
        <v>44543.004861962523</v>
      </c>
      <c r="AF157" s="306">
        <f t="shared" ref="AF157" si="1619">IF(O156&gt;0,(O157/O156),)</f>
        <v>45480.078551136365</v>
      </c>
      <c r="AG157" s="296">
        <f t="shared" ref="AG157" si="1620">IF(P156&gt;0,(P157/P156),)</f>
        <v>0</v>
      </c>
      <c r="AH157" s="311">
        <f t="shared" ref="AH157" si="1621">IF(Q156&gt;0,(Q157/Q156),)</f>
        <v>45480.078551136365</v>
      </c>
      <c r="AI157" s="517">
        <f>IF(S155&gt;0,(S157-S155)/S155,)</f>
        <v>-1.7943841585807235E-2</v>
      </c>
      <c r="AJ157" s="518">
        <f t="shared" ref="AJ157" si="1622">IF(T155&gt;0,(T157-T155)/T155,)</f>
        <v>0</v>
      </c>
      <c r="AK157" s="518">
        <f t="shared" ref="AK157" si="1623">IF(U155&gt;0,(U157-U155)/U155,)</f>
        <v>-1.2195520691368138E-2</v>
      </c>
      <c r="AL157" s="527">
        <f t="shared" ref="AL157" si="1624">IF(V155&gt;0,(V157-V155)/V155,)</f>
        <v>-7.0226055178529451E-2</v>
      </c>
      <c r="AM157" s="518">
        <f t="shared" ref="AM157" si="1625">IF(W155&gt;0,(W157-W155)/W155,)</f>
        <v>0</v>
      </c>
      <c r="AN157" s="518">
        <f t="shared" ref="AN157" si="1626">IF(X155&gt;0,(X157-X155)/X155,)</f>
        <v>0</v>
      </c>
      <c r="AO157" s="525">
        <f t="shared" ref="AO157" si="1627">IF(Y155&gt;0,(Y157-Y155)/Y155,)</f>
        <v>-2.4461384383853913E-2</v>
      </c>
      <c r="AP157" s="518">
        <f t="shared" ref="AP157" si="1628">IF(Z155&gt;0,(Z157-Z155)/Z155,)</f>
        <v>0</v>
      </c>
      <c r="AQ157" s="527">
        <f t="shared" ref="AQ157" si="1629">IF(AA155&gt;0,(AA157-AA155)/AA155,)</f>
        <v>-9.2184219621504401E-2</v>
      </c>
      <c r="AR157" s="527">
        <f t="shared" ref="AR157" si="1630">IF(AB155&gt;0,(AB157-AB155)/AB155,)</f>
        <v>-8.4594276933329327E-2</v>
      </c>
      <c r="AS157" s="527">
        <f t="shared" ref="AS157" si="1631">IF(AC155&gt;0,(AC157-AC155)/AC155,)</f>
        <v>-0.10250422642085445</v>
      </c>
      <c r="AT157" s="518">
        <f t="shared" ref="AT157" si="1632">IF(AD155&gt;0,(AD157-AD155)/AD155,)</f>
        <v>0</v>
      </c>
      <c r="AU157" s="525">
        <f t="shared" ref="AU157" si="1633">IF(AE155&gt;0,(AE157-AE155)/AE155,)</f>
        <v>-8.7819828481756401E-2</v>
      </c>
      <c r="AV157" s="527">
        <f t="shared" ref="AV157" si="1634">IF(AF155&gt;0,(AF157-AF155)/AF155,)</f>
        <v>-7.582424704935363E-2</v>
      </c>
      <c r="AW157" s="518">
        <f t="shared" ref="AW157" si="1635">IF(AG155&gt;0,(AG157-AG155)/AG155,)</f>
        <v>0</v>
      </c>
      <c r="AX157" s="525">
        <f t="shared" ref="AX157" si="1636">IF(AH155&gt;0,(AH157-AH155)/AH155,)</f>
        <v>-7.582424704935363E-2</v>
      </c>
    </row>
    <row r="158" spans="1:50" x14ac:dyDescent="0.2">
      <c r="A158" s="696" t="s">
        <v>1083</v>
      </c>
      <c r="B158" s="697">
        <v>595</v>
      </c>
      <c r="C158" s="697"/>
      <c r="D158" s="697">
        <v>703</v>
      </c>
      <c r="E158" s="697">
        <v>178</v>
      </c>
      <c r="F158" s="697"/>
      <c r="G158" s="697"/>
      <c r="H158" s="697">
        <v>1476</v>
      </c>
      <c r="I158" s="697"/>
      <c r="J158" s="697">
        <v>56</v>
      </c>
      <c r="K158" s="697">
        <v>165</v>
      </c>
      <c r="L158" s="697">
        <v>7</v>
      </c>
      <c r="M158" s="697"/>
      <c r="N158" s="697">
        <v>228</v>
      </c>
      <c r="O158" s="697">
        <v>40</v>
      </c>
      <c r="P158" s="697"/>
      <c r="Q158" s="697">
        <v>40</v>
      </c>
      <c r="Y158" s="309"/>
      <c r="Z158" s="305"/>
      <c r="AE158" s="309"/>
      <c r="AF158" s="305"/>
      <c r="AH158" s="309"/>
      <c r="AI158" s="516"/>
      <c r="AO158" s="524"/>
      <c r="AU158" s="524"/>
      <c r="AX158" s="524"/>
    </row>
    <row r="159" spans="1:50" x14ac:dyDescent="0.2">
      <c r="A159" s="696" t="s">
        <v>1085</v>
      </c>
      <c r="B159" s="697">
        <v>39561737.883297093</v>
      </c>
      <c r="C159" s="697"/>
      <c r="D159" s="697">
        <v>38230249.865581468</v>
      </c>
      <c r="E159" s="697">
        <v>10776008.729974998</v>
      </c>
      <c r="F159" s="697"/>
      <c r="G159" s="697"/>
      <c r="H159" s="697">
        <v>88567996.478853568</v>
      </c>
      <c r="I159" s="697"/>
      <c r="J159" s="697">
        <v>2466134.4608187806</v>
      </c>
      <c r="K159" s="697">
        <v>6797639.8026335957</v>
      </c>
      <c r="L159" s="697">
        <v>300382.0615384616</v>
      </c>
      <c r="M159" s="697"/>
      <c r="N159" s="697">
        <v>9564156.3249908388</v>
      </c>
      <c r="O159" s="697">
        <v>1778595.2700169394</v>
      </c>
      <c r="P159" s="697"/>
      <c r="Q159" s="697">
        <v>1778595.2700169394</v>
      </c>
      <c r="R159" s="294"/>
      <c r="S159" s="296">
        <f>IF(B158&gt;0,(B159/B158),)</f>
        <v>66490.315770247209</v>
      </c>
      <c r="T159" s="296">
        <f t="shared" ref="T159" si="1637">IF(C158&gt;0,(C159/C158),)</f>
        <v>0</v>
      </c>
      <c r="U159" s="296">
        <f t="shared" ref="U159" si="1638">IF(D158&gt;0,(D159/D158),)</f>
        <v>54381.578756161405</v>
      </c>
      <c r="V159" s="296">
        <f t="shared" ref="V159" si="1639">IF(E158&gt;0,(E159/E158),)</f>
        <v>60539.374887499987</v>
      </c>
      <c r="W159" s="296">
        <f t="shared" ref="W159" si="1640">IF(F158&gt;0,(F159/F158),)</f>
        <v>0</v>
      </c>
      <c r="X159" s="296">
        <f t="shared" ref="X159" si="1641">IF(G158&gt;0,(G159/G158),)</f>
        <v>0</v>
      </c>
      <c r="Y159" s="311">
        <f t="shared" ref="Y159" si="1642">IF(H158&gt;0,(H159/H158),)</f>
        <v>60005.417668599977</v>
      </c>
      <c r="Z159" s="306">
        <f t="shared" ref="Z159" si="1643">IF(I158&gt;0,(I159/I158),)</f>
        <v>0</v>
      </c>
      <c r="AA159" s="296">
        <f t="shared" ref="AA159" si="1644">IF(J158&gt;0,(J159/J158),)</f>
        <v>44038.115371763939</v>
      </c>
      <c r="AB159" s="296">
        <f t="shared" ref="AB159" si="1645">IF(K158&gt;0,(K159/K158),)</f>
        <v>41197.816985658159</v>
      </c>
      <c r="AC159" s="296">
        <f t="shared" ref="AC159" si="1646">IF(L158&gt;0,(L159/L158),)</f>
        <v>42911.723076923088</v>
      </c>
      <c r="AD159" s="296">
        <f t="shared" ref="AD159" si="1647">IF(M158&gt;0,(M159/M158),)</f>
        <v>0</v>
      </c>
      <c r="AE159" s="311">
        <f t="shared" ref="AE159" si="1648">IF(N158&gt;0,(N159/N158),)</f>
        <v>41948.054056977366</v>
      </c>
      <c r="AF159" s="306">
        <f t="shared" ref="AF159" si="1649">IF(O158&gt;0,(O159/O158),)</f>
        <v>44464.881750423483</v>
      </c>
      <c r="AG159" s="296">
        <f t="shared" ref="AG159" si="1650">IF(P158&gt;0,(P159/P158),)</f>
        <v>0</v>
      </c>
      <c r="AH159" s="311">
        <f t="shared" ref="AH159" si="1651">IF(Q158&gt;0,(Q159/Q158),)</f>
        <v>44464.881750423483</v>
      </c>
      <c r="AI159" s="516"/>
      <c r="AO159" s="524"/>
      <c r="AU159" s="524"/>
      <c r="AX159" s="524"/>
    </row>
    <row r="160" spans="1:50" x14ac:dyDescent="0.2">
      <c r="A160" s="696" t="s">
        <v>1087</v>
      </c>
      <c r="B160" s="697">
        <v>579</v>
      </c>
      <c r="C160" s="697"/>
      <c r="D160" s="697">
        <v>637</v>
      </c>
      <c r="E160" s="697">
        <v>175</v>
      </c>
      <c r="F160" s="697"/>
      <c r="G160" s="697"/>
      <c r="H160" s="697">
        <v>1391</v>
      </c>
      <c r="I160" s="697"/>
      <c r="J160" s="697">
        <v>57</v>
      </c>
      <c r="K160" s="697">
        <v>192</v>
      </c>
      <c r="L160" s="697">
        <v>5</v>
      </c>
      <c r="M160" s="697"/>
      <c r="N160" s="697">
        <v>254</v>
      </c>
      <c r="O160" s="697">
        <v>57</v>
      </c>
      <c r="P160" s="697"/>
      <c r="Q160" s="697">
        <v>57</v>
      </c>
      <c r="Y160" s="309"/>
      <c r="Z160" s="305"/>
      <c r="AE160" s="309"/>
      <c r="AF160" s="305"/>
      <c r="AH160" s="309"/>
      <c r="AI160" s="516"/>
      <c r="AO160" s="524"/>
      <c r="AU160" s="524"/>
      <c r="AX160" s="524"/>
    </row>
    <row r="161" spans="1:50" x14ac:dyDescent="0.2">
      <c r="A161" s="696" t="s">
        <v>1089</v>
      </c>
      <c r="B161" s="697">
        <v>38447158.998184875</v>
      </c>
      <c r="C161" s="697"/>
      <c r="D161" s="697">
        <v>34484335.709063828</v>
      </c>
      <c r="E161" s="697">
        <v>9933018.7644169778</v>
      </c>
      <c r="F161" s="697"/>
      <c r="G161" s="697"/>
      <c r="H161" s="697">
        <v>82864513.47166568</v>
      </c>
      <c r="I161" s="697"/>
      <c r="J161" s="697">
        <v>2314378.0976487845</v>
      </c>
      <c r="K161" s="697">
        <v>7263127.5364536941</v>
      </c>
      <c r="L161" s="697">
        <v>197202.11538461538</v>
      </c>
      <c r="M161" s="697"/>
      <c r="N161" s="697">
        <v>9774707.7494870946</v>
      </c>
      <c r="O161" s="697">
        <v>2308019.8875473058</v>
      </c>
      <c r="P161" s="697"/>
      <c r="Q161" s="697">
        <v>2308019.8875473058</v>
      </c>
      <c r="R161" s="294"/>
      <c r="S161" s="296">
        <f>IF(B160&gt;0,(B161/B160),)</f>
        <v>66402.692570267493</v>
      </c>
      <c r="T161" s="296">
        <f t="shared" ref="T161" si="1652">IF(C160&gt;0,(C161/C160),)</f>
        <v>0</v>
      </c>
      <c r="U161" s="296">
        <f t="shared" ref="U161" si="1653">IF(D160&gt;0,(D161/D160),)</f>
        <v>54135.534865092355</v>
      </c>
      <c r="V161" s="296">
        <f t="shared" ref="V161" si="1654">IF(E160&gt;0,(E161/E160),)</f>
        <v>56760.107225239874</v>
      </c>
      <c r="W161" s="296">
        <f t="shared" ref="W161" si="1655">IF(F160&gt;0,(F161/F160),)</f>
        <v>0</v>
      </c>
      <c r="X161" s="296">
        <f t="shared" ref="X161" si="1656">IF(G160&gt;0,(G161/G160),)</f>
        <v>0</v>
      </c>
      <c r="Y161" s="311">
        <f t="shared" ref="Y161" si="1657">IF(H160&gt;0,(H161/H160),)</f>
        <v>59571.900410974609</v>
      </c>
      <c r="Z161" s="306">
        <f t="shared" ref="Z161" si="1658">IF(I160&gt;0,(I161/I160),)</f>
        <v>0</v>
      </c>
      <c r="AA161" s="296">
        <f t="shared" ref="AA161" si="1659">IF(J160&gt;0,(J161/J160),)</f>
        <v>40603.124520154117</v>
      </c>
      <c r="AB161" s="296">
        <f t="shared" ref="AB161" si="1660">IF(K160&gt;0,(K161/K160),)</f>
        <v>37828.789252362993</v>
      </c>
      <c r="AC161" s="296">
        <f t="shared" ref="AC161" si="1661">IF(L160&gt;0,(L161/L160),)</f>
        <v>39440.423076923078</v>
      </c>
      <c r="AD161" s="296">
        <f t="shared" ref="AD161" si="1662">IF(M160&gt;0,(M161/M160),)</f>
        <v>0</v>
      </c>
      <c r="AE161" s="311">
        <f t="shared" ref="AE161" si="1663">IF(N160&gt;0,(N161/N160),)</f>
        <v>38483.101375933446</v>
      </c>
      <c r="AF161" s="306">
        <f t="shared" ref="AF161" si="1664">IF(O160&gt;0,(O161/O160),)</f>
        <v>40491.576974514137</v>
      </c>
      <c r="AG161" s="296">
        <f t="shared" ref="AG161" si="1665">IF(P160&gt;0,(P161/P160),)</f>
        <v>0</v>
      </c>
      <c r="AH161" s="311">
        <f t="shared" ref="AH161" si="1666">IF(Q160&gt;0,(Q161/Q160),)</f>
        <v>40491.576974514137</v>
      </c>
      <c r="AI161" s="517">
        <f>IF(S159&gt;0,(S161-S159)/S159,)</f>
        <v>-1.317834017851449E-3</v>
      </c>
      <c r="AJ161" s="518">
        <f t="shared" ref="AJ161" si="1667">IF(T159&gt;0,(T161-T159)/T159,)</f>
        <v>0</v>
      </c>
      <c r="AK161" s="518">
        <f t="shared" ref="AK161" si="1668">IF(U159&gt;0,(U161-U159)/U159,)</f>
        <v>-4.5243977224764436E-3</v>
      </c>
      <c r="AL161" s="527">
        <f t="shared" ref="AL161" si="1669">IF(V159&gt;0,(V161-V159)/V159,)</f>
        <v>-6.2426605317334509E-2</v>
      </c>
      <c r="AM161" s="518">
        <f t="shared" ref="AM161" si="1670">IF(W159&gt;0,(W161-W159)/W159,)</f>
        <v>0</v>
      </c>
      <c r="AN161" s="518">
        <f t="shared" ref="AN161" si="1671">IF(X159&gt;0,(X161-X159)/X159,)</f>
        <v>0</v>
      </c>
      <c r="AO161" s="525">
        <f t="shared" ref="AO161" si="1672">IF(Y159&gt;0,(Y161-Y159)/Y159,)</f>
        <v>-7.2246352824275363E-3</v>
      </c>
      <c r="AP161" s="518">
        <f t="shared" ref="AP161" si="1673">IF(Z159&gt;0,(Z161-Z159)/Z159,)</f>
        <v>0</v>
      </c>
      <c r="AQ161" s="527">
        <f t="shared" ref="AQ161" si="1674">IF(AA159&gt;0,(AA161-AA159)/AA159,)</f>
        <v>-7.8000405390014627E-2</v>
      </c>
      <c r="AR161" s="527">
        <f t="shared" ref="AR161" si="1675">IF(AB159&gt;0,(AB161-AB159)/AB159,)</f>
        <v>-8.1776850809060997E-2</v>
      </c>
      <c r="AS161" s="527">
        <f t="shared" ref="AS161" si="1676">IF(AC159&gt;0,(AC161-AC159)/AC159,)</f>
        <v>-8.0893978407191799E-2</v>
      </c>
      <c r="AT161" s="518">
        <f t="shared" ref="AT161" si="1677">IF(AD159&gt;0,(AD161-AD159)/AD159,)</f>
        <v>0</v>
      </c>
      <c r="AU161" s="525">
        <f t="shared" ref="AU161" si="1678">IF(AE159&gt;0,(AE161-AE159)/AE159,)</f>
        <v>-8.2601034992887415E-2</v>
      </c>
      <c r="AV161" s="527">
        <f t="shared" ref="AV161" si="1679">IF(AF159&gt;0,(AF161-AF159)/AF159,)</f>
        <v>-8.9358267007457054E-2</v>
      </c>
      <c r="AW161" s="518">
        <f t="shared" ref="AW161" si="1680">IF(AG159&gt;0,(AG161-AG159)/AG159,)</f>
        <v>0</v>
      </c>
      <c r="AX161" s="525">
        <f t="shared" ref="AX161" si="1681">IF(AH159&gt;0,(AH161-AH159)/AH159,)</f>
        <v>-8.9358267007457054E-2</v>
      </c>
    </row>
    <row r="162" spans="1:50" x14ac:dyDescent="0.2">
      <c r="A162" s="696" t="s">
        <v>1091</v>
      </c>
      <c r="B162" s="697">
        <v>102</v>
      </c>
      <c r="C162" s="697"/>
      <c r="D162" s="697">
        <v>298</v>
      </c>
      <c r="E162" s="697">
        <v>17</v>
      </c>
      <c r="F162" s="697"/>
      <c r="G162" s="697"/>
      <c r="H162" s="697">
        <v>417</v>
      </c>
      <c r="I162" s="697"/>
      <c r="J162" s="697">
        <v>90</v>
      </c>
      <c r="K162" s="697">
        <v>294</v>
      </c>
      <c r="L162" s="697">
        <v>6</v>
      </c>
      <c r="M162" s="697"/>
      <c r="N162" s="697">
        <v>390</v>
      </c>
      <c r="O162" s="697">
        <v>72</v>
      </c>
      <c r="P162" s="697"/>
      <c r="Q162" s="697">
        <v>72</v>
      </c>
      <c r="Y162" s="309"/>
      <c r="Z162" s="305"/>
      <c r="AE162" s="309"/>
      <c r="AF162" s="305"/>
      <c r="AH162" s="309"/>
      <c r="AI162" s="516"/>
      <c r="AO162" s="524"/>
      <c r="AU162" s="524"/>
      <c r="AX162" s="524"/>
    </row>
    <row r="163" spans="1:50" x14ac:dyDescent="0.2">
      <c r="A163" s="696" t="s">
        <v>1093</v>
      </c>
      <c r="B163" s="697">
        <v>5260169.4974619281</v>
      </c>
      <c r="C163" s="697"/>
      <c r="D163" s="697">
        <v>12718339.578433398</v>
      </c>
      <c r="E163" s="697">
        <v>726850.19354838715</v>
      </c>
      <c r="F163" s="697"/>
      <c r="G163" s="697"/>
      <c r="H163" s="697">
        <v>18705359.269443713</v>
      </c>
      <c r="I163" s="697"/>
      <c r="J163" s="697">
        <v>3627029.0165831298</v>
      </c>
      <c r="K163" s="697">
        <v>11068777.006137462</v>
      </c>
      <c r="L163" s="697">
        <v>252990</v>
      </c>
      <c r="M163" s="697"/>
      <c r="N163" s="697">
        <v>14948796.022720592</v>
      </c>
      <c r="O163" s="697">
        <v>2804034.1528765643</v>
      </c>
      <c r="P163" s="697"/>
      <c r="Q163" s="697">
        <v>2804034.1528765643</v>
      </c>
      <c r="R163" s="294"/>
      <c r="S163" s="296">
        <f>IF(B162&gt;0,(B163/B162),)</f>
        <v>51570.289190803218</v>
      </c>
      <c r="T163" s="296">
        <f t="shared" ref="T163" si="1682">IF(C162&gt;0,(C163/C162),)</f>
        <v>0</v>
      </c>
      <c r="U163" s="296">
        <f t="shared" ref="U163" si="1683">IF(D162&gt;0,(D163/D162),)</f>
        <v>42678.991873937579</v>
      </c>
      <c r="V163" s="296">
        <f t="shared" ref="V163" si="1684">IF(E162&gt;0,(E163/E162),)</f>
        <v>42755.893738140418</v>
      </c>
      <c r="W163" s="296">
        <f t="shared" ref="W163" si="1685">IF(F162&gt;0,(F163/F162),)</f>
        <v>0</v>
      </c>
      <c r="X163" s="296">
        <f t="shared" ref="X163" si="1686">IF(G162&gt;0,(G163/G162),)</f>
        <v>0</v>
      </c>
      <c r="Y163" s="311">
        <f t="shared" ref="Y163" si="1687">IF(H162&gt;0,(H163/H162),)</f>
        <v>44856.976665332644</v>
      </c>
      <c r="Z163" s="306">
        <f t="shared" ref="Z163" si="1688">IF(I162&gt;0,(I163/I162),)</f>
        <v>0</v>
      </c>
      <c r="AA163" s="296">
        <f t="shared" ref="AA163" si="1689">IF(J162&gt;0,(J163/J162),)</f>
        <v>40300.322406479223</v>
      </c>
      <c r="AB163" s="296">
        <f t="shared" ref="AB163" si="1690">IF(K162&gt;0,(K163/K162),)</f>
        <v>37648.901381419942</v>
      </c>
      <c r="AC163" s="296">
        <f t="shared" ref="AC163" si="1691">IF(L162&gt;0,(L163/L162),)</f>
        <v>42165</v>
      </c>
      <c r="AD163" s="296">
        <f t="shared" ref="AD163" si="1692">IF(M162&gt;0,(M163/M162),)</f>
        <v>0</v>
      </c>
      <c r="AE163" s="311">
        <f t="shared" ref="AE163" si="1693">IF(N162&gt;0,(N163/N162),)</f>
        <v>38330.246212104081</v>
      </c>
      <c r="AF163" s="306">
        <f t="shared" ref="AF163" si="1694">IF(O162&gt;0,(O163/O162),)</f>
        <v>38944.91878995228</v>
      </c>
      <c r="AG163" s="296">
        <f t="shared" ref="AG163" si="1695">IF(P162&gt;0,(P163/P162),)</f>
        <v>0</v>
      </c>
      <c r="AH163" s="311">
        <f t="shared" ref="AH163" si="1696">IF(Q162&gt;0,(Q163/Q162),)</f>
        <v>38944.91878995228</v>
      </c>
      <c r="AI163" s="516"/>
      <c r="AO163" s="524"/>
      <c r="AU163" s="524"/>
      <c r="AX163" s="524"/>
    </row>
    <row r="164" spans="1:50" x14ac:dyDescent="0.2">
      <c r="A164" s="696" t="s">
        <v>1095</v>
      </c>
      <c r="B164" s="697">
        <v>88</v>
      </c>
      <c r="C164" s="697"/>
      <c r="D164" s="697">
        <v>256</v>
      </c>
      <c r="E164" s="697">
        <v>21</v>
      </c>
      <c r="F164" s="697"/>
      <c r="G164" s="697"/>
      <c r="H164" s="697">
        <v>365</v>
      </c>
      <c r="I164" s="697"/>
      <c r="J164" s="697">
        <v>119</v>
      </c>
      <c r="K164" s="697">
        <v>289</v>
      </c>
      <c r="L164" s="697">
        <v>9</v>
      </c>
      <c r="M164" s="697"/>
      <c r="N164" s="697">
        <v>417</v>
      </c>
      <c r="O164" s="697">
        <v>64</v>
      </c>
      <c r="P164" s="697"/>
      <c r="Q164" s="697">
        <v>64</v>
      </c>
      <c r="Y164" s="309"/>
      <c r="Z164" s="305"/>
      <c r="AE164" s="309"/>
      <c r="AF164" s="305"/>
      <c r="AH164" s="309"/>
      <c r="AI164" s="516"/>
      <c r="AO164" s="524"/>
      <c r="AU164" s="524"/>
      <c r="AX164" s="524"/>
    </row>
    <row r="165" spans="1:50" x14ac:dyDescent="0.2">
      <c r="A165" s="696" t="s">
        <v>1097</v>
      </c>
      <c r="B165" s="697">
        <v>4450401.6443418013</v>
      </c>
      <c r="C165" s="697"/>
      <c r="D165" s="697">
        <v>10710113.937564833</v>
      </c>
      <c r="E165" s="697">
        <v>917596.375</v>
      </c>
      <c r="F165" s="697"/>
      <c r="G165" s="697"/>
      <c r="H165" s="697">
        <v>16078111.956906635</v>
      </c>
      <c r="I165" s="697"/>
      <c r="J165" s="697">
        <v>4122383.0435540075</v>
      </c>
      <c r="K165" s="697">
        <v>9971467.794314079</v>
      </c>
      <c r="L165" s="697">
        <v>342764.1</v>
      </c>
      <c r="M165" s="697"/>
      <c r="N165" s="697">
        <v>14436614.937868087</v>
      </c>
      <c r="O165" s="697">
        <v>2224393.9004790299</v>
      </c>
      <c r="P165" s="697"/>
      <c r="Q165" s="697">
        <v>2224393.9004790299</v>
      </c>
      <c r="R165" s="294"/>
      <c r="S165" s="296">
        <f>IF(B164&gt;0,(B165/B164),)</f>
        <v>50572.745958429558</v>
      </c>
      <c r="T165" s="296">
        <f t="shared" ref="T165" si="1697">IF(C164&gt;0,(C165/C164),)</f>
        <v>0</v>
      </c>
      <c r="U165" s="296">
        <f t="shared" ref="U165" si="1698">IF(D164&gt;0,(D165/D164),)</f>
        <v>41836.382568612629</v>
      </c>
      <c r="V165" s="296">
        <f t="shared" ref="V165" si="1699">IF(E164&gt;0,(E165/E164),)</f>
        <v>43695.065476190473</v>
      </c>
      <c r="W165" s="296">
        <f t="shared" ref="W165" si="1700">IF(F164&gt;0,(F165/F164),)</f>
        <v>0</v>
      </c>
      <c r="X165" s="296">
        <f t="shared" ref="X165" si="1701">IF(G164&gt;0,(G165/G164),)</f>
        <v>0</v>
      </c>
      <c r="Y165" s="311">
        <f t="shared" ref="Y165" si="1702">IF(H164&gt;0,(H165/H164),)</f>
        <v>44049.621799744207</v>
      </c>
      <c r="Z165" s="306">
        <f t="shared" ref="Z165" si="1703">IF(I164&gt;0,(I165/I164),)</f>
        <v>0</v>
      </c>
      <c r="AA165" s="296">
        <f t="shared" ref="AA165" si="1704">IF(J164&gt;0,(J165/J164),)</f>
        <v>34641.874315579895</v>
      </c>
      <c r="AB165" s="296">
        <f t="shared" ref="AB165" si="1705">IF(K164&gt;0,(K165/K164),)</f>
        <v>34503.348769252865</v>
      </c>
      <c r="AC165" s="296">
        <f t="shared" ref="AC165" si="1706">IF(L164&gt;0,(L165/L164),)</f>
        <v>38084.899999999994</v>
      </c>
      <c r="AD165" s="296">
        <f t="shared" ref="AD165" si="1707">IF(M164&gt;0,(M165/M164),)</f>
        <v>0</v>
      </c>
      <c r="AE165" s="311">
        <f t="shared" ref="AE165" si="1708">IF(N164&gt;0,(N165/N164),)</f>
        <v>34620.179707117713</v>
      </c>
      <c r="AF165" s="306">
        <f t="shared" ref="AF165" si="1709">IF(O164&gt;0,(O165/O164),)</f>
        <v>34756.154694984842</v>
      </c>
      <c r="AG165" s="296">
        <f t="shared" ref="AG165" si="1710">IF(P164&gt;0,(P165/P164),)</f>
        <v>0</v>
      </c>
      <c r="AH165" s="311">
        <f t="shared" ref="AH165" si="1711">IF(Q164&gt;0,(Q165/Q164),)</f>
        <v>34756.154694984842</v>
      </c>
      <c r="AI165" s="517">
        <f>IF(S163&gt;0,(S165-S163)/S163,)</f>
        <v>-1.9343370922022231E-2</v>
      </c>
      <c r="AJ165" s="518">
        <f t="shared" ref="AJ165" si="1712">IF(T163&gt;0,(T165-T163)/T163,)</f>
        <v>0</v>
      </c>
      <c r="AK165" s="518">
        <f t="shared" ref="AK165" si="1713">IF(U163&gt;0,(U165-U163)/U163,)</f>
        <v>-1.9742952406509369E-2</v>
      </c>
      <c r="AL165" s="518">
        <f t="shared" ref="AL165" si="1714">IF(V163&gt;0,(V165-V163)/V163,)</f>
        <v>2.1965901211235053E-2</v>
      </c>
      <c r="AM165" s="518">
        <f t="shared" ref="AM165" si="1715">IF(W163&gt;0,(W165-W163)/W163,)</f>
        <v>0</v>
      </c>
      <c r="AN165" s="518">
        <f t="shared" ref="AN165" si="1716">IF(X163&gt;0,(X165-X163)/X163,)</f>
        <v>0</v>
      </c>
      <c r="AO165" s="525">
        <f t="shared" ref="AO165" si="1717">IF(Y163&gt;0,(Y165-Y163)/Y163,)</f>
        <v>-1.7998423558768167E-2</v>
      </c>
      <c r="AP165" s="518">
        <f t="shared" ref="AP165" si="1718">IF(Z163&gt;0,(Z165-Z163)/Z163,)</f>
        <v>0</v>
      </c>
      <c r="AQ165" s="527">
        <f t="shared" ref="AQ165" si="1719">IF(AA163&gt;0,(AA165-AA163)/AA163,)</f>
        <v>-0.14040701793466545</v>
      </c>
      <c r="AR165" s="527">
        <f t="shared" ref="AR165" si="1720">IF(AB163&gt;0,(AB165-AB163)/AB163,)</f>
        <v>-8.3549652094747032E-2</v>
      </c>
      <c r="AS165" s="527">
        <f t="shared" ref="AS165" si="1721">IF(AC163&gt;0,(AC165-AC163)/AC163,)</f>
        <v>-9.6765089529230547E-2</v>
      </c>
      <c r="AT165" s="518">
        <f t="shared" ref="AT165" si="1722">IF(AD163&gt;0,(AD165-AD163)/AD163,)</f>
        <v>0</v>
      </c>
      <c r="AU165" s="525">
        <f t="shared" ref="AU165" si="1723">IF(AE163&gt;0,(AE165-AE163)/AE163,)</f>
        <v>-9.6792138627452576E-2</v>
      </c>
      <c r="AV165" s="527">
        <f t="shared" ref="AV165" si="1724">IF(AF163&gt;0,(AF165-AF163)/AF163,)</f>
        <v>-0.10755611322646107</v>
      </c>
      <c r="AW165" s="518">
        <f t="shared" ref="AW165" si="1725">IF(AG163&gt;0,(AG165-AG163)/AG163,)</f>
        <v>0</v>
      </c>
      <c r="AX165" s="525">
        <f t="shared" ref="AX165" si="1726">IF(AH163&gt;0,(AH165-AH163)/AH163,)</f>
        <v>-0.10755611322646107</v>
      </c>
    </row>
    <row r="166" spans="1:50" x14ac:dyDescent="0.2">
      <c r="A166" s="696" t="s">
        <v>1099</v>
      </c>
      <c r="B166" s="697">
        <v>181</v>
      </c>
      <c r="C166" s="697"/>
      <c r="D166" s="697">
        <v>158</v>
      </c>
      <c r="E166" s="697">
        <v>163</v>
      </c>
      <c r="F166" s="697"/>
      <c r="G166" s="697"/>
      <c r="H166" s="697">
        <v>502</v>
      </c>
      <c r="I166" s="697"/>
      <c r="J166" s="697">
        <v>0</v>
      </c>
      <c r="K166" s="697">
        <v>0</v>
      </c>
      <c r="L166" s="697">
        <v>0</v>
      </c>
      <c r="M166" s="697"/>
      <c r="N166" s="697">
        <v>0</v>
      </c>
      <c r="O166" s="697">
        <v>0</v>
      </c>
      <c r="P166" s="697"/>
      <c r="Q166" s="697">
        <v>0</v>
      </c>
      <c r="Y166" s="309"/>
      <c r="Z166" s="305"/>
      <c r="AE166" s="309"/>
      <c r="AF166" s="305"/>
      <c r="AH166" s="309"/>
      <c r="AI166" s="516"/>
      <c r="AO166" s="524"/>
      <c r="AU166" s="524"/>
      <c r="AX166" s="524"/>
    </row>
    <row r="167" spans="1:50" x14ac:dyDescent="0.2">
      <c r="A167" s="696" t="s">
        <v>1101</v>
      </c>
      <c r="B167" s="697">
        <v>8078554.6678102389</v>
      </c>
      <c r="C167" s="697"/>
      <c r="D167" s="697">
        <v>7376169.8565340918</v>
      </c>
      <c r="E167" s="697">
        <v>7413759.2574850302</v>
      </c>
      <c r="F167" s="697"/>
      <c r="G167" s="697"/>
      <c r="H167" s="697">
        <v>22868483.781829361</v>
      </c>
      <c r="I167" s="697"/>
      <c r="J167" s="697">
        <v>0</v>
      </c>
      <c r="K167" s="697">
        <v>0</v>
      </c>
      <c r="L167" s="697">
        <v>0</v>
      </c>
      <c r="M167" s="697"/>
      <c r="N167" s="697">
        <v>0</v>
      </c>
      <c r="O167" s="697">
        <v>0</v>
      </c>
      <c r="P167" s="697"/>
      <c r="Q167" s="697">
        <v>0</v>
      </c>
      <c r="R167" s="294"/>
      <c r="S167" s="296">
        <f>IF(B166&gt;0,(B167/B166),)</f>
        <v>44632.898717183642</v>
      </c>
      <c r="T167" s="296">
        <f t="shared" ref="T167" si="1727">IF(C166&gt;0,(C167/C166),)</f>
        <v>0</v>
      </c>
      <c r="U167" s="296">
        <f t="shared" ref="U167" si="1728">IF(D166&gt;0,(D167/D166),)</f>
        <v>46684.619345152481</v>
      </c>
      <c r="V167" s="296">
        <f t="shared" ref="V167" si="1729">IF(E166&gt;0,(E167/E166),)</f>
        <v>45483.185628742518</v>
      </c>
      <c r="W167" s="296">
        <f t="shared" ref="W167" si="1730">IF(F166&gt;0,(F167/F166),)</f>
        <v>0</v>
      </c>
      <c r="X167" s="296">
        <f t="shared" ref="X167" si="1731">IF(G166&gt;0,(G167/G166),)</f>
        <v>0</v>
      </c>
      <c r="Y167" s="311">
        <f t="shared" ref="Y167" si="1732">IF(H166&gt;0,(H167/H166),)</f>
        <v>45554.748569381198</v>
      </c>
      <c r="Z167" s="306">
        <f t="shared" ref="Z167" si="1733">IF(I166&gt;0,(I167/I166),)</f>
        <v>0</v>
      </c>
      <c r="AA167" s="296">
        <f t="shared" ref="AA167" si="1734">IF(J166&gt;0,(J167/J166),)</f>
        <v>0</v>
      </c>
      <c r="AB167" s="296">
        <f t="shared" ref="AB167" si="1735">IF(K166&gt;0,(K167/K166),)</f>
        <v>0</v>
      </c>
      <c r="AC167" s="296">
        <f t="shared" ref="AC167" si="1736">IF(L166&gt;0,(L167/L166),)</f>
        <v>0</v>
      </c>
      <c r="AD167" s="296">
        <f t="shared" ref="AD167" si="1737">IF(M166&gt;0,(M167/M166),)</f>
        <v>0</v>
      </c>
      <c r="AE167" s="311">
        <f t="shared" ref="AE167" si="1738">IF(N166&gt;0,(N167/N166),)</f>
        <v>0</v>
      </c>
      <c r="AF167" s="306">
        <f t="shared" ref="AF167" si="1739">IF(O166&gt;0,(O167/O166),)</f>
        <v>0</v>
      </c>
      <c r="AG167" s="296">
        <f t="shared" ref="AG167" si="1740">IF(P166&gt;0,(P167/P166),)</f>
        <v>0</v>
      </c>
      <c r="AH167" s="311">
        <f t="shared" ref="AH167" si="1741">IF(Q166&gt;0,(Q167/Q166),)</f>
        <v>0</v>
      </c>
      <c r="AI167" s="516"/>
      <c r="AO167" s="524"/>
      <c r="AU167" s="524"/>
      <c r="AX167" s="524"/>
    </row>
    <row r="168" spans="1:50" x14ac:dyDescent="0.2">
      <c r="A168" s="696" t="s">
        <v>1103</v>
      </c>
      <c r="B168" s="697">
        <v>190</v>
      </c>
      <c r="C168" s="697"/>
      <c r="D168" s="697">
        <v>182</v>
      </c>
      <c r="E168" s="697">
        <v>160</v>
      </c>
      <c r="F168" s="697"/>
      <c r="G168" s="697"/>
      <c r="H168" s="697">
        <v>532</v>
      </c>
      <c r="I168" s="697"/>
      <c r="J168" s="697">
        <v>21</v>
      </c>
      <c r="K168" s="697">
        <v>25</v>
      </c>
      <c r="L168" s="697">
        <v>1</v>
      </c>
      <c r="M168" s="697"/>
      <c r="N168" s="697">
        <v>47</v>
      </c>
      <c r="O168" s="697">
        <v>0</v>
      </c>
      <c r="P168" s="697"/>
      <c r="Q168" s="697">
        <v>0</v>
      </c>
      <c r="Y168" s="309"/>
      <c r="Z168" s="305"/>
      <c r="AE168" s="309"/>
      <c r="AF168" s="305"/>
      <c r="AH168" s="309"/>
      <c r="AI168" s="516"/>
      <c r="AO168" s="524"/>
      <c r="AU168" s="524"/>
      <c r="AX168" s="524"/>
    </row>
    <row r="169" spans="1:50" x14ac:dyDescent="0.2">
      <c r="A169" s="696" t="s">
        <v>1105</v>
      </c>
      <c r="B169" s="697">
        <v>8954221.862068966</v>
      </c>
      <c r="C169" s="697"/>
      <c r="D169" s="697">
        <v>8634891.2292115036</v>
      </c>
      <c r="E169" s="697">
        <v>6573894.5054945052</v>
      </c>
      <c r="F169" s="697"/>
      <c r="G169" s="697"/>
      <c r="H169" s="697">
        <v>24163007.596774973</v>
      </c>
      <c r="I169" s="697"/>
      <c r="J169" s="697">
        <v>255081</v>
      </c>
      <c r="K169" s="697">
        <v>262213.5</v>
      </c>
      <c r="L169" s="697">
        <v>12960</v>
      </c>
      <c r="M169" s="697"/>
      <c r="N169" s="697">
        <v>530254.5</v>
      </c>
      <c r="O169" s="697">
        <v>0</v>
      </c>
      <c r="P169" s="697"/>
      <c r="Q169" s="697">
        <v>0</v>
      </c>
      <c r="R169" s="294"/>
      <c r="S169" s="296">
        <f>IF(B168&gt;0,(B169/B168),)</f>
        <v>47127.483484573502</v>
      </c>
      <c r="T169" s="296">
        <f t="shared" ref="T169" si="1742">IF(C168&gt;0,(C169/C168),)</f>
        <v>0</v>
      </c>
      <c r="U169" s="296">
        <f t="shared" ref="U169" si="1743">IF(D168&gt;0,(D169/D168),)</f>
        <v>47444.457303359908</v>
      </c>
      <c r="V169" s="296">
        <f t="shared" ref="V169" si="1744">IF(E168&gt;0,(E169/E168),)</f>
        <v>41086.840659340654</v>
      </c>
      <c r="W169" s="296">
        <f t="shared" ref="W169" si="1745">IF(F168&gt;0,(F169/F168),)</f>
        <v>0</v>
      </c>
      <c r="X169" s="296">
        <f t="shared" ref="X169" si="1746">IF(G168&gt;0,(G169/G168),)</f>
        <v>0</v>
      </c>
      <c r="Y169" s="311">
        <f t="shared" ref="Y169" si="1747">IF(H168&gt;0,(H169/H168),)</f>
        <v>45419.18721198303</v>
      </c>
      <c r="Z169" s="306">
        <f t="shared" ref="Z169" si="1748">IF(I168&gt;0,(I169/I168),)</f>
        <v>0</v>
      </c>
      <c r="AA169" s="296">
        <f t="shared" ref="AA169" si="1749">IF(J168&gt;0,(J169/J168),)</f>
        <v>12146.714285714286</v>
      </c>
      <c r="AB169" s="296">
        <f t="shared" ref="AB169" si="1750">IF(K168&gt;0,(K169/K168),)</f>
        <v>10488.54</v>
      </c>
      <c r="AC169" s="296">
        <f t="shared" ref="AC169" si="1751">IF(L168&gt;0,(L169/L168),)</f>
        <v>12960</v>
      </c>
      <c r="AD169" s="296">
        <f t="shared" ref="AD169" si="1752">IF(M168&gt;0,(M169/M168),)</f>
        <v>0</v>
      </c>
      <c r="AE169" s="311">
        <f t="shared" ref="AE169" si="1753">IF(N168&gt;0,(N169/N168),)</f>
        <v>11282.010638297872</v>
      </c>
      <c r="AF169" s="306">
        <f t="shared" ref="AF169" si="1754">IF(O168&gt;0,(O169/O168),)</f>
        <v>0</v>
      </c>
      <c r="AG169" s="296">
        <f t="shared" ref="AG169" si="1755">IF(P168&gt;0,(P169/P168),)</f>
        <v>0</v>
      </c>
      <c r="AH169" s="311">
        <f t="shared" ref="AH169" si="1756">IF(Q168&gt;0,(Q169/Q168),)</f>
        <v>0</v>
      </c>
      <c r="AI169" s="517">
        <f>IF(S167&gt;0,(S169-S167)/S167,)</f>
        <v>5.5891166361315602E-2</v>
      </c>
      <c r="AJ169" s="518">
        <f t="shared" ref="AJ169" si="1757">IF(T167&gt;0,(T169-T167)/T167,)</f>
        <v>0</v>
      </c>
      <c r="AK169" s="518">
        <f t="shared" ref="AK169" si="1758">IF(U167&gt;0,(U169-U167)/U167,)</f>
        <v>1.6275980587733437E-2</v>
      </c>
      <c r="AL169" s="518">
        <f t="shared" ref="AL169" si="1759">IF(V167&gt;0,(V169-V167)/V167,)</f>
        <v>-9.6658686251379231E-2</v>
      </c>
      <c r="AM169" s="518">
        <f t="shared" ref="AM169" si="1760">IF(W167&gt;0,(W169-W167)/W167,)</f>
        <v>0</v>
      </c>
      <c r="AN169" s="518">
        <f t="shared" ref="AN169" si="1761">IF(X167&gt;0,(X169-X167)/X167,)</f>
        <v>0</v>
      </c>
      <c r="AO169" s="525">
        <f t="shared" ref="AO169" si="1762">IF(Y167&gt;0,(Y169-Y167)/Y167,)</f>
        <v>-2.9757898277432992E-3</v>
      </c>
      <c r="AP169" s="518">
        <f t="shared" ref="AP169" si="1763">IF(Z167&gt;0,(Z169-Z167)/Z167,)</f>
        <v>0</v>
      </c>
      <c r="AQ169" s="518">
        <f t="shared" ref="AQ169" si="1764">IF(AA167&gt;0,(AA169-AA167)/AA167,)</f>
        <v>0</v>
      </c>
      <c r="AR169" s="518">
        <f t="shared" ref="AR169" si="1765">IF(AB167&gt;0,(AB169-AB167)/AB167,)</f>
        <v>0</v>
      </c>
      <c r="AS169" s="518">
        <f t="shared" ref="AS169" si="1766">IF(AC167&gt;0,(AC169-AC167)/AC167,)</f>
        <v>0</v>
      </c>
      <c r="AT169" s="518">
        <f t="shared" ref="AT169" si="1767">IF(AD167&gt;0,(AD169-AD167)/AD167,)</f>
        <v>0</v>
      </c>
      <c r="AU169" s="525">
        <f t="shared" ref="AU169" si="1768">IF(AE167&gt;0,(AE169-AE167)/AE167,)</f>
        <v>0</v>
      </c>
      <c r="AV169" s="518">
        <f t="shared" ref="AV169" si="1769">IF(AF167&gt;0,(AF169-AF167)/AF167,)</f>
        <v>0</v>
      </c>
      <c r="AW169" s="518">
        <f t="shared" ref="AW169" si="1770">IF(AG167&gt;0,(AG169-AG167)/AG167,)</f>
        <v>0</v>
      </c>
      <c r="AX169" s="525">
        <f t="shared" ref="AX169" si="1771">IF(AH167&gt;0,(AH169-AH167)/AH167,)</f>
        <v>0</v>
      </c>
    </row>
    <row r="170" spans="1:50" x14ac:dyDescent="0.2">
      <c r="A170" s="696" t="s">
        <v>1107</v>
      </c>
      <c r="B170" s="697">
        <v>0</v>
      </c>
      <c r="C170" s="697"/>
      <c r="D170" s="697">
        <v>0</v>
      </c>
      <c r="E170" s="697">
        <v>0</v>
      </c>
      <c r="F170" s="697"/>
      <c r="G170" s="697"/>
      <c r="H170" s="697">
        <v>0</v>
      </c>
      <c r="I170" s="697"/>
      <c r="J170" s="697">
        <v>0</v>
      </c>
      <c r="K170" s="697">
        <v>0</v>
      </c>
      <c r="L170" s="697">
        <v>0</v>
      </c>
      <c r="M170" s="697"/>
      <c r="N170" s="697">
        <v>0</v>
      </c>
      <c r="O170" s="697">
        <v>0</v>
      </c>
      <c r="P170" s="697"/>
      <c r="Q170" s="697">
        <v>0</v>
      </c>
      <c r="Y170" s="309"/>
      <c r="Z170" s="305"/>
      <c r="AE170" s="309"/>
      <c r="AF170" s="305"/>
      <c r="AH170" s="309"/>
      <c r="AI170" s="516"/>
      <c r="AO170" s="524"/>
      <c r="AU170" s="524"/>
      <c r="AX170" s="524"/>
    </row>
    <row r="171" spans="1:50" x14ac:dyDescent="0.2">
      <c r="A171" s="696" t="s">
        <v>1109</v>
      </c>
      <c r="B171" s="697">
        <v>0</v>
      </c>
      <c r="C171" s="697"/>
      <c r="D171" s="697">
        <v>0</v>
      </c>
      <c r="E171" s="697">
        <v>0</v>
      </c>
      <c r="F171" s="697"/>
      <c r="G171" s="697"/>
      <c r="H171" s="697">
        <v>0</v>
      </c>
      <c r="I171" s="697"/>
      <c r="J171" s="697">
        <v>0</v>
      </c>
      <c r="K171" s="697">
        <v>0</v>
      </c>
      <c r="L171" s="697">
        <v>0</v>
      </c>
      <c r="M171" s="697"/>
      <c r="N171" s="697">
        <v>0</v>
      </c>
      <c r="O171" s="697">
        <v>0</v>
      </c>
      <c r="P171" s="697"/>
      <c r="Q171" s="697">
        <v>0</v>
      </c>
      <c r="R171" s="294"/>
      <c r="S171" s="296">
        <f>IF(B170&gt;0,(B171/B170),)</f>
        <v>0</v>
      </c>
      <c r="T171" s="296">
        <f t="shared" ref="T171" si="1772">IF(C170&gt;0,(C171/C170),)</f>
        <v>0</v>
      </c>
      <c r="U171" s="296">
        <f t="shared" ref="U171" si="1773">IF(D170&gt;0,(D171/D170),)</f>
        <v>0</v>
      </c>
      <c r="V171" s="296">
        <f t="shared" ref="V171" si="1774">IF(E170&gt;0,(E171/E170),)</f>
        <v>0</v>
      </c>
      <c r="W171" s="296">
        <f t="shared" ref="W171" si="1775">IF(F170&gt;0,(F171/F170),)</f>
        <v>0</v>
      </c>
      <c r="X171" s="296">
        <f t="shared" ref="X171" si="1776">IF(G170&gt;0,(G171/G170),)</f>
        <v>0</v>
      </c>
      <c r="Y171" s="311">
        <f t="shared" ref="Y171" si="1777">IF(H170&gt;0,(H171/H170),)</f>
        <v>0</v>
      </c>
      <c r="Z171" s="306">
        <f t="shared" ref="Z171" si="1778">IF(I170&gt;0,(I171/I170),)</f>
        <v>0</v>
      </c>
      <c r="AA171" s="296">
        <f t="shared" ref="AA171" si="1779">IF(J170&gt;0,(J171/J170),)</f>
        <v>0</v>
      </c>
      <c r="AB171" s="296">
        <f t="shared" ref="AB171" si="1780">IF(K170&gt;0,(K171/K170),)</f>
        <v>0</v>
      </c>
      <c r="AC171" s="296">
        <f t="shared" ref="AC171" si="1781">IF(L170&gt;0,(L171/L170),)</f>
        <v>0</v>
      </c>
      <c r="AD171" s="296">
        <f t="shared" ref="AD171" si="1782">IF(M170&gt;0,(M171/M170),)</f>
        <v>0</v>
      </c>
      <c r="AE171" s="311">
        <f t="shared" ref="AE171" si="1783">IF(N170&gt;0,(N171/N170),)</f>
        <v>0</v>
      </c>
      <c r="AF171" s="306">
        <f t="shared" ref="AF171" si="1784">IF(O170&gt;0,(O171/O170),)</f>
        <v>0</v>
      </c>
      <c r="AG171" s="296">
        <f t="shared" ref="AG171" si="1785">IF(P170&gt;0,(P171/P170),)</f>
        <v>0</v>
      </c>
      <c r="AH171" s="311">
        <f t="shared" ref="AH171" si="1786">IF(Q170&gt;0,(Q171/Q170),)</f>
        <v>0</v>
      </c>
      <c r="AI171" s="516"/>
      <c r="AO171" s="524"/>
      <c r="AU171" s="524"/>
      <c r="AX171" s="524"/>
    </row>
    <row r="172" spans="1:50" x14ac:dyDescent="0.2">
      <c r="A172" s="696" t="s">
        <v>1111</v>
      </c>
      <c r="B172" s="697">
        <v>0</v>
      </c>
      <c r="C172" s="697"/>
      <c r="D172" s="697">
        <v>0</v>
      </c>
      <c r="E172" s="697">
        <v>0</v>
      </c>
      <c r="F172" s="697"/>
      <c r="G172" s="697"/>
      <c r="H172" s="697">
        <v>0</v>
      </c>
      <c r="I172" s="697"/>
      <c r="J172" s="697">
        <v>0</v>
      </c>
      <c r="K172" s="697">
        <v>0</v>
      </c>
      <c r="L172" s="697">
        <v>0</v>
      </c>
      <c r="M172" s="697"/>
      <c r="N172" s="697">
        <v>0</v>
      </c>
      <c r="O172" s="697">
        <v>0</v>
      </c>
      <c r="P172" s="697"/>
      <c r="Q172" s="697">
        <v>0</v>
      </c>
      <c r="Y172" s="309"/>
      <c r="Z172" s="305"/>
      <c r="AE172" s="309"/>
      <c r="AF172" s="305"/>
      <c r="AH172" s="309"/>
      <c r="AI172" s="516"/>
      <c r="AO172" s="524"/>
      <c r="AU172" s="524"/>
      <c r="AX172" s="524"/>
    </row>
    <row r="173" spans="1:50" x14ac:dyDescent="0.2">
      <c r="A173" s="696" t="s">
        <v>1113</v>
      </c>
      <c r="B173" s="697">
        <v>0</v>
      </c>
      <c r="C173" s="697"/>
      <c r="D173" s="697">
        <v>0</v>
      </c>
      <c r="E173" s="697">
        <v>0</v>
      </c>
      <c r="F173" s="697"/>
      <c r="G173" s="697"/>
      <c r="H173" s="697">
        <v>0</v>
      </c>
      <c r="I173" s="697"/>
      <c r="J173" s="697">
        <v>0</v>
      </c>
      <c r="K173" s="697">
        <v>0</v>
      </c>
      <c r="L173" s="697">
        <v>0</v>
      </c>
      <c r="M173" s="697"/>
      <c r="N173" s="697">
        <v>0</v>
      </c>
      <c r="O173" s="697">
        <v>0</v>
      </c>
      <c r="P173" s="697"/>
      <c r="Q173" s="697">
        <v>0</v>
      </c>
      <c r="R173" s="294"/>
      <c r="S173" s="296">
        <f>IF(B172&gt;0,(B173/B172),)</f>
        <v>0</v>
      </c>
      <c r="T173" s="296">
        <f t="shared" ref="T173" si="1787">IF(C172&gt;0,(C173/C172),)</f>
        <v>0</v>
      </c>
      <c r="U173" s="296">
        <f t="shared" ref="U173" si="1788">IF(D172&gt;0,(D173/D172),)</f>
        <v>0</v>
      </c>
      <c r="V173" s="296">
        <f t="shared" ref="V173" si="1789">IF(E172&gt;0,(E173/E172),)</f>
        <v>0</v>
      </c>
      <c r="W173" s="296">
        <f t="shared" ref="W173" si="1790">IF(F172&gt;0,(F173/F172),)</f>
        <v>0</v>
      </c>
      <c r="X173" s="296">
        <f t="shared" ref="X173" si="1791">IF(G172&gt;0,(G173/G172),)</f>
        <v>0</v>
      </c>
      <c r="Y173" s="311">
        <f t="shared" ref="Y173" si="1792">IF(H172&gt;0,(H173/H172),)</f>
        <v>0</v>
      </c>
      <c r="Z173" s="306">
        <f t="shared" ref="Z173" si="1793">IF(I172&gt;0,(I173/I172),)</f>
        <v>0</v>
      </c>
      <c r="AA173" s="296">
        <f t="shared" ref="AA173" si="1794">IF(J172&gt;0,(J173/J172),)</f>
        <v>0</v>
      </c>
      <c r="AB173" s="296">
        <f t="shared" ref="AB173" si="1795">IF(K172&gt;0,(K173/K172),)</f>
        <v>0</v>
      </c>
      <c r="AC173" s="296">
        <f t="shared" ref="AC173" si="1796">IF(L172&gt;0,(L173/L172),)</f>
        <v>0</v>
      </c>
      <c r="AD173" s="296">
        <f t="shared" ref="AD173" si="1797">IF(M172&gt;0,(M173/M172),)</f>
        <v>0</v>
      </c>
      <c r="AE173" s="311">
        <f t="shared" ref="AE173" si="1798">IF(N172&gt;0,(N173/N172),)</f>
        <v>0</v>
      </c>
      <c r="AF173" s="306">
        <f t="shared" ref="AF173" si="1799">IF(O172&gt;0,(O173/O172),)</f>
        <v>0</v>
      </c>
      <c r="AG173" s="296">
        <f t="shared" ref="AG173" si="1800">IF(P172&gt;0,(P173/P172),)</f>
        <v>0</v>
      </c>
      <c r="AH173" s="311">
        <f t="shared" ref="AH173" si="1801">IF(Q172&gt;0,(Q173/Q172),)</f>
        <v>0</v>
      </c>
      <c r="AI173" s="517">
        <f>IF(S171&gt;0,(S173-S171)/S171,)</f>
        <v>0</v>
      </c>
      <c r="AJ173" s="518">
        <f t="shared" ref="AJ173" si="1802">IF(T171&gt;0,(T173-T171)/T171,)</f>
        <v>0</v>
      </c>
      <c r="AK173" s="518">
        <f t="shared" ref="AK173" si="1803">IF(U171&gt;0,(U173-U171)/U171,)</f>
        <v>0</v>
      </c>
      <c r="AL173" s="518">
        <f t="shared" ref="AL173" si="1804">IF(V171&gt;0,(V173-V171)/V171,)</f>
        <v>0</v>
      </c>
      <c r="AM173" s="518">
        <f t="shared" ref="AM173" si="1805">IF(W171&gt;0,(W173-W171)/W171,)</f>
        <v>0</v>
      </c>
      <c r="AN173" s="518">
        <f t="shared" ref="AN173" si="1806">IF(X171&gt;0,(X173-X171)/X171,)</f>
        <v>0</v>
      </c>
      <c r="AO173" s="525">
        <f t="shared" ref="AO173" si="1807">IF(Y171&gt;0,(Y173-Y171)/Y171,)</f>
        <v>0</v>
      </c>
      <c r="AP173" s="518">
        <f t="shared" ref="AP173" si="1808">IF(Z171&gt;0,(Z173-Z171)/Z171,)</f>
        <v>0</v>
      </c>
      <c r="AQ173" s="518">
        <f t="shared" ref="AQ173" si="1809">IF(AA171&gt;0,(AA173-AA171)/AA171,)</f>
        <v>0</v>
      </c>
      <c r="AR173" s="518">
        <f t="shared" ref="AR173" si="1810">IF(AB171&gt;0,(AB173-AB171)/AB171,)</f>
        <v>0</v>
      </c>
      <c r="AS173" s="518">
        <f t="shared" ref="AS173" si="1811">IF(AC171&gt;0,(AC173-AC171)/AC171,)</f>
        <v>0</v>
      </c>
      <c r="AT173" s="518">
        <f t="shared" ref="AT173" si="1812">IF(AD171&gt;0,(AD173-AD171)/AD171,)</f>
        <v>0</v>
      </c>
      <c r="AU173" s="525">
        <f t="shared" ref="AU173" si="1813">IF(AE171&gt;0,(AE173-AE171)/AE171,)</f>
        <v>0</v>
      </c>
      <c r="AV173" s="518">
        <f t="shared" ref="AV173" si="1814">IF(AF171&gt;0,(AF173-AF171)/AF171,)</f>
        <v>0</v>
      </c>
      <c r="AW173" s="518">
        <f t="shared" ref="AW173" si="1815">IF(AG171&gt;0,(AG173-AG171)/AG171,)</f>
        <v>0</v>
      </c>
      <c r="AX173" s="525">
        <f t="shared" ref="AX173" si="1816">IF(AH171&gt;0,(AH173-AH171)/AH171,)</f>
        <v>0</v>
      </c>
    </row>
    <row r="174" spans="1:50" x14ac:dyDescent="0.2">
      <c r="A174" s="696" t="s">
        <v>1115</v>
      </c>
      <c r="B174" s="697">
        <v>2261</v>
      </c>
      <c r="C174" s="697"/>
      <c r="D174" s="697">
        <v>2222</v>
      </c>
      <c r="E174" s="697">
        <v>674</v>
      </c>
      <c r="F174" s="697"/>
      <c r="G174" s="697"/>
      <c r="H174" s="697">
        <v>5157</v>
      </c>
      <c r="I174" s="697"/>
      <c r="J174" s="697">
        <v>524</v>
      </c>
      <c r="K174" s="697">
        <v>1233</v>
      </c>
      <c r="L174" s="697">
        <v>48</v>
      </c>
      <c r="M174" s="697"/>
      <c r="N174" s="697">
        <v>1805</v>
      </c>
      <c r="O174" s="697">
        <v>166</v>
      </c>
      <c r="P174" s="697"/>
      <c r="Q174" s="697">
        <v>166</v>
      </c>
      <c r="Y174" s="309"/>
      <c r="Z174" s="305"/>
      <c r="AE174" s="309"/>
      <c r="AF174" s="305"/>
      <c r="AH174" s="309"/>
      <c r="AI174" s="516"/>
      <c r="AO174" s="524"/>
      <c r="AU174" s="524"/>
      <c r="AX174" s="524"/>
    </row>
    <row r="175" spans="1:50" x14ac:dyDescent="0.2">
      <c r="A175" s="696" t="s">
        <v>1117</v>
      </c>
      <c r="B175" s="697">
        <v>183257239.33870906</v>
      </c>
      <c r="C175" s="697"/>
      <c r="D175" s="697">
        <v>134919274.22893798</v>
      </c>
      <c r="E175" s="697">
        <v>43164289.490812115</v>
      </c>
      <c r="F175" s="697"/>
      <c r="G175" s="697"/>
      <c r="H175" s="697">
        <v>361340803.05845916</v>
      </c>
      <c r="I175" s="697"/>
      <c r="J175" s="697">
        <v>26643665.229293741</v>
      </c>
      <c r="K175" s="697">
        <v>59868403.633878857</v>
      </c>
      <c r="L175" s="697">
        <v>2565520.4511488508</v>
      </c>
      <c r="M175" s="697"/>
      <c r="N175" s="697">
        <v>89077589.314321443</v>
      </c>
      <c r="O175" s="697">
        <v>7378348.4073505923</v>
      </c>
      <c r="P175" s="697"/>
      <c r="Q175" s="697">
        <v>7378348.4073505923</v>
      </c>
      <c r="R175" s="294"/>
      <c r="S175" s="296">
        <f>IF(B174&gt;0,(B175/B174),)</f>
        <v>81051.41058766433</v>
      </c>
      <c r="T175" s="296">
        <f t="shared" ref="T175" si="1817">IF(C174&gt;0,(C175/C174),)</f>
        <v>0</v>
      </c>
      <c r="U175" s="296">
        <f t="shared" ref="U175" si="1818">IF(D174&gt;0,(D175/D174),)</f>
        <v>60719.745377559848</v>
      </c>
      <c r="V175" s="296">
        <f t="shared" ref="V175" si="1819">IF(E174&gt;0,(E175/E174),)</f>
        <v>64041.972538296905</v>
      </c>
      <c r="W175" s="296">
        <f t="shared" ref="W175" si="1820">IF(F174&gt;0,(F175/F174),)</f>
        <v>0</v>
      </c>
      <c r="X175" s="296">
        <f t="shared" ref="X175" si="1821">IF(G174&gt;0,(G175/G174),)</f>
        <v>0</v>
      </c>
      <c r="Y175" s="311">
        <f t="shared" ref="Y175" si="1822">IF(H174&gt;0,(H175/H174),)</f>
        <v>70068.024638056842</v>
      </c>
      <c r="Z175" s="306">
        <f t="shared" ref="Z175" si="1823">IF(I174&gt;0,(I175/I174),)</f>
        <v>0</v>
      </c>
      <c r="AA175" s="296">
        <f t="shared" ref="AA175" si="1824">IF(J174&gt;0,(J175/J174),)</f>
        <v>50846.689368881183</v>
      </c>
      <c r="AB175" s="296">
        <f t="shared" ref="AB175" si="1825">IF(K174&gt;0,(K175/K174),)</f>
        <v>48555.071884735487</v>
      </c>
      <c r="AC175" s="296">
        <f t="shared" ref="AC175" si="1826">IF(L174&gt;0,(L175/L174),)</f>
        <v>53448.342732267723</v>
      </c>
      <c r="AD175" s="296">
        <f t="shared" ref="AD175" si="1827">IF(M174&gt;0,(M175/M174),)</f>
        <v>0</v>
      </c>
      <c r="AE175" s="311">
        <f t="shared" ref="AE175" si="1828">IF(N174&gt;0,(N175/N174),)</f>
        <v>49350.464994083901</v>
      </c>
      <c r="AF175" s="306">
        <f t="shared" ref="AF175" si="1829">IF(O174&gt;0,(O175/O174),)</f>
        <v>44447.881971991519</v>
      </c>
      <c r="AG175" s="296">
        <f t="shared" ref="AG175" si="1830">IF(P174&gt;0,(P175/P174),)</f>
        <v>0</v>
      </c>
      <c r="AH175" s="311">
        <f t="shared" ref="AH175" si="1831">IF(Q174&gt;0,(Q175/Q174),)</f>
        <v>44447.881971991519</v>
      </c>
      <c r="AI175" s="516"/>
      <c r="AO175" s="524"/>
      <c r="AU175" s="524"/>
      <c r="AX175" s="524"/>
    </row>
    <row r="176" spans="1:50" x14ac:dyDescent="0.2">
      <c r="A176" s="696" t="s">
        <v>1119</v>
      </c>
      <c r="B176" s="697">
        <v>2274</v>
      </c>
      <c r="C176" s="697"/>
      <c r="D176" s="697">
        <v>2228</v>
      </c>
      <c r="E176" s="697">
        <v>674</v>
      </c>
      <c r="F176" s="697"/>
      <c r="G176" s="697"/>
      <c r="H176" s="697">
        <v>5176</v>
      </c>
      <c r="I176" s="697"/>
      <c r="J176" s="697">
        <v>570</v>
      </c>
      <c r="K176" s="697">
        <v>1271</v>
      </c>
      <c r="L176" s="697">
        <v>51</v>
      </c>
      <c r="M176" s="697"/>
      <c r="N176" s="697">
        <v>1892</v>
      </c>
      <c r="O176" s="697">
        <v>176</v>
      </c>
      <c r="P176" s="697"/>
      <c r="Q176" s="697">
        <v>176</v>
      </c>
      <c r="Y176" s="309"/>
      <c r="Z176" s="305"/>
      <c r="AE176" s="309"/>
      <c r="AF176" s="305"/>
      <c r="AH176" s="309"/>
      <c r="AI176" s="516"/>
      <c r="AO176" s="524"/>
      <c r="AU176" s="524"/>
      <c r="AX176" s="524"/>
    </row>
    <row r="177" spans="1:50" ht="13.5" thickBot="1" x14ac:dyDescent="0.25">
      <c r="A177" s="701" t="s">
        <v>1121</v>
      </c>
      <c r="B177" s="702">
        <v>186472799.16139665</v>
      </c>
      <c r="C177" s="702"/>
      <c r="D177" s="702">
        <v>135251376.89868307</v>
      </c>
      <c r="E177" s="702">
        <v>40003616.210724667</v>
      </c>
      <c r="F177" s="702"/>
      <c r="G177" s="702"/>
      <c r="H177" s="702">
        <v>361727792.27080435</v>
      </c>
      <c r="I177" s="702"/>
      <c r="J177" s="702">
        <v>25185881.154757082</v>
      </c>
      <c r="K177" s="702">
        <v>55596778.990382969</v>
      </c>
      <c r="L177" s="702">
        <v>2443420.8075721157</v>
      </c>
      <c r="M177" s="702"/>
      <c r="N177" s="702">
        <v>83226080.952712163</v>
      </c>
      <c r="O177" s="702">
        <v>7174055.6602604706</v>
      </c>
      <c r="P177" s="702"/>
      <c r="Q177" s="702">
        <v>7174055.6602604706</v>
      </c>
      <c r="S177" s="302">
        <f>IF(B176&gt;0,(B177/B176),)</f>
        <v>82002.110449162996</v>
      </c>
      <c r="T177" s="302">
        <f t="shared" ref="T177" si="1832">IF(C176&gt;0,(C177/C176),)</f>
        <v>0</v>
      </c>
      <c r="U177" s="302">
        <f t="shared" ref="U177" si="1833">IF(D176&gt;0,(D177/D176),)</f>
        <v>60705.285861168348</v>
      </c>
      <c r="V177" s="302">
        <f t="shared" ref="V177" si="1834">IF(E176&gt;0,(E177/E176),)</f>
        <v>59352.546306713157</v>
      </c>
      <c r="W177" s="302">
        <f t="shared" ref="W177" si="1835">IF(F176&gt;0,(F177/F176),)</f>
        <v>0</v>
      </c>
      <c r="X177" s="302">
        <f t="shared" ref="X177" si="1836">IF(G176&gt;0,(G177/G176),)</f>
        <v>0</v>
      </c>
      <c r="Y177" s="312">
        <f t="shared" ref="Y177" si="1837">IF(H176&gt;0,(H177/H176),)</f>
        <v>69885.585832844736</v>
      </c>
      <c r="Z177" s="307">
        <f t="shared" ref="Z177" si="1838">IF(I176&gt;0,(I177/I176),)</f>
        <v>0</v>
      </c>
      <c r="AA177" s="302">
        <f t="shared" ref="AA177" si="1839">IF(J176&gt;0,(J177/J176),)</f>
        <v>44185.756411854534</v>
      </c>
      <c r="AB177" s="302">
        <f t="shared" ref="AB177" si="1840">IF(K176&gt;0,(K177/K176),)</f>
        <v>43742.548379530264</v>
      </c>
      <c r="AC177" s="302">
        <f t="shared" ref="AC177" si="1841">IF(L176&gt;0,(L177/L176),)</f>
        <v>47910.21191317874</v>
      </c>
      <c r="AD177" s="302">
        <f t="shared" ref="AD177" si="1842">IF(M176&gt;0,(M177/M176),)</f>
        <v>0</v>
      </c>
      <c r="AE177" s="312">
        <f t="shared" ref="AE177" si="1843">IF(N176&gt;0,(N177/N176),)</f>
        <v>43988.414879869008</v>
      </c>
      <c r="AF177" s="307">
        <f t="shared" ref="AF177" si="1844">IF(O176&gt;0,(O177/O176),)</f>
        <v>40761.67988784358</v>
      </c>
      <c r="AG177" s="302">
        <f t="shared" ref="AG177" si="1845">IF(P176&gt;0,(P177/P176),)</f>
        <v>0</v>
      </c>
      <c r="AH177" s="312">
        <f t="shared" ref="AH177" si="1846">IF(Q176&gt;0,(Q177/Q176),)</f>
        <v>40761.67988784358</v>
      </c>
      <c r="AI177" s="519">
        <f>IF(S175&gt;0,(S177-S175)/S175,)</f>
        <v>1.1729590572275104E-2</v>
      </c>
      <c r="AJ177" s="520">
        <f t="shared" ref="AJ177" si="1847">IF(T175&gt;0,(T177-T175)/T175,)</f>
        <v>0</v>
      </c>
      <c r="AK177" s="520">
        <f t="shared" ref="AK177" si="1848">IF(U175&gt;0,(U177-U175)/U175,)</f>
        <v>-2.3813532651676544E-4</v>
      </c>
      <c r="AL177" s="520">
        <f t="shared" ref="AL177" si="1849">IF(V175&gt;0,(V177-V175)/V175,)</f>
        <v>-7.3224262865724268E-2</v>
      </c>
      <c r="AM177" s="520">
        <f t="shared" ref="AM177" si="1850">IF(W175&gt;0,(W177-W175)/W175,)</f>
        <v>0</v>
      </c>
      <c r="AN177" s="520">
        <f t="shared" ref="AN177" si="1851">IF(X175&gt;0,(X177-X175)/X175,)</f>
        <v>0</v>
      </c>
      <c r="AO177" s="526">
        <f t="shared" ref="AO177" si="1852">IF(Y175&gt;0,(Y177-Y175)/Y175,)</f>
        <v>-2.6037383835852655E-3</v>
      </c>
      <c r="AP177" s="520">
        <f t="shared" ref="AP177" si="1853">IF(Z175&gt;0,(Z177-Z175)/Z175,)</f>
        <v>0</v>
      </c>
      <c r="AQ177" s="520">
        <f t="shared" ref="AQ177" si="1854">IF(AA175&gt;0,(AA177-AA175)/AA175,)</f>
        <v>-0.13100032744911067</v>
      </c>
      <c r="AR177" s="520">
        <f t="shared" ref="AR177" si="1855">IF(AB175&gt;0,(AB177-AB175)/AB175,)</f>
        <v>-9.9114743700300462E-2</v>
      </c>
      <c r="AS177" s="520">
        <f t="shared" ref="AS177" si="1856">IF(AC175&gt;0,(AC177-AC175)/AC175,)</f>
        <v>-0.10361651149466818</v>
      </c>
      <c r="AT177" s="520">
        <f t="shared" ref="AT177" si="1857">IF(AD175&gt;0,(AD177-AD175)/AD175,)</f>
        <v>0</v>
      </c>
      <c r="AU177" s="526">
        <f t="shared" ref="AU177" si="1858">IF(AE175&gt;0,(AE177-AE175)/AE175,)</f>
        <v>-0.10865247399102911</v>
      </c>
      <c r="AV177" s="520">
        <f t="shared" ref="AV177" si="1859">IF(AF175&gt;0,(AF177-AF175)/AF175,)</f>
        <v>-8.2933132482460467E-2</v>
      </c>
      <c r="AW177" s="520">
        <f t="shared" ref="AW177" si="1860">IF(AG175&gt;0,(AG177-AG175)/AG175,)</f>
        <v>0</v>
      </c>
      <c r="AX177" s="526">
        <f t="shared" ref="AX177" si="1861">IF(AH175&gt;0,(AH177-AH175)/AH175,)</f>
        <v>-8.2933132482460467E-2</v>
      </c>
    </row>
    <row r="178" spans="1:50" x14ac:dyDescent="0.2">
      <c r="A178" s="695" t="s">
        <v>37</v>
      </c>
      <c r="B178" s="697"/>
      <c r="C178" s="697"/>
      <c r="D178" s="697"/>
      <c r="E178" s="697"/>
      <c r="F178" s="697"/>
      <c r="G178" s="697"/>
      <c r="H178" s="697"/>
      <c r="I178" s="697"/>
      <c r="J178" s="697"/>
      <c r="K178" s="697"/>
      <c r="L178" s="697"/>
      <c r="M178" s="697"/>
      <c r="N178" s="697"/>
      <c r="O178" s="697"/>
      <c r="P178" s="697"/>
      <c r="Q178" s="697"/>
      <c r="Y178" s="309"/>
      <c r="Z178" s="305"/>
      <c r="AE178" s="309"/>
      <c r="AF178" s="305"/>
      <c r="AH178" s="309"/>
      <c r="AI178" s="516"/>
      <c r="AO178" s="524"/>
      <c r="AU178" s="524"/>
      <c r="AX178" s="524"/>
    </row>
    <row r="179" spans="1:50" x14ac:dyDescent="0.2">
      <c r="A179" s="696" t="s">
        <v>1067</v>
      </c>
      <c r="B179" s="697">
        <v>408</v>
      </c>
      <c r="C179" s="697">
        <v>344</v>
      </c>
      <c r="D179" s="697">
        <v>292</v>
      </c>
      <c r="E179" s="697">
        <v>229</v>
      </c>
      <c r="F179" s="697"/>
      <c r="G179" s="697">
        <v>17</v>
      </c>
      <c r="H179" s="697">
        <v>1290</v>
      </c>
      <c r="I179" s="697"/>
      <c r="J179" s="697">
        <v>94</v>
      </c>
      <c r="K179" s="697">
        <v>16</v>
      </c>
      <c r="L179" s="697">
        <v>14</v>
      </c>
      <c r="M179" s="697"/>
      <c r="N179" s="697">
        <v>124</v>
      </c>
      <c r="O179" s="697">
        <v>85</v>
      </c>
      <c r="P179" s="697"/>
      <c r="Q179" s="697">
        <v>85</v>
      </c>
      <c r="S179" s="295"/>
      <c r="T179" s="295"/>
      <c r="U179" s="295"/>
      <c r="V179" s="295"/>
      <c r="W179" s="295"/>
      <c r="X179" s="295"/>
      <c r="Y179" s="310"/>
      <c r="Z179" s="305"/>
      <c r="AA179" s="295"/>
      <c r="AB179" s="295"/>
      <c r="AC179" s="295"/>
      <c r="AD179" s="295"/>
      <c r="AE179" s="310"/>
      <c r="AF179" s="305"/>
      <c r="AG179" s="295"/>
      <c r="AH179" s="310"/>
      <c r="AI179" s="516"/>
      <c r="AO179" s="524"/>
      <c r="AU179" s="524"/>
      <c r="AX179" s="524"/>
    </row>
    <row r="180" spans="1:50" x14ac:dyDescent="0.2">
      <c r="A180" s="696" t="s">
        <v>1069</v>
      </c>
      <c r="B180" s="697">
        <v>44619411.348837212</v>
      </c>
      <c r="C180" s="697">
        <v>31718898.148069337</v>
      </c>
      <c r="D180" s="697">
        <v>23025623.752559897</v>
      </c>
      <c r="E180" s="697">
        <v>16383474.859816901</v>
      </c>
      <c r="F180" s="697"/>
      <c r="G180" s="697">
        <v>1062619.7300613497</v>
      </c>
      <c r="H180" s="697">
        <v>116810027.83934471</v>
      </c>
      <c r="I180" s="697"/>
      <c r="J180" s="697">
        <v>7171836.5755627006</v>
      </c>
      <c r="K180" s="697">
        <v>937455.56756756757</v>
      </c>
      <c r="L180" s="697">
        <v>690979</v>
      </c>
      <c r="M180" s="697"/>
      <c r="N180" s="697">
        <v>8800271.1431302689</v>
      </c>
      <c r="O180" s="697">
        <v>3660161.2295176894</v>
      </c>
      <c r="P180" s="697"/>
      <c r="Q180" s="697">
        <v>3660161.2295176894</v>
      </c>
      <c r="S180" s="296">
        <f>IF(B179&gt;0,(B180/B179),)</f>
        <v>109361.3023255814</v>
      </c>
      <c r="T180" s="296">
        <f t="shared" ref="T180" si="1862">IF(C179&gt;0,(C180/C179),)</f>
        <v>92206.099267643425</v>
      </c>
      <c r="U180" s="296">
        <f t="shared" ref="U180" si="1863">IF(D179&gt;0,(D180/D179),)</f>
        <v>78854.875864931149</v>
      </c>
      <c r="V180" s="296">
        <f t="shared" ref="V180" si="1864">IF(E179&gt;0,(E180/E179),)</f>
        <v>71543.558339811803</v>
      </c>
      <c r="W180" s="296">
        <f t="shared" ref="W180" si="1865">IF(F179&gt;0,(F180/F179),)</f>
        <v>0</v>
      </c>
      <c r="X180" s="296">
        <f t="shared" ref="X180" si="1866">IF(G179&gt;0,(G180/G179),)</f>
        <v>62507.042944785273</v>
      </c>
      <c r="Y180" s="311">
        <f t="shared" ref="Y180" si="1867">IF(H179&gt;0,(H180/H179),)</f>
        <v>90550.409177786598</v>
      </c>
      <c r="Z180" s="306">
        <f t="shared" ref="Z180" si="1868">IF(I179&gt;0,(I180/I179),)</f>
        <v>0</v>
      </c>
      <c r="AA180" s="296">
        <f t="shared" ref="AA180" si="1869">IF(J179&gt;0,(J180/J179),)</f>
        <v>76296.133782581921</v>
      </c>
      <c r="AB180" s="296">
        <f t="shared" ref="AB180" si="1870">IF(K179&gt;0,(K180/K179),)</f>
        <v>58590.972972972973</v>
      </c>
      <c r="AC180" s="296">
        <f t="shared" ref="AC180" si="1871">IF(L179&gt;0,(L180/L179),)</f>
        <v>49355.642857142855</v>
      </c>
      <c r="AD180" s="296">
        <f t="shared" ref="AD180" si="1872">IF(M179&gt;0,(M180/M179),)</f>
        <v>0</v>
      </c>
      <c r="AE180" s="311">
        <f t="shared" ref="AE180" si="1873">IF(N179&gt;0,(N180/N179),)</f>
        <v>70969.928573631201</v>
      </c>
      <c r="AF180" s="306">
        <f t="shared" ref="AF180" si="1874">IF(O179&gt;0,(O180/O179),)</f>
        <v>43060.720347266935</v>
      </c>
      <c r="AG180" s="296">
        <f t="shared" ref="AG180" si="1875">IF(P179&gt;0,(P180/P179),)</f>
        <v>0</v>
      </c>
      <c r="AH180" s="311">
        <f t="shared" ref="AH180" si="1876">IF(Q179&gt;0,(Q180/Q179),)</f>
        <v>43060.720347266935</v>
      </c>
      <c r="AI180" s="516"/>
      <c r="AO180" s="524"/>
      <c r="AU180" s="524"/>
      <c r="AX180" s="524"/>
    </row>
    <row r="181" spans="1:50" x14ac:dyDescent="0.2">
      <c r="A181" s="696" t="s">
        <v>1071</v>
      </c>
      <c r="B181" s="697">
        <v>418</v>
      </c>
      <c r="C181" s="697">
        <v>329</v>
      </c>
      <c r="D181" s="697">
        <v>244</v>
      </c>
      <c r="E181" s="697">
        <v>245</v>
      </c>
      <c r="F181" s="697"/>
      <c r="G181" s="697">
        <v>16</v>
      </c>
      <c r="H181" s="697">
        <v>1252</v>
      </c>
      <c r="I181" s="697"/>
      <c r="J181" s="697">
        <v>105</v>
      </c>
      <c r="K181" s="697">
        <v>29</v>
      </c>
      <c r="L181" s="697">
        <v>20</v>
      </c>
      <c r="M181" s="697"/>
      <c r="N181" s="697">
        <v>154</v>
      </c>
      <c r="O181" s="697">
        <v>35</v>
      </c>
      <c r="P181" s="697"/>
      <c r="Q181" s="697">
        <v>35</v>
      </c>
      <c r="Y181" s="309"/>
      <c r="Z181" s="305"/>
      <c r="AE181" s="309"/>
      <c r="AF181" s="305"/>
      <c r="AH181" s="309"/>
      <c r="AI181" s="516"/>
      <c r="AO181" s="524"/>
      <c r="AU181" s="524"/>
      <c r="AX181" s="524"/>
    </row>
    <row r="182" spans="1:50" x14ac:dyDescent="0.2">
      <c r="A182" s="696" t="s">
        <v>1073</v>
      </c>
      <c r="B182" s="697">
        <v>44801428.609756097</v>
      </c>
      <c r="C182" s="697">
        <v>30126042.61421591</v>
      </c>
      <c r="D182" s="697">
        <v>17920391.852030948</v>
      </c>
      <c r="E182" s="697">
        <v>17105792.705935836</v>
      </c>
      <c r="F182" s="697"/>
      <c r="G182" s="697">
        <v>972491.77358490566</v>
      </c>
      <c r="H182" s="697">
        <v>110926147.55552369</v>
      </c>
      <c r="I182" s="697"/>
      <c r="J182" s="697">
        <v>6795582.2857142845</v>
      </c>
      <c r="K182" s="697">
        <v>1813450.875</v>
      </c>
      <c r="L182" s="697">
        <v>982701.85714285716</v>
      </c>
      <c r="M182" s="697"/>
      <c r="N182" s="697">
        <v>9591735.0178571399</v>
      </c>
      <c r="O182" s="697">
        <v>1530926.7741935484</v>
      </c>
      <c r="P182" s="697"/>
      <c r="Q182" s="697">
        <v>1530926.7741935484</v>
      </c>
      <c r="R182" s="294"/>
      <c r="S182" s="296">
        <f>IF(B181&gt;0,(B182/B181),)</f>
        <v>107180.45121951219</v>
      </c>
      <c r="T182" s="296">
        <f t="shared" ref="T182" si="1877">IF(C181&gt;0,(C182/C181),)</f>
        <v>91568.518584242891</v>
      </c>
      <c r="U182" s="296">
        <f t="shared" ref="U182" si="1878">IF(D181&gt;0,(D182/D181),)</f>
        <v>73444.228901766182</v>
      </c>
      <c r="V182" s="296">
        <f t="shared" ref="V182" si="1879">IF(E181&gt;0,(E182/E181),)</f>
        <v>69819.562065044229</v>
      </c>
      <c r="W182" s="296">
        <f t="shared" ref="W182" si="1880">IF(F181&gt;0,(F182/F181),)</f>
        <v>0</v>
      </c>
      <c r="X182" s="296">
        <f t="shared" ref="X182" si="1881">IF(G181&gt;0,(G182/G181),)</f>
        <v>60780.735849056604</v>
      </c>
      <c r="Y182" s="311">
        <f t="shared" ref="Y182" si="1882">IF(H181&gt;0,(H182/H181),)</f>
        <v>88599.159389395922</v>
      </c>
      <c r="Z182" s="306">
        <f t="shared" ref="Z182" si="1883">IF(I181&gt;0,(I182/I181),)</f>
        <v>0</v>
      </c>
      <c r="AA182" s="296">
        <f t="shared" ref="AA182" si="1884">IF(J181&gt;0,(J182/J181),)</f>
        <v>64719.831292516996</v>
      </c>
      <c r="AB182" s="296">
        <f t="shared" ref="AB182" si="1885">IF(K181&gt;0,(K182/K181),)</f>
        <v>62532.788793103449</v>
      </c>
      <c r="AC182" s="296">
        <f t="shared" ref="AC182" si="1886">IF(L181&gt;0,(L182/L181),)</f>
        <v>49135.092857142859</v>
      </c>
      <c r="AD182" s="296">
        <f t="shared" ref="AD182" si="1887">IF(M181&gt;0,(M182/M181),)</f>
        <v>0</v>
      </c>
      <c r="AE182" s="311">
        <f t="shared" ref="AE182" si="1888">IF(N181&gt;0,(N182/N181),)</f>
        <v>62283.993622448957</v>
      </c>
      <c r="AF182" s="306">
        <f t="shared" ref="AF182" si="1889">IF(O181&gt;0,(O182/O181),)</f>
        <v>43740.764976958526</v>
      </c>
      <c r="AG182" s="296">
        <f t="shared" ref="AG182" si="1890">IF(P181&gt;0,(P182/P181),)</f>
        <v>0</v>
      </c>
      <c r="AH182" s="311">
        <f t="shared" ref="AH182" si="1891">IF(Q181&gt;0,(Q182/Q181),)</f>
        <v>43740.764976958526</v>
      </c>
      <c r="AI182" s="517">
        <f>IF(S180&gt;0,(S182-S180)/S180,)</f>
        <v>-1.9941707529931945E-2</v>
      </c>
      <c r="AJ182" s="518">
        <f t="shared" ref="AJ182" si="1892">IF(T180&gt;0,(T182-T180)/T180,)</f>
        <v>-6.9147343664311307E-3</v>
      </c>
      <c r="AK182" s="527">
        <f t="shared" ref="AK182" si="1893">IF(U180&gt;0,(U182-U180)/U180,)</f>
        <v>-6.8615249264138714E-2</v>
      </c>
      <c r="AL182" s="518">
        <f t="shared" ref="AL182" si="1894">IF(V180&gt;0,(V182-V180)/V180,)</f>
        <v>-2.4097155841467606E-2</v>
      </c>
      <c r="AM182" s="518">
        <f t="shared" ref="AM182" si="1895">IF(W180&gt;0,(W182-W180)/W180,)</f>
        <v>0</v>
      </c>
      <c r="AN182" s="518">
        <f t="shared" ref="AN182" si="1896">IF(X180&gt;0,(X182-X180)/X180,)</f>
        <v>-2.7617801361257459E-2</v>
      </c>
      <c r="AO182" s="525">
        <f t="shared" ref="AO182" si="1897">IF(Y180&gt;0,(Y182-Y180)/Y180,)</f>
        <v>-2.1548768317099419E-2</v>
      </c>
      <c r="AP182" s="518">
        <f t="shared" ref="AP182" si="1898">IF(Z180&gt;0,(Z182-Z180)/Z180,)</f>
        <v>0</v>
      </c>
      <c r="AQ182" s="527">
        <f t="shared" ref="AQ182" si="1899">IF(AA180&gt;0,(AA182-AA180)/AA180,)</f>
        <v>-0.15172855970727767</v>
      </c>
      <c r="AR182" s="527">
        <f t="shared" ref="AR182" si="1900">IF(AB180&gt;0,(AB182-AB180)/AB180,)</f>
        <v>6.7276845222365045E-2</v>
      </c>
      <c r="AS182" s="527">
        <f t="shared" ref="AS182" si="1901">IF(AC180&gt;0,(AC182-AC180)/AC180,)</f>
        <v>-4.4685873232036561E-3</v>
      </c>
      <c r="AT182" s="518">
        <f t="shared" ref="AT182" si="1902">IF(AD180&gt;0,(AD182-AD180)/AD180,)</f>
        <v>0</v>
      </c>
      <c r="AU182" s="525">
        <f t="shared" ref="AU182" si="1903">IF(AE180&gt;0,(AE182-AE180)/AE180,)</f>
        <v>-0.12238894875271854</v>
      </c>
      <c r="AV182" s="518">
        <f t="shared" ref="AV182" si="1904">IF(AF180&gt;0,(AF182-AF180)/AF180,)</f>
        <v>1.579269051254395E-2</v>
      </c>
      <c r="AW182" s="518">
        <f t="shared" ref="AW182" si="1905">IF(AG180&gt;0,(AG182-AG180)/AG180,)</f>
        <v>0</v>
      </c>
      <c r="AX182" s="525">
        <f t="shared" ref="AX182" si="1906">IF(AH180&gt;0,(AH182-AH180)/AH180,)</f>
        <v>1.579269051254395E-2</v>
      </c>
    </row>
    <row r="183" spans="1:50" x14ac:dyDescent="0.2">
      <c r="A183" s="696" t="s">
        <v>1075</v>
      </c>
      <c r="B183" s="697">
        <v>298</v>
      </c>
      <c r="C183" s="697">
        <v>326</v>
      </c>
      <c r="D183" s="697">
        <v>284</v>
      </c>
      <c r="E183" s="697">
        <v>285</v>
      </c>
      <c r="F183" s="697"/>
      <c r="G183" s="697">
        <v>33</v>
      </c>
      <c r="H183" s="697">
        <v>1226</v>
      </c>
      <c r="I183" s="697"/>
      <c r="J183" s="697">
        <v>121</v>
      </c>
      <c r="K183" s="697">
        <v>17</v>
      </c>
      <c r="L183" s="697">
        <v>46</v>
      </c>
      <c r="M183" s="697"/>
      <c r="N183" s="697">
        <v>184</v>
      </c>
      <c r="O183" s="697">
        <v>18</v>
      </c>
      <c r="P183" s="697"/>
      <c r="Q183" s="697">
        <v>18</v>
      </c>
      <c r="Y183" s="309"/>
      <c r="Z183" s="305"/>
      <c r="AE183" s="309"/>
      <c r="AF183" s="305"/>
      <c r="AH183" s="309"/>
      <c r="AI183" s="516"/>
      <c r="AO183" s="524"/>
      <c r="AU183" s="524"/>
      <c r="AX183" s="524"/>
    </row>
    <row r="184" spans="1:50" x14ac:dyDescent="0.2">
      <c r="A184" s="698" t="s">
        <v>1077</v>
      </c>
      <c r="B184" s="699">
        <v>23467213.486784138</v>
      </c>
      <c r="C184" s="699">
        <v>22697197.73983423</v>
      </c>
      <c r="D184" s="699">
        <v>18939387.837508157</v>
      </c>
      <c r="E184" s="699">
        <v>16674578.657764852</v>
      </c>
      <c r="F184" s="699"/>
      <c r="G184" s="699">
        <v>1595877.7426710099</v>
      </c>
      <c r="H184" s="699">
        <v>83374255.464562386</v>
      </c>
      <c r="I184" s="699"/>
      <c r="J184" s="699">
        <v>7495517.5431164056</v>
      </c>
      <c r="K184" s="699">
        <v>848589.3167701863</v>
      </c>
      <c r="L184" s="699">
        <v>2161260.2159720198</v>
      </c>
      <c r="M184" s="699"/>
      <c r="N184" s="699">
        <v>10505367.075858612</v>
      </c>
      <c r="O184" s="699">
        <v>716985.35250463814</v>
      </c>
      <c r="P184" s="699"/>
      <c r="Q184" s="699">
        <v>716985.35250463814</v>
      </c>
      <c r="S184" s="296">
        <f>IF(B183&gt;0,(B184/B183),)</f>
        <v>78749.038546255499</v>
      </c>
      <c r="T184" s="296">
        <f t="shared" ref="T184" si="1907">IF(C183&gt;0,(C184/C183),)</f>
        <v>69623.305950411755</v>
      </c>
      <c r="U184" s="296">
        <f t="shared" ref="U184" si="1908">IF(D183&gt;0,(D184/D183),)</f>
        <v>66687.985343338587</v>
      </c>
      <c r="V184" s="296">
        <f t="shared" ref="V184" si="1909">IF(E183&gt;0,(E184/E183),)</f>
        <v>58507.293536017023</v>
      </c>
      <c r="W184" s="296">
        <f t="shared" ref="W184" si="1910">IF(F183&gt;0,(F184/F183),)</f>
        <v>0</v>
      </c>
      <c r="X184" s="296">
        <f t="shared" ref="X184" si="1911">IF(G183&gt;0,(G184/G183),)</f>
        <v>48359.931596091206</v>
      </c>
      <c r="Y184" s="311">
        <f t="shared" ref="Y184" si="1912">IF(H183&gt;0,(H184/H183),)</f>
        <v>68005.102336510914</v>
      </c>
      <c r="Z184" s="306">
        <f t="shared" ref="Z184" si="1913">IF(I183&gt;0,(I184/I183),)</f>
        <v>0</v>
      </c>
      <c r="AA184" s="296">
        <f t="shared" ref="AA184" si="1914">IF(J183&gt;0,(J184/J183),)</f>
        <v>61946.425976168641</v>
      </c>
      <c r="AB184" s="296">
        <f t="shared" ref="AB184" si="1915">IF(K183&gt;0,(K184/K183),)</f>
        <v>49917.018633540371</v>
      </c>
      <c r="AC184" s="296">
        <f t="shared" ref="AC184" si="1916">IF(L183&gt;0,(L184/L183),)</f>
        <v>46983.91773852217</v>
      </c>
      <c r="AD184" s="296">
        <f t="shared" ref="AD184" si="1917">IF(M183&gt;0,(M184/M183),)</f>
        <v>0</v>
      </c>
      <c r="AE184" s="311">
        <f t="shared" ref="AE184" si="1918">IF(N183&gt;0,(N184/N183),)</f>
        <v>57094.386281840278</v>
      </c>
      <c r="AF184" s="306">
        <f t="shared" ref="AF184" si="1919">IF(O183&gt;0,(O184/O183),)</f>
        <v>39832.519583591005</v>
      </c>
      <c r="AG184" s="296">
        <f t="shared" ref="AG184" si="1920">IF(P183&gt;0,(P184/P183),)</f>
        <v>0</v>
      </c>
      <c r="AH184" s="311">
        <f t="shared" ref="AH184" si="1921">IF(Q183&gt;0,(Q184/Q183),)</f>
        <v>39832.519583591005</v>
      </c>
      <c r="AI184" s="516"/>
      <c r="AO184" s="524"/>
      <c r="AU184" s="524"/>
      <c r="AX184" s="524"/>
    </row>
    <row r="185" spans="1:50" x14ac:dyDescent="0.2">
      <c r="A185" s="696" t="s">
        <v>1079</v>
      </c>
      <c r="B185" s="697">
        <v>312</v>
      </c>
      <c r="C185" s="697">
        <v>316</v>
      </c>
      <c r="D185" s="697">
        <v>257</v>
      </c>
      <c r="E185" s="697">
        <v>296</v>
      </c>
      <c r="F185" s="697"/>
      <c r="G185" s="697">
        <v>32</v>
      </c>
      <c r="H185" s="697">
        <v>1213</v>
      </c>
      <c r="I185" s="697"/>
      <c r="J185" s="697">
        <v>116</v>
      </c>
      <c r="K185" s="697">
        <v>20</v>
      </c>
      <c r="L185" s="697">
        <v>38</v>
      </c>
      <c r="M185" s="697"/>
      <c r="N185" s="697">
        <v>174</v>
      </c>
      <c r="O185" s="697">
        <v>11</v>
      </c>
      <c r="P185" s="697"/>
      <c r="Q185" s="697">
        <v>11</v>
      </c>
      <c r="Y185" s="309"/>
      <c r="Z185" s="305"/>
      <c r="AE185" s="309"/>
      <c r="AF185" s="305"/>
      <c r="AH185" s="309"/>
      <c r="AI185" s="516"/>
      <c r="AO185" s="524"/>
      <c r="AU185" s="524"/>
      <c r="AX185" s="524"/>
    </row>
    <row r="186" spans="1:50" x14ac:dyDescent="0.2">
      <c r="A186" s="696" t="s">
        <v>1081</v>
      </c>
      <c r="B186" s="697">
        <v>23932917.797705941</v>
      </c>
      <c r="C186" s="697">
        <v>21845363.477378346</v>
      </c>
      <c r="D186" s="697">
        <v>16133730.709809966</v>
      </c>
      <c r="E186" s="697">
        <v>16991844.291386772</v>
      </c>
      <c r="F186" s="697"/>
      <c r="G186" s="697">
        <v>1509642.7722772276</v>
      </c>
      <c r="H186" s="697">
        <v>80413499.04855825</v>
      </c>
      <c r="I186" s="697"/>
      <c r="J186" s="697">
        <v>6193787</v>
      </c>
      <c r="K186" s="697">
        <v>933226.3970588235</v>
      </c>
      <c r="L186" s="697">
        <v>1748873</v>
      </c>
      <c r="M186" s="697"/>
      <c r="N186" s="697">
        <v>8875886.3970588222</v>
      </c>
      <c r="O186" s="697">
        <v>417775.5882352941</v>
      </c>
      <c r="P186" s="697"/>
      <c r="Q186" s="697">
        <v>417775.5882352941</v>
      </c>
      <c r="R186" s="294"/>
      <c r="S186" s="296">
        <f>IF(B185&gt;0,(B186/B185),)</f>
        <v>76708.069864442121</v>
      </c>
      <c r="T186" s="296">
        <f t="shared" ref="T186" si="1922">IF(C185&gt;0,(C186/C185),)</f>
        <v>69130.897080311217</v>
      </c>
      <c r="U186" s="296">
        <f t="shared" ref="U186" si="1923">IF(D185&gt;0,(D186/D185),)</f>
        <v>62777.162294980415</v>
      </c>
      <c r="V186" s="296">
        <f t="shared" ref="V186" si="1924">IF(E185&gt;0,(E186/E185),)</f>
        <v>57404.879362793152</v>
      </c>
      <c r="W186" s="296">
        <f t="shared" ref="W186" si="1925">IF(F185&gt;0,(F186/F185),)</f>
        <v>0</v>
      </c>
      <c r="X186" s="296">
        <f t="shared" ref="X186" si="1926">IF(G185&gt;0,(G186/G185),)</f>
        <v>47176.336633663363</v>
      </c>
      <c r="Y186" s="311">
        <f t="shared" ref="Y186" si="1927">IF(H185&gt;0,(H186/H185),)</f>
        <v>66293.074236239278</v>
      </c>
      <c r="Z186" s="306">
        <f t="shared" ref="Z186" si="1928">IF(I185&gt;0,(I186/I185),)</f>
        <v>0</v>
      </c>
      <c r="AA186" s="296">
        <f t="shared" ref="AA186" si="1929">IF(J185&gt;0,(J186/J185),)</f>
        <v>53394.715517241377</v>
      </c>
      <c r="AB186" s="296">
        <f t="shared" ref="AB186" si="1930">IF(K185&gt;0,(K186/K185),)</f>
        <v>46661.319852941175</v>
      </c>
      <c r="AC186" s="296">
        <f t="shared" ref="AC186" si="1931">IF(L185&gt;0,(L186/L185),)</f>
        <v>46022.973684210527</v>
      </c>
      <c r="AD186" s="296">
        <f t="shared" ref="AD186" si="1932">IF(M185&gt;0,(M186/M185),)</f>
        <v>0</v>
      </c>
      <c r="AE186" s="311">
        <f t="shared" ref="AE186" si="1933">IF(N185&gt;0,(N186/N185),)</f>
        <v>51010.841362407024</v>
      </c>
      <c r="AF186" s="306">
        <f t="shared" ref="AF186" si="1934">IF(O185&gt;0,(O186/O185),)</f>
        <v>37979.598930481283</v>
      </c>
      <c r="AG186" s="296">
        <f t="shared" ref="AG186" si="1935">IF(P185&gt;0,(P186/P185),)</f>
        <v>0</v>
      </c>
      <c r="AH186" s="311">
        <f t="shared" ref="AH186" si="1936">IF(Q185&gt;0,(Q186/Q185),)</f>
        <v>37979.598930481283</v>
      </c>
      <c r="AI186" s="517">
        <f>IF(S184&gt;0,(S186-S184)/S184,)</f>
        <v>-2.5917379049835085E-2</v>
      </c>
      <c r="AJ186" s="518">
        <f t="shared" ref="AJ186" si="1937">IF(T184&gt;0,(T186-T184)/T184,)</f>
        <v>-7.0724718307868051E-3</v>
      </c>
      <c r="AK186" s="527">
        <f t="shared" ref="AK186" si="1938">IF(U184&gt;0,(U186-U184)/U184,)</f>
        <v>-5.8643592668507882E-2</v>
      </c>
      <c r="AL186" s="518">
        <f t="shared" ref="AL186" si="1939">IF(V184&gt;0,(V186-V184)/V184,)</f>
        <v>-1.8842337537716157E-2</v>
      </c>
      <c r="AM186" s="518">
        <f t="shared" ref="AM186" si="1940">IF(W184&gt;0,(W186-W184)/W184,)</f>
        <v>0</v>
      </c>
      <c r="AN186" s="518">
        <f t="shared" ref="AN186" si="1941">IF(X184&gt;0,(X186-X184)/X184,)</f>
        <v>-2.4474702989933723E-2</v>
      </c>
      <c r="AO186" s="525">
        <f t="shared" ref="AO186" si="1942">IF(Y184&gt;0,(Y186-Y184)/Y184,)</f>
        <v>-2.5174994837886957E-2</v>
      </c>
      <c r="AP186" s="518">
        <f t="shared" ref="AP186" si="1943">IF(Z184&gt;0,(Z186-Z184)/Z184,)</f>
        <v>0</v>
      </c>
      <c r="AQ186" s="527">
        <f t="shared" ref="AQ186" si="1944">IF(AA184&gt;0,(AA186-AA184)/AA184,)</f>
        <v>-0.13805010255502367</v>
      </c>
      <c r="AR186" s="636">
        <f t="shared" ref="AR186" si="1945">IF(AB184&gt;0,(AB186-AB184)/AB184,)</f>
        <v>-6.522222019108366E-2</v>
      </c>
      <c r="AS186" s="636">
        <f t="shared" ref="AS186" si="1946">IF(AC184&gt;0,(AC186-AC184)/AC184,)</f>
        <v>-2.0452616566790986E-2</v>
      </c>
      <c r="AT186" s="518">
        <f t="shared" ref="AT186" si="1947">IF(AD184&gt;0,(AD186-AD184)/AD184,)</f>
        <v>0</v>
      </c>
      <c r="AU186" s="525">
        <f t="shared" ref="AU186" si="1948">IF(AE184&gt;0,(AE186-AE184)/AE184,)</f>
        <v>-0.10655241812045217</v>
      </c>
      <c r="AV186" s="527">
        <f t="shared" ref="AV186" si="1949">IF(AF184&gt;0,(AF186-AF184)/AF184,)</f>
        <v>-4.6517786785273622E-2</v>
      </c>
      <c r="AW186" s="518">
        <f t="shared" ref="AW186" si="1950">IF(AG184&gt;0,(AG186-AG184)/AG184,)</f>
        <v>0</v>
      </c>
      <c r="AX186" s="525">
        <f t="shared" ref="AX186" si="1951">IF(AH184&gt;0,(AH186-AH184)/AH184,)</f>
        <v>-4.6517786785273622E-2</v>
      </c>
    </row>
    <row r="187" spans="1:50" x14ac:dyDescent="0.2">
      <c r="A187" s="696" t="s">
        <v>1083</v>
      </c>
      <c r="B187" s="697">
        <v>252</v>
      </c>
      <c r="C187" s="697">
        <v>345</v>
      </c>
      <c r="D187" s="697">
        <v>304</v>
      </c>
      <c r="E187" s="697">
        <v>485</v>
      </c>
      <c r="F187" s="697"/>
      <c r="G187" s="697">
        <v>35</v>
      </c>
      <c r="H187" s="697">
        <v>1421</v>
      </c>
      <c r="I187" s="697"/>
      <c r="J187" s="697">
        <v>166</v>
      </c>
      <c r="K187" s="697">
        <v>10</v>
      </c>
      <c r="L187" s="697">
        <v>70</v>
      </c>
      <c r="M187" s="697"/>
      <c r="N187" s="697">
        <v>246</v>
      </c>
      <c r="O187" s="697">
        <v>36</v>
      </c>
      <c r="P187" s="697"/>
      <c r="Q187" s="697">
        <v>36</v>
      </c>
      <c r="Y187" s="309"/>
      <c r="Z187" s="305"/>
      <c r="AE187" s="309"/>
      <c r="AF187" s="305"/>
      <c r="AH187" s="309"/>
      <c r="AI187" s="516"/>
      <c r="AO187" s="524"/>
      <c r="AU187" s="524"/>
      <c r="AX187" s="524"/>
    </row>
    <row r="188" spans="1:50" x14ac:dyDescent="0.2">
      <c r="A188" s="696" t="s">
        <v>1085</v>
      </c>
      <c r="B188" s="697">
        <v>17532064.034305315</v>
      </c>
      <c r="C188" s="697">
        <v>20684160.163037237</v>
      </c>
      <c r="D188" s="697">
        <v>17543834.488788296</v>
      </c>
      <c r="E188" s="697">
        <v>25125074.70194209</v>
      </c>
      <c r="F188" s="697"/>
      <c r="G188" s="697">
        <v>1610057.4132492114</v>
      </c>
      <c r="H188" s="697">
        <v>82495190.801322147</v>
      </c>
      <c r="I188" s="697"/>
      <c r="J188" s="697">
        <v>9319902.921052631</v>
      </c>
      <c r="K188" s="697">
        <v>447584</v>
      </c>
      <c r="L188" s="697">
        <v>3032929.6799905328</v>
      </c>
      <c r="M188" s="697"/>
      <c r="N188" s="697">
        <v>12800416.601043165</v>
      </c>
      <c r="O188" s="697">
        <v>1487844.3382734912</v>
      </c>
      <c r="P188" s="697"/>
      <c r="Q188" s="697">
        <v>1487844.3382734912</v>
      </c>
      <c r="R188" s="294"/>
      <c r="S188" s="296">
        <f>IF(B187&gt;0,(B188/B187),)</f>
        <v>69571.682675814751</v>
      </c>
      <c r="T188" s="296">
        <f t="shared" ref="T188" si="1952">IF(C187&gt;0,(C188/C187),)</f>
        <v>59954.087429093437</v>
      </c>
      <c r="U188" s="296">
        <f t="shared" ref="U188" si="1953">IF(D187&gt;0,(D188/D187),)</f>
        <v>57709.981871014134</v>
      </c>
      <c r="V188" s="296">
        <f t="shared" ref="V188" si="1954">IF(E187&gt;0,(E188/E187),)</f>
        <v>51804.277735963071</v>
      </c>
      <c r="W188" s="296">
        <f t="shared" ref="W188" si="1955">IF(F187&gt;0,(F188/F187),)</f>
        <v>0</v>
      </c>
      <c r="X188" s="296">
        <f t="shared" ref="X188" si="1956">IF(G187&gt;0,(G188/G187),)</f>
        <v>46001.640378548895</v>
      </c>
      <c r="Y188" s="311">
        <f t="shared" ref="Y188" si="1957">IF(H187&gt;0,(H188/H187),)</f>
        <v>58054.32146468835</v>
      </c>
      <c r="Z188" s="306">
        <f t="shared" ref="Z188" si="1958">IF(I187&gt;0,(I188/I187),)</f>
        <v>0</v>
      </c>
      <c r="AA188" s="296">
        <f t="shared" ref="AA188" si="1959">IF(J187&gt;0,(J188/J187),)</f>
        <v>56143.993500317054</v>
      </c>
      <c r="AB188" s="296">
        <f t="shared" ref="AB188" si="1960">IF(K187&gt;0,(K188/K187),)</f>
        <v>44758.400000000001</v>
      </c>
      <c r="AC188" s="296">
        <f t="shared" ref="AC188" si="1961">IF(L187&gt;0,(L188/L187),)</f>
        <v>43327.566857007609</v>
      </c>
      <c r="AD188" s="296">
        <f t="shared" ref="AD188" si="1962">IF(M187&gt;0,(M188/M187),)</f>
        <v>0</v>
      </c>
      <c r="AE188" s="311">
        <f t="shared" ref="AE188" si="1963">IF(N187&gt;0,(N188/N187),)</f>
        <v>52034.21382537872</v>
      </c>
      <c r="AF188" s="306">
        <f t="shared" ref="AF188" si="1964">IF(O187&gt;0,(O188/O187),)</f>
        <v>41329.009396485868</v>
      </c>
      <c r="AG188" s="296">
        <f t="shared" ref="AG188" si="1965">IF(P187&gt;0,(P188/P187),)</f>
        <v>0</v>
      </c>
      <c r="AH188" s="311">
        <f t="shared" ref="AH188" si="1966">IF(Q187&gt;0,(Q188/Q187),)</f>
        <v>41329.009396485868</v>
      </c>
      <c r="AI188" s="516"/>
      <c r="AO188" s="524"/>
      <c r="AU188" s="524"/>
      <c r="AX188" s="524"/>
    </row>
    <row r="189" spans="1:50" x14ac:dyDescent="0.2">
      <c r="A189" s="696" t="s">
        <v>1087</v>
      </c>
      <c r="B189" s="697">
        <v>264</v>
      </c>
      <c r="C189" s="697">
        <v>346</v>
      </c>
      <c r="D189" s="697">
        <v>258</v>
      </c>
      <c r="E189" s="697">
        <v>442</v>
      </c>
      <c r="F189" s="697"/>
      <c r="G189" s="697">
        <v>27</v>
      </c>
      <c r="H189" s="697">
        <v>1337</v>
      </c>
      <c r="I189" s="697"/>
      <c r="J189" s="697">
        <v>160</v>
      </c>
      <c r="K189" s="697">
        <v>16</v>
      </c>
      <c r="L189" s="697">
        <v>60</v>
      </c>
      <c r="M189" s="697"/>
      <c r="N189" s="697">
        <v>236</v>
      </c>
      <c r="O189" s="697">
        <v>52</v>
      </c>
      <c r="P189" s="697"/>
      <c r="Q189" s="697">
        <v>52</v>
      </c>
      <c r="Y189" s="309"/>
      <c r="Z189" s="305"/>
      <c r="AE189" s="309"/>
      <c r="AF189" s="305"/>
      <c r="AH189" s="309"/>
      <c r="AI189" s="516"/>
      <c r="AO189" s="524"/>
      <c r="AU189" s="524"/>
      <c r="AX189" s="524"/>
    </row>
    <row r="190" spans="1:50" x14ac:dyDescent="0.2">
      <c r="A190" s="696" t="s">
        <v>1089</v>
      </c>
      <c r="B190" s="697">
        <v>18328117.739130434</v>
      </c>
      <c r="C190" s="697">
        <v>20878058.914706118</v>
      </c>
      <c r="D190" s="697">
        <v>14314556.600137386</v>
      </c>
      <c r="E190" s="697">
        <v>21275737.72221553</v>
      </c>
      <c r="F190" s="697"/>
      <c r="G190" s="697">
        <v>1197097.0243902439</v>
      </c>
      <c r="H190" s="697">
        <v>75993568.000579715</v>
      </c>
      <c r="I190" s="697"/>
      <c r="J190" s="697">
        <v>7274940.3181818184</v>
      </c>
      <c r="K190" s="697">
        <v>820859.31818181812</v>
      </c>
      <c r="L190" s="697">
        <v>4427763.5</v>
      </c>
      <c r="M190" s="697"/>
      <c r="N190" s="697">
        <v>12523563.136363637</v>
      </c>
      <c r="O190" s="697">
        <v>581610.18633540371</v>
      </c>
      <c r="P190" s="697"/>
      <c r="Q190" s="697">
        <v>581610.18633540371</v>
      </c>
      <c r="R190" s="294"/>
      <c r="S190" s="296">
        <f>IF(B189&gt;0,(B190/B189),)</f>
        <v>69424.688405797104</v>
      </c>
      <c r="T190" s="296">
        <f t="shared" ref="T190" si="1967">IF(C189&gt;0,(C190/C189),)</f>
        <v>60341.210736144851</v>
      </c>
      <c r="U190" s="296">
        <f t="shared" ref="U190" si="1968">IF(D189&gt;0,(D190/D189),)</f>
        <v>55482.77751991235</v>
      </c>
      <c r="V190" s="296">
        <f t="shared" ref="V190" si="1969">IF(E189&gt;0,(E190/E189),)</f>
        <v>48135.153217682193</v>
      </c>
      <c r="W190" s="296">
        <f t="shared" ref="W190" si="1970">IF(F189&gt;0,(F190/F189),)</f>
        <v>0</v>
      </c>
      <c r="X190" s="296">
        <f t="shared" ref="X190" si="1971">IF(G189&gt;0,(G190/G189),)</f>
        <v>44336.92682926829</v>
      </c>
      <c r="Y190" s="311">
        <f t="shared" ref="Y190" si="1972">IF(H189&gt;0,(H190/H189),)</f>
        <v>56838.869110381238</v>
      </c>
      <c r="Z190" s="306">
        <f t="shared" ref="Z190" si="1973">IF(I189&gt;0,(I190/I189),)</f>
        <v>0</v>
      </c>
      <c r="AA190" s="296">
        <f t="shared" ref="AA190" si="1974">IF(J189&gt;0,(J190/J189),)</f>
        <v>45468.376988636366</v>
      </c>
      <c r="AB190" s="296">
        <f t="shared" ref="AB190" si="1975">IF(K189&gt;0,(K190/K189),)</f>
        <v>51303.707386363632</v>
      </c>
      <c r="AC190" s="296">
        <f t="shared" ref="AC190" si="1976">IF(L189&gt;0,(L190/L189),)</f>
        <v>73796.058333333334</v>
      </c>
      <c r="AD190" s="296">
        <f t="shared" ref="AD190" si="1977">IF(M189&gt;0,(M190/M189),)</f>
        <v>0</v>
      </c>
      <c r="AE190" s="311">
        <f t="shared" ref="AE190" si="1978">IF(N189&gt;0,(N190/N189),)</f>
        <v>53065.945493066254</v>
      </c>
      <c r="AF190" s="306">
        <f t="shared" ref="AF190" si="1979">IF(O189&gt;0,(O190/O189),)</f>
        <v>11184.81127568084</v>
      </c>
      <c r="AG190" s="296">
        <f t="shared" ref="AG190" si="1980">IF(P189&gt;0,(P190/P189),)</f>
        <v>0</v>
      </c>
      <c r="AH190" s="311">
        <f t="shared" ref="AH190" si="1981">IF(Q189&gt;0,(Q190/Q189),)</f>
        <v>11184.81127568084</v>
      </c>
      <c r="AI190" s="517">
        <f>IF(S188&gt;0,(S190-S188)/S188,)</f>
        <v>-2.1128462668152021E-3</v>
      </c>
      <c r="AJ190" s="518">
        <f t="shared" ref="AJ190" si="1982">IF(T188&gt;0,(T190-T188)/T188,)</f>
        <v>6.4569960723571511E-3</v>
      </c>
      <c r="AK190" s="518">
        <f t="shared" ref="AK190" si="1983">IF(U188&gt;0,(U190-U188)/U188,)</f>
        <v>-3.859305234369579E-2</v>
      </c>
      <c r="AL190" s="527">
        <f t="shared" ref="AL190" si="1984">IF(V188&gt;0,(V190-V188)/V188,)</f>
        <v>-7.0826670665726385E-2</v>
      </c>
      <c r="AM190" s="518">
        <f t="shared" ref="AM190" si="1985">IF(W188&gt;0,(W190-W188)/W188,)</f>
        <v>0</v>
      </c>
      <c r="AN190" s="518">
        <f t="shared" ref="AN190" si="1986">IF(X188&gt;0,(X190-X188)/X188,)</f>
        <v>-3.6188134500892283E-2</v>
      </c>
      <c r="AO190" s="525">
        <f t="shared" ref="AO190" si="1987">IF(Y188&gt;0,(Y190-Y188)/Y188,)</f>
        <v>-2.0936466461784639E-2</v>
      </c>
      <c r="AP190" s="518">
        <f t="shared" ref="AP190" si="1988">IF(Z188&gt;0,(Z190-Z188)/Z188,)</f>
        <v>0</v>
      </c>
      <c r="AQ190" s="527">
        <f t="shared" ref="AQ190" si="1989">IF(AA188&gt;0,(AA190-AA188)/AA188,)</f>
        <v>-0.19014708156840324</v>
      </c>
      <c r="AR190" s="527">
        <f t="shared" ref="AR190" si="1990">IF(AB188&gt;0,(AB190-AB188)/AB188,)</f>
        <v>0.1462364022477039</v>
      </c>
      <c r="AS190" s="527">
        <f t="shared" ref="AS190" si="1991">IF(AC188&gt;0,(AC190-AC188)/AC188,)</f>
        <v>0.70321261235092614</v>
      </c>
      <c r="AT190" s="518">
        <f t="shared" ref="AT190" si="1992">IF(AD188&gt;0,(AD190-AD188)/AD188,)</f>
        <v>0</v>
      </c>
      <c r="AU190" s="525">
        <f t="shared" ref="AU190" si="1993">IF(AE188&gt;0,(AE190-AE188)/AE188,)</f>
        <v>1.9827947649020239E-2</v>
      </c>
      <c r="AV190" s="518">
        <f t="shared" ref="AV190" si="1994">IF(AF188&gt;0,(AF190-AF188)/AF188,)</f>
        <v>-0.7293714163729299</v>
      </c>
      <c r="AW190" s="518">
        <f t="shared" ref="AW190" si="1995">IF(AG188&gt;0,(AG190-AG188)/AG188,)</f>
        <v>0</v>
      </c>
      <c r="AX190" s="525">
        <f t="shared" ref="AX190" si="1996">IF(AH188&gt;0,(AH190-AH188)/AH188,)</f>
        <v>-0.7293714163729299</v>
      </c>
    </row>
    <row r="191" spans="1:50" x14ac:dyDescent="0.2">
      <c r="A191" s="696" t="s">
        <v>1091</v>
      </c>
      <c r="B191" s="697">
        <v>189</v>
      </c>
      <c r="C191" s="697">
        <v>282</v>
      </c>
      <c r="D191" s="697">
        <v>326</v>
      </c>
      <c r="E191" s="697">
        <v>243</v>
      </c>
      <c r="F191" s="697"/>
      <c r="G191" s="697">
        <v>10</v>
      </c>
      <c r="H191" s="697">
        <v>1050</v>
      </c>
      <c r="I191" s="697"/>
      <c r="J191" s="697">
        <v>295</v>
      </c>
      <c r="K191" s="697">
        <v>81</v>
      </c>
      <c r="L191" s="697">
        <v>107</v>
      </c>
      <c r="M191" s="697"/>
      <c r="N191" s="697">
        <v>483</v>
      </c>
      <c r="O191" s="697">
        <v>464</v>
      </c>
      <c r="P191" s="697"/>
      <c r="Q191" s="697">
        <v>464</v>
      </c>
      <c r="Y191" s="309"/>
      <c r="Z191" s="305"/>
      <c r="AE191" s="309"/>
      <c r="AF191" s="305"/>
      <c r="AH191" s="309"/>
      <c r="AI191" s="516"/>
      <c r="AO191" s="524"/>
      <c r="AU191" s="524"/>
      <c r="AX191" s="524"/>
    </row>
    <row r="192" spans="1:50" x14ac:dyDescent="0.2">
      <c r="A192" s="696" t="s">
        <v>1093</v>
      </c>
      <c r="B192" s="697">
        <v>8353307.9878542516</v>
      </c>
      <c r="C192" s="697">
        <v>11929224.111177273</v>
      </c>
      <c r="D192" s="697">
        <v>14677724.235326301</v>
      </c>
      <c r="E192" s="697">
        <v>9916874.9139385261</v>
      </c>
      <c r="F192" s="697"/>
      <c r="G192" s="697">
        <v>392240</v>
      </c>
      <c r="H192" s="697">
        <v>45269371.24829635</v>
      </c>
      <c r="I192" s="697"/>
      <c r="J192" s="697">
        <v>14224166.449070275</v>
      </c>
      <c r="K192" s="697">
        <v>3066974.5662650606</v>
      </c>
      <c r="L192" s="697">
        <v>3982942.1003982909</v>
      </c>
      <c r="M192" s="697"/>
      <c r="N192" s="697">
        <v>21274083.115733627</v>
      </c>
      <c r="O192" s="697">
        <v>17033162.09709331</v>
      </c>
      <c r="P192" s="697"/>
      <c r="Q192" s="697">
        <v>17033162.09709331</v>
      </c>
      <c r="R192" s="294"/>
      <c r="S192" s="296">
        <f>IF(B191&gt;0,(B192/B191),)</f>
        <v>44197.396761133605</v>
      </c>
      <c r="T192" s="296">
        <f t="shared" ref="T192" si="1997">IF(C191&gt;0,(C192/C191),)</f>
        <v>42302.213160203093</v>
      </c>
      <c r="U192" s="296">
        <f t="shared" ref="U192" si="1998">IF(D191&gt;0,(D192/D191),)</f>
        <v>45023.693973393565</v>
      </c>
      <c r="V192" s="296">
        <f t="shared" ref="V192" si="1999">IF(E191&gt;0,(E192/E191),)</f>
        <v>40810.184831022743</v>
      </c>
      <c r="W192" s="296">
        <f t="shared" ref="W192" si="2000">IF(F191&gt;0,(F192/F191),)</f>
        <v>0</v>
      </c>
      <c r="X192" s="296">
        <f t="shared" ref="X192" si="2001">IF(G191&gt;0,(G192/G191),)</f>
        <v>39224</v>
      </c>
      <c r="Y192" s="311">
        <f t="shared" ref="Y192" si="2002">IF(H191&gt;0,(H192/H191),)</f>
        <v>43113.68690313938</v>
      </c>
      <c r="Z192" s="306">
        <f t="shared" ref="Z192" si="2003">IF(I191&gt;0,(I192/I191),)</f>
        <v>0</v>
      </c>
      <c r="AA192" s="296">
        <f t="shared" ref="AA192" si="2004">IF(J191&gt;0,(J192/J191),)</f>
        <v>48217.513386678896</v>
      </c>
      <c r="AB192" s="296">
        <f t="shared" ref="AB192" si="2005">IF(K191&gt;0,(K192/K191),)</f>
        <v>37863.883534136548</v>
      </c>
      <c r="AC192" s="296">
        <f t="shared" ref="AC192" si="2006">IF(L191&gt;0,(L192/L191),)</f>
        <v>37223.75794764758</v>
      </c>
      <c r="AD192" s="296">
        <f t="shared" ref="AD192" si="2007">IF(M191&gt;0,(M192/M191),)</f>
        <v>0</v>
      </c>
      <c r="AE192" s="311">
        <f t="shared" ref="AE192" si="2008">IF(N191&gt;0,(N192/N191),)</f>
        <v>44045.720736508541</v>
      </c>
      <c r="AF192" s="306">
        <f t="shared" ref="AF192" si="2009">IF(O191&gt;0,(O192/O191),)</f>
        <v>36709.401071321787</v>
      </c>
      <c r="AG192" s="296">
        <f t="shared" ref="AG192" si="2010">IF(P191&gt;0,(P192/P191),)</f>
        <v>0</v>
      </c>
      <c r="AH192" s="311">
        <f t="shared" ref="AH192" si="2011">IF(Q191&gt;0,(Q192/Q191),)</f>
        <v>36709.401071321787</v>
      </c>
      <c r="AI192" s="516"/>
      <c r="AO192" s="524"/>
      <c r="AU192" s="524"/>
      <c r="AX192" s="524"/>
    </row>
    <row r="193" spans="1:50" x14ac:dyDescent="0.2">
      <c r="A193" s="696" t="s">
        <v>1095</v>
      </c>
      <c r="B193" s="697">
        <v>215</v>
      </c>
      <c r="C193" s="697">
        <v>290</v>
      </c>
      <c r="D193" s="697">
        <v>266</v>
      </c>
      <c r="E193" s="697">
        <v>222</v>
      </c>
      <c r="F193" s="697"/>
      <c r="G193" s="697">
        <v>11</v>
      </c>
      <c r="H193" s="697">
        <v>1004</v>
      </c>
      <c r="I193" s="697"/>
      <c r="J193" s="697">
        <v>400</v>
      </c>
      <c r="K193" s="697">
        <v>141</v>
      </c>
      <c r="L193" s="697">
        <v>153</v>
      </c>
      <c r="M193" s="697"/>
      <c r="N193" s="697">
        <v>694</v>
      </c>
      <c r="O193" s="697">
        <v>255</v>
      </c>
      <c r="P193" s="697"/>
      <c r="Q193" s="697">
        <v>255</v>
      </c>
      <c r="Y193" s="309"/>
      <c r="Z193" s="305"/>
      <c r="AE193" s="309"/>
      <c r="AF193" s="305"/>
      <c r="AH193" s="309"/>
      <c r="AI193" s="516"/>
      <c r="AO193" s="524"/>
      <c r="AU193" s="524"/>
      <c r="AX193" s="524"/>
    </row>
    <row r="194" spans="1:50" x14ac:dyDescent="0.2">
      <c r="A194" s="696" t="s">
        <v>1097</v>
      </c>
      <c r="B194" s="697">
        <v>9183980.7814871017</v>
      </c>
      <c r="C194" s="697">
        <v>11597449.03181063</v>
      </c>
      <c r="D194" s="697">
        <v>11489142.825851394</v>
      </c>
      <c r="E194" s="697">
        <v>9028160.4863782786</v>
      </c>
      <c r="F194" s="697"/>
      <c r="G194" s="697">
        <v>472241</v>
      </c>
      <c r="H194" s="697">
        <v>41770974.125527412</v>
      </c>
      <c r="I194" s="697"/>
      <c r="J194" s="697">
        <v>14908106.397400299</v>
      </c>
      <c r="K194" s="697">
        <v>5087347.8834757833</v>
      </c>
      <c r="L194" s="697">
        <v>5905876.8068369953</v>
      </c>
      <c r="M194" s="697"/>
      <c r="N194" s="697">
        <v>25901331.087713078</v>
      </c>
      <c r="O194" s="697">
        <v>9216968.7305935342</v>
      </c>
      <c r="P194" s="697"/>
      <c r="Q194" s="697">
        <v>9216968.7305935342</v>
      </c>
      <c r="R194" s="294"/>
      <c r="S194" s="296">
        <f>IF(B193&gt;0,(B194/B193),)</f>
        <v>42716.18968133536</v>
      </c>
      <c r="T194" s="296">
        <f t="shared" ref="T194" si="2012">IF(C193&gt;0,(C194/C193),)</f>
        <v>39991.203557967689</v>
      </c>
      <c r="U194" s="296">
        <f t="shared" ref="U194" si="2013">IF(D193&gt;0,(D194/D193),)</f>
        <v>43192.266262599223</v>
      </c>
      <c r="V194" s="296">
        <f t="shared" ref="V194" si="2014">IF(E193&gt;0,(E194/E193),)</f>
        <v>40667.389578280534</v>
      </c>
      <c r="W194" s="296">
        <f t="shared" ref="W194" si="2015">IF(F193&gt;0,(F194/F193),)</f>
        <v>0</v>
      </c>
      <c r="X194" s="296">
        <f t="shared" ref="X194" si="2016">IF(G193&gt;0,(G194/G193),)</f>
        <v>42931</v>
      </c>
      <c r="Y194" s="311">
        <f t="shared" ref="Y194" si="2017">IF(H193&gt;0,(H194/H193),)</f>
        <v>41604.555901919732</v>
      </c>
      <c r="Z194" s="306">
        <f t="shared" ref="Z194" si="2018">IF(I193&gt;0,(I194/I193),)</f>
        <v>0</v>
      </c>
      <c r="AA194" s="296">
        <f t="shared" ref="AA194" si="2019">IF(J193&gt;0,(J194/J193),)</f>
        <v>37270.265993500747</v>
      </c>
      <c r="AB194" s="296">
        <f t="shared" ref="AB194" si="2020">IF(K193&gt;0,(K194/K193),)</f>
        <v>36080.481443090663</v>
      </c>
      <c r="AC194" s="296">
        <f t="shared" ref="AC194" si="2021">IF(L193&gt;0,(L194/L193),)</f>
        <v>38600.50200547056</v>
      </c>
      <c r="AD194" s="296">
        <f t="shared" ref="AD194" si="2022">IF(M193&gt;0,(M194/M193),)</f>
        <v>0</v>
      </c>
      <c r="AE194" s="311">
        <f t="shared" ref="AE194" si="2023">IF(N193&gt;0,(N194/N193),)</f>
        <v>37321.802720047664</v>
      </c>
      <c r="AF194" s="306">
        <f t="shared" ref="AF194" si="2024">IF(O193&gt;0,(O194/O193),)</f>
        <v>36144.975414092289</v>
      </c>
      <c r="AG194" s="296">
        <f t="shared" ref="AG194" si="2025">IF(P193&gt;0,(P194/P193),)</f>
        <v>0</v>
      </c>
      <c r="AH194" s="311">
        <f t="shared" ref="AH194" si="2026">IF(Q193&gt;0,(Q194/Q193),)</f>
        <v>36144.975414092289</v>
      </c>
      <c r="AI194" s="517">
        <f>IF(S192&gt;0,(S194-S192)/S192,)</f>
        <v>-3.3513446228597608E-2</v>
      </c>
      <c r="AJ194" s="518">
        <f t="shared" ref="AJ194" si="2027">IF(T192&gt;0,(T194-T192)/T192,)</f>
        <v>-5.4630938421197005E-2</v>
      </c>
      <c r="AK194" s="518">
        <f t="shared" ref="AK194" si="2028">IF(U192&gt;0,(U194-U192)/U192,)</f>
        <v>-4.0676975813592975E-2</v>
      </c>
      <c r="AL194" s="518">
        <f t="shared" ref="AL194" si="2029">IF(V192&gt;0,(V194-V192)/V192,)</f>
        <v>-3.4990101939861963E-3</v>
      </c>
      <c r="AM194" s="518">
        <f t="shared" ref="AM194" si="2030">IF(W192&gt;0,(W194-W192)/W192,)</f>
        <v>0</v>
      </c>
      <c r="AN194" s="527">
        <f t="shared" ref="AN194" si="2031">IF(X192&gt;0,(X194-X192)/X192,)</f>
        <v>9.4508464205588422E-2</v>
      </c>
      <c r="AO194" s="525">
        <f t="shared" ref="AO194" si="2032">IF(Y192&gt;0,(Y194-Y192)/Y192,)</f>
        <v>-3.5003524625720629E-2</v>
      </c>
      <c r="AP194" s="518">
        <f t="shared" ref="AP194" si="2033">IF(Z192&gt;0,(Z194-Z192)/Z192,)</f>
        <v>0</v>
      </c>
      <c r="AQ194" s="527">
        <f t="shared" ref="AQ194" si="2034">IF(AA192&gt;0,(AA194-AA192)/AA192,)</f>
        <v>-0.2270388210480086</v>
      </c>
      <c r="AR194" s="636">
        <f t="shared" ref="AR194" si="2035">IF(AB192&gt;0,(AB194-AB192)/AB192,)</f>
        <v>-4.7100347998853376E-2</v>
      </c>
      <c r="AS194" s="636">
        <f t="shared" ref="AS194" si="2036">IF(AC192&gt;0,(AC194-AC192)/AC192,)</f>
        <v>3.6985627828315104E-2</v>
      </c>
      <c r="AT194" s="518">
        <f t="shared" ref="AT194" si="2037">IF(AD192&gt;0,(AD194-AD192)/AD192,)</f>
        <v>0</v>
      </c>
      <c r="AU194" s="525">
        <f t="shared" ref="AU194" si="2038">IF(AE192&gt;0,(AE194-AE192)/AE192,)</f>
        <v>-0.15265769078192351</v>
      </c>
      <c r="AV194" s="518">
        <f t="shared" ref="AV194" si="2039">IF(AF192&gt;0,(AF194-AF192)/AF192,)</f>
        <v>-1.5375507111458707E-2</v>
      </c>
      <c r="AW194" s="518">
        <f t="shared" ref="AW194" si="2040">IF(AG192&gt;0,(AG194-AG192)/AG192,)</f>
        <v>0</v>
      </c>
      <c r="AX194" s="525">
        <f t="shared" ref="AX194" si="2041">IF(AH192&gt;0,(AH194-AH192)/AH192,)</f>
        <v>-1.5375507111458707E-2</v>
      </c>
    </row>
    <row r="195" spans="1:50" x14ac:dyDescent="0.2">
      <c r="A195" s="696" t="s">
        <v>1099</v>
      </c>
      <c r="B195" s="697">
        <v>19</v>
      </c>
      <c r="C195" s="697">
        <v>16</v>
      </c>
      <c r="D195" s="697">
        <v>4</v>
      </c>
      <c r="E195" s="697">
        <v>24</v>
      </c>
      <c r="F195" s="697"/>
      <c r="G195" s="697">
        <v>0</v>
      </c>
      <c r="H195" s="697">
        <v>63</v>
      </c>
      <c r="I195" s="697"/>
      <c r="J195" s="697">
        <v>121</v>
      </c>
      <c r="K195" s="697">
        <v>0</v>
      </c>
      <c r="L195" s="697">
        <v>0</v>
      </c>
      <c r="M195" s="697"/>
      <c r="N195" s="697">
        <v>121</v>
      </c>
      <c r="O195" s="697">
        <v>80</v>
      </c>
      <c r="P195" s="697"/>
      <c r="Q195" s="697">
        <v>80</v>
      </c>
      <c r="Y195" s="309"/>
      <c r="Z195" s="305"/>
      <c r="AE195" s="309"/>
      <c r="AF195" s="305"/>
      <c r="AH195" s="309"/>
      <c r="AI195" s="516"/>
      <c r="AO195" s="524"/>
      <c r="AU195" s="524"/>
      <c r="AX195" s="524"/>
    </row>
    <row r="196" spans="1:50" x14ac:dyDescent="0.2">
      <c r="A196" s="696" t="s">
        <v>1101</v>
      </c>
      <c r="B196" s="697">
        <v>1160739.4022346367</v>
      </c>
      <c r="C196" s="697">
        <v>996432</v>
      </c>
      <c r="D196" s="697">
        <v>183778.10526315789</v>
      </c>
      <c r="E196" s="697">
        <v>1000778.3923444975</v>
      </c>
      <c r="F196" s="697"/>
      <c r="G196" s="697">
        <v>0</v>
      </c>
      <c r="H196" s="697">
        <v>3341727.8998422921</v>
      </c>
      <c r="I196" s="697"/>
      <c r="J196" s="697">
        <v>0</v>
      </c>
      <c r="K196" s="697">
        <v>0</v>
      </c>
      <c r="L196" s="697">
        <v>0</v>
      </c>
      <c r="M196" s="697"/>
      <c r="N196" s="697">
        <v>0</v>
      </c>
      <c r="O196" s="697">
        <v>157998</v>
      </c>
      <c r="P196" s="697"/>
      <c r="Q196" s="697">
        <v>157998</v>
      </c>
      <c r="R196" s="294"/>
      <c r="S196" s="296">
        <f>IF(B195&gt;0,(B196/B195),)</f>
        <v>61091.547486033509</v>
      </c>
      <c r="T196" s="296">
        <f t="shared" ref="T196" si="2042">IF(C195&gt;0,(C196/C195),)</f>
        <v>62277</v>
      </c>
      <c r="U196" s="296">
        <f t="shared" ref="U196" si="2043">IF(D195&gt;0,(D196/D195),)</f>
        <v>45944.526315789473</v>
      </c>
      <c r="V196" s="296">
        <f t="shared" ref="V196" si="2044">IF(E195&gt;0,(E196/E195),)</f>
        <v>41699.099681020729</v>
      </c>
      <c r="W196" s="296">
        <f t="shared" ref="W196" si="2045">IF(F195&gt;0,(F196/F195),)</f>
        <v>0</v>
      </c>
      <c r="X196" s="296">
        <f t="shared" ref="X196" si="2046">IF(G195&gt;0,(G196/G195),)</f>
        <v>0</v>
      </c>
      <c r="Y196" s="311">
        <f t="shared" ref="Y196" si="2047">IF(H195&gt;0,(H196/H195),)</f>
        <v>53043.299997496702</v>
      </c>
      <c r="Z196" s="306">
        <f t="shared" ref="Z196" si="2048">IF(I195&gt;0,(I196/I195),)</f>
        <v>0</v>
      </c>
      <c r="AA196" s="296">
        <f t="shared" ref="AA196" si="2049">IF(J195&gt;0,(J196/J195),)</f>
        <v>0</v>
      </c>
      <c r="AB196" s="296">
        <f t="shared" ref="AB196" si="2050">IF(K195&gt;0,(K196/K195),)</f>
        <v>0</v>
      </c>
      <c r="AC196" s="296">
        <f t="shared" ref="AC196" si="2051">IF(L195&gt;0,(L196/L195),)</f>
        <v>0</v>
      </c>
      <c r="AD196" s="296">
        <f t="shared" ref="AD196" si="2052">IF(M195&gt;0,(M196/M195),)</f>
        <v>0</v>
      </c>
      <c r="AE196" s="311">
        <f t="shared" ref="AE196" si="2053">IF(N195&gt;0,(N196/N195),)</f>
        <v>0</v>
      </c>
      <c r="AF196" s="306">
        <f t="shared" ref="AF196" si="2054">IF(O195&gt;0,(O196/O195),)</f>
        <v>1974.9749999999999</v>
      </c>
      <c r="AG196" s="296">
        <f t="shared" ref="AG196" si="2055">IF(P195&gt;0,(P196/P195),)</f>
        <v>0</v>
      </c>
      <c r="AH196" s="311">
        <f t="shared" ref="AH196" si="2056">IF(Q195&gt;0,(Q196/Q195),)</f>
        <v>1974.9749999999999</v>
      </c>
      <c r="AI196" s="516"/>
      <c r="AO196" s="524"/>
      <c r="AU196" s="524"/>
      <c r="AX196" s="524"/>
    </row>
    <row r="197" spans="1:50" x14ac:dyDescent="0.2">
      <c r="A197" s="696" t="s">
        <v>1103</v>
      </c>
      <c r="B197" s="697">
        <v>21</v>
      </c>
      <c r="C197" s="697">
        <v>17</v>
      </c>
      <c r="D197" s="697">
        <v>95</v>
      </c>
      <c r="E197" s="697">
        <v>46</v>
      </c>
      <c r="F197" s="697"/>
      <c r="G197" s="697">
        <v>0</v>
      </c>
      <c r="H197" s="697">
        <v>179</v>
      </c>
      <c r="I197" s="697"/>
      <c r="J197" s="697">
        <v>3</v>
      </c>
      <c r="K197" s="697">
        <v>2</v>
      </c>
      <c r="L197" s="697">
        <v>4</v>
      </c>
      <c r="M197" s="697"/>
      <c r="N197" s="697">
        <v>9</v>
      </c>
      <c r="O197" s="697">
        <v>132</v>
      </c>
      <c r="P197" s="697"/>
      <c r="Q197" s="697">
        <v>132</v>
      </c>
      <c r="Y197" s="309"/>
      <c r="Z197" s="305"/>
      <c r="AE197" s="309"/>
      <c r="AF197" s="305"/>
      <c r="AH197" s="309"/>
      <c r="AI197" s="516"/>
      <c r="AO197" s="524"/>
      <c r="AU197" s="524"/>
      <c r="AX197" s="524"/>
    </row>
    <row r="198" spans="1:50" x14ac:dyDescent="0.2">
      <c r="A198" s="696" t="s">
        <v>1105</v>
      </c>
      <c r="B198" s="697">
        <v>1309352.1617647058</v>
      </c>
      <c r="C198" s="697">
        <v>1014228.173076923</v>
      </c>
      <c r="D198" s="697">
        <v>3785309.00671785</v>
      </c>
      <c r="E198" s="697">
        <v>1778721</v>
      </c>
      <c r="F198" s="697"/>
      <c r="G198" s="697">
        <v>0</v>
      </c>
      <c r="H198" s="697">
        <v>7887610.341559479</v>
      </c>
      <c r="I198" s="697"/>
      <c r="J198" s="697">
        <v>155216</v>
      </c>
      <c r="K198" s="697">
        <v>63326.25</v>
      </c>
      <c r="L198" s="697">
        <v>173685</v>
      </c>
      <c r="M198" s="697"/>
      <c r="N198" s="697">
        <v>392227.25</v>
      </c>
      <c r="O198" s="697">
        <v>4501500.9327059723</v>
      </c>
      <c r="P198" s="697"/>
      <c r="Q198" s="697">
        <v>4501500.9327059723</v>
      </c>
      <c r="R198" s="294"/>
      <c r="S198" s="296">
        <f>IF(B197&gt;0,(B198/B197),)</f>
        <v>62350.102941176468</v>
      </c>
      <c r="T198" s="296">
        <f t="shared" ref="T198" si="2057">IF(C197&gt;0,(C198/C197),)</f>
        <v>59660.480769230766</v>
      </c>
      <c r="U198" s="296">
        <f t="shared" ref="U198" si="2058">IF(D197&gt;0,(D198/D197),)</f>
        <v>39845.357965451054</v>
      </c>
      <c r="V198" s="296">
        <f t="shared" ref="V198" si="2059">IF(E197&gt;0,(E198/E197),)</f>
        <v>38667.84782608696</v>
      </c>
      <c r="W198" s="296">
        <f t="shared" ref="W198" si="2060">IF(F197&gt;0,(F198/F197),)</f>
        <v>0</v>
      </c>
      <c r="X198" s="296">
        <f t="shared" ref="X198" si="2061">IF(G197&gt;0,(G198/G197),)</f>
        <v>0</v>
      </c>
      <c r="Y198" s="311">
        <f t="shared" ref="Y198" si="2062">IF(H197&gt;0,(H198/H197),)</f>
        <v>44064.862243349045</v>
      </c>
      <c r="Z198" s="306">
        <f t="shared" ref="Z198" si="2063">IF(I197&gt;0,(I198/I197),)</f>
        <v>0</v>
      </c>
      <c r="AA198" s="296">
        <f t="shared" ref="AA198" si="2064">IF(J197&gt;0,(J198/J197),)</f>
        <v>51738.666666666664</v>
      </c>
      <c r="AB198" s="296">
        <f t="shared" ref="AB198" si="2065">IF(K197&gt;0,(K198/K197),)</f>
        <v>31663.125</v>
      </c>
      <c r="AC198" s="296">
        <f t="shared" ref="AC198" si="2066">IF(L197&gt;0,(L198/L197),)</f>
        <v>43421.25</v>
      </c>
      <c r="AD198" s="296">
        <f t="shared" ref="AD198" si="2067">IF(M197&gt;0,(M198/M197),)</f>
        <v>0</v>
      </c>
      <c r="AE198" s="311">
        <f t="shared" ref="AE198" si="2068">IF(N197&gt;0,(N198/N197),)</f>
        <v>43580.805555555555</v>
      </c>
      <c r="AF198" s="306">
        <f t="shared" ref="AF198" si="2069">IF(O197&gt;0,(O198/O197),)</f>
        <v>34102.279793227062</v>
      </c>
      <c r="AG198" s="296">
        <f t="shared" ref="AG198" si="2070">IF(P197&gt;0,(P198/P197),)</f>
        <v>0</v>
      </c>
      <c r="AH198" s="311">
        <f t="shared" ref="AH198" si="2071">IF(Q197&gt;0,(Q198/Q197),)</f>
        <v>34102.279793227062</v>
      </c>
      <c r="AI198" s="517">
        <f>IF(S196&gt;0,(S198-S196)/S196,)</f>
        <v>2.060113889618994E-2</v>
      </c>
      <c r="AJ198" s="518">
        <f t="shared" ref="AJ198" si="2072">IF(T196&gt;0,(T198-T196)/T196,)</f>
        <v>-4.2014214409320204E-2</v>
      </c>
      <c r="AK198" s="527">
        <f t="shared" ref="AK198" si="2073">IF(U196&gt;0,(U198-U196)/U196,)</f>
        <v>-0.13275070698122216</v>
      </c>
      <c r="AL198" s="527">
        <f t="shared" ref="AL198" si="2074">IF(V196&gt;0,(V198-V196)/V196,)</f>
        <v>-7.2693460485273698E-2</v>
      </c>
      <c r="AM198" s="518">
        <f t="shared" ref="AM198" si="2075">IF(W196&gt;0,(W198-W196)/W196,)</f>
        <v>0</v>
      </c>
      <c r="AN198" s="518">
        <f t="shared" ref="AN198" si="2076">IF(X196&gt;0,(X198-X196)/X196,)</f>
        <v>0</v>
      </c>
      <c r="AO198" s="525">
        <f t="shared" ref="AO198" si="2077">IF(Y196&gt;0,(Y198-Y196)/Y196,)</f>
        <v>-0.1692661986447182</v>
      </c>
      <c r="AP198" s="518">
        <f t="shared" ref="AP198" si="2078">IF(Z196&gt;0,(Z198-Z196)/Z196,)</f>
        <v>0</v>
      </c>
      <c r="AQ198" s="518">
        <f t="shared" ref="AQ198" si="2079">IF(AA196&gt;0,(AA198-AA196)/AA196,)</f>
        <v>0</v>
      </c>
      <c r="AR198" s="518">
        <f t="shared" ref="AR198" si="2080">IF(AB196&gt;0,(AB198-AB196)/AB196,)</f>
        <v>0</v>
      </c>
      <c r="AS198" s="518">
        <f t="shared" ref="AS198" si="2081">IF(AC196&gt;0,(AC198-AC196)/AC196,)</f>
        <v>0</v>
      </c>
      <c r="AT198" s="518">
        <f t="shared" ref="AT198" si="2082">IF(AD196&gt;0,(AD198-AD196)/AD196,)</f>
        <v>0</v>
      </c>
      <c r="AU198" s="525">
        <f t="shared" ref="AU198" si="2083">IF(AE196&gt;0,(AE198-AE196)/AE196,)</f>
        <v>0</v>
      </c>
      <c r="AV198" s="527">
        <f>IF(AF196&gt;0,(AF198-AF196)/AF196,)</f>
        <v>16.267195682591964</v>
      </c>
      <c r="AW198" s="518">
        <f t="shared" ref="AW198" si="2084">IF(AG196&gt;0,(AG198-AG196)/AG196,)</f>
        <v>0</v>
      </c>
      <c r="AX198" s="525">
        <f t="shared" ref="AX198" si="2085">IF(AH196&gt;0,(AH198-AH196)/AH196,)</f>
        <v>16.267195682591964</v>
      </c>
    </row>
    <row r="199" spans="1:50" x14ac:dyDescent="0.2">
      <c r="A199" s="696" t="s">
        <v>1107</v>
      </c>
      <c r="B199" s="697">
        <v>0</v>
      </c>
      <c r="C199" s="697">
        <v>0</v>
      </c>
      <c r="D199" s="697">
        <v>0</v>
      </c>
      <c r="E199" s="697">
        <v>0</v>
      </c>
      <c r="F199" s="697"/>
      <c r="G199" s="697">
        <v>0</v>
      </c>
      <c r="H199" s="697">
        <v>0</v>
      </c>
      <c r="I199" s="697"/>
      <c r="J199" s="697">
        <v>0</v>
      </c>
      <c r="K199" s="697">
        <v>0</v>
      </c>
      <c r="L199" s="697">
        <v>0</v>
      </c>
      <c r="M199" s="697"/>
      <c r="N199" s="697">
        <v>0</v>
      </c>
      <c r="O199" s="697">
        <v>0</v>
      </c>
      <c r="P199" s="697"/>
      <c r="Q199" s="697">
        <v>0</v>
      </c>
      <c r="Y199" s="309"/>
      <c r="Z199" s="305"/>
      <c r="AE199" s="309"/>
      <c r="AF199" s="305"/>
      <c r="AH199" s="309"/>
      <c r="AI199" s="516"/>
      <c r="AO199" s="524"/>
      <c r="AU199" s="524"/>
      <c r="AX199" s="524"/>
    </row>
    <row r="200" spans="1:50" x14ac:dyDescent="0.2">
      <c r="A200" s="696" t="s">
        <v>1109</v>
      </c>
      <c r="B200" s="697">
        <v>0</v>
      </c>
      <c r="C200" s="697">
        <v>0</v>
      </c>
      <c r="D200" s="697">
        <v>0</v>
      </c>
      <c r="E200" s="697">
        <v>0</v>
      </c>
      <c r="F200" s="697"/>
      <c r="G200" s="697">
        <v>0</v>
      </c>
      <c r="H200" s="697">
        <v>0</v>
      </c>
      <c r="I200" s="697"/>
      <c r="J200" s="697">
        <v>0</v>
      </c>
      <c r="K200" s="697">
        <v>0</v>
      </c>
      <c r="L200" s="697">
        <v>0</v>
      </c>
      <c r="M200" s="697"/>
      <c r="N200" s="697">
        <v>0</v>
      </c>
      <c r="O200" s="697">
        <v>0</v>
      </c>
      <c r="P200" s="697"/>
      <c r="Q200" s="697">
        <v>0</v>
      </c>
      <c r="R200" s="294"/>
      <c r="S200" s="296">
        <f>IF(B199&gt;0,(B200/B199),)</f>
        <v>0</v>
      </c>
      <c r="T200" s="296">
        <f t="shared" ref="T200" si="2086">IF(C199&gt;0,(C200/C199),)</f>
        <v>0</v>
      </c>
      <c r="U200" s="296">
        <f t="shared" ref="U200" si="2087">IF(D199&gt;0,(D200/D199),)</f>
        <v>0</v>
      </c>
      <c r="V200" s="296">
        <f t="shared" ref="V200" si="2088">IF(E199&gt;0,(E200/E199),)</f>
        <v>0</v>
      </c>
      <c r="W200" s="296">
        <f t="shared" ref="W200" si="2089">IF(F199&gt;0,(F200/F199),)</f>
        <v>0</v>
      </c>
      <c r="X200" s="296">
        <f t="shared" ref="X200" si="2090">IF(G199&gt;0,(G200/G199),)</f>
        <v>0</v>
      </c>
      <c r="Y200" s="311">
        <f t="shared" ref="Y200" si="2091">IF(H199&gt;0,(H200/H199),)</f>
        <v>0</v>
      </c>
      <c r="Z200" s="306">
        <f t="shared" ref="Z200" si="2092">IF(I199&gt;0,(I200/I199),)</f>
        <v>0</v>
      </c>
      <c r="AA200" s="296">
        <f t="shared" ref="AA200" si="2093">IF(J199&gt;0,(J200/J199),)</f>
        <v>0</v>
      </c>
      <c r="AB200" s="296">
        <f t="shared" ref="AB200" si="2094">IF(K199&gt;0,(K200/K199),)</f>
        <v>0</v>
      </c>
      <c r="AC200" s="296">
        <f t="shared" ref="AC200" si="2095">IF(L199&gt;0,(L200/L199),)</f>
        <v>0</v>
      </c>
      <c r="AD200" s="296">
        <f t="shared" ref="AD200" si="2096">IF(M199&gt;0,(M200/M199),)</f>
        <v>0</v>
      </c>
      <c r="AE200" s="311">
        <f t="shared" ref="AE200" si="2097">IF(N199&gt;0,(N200/N199),)</f>
        <v>0</v>
      </c>
      <c r="AF200" s="306">
        <f t="shared" ref="AF200" si="2098">IF(O199&gt;0,(O200/O199),)</f>
        <v>0</v>
      </c>
      <c r="AG200" s="296">
        <f t="shared" ref="AG200" si="2099">IF(P199&gt;0,(P200/P199),)</f>
        <v>0</v>
      </c>
      <c r="AH200" s="311">
        <f t="shared" ref="AH200" si="2100">IF(Q199&gt;0,(Q200/Q199),)</f>
        <v>0</v>
      </c>
      <c r="AI200" s="516"/>
      <c r="AO200" s="524"/>
      <c r="AU200" s="524"/>
      <c r="AX200" s="524"/>
    </row>
    <row r="201" spans="1:50" x14ac:dyDescent="0.2">
      <c r="A201" s="696" t="s">
        <v>1111</v>
      </c>
      <c r="B201" s="697">
        <v>0</v>
      </c>
      <c r="C201" s="697">
        <v>0</v>
      </c>
      <c r="D201" s="697">
        <v>0</v>
      </c>
      <c r="E201" s="697">
        <v>0</v>
      </c>
      <c r="F201" s="697"/>
      <c r="G201" s="697">
        <v>0</v>
      </c>
      <c r="H201" s="697">
        <v>0</v>
      </c>
      <c r="I201" s="697"/>
      <c r="J201" s="697">
        <v>0</v>
      </c>
      <c r="K201" s="697">
        <v>0</v>
      </c>
      <c r="L201" s="697">
        <v>0</v>
      </c>
      <c r="M201" s="697"/>
      <c r="N201" s="697">
        <v>0</v>
      </c>
      <c r="O201" s="697">
        <v>0</v>
      </c>
      <c r="P201" s="697"/>
      <c r="Q201" s="697">
        <v>0</v>
      </c>
      <c r="Y201" s="309"/>
      <c r="Z201" s="305"/>
      <c r="AE201" s="309"/>
      <c r="AF201" s="305"/>
      <c r="AH201" s="309"/>
      <c r="AI201" s="516"/>
      <c r="AO201" s="524"/>
      <c r="AU201" s="524"/>
      <c r="AX201" s="524"/>
    </row>
    <row r="202" spans="1:50" x14ac:dyDescent="0.2">
      <c r="A202" s="696" t="s">
        <v>1113</v>
      </c>
      <c r="B202" s="697">
        <v>0</v>
      </c>
      <c r="C202" s="697">
        <v>0</v>
      </c>
      <c r="D202" s="697">
        <v>0</v>
      </c>
      <c r="E202" s="697">
        <v>0</v>
      </c>
      <c r="F202" s="697"/>
      <c r="G202" s="697">
        <v>0</v>
      </c>
      <c r="H202" s="697">
        <v>0</v>
      </c>
      <c r="I202" s="697"/>
      <c r="J202" s="697">
        <v>0</v>
      </c>
      <c r="K202" s="697">
        <v>0</v>
      </c>
      <c r="L202" s="697">
        <v>0</v>
      </c>
      <c r="M202" s="697"/>
      <c r="N202" s="697">
        <v>0</v>
      </c>
      <c r="O202" s="697">
        <v>0</v>
      </c>
      <c r="P202" s="697"/>
      <c r="Q202" s="697">
        <v>0</v>
      </c>
      <c r="R202" s="294"/>
      <c r="S202" s="296">
        <f>IF(B201&gt;0,(B202/B201),)</f>
        <v>0</v>
      </c>
      <c r="T202" s="296">
        <f t="shared" ref="T202" si="2101">IF(C201&gt;0,(C202/C201),)</f>
        <v>0</v>
      </c>
      <c r="U202" s="296">
        <f t="shared" ref="U202" si="2102">IF(D201&gt;0,(D202/D201),)</f>
        <v>0</v>
      </c>
      <c r="V202" s="296">
        <f t="shared" ref="V202" si="2103">IF(E201&gt;0,(E202/E201),)</f>
        <v>0</v>
      </c>
      <c r="W202" s="296">
        <f t="shared" ref="W202" si="2104">IF(F201&gt;0,(F202/F201),)</f>
        <v>0</v>
      </c>
      <c r="X202" s="296">
        <f t="shared" ref="X202" si="2105">IF(G201&gt;0,(G202/G201),)</f>
        <v>0</v>
      </c>
      <c r="Y202" s="311">
        <f t="shared" ref="Y202" si="2106">IF(H201&gt;0,(H202/H201),)</f>
        <v>0</v>
      </c>
      <c r="Z202" s="306">
        <f t="shared" ref="Z202" si="2107">IF(I201&gt;0,(I202/I201),)</f>
        <v>0</v>
      </c>
      <c r="AA202" s="296">
        <f t="shared" ref="AA202" si="2108">IF(J201&gt;0,(J202/J201),)</f>
        <v>0</v>
      </c>
      <c r="AB202" s="296">
        <f t="shared" ref="AB202" si="2109">IF(K201&gt;0,(K202/K201),)</f>
        <v>0</v>
      </c>
      <c r="AC202" s="296">
        <f t="shared" ref="AC202" si="2110">IF(L201&gt;0,(L202/L201),)</f>
        <v>0</v>
      </c>
      <c r="AD202" s="296">
        <f t="shared" ref="AD202" si="2111">IF(M201&gt;0,(M202/M201),)</f>
        <v>0</v>
      </c>
      <c r="AE202" s="311">
        <f t="shared" ref="AE202" si="2112">IF(N201&gt;0,(N202/N201),)</f>
        <v>0</v>
      </c>
      <c r="AF202" s="306">
        <f t="shared" ref="AF202" si="2113">IF(O201&gt;0,(O202/O201),)</f>
        <v>0</v>
      </c>
      <c r="AG202" s="296">
        <f t="shared" ref="AG202" si="2114">IF(P201&gt;0,(P202/P201),)</f>
        <v>0</v>
      </c>
      <c r="AH202" s="311">
        <f t="shared" ref="AH202" si="2115">IF(Q201&gt;0,(Q202/Q201),)</f>
        <v>0</v>
      </c>
      <c r="AI202" s="517">
        <f>IF(S200&gt;0,(S202-S200)/S200,)</f>
        <v>0</v>
      </c>
      <c r="AJ202" s="518">
        <f t="shared" ref="AJ202" si="2116">IF(T200&gt;0,(T202-T200)/T200,)</f>
        <v>0</v>
      </c>
      <c r="AK202" s="518">
        <f t="shared" ref="AK202" si="2117">IF(U200&gt;0,(U202-U200)/U200,)</f>
        <v>0</v>
      </c>
      <c r="AL202" s="518">
        <f t="shared" ref="AL202" si="2118">IF(V200&gt;0,(V202-V200)/V200,)</f>
        <v>0</v>
      </c>
      <c r="AM202" s="518">
        <f t="shared" ref="AM202" si="2119">IF(W200&gt;0,(W202-W200)/W200,)</f>
        <v>0</v>
      </c>
      <c r="AN202" s="518">
        <f t="shared" ref="AN202" si="2120">IF(X200&gt;0,(X202-X200)/X200,)</f>
        <v>0</v>
      </c>
      <c r="AO202" s="525">
        <f t="shared" ref="AO202" si="2121">IF(Y200&gt;0,(Y202-Y200)/Y200,)</f>
        <v>0</v>
      </c>
      <c r="AP202" s="518">
        <f t="shared" ref="AP202" si="2122">IF(Z200&gt;0,(Z202-Z200)/Z200,)</f>
        <v>0</v>
      </c>
      <c r="AQ202" s="518">
        <f t="shared" ref="AQ202" si="2123">IF(AA200&gt;0,(AA202-AA200)/AA200,)</f>
        <v>0</v>
      </c>
      <c r="AR202" s="518">
        <f t="shared" ref="AR202" si="2124">IF(AB200&gt;0,(AB202-AB200)/AB200,)</f>
        <v>0</v>
      </c>
      <c r="AS202" s="518">
        <f t="shared" ref="AS202" si="2125">IF(AC200&gt;0,(AC202-AC200)/AC200,)</f>
        <v>0</v>
      </c>
      <c r="AT202" s="518">
        <f t="shared" ref="AT202" si="2126">IF(AD200&gt;0,(AD202-AD200)/AD200,)</f>
        <v>0</v>
      </c>
      <c r="AU202" s="525">
        <f t="shared" ref="AU202" si="2127">IF(AE200&gt;0,(AE202-AE200)/AE200,)</f>
        <v>0</v>
      </c>
      <c r="AV202" s="518">
        <f t="shared" ref="AV202" si="2128">IF(AF200&gt;0,(AF202-AF200)/AF200,)</f>
        <v>0</v>
      </c>
      <c r="AW202" s="518">
        <f t="shared" ref="AW202" si="2129">IF(AG200&gt;0,(AG202-AG200)/AG200,)</f>
        <v>0</v>
      </c>
      <c r="AX202" s="525">
        <f t="shared" ref="AX202" si="2130">IF(AH200&gt;0,(AH202-AH200)/AH200,)</f>
        <v>0</v>
      </c>
    </row>
    <row r="203" spans="1:50" x14ac:dyDescent="0.2">
      <c r="A203" s="696" t="s">
        <v>1115</v>
      </c>
      <c r="B203" s="697">
        <v>1166</v>
      </c>
      <c r="C203" s="697">
        <v>1313</v>
      </c>
      <c r="D203" s="697">
        <v>1210</v>
      </c>
      <c r="E203" s="697">
        <v>1266</v>
      </c>
      <c r="F203" s="697"/>
      <c r="G203" s="697">
        <v>95</v>
      </c>
      <c r="H203" s="697">
        <v>5050</v>
      </c>
      <c r="I203" s="697"/>
      <c r="J203" s="697">
        <v>797</v>
      </c>
      <c r="K203" s="697">
        <v>124</v>
      </c>
      <c r="L203" s="697">
        <v>237</v>
      </c>
      <c r="M203" s="697"/>
      <c r="N203" s="697">
        <v>1158</v>
      </c>
      <c r="O203" s="697">
        <v>683</v>
      </c>
      <c r="P203" s="697"/>
      <c r="Q203" s="697">
        <v>683</v>
      </c>
      <c r="Y203" s="309"/>
      <c r="Z203" s="305"/>
      <c r="AE203" s="309"/>
      <c r="AF203" s="305"/>
      <c r="AH203" s="309"/>
      <c r="AI203" s="516"/>
      <c r="AO203" s="524"/>
      <c r="AU203" s="524"/>
      <c r="AX203" s="524"/>
    </row>
    <row r="204" spans="1:50" x14ac:dyDescent="0.2">
      <c r="A204" s="696" t="s">
        <v>1117</v>
      </c>
      <c r="B204" s="697">
        <v>95132736.260015592</v>
      </c>
      <c r="C204" s="697">
        <v>88025912.162118077</v>
      </c>
      <c r="D204" s="697">
        <v>74370348.419445798</v>
      </c>
      <c r="E204" s="697">
        <v>69100781.525806874</v>
      </c>
      <c r="F204" s="697"/>
      <c r="G204" s="697">
        <v>4660794.8859815709</v>
      </c>
      <c r="H204" s="697">
        <v>331290573.2533679</v>
      </c>
      <c r="I204" s="697"/>
      <c r="J204" s="697">
        <v>38211423.488802016</v>
      </c>
      <c r="K204" s="697">
        <v>5300603.4506028146</v>
      </c>
      <c r="L204" s="697">
        <v>9868110.9963608421</v>
      </c>
      <c r="M204" s="697"/>
      <c r="N204" s="697">
        <v>53380137.935765669</v>
      </c>
      <c r="O204" s="697">
        <v>23056151.017389134</v>
      </c>
      <c r="P204" s="697"/>
      <c r="Q204" s="697">
        <v>23056151.017389134</v>
      </c>
      <c r="R204" s="294"/>
      <c r="S204" s="296">
        <f>IF(B203&gt;0,(B204/B203),)</f>
        <v>81588.967632946471</v>
      </c>
      <c r="T204" s="296">
        <f t="shared" ref="T204" si="2131">IF(C203&gt;0,(C204/C203),)</f>
        <v>67041.821905649718</v>
      </c>
      <c r="U204" s="296">
        <f t="shared" ref="U204" si="2132">IF(D203&gt;0,(D204/D203),)</f>
        <v>61463.097867310578</v>
      </c>
      <c r="V204" s="296">
        <f t="shared" ref="V204" si="2133">IF(E203&gt;0,(E204/E203),)</f>
        <v>54581.975928757405</v>
      </c>
      <c r="W204" s="296">
        <f t="shared" ref="W204" si="2134">IF(F203&gt;0,(F204/F203),)</f>
        <v>0</v>
      </c>
      <c r="X204" s="296">
        <f t="shared" ref="X204" si="2135">IF(G203&gt;0,(G204/G203),)</f>
        <v>49060.99879980601</v>
      </c>
      <c r="Y204" s="311">
        <f t="shared" ref="Y204" si="2136">IF(H203&gt;0,(H204/H203),)</f>
        <v>65602.093713538197</v>
      </c>
      <c r="Z204" s="306">
        <f t="shared" ref="Z204" si="2137">IF(I203&gt;0,(I204/I203),)</f>
        <v>0</v>
      </c>
      <c r="AA204" s="296">
        <f t="shared" ref="AA204" si="2138">IF(J203&gt;0,(J204/J203),)</f>
        <v>47944.069622085342</v>
      </c>
      <c r="AB204" s="296">
        <f t="shared" ref="AB204" si="2139">IF(K203&gt;0,(K204/K203),)</f>
        <v>42746.802020990443</v>
      </c>
      <c r="AC204" s="296">
        <f t="shared" ref="AC204" si="2140">IF(L203&gt;0,(L204/L203),)</f>
        <v>41637.59914076305</v>
      </c>
      <c r="AD204" s="296">
        <f t="shared" ref="AD204" si="2141">IF(M203&gt;0,(M204/M203),)</f>
        <v>0</v>
      </c>
      <c r="AE204" s="311">
        <f t="shared" ref="AE204" si="2142">IF(N203&gt;0,(N204/N203),)</f>
        <v>46096.837595652563</v>
      </c>
      <c r="AF204" s="306">
        <f t="shared" ref="AF204" si="2143">IF(O203&gt;0,(O204/O203),)</f>
        <v>33757.175720921136</v>
      </c>
      <c r="AG204" s="296">
        <f t="shared" ref="AG204" si="2144">IF(P203&gt;0,(P204/P203),)</f>
        <v>0</v>
      </c>
      <c r="AH204" s="311">
        <f t="shared" ref="AH204" si="2145">IF(Q203&gt;0,(Q204/Q203),)</f>
        <v>33757.175720921136</v>
      </c>
      <c r="AI204" s="516"/>
      <c r="AO204" s="524"/>
      <c r="AU204" s="524"/>
      <c r="AX204" s="524"/>
    </row>
    <row r="205" spans="1:50" x14ac:dyDescent="0.2">
      <c r="A205" s="696" t="s">
        <v>1119</v>
      </c>
      <c r="B205" s="697">
        <v>1230</v>
      </c>
      <c r="C205" s="697">
        <v>1298</v>
      </c>
      <c r="D205" s="697">
        <v>1120</v>
      </c>
      <c r="E205" s="697">
        <v>1251</v>
      </c>
      <c r="F205" s="697"/>
      <c r="G205" s="697">
        <v>86</v>
      </c>
      <c r="H205" s="697">
        <v>4985</v>
      </c>
      <c r="I205" s="697"/>
      <c r="J205" s="697">
        <v>784</v>
      </c>
      <c r="K205" s="697">
        <v>208</v>
      </c>
      <c r="L205" s="697">
        <v>275</v>
      </c>
      <c r="M205" s="697"/>
      <c r="N205" s="697">
        <v>1267</v>
      </c>
      <c r="O205" s="697">
        <v>485</v>
      </c>
      <c r="P205" s="697"/>
      <c r="Q205" s="697">
        <v>485</v>
      </c>
      <c r="Y205" s="309"/>
      <c r="Z205" s="305"/>
      <c r="AE205" s="309"/>
      <c r="AF205" s="305"/>
      <c r="AH205" s="309"/>
      <c r="AI205" s="516"/>
      <c r="AO205" s="524"/>
      <c r="AU205" s="524"/>
      <c r="AX205" s="524"/>
    </row>
    <row r="206" spans="1:50" ht="13.5" thickBot="1" x14ac:dyDescent="0.25">
      <c r="A206" s="701" t="s">
        <v>1121</v>
      </c>
      <c r="B206" s="702">
        <v>97555797.089844286</v>
      </c>
      <c r="C206" s="702">
        <v>85461142.211187929</v>
      </c>
      <c r="D206" s="702">
        <v>63643130.994547546</v>
      </c>
      <c r="E206" s="702">
        <v>66180256.205916412</v>
      </c>
      <c r="F206" s="702"/>
      <c r="G206" s="702">
        <v>4151472.5702523775</v>
      </c>
      <c r="H206" s="702">
        <v>316991799.07174855</v>
      </c>
      <c r="I206" s="702"/>
      <c r="J206" s="702">
        <v>35327632.001296401</v>
      </c>
      <c r="K206" s="702">
        <v>8718210.7237164266</v>
      </c>
      <c r="L206" s="702">
        <v>13238900.163979854</v>
      </c>
      <c r="M206" s="702"/>
      <c r="N206" s="702">
        <v>57284742.888992682</v>
      </c>
      <c r="O206" s="702">
        <v>16248782.212063752</v>
      </c>
      <c r="P206" s="702"/>
      <c r="Q206" s="702">
        <v>16248782.212063752</v>
      </c>
      <c r="S206" s="302">
        <f>IF(B205&gt;0,(B206/B205),)</f>
        <v>79313.656170605114</v>
      </c>
      <c r="T206" s="302">
        <f t="shared" ref="T206" si="2146">IF(C205&gt;0,(C206/C205),)</f>
        <v>65840.633444674837</v>
      </c>
      <c r="U206" s="302">
        <f t="shared" ref="U206" si="2147">IF(D205&gt;0,(D206/D205),)</f>
        <v>56824.224102274595</v>
      </c>
      <c r="V206" s="302">
        <f t="shared" ref="V206" si="2148">IF(E205&gt;0,(E206/E205),)</f>
        <v>52901.883457966753</v>
      </c>
      <c r="W206" s="302">
        <f t="shared" ref="W206" si="2149">IF(F205&gt;0,(F206/F205),)</f>
        <v>0</v>
      </c>
      <c r="X206" s="302">
        <f t="shared" ref="X206" si="2150">IF(G205&gt;0,(G206/G205),)</f>
        <v>48272.936863399736</v>
      </c>
      <c r="Y206" s="312">
        <f t="shared" ref="Y206" si="2151">IF(H205&gt;0,(H206/H205),)</f>
        <v>63589.127195937523</v>
      </c>
      <c r="Z206" s="307">
        <f t="shared" ref="Z206" si="2152">IF(I205&gt;0,(I206/I205),)</f>
        <v>0</v>
      </c>
      <c r="AA206" s="302">
        <f t="shared" ref="AA206" si="2153">IF(J205&gt;0,(J206/J205),)</f>
        <v>45060.755103694391</v>
      </c>
      <c r="AB206" s="302">
        <f t="shared" ref="AB206" si="2154">IF(K205&gt;0,(K206/K205),)</f>
        <v>41914.474633252052</v>
      </c>
      <c r="AC206" s="302">
        <f t="shared" ref="AC206" si="2155">IF(L205&gt;0,(L206/L205),)</f>
        <v>48141.455141744926</v>
      </c>
      <c r="AD206" s="302">
        <f t="shared" ref="AD206" si="2156">IF(M205&gt;0,(M206/M205),)</f>
        <v>0</v>
      </c>
      <c r="AE206" s="312">
        <f t="shared" ref="AE206" si="2157">IF(N205&gt;0,(N206/N205),)</f>
        <v>45212.898886339921</v>
      </c>
      <c r="AF206" s="307">
        <f t="shared" ref="AF206" si="2158">IF(O205&gt;0,(O206/O205),)</f>
        <v>33502.643736213919</v>
      </c>
      <c r="AG206" s="302">
        <f t="shared" ref="AG206" si="2159">IF(P205&gt;0,(P206/P205),)</f>
        <v>0</v>
      </c>
      <c r="AH206" s="312">
        <f t="shared" ref="AH206" si="2160">IF(Q205&gt;0,(Q206/Q205),)</f>
        <v>33502.643736213919</v>
      </c>
      <c r="AI206" s="519">
        <f>IF(S204&gt;0,(S206-S204)/S204,)</f>
        <v>-2.788748930587721E-2</v>
      </c>
      <c r="AJ206" s="520">
        <f t="shared" ref="AJ206" si="2161">IF(T204&gt;0,(T206-T204)/T204,)</f>
        <v>-1.7917002056796062E-2</v>
      </c>
      <c r="AK206" s="520">
        <f t="shared" ref="AK206" si="2162">IF(U204&gt;0,(U206-U204)/U204,)</f>
        <v>-7.5474128802466192E-2</v>
      </c>
      <c r="AL206" s="520">
        <f t="shared" ref="AL206" si="2163">IF(V204&gt;0,(V206-V204)/V204,)</f>
        <v>-3.0781085554388445E-2</v>
      </c>
      <c r="AM206" s="520">
        <f t="shared" ref="AM206" si="2164">IF(W204&gt;0,(W206-W204)/W204,)</f>
        <v>0</v>
      </c>
      <c r="AN206" s="520">
        <f t="shared" ref="AN206" si="2165">IF(X204&gt;0,(X206-X204)/X204,)</f>
        <v>-1.6062900382888032E-2</v>
      </c>
      <c r="AO206" s="526">
        <f t="shared" ref="AO206" si="2166">IF(Y204&gt;0,(Y206-Y204)/Y204,)</f>
        <v>-3.0684485870079204E-2</v>
      </c>
      <c r="AP206" s="520">
        <f t="shared" ref="AP206" si="2167">IF(Z204&gt;0,(Z206-Z204)/Z204,)</f>
        <v>0</v>
      </c>
      <c r="AQ206" s="520">
        <f t="shared" ref="AQ206" si="2168">IF(AA204&gt;0,(AA206-AA204)/AA204,)</f>
        <v>-6.0139127552550478E-2</v>
      </c>
      <c r="AR206" s="520">
        <f t="shared" ref="AR206" si="2169">IF(AB204&gt;0,(AB206-AB204)/AB204,)</f>
        <v>-1.9471103062392452E-2</v>
      </c>
      <c r="AS206" s="520">
        <f t="shared" ref="AS206" si="2170">IF(AC204&gt;0,(AC206-AC204)/AC204,)</f>
        <v>0.15620151342046582</v>
      </c>
      <c r="AT206" s="520">
        <f t="shared" ref="AT206" si="2171">IF(AD204&gt;0,(AD206-AD204)/AD204,)</f>
        <v>0</v>
      </c>
      <c r="AU206" s="526">
        <f t="shared" ref="AU206" si="2172">IF(AE204&gt;0,(AE206-AE204)/AE204,)</f>
        <v>-1.9175690902406017E-2</v>
      </c>
      <c r="AV206" s="520">
        <f t="shared" ref="AV206" si="2173">IF(AF204&gt;0,(AF206-AF204)/AF204,)</f>
        <v>-7.5400853084243583E-3</v>
      </c>
      <c r="AW206" s="520">
        <f t="shared" ref="AW206" si="2174">IF(AG204&gt;0,(AG206-AG204)/AG204,)</f>
        <v>0</v>
      </c>
      <c r="AX206" s="526">
        <f t="shared" ref="AX206" si="2175">IF(AH204&gt;0,(AH206-AH204)/AH204,)</f>
        <v>-7.5400853084243583E-3</v>
      </c>
    </row>
    <row r="207" spans="1:50" x14ac:dyDescent="0.2">
      <c r="A207" s="695" t="s">
        <v>38</v>
      </c>
      <c r="B207" s="697"/>
      <c r="C207" s="697"/>
      <c r="D207" s="697"/>
      <c r="E207" s="697"/>
      <c r="F207" s="697"/>
      <c r="G207" s="697"/>
      <c r="H207" s="697"/>
      <c r="I207" s="697"/>
      <c r="J207" s="697"/>
      <c r="K207" s="697"/>
      <c r="L207" s="697"/>
      <c r="M207" s="697"/>
      <c r="N207" s="697"/>
      <c r="O207" s="697"/>
      <c r="P207" s="697"/>
      <c r="Q207" s="697"/>
      <c r="Y207" s="309"/>
      <c r="Z207" s="305"/>
      <c r="AE207" s="309"/>
      <c r="AF207" s="305"/>
      <c r="AH207" s="309"/>
      <c r="AI207" s="516"/>
      <c r="AO207" s="524"/>
      <c r="AU207" s="524"/>
      <c r="AX207" s="524"/>
    </row>
    <row r="208" spans="1:50" x14ac:dyDescent="0.2">
      <c r="A208" s="696" t="s">
        <v>1067</v>
      </c>
      <c r="B208" s="697">
        <v>657</v>
      </c>
      <c r="C208" s="697">
        <v>195</v>
      </c>
      <c r="D208" s="697">
        <v>187</v>
      </c>
      <c r="E208" s="697">
        <v>293</v>
      </c>
      <c r="F208" s="697">
        <v>25</v>
      </c>
      <c r="G208" s="697">
        <v>45</v>
      </c>
      <c r="H208" s="697">
        <v>1402</v>
      </c>
      <c r="I208" s="697"/>
      <c r="J208" s="697">
        <v>658</v>
      </c>
      <c r="K208" s="697">
        <v>127</v>
      </c>
      <c r="L208" s="697">
        <v>38</v>
      </c>
      <c r="M208" s="697"/>
      <c r="N208" s="697">
        <v>823</v>
      </c>
      <c r="O208" s="697"/>
      <c r="P208" s="697"/>
      <c r="Q208" s="697"/>
      <c r="S208" s="295"/>
      <c r="T208" s="295"/>
      <c r="U208" s="295"/>
      <c r="V208" s="295"/>
      <c r="W208" s="295"/>
      <c r="X208" s="295"/>
      <c r="Y208" s="310"/>
      <c r="Z208" s="305"/>
      <c r="AA208" s="295"/>
      <c r="AB208" s="295"/>
      <c r="AC208" s="295"/>
      <c r="AD208" s="295"/>
      <c r="AE208" s="310"/>
      <c r="AF208" s="305"/>
      <c r="AG208" s="295"/>
      <c r="AH208" s="310"/>
      <c r="AI208" s="516"/>
      <c r="AO208" s="524"/>
      <c r="AU208" s="524"/>
      <c r="AX208" s="524"/>
    </row>
    <row r="209" spans="1:50" x14ac:dyDescent="0.2">
      <c r="A209" s="696" t="s">
        <v>1069</v>
      </c>
      <c r="B209" s="697">
        <v>89942841.987924039</v>
      </c>
      <c r="C209" s="697">
        <v>21609643.167927641</v>
      </c>
      <c r="D209" s="697">
        <v>16748624.726001149</v>
      </c>
      <c r="E209" s="697">
        <v>27194582.437664174</v>
      </c>
      <c r="F209" s="697">
        <v>2189532.4743506494</v>
      </c>
      <c r="G209" s="697">
        <v>4160713.7798540145</v>
      </c>
      <c r="H209" s="697">
        <v>161845938.57372165</v>
      </c>
      <c r="I209" s="697"/>
      <c r="J209" s="697">
        <v>54568155.981686674</v>
      </c>
      <c r="K209" s="697">
        <v>9397504.6087345704</v>
      </c>
      <c r="L209" s="697">
        <v>2670720.8008145168</v>
      </c>
      <c r="M209" s="697"/>
      <c r="N209" s="697">
        <v>66636381.391235761</v>
      </c>
      <c r="O209" s="697"/>
      <c r="P209" s="697"/>
      <c r="Q209" s="697"/>
      <c r="S209" s="296">
        <f>IF(B208&gt;0,(B209/B208),)</f>
        <v>136899.30287355257</v>
      </c>
      <c r="T209" s="296">
        <f t="shared" ref="T209" si="2176">IF(C208&gt;0,(C209/C208),)</f>
        <v>110818.68291244944</v>
      </c>
      <c r="U209" s="296">
        <f t="shared" ref="U209" si="2177">IF(D208&gt;0,(D209/D208),)</f>
        <v>89564.838106958021</v>
      </c>
      <c r="V209" s="296">
        <f t="shared" ref="V209" si="2178">IF(E208&gt;0,(E209/E208),)</f>
        <v>92814.274531277042</v>
      </c>
      <c r="W209" s="296">
        <f t="shared" ref="W209" si="2179">IF(F208&gt;0,(F209/F208),)</f>
        <v>87581.29897402598</v>
      </c>
      <c r="X209" s="296">
        <f t="shared" ref="X209" si="2180">IF(G208&gt;0,(G209/G208),)</f>
        <v>92460.306218978105</v>
      </c>
      <c r="Y209" s="311">
        <f t="shared" ref="Y209" si="2181">IF(H208&gt;0,(H209/H208),)</f>
        <v>115439.328511927</v>
      </c>
      <c r="Z209" s="306">
        <f t="shared" ref="Z209" si="2182">IF(I208&gt;0,(I209/I208),)</f>
        <v>0</v>
      </c>
      <c r="AA209" s="296">
        <f t="shared" ref="AA209" si="2183">IF(J208&gt;0,(J209/J208),)</f>
        <v>82930.328239645401</v>
      </c>
      <c r="AB209" s="296">
        <f t="shared" ref="AB209" si="2184">IF(K208&gt;0,(K209/K208),)</f>
        <v>73996.099281374569</v>
      </c>
      <c r="AC209" s="296">
        <f t="shared" ref="AC209" si="2185">IF(L208&gt;0,(L209/L208),)</f>
        <v>70282.126337224123</v>
      </c>
      <c r="AD209" s="296">
        <f t="shared" ref="AD209" si="2186">IF(M208&gt;0,(M209/M208),)</f>
        <v>0</v>
      </c>
      <c r="AE209" s="311">
        <f t="shared" ref="AE209" si="2187">IF(N208&gt;0,(N209/N208),)</f>
        <v>80967.656611465078</v>
      </c>
      <c r="AF209" s="306">
        <f t="shared" ref="AF209" si="2188">IF(O208&gt;0,(O209/O208),)</f>
        <v>0</v>
      </c>
      <c r="AG209" s="296">
        <f t="shared" ref="AG209" si="2189">IF(P208&gt;0,(P209/P208),)</f>
        <v>0</v>
      </c>
      <c r="AH209" s="311">
        <f t="shared" ref="AH209" si="2190">IF(Q208&gt;0,(Q209/Q208),)</f>
        <v>0</v>
      </c>
      <c r="AI209" s="516"/>
      <c r="AO209" s="524"/>
      <c r="AU209" s="524"/>
      <c r="AX209" s="524"/>
    </row>
    <row r="210" spans="1:50" x14ac:dyDescent="0.2">
      <c r="A210" s="696" t="s">
        <v>1071</v>
      </c>
      <c r="B210" s="697">
        <v>653</v>
      </c>
      <c r="C210" s="697">
        <v>205</v>
      </c>
      <c r="D210" s="697">
        <v>197</v>
      </c>
      <c r="E210" s="697">
        <v>312</v>
      </c>
      <c r="F210" s="697">
        <v>24</v>
      </c>
      <c r="G210" s="697">
        <v>44</v>
      </c>
      <c r="H210" s="697">
        <v>1435</v>
      </c>
      <c r="I210" s="697"/>
      <c r="J210" s="697">
        <v>683</v>
      </c>
      <c r="K210" s="697">
        <v>128</v>
      </c>
      <c r="L210" s="697">
        <v>32</v>
      </c>
      <c r="M210" s="697"/>
      <c r="N210" s="697">
        <v>843</v>
      </c>
      <c r="O210" s="697"/>
      <c r="P210" s="697"/>
      <c r="Q210" s="697"/>
      <c r="Y210" s="309"/>
      <c r="Z210" s="305"/>
      <c r="AE210" s="309"/>
      <c r="AF210" s="305"/>
      <c r="AH210" s="309"/>
      <c r="AI210" s="516"/>
      <c r="AO210" s="524"/>
      <c r="AU210" s="524"/>
      <c r="AX210" s="524"/>
    </row>
    <row r="211" spans="1:50" x14ac:dyDescent="0.2">
      <c r="A211" s="696" t="s">
        <v>1073</v>
      </c>
      <c r="B211" s="697">
        <v>86793602.829515025</v>
      </c>
      <c r="C211" s="697">
        <v>21732714.057575073</v>
      </c>
      <c r="D211" s="697">
        <v>15630533.6480198</v>
      </c>
      <c r="E211" s="697">
        <v>26669287.652585506</v>
      </c>
      <c r="F211" s="697">
        <v>1872563.3114754097</v>
      </c>
      <c r="G211" s="697">
        <v>3179942.0714285718</v>
      </c>
      <c r="H211" s="697">
        <v>155878643.57059938</v>
      </c>
      <c r="I211" s="697"/>
      <c r="J211" s="697">
        <v>53007151.398122251</v>
      </c>
      <c r="K211" s="697">
        <v>8780220.2293387894</v>
      </c>
      <c r="L211" s="697">
        <v>2059496.7886116351</v>
      </c>
      <c r="M211" s="697"/>
      <c r="N211" s="697">
        <v>63846868.416072674</v>
      </c>
      <c r="O211" s="697"/>
      <c r="P211" s="697"/>
      <c r="Q211" s="697"/>
      <c r="R211" s="294"/>
      <c r="S211" s="296">
        <f>IF(B210&gt;0,(B211/B210),)</f>
        <v>132915.16512942576</v>
      </c>
      <c r="T211" s="296">
        <f t="shared" ref="T211" si="2191">IF(C210&gt;0,(C211/C210),)</f>
        <v>106013.23930524426</v>
      </c>
      <c r="U211" s="296">
        <f t="shared" ref="U211" si="2192">IF(D210&gt;0,(D211/D210),)</f>
        <v>79342.810396039597</v>
      </c>
      <c r="V211" s="296">
        <f t="shared" ref="V211" si="2193">IF(E210&gt;0,(E211/E210),)</f>
        <v>85478.486065979188</v>
      </c>
      <c r="W211" s="296">
        <f t="shared" ref="W211" si="2194">IF(F210&gt;0,(F211/F210),)</f>
        <v>78023.471311475398</v>
      </c>
      <c r="X211" s="296">
        <f t="shared" ref="X211" si="2195">IF(G210&gt;0,(G211/G210),)</f>
        <v>72271.410714285725</v>
      </c>
      <c r="Y211" s="311">
        <f t="shared" ref="Y211" si="2196">IF(H210&gt;0,(H211/H210),)</f>
        <v>108626.23245337936</v>
      </c>
      <c r="Z211" s="306">
        <f t="shared" ref="Z211" si="2197">IF(I210&gt;0,(I211/I210),)</f>
        <v>0</v>
      </c>
      <c r="AA211" s="296">
        <f t="shared" ref="AA211" si="2198">IF(J210&gt;0,(J211/J210),)</f>
        <v>77609.299265186317</v>
      </c>
      <c r="AB211" s="296">
        <f t="shared" ref="AB211" si="2199">IF(K210&gt;0,(K211/K210),)</f>
        <v>68595.470541709292</v>
      </c>
      <c r="AC211" s="296">
        <f t="shared" ref="AC211" si="2200">IF(L210&gt;0,(L211/L210),)</f>
        <v>64359.274644113597</v>
      </c>
      <c r="AD211" s="296">
        <f t="shared" ref="AD211" si="2201">IF(M210&gt;0,(M211/M210),)</f>
        <v>0</v>
      </c>
      <c r="AE211" s="311">
        <f t="shared" ref="AE211" si="2202">IF(N210&gt;0,(N211/N210),)</f>
        <v>75737.684953822871</v>
      </c>
      <c r="AF211" s="306">
        <f t="shared" ref="AF211" si="2203">IF(O210&gt;0,(O211/O210),)</f>
        <v>0</v>
      </c>
      <c r="AG211" s="296">
        <f t="shared" ref="AG211" si="2204">IF(P210&gt;0,(P211/P210),)</f>
        <v>0</v>
      </c>
      <c r="AH211" s="311">
        <f t="shared" ref="AH211" si="2205">IF(Q210&gt;0,(Q211/Q210),)</f>
        <v>0</v>
      </c>
      <c r="AI211" s="517">
        <f>IF(S209&gt;0,(S211-S209)/S209,)</f>
        <v>-2.9102688330025845E-2</v>
      </c>
      <c r="AJ211" s="518">
        <f t="shared" ref="AJ211" si="2206">IF(T209&gt;0,(T211-T209)/T209,)</f>
        <v>-4.3363117850819803E-2</v>
      </c>
      <c r="AK211" s="518">
        <f t="shared" ref="AK211" si="2207">IF(U209&gt;0,(U211-U209)/U209,)</f>
        <v>-0.11412991891652072</v>
      </c>
      <c r="AL211" s="518">
        <f t="shared" ref="AL211" si="2208">IF(V209&gt;0,(V211-V209)/V209,)</f>
        <v>-7.9037287123607275E-2</v>
      </c>
      <c r="AM211" s="518">
        <f t="shared" ref="AM211" si="2209">IF(W209&gt;0,(W211-W209)/W209,)</f>
        <v>-0.10913091920896435</v>
      </c>
      <c r="AN211" s="527">
        <f t="shared" ref="AN211" si="2210">IF(X209&gt;0,(X211-X209)/X209,)</f>
        <v>-0.21835202943064094</v>
      </c>
      <c r="AO211" s="525">
        <f t="shared" ref="AO211" si="2211">IF(Y209&gt;0,(Y211-Y209)/Y209,)</f>
        <v>-5.9018846924804524E-2</v>
      </c>
      <c r="AP211" s="518">
        <f t="shared" ref="AP211" si="2212">IF(Z209&gt;0,(Z211-Z209)/Z209,)</f>
        <v>0</v>
      </c>
      <c r="AQ211" s="518">
        <f t="shared" ref="AQ211" si="2213">IF(AA209&gt;0,(AA211-AA209)/AA209,)</f>
        <v>-6.416264215285393E-2</v>
      </c>
      <c r="AR211" s="518">
        <f t="shared" ref="AR211" si="2214">IF(AB209&gt;0,(AB211-AB209)/AB209,)</f>
        <v>-7.2985316687154883E-2</v>
      </c>
      <c r="AS211" s="518">
        <f t="shared" ref="AS211" si="2215">IF(AC209&gt;0,(AC211-AC209)/AC209,)</f>
        <v>-8.427251709334746E-2</v>
      </c>
      <c r="AT211" s="518">
        <f t="shared" ref="AT211" si="2216">IF(AD209&gt;0,(AD211-AD209)/AD209,)</f>
        <v>0</v>
      </c>
      <c r="AU211" s="525">
        <f t="shared" ref="AU211" si="2217">IF(AE209&gt;0,(AE211-AE209)/AE209,)</f>
        <v>-6.4593343521586369E-2</v>
      </c>
      <c r="AV211" s="518">
        <f t="shared" ref="AV211" si="2218">IF(AF209&gt;0,(AF211-AF209)/AF209,)</f>
        <v>0</v>
      </c>
      <c r="AW211" s="518">
        <f t="shared" ref="AW211" si="2219">IF(AG209&gt;0,(AG211-AG209)/AG209,)</f>
        <v>0</v>
      </c>
      <c r="AX211" s="525">
        <f t="shared" ref="AX211" si="2220">IF(AH209&gt;0,(AH211-AH209)/AH209,)</f>
        <v>0</v>
      </c>
    </row>
    <row r="212" spans="1:50" x14ac:dyDescent="0.2">
      <c r="A212" s="696" t="s">
        <v>1075</v>
      </c>
      <c r="B212" s="697">
        <v>423</v>
      </c>
      <c r="C212" s="697">
        <v>292</v>
      </c>
      <c r="D212" s="697">
        <v>174</v>
      </c>
      <c r="E212" s="697">
        <v>315</v>
      </c>
      <c r="F212" s="697">
        <v>25</v>
      </c>
      <c r="G212" s="697">
        <v>51</v>
      </c>
      <c r="H212" s="697">
        <v>1280</v>
      </c>
      <c r="I212" s="697"/>
      <c r="J212" s="697">
        <v>502</v>
      </c>
      <c r="K212" s="697">
        <v>149</v>
      </c>
      <c r="L212" s="697">
        <v>39</v>
      </c>
      <c r="M212" s="697"/>
      <c r="N212" s="697">
        <v>690</v>
      </c>
      <c r="O212" s="697"/>
      <c r="P212" s="697"/>
      <c r="Q212" s="697"/>
      <c r="Y212" s="309"/>
      <c r="Z212" s="305"/>
      <c r="AE212" s="309"/>
      <c r="AF212" s="305"/>
      <c r="AH212" s="309"/>
      <c r="AI212" s="516"/>
      <c r="AO212" s="524"/>
      <c r="AU212" s="524"/>
      <c r="AX212" s="524"/>
    </row>
    <row r="213" spans="1:50" x14ac:dyDescent="0.2">
      <c r="A213" s="698" t="s">
        <v>1077</v>
      </c>
      <c r="B213" s="699">
        <v>40585319.357108466</v>
      </c>
      <c r="C213" s="699">
        <v>22782022.168689266</v>
      </c>
      <c r="D213" s="699">
        <v>12445040.519852644</v>
      </c>
      <c r="E213" s="699">
        <v>23080747.77878337</v>
      </c>
      <c r="F213" s="699">
        <v>1687330.5145374448</v>
      </c>
      <c r="G213" s="699">
        <v>3274894.977</v>
      </c>
      <c r="H213" s="699">
        <v>103855355.31597118</v>
      </c>
      <c r="I213" s="699"/>
      <c r="J213" s="699">
        <v>33112981.850574449</v>
      </c>
      <c r="K213" s="699">
        <v>9098222.5963717792</v>
      </c>
      <c r="L213" s="699">
        <v>2426844.7580143288</v>
      </c>
      <c r="M213" s="699"/>
      <c r="N213" s="699">
        <v>44638049.204960555</v>
      </c>
      <c r="O213" s="699"/>
      <c r="P213" s="699"/>
      <c r="Q213" s="699"/>
      <c r="S213" s="296">
        <f>IF(B212&gt;0,(B213/B212),)</f>
        <v>95946.381458885269</v>
      </c>
      <c r="T213" s="296">
        <f t="shared" ref="T213" si="2221">IF(C212&gt;0,(C213/C212),)</f>
        <v>78020.623865374204</v>
      </c>
      <c r="U213" s="296">
        <f t="shared" ref="U213" si="2222">IF(D212&gt;0,(D213/D212),)</f>
        <v>71523.221378463466</v>
      </c>
      <c r="V213" s="296">
        <f t="shared" ref="V213" si="2223">IF(E212&gt;0,(E213/E212),)</f>
        <v>73272.215170740863</v>
      </c>
      <c r="W213" s="296">
        <f t="shared" ref="W213" si="2224">IF(F212&gt;0,(F213/F212),)</f>
        <v>67493.220581497793</v>
      </c>
      <c r="X213" s="296">
        <f t="shared" ref="X213" si="2225">IF(G212&gt;0,(G213/G212),)</f>
        <v>64213.627</v>
      </c>
      <c r="Y213" s="311">
        <f t="shared" ref="Y213" si="2226">IF(H212&gt;0,(H213/H212),)</f>
        <v>81136.996340602491</v>
      </c>
      <c r="Z213" s="306">
        <f t="shared" ref="Z213" si="2227">IF(I212&gt;0,(I213/I212),)</f>
        <v>0</v>
      </c>
      <c r="AA213" s="296">
        <f t="shared" ref="AA213" si="2228">IF(J212&gt;0,(J213/J212),)</f>
        <v>65962.115240188141</v>
      </c>
      <c r="AB213" s="296">
        <f t="shared" ref="AB213" si="2229">IF(K212&gt;0,(K213/K212),)</f>
        <v>61061.896619944826</v>
      </c>
      <c r="AC213" s="296">
        <f t="shared" ref="AC213" si="2230">IF(L212&gt;0,(L213/L212),)</f>
        <v>62226.788667034074</v>
      </c>
      <c r="AD213" s="296">
        <f t="shared" ref="AD213" si="2231">IF(M212&gt;0,(M213/M212),)</f>
        <v>0</v>
      </c>
      <c r="AE213" s="311">
        <f t="shared" ref="AE213" si="2232">IF(N212&gt;0,(N213/N212),)</f>
        <v>64692.824934725439</v>
      </c>
      <c r="AF213" s="306">
        <f t="shared" ref="AF213" si="2233">IF(O212&gt;0,(O213/O212),)</f>
        <v>0</v>
      </c>
      <c r="AG213" s="296">
        <f t="shared" ref="AG213" si="2234">IF(P212&gt;0,(P213/P212),)</f>
        <v>0</v>
      </c>
      <c r="AH213" s="311">
        <f t="shared" ref="AH213" si="2235">IF(Q212&gt;0,(Q213/Q212),)</f>
        <v>0</v>
      </c>
      <c r="AI213" s="516"/>
      <c r="AO213" s="524"/>
      <c r="AU213" s="524"/>
      <c r="AX213" s="524"/>
    </row>
    <row r="214" spans="1:50" x14ac:dyDescent="0.2">
      <c r="A214" s="696" t="s">
        <v>1079</v>
      </c>
      <c r="B214" s="697">
        <v>431</v>
      </c>
      <c r="C214" s="697">
        <v>289</v>
      </c>
      <c r="D214" s="697">
        <v>178</v>
      </c>
      <c r="E214" s="697">
        <v>326</v>
      </c>
      <c r="F214" s="697">
        <v>33</v>
      </c>
      <c r="G214" s="697">
        <v>54</v>
      </c>
      <c r="H214" s="697">
        <v>1311</v>
      </c>
      <c r="I214" s="697"/>
      <c r="J214" s="697">
        <v>497</v>
      </c>
      <c r="K214" s="697">
        <v>146</v>
      </c>
      <c r="L214" s="697">
        <v>40</v>
      </c>
      <c r="M214" s="697"/>
      <c r="N214" s="697">
        <v>683</v>
      </c>
      <c r="O214" s="697"/>
      <c r="P214" s="697"/>
      <c r="Q214" s="697"/>
      <c r="Y214" s="309"/>
      <c r="Z214" s="305"/>
      <c r="AE214" s="309"/>
      <c r="AF214" s="305"/>
      <c r="AH214" s="309"/>
      <c r="AI214" s="516"/>
      <c r="AO214" s="524"/>
      <c r="AU214" s="524"/>
      <c r="AX214" s="524"/>
    </row>
    <row r="215" spans="1:50" x14ac:dyDescent="0.2">
      <c r="A215" s="696" t="s">
        <v>1081</v>
      </c>
      <c r="B215" s="697">
        <v>40779022.177269474</v>
      </c>
      <c r="C215" s="697">
        <v>22041651.481288977</v>
      </c>
      <c r="D215" s="697">
        <v>11392807.778145695</v>
      </c>
      <c r="E215" s="697">
        <v>21939250.526458807</v>
      </c>
      <c r="F215" s="697">
        <v>1960849.6875</v>
      </c>
      <c r="G215" s="697">
        <v>3044250.9507042258</v>
      </c>
      <c r="H215" s="697">
        <v>101157832.60136719</v>
      </c>
      <c r="I215" s="697"/>
      <c r="J215" s="697">
        <v>30212319.424388919</v>
      </c>
      <c r="K215" s="697">
        <v>8156115.3471047636</v>
      </c>
      <c r="L215" s="697">
        <v>2258131.3345054947</v>
      </c>
      <c r="M215" s="697"/>
      <c r="N215" s="697">
        <v>40626566.105999172</v>
      </c>
      <c r="O215" s="697"/>
      <c r="P215" s="697"/>
      <c r="Q215" s="697"/>
      <c r="R215" s="294"/>
      <c r="S215" s="296">
        <f>IF(B214&gt;0,(B215/B214),)</f>
        <v>94614.900643316651</v>
      </c>
      <c r="T215" s="296">
        <f t="shared" ref="T215" si="2236">IF(C214&gt;0,(C215/C214),)</f>
        <v>76268.690246674654</v>
      </c>
      <c r="U215" s="296">
        <f t="shared" ref="U215" si="2237">IF(D214&gt;0,(D215/D214),)</f>
        <v>64004.5380794702</v>
      </c>
      <c r="V215" s="296">
        <f t="shared" ref="V215" si="2238">IF(E214&gt;0,(E215/E214),)</f>
        <v>67298.314498339896</v>
      </c>
      <c r="W215" s="296">
        <f t="shared" ref="W215" si="2239">IF(F214&gt;0,(F215/F214),)</f>
        <v>59419.6875</v>
      </c>
      <c r="X215" s="296">
        <f t="shared" ref="X215" si="2240">IF(G214&gt;0,(G215/G214),)</f>
        <v>56375.01760563381</v>
      </c>
      <c r="Y215" s="311">
        <f t="shared" ref="Y215" si="2241">IF(H214&gt;0,(H215/H214),)</f>
        <v>77160.818155123721</v>
      </c>
      <c r="Z215" s="306">
        <f t="shared" ref="Z215" si="2242">IF(I214&gt;0,(I215/I214),)</f>
        <v>0</v>
      </c>
      <c r="AA215" s="296">
        <f t="shared" ref="AA215" si="2243">IF(J214&gt;0,(J215/J214),)</f>
        <v>60789.375099374083</v>
      </c>
      <c r="AB215" s="296">
        <f t="shared" ref="AB215" si="2244">IF(K214&gt;0,(K215/K214),)</f>
        <v>55863.803747292899</v>
      </c>
      <c r="AC215" s="296">
        <f t="shared" ref="AC215" si="2245">IF(L214&gt;0,(L215/L214),)</f>
        <v>56453.283362637369</v>
      </c>
      <c r="AD215" s="296">
        <f t="shared" ref="AD215" si="2246">IF(M214&gt;0,(M215/M214),)</f>
        <v>0</v>
      </c>
      <c r="AE215" s="311">
        <f t="shared" ref="AE215" si="2247">IF(N214&gt;0,(N215/N214),)</f>
        <v>59482.52724158005</v>
      </c>
      <c r="AF215" s="306">
        <f t="shared" ref="AF215" si="2248">IF(O214&gt;0,(O215/O214),)</f>
        <v>0</v>
      </c>
      <c r="AG215" s="296">
        <f t="shared" ref="AG215" si="2249">IF(P214&gt;0,(P215/P214),)</f>
        <v>0</v>
      </c>
      <c r="AH215" s="311">
        <f t="shared" ref="AH215" si="2250">IF(Q214&gt;0,(Q215/Q214),)</f>
        <v>0</v>
      </c>
      <c r="AI215" s="517">
        <f>IF(S213&gt;0,(S215-S213)/S213,)</f>
        <v>-1.3877342692065796E-2</v>
      </c>
      <c r="AJ215" s="518">
        <f t="shared" ref="AJ215" si="2251">IF(T213&gt;0,(T215-T213)/T213,)</f>
        <v>-2.2454750191725437E-2</v>
      </c>
      <c r="AK215" s="518">
        <f t="shared" ref="AK215" si="2252">IF(U213&gt;0,(U215-U213)/U213,)</f>
        <v>-0.10512226874134106</v>
      </c>
      <c r="AL215" s="518">
        <f t="shared" ref="AL215" si="2253">IF(V213&gt;0,(V215-V213)/V213,)</f>
        <v>-8.153023159570684E-2</v>
      </c>
      <c r="AM215" s="518">
        <f t="shared" ref="AM215" si="2254">IF(W213&gt;0,(W215-W213)/W213,)</f>
        <v>-0.11961991162873958</v>
      </c>
      <c r="AN215" s="518">
        <f t="shared" ref="AN215" si="2255">IF(X213&gt;0,(X215-X213)/X213,)</f>
        <v>-0.12207080896343374</v>
      </c>
      <c r="AO215" s="525">
        <f t="shared" ref="AO215" si="2256">IF(Y213&gt;0,(Y215-Y213)/Y213,)</f>
        <v>-4.9005735543712931E-2</v>
      </c>
      <c r="AP215" s="518">
        <f t="shared" ref="AP215" si="2257">IF(Z213&gt;0,(Z215-Z213)/Z213,)</f>
        <v>0</v>
      </c>
      <c r="AQ215" s="518">
        <f t="shared" ref="AQ215" si="2258">IF(AA213&gt;0,(AA215-AA213)/AA213,)</f>
        <v>-7.8419864523424337E-2</v>
      </c>
      <c r="AR215" s="518">
        <f t="shared" ref="AR215" si="2259">IF(AB213&gt;0,(AB215-AB213)/AB213,)</f>
        <v>-8.5128257725195819E-2</v>
      </c>
      <c r="AS215" s="518">
        <f t="shared" ref="AS215" si="2260">IF(AC213&gt;0,(AC215-AC213)/AC213,)</f>
        <v>-9.2781668925417948E-2</v>
      </c>
      <c r="AT215" s="518">
        <f t="shared" ref="AT215" si="2261">IF(AD213&gt;0,(AD215-AD213)/AD213,)</f>
        <v>0</v>
      </c>
      <c r="AU215" s="525">
        <f t="shared" ref="AU215" si="2262">IF(AE213&gt;0,(AE215-AE213)/AE213,)</f>
        <v>-8.0539035022856684E-2</v>
      </c>
      <c r="AV215" s="518">
        <f t="shared" ref="AV215" si="2263">IF(AF213&gt;0,(AF215-AF213)/AF213,)</f>
        <v>0</v>
      </c>
      <c r="AW215" s="518">
        <f t="shared" ref="AW215" si="2264">IF(AG213&gt;0,(AG215-AG213)/AG213,)</f>
        <v>0</v>
      </c>
      <c r="AX215" s="525">
        <f t="shared" ref="AX215" si="2265">IF(AH213&gt;0,(AH215-AH213)/AH213,)</f>
        <v>0</v>
      </c>
    </row>
    <row r="216" spans="1:50" x14ac:dyDescent="0.2">
      <c r="A216" s="696" t="s">
        <v>1083</v>
      </c>
      <c r="B216" s="697">
        <v>316</v>
      </c>
      <c r="C216" s="697">
        <v>178</v>
      </c>
      <c r="D216" s="697">
        <v>288</v>
      </c>
      <c r="E216" s="697">
        <v>368</v>
      </c>
      <c r="F216" s="697">
        <v>81</v>
      </c>
      <c r="G216" s="697">
        <v>42</v>
      </c>
      <c r="H216" s="697">
        <v>1273</v>
      </c>
      <c r="I216" s="697"/>
      <c r="J216" s="697">
        <v>484</v>
      </c>
      <c r="K216" s="697">
        <v>263</v>
      </c>
      <c r="L216" s="697">
        <v>36</v>
      </c>
      <c r="M216" s="697"/>
      <c r="N216" s="697">
        <v>783</v>
      </c>
      <c r="O216" s="697"/>
      <c r="P216" s="697"/>
      <c r="Q216" s="697"/>
      <c r="Y216" s="309"/>
      <c r="Z216" s="305"/>
      <c r="AE216" s="309"/>
      <c r="AF216" s="305"/>
      <c r="AH216" s="309"/>
      <c r="AI216" s="516"/>
      <c r="AO216" s="524"/>
      <c r="AU216" s="524"/>
      <c r="AX216" s="524"/>
    </row>
    <row r="217" spans="1:50" x14ac:dyDescent="0.2">
      <c r="A217" s="696" t="s">
        <v>1085</v>
      </c>
      <c r="B217" s="697">
        <v>26524568.984060191</v>
      </c>
      <c r="C217" s="697">
        <v>12044290.649008757</v>
      </c>
      <c r="D217" s="697">
        <v>17819279.693376441</v>
      </c>
      <c r="E217" s="697">
        <v>24198000.584999498</v>
      </c>
      <c r="F217" s="697">
        <v>4916351.5251704697</v>
      </c>
      <c r="G217" s="697">
        <v>2384442.9839999997</v>
      </c>
      <c r="H217" s="697">
        <v>87886934.42061536</v>
      </c>
      <c r="I217" s="697"/>
      <c r="J217" s="697">
        <v>27970028.523767851</v>
      </c>
      <c r="K217" s="697">
        <v>13964648.281647321</v>
      </c>
      <c r="L217" s="697">
        <v>1854127.1834515736</v>
      </c>
      <c r="M217" s="697"/>
      <c r="N217" s="697">
        <v>43788803.988866739</v>
      </c>
      <c r="O217" s="697"/>
      <c r="P217" s="697"/>
      <c r="Q217" s="697"/>
      <c r="R217" s="294"/>
      <c r="S217" s="296">
        <f>IF(B216&gt;0,(B217/B216),)</f>
        <v>83938.509443228453</v>
      </c>
      <c r="T217" s="296">
        <f t="shared" ref="T217" si="2266">IF(C216&gt;0,(C217/C216),)</f>
        <v>67664.554207914363</v>
      </c>
      <c r="U217" s="296">
        <f t="shared" ref="U217" si="2267">IF(D216&gt;0,(D217/D216),)</f>
        <v>61872.498935334865</v>
      </c>
      <c r="V217" s="296">
        <f t="shared" ref="V217" si="2268">IF(E216&gt;0,(E217/E216),)</f>
        <v>65755.436372281241</v>
      </c>
      <c r="W217" s="296">
        <f t="shared" ref="W217" si="2269">IF(F216&gt;0,(F217/F216),)</f>
        <v>60695.697841610738</v>
      </c>
      <c r="X217" s="296">
        <f t="shared" ref="X217" si="2270">IF(G216&gt;0,(G217/G216),)</f>
        <v>56772.45199999999</v>
      </c>
      <c r="Y217" s="311">
        <f t="shared" ref="Y217" si="2271">IF(H216&gt;0,(H217/H216),)</f>
        <v>69039.225782101625</v>
      </c>
      <c r="Z217" s="306">
        <f t="shared" ref="Z217" si="2272">IF(I216&gt;0,(I217/I216),)</f>
        <v>0</v>
      </c>
      <c r="AA217" s="296">
        <f t="shared" ref="AA217" si="2273">IF(J216&gt;0,(J217/J216),)</f>
        <v>57789.315131751762</v>
      </c>
      <c r="AB217" s="296">
        <f t="shared" ref="AB217" si="2274">IF(K216&gt;0,(K217/K216),)</f>
        <v>53097.521983449886</v>
      </c>
      <c r="AC217" s="296">
        <f t="shared" ref="AC217" si="2275">IF(L216&gt;0,(L217/L216),)</f>
        <v>51503.532873654825</v>
      </c>
      <c r="AD217" s="296">
        <f t="shared" ref="AD217" si="2276">IF(M216&gt;0,(M217/M216),)</f>
        <v>0</v>
      </c>
      <c r="AE217" s="311">
        <f t="shared" ref="AE217" si="2277">IF(N216&gt;0,(N217/N216),)</f>
        <v>55924.398453214228</v>
      </c>
      <c r="AF217" s="306">
        <f t="shared" ref="AF217" si="2278">IF(O216&gt;0,(O217/O216),)</f>
        <v>0</v>
      </c>
      <c r="AG217" s="296">
        <f t="shared" ref="AG217" si="2279">IF(P216&gt;0,(P217/P216),)</f>
        <v>0</v>
      </c>
      <c r="AH217" s="311">
        <f t="shared" ref="AH217" si="2280">IF(Q216&gt;0,(Q217/Q216),)</f>
        <v>0</v>
      </c>
      <c r="AI217" s="516"/>
      <c r="AO217" s="524"/>
      <c r="AU217" s="524"/>
      <c r="AX217" s="524"/>
    </row>
    <row r="218" spans="1:50" x14ac:dyDescent="0.2">
      <c r="A218" s="696" t="s">
        <v>1087</v>
      </c>
      <c r="B218" s="697">
        <v>317</v>
      </c>
      <c r="C218" s="697">
        <v>188</v>
      </c>
      <c r="D218" s="697">
        <v>274</v>
      </c>
      <c r="E218" s="697">
        <v>364</v>
      </c>
      <c r="F218" s="697">
        <v>76</v>
      </c>
      <c r="G218" s="697">
        <v>48</v>
      </c>
      <c r="H218" s="697">
        <v>1267</v>
      </c>
      <c r="I218" s="697"/>
      <c r="J218" s="697">
        <v>473</v>
      </c>
      <c r="K218" s="697">
        <v>259</v>
      </c>
      <c r="L218" s="697">
        <v>38</v>
      </c>
      <c r="M218" s="697"/>
      <c r="N218" s="697">
        <v>770</v>
      </c>
      <c r="O218" s="697"/>
      <c r="P218" s="697"/>
      <c r="Q218" s="697"/>
      <c r="Y218" s="309"/>
      <c r="Z218" s="305"/>
      <c r="AE218" s="309"/>
      <c r="AF218" s="305"/>
      <c r="AH218" s="309"/>
      <c r="AI218" s="516"/>
      <c r="AO218" s="524"/>
      <c r="AU218" s="524"/>
      <c r="AX218" s="524"/>
    </row>
    <row r="219" spans="1:50" x14ac:dyDescent="0.2">
      <c r="A219" s="696" t="s">
        <v>1089</v>
      </c>
      <c r="B219" s="697">
        <v>26705870.117647056</v>
      </c>
      <c r="C219" s="697">
        <v>12760950.727232406</v>
      </c>
      <c r="D219" s="697">
        <v>15392960.587035688</v>
      </c>
      <c r="E219" s="697">
        <v>21828041.479474835</v>
      </c>
      <c r="F219" s="697">
        <v>4287001.010362694</v>
      </c>
      <c r="G219" s="697">
        <v>2434458.3819301846</v>
      </c>
      <c r="H219" s="697">
        <v>83409282.303682864</v>
      </c>
      <c r="I219" s="697"/>
      <c r="J219" s="697">
        <v>25547511.030228127</v>
      </c>
      <c r="K219" s="697">
        <v>12831606.917037927</v>
      </c>
      <c r="L219" s="697">
        <v>1800564.1842325295</v>
      </c>
      <c r="M219" s="697"/>
      <c r="N219" s="697">
        <v>40179682.13149859</v>
      </c>
      <c r="O219" s="697"/>
      <c r="P219" s="697"/>
      <c r="Q219" s="697"/>
      <c r="R219" s="294"/>
      <c r="S219" s="296">
        <f>IF(B218&gt;0,(B219/B218),)</f>
        <v>84245.647058823524</v>
      </c>
      <c r="T219" s="296">
        <f t="shared" ref="T219" si="2281">IF(C218&gt;0,(C219/C218),)</f>
        <v>67877.397485278751</v>
      </c>
      <c r="U219" s="296">
        <f t="shared" ref="U219" si="2282">IF(D218&gt;0,(D219/D218),)</f>
        <v>56178.688273852873</v>
      </c>
      <c r="V219" s="296">
        <f t="shared" ref="V219" si="2283">IF(E218&gt;0,(E219/E218),)</f>
        <v>59967.146921634165</v>
      </c>
      <c r="W219" s="296">
        <f t="shared" ref="W219" si="2284">IF(F218&gt;0,(F219/F218),)</f>
        <v>56407.908031088082</v>
      </c>
      <c r="X219" s="296">
        <f t="shared" ref="X219" si="2285">IF(G218&gt;0,(G219/G218),)</f>
        <v>50717.882956878842</v>
      </c>
      <c r="Y219" s="311">
        <f t="shared" ref="Y219" si="2286">IF(H218&gt;0,(H219/H218),)</f>
        <v>65832.109158392152</v>
      </c>
      <c r="Z219" s="306">
        <f t="shared" ref="Z219" si="2287">IF(I218&gt;0,(I219/I218),)</f>
        <v>0</v>
      </c>
      <c r="AA219" s="296">
        <f t="shared" ref="AA219" si="2288">IF(J218&gt;0,(J219/J218),)</f>
        <v>54011.651226697941</v>
      </c>
      <c r="AB219" s="296">
        <f t="shared" ref="AB219" si="2289">IF(K218&gt;0,(K219/K218),)</f>
        <v>49542.883849567283</v>
      </c>
      <c r="AC219" s="296">
        <f t="shared" ref="AC219" si="2290">IF(L218&gt;0,(L219/L218),)</f>
        <v>47383.2680061192</v>
      </c>
      <c r="AD219" s="296">
        <f t="shared" ref="AD219" si="2291">IF(M218&gt;0,(M219/M218),)</f>
        <v>0</v>
      </c>
      <c r="AE219" s="311">
        <f t="shared" ref="AE219" si="2292">IF(N218&gt;0,(N219/N218),)</f>
        <v>52181.405365582585</v>
      </c>
      <c r="AF219" s="306">
        <f t="shared" ref="AF219" si="2293">IF(O218&gt;0,(O219/O218),)</f>
        <v>0</v>
      </c>
      <c r="AG219" s="296">
        <f t="shared" ref="AG219" si="2294">IF(P218&gt;0,(P219/P218),)</f>
        <v>0</v>
      </c>
      <c r="AH219" s="311">
        <f t="shared" ref="AH219" si="2295">IF(Q218&gt;0,(Q219/Q218),)</f>
        <v>0</v>
      </c>
      <c r="AI219" s="517">
        <f>IF(S217&gt;0,(S219-S217)/S217,)</f>
        <v>3.6590787426693905E-3</v>
      </c>
      <c r="AJ219" s="518">
        <f t="shared" ref="AJ219" si="2296">IF(T217&gt;0,(T219-T217)/T217,)</f>
        <v>3.1455653533219025E-3</v>
      </c>
      <c r="AK219" s="518">
        <f t="shared" ref="AK219" si="2297">IF(U217&gt;0,(U219-U217)/U217,)</f>
        <v>-9.2024902169100919E-2</v>
      </c>
      <c r="AL219" s="518">
        <f t="shared" ref="AL219" si="2298">IF(V217&gt;0,(V219-V217)/V217,)</f>
        <v>-8.8027542207705436E-2</v>
      </c>
      <c r="AM219" s="518">
        <f t="shared" ref="AM219" si="2299">IF(W217&gt;0,(W219-W217)/W217,)</f>
        <v>-7.064404830984751E-2</v>
      </c>
      <c r="AN219" s="518">
        <f t="shared" ref="AN219" si="2300">IF(X217&gt;0,(X219-X217)/X217,)</f>
        <v>-0.10664624883774879</v>
      </c>
      <c r="AO219" s="525">
        <f t="shared" ref="AO219" si="2301">IF(Y217&gt;0,(Y219-Y217)/Y217,)</f>
        <v>-4.6453542712538876E-2</v>
      </c>
      <c r="AP219" s="518">
        <f t="shared" ref="AP219" si="2302">IF(Z217&gt;0,(Z219-Z217)/Z217,)</f>
        <v>0</v>
      </c>
      <c r="AQ219" s="518">
        <f t="shared" ref="AQ219" si="2303">IF(AA217&gt;0,(AA219-AA217)/AA217,)</f>
        <v>-6.5369591185520409E-2</v>
      </c>
      <c r="AR219" s="518">
        <f t="shared" ref="AR219" si="2304">IF(AB217&gt;0,(AB219-AB217)/AB217,)</f>
        <v>-6.6945461880321994E-2</v>
      </c>
      <c r="AS219" s="518">
        <f t="shared" ref="AS219" si="2305">IF(AC217&gt;0,(AC219-AC217)/AC217,)</f>
        <v>-7.9999655123527066E-2</v>
      </c>
      <c r="AT219" s="518">
        <f t="shared" ref="AT219" si="2306">IF(AD217&gt;0,(AD219-AD217)/AD217,)</f>
        <v>0</v>
      </c>
      <c r="AU219" s="525">
        <f t="shared" ref="AU219" si="2307">IF(AE217&gt;0,(AE219-AE217)/AE217,)</f>
        <v>-6.6929518978429289E-2</v>
      </c>
      <c r="AV219" s="518">
        <f t="shared" ref="AV219" si="2308">IF(AF217&gt;0,(AF219-AF217)/AF217,)</f>
        <v>0</v>
      </c>
      <c r="AW219" s="518">
        <f t="shared" ref="AW219" si="2309">IF(AG217&gt;0,(AG219-AG217)/AG217,)</f>
        <v>0</v>
      </c>
      <c r="AX219" s="525">
        <f t="shared" ref="AX219" si="2310">IF(AH217&gt;0,(AH219-AH217)/AH217,)</f>
        <v>0</v>
      </c>
    </row>
    <row r="220" spans="1:50" x14ac:dyDescent="0.2">
      <c r="A220" s="696" t="s">
        <v>1091</v>
      </c>
      <c r="B220" s="697">
        <v>12</v>
      </c>
      <c r="C220" s="697">
        <v>16</v>
      </c>
      <c r="D220" s="697">
        <v>22</v>
      </c>
      <c r="E220" s="697">
        <v>33</v>
      </c>
      <c r="F220" s="697">
        <v>3</v>
      </c>
      <c r="G220" s="697">
        <v>3</v>
      </c>
      <c r="H220" s="697">
        <v>89</v>
      </c>
      <c r="I220" s="697"/>
      <c r="J220" s="697">
        <v>106</v>
      </c>
      <c r="K220" s="697">
        <v>66</v>
      </c>
      <c r="L220" s="697">
        <v>15</v>
      </c>
      <c r="M220" s="697"/>
      <c r="N220" s="697">
        <v>187</v>
      </c>
      <c r="O220" s="697"/>
      <c r="P220" s="697"/>
      <c r="Q220" s="697"/>
      <c r="Y220" s="309"/>
      <c r="Z220" s="305"/>
      <c r="AE220" s="309"/>
      <c r="AF220" s="305"/>
      <c r="AH220" s="309"/>
      <c r="AI220" s="516"/>
      <c r="AO220" s="524"/>
      <c r="AU220" s="524"/>
      <c r="AX220" s="524"/>
    </row>
    <row r="221" spans="1:50" x14ac:dyDescent="0.2">
      <c r="A221" s="696" t="s">
        <v>1093</v>
      </c>
      <c r="B221" s="697">
        <v>725826.59819999989</v>
      </c>
      <c r="C221" s="697">
        <v>814292.44067796611</v>
      </c>
      <c r="D221" s="697">
        <v>1112694.99</v>
      </c>
      <c r="E221" s="697">
        <v>2044484.4411624714</v>
      </c>
      <c r="F221" s="697">
        <v>150074.37931034481</v>
      </c>
      <c r="G221" s="697">
        <v>149000.00099999999</v>
      </c>
      <c r="H221" s="697">
        <v>4996372.8503507823</v>
      </c>
      <c r="I221" s="697"/>
      <c r="J221" s="697">
        <v>5439905.3708811915</v>
      </c>
      <c r="K221" s="697">
        <v>2948633.4825622956</v>
      </c>
      <c r="L221" s="697">
        <v>764522.99600000004</v>
      </c>
      <c r="M221" s="697"/>
      <c r="N221" s="697">
        <v>9153061.849443486</v>
      </c>
      <c r="O221" s="697"/>
      <c r="P221" s="697"/>
      <c r="Q221" s="697"/>
      <c r="R221" s="294"/>
      <c r="S221" s="296">
        <f>IF(B220&gt;0,(B221/B220),)</f>
        <v>60485.549849999989</v>
      </c>
      <c r="T221" s="296">
        <f t="shared" ref="T221" si="2311">IF(C220&gt;0,(C221/C220),)</f>
        <v>50893.277542372882</v>
      </c>
      <c r="U221" s="296">
        <f t="shared" ref="U221" si="2312">IF(D220&gt;0,(D221/D220),)</f>
        <v>50577.044999999998</v>
      </c>
      <c r="V221" s="296">
        <f t="shared" ref="V221" si="2313">IF(E220&gt;0,(E221/E220),)</f>
        <v>61954.073974620347</v>
      </c>
      <c r="W221" s="296">
        <f t="shared" ref="W221" si="2314">IF(F220&gt;0,(F221/F220),)</f>
        <v>50024.793103448268</v>
      </c>
      <c r="X221" s="296">
        <f t="shared" ref="X221" si="2315">IF(G220&gt;0,(G221/G220),)</f>
        <v>49666.666999999994</v>
      </c>
      <c r="Y221" s="311">
        <f t="shared" ref="Y221" si="2316">IF(H220&gt;0,(H221/H220),)</f>
        <v>56139.020790458228</v>
      </c>
      <c r="Z221" s="306">
        <f t="shared" ref="Z221" si="2317">IF(I220&gt;0,(I221/I220),)</f>
        <v>0</v>
      </c>
      <c r="AA221" s="296">
        <f t="shared" ref="AA221" si="2318">IF(J220&gt;0,(J221/J220),)</f>
        <v>51319.861989445206</v>
      </c>
      <c r="AB221" s="296">
        <f t="shared" ref="AB221" si="2319">IF(K220&gt;0,(K221/K220),)</f>
        <v>44676.264887307509</v>
      </c>
      <c r="AC221" s="296">
        <f t="shared" ref="AC221" si="2320">IF(L220&gt;0,(L221/L220),)</f>
        <v>50968.199733333335</v>
      </c>
      <c r="AD221" s="296">
        <f t="shared" ref="AD221" si="2321">IF(M220&gt;0,(M221/M220),)</f>
        <v>0</v>
      </c>
      <c r="AE221" s="311">
        <f t="shared" ref="AE221" si="2322">IF(N220&gt;0,(N221/N220),)</f>
        <v>48946.854809858211</v>
      </c>
      <c r="AF221" s="306">
        <f t="shared" ref="AF221" si="2323">IF(O220&gt;0,(O221/O220),)</f>
        <v>0</v>
      </c>
      <c r="AG221" s="296">
        <f t="shared" ref="AG221" si="2324">IF(P220&gt;0,(P221/P220),)</f>
        <v>0</v>
      </c>
      <c r="AH221" s="311">
        <f t="shared" ref="AH221" si="2325">IF(Q220&gt;0,(Q221/Q220),)</f>
        <v>0</v>
      </c>
      <c r="AI221" s="516"/>
      <c r="AO221" s="524"/>
      <c r="AU221" s="524"/>
      <c r="AX221" s="524"/>
    </row>
    <row r="222" spans="1:50" x14ac:dyDescent="0.2">
      <c r="A222" s="696" t="s">
        <v>1095</v>
      </c>
      <c r="B222" s="697">
        <v>12</v>
      </c>
      <c r="C222" s="697">
        <v>16</v>
      </c>
      <c r="D222" s="697">
        <v>25</v>
      </c>
      <c r="E222" s="697">
        <v>22</v>
      </c>
      <c r="F222" s="697">
        <v>3</v>
      </c>
      <c r="G222" s="697">
        <v>3</v>
      </c>
      <c r="H222" s="697">
        <v>81</v>
      </c>
      <c r="I222" s="697"/>
      <c r="J222" s="697">
        <v>105</v>
      </c>
      <c r="K222" s="697">
        <v>70</v>
      </c>
      <c r="L222" s="697">
        <v>13</v>
      </c>
      <c r="M222" s="697"/>
      <c r="N222" s="697">
        <v>188</v>
      </c>
      <c r="O222" s="697"/>
      <c r="P222" s="697"/>
      <c r="Q222" s="697"/>
      <c r="Y222" s="309"/>
      <c r="Z222" s="305"/>
      <c r="AE222" s="309"/>
      <c r="AF222" s="305"/>
      <c r="AH222" s="309"/>
      <c r="AI222" s="516"/>
      <c r="AO222" s="524"/>
      <c r="AU222" s="524"/>
      <c r="AX222" s="524"/>
    </row>
    <row r="223" spans="1:50" x14ac:dyDescent="0.2">
      <c r="A223" s="696" t="s">
        <v>1097</v>
      </c>
      <c r="B223" s="697">
        <v>698971.71428571432</v>
      </c>
      <c r="C223" s="697">
        <v>784723.46341463423</v>
      </c>
      <c r="D223" s="697">
        <v>1196938.8</v>
      </c>
      <c r="E223" s="697">
        <v>1248419.3999999999</v>
      </c>
      <c r="F223" s="697">
        <v>154070.4375</v>
      </c>
      <c r="G223" s="697">
        <v>121500</v>
      </c>
      <c r="H223" s="697">
        <v>4204623.8152003493</v>
      </c>
      <c r="I223" s="697"/>
      <c r="J223" s="697">
        <v>5017781.1936153509</v>
      </c>
      <c r="K223" s="697">
        <v>3011956.0819004523</v>
      </c>
      <c r="L223" s="697">
        <v>605070</v>
      </c>
      <c r="M223" s="697"/>
      <c r="N223" s="697">
        <v>8634807.2755158022</v>
      </c>
      <c r="O223" s="697"/>
      <c r="P223" s="697"/>
      <c r="Q223" s="697"/>
      <c r="R223" s="294"/>
      <c r="S223" s="296">
        <f>IF(B222&gt;0,(B223/B222),)</f>
        <v>58247.642857142862</v>
      </c>
      <c r="T223" s="296">
        <f t="shared" ref="T223" si="2326">IF(C222&gt;0,(C223/C222),)</f>
        <v>49045.216463414639</v>
      </c>
      <c r="U223" s="296">
        <f t="shared" ref="U223" si="2327">IF(D222&gt;0,(D223/D222),)</f>
        <v>47877.552000000003</v>
      </c>
      <c r="V223" s="296">
        <f t="shared" ref="V223" si="2328">IF(E222&gt;0,(E223/E222),)</f>
        <v>56746.336363636357</v>
      </c>
      <c r="W223" s="296">
        <f t="shared" ref="W223" si="2329">IF(F222&gt;0,(F223/F222),)</f>
        <v>51356.8125</v>
      </c>
      <c r="X223" s="296">
        <f t="shared" ref="X223" si="2330">IF(G222&gt;0,(G223/G222),)</f>
        <v>40500</v>
      </c>
      <c r="Y223" s="311">
        <f t="shared" ref="Y223" si="2331">IF(H222&gt;0,(H223/H222),)</f>
        <v>51908.935990127771</v>
      </c>
      <c r="Z223" s="306">
        <f t="shared" ref="Z223" si="2332">IF(I222&gt;0,(I223/I222),)</f>
        <v>0</v>
      </c>
      <c r="AA223" s="296">
        <f t="shared" ref="AA223" si="2333">IF(J222&gt;0,(J223/J222),)</f>
        <v>47788.392320146202</v>
      </c>
      <c r="AB223" s="296">
        <f t="shared" ref="AB223" si="2334">IF(K222&gt;0,(K223/K222),)</f>
        <v>43027.944027149315</v>
      </c>
      <c r="AC223" s="296">
        <f t="shared" ref="AC223" si="2335">IF(L222&gt;0,(L223/L222),)</f>
        <v>46543.846153846156</v>
      </c>
      <c r="AD223" s="296">
        <f t="shared" ref="AD223" si="2336">IF(M222&gt;0,(M223/M222),)</f>
        <v>0</v>
      </c>
      <c r="AE223" s="311">
        <f t="shared" ref="AE223" si="2337">IF(N222&gt;0,(N223/N222),)</f>
        <v>45929.825933594693</v>
      </c>
      <c r="AF223" s="306">
        <f t="shared" ref="AF223" si="2338">IF(O222&gt;0,(O223/O222),)</f>
        <v>0</v>
      </c>
      <c r="AG223" s="296">
        <f t="shared" ref="AG223" si="2339">IF(P222&gt;0,(P223/P222),)</f>
        <v>0</v>
      </c>
      <c r="AH223" s="311">
        <f t="shared" ref="AH223" si="2340">IF(Q222&gt;0,(Q223/Q222),)</f>
        <v>0</v>
      </c>
      <c r="AI223" s="517">
        <f>IF(S221&gt;0,(S223-S221)/S221,)</f>
        <v>-3.6999035280442717E-2</v>
      </c>
      <c r="AJ223" s="518">
        <f t="shared" ref="AJ223" si="2341">IF(T221&gt;0,(T223-T221)/T221,)</f>
        <v>-3.6312479136749995E-2</v>
      </c>
      <c r="AK223" s="518">
        <f t="shared" ref="AK223" si="2342">IF(U221&gt;0,(U223-U221)/U221,)</f>
        <v>-5.3373877418105287E-2</v>
      </c>
      <c r="AL223" s="518">
        <f t="shared" ref="AL223" si="2343">IF(V221&gt;0,(V223-V221)/V221,)</f>
        <v>-8.4058033263758464E-2</v>
      </c>
      <c r="AM223" s="518">
        <f t="shared" ref="AM223" si="2344">IF(W221&gt;0,(W223-W221)/W221,)</f>
        <v>2.6627184520227717E-2</v>
      </c>
      <c r="AN223" s="527">
        <f t="shared" ref="AN223" si="2345">IF(X221&gt;0,(X223-X221)/X221,)</f>
        <v>-0.18456376386198806</v>
      </c>
      <c r="AO223" s="525">
        <f t="shared" ref="AO223" si="2346">IF(Y221&gt;0,(Y223-Y221)/Y221,)</f>
        <v>-7.5350170714937562E-2</v>
      </c>
      <c r="AP223" s="518">
        <f t="shared" ref="AP223" si="2347">IF(Z221&gt;0,(Z223-Z221)/Z221,)</f>
        <v>0</v>
      </c>
      <c r="AQ223" s="518">
        <f t="shared" ref="AQ223" si="2348">IF(AA221&gt;0,(AA223-AA221)/AA221,)</f>
        <v>-6.8812922178654923E-2</v>
      </c>
      <c r="AR223" s="518">
        <f t="shared" ref="AR223" si="2349">IF(AB221&gt;0,(AB223-AB221)/AB221,)</f>
        <v>-3.6894777670334757E-2</v>
      </c>
      <c r="AS223" s="518">
        <f t="shared" ref="AS223" si="2350">IF(AC221&gt;0,(AC223-AC221)/AC221,)</f>
        <v>-8.6806157616621485E-2</v>
      </c>
      <c r="AT223" s="518">
        <f t="shared" ref="AT223" si="2351">IF(AD221&gt;0,(AD223-AD221)/AD221,)</f>
        <v>0</v>
      </c>
      <c r="AU223" s="525">
        <f t="shared" ref="AU223" si="2352">IF(AE221&gt;0,(AE223-AE221)/AE221,)</f>
        <v>-6.1638871138577599E-2</v>
      </c>
      <c r="AV223" s="518">
        <f t="shared" ref="AV223" si="2353">IF(AF221&gt;0,(AF223-AF221)/AF221,)</f>
        <v>0</v>
      </c>
      <c r="AW223" s="518">
        <f t="shared" ref="AW223" si="2354">IF(AG221&gt;0,(AG223-AG221)/AG221,)</f>
        <v>0</v>
      </c>
      <c r="AX223" s="525">
        <f t="shared" ref="AX223" si="2355">IF(AH221&gt;0,(AH223-AH221)/AH221,)</f>
        <v>0</v>
      </c>
    </row>
    <row r="224" spans="1:50" x14ac:dyDescent="0.2">
      <c r="A224" s="696" t="s">
        <v>1099</v>
      </c>
      <c r="B224" s="697">
        <v>260</v>
      </c>
      <c r="C224" s="697">
        <v>256</v>
      </c>
      <c r="D224" s="697">
        <v>170</v>
      </c>
      <c r="E224" s="697">
        <v>219</v>
      </c>
      <c r="F224" s="697">
        <v>18</v>
      </c>
      <c r="G224" s="697">
        <v>0</v>
      </c>
      <c r="H224" s="697">
        <v>923</v>
      </c>
      <c r="I224" s="697"/>
      <c r="J224" s="697">
        <v>2</v>
      </c>
      <c r="K224" s="697">
        <v>2</v>
      </c>
      <c r="L224" s="697">
        <v>1</v>
      </c>
      <c r="M224" s="697"/>
      <c r="N224" s="697">
        <v>5</v>
      </c>
      <c r="O224" s="697"/>
      <c r="P224" s="697"/>
      <c r="Q224" s="697"/>
      <c r="Y224" s="309"/>
      <c r="Z224" s="305"/>
      <c r="AE224" s="309"/>
      <c r="AF224" s="305"/>
      <c r="AH224" s="309"/>
      <c r="AI224" s="516"/>
      <c r="AO224" s="524"/>
      <c r="AU224" s="524"/>
      <c r="AX224" s="524"/>
    </row>
    <row r="225" spans="1:50" x14ac:dyDescent="0.2">
      <c r="A225" s="696" t="s">
        <v>1101</v>
      </c>
      <c r="B225" s="697">
        <v>15948458.770540541</v>
      </c>
      <c r="C225" s="697">
        <v>12075019.556347987</v>
      </c>
      <c r="D225" s="697">
        <v>6745765.9200000009</v>
      </c>
      <c r="E225" s="697">
        <v>10096820.145414354</v>
      </c>
      <c r="F225" s="697">
        <v>765019.00799999991</v>
      </c>
      <c r="G225" s="697">
        <v>0</v>
      </c>
      <c r="H225" s="697">
        <v>45631083.40030288</v>
      </c>
      <c r="I225" s="697"/>
      <c r="J225" s="697">
        <v>97888.5</v>
      </c>
      <c r="K225" s="697">
        <v>83479.090909090912</v>
      </c>
      <c r="L225" s="697">
        <v>38289.272727272721</v>
      </c>
      <c r="M225" s="697"/>
      <c r="N225" s="697">
        <v>219656.86363636365</v>
      </c>
      <c r="O225" s="697"/>
      <c r="P225" s="697"/>
      <c r="Q225" s="697"/>
      <c r="R225" s="294"/>
      <c r="S225" s="296">
        <f>IF(B224&gt;0,(B225/B224),)</f>
        <v>61340.22604054054</v>
      </c>
      <c r="T225" s="296">
        <f t="shared" ref="T225" si="2356">IF(C224&gt;0,(C225/C224),)</f>
        <v>47168.045141984323</v>
      </c>
      <c r="U225" s="296">
        <f t="shared" ref="U225" si="2357">IF(D224&gt;0,(D225/D224),)</f>
        <v>39680.976000000002</v>
      </c>
      <c r="V225" s="296">
        <f t="shared" ref="V225" si="2358">IF(E224&gt;0,(E225/E224),)</f>
        <v>46104.201577234497</v>
      </c>
      <c r="W225" s="296">
        <f t="shared" ref="W225" si="2359">IF(F224&gt;0,(F225/F224),)</f>
        <v>42501.055999999997</v>
      </c>
      <c r="X225" s="296">
        <f t="shared" ref="X225" si="2360">IF(G224&gt;0,(G225/G224),)</f>
        <v>0</v>
      </c>
      <c r="Y225" s="311">
        <f t="shared" ref="Y225" si="2361">IF(H224&gt;0,(H225/H224),)</f>
        <v>49437.793499786436</v>
      </c>
      <c r="Z225" s="306">
        <f t="shared" ref="Z225" si="2362">IF(I224&gt;0,(I225/I224),)</f>
        <v>0</v>
      </c>
      <c r="AA225" s="296">
        <f t="shared" ref="AA225" si="2363">IF(J224&gt;0,(J225/J224),)</f>
        <v>48944.25</v>
      </c>
      <c r="AB225" s="296">
        <f t="shared" ref="AB225" si="2364">IF(K224&gt;0,(K225/K224),)</f>
        <v>41739.545454545456</v>
      </c>
      <c r="AC225" s="296">
        <f t="shared" ref="AC225" si="2365">IF(L224&gt;0,(L225/L224),)</f>
        <v>38289.272727272721</v>
      </c>
      <c r="AD225" s="296">
        <f t="shared" ref="AD225" si="2366">IF(M224&gt;0,(M225/M224),)</f>
        <v>0</v>
      </c>
      <c r="AE225" s="311">
        <f t="shared" ref="AE225" si="2367">IF(N224&gt;0,(N225/N224),)</f>
        <v>43931.372727272726</v>
      </c>
      <c r="AF225" s="306">
        <f t="shared" ref="AF225" si="2368">IF(O224&gt;0,(O225/O224),)</f>
        <v>0</v>
      </c>
      <c r="AG225" s="296">
        <f t="shared" ref="AG225" si="2369">IF(P224&gt;0,(P225/P224),)</f>
        <v>0</v>
      </c>
      <c r="AH225" s="311">
        <f t="shared" ref="AH225" si="2370">IF(Q224&gt;0,(Q225/Q224),)</f>
        <v>0</v>
      </c>
      <c r="AI225" s="516"/>
      <c r="AO225" s="524"/>
      <c r="AU225" s="524"/>
      <c r="AX225" s="524"/>
    </row>
    <row r="226" spans="1:50" x14ac:dyDescent="0.2">
      <c r="A226" s="696" t="s">
        <v>1103</v>
      </c>
      <c r="B226" s="697">
        <v>263</v>
      </c>
      <c r="C226" s="697">
        <v>244</v>
      </c>
      <c r="D226" s="697">
        <v>174</v>
      </c>
      <c r="E226" s="697">
        <v>252</v>
      </c>
      <c r="F226" s="697">
        <v>18</v>
      </c>
      <c r="G226" s="697">
        <v>1</v>
      </c>
      <c r="H226" s="697">
        <v>952</v>
      </c>
      <c r="I226" s="697"/>
      <c r="J226" s="697">
        <v>13</v>
      </c>
      <c r="K226" s="697">
        <v>45</v>
      </c>
      <c r="L226" s="697">
        <v>2</v>
      </c>
      <c r="M226" s="697"/>
      <c r="N226" s="697">
        <v>60</v>
      </c>
      <c r="O226" s="697"/>
      <c r="P226" s="697"/>
      <c r="Q226" s="697"/>
      <c r="Y226" s="309"/>
      <c r="Z226" s="305"/>
      <c r="AE226" s="309"/>
      <c r="AF226" s="305"/>
      <c r="AH226" s="309"/>
      <c r="AI226" s="516"/>
      <c r="AO226" s="524"/>
      <c r="AU226" s="524"/>
      <c r="AX226" s="524"/>
    </row>
    <row r="227" spans="1:50" x14ac:dyDescent="0.2">
      <c r="A227" s="696" t="s">
        <v>1105</v>
      </c>
      <c r="B227" s="697">
        <v>15890038.195704058</v>
      </c>
      <c r="C227" s="697">
        <v>11425259.85074627</v>
      </c>
      <c r="D227" s="697">
        <v>6227083.7999999998</v>
      </c>
      <c r="E227" s="697">
        <v>11432682.146685205</v>
      </c>
      <c r="F227" s="697">
        <v>643611.91304347827</v>
      </c>
      <c r="G227" s="697">
        <v>36000</v>
      </c>
      <c r="H227" s="697">
        <v>45654675.906179011</v>
      </c>
      <c r="I227" s="697"/>
      <c r="J227" s="697">
        <v>244237.95454545456</v>
      </c>
      <c r="K227" s="697">
        <v>1949741.0365853659</v>
      </c>
      <c r="L227" s="697">
        <v>91111.5</v>
      </c>
      <c r="M227" s="697"/>
      <c r="N227" s="697">
        <v>2285090.4911308205</v>
      </c>
      <c r="O227" s="697"/>
      <c r="P227" s="697"/>
      <c r="Q227" s="697"/>
      <c r="R227" s="294"/>
      <c r="S227" s="296">
        <f>IF(B226&gt;0,(B227/B226),)</f>
        <v>60418.396181384247</v>
      </c>
      <c r="T227" s="296">
        <f t="shared" ref="T227" si="2371">IF(C226&gt;0,(C227/C226),)</f>
        <v>46824.835453878157</v>
      </c>
      <c r="U227" s="296">
        <f t="shared" ref="U227" si="2372">IF(D226&gt;0,(D227/D226),)</f>
        <v>35787.837931034483</v>
      </c>
      <c r="V227" s="296">
        <f t="shared" ref="V227" si="2373">IF(E226&gt;0,(E227/E226),)</f>
        <v>45367.786296369864</v>
      </c>
      <c r="W227" s="296">
        <f t="shared" ref="W227" si="2374">IF(F226&gt;0,(F227/F226),)</f>
        <v>35756.217391304352</v>
      </c>
      <c r="X227" s="296">
        <f t="shared" ref="X227" si="2375">IF(G226&gt;0,(G227/G226),)</f>
        <v>36000</v>
      </c>
      <c r="Y227" s="311">
        <f t="shared" ref="Y227" si="2376">IF(H226&gt;0,(H227/H226),)</f>
        <v>47956.592338423332</v>
      </c>
      <c r="Z227" s="306">
        <f t="shared" ref="Z227" si="2377">IF(I226&gt;0,(I227/I226),)</f>
        <v>0</v>
      </c>
      <c r="AA227" s="296">
        <f t="shared" ref="AA227" si="2378">IF(J226&gt;0,(J227/J226),)</f>
        <v>18787.534965034967</v>
      </c>
      <c r="AB227" s="296">
        <f t="shared" ref="AB227" si="2379">IF(K226&gt;0,(K227/K226),)</f>
        <v>43327.57859078591</v>
      </c>
      <c r="AC227" s="296">
        <f t="shared" ref="AC227" si="2380">IF(L226&gt;0,(L227/L226),)</f>
        <v>45555.75</v>
      </c>
      <c r="AD227" s="296">
        <f t="shared" ref="AD227" si="2381">IF(M226&gt;0,(M227/M226),)</f>
        <v>0</v>
      </c>
      <c r="AE227" s="311">
        <f t="shared" ref="AE227" si="2382">IF(N226&gt;0,(N227/N226),)</f>
        <v>38084.84151884701</v>
      </c>
      <c r="AF227" s="306">
        <f t="shared" ref="AF227" si="2383">IF(O226&gt;0,(O227/O226),)</f>
        <v>0</v>
      </c>
      <c r="AG227" s="296">
        <f t="shared" ref="AG227" si="2384">IF(P226&gt;0,(P227/P226),)</f>
        <v>0</v>
      </c>
      <c r="AH227" s="311">
        <f t="shared" ref="AH227" si="2385">IF(Q226&gt;0,(Q227/Q226),)</f>
        <v>0</v>
      </c>
      <c r="AI227" s="517">
        <f>IF(S225&gt;0,(S227-S225)/S225,)</f>
        <v>-1.5028145780666725E-2</v>
      </c>
      <c r="AJ227" s="518">
        <f t="shared" ref="AJ227" si="2386">IF(T225&gt;0,(T227-T225)/T225,)</f>
        <v>-7.2763178349461608E-3</v>
      </c>
      <c r="AK227" s="518">
        <f t="shared" ref="AK227" si="2387">IF(U225&gt;0,(U227-U225)/U225,)</f>
        <v>-9.81109453801116E-2</v>
      </c>
      <c r="AL227" s="518">
        <f t="shared" ref="AL227" si="2388">IF(V225&gt;0,(V227-V225)/V225,)</f>
        <v>-1.5972845330180539E-2</v>
      </c>
      <c r="AM227" s="518">
        <f t="shared" ref="AM227" si="2389">IF(W225&gt;0,(W227-W225)/W225,)</f>
        <v>-0.15869814172842306</v>
      </c>
      <c r="AN227" s="518">
        <f t="shared" ref="AN227" si="2390">IF(X225&gt;0,(X227-X225)/X225,)</f>
        <v>0</v>
      </c>
      <c r="AO227" s="525">
        <f t="shared" ref="AO227" si="2391">IF(Y225&gt;0,(Y227-Y225)/Y225,)</f>
        <v>-2.9960907566991282E-2</v>
      </c>
      <c r="AP227" s="518">
        <f t="shared" ref="AP227" si="2392">IF(Z225&gt;0,(Z227-Z225)/Z225,)</f>
        <v>0</v>
      </c>
      <c r="AQ227" s="527">
        <f t="shared" ref="AQ227" si="2393">IF(AA225&gt;0,(AA227-AA225)/AA225,)</f>
        <v>-0.61614418516914715</v>
      </c>
      <c r="AR227" s="518">
        <f t="shared" ref="AR227" si="2394">IF(AB225&gt;0,(AB227-AB225)/AB225,)</f>
        <v>3.8046248921657012E-2</v>
      </c>
      <c r="AS227" s="527">
        <f t="shared" ref="AS227" si="2395">IF(AC225&gt;0,(AC227-AC225)/AC225,)</f>
        <v>0.18977840933373241</v>
      </c>
      <c r="AT227" s="518">
        <f t="shared" ref="AT227" si="2396">IF(AD225&gt;0,(AD227-AD225)/AD225,)</f>
        <v>0</v>
      </c>
      <c r="AU227" s="525">
        <f t="shared" ref="AU227" si="2397">IF(AE225&gt;0,(AE227-AE225)/AE225,)</f>
        <v>-0.13308328070513883</v>
      </c>
      <c r="AV227" s="518">
        <f t="shared" ref="AV227" si="2398">IF(AF225&gt;0,(AF227-AF225)/AF225,)</f>
        <v>0</v>
      </c>
      <c r="AW227" s="518">
        <f t="shared" ref="AW227" si="2399">IF(AG225&gt;0,(AG227-AG225)/AG225,)</f>
        <v>0</v>
      </c>
      <c r="AX227" s="525">
        <f t="shared" ref="AX227" si="2400">IF(AH225&gt;0,(AH227-AH225)/AH225,)</f>
        <v>0</v>
      </c>
    </row>
    <row r="228" spans="1:50" x14ac:dyDescent="0.2">
      <c r="A228" s="696" t="s">
        <v>1107</v>
      </c>
      <c r="B228" s="697">
        <v>0</v>
      </c>
      <c r="C228" s="697">
        <v>0</v>
      </c>
      <c r="D228" s="697">
        <v>0</v>
      </c>
      <c r="E228" s="697">
        <v>0</v>
      </c>
      <c r="F228" s="697">
        <v>0</v>
      </c>
      <c r="G228" s="697">
        <v>0</v>
      </c>
      <c r="H228" s="697">
        <v>0</v>
      </c>
      <c r="I228" s="697"/>
      <c r="J228" s="697">
        <v>0</v>
      </c>
      <c r="K228" s="697">
        <v>0</v>
      </c>
      <c r="L228" s="697">
        <v>0</v>
      </c>
      <c r="M228" s="697"/>
      <c r="N228" s="697">
        <v>0</v>
      </c>
      <c r="O228" s="697"/>
      <c r="P228" s="697"/>
      <c r="Q228" s="697"/>
      <c r="Y228" s="309"/>
      <c r="Z228" s="305"/>
      <c r="AE228" s="309"/>
      <c r="AF228" s="305"/>
      <c r="AH228" s="309"/>
      <c r="AI228" s="516"/>
      <c r="AO228" s="524"/>
      <c r="AU228" s="524"/>
      <c r="AX228" s="524"/>
    </row>
    <row r="229" spans="1:50" x14ac:dyDescent="0.2">
      <c r="A229" s="696" t="s">
        <v>1109</v>
      </c>
      <c r="B229" s="697">
        <v>0</v>
      </c>
      <c r="C229" s="697">
        <v>0</v>
      </c>
      <c r="D229" s="697">
        <v>0</v>
      </c>
      <c r="E229" s="697">
        <v>0</v>
      </c>
      <c r="F229" s="697">
        <v>0</v>
      </c>
      <c r="G229" s="697">
        <v>0</v>
      </c>
      <c r="H229" s="697">
        <v>0</v>
      </c>
      <c r="I229" s="697"/>
      <c r="J229" s="697">
        <v>0</v>
      </c>
      <c r="K229" s="697">
        <v>0</v>
      </c>
      <c r="L229" s="697">
        <v>0</v>
      </c>
      <c r="M229" s="697"/>
      <c r="N229" s="697">
        <v>0</v>
      </c>
      <c r="O229" s="697"/>
      <c r="P229" s="697"/>
      <c r="Q229" s="697"/>
      <c r="R229" s="294"/>
      <c r="S229" s="296">
        <f>IF(B228&gt;0,(B229/B228),)</f>
        <v>0</v>
      </c>
      <c r="T229" s="296">
        <f t="shared" ref="T229" si="2401">IF(C228&gt;0,(C229/C228),)</f>
        <v>0</v>
      </c>
      <c r="U229" s="296">
        <f t="shared" ref="U229" si="2402">IF(D228&gt;0,(D229/D228),)</f>
        <v>0</v>
      </c>
      <c r="V229" s="296">
        <f t="shared" ref="V229" si="2403">IF(E228&gt;0,(E229/E228),)</f>
        <v>0</v>
      </c>
      <c r="W229" s="296">
        <f t="shared" ref="W229" si="2404">IF(F228&gt;0,(F229/F228),)</f>
        <v>0</v>
      </c>
      <c r="X229" s="296">
        <f t="shared" ref="X229" si="2405">IF(G228&gt;0,(G229/G228),)</f>
        <v>0</v>
      </c>
      <c r="Y229" s="311">
        <f t="shared" ref="Y229" si="2406">IF(H228&gt;0,(H229/H228),)</f>
        <v>0</v>
      </c>
      <c r="Z229" s="306">
        <f t="shared" ref="Z229" si="2407">IF(I228&gt;0,(I229/I228),)</f>
        <v>0</v>
      </c>
      <c r="AA229" s="296">
        <f t="shared" ref="AA229" si="2408">IF(J228&gt;0,(J229/J228),)</f>
        <v>0</v>
      </c>
      <c r="AB229" s="296">
        <f t="shared" ref="AB229" si="2409">IF(K228&gt;0,(K229/K228),)</f>
        <v>0</v>
      </c>
      <c r="AC229" s="296">
        <f t="shared" ref="AC229" si="2410">IF(L228&gt;0,(L229/L228),)</f>
        <v>0</v>
      </c>
      <c r="AD229" s="296">
        <f t="shared" ref="AD229" si="2411">IF(M228&gt;0,(M229/M228),)</f>
        <v>0</v>
      </c>
      <c r="AE229" s="311">
        <f t="shared" ref="AE229" si="2412">IF(N228&gt;0,(N229/N228),)</f>
        <v>0</v>
      </c>
      <c r="AF229" s="306">
        <f t="shared" ref="AF229" si="2413">IF(O228&gt;0,(O229/O228),)</f>
        <v>0</v>
      </c>
      <c r="AG229" s="296">
        <f t="shared" ref="AG229" si="2414">IF(P228&gt;0,(P229/P228),)</f>
        <v>0</v>
      </c>
      <c r="AH229" s="311">
        <f t="shared" ref="AH229" si="2415">IF(Q228&gt;0,(Q229/Q228),)</f>
        <v>0</v>
      </c>
      <c r="AI229" s="516"/>
      <c r="AO229" s="524"/>
      <c r="AU229" s="524"/>
      <c r="AX229" s="524"/>
    </row>
    <row r="230" spans="1:50" x14ac:dyDescent="0.2">
      <c r="A230" s="696" t="s">
        <v>1111</v>
      </c>
      <c r="B230" s="697">
        <v>0</v>
      </c>
      <c r="C230" s="697">
        <v>0</v>
      </c>
      <c r="D230" s="697">
        <v>0</v>
      </c>
      <c r="E230" s="697">
        <v>0</v>
      </c>
      <c r="F230" s="697">
        <v>0</v>
      </c>
      <c r="G230" s="697">
        <v>0</v>
      </c>
      <c r="H230" s="697">
        <v>0</v>
      </c>
      <c r="I230" s="697"/>
      <c r="J230" s="697">
        <v>0</v>
      </c>
      <c r="K230" s="697">
        <v>0</v>
      </c>
      <c r="L230" s="697">
        <v>0</v>
      </c>
      <c r="M230" s="697"/>
      <c r="N230" s="697">
        <v>0</v>
      </c>
      <c r="O230" s="697"/>
      <c r="P230" s="697"/>
      <c r="Q230" s="697"/>
      <c r="Y230" s="309"/>
      <c r="Z230" s="305"/>
      <c r="AE230" s="309"/>
      <c r="AF230" s="305"/>
      <c r="AH230" s="309"/>
      <c r="AI230" s="516"/>
      <c r="AO230" s="524"/>
      <c r="AU230" s="524"/>
      <c r="AX230" s="524"/>
    </row>
    <row r="231" spans="1:50" x14ac:dyDescent="0.2">
      <c r="A231" s="696" t="s">
        <v>1113</v>
      </c>
      <c r="B231" s="697">
        <v>0</v>
      </c>
      <c r="C231" s="697">
        <v>0</v>
      </c>
      <c r="D231" s="697">
        <v>0</v>
      </c>
      <c r="E231" s="697">
        <v>0</v>
      </c>
      <c r="F231" s="697">
        <v>0</v>
      </c>
      <c r="G231" s="697">
        <v>0</v>
      </c>
      <c r="H231" s="697">
        <v>0</v>
      </c>
      <c r="I231" s="697"/>
      <c r="J231" s="697">
        <v>0</v>
      </c>
      <c r="K231" s="697">
        <v>0</v>
      </c>
      <c r="L231" s="697">
        <v>0</v>
      </c>
      <c r="M231" s="697"/>
      <c r="N231" s="697">
        <v>0</v>
      </c>
      <c r="O231" s="697"/>
      <c r="P231" s="697"/>
      <c r="Q231" s="697"/>
      <c r="R231" s="294"/>
      <c r="S231" s="296">
        <f>IF(B230&gt;0,(B231/B230),)</f>
        <v>0</v>
      </c>
      <c r="T231" s="296">
        <f t="shared" ref="T231" si="2416">IF(C230&gt;0,(C231/C230),)</f>
        <v>0</v>
      </c>
      <c r="U231" s="296">
        <f t="shared" ref="U231" si="2417">IF(D230&gt;0,(D231/D230),)</f>
        <v>0</v>
      </c>
      <c r="V231" s="296">
        <f t="shared" ref="V231" si="2418">IF(E230&gt;0,(E231/E230),)</f>
        <v>0</v>
      </c>
      <c r="W231" s="296">
        <f t="shared" ref="W231" si="2419">IF(F230&gt;0,(F231/F230),)</f>
        <v>0</v>
      </c>
      <c r="X231" s="296">
        <f t="shared" ref="X231" si="2420">IF(G230&gt;0,(G231/G230),)</f>
        <v>0</v>
      </c>
      <c r="Y231" s="311">
        <f t="shared" ref="Y231" si="2421">IF(H230&gt;0,(H231/H230),)</f>
        <v>0</v>
      </c>
      <c r="Z231" s="306">
        <f t="shared" ref="Z231" si="2422">IF(I230&gt;0,(I231/I230),)</f>
        <v>0</v>
      </c>
      <c r="AA231" s="296">
        <f t="shared" ref="AA231" si="2423">IF(J230&gt;0,(J231/J230),)</f>
        <v>0</v>
      </c>
      <c r="AB231" s="296">
        <f t="shared" ref="AB231" si="2424">IF(K230&gt;0,(K231/K230),)</f>
        <v>0</v>
      </c>
      <c r="AC231" s="296">
        <f t="shared" ref="AC231" si="2425">IF(L230&gt;0,(L231/L230),)</f>
        <v>0</v>
      </c>
      <c r="AD231" s="296">
        <f t="shared" ref="AD231" si="2426">IF(M230&gt;0,(M231/M230),)</f>
        <v>0</v>
      </c>
      <c r="AE231" s="311">
        <f t="shared" ref="AE231" si="2427">IF(N230&gt;0,(N231/N230),)</f>
        <v>0</v>
      </c>
      <c r="AF231" s="306">
        <f t="shared" ref="AF231" si="2428">IF(O230&gt;0,(O231/O230),)</f>
        <v>0</v>
      </c>
      <c r="AG231" s="296">
        <f t="shared" ref="AG231" si="2429">IF(P230&gt;0,(P231/P230),)</f>
        <v>0</v>
      </c>
      <c r="AH231" s="311">
        <f t="shared" ref="AH231" si="2430">IF(Q230&gt;0,(Q231/Q230),)</f>
        <v>0</v>
      </c>
      <c r="AI231" s="517">
        <f>IF(S229&gt;0,(S231-S229)/S229,)</f>
        <v>0</v>
      </c>
      <c r="AJ231" s="518">
        <f t="shared" ref="AJ231" si="2431">IF(T229&gt;0,(T231-T229)/T229,)</f>
        <v>0</v>
      </c>
      <c r="AK231" s="518">
        <f t="shared" ref="AK231" si="2432">IF(U229&gt;0,(U231-U229)/U229,)</f>
        <v>0</v>
      </c>
      <c r="AL231" s="518">
        <f t="shared" ref="AL231" si="2433">IF(V229&gt;0,(V231-V229)/V229,)</f>
        <v>0</v>
      </c>
      <c r="AM231" s="518">
        <f t="shared" ref="AM231" si="2434">IF(W229&gt;0,(W231-W229)/W229,)</f>
        <v>0</v>
      </c>
      <c r="AN231" s="518">
        <f t="shared" ref="AN231" si="2435">IF(X229&gt;0,(X231-X229)/X229,)</f>
        <v>0</v>
      </c>
      <c r="AO231" s="525">
        <f t="shared" ref="AO231" si="2436">IF(Y229&gt;0,(Y231-Y229)/Y229,)</f>
        <v>0</v>
      </c>
      <c r="AP231" s="518">
        <f t="shared" ref="AP231" si="2437">IF(Z229&gt;0,(Z231-Z229)/Z229,)</f>
        <v>0</v>
      </c>
      <c r="AQ231" s="518">
        <f t="shared" ref="AQ231" si="2438">IF(AA229&gt;0,(AA231-AA229)/AA229,)</f>
        <v>0</v>
      </c>
      <c r="AR231" s="518">
        <f t="shared" ref="AR231" si="2439">IF(AB229&gt;0,(AB231-AB229)/AB229,)</f>
        <v>0</v>
      </c>
      <c r="AS231" s="518">
        <f t="shared" ref="AS231" si="2440">IF(AC229&gt;0,(AC231-AC229)/AC229,)</f>
        <v>0</v>
      </c>
      <c r="AT231" s="518">
        <f t="shared" ref="AT231" si="2441">IF(AD229&gt;0,(AD231-AD229)/AD229,)</f>
        <v>0</v>
      </c>
      <c r="AU231" s="525">
        <f t="shared" ref="AU231" si="2442">IF(AE229&gt;0,(AE231-AE229)/AE229,)</f>
        <v>0</v>
      </c>
      <c r="AV231" s="518">
        <f t="shared" ref="AV231" si="2443">IF(AF229&gt;0,(AF231-AF229)/AF229,)</f>
        <v>0</v>
      </c>
      <c r="AW231" s="518">
        <f t="shared" ref="AW231" si="2444">IF(AG229&gt;0,(AG231-AG229)/AG229,)</f>
        <v>0</v>
      </c>
      <c r="AX231" s="525">
        <f t="shared" ref="AX231" si="2445">IF(AH229&gt;0,(AH231-AH229)/AH229,)</f>
        <v>0</v>
      </c>
    </row>
    <row r="232" spans="1:50" x14ac:dyDescent="0.2">
      <c r="A232" s="696" t="s">
        <v>1115</v>
      </c>
      <c r="B232" s="697">
        <v>1668</v>
      </c>
      <c r="C232" s="697">
        <v>937</v>
      </c>
      <c r="D232" s="697">
        <v>841</v>
      </c>
      <c r="E232" s="697">
        <v>1228</v>
      </c>
      <c r="F232" s="697">
        <v>152</v>
      </c>
      <c r="G232" s="697">
        <v>141</v>
      </c>
      <c r="H232" s="697">
        <v>4967</v>
      </c>
      <c r="I232" s="697"/>
      <c r="J232" s="697">
        <v>1752</v>
      </c>
      <c r="K232" s="697">
        <v>607</v>
      </c>
      <c r="L232" s="697">
        <v>129</v>
      </c>
      <c r="M232" s="697"/>
      <c r="N232" s="697">
        <v>2488</v>
      </c>
      <c r="O232" s="697"/>
      <c r="P232" s="697"/>
      <c r="Q232" s="697"/>
      <c r="Y232" s="309"/>
      <c r="Z232" s="305"/>
      <c r="AE232" s="309"/>
      <c r="AF232" s="305"/>
      <c r="AH232" s="309"/>
      <c r="AI232" s="516"/>
      <c r="AO232" s="524"/>
      <c r="AU232" s="524"/>
      <c r="AX232" s="524"/>
    </row>
    <row r="233" spans="1:50" x14ac:dyDescent="0.2">
      <c r="A233" s="696" t="s">
        <v>1117</v>
      </c>
      <c r="B233" s="697">
        <v>173727015.69783324</v>
      </c>
      <c r="C233" s="697">
        <v>69325267.982651621</v>
      </c>
      <c r="D233" s="697">
        <v>54871405.849230237</v>
      </c>
      <c r="E233" s="697">
        <v>86614635.388023883</v>
      </c>
      <c r="F233" s="697">
        <v>9708307.9013689086</v>
      </c>
      <c r="G233" s="697">
        <v>9969051.7418540139</v>
      </c>
      <c r="H233" s="697">
        <v>404215684.56096196</v>
      </c>
      <c r="I233" s="697"/>
      <c r="J233" s="697">
        <v>121188960.22691016</v>
      </c>
      <c r="K233" s="697">
        <v>35492488.060225062</v>
      </c>
      <c r="L233" s="697">
        <v>7754505.0110076917</v>
      </c>
      <c r="M233" s="697"/>
      <c r="N233" s="697">
        <v>164435953.29814291</v>
      </c>
      <c r="O233" s="697"/>
      <c r="P233" s="697"/>
      <c r="Q233" s="697"/>
      <c r="R233" s="294"/>
      <c r="S233" s="296">
        <f>IF(B232&gt;0,(B233/B232),)</f>
        <v>104152.88710901274</v>
      </c>
      <c r="T233" s="296">
        <f t="shared" ref="T233" si="2446">IF(C232&gt;0,(C233/C232),)</f>
        <v>73986.411934526812</v>
      </c>
      <c r="U233" s="296">
        <f t="shared" ref="U233" si="2447">IF(D232&gt;0,(D233/D232),)</f>
        <v>65245.429071617407</v>
      </c>
      <c r="V233" s="296">
        <f t="shared" ref="V233" si="2448">IF(E232&gt;0,(E233/E232),)</f>
        <v>70533.090706859846</v>
      </c>
      <c r="W233" s="296">
        <f t="shared" ref="W233" si="2449">IF(F232&gt;0,(F233/F232),)</f>
        <v>63870.446719532294</v>
      </c>
      <c r="X233" s="296">
        <f t="shared" ref="X233" si="2450">IF(G232&gt;0,(G233/G232),)</f>
        <v>70702.494623078106</v>
      </c>
      <c r="Y233" s="311">
        <f t="shared" ref="Y233" si="2451">IF(H232&gt;0,(H233/H232),)</f>
        <v>81380.246539352112</v>
      </c>
      <c r="Z233" s="306">
        <f t="shared" ref="Z233" si="2452">IF(I232&gt;0,(I233/I232),)</f>
        <v>0</v>
      </c>
      <c r="AA233" s="296">
        <f t="shared" ref="AA233" si="2453">IF(J232&gt;0,(J233/J232),)</f>
        <v>69171.780951432738</v>
      </c>
      <c r="AB233" s="296">
        <f t="shared" ref="AB233" si="2454">IF(K232&gt;0,(K233/K232),)</f>
        <v>58471.973740074238</v>
      </c>
      <c r="AC233" s="296">
        <f t="shared" ref="AC233" si="2455">IF(L232&gt;0,(L233/L232),)</f>
        <v>60112.441945796061</v>
      </c>
      <c r="AD233" s="296">
        <f t="shared" ref="AD233" si="2456">IF(M232&gt;0,(M233/M232),)</f>
        <v>0</v>
      </c>
      <c r="AE233" s="311">
        <f t="shared" ref="AE233" si="2457">IF(N232&gt;0,(N233/N232),)</f>
        <v>66091.621100539749</v>
      </c>
      <c r="AF233" s="306">
        <f t="shared" ref="AF233" si="2458">IF(O232&gt;0,(O233/O232),)</f>
        <v>0</v>
      </c>
      <c r="AG233" s="296">
        <f t="shared" ref="AG233" si="2459">IF(P232&gt;0,(P233/P232),)</f>
        <v>0</v>
      </c>
      <c r="AH233" s="311">
        <f t="shared" ref="AH233" si="2460">IF(Q232&gt;0,(Q233/Q232),)</f>
        <v>0</v>
      </c>
      <c r="AI233" s="516"/>
      <c r="AO233" s="524"/>
      <c r="AU233" s="524"/>
      <c r="AX233" s="524"/>
    </row>
    <row r="234" spans="1:50" x14ac:dyDescent="0.2">
      <c r="A234" s="696" t="s">
        <v>1119</v>
      </c>
      <c r="B234" s="697">
        <v>1676</v>
      </c>
      <c r="C234" s="697">
        <v>942</v>
      </c>
      <c r="D234" s="697">
        <v>848</v>
      </c>
      <c r="E234" s="697">
        <v>1276</v>
      </c>
      <c r="F234" s="697">
        <v>154</v>
      </c>
      <c r="G234" s="697">
        <v>150</v>
      </c>
      <c r="H234" s="697">
        <v>5046</v>
      </c>
      <c r="I234" s="697"/>
      <c r="J234" s="697">
        <v>1771</v>
      </c>
      <c r="K234" s="697">
        <v>648</v>
      </c>
      <c r="L234" s="697">
        <v>125</v>
      </c>
      <c r="M234" s="697"/>
      <c r="N234" s="697">
        <v>2544</v>
      </c>
      <c r="O234" s="697"/>
      <c r="P234" s="697"/>
      <c r="Q234" s="697"/>
      <c r="Y234" s="309"/>
      <c r="Z234" s="305"/>
      <c r="AE234" s="309"/>
      <c r="AF234" s="305"/>
      <c r="AH234" s="309"/>
      <c r="AI234" s="516"/>
      <c r="AO234" s="524"/>
      <c r="AU234" s="524"/>
      <c r="AX234" s="524"/>
    </row>
    <row r="235" spans="1:50" ht="13.5" thickBot="1" x14ac:dyDescent="0.25">
      <c r="A235" s="701" t="s">
        <v>1121</v>
      </c>
      <c r="B235" s="702">
        <v>170867505.03442132</v>
      </c>
      <c r="C235" s="702">
        <v>68745299.580257356</v>
      </c>
      <c r="D235" s="702">
        <v>49840324.613201179</v>
      </c>
      <c r="E235" s="702">
        <v>83117681.205204353</v>
      </c>
      <c r="F235" s="702">
        <v>8918096.3598815817</v>
      </c>
      <c r="G235" s="702">
        <v>8816151.4040629826</v>
      </c>
      <c r="H235" s="702">
        <v>390305058.19702882</v>
      </c>
      <c r="I235" s="702"/>
      <c r="J235" s="702">
        <v>114029001.0009001</v>
      </c>
      <c r="K235" s="702">
        <v>34729639.611967303</v>
      </c>
      <c r="L235" s="702">
        <v>6814373.8073496595</v>
      </c>
      <c r="M235" s="702"/>
      <c r="N235" s="702">
        <v>155573014.42021707</v>
      </c>
      <c r="O235" s="702"/>
      <c r="P235" s="702"/>
      <c r="Q235" s="702"/>
      <c r="S235" s="302">
        <f>IF(B234&gt;0,(B235/B234),)</f>
        <v>101949.58534273348</v>
      </c>
      <c r="T235" s="302">
        <f t="shared" ref="T235" si="2461">IF(C234&gt;0,(C235/C234),)</f>
        <v>72978.025032120335</v>
      </c>
      <c r="U235" s="302">
        <f t="shared" ref="U235" si="2462">IF(D234&gt;0,(D235/D234),)</f>
        <v>58773.967704246672</v>
      </c>
      <c r="V235" s="302">
        <f t="shared" ref="V235" si="2463">IF(E234&gt;0,(E235/E234),)</f>
        <v>65139.248593420336</v>
      </c>
      <c r="W235" s="302">
        <f t="shared" ref="W235" si="2464">IF(F234&gt;0,(F235/F234),)</f>
        <v>57909.716622607673</v>
      </c>
      <c r="X235" s="302">
        <f t="shared" ref="X235" si="2465">IF(G234&gt;0,(G235/G234),)</f>
        <v>58774.34269375322</v>
      </c>
      <c r="Y235" s="312">
        <f t="shared" ref="Y235" si="2466">IF(H234&gt;0,(H235/H234),)</f>
        <v>77349.397185301001</v>
      </c>
      <c r="Z235" s="307">
        <f t="shared" ref="Z235" si="2467">IF(I234&gt;0,(I235/I234),)</f>
        <v>0</v>
      </c>
      <c r="AA235" s="302">
        <f t="shared" ref="AA235" si="2468">IF(J234&gt;0,(J235/J234),)</f>
        <v>64386.787691078549</v>
      </c>
      <c r="AB235" s="302">
        <f t="shared" ref="AB235" si="2469">IF(K234&gt;0,(K235/K234),)</f>
        <v>53595.122857974231</v>
      </c>
      <c r="AC235" s="302">
        <f t="shared" ref="AC235" si="2470">IF(L234&gt;0,(L235/L234),)</f>
        <v>54514.990458797278</v>
      </c>
      <c r="AD235" s="302">
        <f t="shared" ref="AD235" si="2471">IF(M234&gt;0,(M235/M234),)</f>
        <v>0</v>
      </c>
      <c r="AE235" s="312">
        <f t="shared" ref="AE235" si="2472">IF(N234&gt;0,(N235/N234),)</f>
        <v>61152.914473355762</v>
      </c>
      <c r="AF235" s="307">
        <f t="shared" ref="AF235" si="2473">IF(O234&gt;0,(O235/O234),)</f>
        <v>0</v>
      </c>
      <c r="AG235" s="302">
        <f t="shared" ref="AG235" si="2474">IF(P234&gt;0,(P235/P234),)</f>
        <v>0</v>
      </c>
      <c r="AH235" s="312">
        <f t="shared" ref="AH235" si="2475">IF(Q234&gt;0,(Q235/Q234),)</f>
        <v>0</v>
      </c>
      <c r="AI235" s="519">
        <f>IF(S233&gt;0,(S235-S233)/S233,)</f>
        <v>-2.1154495352328984E-2</v>
      </c>
      <c r="AJ235" s="520">
        <f t="shared" ref="AJ235" si="2476">IF(T233&gt;0,(T235-T233)/T233,)</f>
        <v>-1.3629352688421142E-2</v>
      </c>
      <c r="AK235" s="520">
        <f t="shared" ref="AK235" si="2477">IF(U233&gt;0,(U235-U233)/U233,)</f>
        <v>-9.9186432819182782E-2</v>
      </c>
      <c r="AL235" s="520">
        <f t="shared" ref="AL235" si="2478">IF(V233&gt;0,(V235-V233)/V233,)</f>
        <v>-7.6472504740458233E-2</v>
      </c>
      <c r="AM235" s="520">
        <f t="shared" ref="AM235" si="2479">IF(W233&gt;0,(W235-W233)/W233,)</f>
        <v>-9.332532341756368E-2</v>
      </c>
      <c r="AN235" s="520">
        <f t="shared" ref="AN235" si="2480">IF(X233&gt;0,(X235-X233)/X233,)</f>
        <v>-0.16870906738036651</v>
      </c>
      <c r="AO235" s="526">
        <f t="shared" ref="AO235" si="2481">IF(Y233&gt;0,(Y235-Y233)/Y233,)</f>
        <v>-4.9531053608960991E-2</v>
      </c>
      <c r="AP235" s="520">
        <f t="shared" ref="AP235" si="2482">IF(Z233&gt;0,(Z235-Z233)/Z233,)</f>
        <v>0</v>
      </c>
      <c r="AQ235" s="520">
        <f t="shared" ref="AQ235" si="2483">IF(AA233&gt;0,(AA235-AA233)/AA233,)</f>
        <v>-6.9175510512210964E-2</v>
      </c>
      <c r="AR235" s="520">
        <f t="shared" ref="AR235" si="2484">IF(AB233&gt;0,(AB235-AB233)/AB233,)</f>
        <v>-8.3404930091450252E-2</v>
      </c>
      <c r="AS235" s="520">
        <f t="shared" ref="AS235" si="2485">IF(AC233&gt;0,(AC235-AC233)/AC233,)</f>
        <v>-9.3116355047530033E-2</v>
      </c>
      <c r="AT235" s="520">
        <f t="shared" ref="AT235" si="2486">IF(AD233&gt;0,(AD235-AD233)/AD233,)</f>
        <v>0</v>
      </c>
      <c r="AU235" s="526">
        <f t="shared" ref="AU235" si="2487">IF(AE233&gt;0,(AE235-AE233)/AE233,)</f>
        <v>-7.4725154943183172E-2</v>
      </c>
      <c r="AV235" s="520">
        <f t="shared" ref="AV235" si="2488">IF(AF233&gt;0,(AF235-AF233)/AF233,)</f>
        <v>0</v>
      </c>
      <c r="AW235" s="520">
        <f t="shared" ref="AW235" si="2489">IF(AG233&gt;0,(AG235-AG233)/AG233,)</f>
        <v>0</v>
      </c>
      <c r="AX235" s="526">
        <f t="shared" ref="AX235" si="2490">IF(AH233&gt;0,(AH235-AH233)/AH233,)</f>
        <v>0</v>
      </c>
    </row>
    <row r="236" spans="1:50" x14ac:dyDescent="0.2">
      <c r="A236" s="695" t="s">
        <v>39</v>
      </c>
      <c r="B236" s="697"/>
      <c r="C236" s="697"/>
      <c r="D236" s="697"/>
      <c r="E236" s="697"/>
      <c r="F236" s="697"/>
      <c r="G236" s="697"/>
      <c r="H236" s="697"/>
      <c r="I236" s="697"/>
      <c r="J236" s="697"/>
      <c r="K236" s="697"/>
      <c r="L236" s="697"/>
      <c r="M236" s="697"/>
      <c r="N236" s="697"/>
      <c r="O236" s="697"/>
      <c r="P236" s="697"/>
      <c r="Q236" s="697"/>
      <c r="Y236" s="309"/>
      <c r="Z236" s="305"/>
      <c r="AE236" s="309"/>
      <c r="AF236" s="305"/>
      <c r="AH236" s="309"/>
      <c r="AI236" s="516"/>
      <c r="AO236" s="524"/>
      <c r="AU236" s="524"/>
      <c r="AX236" s="524"/>
    </row>
    <row r="237" spans="1:50" x14ac:dyDescent="0.2">
      <c r="A237" s="696" t="s">
        <v>1067</v>
      </c>
      <c r="B237" s="697">
        <v>358</v>
      </c>
      <c r="C237" s="697">
        <v>247</v>
      </c>
      <c r="D237" s="697"/>
      <c r="E237" s="697">
        <v>86</v>
      </c>
      <c r="F237" s="697">
        <v>30</v>
      </c>
      <c r="G237" s="697"/>
      <c r="H237" s="697">
        <v>721</v>
      </c>
      <c r="I237" s="697"/>
      <c r="J237" s="697">
        <v>0</v>
      </c>
      <c r="K237" s="697">
        <v>0</v>
      </c>
      <c r="L237" s="697">
        <v>0</v>
      </c>
      <c r="M237" s="697"/>
      <c r="N237" s="697">
        <v>0</v>
      </c>
      <c r="O237" s="697"/>
      <c r="P237" s="697"/>
      <c r="Q237" s="697"/>
      <c r="S237" s="295"/>
      <c r="T237" s="295"/>
      <c r="U237" s="295"/>
      <c r="V237" s="295"/>
      <c r="W237" s="295"/>
      <c r="X237" s="295"/>
      <c r="Y237" s="310"/>
      <c r="Z237" s="305"/>
      <c r="AA237" s="295"/>
      <c r="AB237" s="295"/>
      <c r="AC237" s="295"/>
      <c r="AD237" s="295"/>
      <c r="AE237" s="310"/>
      <c r="AF237" s="305"/>
      <c r="AG237" s="295"/>
      <c r="AH237" s="310"/>
      <c r="AI237" s="516"/>
      <c r="AO237" s="524"/>
      <c r="AU237" s="524"/>
      <c r="AX237" s="524"/>
    </row>
    <row r="238" spans="1:50" x14ac:dyDescent="0.2">
      <c r="A238" s="696" t="s">
        <v>1069</v>
      </c>
      <c r="B238" s="697">
        <v>33393869.018794421</v>
      </c>
      <c r="C238" s="697">
        <v>24118954.566043332</v>
      </c>
      <c r="D238" s="697"/>
      <c r="E238" s="697">
        <v>5782122.0074654575</v>
      </c>
      <c r="F238" s="697">
        <v>1691105.625</v>
      </c>
      <c r="G238" s="697"/>
      <c r="H238" s="697">
        <v>64986051.217303209</v>
      </c>
      <c r="I238" s="697"/>
      <c r="J238" s="697">
        <v>0</v>
      </c>
      <c r="K238" s="697">
        <v>0</v>
      </c>
      <c r="L238" s="697">
        <v>0</v>
      </c>
      <c r="M238" s="697"/>
      <c r="N238" s="697">
        <v>0</v>
      </c>
      <c r="O238" s="697"/>
      <c r="P238" s="697"/>
      <c r="Q238" s="697"/>
      <c r="S238" s="296">
        <f>IF(B237&gt;0,(B238/B237),)</f>
        <v>93278.963739649218</v>
      </c>
      <c r="T238" s="296">
        <f t="shared" ref="T238" si="2491">IF(C237&gt;0,(C238/C237),)</f>
        <v>97647.58933620782</v>
      </c>
      <c r="U238" s="296">
        <f t="shared" ref="U238" si="2492">IF(D237&gt;0,(D238/D237),)</f>
        <v>0</v>
      </c>
      <c r="V238" s="296">
        <f t="shared" ref="V238" si="2493">IF(E237&gt;0,(E238/E237),)</f>
        <v>67233.976830993692</v>
      </c>
      <c r="W238" s="296">
        <f t="shared" ref="W238" si="2494">IF(F237&gt;0,(F238/F237),)</f>
        <v>56370.1875</v>
      </c>
      <c r="X238" s="296">
        <f t="shared" ref="X238" si="2495">IF(G237&gt;0,(G238/G237),)</f>
        <v>0</v>
      </c>
      <c r="Y238" s="311">
        <f t="shared" ref="Y238" si="2496">IF(H237&gt;0,(H238/H237),)</f>
        <v>90133.219441474634</v>
      </c>
      <c r="Z238" s="306">
        <f t="shared" ref="Z238" si="2497">IF(I237&gt;0,(I238/I237),)</f>
        <v>0</v>
      </c>
      <c r="AA238" s="296">
        <f t="shared" ref="AA238" si="2498">IF(J237&gt;0,(J238/J237),)</f>
        <v>0</v>
      </c>
      <c r="AB238" s="296">
        <f t="shared" ref="AB238" si="2499">IF(K237&gt;0,(K238/K237),)</f>
        <v>0</v>
      </c>
      <c r="AC238" s="296">
        <f t="shared" ref="AC238" si="2500">IF(L237&gt;0,(L238/L237),)</f>
        <v>0</v>
      </c>
      <c r="AD238" s="296">
        <f t="shared" ref="AD238" si="2501">IF(M237&gt;0,(M238/M237),)</f>
        <v>0</v>
      </c>
      <c r="AE238" s="311">
        <f t="shared" ref="AE238" si="2502">IF(N237&gt;0,(N238/N237),)</f>
        <v>0</v>
      </c>
      <c r="AF238" s="306">
        <f t="shared" ref="AF238" si="2503">IF(O237&gt;0,(O238/O237),)</f>
        <v>0</v>
      </c>
      <c r="AG238" s="296">
        <f t="shared" ref="AG238" si="2504">IF(P237&gt;0,(P238/P237),)</f>
        <v>0</v>
      </c>
      <c r="AH238" s="311">
        <f t="shared" ref="AH238" si="2505">IF(Q237&gt;0,(Q238/Q237),)</f>
        <v>0</v>
      </c>
      <c r="AI238" s="516"/>
      <c r="AO238" s="524"/>
      <c r="AU238" s="524"/>
      <c r="AX238" s="524"/>
    </row>
    <row r="239" spans="1:50" x14ac:dyDescent="0.2">
      <c r="A239" s="696" t="s">
        <v>1071</v>
      </c>
      <c r="B239" s="697">
        <v>364</v>
      </c>
      <c r="C239" s="697">
        <v>247</v>
      </c>
      <c r="D239" s="697"/>
      <c r="E239" s="697">
        <v>82</v>
      </c>
      <c r="F239" s="697">
        <v>33</v>
      </c>
      <c r="G239" s="697"/>
      <c r="H239" s="697">
        <v>726</v>
      </c>
      <c r="I239" s="697"/>
      <c r="J239" s="697">
        <v>0</v>
      </c>
      <c r="K239" s="697">
        <v>0</v>
      </c>
      <c r="L239" s="697">
        <v>0</v>
      </c>
      <c r="M239" s="697"/>
      <c r="N239" s="697">
        <v>0</v>
      </c>
      <c r="O239" s="697"/>
      <c r="P239" s="697"/>
      <c r="Q239" s="697"/>
      <c r="Y239" s="309"/>
      <c r="Z239" s="305"/>
      <c r="AE239" s="309"/>
      <c r="AF239" s="305"/>
      <c r="AH239" s="309"/>
      <c r="AI239" s="516"/>
      <c r="AO239" s="524"/>
      <c r="AU239" s="524"/>
      <c r="AX239" s="524"/>
    </row>
    <row r="240" spans="1:50" x14ac:dyDescent="0.2">
      <c r="A240" s="696" t="s">
        <v>1073</v>
      </c>
      <c r="B240" s="697">
        <v>32786951.891737096</v>
      </c>
      <c r="C240" s="697">
        <v>24059778.494575899</v>
      </c>
      <c r="D240" s="697"/>
      <c r="E240" s="697">
        <v>5466243.9792127293</v>
      </c>
      <c r="F240" s="697">
        <v>1898435.9906832299</v>
      </c>
      <c r="G240" s="697"/>
      <c r="H240" s="697">
        <v>64211410.35620895</v>
      </c>
      <c r="I240" s="697"/>
      <c r="J240" s="697">
        <v>0</v>
      </c>
      <c r="K240" s="697">
        <v>0</v>
      </c>
      <c r="L240" s="697">
        <v>0</v>
      </c>
      <c r="M240" s="697"/>
      <c r="N240" s="697">
        <v>0</v>
      </c>
      <c r="O240" s="697"/>
      <c r="P240" s="697"/>
      <c r="Q240" s="697"/>
      <c r="R240" s="294"/>
      <c r="S240" s="296">
        <f>IF(B239&gt;0,(B240/B239),)</f>
        <v>90074.043658618393</v>
      </c>
      <c r="T240" s="296">
        <f t="shared" ref="T240" si="2506">IF(C239&gt;0,(C240/C239),)</f>
        <v>97408.010099497566</v>
      </c>
      <c r="U240" s="296">
        <f t="shared" ref="U240" si="2507">IF(D239&gt;0,(D240/D239),)</f>
        <v>0</v>
      </c>
      <c r="V240" s="296">
        <f t="shared" ref="V240" si="2508">IF(E239&gt;0,(E240/E239),)</f>
        <v>66661.51194161865</v>
      </c>
      <c r="W240" s="296">
        <f t="shared" ref="W240" si="2509">IF(F239&gt;0,(F240/F239),)</f>
        <v>57528.363354037268</v>
      </c>
      <c r="X240" s="296">
        <f t="shared" ref="X240" si="2510">IF(G239&gt;0,(G240/G239),)</f>
        <v>0</v>
      </c>
      <c r="Y240" s="311">
        <f t="shared" ref="Y240" si="2511">IF(H239&gt;0,(H240/H239),)</f>
        <v>88445.468810205159</v>
      </c>
      <c r="Z240" s="306">
        <f t="shared" ref="Z240" si="2512">IF(I239&gt;0,(I240/I239),)</f>
        <v>0</v>
      </c>
      <c r="AA240" s="296">
        <f t="shared" ref="AA240" si="2513">IF(J239&gt;0,(J240/J239),)</f>
        <v>0</v>
      </c>
      <c r="AB240" s="296">
        <f t="shared" ref="AB240" si="2514">IF(K239&gt;0,(K240/K239),)</f>
        <v>0</v>
      </c>
      <c r="AC240" s="296">
        <f t="shared" ref="AC240" si="2515">IF(L239&gt;0,(L240/L239),)</f>
        <v>0</v>
      </c>
      <c r="AD240" s="296">
        <f t="shared" ref="AD240" si="2516">IF(M239&gt;0,(M240/M239),)</f>
        <v>0</v>
      </c>
      <c r="AE240" s="311">
        <f t="shared" ref="AE240" si="2517">IF(N239&gt;0,(N240/N239),)</f>
        <v>0</v>
      </c>
      <c r="AF240" s="306">
        <f t="shared" ref="AF240" si="2518">IF(O239&gt;0,(O240/O239),)</f>
        <v>0</v>
      </c>
      <c r="AG240" s="296">
        <f t="shared" ref="AG240" si="2519">IF(P239&gt;0,(P240/P239),)</f>
        <v>0</v>
      </c>
      <c r="AH240" s="311">
        <f t="shared" ref="AH240" si="2520">IF(Q239&gt;0,(Q240/Q239),)</f>
        <v>0</v>
      </c>
      <c r="AI240" s="517">
        <f>IF(S238&gt;0,(S240-S238)/S238,)</f>
        <v>-3.4358444310938881E-2</v>
      </c>
      <c r="AJ240" s="518">
        <f t="shared" ref="AJ240" si="2521">IF(T238&gt;0,(T240-T238)/T238,)</f>
        <v>-2.4535089738402655E-3</v>
      </c>
      <c r="AK240" s="518">
        <f t="shared" ref="AK240" si="2522">IF(U238&gt;0,(U240-U238)/U238,)</f>
        <v>0</v>
      </c>
      <c r="AL240" s="518">
        <f t="shared" ref="AL240" si="2523">IF(V238&gt;0,(V240-V238)/V238,)</f>
        <v>-8.5145177536359185E-3</v>
      </c>
      <c r="AM240" s="527">
        <f t="shared" ref="AM240" si="2524">IF(W238&gt;0,(W240-W238)/W238,)</f>
        <v>2.0545893235449472E-2</v>
      </c>
      <c r="AN240" s="518">
        <f t="shared" ref="AN240" si="2525">IF(X238&gt;0,(X240-X238)/X238,)</f>
        <v>0</v>
      </c>
      <c r="AO240" s="525">
        <f t="shared" ref="AO240" si="2526">IF(Y238&gt;0,(Y240-Y238)/Y238,)</f>
        <v>-1.8725067646844309E-2</v>
      </c>
      <c r="AP240" s="518">
        <f t="shared" ref="AP240" si="2527">IF(Z238&gt;0,(Z240-Z238)/Z238,)</f>
        <v>0</v>
      </c>
      <c r="AQ240" s="518">
        <f t="shared" ref="AQ240" si="2528">IF(AA238&gt;0,(AA240-AA238)/AA238,)</f>
        <v>0</v>
      </c>
      <c r="AR240" s="518">
        <f t="shared" ref="AR240" si="2529">IF(AB238&gt;0,(AB240-AB238)/AB238,)</f>
        <v>0</v>
      </c>
      <c r="AS240" s="518">
        <f t="shared" ref="AS240" si="2530">IF(AC238&gt;0,(AC240-AC238)/AC238,)</f>
        <v>0</v>
      </c>
      <c r="AT240" s="518">
        <f t="shared" ref="AT240" si="2531">IF(AD238&gt;0,(AD240-AD238)/AD238,)</f>
        <v>0</v>
      </c>
      <c r="AU240" s="525">
        <f t="shared" ref="AU240" si="2532">IF(AE238&gt;0,(AE240-AE238)/AE238,)</f>
        <v>0</v>
      </c>
      <c r="AV240" s="518">
        <f t="shared" ref="AV240" si="2533">IF(AF238&gt;0,(AF240-AF238)/AF238,)</f>
        <v>0</v>
      </c>
      <c r="AW240" s="518">
        <f t="shared" ref="AW240" si="2534">IF(AG238&gt;0,(AG240-AG238)/AG238,)</f>
        <v>0</v>
      </c>
      <c r="AX240" s="525">
        <f t="shared" ref="AX240" si="2535">IF(AH238&gt;0,(AH240-AH238)/AH238,)</f>
        <v>0</v>
      </c>
    </row>
    <row r="241" spans="1:50" x14ac:dyDescent="0.2">
      <c r="A241" s="696" t="s">
        <v>1075</v>
      </c>
      <c r="B241" s="697">
        <v>404</v>
      </c>
      <c r="C241" s="697">
        <v>329</v>
      </c>
      <c r="D241" s="697"/>
      <c r="E241" s="697">
        <v>112</v>
      </c>
      <c r="F241" s="697">
        <v>23</v>
      </c>
      <c r="G241" s="697"/>
      <c r="H241" s="697">
        <v>868</v>
      </c>
      <c r="I241" s="697"/>
      <c r="J241" s="697">
        <v>0</v>
      </c>
      <c r="K241" s="697">
        <v>0</v>
      </c>
      <c r="L241" s="697">
        <v>0</v>
      </c>
      <c r="M241" s="697"/>
      <c r="N241" s="697">
        <v>0</v>
      </c>
      <c r="O241" s="697"/>
      <c r="P241" s="697"/>
      <c r="Q241" s="697"/>
      <c r="Y241" s="309"/>
      <c r="Z241" s="305"/>
      <c r="AE241" s="309"/>
      <c r="AF241" s="305"/>
      <c r="AH241" s="309"/>
      <c r="AI241" s="516"/>
      <c r="AO241" s="524"/>
      <c r="AU241" s="524"/>
      <c r="AX241" s="524"/>
    </row>
    <row r="242" spans="1:50" x14ac:dyDescent="0.2">
      <c r="A242" s="698" t="s">
        <v>1077</v>
      </c>
      <c r="B242" s="699">
        <v>28024541.925362445</v>
      </c>
      <c r="C242" s="699">
        <v>24423456.777369212</v>
      </c>
      <c r="D242" s="699"/>
      <c r="E242" s="699">
        <v>6418952.2574054617</v>
      </c>
      <c r="F242" s="699">
        <v>1099424.5406698564</v>
      </c>
      <c r="G242" s="699"/>
      <c r="H242" s="699">
        <v>59966375.500806972</v>
      </c>
      <c r="I242" s="699"/>
      <c r="J242" s="699">
        <v>0</v>
      </c>
      <c r="K242" s="699">
        <v>0</v>
      </c>
      <c r="L242" s="699">
        <v>0</v>
      </c>
      <c r="M242" s="699"/>
      <c r="N242" s="699">
        <v>0</v>
      </c>
      <c r="O242" s="699"/>
      <c r="P242" s="699"/>
      <c r="Q242" s="699"/>
      <c r="S242" s="296">
        <f>IF(B241&gt;0,(B242/B241),)</f>
        <v>69367.678033075354</v>
      </c>
      <c r="T242" s="296">
        <f t="shared" ref="T242" si="2536">IF(C241&gt;0,(C242/C241),)</f>
        <v>74235.43093425293</v>
      </c>
      <c r="U242" s="296">
        <f t="shared" ref="U242" si="2537">IF(D241&gt;0,(D242/D241),)</f>
        <v>0</v>
      </c>
      <c r="V242" s="296">
        <f t="shared" ref="V242" si="2538">IF(E241&gt;0,(E242/E241),)</f>
        <v>57312.073726834482</v>
      </c>
      <c r="W242" s="296">
        <f t="shared" ref="W242" si="2539">IF(F241&gt;0,(F242/F241),)</f>
        <v>47801.066985645928</v>
      </c>
      <c r="X242" s="296">
        <f t="shared" ref="X242" si="2540">IF(G241&gt;0,(G242/G241),)</f>
        <v>0</v>
      </c>
      <c r="Y242" s="311">
        <f t="shared" ref="Y242" si="2541">IF(H241&gt;0,(H242/H241),)</f>
        <v>69085.686060837528</v>
      </c>
      <c r="Z242" s="306">
        <f t="shared" ref="Z242" si="2542">IF(I241&gt;0,(I242/I241),)</f>
        <v>0</v>
      </c>
      <c r="AA242" s="296">
        <f t="shared" ref="AA242" si="2543">IF(J241&gt;0,(J242/J241),)</f>
        <v>0</v>
      </c>
      <c r="AB242" s="296">
        <f t="shared" ref="AB242" si="2544">IF(K241&gt;0,(K242/K241),)</f>
        <v>0</v>
      </c>
      <c r="AC242" s="296">
        <f t="shared" ref="AC242" si="2545">IF(L241&gt;0,(L242/L241),)</f>
        <v>0</v>
      </c>
      <c r="AD242" s="296">
        <f t="shared" ref="AD242" si="2546">IF(M241&gt;0,(M242/M241),)</f>
        <v>0</v>
      </c>
      <c r="AE242" s="311">
        <f t="shared" ref="AE242" si="2547">IF(N241&gt;0,(N242/N241),)</f>
        <v>0</v>
      </c>
      <c r="AF242" s="306">
        <f t="shared" ref="AF242" si="2548">IF(O241&gt;0,(O242/O241),)</f>
        <v>0</v>
      </c>
      <c r="AG242" s="296">
        <f t="shared" ref="AG242" si="2549">IF(P241&gt;0,(P242/P241),)</f>
        <v>0</v>
      </c>
      <c r="AH242" s="311">
        <f t="shared" ref="AH242" si="2550">IF(Q241&gt;0,(Q242/Q241),)</f>
        <v>0</v>
      </c>
      <c r="AI242" s="516"/>
      <c r="AO242" s="524"/>
      <c r="AU242" s="524"/>
      <c r="AX242" s="524"/>
    </row>
    <row r="243" spans="1:50" x14ac:dyDescent="0.2">
      <c r="A243" s="696" t="s">
        <v>1079</v>
      </c>
      <c r="B243" s="697">
        <v>432</v>
      </c>
      <c r="C243" s="697">
        <v>325</v>
      </c>
      <c r="D243" s="697"/>
      <c r="E243" s="697">
        <v>115</v>
      </c>
      <c r="F243" s="697">
        <v>18</v>
      </c>
      <c r="G243" s="697"/>
      <c r="H243" s="697">
        <v>890</v>
      </c>
      <c r="I243" s="697"/>
      <c r="J243" s="697">
        <v>0</v>
      </c>
      <c r="K243" s="697">
        <v>0</v>
      </c>
      <c r="L243" s="697">
        <v>0</v>
      </c>
      <c r="M243" s="697"/>
      <c r="N243" s="697">
        <v>0</v>
      </c>
      <c r="O243" s="697"/>
      <c r="P243" s="697"/>
      <c r="Q243" s="697"/>
      <c r="Y243" s="309"/>
      <c r="Z243" s="305"/>
      <c r="AE243" s="309"/>
      <c r="AF243" s="305"/>
      <c r="AH243" s="309"/>
      <c r="AI243" s="516"/>
      <c r="AO243" s="524"/>
      <c r="AU243" s="524"/>
      <c r="AX243" s="524"/>
    </row>
    <row r="244" spans="1:50" x14ac:dyDescent="0.2">
      <c r="A244" s="696" t="s">
        <v>1081</v>
      </c>
      <c r="B244" s="697">
        <v>29975345.806159776</v>
      </c>
      <c r="C244" s="697">
        <v>24029418.299589932</v>
      </c>
      <c r="D244" s="697"/>
      <c r="E244" s="697">
        <v>6340638.579556413</v>
      </c>
      <c r="F244" s="697">
        <v>894169.43558282207</v>
      </c>
      <c r="G244" s="697"/>
      <c r="H244" s="697">
        <v>61239572.120888948</v>
      </c>
      <c r="I244" s="697"/>
      <c r="J244" s="697">
        <v>0</v>
      </c>
      <c r="K244" s="697">
        <v>0</v>
      </c>
      <c r="L244" s="697">
        <v>0</v>
      </c>
      <c r="M244" s="697"/>
      <c r="N244" s="697">
        <v>0</v>
      </c>
      <c r="O244" s="697"/>
      <c r="P244" s="697"/>
      <c r="Q244" s="697"/>
      <c r="R244" s="294"/>
      <c r="S244" s="296">
        <f>IF(B243&gt;0,(B244/B243),)</f>
        <v>69387.374551295783</v>
      </c>
      <c r="T244" s="296">
        <f t="shared" ref="T244" si="2551">IF(C243&gt;0,(C244/C243),)</f>
        <v>73936.671691045951</v>
      </c>
      <c r="U244" s="296">
        <f t="shared" ref="U244" si="2552">IF(D243&gt;0,(D244/D243),)</f>
        <v>0</v>
      </c>
      <c r="V244" s="296">
        <f t="shared" ref="V244" si="2553">IF(E243&gt;0,(E244/E243),)</f>
        <v>55135.987648316637</v>
      </c>
      <c r="W244" s="296">
        <f t="shared" ref="W244" si="2554">IF(F243&gt;0,(F244/F243),)</f>
        <v>49676.079754601225</v>
      </c>
      <c r="X244" s="296">
        <f t="shared" ref="X244" si="2555">IF(G243&gt;0,(G244/G243),)</f>
        <v>0</v>
      </c>
      <c r="Y244" s="311">
        <f t="shared" ref="Y244" si="2556">IF(H243&gt;0,(H244/H243),)</f>
        <v>68808.508000998816</v>
      </c>
      <c r="Z244" s="306">
        <f t="shared" ref="Z244" si="2557">IF(I243&gt;0,(I244/I243),)</f>
        <v>0</v>
      </c>
      <c r="AA244" s="296">
        <f t="shared" ref="AA244" si="2558">IF(J243&gt;0,(J244/J243),)</f>
        <v>0</v>
      </c>
      <c r="AB244" s="296">
        <f t="shared" ref="AB244" si="2559">IF(K243&gt;0,(K244/K243),)</f>
        <v>0</v>
      </c>
      <c r="AC244" s="296">
        <f t="shared" ref="AC244" si="2560">IF(L243&gt;0,(L244/L243),)</f>
        <v>0</v>
      </c>
      <c r="AD244" s="296">
        <f t="shared" ref="AD244" si="2561">IF(M243&gt;0,(M244/M243),)</f>
        <v>0</v>
      </c>
      <c r="AE244" s="311">
        <f t="shared" ref="AE244" si="2562">IF(N243&gt;0,(N244/N243),)</f>
        <v>0</v>
      </c>
      <c r="AF244" s="306">
        <f t="shared" ref="AF244" si="2563">IF(O243&gt;0,(O244/O243),)</f>
        <v>0</v>
      </c>
      <c r="AG244" s="296">
        <f t="shared" ref="AG244" si="2564">IF(P243&gt;0,(P244/P243),)</f>
        <v>0</v>
      </c>
      <c r="AH244" s="311">
        <f t="shared" ref="AH244" si="2565">IF(Q243&gt;0,(Q244/Q243),)</f>
        <v>0</v>
      </c>
      <c r="AI244" s="517">
        <f>IF(S242&gt;0,(S244-S242)/S242,)</f>
        <v>2.8394374410280659E-4</v>
      </c>
      <c r="AJ244" s="518">
        <f t="shared" ref="AJ244" si="2566">IF(T242&gt;0,(T244-T242)/T242,)</f>
        <v>-4.0244831807008377E-3</v>
      </c>
      <c r="AK244" s="518">
        <f t="shared" ref="AK244" si="2567">IF(U242&gt;0,(U244-U242)/U242,)</f>
        <v>0</v>
      </c>
      <c r="AL244" s="518">
        <f t="shared" ref="AL244" si="2568">IF(V242&gt;0,(V244-V242)/V242,)</f>
        <v>-3.7969068941558201E-2</v>
      </c>
      <c r="AM244" s="527">
        <f t="shared" ref="AM244" si="2569">IF(W242&gt;0,(W244-W242)/W242,)</f>
        <v>3.9225332972553532E-2</v>
      </c>
      <c r="AN244" s="518">
        <f t="shared" ref="AN244" si="2570">IF(X242&gt;0,(X244-X242)/X242,)</f>
        <v>0</v>
      </c>
      <c r="AO244" s="525">
        <f t="shared" ref="AO244" si="2571">IF(Y242&gt;0,(Y244-Y242)/Y242,)</f>
        <v>-4.0120910081811526E-3</v>
      </c>
      <c r="AP244" s="518">
        <f t="shared" ref="AP244" si="2572">IF(Z242&gt;0,(Z244-Z242)/Z242,)</f>
        <v>0</v>
      </c>
      <c r="AQ244" s="518">
        <f t="shared" ref="AQ244" si="2573">IF(AA242&gt;0,(AA244-AA242)/AA242,)</f>
        <v>0</v>
      </c>
      <c r="AR244" s="518">
        <f t="shared" ref="AR244" si="2574">IF(AB242&gt;0,(AB244-AB242)/AB242,)</f>
        <v>0</v>
      </c>
      <c r="AS244" s="518">
        <f t="shared" ref="AS244" si="2575">IF(AC242&gt;0,(AC244-AC242)/AC242,)</f>
        <v>0</v>
      </c>
      <c r="AT244" s="518">
        <f t="shared" ref="AT244" si="2576">IF(AD242&gt;0,(AD244-AD242)/AD242,)</f>
        <v>0</v>
      </c>
      <c r="AU244" s="525">
        <f t="shared" ref="AU244" si="2577">IF(AE242&gt;0,(AE244-AE242)/AE242,)</f>
        <v>0</v>
      </c>
      <c r="AV244" s="518">
        <f t="shared" ref="AV244" si="2578">IF(AF242&gt;0,(AF244-AF242)/AF242,)</f>
        <v>0</v>
      </c>
      <c r="AW244" s="518">
        <f t="shared" ref="AW244" si="2579">IF(AG242&gt;0,(AG244-AG242)/AG242,)</f>
        <v>0</v>
      </c>
      <c r="AX244" s="525">
        <f t="shared" ref="AX244" si="2580">IF(AH242&gt;0,(AH244-AH242)/AH242,)</f>
        <v>0</v>
      </c>
    </row>
    <row r="245" spans="1:50" x14ac:dyDescent="0.2">
      <c r="A245" s="696" t="s">
        <v>1083</v>
      </c>
      <c r="B245" s="697">
        <v>474</v>
      </c>
      <c r="C245" s="697">
        <v>335</v>
      </c>
      <c r="D245" s="697"/>
      <c r="E245" s="697">
        <v>159</v>
      </c>
      <c r="F245" s="697">
        <v>31</v>
      </c>
      <c r="G245" s="697"/>
      <c r="H245" s="697">
        <v>999</v>
      </c>
      <c r="I245" s="697"/>
      <c r="J245" s="697">
        <v>0</v>
      </c>
      <c r="K245" s="697">
        <v>0</v>
      </c>
      <c r="L245" s="697">
        <v>0</v>
      </c>
      <c r="M245" s="697"/>
      <c r="N245" s="697">
        <v>0</v>
      </c>
      <c r="O245" s="697"/>
      <c r="P245" s="697"/>
      <c r="Q245" s="697"/>
      <c r="Y245" s="309"/>
      <c r="Z245" s="305"/>
      <c r="AE245" s="309"/>
      <c r="AF245" s="305"/>
      <c r="AH245" s="309"/>
      <c r="AI245" s="516"/>
      <c r="AO245" s="524"/>
      <c r="AU245" s="524"/>
      <c r="AX245" s="524"/>
    </row>
    <row r="246" spans="1:50" x14ac:dyDescent="0.2">
      <c r="A246" s="696" t="s">
        <v>1085</v>
      </c>
      <c r="B246" s="697">
        <v>28954468.95855308</v>
      </c>
      <c r="C246" s="697">
        <v>20982537.422943354</v>
      </c>
      <c r="D246" s="697"/>
      <c r="E246" s="697">
        <v>8094725.0088732839</v>
      </c>
      <c r="F246" s="697">
        <v>1502403.2526315788</v>
      </c>
      <c r="G246" s="697"/>
      <c r="H246" s="697">
        <v>59534134.643001296</v>
      </c>
      <c r="I246" s="697"/>
      <c r="J246" s="697">
        <v>0</v>
      </c>
      <c r="K246" s="697">
        <v>0</v>
      </c>
      <c r="L246" s="697">
        <v>0</v>
      </c>
      <c r="M246" s="697"/>
      <c r="N246" s="697">
        <v>0</v>
      </c>
      <c r="O246" s="697"/>
      <c r="P246" s="697"/>
      <c r="Q246" s="697"/>
      <c r="R246" s="294"/>
      <c r="S246" s="296">
        <f>IF(B245&gt;0,(B246/B245),)</f>
        <v>61085.377549690042</v>
      </c>
      <c r="T246" s="296">
        <f t="shared" ref="T246" si="2581">IF(C245&gt;0,(C246/C245),)</f>
        <v>62634.440068487624</v>
      </c>
      <c r="U246" s="296">
        <f t="shared" ref="U246" si="2582">IF(D245&gt;0,(D246/D245),)</f>
        <v>0</v>
      </c>
      <c r="V246" s="296">
        <f t="shared" ref="V246" si="2583">IF(E245&gt;0,(E246/E245),)</f>
        <v>50910.22018159298</v>
      </c>
      <c r="W246" s="296">
        <f t="shared" ref="W246" si="2584">IF(F245&gt;0,(F246/F245),)</f>
        <v>48464.621052631577</v>
      </c>
      <c r="X246" s="296">
        <f t="shared" ref="X246" si="2585">IF(G245&gt;0,(G246/G245),)</f>
        <v>0</v>
      </c>
      <c r="Y246" s="311">
        <f t="shared" ref="Y246" si="2586">IF(H245&gt;0,(H246/H245),)</f>
        <v>59593.728371372665</v>
      </c>
      <c r="Z246" s="306">
        <f t="shared" ref="Z246" si="2587">IF(I245&gt;0,(I246/I245),)</f>
        <v>0</v>
      </c>
      <c r="AA246" s="296">
        <f t="shared" ref="AA246" si="2588">IF(J245&gt;0,(J246/J245),)</f>
        <v>0</v>
      </c>
      <c r="AB246" s="296">
        <f t="shared" ref="AB246" si="2589">IF(K245&gt;0,(K246/K245),)</f>
        <v>0</v>
      </c>
      <c r="AC246" s="296">
        <f t="shared" ref="AC246" si="2590">IF(L245&gt;0,(L246/L245),)</f>
        <v>0</v>
      </c>
      <c r="AD246" s="296">
        <f t="shared" ref="AD246" si="2591">IF(M245&gt;0,(M246/M245),)</f>
        <v>0</v>
      </c>
      <c r="AE246" s="311">
        <f t="shared" ref="AE246" si="2592">IF(N245&gt;0,(N246/N245),)</f>
        <v>0</v>
      </c>
      <c r="AF246" s="306">
        <f t="shared" ref="AF246" si="2593">IF(O245&gt;0,(O246/O245),)</f>
        <v>0</v>
      </c>
      <c r="AG246" s="296">
        <f t="shared" ref="AG246" si="2594">IF(P245&gt;0,(P246/P245),)</f>
        <v>0</v>
      </c>
      <c r="AH246" s="311">
        <f t="shared" ref="AH246" si="2595">IF(Q245&gt;0,(Q246/Q245),)</f>
        <v>0</v>
      </c>
      <c r="AI246" s="516"/>
      <c r="AO246" s="524"/>
      <c r="AU246" s="524"/>
      <c r="AX246" s="524"/>
    </row>
    <row r="247" spans="1:50" x14ac:dyDescent="0.2">
      <c r="A247" s="696" t="s">
        <v>1087</v>
      </c>
      <c r="B247" s="697">
        <v>470</v>
      </c>
      <c r="C247" s="697">
        <v>365</v>
      </c>
      <c r="D247" s="697"/>
      <c r="E247" s="697">
        <v>169</v>
      </c>
      <c r="F247" s="697">
        <v>31</v>
      </c>
      <c r="G247" s="697"/>
      <c r="H247" s="697">
        <v>1035</v>
      </c>
      <c r="I247" s="697"/>
      <c r="J247" s="697">
        <v>0</v>
      </c>
      <c r="K247" s="697">
        <v>0</v>
      </c>
      <c r="L247" s="697">
        <v>0</v>
      </c>
      <c r="M247" s="697"/>
      <c r="N247" s="697">
        <v>0</v>
      </c>
      <c r="O247" s="697"/>
      <c r="P247" s="697"/>
      <c r="Q247" s="697"/>
      <c r="Y247" s="309"/>
      <c r="Z247" s="305"/>
      <c r="AE247" s="309"/>
      <c r="AF247" s="305"/>
      <c r="AH247" s="309"/>
      <c r="AI247" s="516"/>
      <c r="AO247" s="524"/>
      <c r="AU247" s="524"/>
      <c r="AX247" s="524"/>
    </row>
    <row r="248" spans="1:50" x14ac:dyDescent="0.2">
      <c r="A248" s="696" t="s">
        <v>1089</v>
      </c>
      <c r="B248" s="697">
        <v>29139165.10692054</v>
      </c>
      <c r="C248" s="697">
        <v>22899138.106614258</v>
      </c>
      <c r="D248" s="697"/>
      <c r="E248" s="697">
        <v>8779777.4787991606</v>
      </c>
      <c r="F248" s="697">
        <v>1577810.2207792208</v>
      </c>
      <c r="G248" s="697"/>
      <c r="H248" s="697">
        <v>62395890.913113184</v>
      </c>
      <c r="I248" s="697"/>
      <c r="J248" s="697">
        <v>0</v>
      </c>
      <c r="K248" s="697">
        <v>0</v>
      </c>
      <c r="L248" s="697">
        <v>0</v>
      </c>
      <c r="M248" s="697"/>
      <c r="N248" s="697">
        <v>0</v>
      </c>
      <c r="O248" s="697"/>
      <c r="P248" s="697"/>
      <c r="Q248" s="697"/>
      <c r="R248" s="294"/>
      <c r="S248" s="296">
        <f>IF(B247&gt;0,(B248/B247),)</f>
        <v>61998.22363174583</v>
      </c>
      <c r="T248" s="296">
        <f t="shared" ref="T248" si="2596">IF(C247&gt;0,(C248/C247),)</f>
        <v>62737.364675655503</v>
      </c>
      <c r="U248" s="296">
        <f t="shared" ref="U248" si="2597">IF(D247&gt;0,(D248/D247),)</f>
        <v>0</v>
      </c>
      <c r="V248" s="296">
        <f t="shared" ref="V248" si="2598">IF(E247&gt;0,(E248/E247),)</f>
        <v>51951.346028397398</v>
      </c>
      <c r="W248" s="296">
        <f t="shared" ref="W248" si="2599">IF(F247&gt;0,(F248/F247),)</f>
        <v>50897.103896103894</v>
      </c>
      <c r="X248" s="296">
        <f t="shared" ref="X248" si="2600">IF(G247&gt;0,(G248/G247),)</f>
        <v>0</v>
      </c>
      <c r="Y248" s="311">
        <f t="shared" ref="Y248" si="2601">IF(H247&gt;0,(H248/H247),)</f>
        <v>60285.884940205979</v>
      </c>
      <c r="Z248" s="306">
        <f t="shared" ref="Z248" si="2602">IF(I247&gt;0,(I248/I247),)</f>
        <v>0</v>
      </c>
      <c r="AA248" s="296">
        <f t="shared" ref="AA248" si="2603">IF(J247&gt;0,(J248/J247),)</f>
        <v>0</v>
      </c>
      <c r="AB248" s="296">
        <f t="shared" ref="AB248" si="2604">IF(K247&gt;0,(K248/K247),)</f>
        <v>0</v>
      </c>
      <c r="AC248" s="296">
        <f t="shared" ref="AC248" si="2605">IF(L247&gt;0,(L248/L247),)</f>
        <v>0</v>
      </c>
      <c r="AD248" s="296">
        <f t="shared" ref="AD248" si="2606">IF(M247&gt;0,(M248/M247),)</f>
        <v>0</v>
      </c>
      <c r="AE248" s="311">
        <f t="shared" ref="AE248" si="2607">IF(N247&gt;0,(N248/N247),)</f>
        <v>0</v>
      </c>
      <c r="AF248" s="306">
        <f t="shared" ref="AF248" si="2608">IF(O247&gt;0,(O248/O247),)</f>
        <v>0</v>
      </c>
      <c r="AG248" s="296">
        <f t="shared" ref="AG248" si="2609">IF(P247&gt;0,(P248/P247),)</f>
        <v>0</v>
      </c>
      <c r="AH248" s="311">
        <f t="shared" ref="AH248" si="2610">IF(Q247&gt;0,(Q248/Q247),)</f>
        <v>0</v>
      </c>
      <c r="AI248" s="517">
        <f>IF(S246&gt;0,(S248-S246)/S246,)</f>
        <v>1.494377408592149E-2</v>
      </c>
      <c r="AJ248" s="518">
        <f t="shared" ref="AJ248" si="2611">IF(T246&gt;0,(T248-T246)/T246,)</f>
        <v>1.6432589970523581E-3</v>
      </c>
      <c r="AK248" s="518">
        <f t="shared" ref="AK248" si="2612">IF(U246&gt;0,(U248-U246)/U246,)</f>
        <v>0</v>
      </c>
      <c r="AL248" s="518">
        <f t="shared" ref="AL248" si="2613">IF(V246&gt;0,(V248-V246)/V246,)</f>
        <v>2.0450232646623788E-2</v>
      </c>
      <c r="AM248" s="518">
        <f t="shared" ref="AM248" si="2614">IF(W246&gt;0,(W248-W246)/W246,)</f>
        <v>5.0190897826905334E-2</v>
      </c>
      <c r="AN248" s="518">
        <f t="shared" ref="AN248" si="2615">IF(X246&gt;0,(X248-X246)/X246,)</f>
        <v>0</v>
      </c>
      <c r="AO248" s="525">
        <f t="shared" ref="AO248" si="2616">IF(Y246&gt;0,(Y248-Y246)/Y246,)</f>
        <v>1.1614587436449246E-2</v>
      </c>
      <c r="AP248" s="518">
        <f t="shared" ref="AP248" si="2617">IF(Z246&gt;0,(Z248-Z246)/Z246,)</f>
        <v>0</v>
      </c>
      <c r="AQ248" s="518">
        <f t="shared" ref="AQ248" si="2618">IF(AA246&gt;0,(AA248-AA246)/AA246,)</f>
        <v>0</v>
      </c>
      <c r="AR248" s="518">
        <f t="shared" ref="AR248" si="2619">IF(AB246&gt;0,(AB248-AB246)/AB246,)</f>
        <v>0</v>
      </c>
      <c r="AS248" s="518">
        <f t="shared" ref="AS248" si="2620">IF(AC246&gt;0,(AC248-AC246)/AC246,)</f>
        <v>0</v>
      </c>
      <c r="AT248" s="518">
        <f t="shared" ref="AT248" si="2621">IF(AD246&gt;0,(AD248-AD246)/AD246,)</f>
        <v>0</v>
      </c>
      <c r="AU248" s="525">
        <f t="shared" ref="AU248" si="2622">IF(AE246&gt;0,(AE248-AE246)/AE246,)</f>
        <v>0</v>
      </c>
      <c r="AV248" s="518">
        <f t="shared" ref="AV248" si="2623">IF(AF246&gt;0,(AF248-AF246)/AF246,)</f>
        <v>0</v>
      </c>
      <c r="AW248" s="518">
        <f t="shared" ref="AW248" si="2624">IF(AG246&gt;0,(AG248-AG246)/AG246,)</f>
        <v>0</v>
      </c>
      <c r="AX248" s="525">
        <f t="shared" ref="AX248" si="2625">IF(AH246&gt;0,(AH248-AH246)/AH246,)</f>
        <v>0</v>
      </c>
    </row>
    <row r="249" spans="1:50" x14ac:dyDescent="0.2">
      <c r="A249" s="696" t="s">
        <v>1091</v>
      </c>
      <c r="B249" s="697">
        <v>281</v>
      </c>
      <c r="C249" s="697">
        <v>215</v>
      </c>
      <c r="D249" s="697"/>
      <c r="E249" s="697">
        <v>120</v>
      </c>
      <c r="F249" s="697">
        <v>53</v>
      </c>
      <c r="G249" s="697"/>
      <c r="H249" s="697">
        <v>669</v>
      </c>
      <c r="I249" s="697"/>
      <c r="J249" s="697">
        <v>0</v>
      </c>
      <c r="K249" s="697">
        <v>0</v>
      </c>
      <c r="L249" s="697">
        <v>0</v>
      </c>
      <c r="M249" s="697"/>
      <c r="N249" s="697">
        <v>0</v>
      </c>
      <c r="O249" s="697"/>
      <c r="P249" s="697"/>
      <c r="Q249" s="697"/>
      <c r="Y249" s="309"/>
      <c r="Z249" s="305"/>
      <c r="AE249" s="309"/>
      <c r="AF249" s="305"/>
      <c r="AH249" s="309"/>
      <c r="AI249" s="516"/>
      <c r="AO249" s="524"/>
      <c r="AU249" s="524"/>
      <c r="AX249" s="524"/>
    </row>
    <row r="250" spans="1:50" x14ac:dyDescent="0.2">
      <c r="A250" s="696" t="s">
        <v>1093</v>
      </c>
      <c r="B250" s="697">
        <v>12495732.190588702</v>
      </c>
      <c r="C250" s="697">
        <v>8698263.4017721098</v>
      </c>
      <c r="D250" s="697"/>
      <c r="E250" s="697">
        <v>5167545.5773587339</v>
      </c>
      <c r="F250" s="697">
        <v>2533555.7465346539</v>
      </c>
      <c r="G250" s="697"/>
      <c r="H250" s="697">
        <v>28895096.916254196</v>
      </c>
      <c r="I250" s="697"/>
      <c r="J250" s="697">
        <v>0</v>
      </c>
      <c r="K250" s="697">
        <v>0</v>
      </c>
      <c r="L250" s="697">
        <v>0</v>
      </c>
      <c r="M250" s="697"/>
      <c r="N250" s="697">
        <v>0</v>
      </c>
      <c r="O250" s="697"/>
      <c r="P250" s="697"/>
      <c r="Q250" s="697"/>
      <c r="R250" s="294"/>
      <c r="S250" s="296">
        <f>IF(B249&gt;0,(B250/B249),)</f>
        <v>44468.797831276519</v>
      </c>
      <c r="T250" s="296">
        <f t="shared" ref="T250" si="2626">IF(C249&gt;0,(C250/C249),)</f>
        <v>40457.03907800981</v>
      </c>
      <c r="U250" s="296">
        <f t="shared" ref="U250" si="2627">IF(D249&gt;0,(D250/D249),)</f>
        <v>0</v>
      </c>
      <c r="V250" s="296">
        <f t="shared" ref="V250" si="2628">IF(E249&gt;0,(E250/E249),)</f>
        <v>43062.879811322782</v>
      </c>
      <c r="W250" s="296">
        <f t="shared" ref="W250" si="2629">IF(F249&gt;0,(F250/F249),)</f>
        <v>47802.938613861392</v>
      </c>
      <c r="X250" s="296">
        <f t="shared" ref="X250" si="2630">IF(G249&gt;0,(G250/G249),)</f>
        <v>0</v>
      </c>
      <c r="Y250" s="311">
        <f t="shared" ref="Y250" si="2631">IF(H249&gt;0,(H250/H249),)</f>
        <v>43191.475211142293</v>
      </c>
      <c r="Z250" s="306">
        <f t="shared" ref="Z250" si="2632">IF(I249&gt;0,(I250/I249),)</f>
        <v>0</v>
      </c>
      <c r="AA250" s="296">
        <f t="shared" ref="AA250" si="2633">IF(J249&gt;0,(J250/J249),)</f>
        <v>0</v>
      </c>
      <c r="AB250" s="296">
        <f t="shared" ref="AB250" si="2634">IF(K249&gt;0,(K250/K249),)</f>
        <v>0</v>
      </c>
      <c r="AC250" s="296">
        <f t="shared" ref="AC250" si="2635">IF(L249&gt;0,(L250/L249),)</f>
        <v>0</v>
      </c>
      <c r="AD250" s="296">
        <f t="shared" ref="AD250" si="2636">IF(M249&gt;0,(M250/M249),)</f>
        <v>0</v>
      </c>
      <c r="AE250" s="311">
        <f t="shared" ref="AE250" si="2637">IF(N249&gt;0,(N250/N249),)</f>
        <v>0</v>
      </c>
      <c r="AF250" s="306">
        <f t="shared" ref="AF250" si="2638">IF(O249&gt;0,(O250/O249),)</f>
        <v>0</v>
      </c>
      <c r="AG250" s="296">
        <f t="shared" ref="AG250" si="2639">IF(P249&gt;0,(P250/P249),)</f>
        <v>0</v>
      </c>
      <c r="AH250" s="311">
        <f t="shared" ref="AH250" si="2640">IF(Q249&gt;0,(Q250/Q249),)</f>
        <v>0</v>
      </c>
      <c r="AI250" s="516"/>
      <c r="AO250" s="524"/>
      <c r="AU250" s="524"/>
      <c r="AX250" s="524"/>
    </row>
    <row r="251" spans="1:50" x14ac:dyDescent="0.2">
      <c r="A251" s="696" t="s">
        <v>1095</v>
      </c>
      <c r="B251" s="697">
        <v>295</v>
      </c>
      <c r="C251" s="697">
        <v>215</v>
      </c>
      <c r="D251" s="697"/>
      <c r="E251" s="697">
        <v>119</v>
      </c>
      <c r="F251" s="697">
        <v>48</v>
      </c>
      <c r="G251" s="697"/>
      <c r="H251" s="697">
        <v>677</v>
      </c>
      <c r="I251" s="697"/>
      <c r="J251" s="697">
        <v>0</v>
      </c>
      <c r="K251" s="697">
        <v>0</v>
      </c>
      <c r="L251" s="697">
        <v>0</v>
      </c>
      <c r="M251" s="697"/>
      <c r="N251" s="697">
        <v>0</v>
      </c>
      <c r="O251" s="697"/>
      <c r="P251" s="697"/>
      <c r="Q251" s="697"/>
      <c r="Y251" s="309"/>
      <c r="Z251" s="305"/>
      <c r="AE251" s="309"/>
      <c r="AF251" s="305"/>
      <c r="AH251" s="309"/>
      <c r="AI251" s="516"/>
      <c r="AO251" s="524"/>
      <c r="AU251" s="524"/>
      <c r="AX251" s="524"/>
    </row>
    <row r="252" spans="1:50" x14ac:dyDescent="0.2">
      <c r="A252" s="696" t="s">
        <v>1097</v>
      </c>
      <c r="B252" s="697">
        <v>12932743.190530913</v>
      </c>
      <c r="C252" s="697">
        <v>8569191.5828089491</v>
      </c>
      <c r="D252" s="697"/>
      <c r="E252" s="697">
        <v>4937972.1119894153</v>
      </c>
      <c r="F252" s="697">
        <v>2275125.7167019024</v>
      </c>
      <c r="G252" s="697"/>
      <c r="H252" s="697">
        <v>28715032.602031179</v>
      </c>
      <c r="I252" s="697"/>
      <c r="J252" s="697">
        <v>0</v>
      </c>
      <c r="K252" s="697">
        <v>0</v>
      </c>
      <c r="L252" s="697">
        <v>0</v>
      </c>
      <c r="M252" s="697"/>
      <c r="N252" s="697">
        <v>0</v>
      </c>
      <c r="O252" s="697"/>
      <c r="P252" s="697"/>
      <c r="Q252" s="697"/>
      <c r="R252" s="294"/>
      <c r="S252" s="296">
        <f>IF(B251&gt;0,(B252/B251),)</f>
        <v>43839.807425528517</v>
      </c>
      <c r="T252" s="296">
        <f t="shared" ref="T252" si="2641">IF(C251&gt;0,(C252/C251),)</f>
        <v>39856.705036320694</v>
      </c>
      <c r="U252" s="296">
        <f t="shared" ref="U252" si="2642">IF(D251&gt;0,(D252/D251),)</f>
        <v>0</v>
      </c>
      <c r="V252" s="296">
        <f t="shared" ref="V252" si="2643">IF(E251&gt;0,(E252/E251),)</f>
        <v>41495.56396629761</v>
      </c>
      <c r="W252" s="296">
        <f t="shared" ref="W252" si="2644">IF(F251&gt;0,(F252/F251),)</f>
        <v>47398.452431289632</v>
      </c>
      <c r="X252" s="296">
        <f t="shared" ref="X252" si="2645">IF(G251&gt;0,(G252/G251),)</f>
        <v>0</v>
      </c>
      <c r="Y252" s="311">
        <f t="shared" ref="Y252" si="2646">IF(H251&gt;0,(H252/H251),)</f>
        <v>42415.114626338524</v>
      </c>
      <c r="Z252" s="306">
        <f t="shared" ref="Z252" si="2647">IF(I251&gt;0,(I252/I251),)</f>
        <v>0</v>
      </c>
      <c r="AA252" s="296">
        <f t="shared" ref="AA252" si="2648">IF(J251&gt;0,(J252/J251),)</f>
        <v>0</v>
      </c>
      <c r="AB252" s="296">
        <f t="shared" ref="AB252" si="2649">IF(K251&gt;0,(K252/K251),)</f>
        <v>0</v>
      </c>
      <c r="AC252" s="296">
        <f t="shared" ref="AC252" si="2650">IF(L251&gt;0,(L252/L251),)</f>
        <v>0</v>
      </c>
      <c r="AD252" s="296">
        <f t="shared" ref="AD252" si="2651">IF(M251&gt;0,(M252/M251),)</f>
        <v>0</v>
      </c>
      <c r="AE252" s="311">
        <f t="shared" ref="AE252" si="2652">IF(N251&gt;0,(N252/N251),)</f>
        <v>0</v>
      </c>
      <c r="AF252" s="306">
        <f t="shared" ref="AF252" si="2653">IF(O251&gt;0,(O252/O251),)</f>
        <v>0</v>
      </c>
      <c r="AG252" s="296">
        <f t="shared" ref="AG252" si="2654">IF(P251&gt;0,(P252/P251),)</f>
        <v>0</v>
      </c>
      <c r="AH252" s="311">
        <f t="shared" ref="AH252" si="2655">IF(Q251&gt;0,(Q252/Q251),)</f>
        <v>0</v>
      </c>
      <c r="AI252" s="517">
        <f>IF(S250&gt;0,(S252-S250)/S250,)</f>
        <v>-1.4144533615109556E-2</v>
      </c>
      <c r="AJ252" s="518">
        <f t="shared" ref="AJ252" si="2656">IF(T250&gt;0,(T252-T250)/T250,)</f>
        <v>-1.4838803218681992E-2</v>
      </c>
      <c r="AK252" s="518">
        <f t="shared" ref="AK252" si="2657">IF(U250&gt;0,(U252-U250)/U250,)</f>
        <v>0</v>
      </c>
      <c r="AL252" s="518">
        <f t="shared" ref="AL252" si="2658">IF(V250&gt;0,(V252-V250)/V250,)</f>
        <v>-3.6395983080840508E-2</v>
      </c>
      <c r="AM252" s="518">
        <f t="shared" ref="AM252" si="2659">IF(W250&gt;0,(W252-W250)/W250,)</f>
        <v>-8.4615338366347045E-3</v>
      </c>
      <c r="AN252" s="518">
        <f t="shared" ref="AN252" si="2660">IF(X250&gt;0,(X252-X250)/X250,)</f>
        <v>0</v>
      </c>
      <c r="AO252" s="525">
        <f t="shared" ref="AO252" si="2661">IF(Y250&gt;0,(Y252-Y250)/Y250,)</f>
        <v>-1.7974856867206252E-2</v>
      </c>
      <c r="AP252" s="518">
        <f t="shared" ref="AP252" si="2662">IF(Z250&gt;0,(Z252-Z250)/Z250,)</f>
        <v>0</v>
      </c>
      <c r="AQ252" s="518">
        <f t="shared" ref="AQ252" si="2663">IF(AA250&gt;0,(AA252-AA250)/AA250,)</f>
        <v>0</v>
      </c>
      <c r="AR252" s="518">
        <f t="shared" ref="AR252" si="2664">IF(AB250&gt;0,(AB252-AB250)/AB250,)</f>
        <v>0</v>
      </c>
      <c r="AS252" s="518">
        <f t="shared" ref="AS252" si="2665">IF(AC250&gt;0,(AC252-AC250)/AC250,)</f>
        <v>0</v>
      </c>
      <c r="AT252" s="518">
        <f t="shared" ref="AT252" si="2666">IF(AD250&gt;0,(AD252-AD250)/AD250,)</f>
        <v>0</v>
      </c>
      <c r="AU252" s="525">
        <f t="shared" ref="AU252" si="2667">IF(AE250&gt;0,(AE252-AE250)/AE250,)</f>
        <v>0</v>
      </c>
      <c r="AV252" s="518">
        <f t="shared" ref="AV252" si="2668">IF(AF250&gt;0,(AF252-AF250)/AF250,)</f>
        <v>0</v>
      </c>
      <c r="AW252" s="518">
        <f t="shared" ref="AW252" si="2669">IF(AG250&gt;0,(AG252-AG250)/AG250,)</f>
        <v>0</v>
      </c>
      <c r="AX252" s="525">
        <f t="shared" ref="AX252" si="2670">IF(AH250&gt;0,(AH252-AH250)/AH250,)</f>
        <v>0</v>
      </c>
    </row>
    <row r="253" spans="1:50" x14ac:dyDescent="0.2">
      <c r="A253" s="696" t="s">
        <v>1099</v>
      </c>
      <c r="B253" s="697">
        <v>62</v>
      </c>
      <c r="C253" s="697">
        <v>16</v>
      </c>
      <c r="D253" s="697"/>
      <c r="E253" s="697">
        <v>0</v>
      </c>
      <c r="F253" s="697">
        <v>0</v>
      </c>
      <c r="G253" s="697"/>
      <c r="H253" s="697">
        <v>78</v>
      </c>
      <c r="I253" s="697"/>
      <c r="J253" s="697">
        <v>0</v>
      </c>
      <c r="K253" s="697">
        <v>0</v>
      </c>
      <c r="L253" s="697">
        <v>0</v>
      </c>
      <c r="M253" s="697"/>
      <c r="N253" s="697">
        <v>0</v>
      </c>
      <c r="O253" s="697"/>
      <c r="P253" s="697"/>
      <c r="Q253" s="697"/>
      <c r="Y253" s="309"/>
      <c r="Z253" s="305"/>
      <c r="AE253" s="309"/>
      <c r="AF253" s="305"/>
      <c r="AH253" s="309"/>
      <c r="AI253" s="516"/>
      <c r="AO253" s="524"/>
      <c r="AU253" s="524"/>
      <c r="AX253" s="524"/>
    </row>
    <row r="254" spans="1:50" x14ac:dyDescent="0.2">
      <c r="A254" s="696" t="s">
        <v>1101</v>
      </c>
      <c r="B254" s="697">
        <v>1986427.2631578948</v>
      </c>
      <c r="C254" s="697">
        <v>726185.92086330941</v>
      </c>
      <c r="D254" s="697"/>
      <c r="E254" s="697">
        <v>0</v>
      </c>
      <c r="F254" s="697">
        <v>0</v>
      </c>
      <c r="G254" s="697"/>
      <c r="H254" s="697">
        <v>2712613.1840212042</v>
      </c>
      <c r="I254" s="697"/>
      <c r="J254" s="697">
        <v>0</v>
      </c>
      <c r="K254" s="697">
        <v>0</v>
      </c>
      <c r="L254" s="697">
        <v>0</v>
      </c>
      <c r="M254" s="697"/>
      <c r="N254" s="697">
        <v>0</v>
      </c>
      <c r="O254" s="697"/>
      <c r="P254" s="697"/>
      <c r="Q254" s="697"/>
      <c r="R254" s="294"/>
      <c r="S254" s="296">
        <f>IF(B253&gt;0,(B254/B253),)</f>
        <v>32039.149405772496</v>
      </c>
      <c r="T254" s="296">
        <f t="shared" ref="T254" si="2671">IF(C253&gt;0,(C254/C253),)</f>
        <v>45386.620053956838</v>
      </c>
      <c r="U254" s="296">
        <f t="shared" ref="U254" si="2672">IF(D253&gt;0,(D254/D253),)</f>
        <v>0</v>
      </c>
      <c r="V254" s="296">
        <f t="shared" ref="V254" si="2673">IF(E253&gt;0,(E254/E253),)</f>
        <v>0</v>
      </c>
      <c r="W254" s="296">
        <f t="shared" ref="W254" si="2674">IF(F253&gt;0,(F254/F253),)</f>
        <v>0</v>
      </c>
      <c r="X254" s="296">
        <f t="shared" ref="X254" si="2675">IF(G253&gt;0,(G254/G253),)</f>
        <v>0</v>
      </c>
      <c r="Y254" s="311">
        <f t="shared" ref="Y254" si="2676">IF(H253&gt;0,(H254/H253),)</f>
        <v>34777.092102835952</v>
      </c>
      <c r="Z254" s="306">
        <f t="shared" ref="Z254" si="2677">IF(I253&gt;0,(I254/I253),)</f>
        <v>0</v>
      </c>
      <c r="AA254" s="296">
        <f t="shared" ref="AA254" si="2678">IF(J253&gt;0,(J254/J253),)</f>
        <v>0</v>
      </c>
      <c r="AB254" s="296">
        <f t="shared" ref="AB254" si="2679">IF(K253&gt;0,(K254/K253),)</f>
        <v>0</v>
      </c>
      <c r="AC254" s="296">
        <f t="shared" ref="AC254" si="2680">IF(L253&gt;0,(L254/L253),)</f>
        <v>0</v>
      </c>
      <c r="AD254" s="296">
        <f t="shared" ref="AD254" si="2681">IF(M253&gt;0,(M254/M253),)</f>
        <v>0</v>
      </c>
      <c r="AE254" s="311">
        <f t="shared" ref="AE254" si="2682">IF(N253&gt;0,(N254/N253),)</f>
        <v>0</v>
      </c>
      <c r="AF254" s="306">
        <f t="shared" ref="AF254" si="2683">IF(O253&gt;0,(O254/O253),)</f>
        <v>0</v>
      </c>
      <c r="AG254" s="296">
        <f t="shared" ref="AG254" si="2684">IF(P253&gt;0,(P254/P253),)</f>
        <v>0</v>
      </c>
      <c r="AH254" s="311">
        <f t="shared" ref="AH254" si="2685">IF(Q253&gt;0,(Q254/Q253),)</f>
        <v>0</v>
      </c>
      <c r="AI254" s="516"/>
      <c r="AO254" s="524"/>
      <c r="AU254" s="524"/>
      <c r="AX254" s="524"/>
    </row>
    <row r="255" spans="1:50" x14ac:dyDescent="0.2">
      <c r="A255" s="696" t="s">
        <v>1103</v>
      </c>
      <c r="B255" s="697">
        <v>57</v>
      </c>
      <c r="C255" s="697">
        <v>23</v>
      </c>
      <c r="D255" s="697"/>
      <c r="E255" s="697">
        <v>0</v>
      </c>
      <c r="F255" s="697">
        <v>0</v>
      </c>
      <c r="G255" s="697"/>
      <c r="H255" s="697">
        <v>80</v>
      </c>
      <c r="I255" s="697"/>
      <c r="J255" s="697">
        <v>0</v>
      </c>
      <c r="K255" s="697">
        <v>0</v>
      </c>
      <c r="L255" s="697">
        <v>0</v>
      </c>
      <c r="M255" s="697"/>
      <c r="N255" s="697">
        <v>0</v>
      </c>
      <c r="O255" s="697"/>
      <c r="P255" s="697"/>
      <c r="Q255" s="697"/>
      <c r="Y255" s="309"/>
      <c r="Z255" s="305"/>
      <c r="AE255" s="309"/>
      <c r="AF255" s="305"/>
      <c r="AH255" s="309"/>
      <c r="AI255" s="516"/>
      <c r="AO255" s="524"/>
      <c r="AU255" s="524"/>
      <c r="AX255" s="524"/>
    </row>
    <row r="256" spans="1:50" x14ac:dyDescent="0.2">
      <c r="A256" s="696" t="s">
        <v>1105</v>
      </c>
      <c r="B256" s="697">
        <v>1782301.7908704886</v>
      </c>
      <c r="C256" s="697">
        <v>1024430.4166666667</v>
      </c>
      <c r="D256" s="697"/>
      <c r="E256" s="697">
        <v>0</v>
      </c>
      <c r="F256" s="697">
        <v>0</v>
      </c>
      <c r="G256" s="697"/>
      <c r="H256" s="697">
        <v>2806732.2075371556</v>
      </c>
      <c r="I256" s="697"/>
      <c r="J256" s="697">
        <v>0</v>
      </c>
      <c r="K256" s="697">
        <v>0</v>
      </c>
      <c r="L256" s="697">
        <v>0</v>
      </c>
      <c r="M256" s="697"/>
      <c r="N256" s="697">
        <v>0</v>
      </c>
      <c r="O256" s="697"/>
      <c r="P256" s="697"/>
      <c r="Q256" s="697"/>
      <c r="R256" s="294"/>
      <c r="S256" s="296">
        <f>IF(B255&gt;0,(B256/B255),)</f>
        <v>31268.452471412082</v>
      </c>
      <c r="T256" s="296">
        <f t="shared" ref="T256" si="2686">IF(C255&gt;0,(C256/C255),)</f>
        <v>44540.452898550728</v>
      </c>
      <c r="U256" s="296">
        <f t="shared" ref="U256" si="2687">IF(D255&gt;0,(D256/D255),)</f>
        <v>0</v>
      </c>
      <c r="V256" s="296">
        <f t="shared" ref="V256" si="2688">IF(E255&gt;0,(E256/E255),)</f>
        <v>0</v>
      </c>
      <c r="W256" s="296">
        <f t="shared" ref="W256" si="2689">IF(F255&gt;0,(F256/F255),)</f>
        <v>0</v>
      </c>
      <c r="X256" s="296">
        <f t="shared" ref="X256" si="2690">IF(G255&gt;0,(G256/G255),)</f>
        <v>0</v>
      </c>
      <c r="Y256" s="311">
        <f t="shared" ref="Y256" si="2691">IF(H255&gt;0,(H256/H255),)</f>
        <v>35084.152594214444</v>
      </c>
      <c r="Z256" s="306">
        <f t="shared" ref="Z256" si="2692">IF(I255&gt;0,(I256/I255),)</f>
        <v>0</v>
      </c>
      <c r="AA256" s="296">
        <f t="shared" ref="AA256" si="2693">IF(J255&gt;0,(J256/J255),)</f>
        <v>0</v>
      </c>
      <c r="AB256" s="296">
        <f t="shared" ref="AB256" si="2694">IF(K255&gt;0,(K256/K255),)</f>
        <v>0</v>
      </c>
      <c r="AC256" s="296">
        <f t="shared" ref="AC256" si="2695">IF(L255&gt;0,(L256/L255),)</f>
        <v>0</v>
      </c>
      <c r="AD256" s="296">
        <f t="shared" ref="AD256" si="2696">IF(M255&gt;0,(M256/M255),)</f>
        <v>0</v>
      </c>
      <c r="AE256" s="311">
        <f t="shared" ref="AE256" si="2697">IF(N255&gt;0,(N256/N255),)</f>
        <v>0</v>
      </c>
      <c r="AF256" s="306">
        <f t="shared" ref="AF256" si="2698">IF(O255&gt;0,(O256/O255),)</f>
        <v>0</v>
      </c>
      <c r="AG256" s="296">
        <f t="shared" ref="AG256" si="2699">IF(P255&gt;0,(P256/P255),)</f>
        <v>0</v>
      </c>
      <c r="AH256" s="311">
        <f t="shared" ref="AH256" si="2700">IF(Q255&gt;0,(Q256/Q255),)</f>
        <v>0</v>
      </c>
      <c r="AI256" s="517">
        <f>IF(S254&gt;0,(S256-S254)/S254,)</f>
        <v>-2.4054850039856478E-2</v>
      </c>
      <c r="AJ256" s="518">
        <f t="shared" ref="AJ256" si="2701">IF(T254&gt;0,(T256-T254)/T254,)</f>
        <v>-1.8643537553582182E-2</v>
      </c>
      <c r="AK256" s="518">
        <f t="shared" ref="AK256" si="2702">IF(U254&gt;0,(U256-U254)/U254,)</f>
        <v>0</v>
      </c>
      <c r="AL256" s="518">
        <f t="shared" ref="AL256" si="2703">IF(V254&gt;0,(V256-V254)/V254,)</f>
        <v>0</v>
      </c>
      <c r="AM256" s="518">
        <f t="shared" ref="AM256" si="2704">IF(W254&gt;0,(W256-W254)/W254,)</f>
        <v>0</v>
      </c>
      <c r="AN256" s="518">
        <f t="shared" ref="AN256" si="2705">IF(X254&gt;0,(X256-X254)/X254,)</f>
        <v>0</v>
      </c>
      <c r="AO256" s="525">
        <f t="shared" ref="AO256" si="2706">IF(Y254&gt;0,(Y256-Y254)/Y254,)</f>
        <v>8.8293894863467354E-3</v>
      </c>
      <c r="AP256" s="518">
        <f t="shared" ref="AP256" si="2707">IF(Z254&gt;0,(Z256-Z254)/Z254,)</f>
        <v>0</v>
      </c>
      <c r="AQ256" s="518">
        <f t="shared" ref="AQ256" si="2708">IF(AA254&gt;0,(AA256-AA254)/AA254,)</f>
        <v>0</v>
      </c>
      <c r="AR256" s="518">
        <f t="shared" ref="AR256" si="2709">IF(AB254&gt;0,(AB256-AB254)/AB254,)</f>
        <v>0</v>
      </c>
      <c r="AS256" s="518">
        <f t="shared" ref="AS256" si="2710">IF(AC254&gt;0,(AC256-AC254)/AC254,)</f>
        <v>0</v>
      </c>
      <c r="AT256" s="518">
        <f t="shared" ref="AT256" si="2711">IF(AD254&gt;0,(AD256-AD254)/AD254,)</f>
        <v>0</v>
      </c>
      <c r="AU256" s="525">
        <f t="shared" ref="AU256" si="2712">IF(AE254&gt;0,(AE256-AE254)/AE254,)</f>
        <v>0</v>
      </c>
      <c r="AV256" s="518">
        <f t="shared" ref="AV256" si="2713">IF(AF254&gt;0,(AF256-AF254)/AF254,)</f>
        <v>0</v>
      </c>
      <c r="AW256" s="518">
        <f t="shared" ref="AW256" si="2714">IF(AG254&gt;0,(AG256-AG254)/AG254,)</f>
        <v>0</v>
      </c>
      <c r="AX256" s="525">
        <f t="shared" ref="AX256" si="2715">IF(AH254&gt;0,(AH256-AH254)/AH254,)</f>
        <v>0</v>
      </c>
    </row>
    <row r="257" spans="1:50" x14ac:dyDescent="0.2">
      <c r="A257" s="696" t="s">
        <v>1107</v>
      </c>
      <c r="B257" s="697">
        <v>0</v>
      </c>
      <c r="C257" s="697">
        <v>0</v>
      </c>
      <c r="D257" s="697"/>
      <c r="E257" s="697">
        <v>0</v>
      </c>
      <c r="F257" s="697">
        <v>0</v>
      </c>
      <c r="G257" s="697"/>
      <c r="H257" s="697">
        <v>0</v>
      </c>
      <c r="I257" s="697"/>
      <c r="J257" s="697">
        <v>1173.9000000000001</v>
      </c>
      <c r="K257" s="697">
        <v>1199</v>
      </c>
      <c r="L257" s="697">
        <v>149</v>
      </c>
      <c r="M257" s="697"/>
      <c r="N257" s="697">
        <v>2521.9</v>
      </c>
      <c r="O257" s="697"/>
      <c r="P257" s="697"/>
      <c r="Q257" s="697"/>
      <c r="Y257" s="309"/>
      <c r="Z257" s="305"/>
      <c r="AE257" s="309"/>
      <c r="AF257" s="305"/>
      <c r="AH257" s="309"/>
      <c r="AI257" s="516"/>
      <c r="AO257" s="524"/>
      <c r="AU257" s="524"/>
      <c r="AX257" s="524"/>
    </row>
    <row r="258" spans="1:50" x14ac:dyDescent="0.2">
      <c r="A258" s="696" t="s">
        <v>1109</v>
      </c>
      <c r="B258" s="697">
        <v>0</v>
      </c>
      <c r="C258" s="697">
        <v>0</v>
      </c>
      <c r="D258" s="697"/>
      <c r="E258" s="697">
        <v>0</v>
      </c>
      <c r="F258" s="697">
        <v>0</v>
      </c>
      <c r="G258" s="697"/>
      <c r="H258" s="697">
        <v>0</v>
      </c>
      <c r="I258" s="697"/>
      <c r="J258" s="697">
        <v>58323181.406455979</v>
      </c>
      <c r="K258" s="697">
        <v>60545343.988208294</v>
      </c>
      <c r="L258" s="697">
        <v>6881889.1418532822</v>
      </c>
      <c r="M258" s="697"/>
      <c r="N258" s="697">
        <v>125750414.53651756</v>
      </c>
      <c r="O258" s="697"/>
      <c r="P258" s="697"/>
      <c r="Q258" s="697"/>
      <c r="R258" s="294"/>
      <c r="S258" s="296">
        <f>IF(B257&gt;0,(B258/B257),)</f>
        <v>0</v>
      </c>
      <c r="T258" s="296">
        <f t="shared" ref="T258" si="2716">IF(C257&gt;0,(C258/C257),)</f>
        <v>0</v>
      </c>
      <c r="U258" s="296">
        <f t="shared" ref="U258" si="2717">IF(D257&gt;0,(D258/D257),)</f>
        <v>0</v>
      </c>
      <c r="V258" s="296">
        <f t="shared" ref="V258" si="2718">IF(E257&gt;0,(E258/E257),)</f>
        <v>0</v>
      </c>
      <c r="W258" s="296">
        <f t="shared" ref="W258" si="2719">IF(F257&gt;0,(F258/F257),)</f>
        <v>0</v>
      </c>
      <c r="X258" s="296">
        <f t="shared" ref="X258" si="2720">IF(G257&gt;0,(G258/G257),)</f>
        <v>0</v>
      </c>
      <c r="Y258" s="311">
        <f t="shared" ref="Y258" si="2721">IF(H257&gt;0,(H258/H257),)</f>
        <v>0</v>
      </c>
      <c r="Z258" s="306">
        <f t="shared" ref="Z258" si="2722">IF(I257&gt;0,(I258/I257),)</f>
        <v>0</v>
      </c>
      <c r="AA258" s="296">
        <f t="shared" ref="AA258" si="2723">IF(J257&gt;0,(J258/J257),)</f>
        <v>49683.262123226828</v>
      </c>
      <c r="AB258" s="296">
        <f t="shared" ref="AB258" si="2724">IF(K257&gt;0,(K258/K257),)</f>
        <v>50496.533768313842</v>
      </c>
      <c r="AC258" s="296">
        <f t="shared" ref="AC258" si="2725">IF(L257&gt;0,(L258/L257),)</f>
        <v>46187.175448679744</v>
      </c>
      <c r="AD258" s="296">
        <f t="shared" ref="AD258" si="2726">IF(M257&gt;0,(M258/M257),)</f>
        <v>0</v>
      </c>
      <c r="AE258" s="311">
        <f t="shared" ref="AE258" si="2727">IF(N257&gt;0,(N258/N257),)</f>
        <v>49863.362756856957</v>
      </c>
      <c r="AF258" s="306">
        <f t="shared" ref="AF258" si="2728">IF(O257&gt;0,(O258/O257),)</f>
        <v>0</v>
      </c>
      <c r="AG258" s="296">
        <f t="shared" ref="AG258" si="2729">IF(P257&gt;0,(P258/P257),)</f>
        <v>0</v>
      </c>
      <c r="AH258" s="311">
        <f t="shared" ref="AH258" si="2730">IF(Q257&gt;0,(Q258/Q257),)</f>
        <v>0</v>
      </c>
      <c r="AI258" s="516"/>
      <c r="AO258" s="524"/>
      <c r="AU258" s="524"/>
      <c r="AX258" s="524"/>
    </row>
    <row r="259" spans="1:50" x14ac:dyDescent="0.2">
      <c r="A259" s="696" t="s">
        <v>1111</v>
      </c>
      <c r="B259" s="697">
        <v>0</v>
      </c>
      <c r="C259" s="697">
        <v>0</v>
      </c>
      <c r="D259" s="697"/>
      <c r="E259" s="697">
        <v>0</v>
      </c>
      <c r="F259" s="697">
        <v>0</v>
      </c>
      <c r="G259" s="697"/>
      <c r="H259" s="697">
        <v>0</v>
      </c>
      <c r="I259" s="697"/>
      <c r="J259" s="697">
        <v>1157</v>
      </c>
      <c r="K259" s="697">
        <v>1199.0999999999999</v>
      </c>
      <c r="L259" s="697">
        <v>149</v>
      </c>
      <c r="M259" s="697"/>
      <c r="N259" s="697">
        <v>2505.1</v>
      </c>
      <c r="O259" s="697"/>
      <c r="P259" s="697"/>
      <c r="Q259" s="697"/>
      <c r="Y259" s="309"/>
      <c r="Z259" s="305"/>
      <c r="AE259" s="309"/>
      <c r="AF259" s="305"/>
      <c r="AH259" s="309"/>
      <c r="AI259" s="516"/>
      <c r="AO259" s="524"/>
      <c r="AU259" s="524"/>
      <c r="AX259" s="524"/>
    </row>
    <row r="260" spans="1:50" x14ac:dyDescent="0.2">
      <c r="A260" s="696" t="s">
        <v>1113</v>
      </c>
      <c r="B260" s="697">
        <v>0</v>
      </c>
      <c r="C260" s="697">
        <v>0</v>
      </c>
      <c r="D260" s="697"/>
      <c r="E260" s="697">
        <v>0</v>
      </c>
      <c r="F260" s="697">
        <v>0</v>
      </c>
      <c r="G260" s="697"/>
      <c r="H260" s="697">
        <v>0</v>
      </c>
      <c r="I260" s="697"/>
      <c r="J260" s="697">
        <v>55956980.010363892</v>
      </c>
      <c r="K260" s="697">
        <v>58869901.268816561</v>
      </c>
      <c r="L260" s="697">
        <v>7072835.1647087988</v>
      </c>
      <c r="M260" s="697"/>
      <c r="N260" s="697">
        <v>121899716.44388925</v>
      </c>
      <c r="O260" s="697"/>
      <c r="P260" s="697"/>
      <c r="Q260" s="697"/>
      <c r="R260" s="294"/>
      <c r="S260" s="296">
        <f>IF(B259&gt;0,(B260/B259),)</f>
        <v>0</v>
      </c>
      <c r="T260" s="296">
        <f t="shared" ref="T260" si="2731">IF(C259&gt;0,(C260/C259),)</f>
        <v>0</v>
      </c>
      <c r="U260" s="296">
        <f t="shared" ref="U260" si="2732">IF(D259&gt;0,(D260/D259),)</f>
        <v>0</v>
      </c>
      <c r="V260" s="296">
        <f t="shared" ref="V260" si="2733">IF(E259&gt;0,(E260/E259),)</f>
        <v>0</v>
      </c>
      <c r="W260" s="296">
        <f t="shared" ref="W260" si="2734">IF(F259&gt;0,(F260/F259),)</f>
        <v>0</v>
      </c>
      <c r="X260" s="296">
        <f t="shared" ref="X260" si="2735">IF(G259&gt;0,(G260/G259),)</f>
        <v>0</v>
      </c>
      <c r="Y260" s="311">
        <f t="shared" ref="Y260" si="2736">IF(H259&gt;0,(H260/H259),)</f>
        <v>0</v>
      </c>
      <c r="Z260" s="306">
        <f t="shared" ref="Z260" si="2737">IF(I259&gt;0,(I260/I259),)</f>
        <v>0</v>
      </c>
      <c r="AA260" s="296">
        <f t="shared" ref="AA260" si="2738">IF(J259&gt;0,(J260/J259),)</f>
        <v>48363.854805846058</v>
      </c>
      <c r="AB260" s="296">
        <f t="shared" ref="AB260" si="2739">IF(K259&gt;0,(K260/K259),)</f>
        <v>49095.072361618353</v>
      </c>
      <c r="AC260" s="296">
        <f t="shared" ref="AC260" si="2740">IF(L259&gt;0,(L260/L259),)</f>
        <v>47468.692380595967</v>
      </c>
      <c r="AD260" s="296">
        <f t="shared" ref="AD260" si="2741">IF(M259&gt;0,(M260/M259),)</f>
        <v>0</v>
      </c>
      <c r="AE260" s="311">
        <f t="shared" ref="AE260" si="2742">IF(N259&gt;0,(N260/N259),)</f>
        <v>48660.618914969164</v>
      </c>
      <c r="AF260" s="306">
        <f t="shared" ref="AF260" si="2743">IF(O259&gt;0,(O260/O259),)</f>
        <v>0</v>
      </c>
      <c r="AG260" s="296">
        <f t="shared" ref="AG260" si="2744">IF(P259&gt;0,(P260/P259),)</f>
        <v>0</v>
      </c>
      <c r="AH260" s="311">
        <f t="shared" ref="AH260" si="2745">IF(Q259&gt;0,(Q260/Q259),)</f>
        <v>0</v>
      </c>
      <c r="AI260" s="517">
        <f>IF(S258&gt;0,(S260-S258)/S258,)</f>
        <v>0</v>
      </c>
      <c r="AJ260" s="518">
        <f t="shared" ref="AJ260" si="2746">IF(T258&gt;0,(T260-T258)/T258,)</f>
        <v>0</v>
      </c>
      <c r="AK260" s="518">
        <f t="shared" ref="AK260" si="2747">IF(U258&gt;0,(U260-U258)/U258,)</f>
        <v>0</v>
      </c>
      <c r="AL260" s="518">
        <f t="shared" ref="AL260" si="2748">IF(V258&gt;0,(V260-V258)/V258,)</f>
        <v>0</v>
      </c>
      <c r="AM260" s="518">
        <f t="shared" ref="AM260" si="2749">IF(W258&gt;0,(W260-W258)/W258,)</f>
        <v>0</v>
      </c>
      <c r="AN260" s="518">
        <f t="shared" ref="AN260" si="2750">IF(X258&gt;0,(X260-X258)/X258,)</f>
        <v>0</v>
      </c>
      <c r="AO260" s="525">
        <f t="shared" ref="AO260" si="2751">IF(Y258&gt;0,(Y260-Y258)/Y258,)</f>
        <v>0</v>
      </c>
      <c r="AP260" s="518">
        <f t="shared" ref="AP260" si="2752">IF(Z258&gt;0,(Z260-Z258)/Z258,)</f>
        <v>0</v>
      </c>
      <c r="AQ260" s="518">
        <f t="shared" ref="AQ260" si="2753">IF(AA258&gt;0,(AA260-AA258)/AA258,)</f>
        <v>-2.6556374541355846E-2</v>
      </c>
      <c r="AR260" s="518">
        <f t="shared" ref="AR260" si="2754">IF(AB258&gt;0,(AB260-AB258)/AB258,)</f>
        <v>-2.775361598333893E-2</v>
      </c>
      <c r="AS260" s="527">
        <f t="shared" ref="AS260" si="2755">IF(AC258&gt;0,(AC260-AC258)/AC258,)</f>
        <v>2.7746163723308074E-2</v>
      </c>
      <c r="AT260" s="518">
        <f t="shared" ref="AT260" si="2756">IF(AD258&gt;0,(AD260-AD258)/AD258,)</f>
        <v>0</v>
      </c>
      <c r="AU260" s="525">
        <f t="shared" ref="AU260" si="2757">IF(AE258&gt;0,(AE260-AE258)/AE258,)</f>
        <v>-2.4120792810396616E-2</v>
      </c>
      <c r="AV260" s="518">
        <f t="shared" ref="AV260" si="2758">IF(AF258&gt;0,(AF260-AF258)/AF258,)</f>
        <v>0</v>
      </c>
      <c r="AW260" s="518">
        <f t="shared" ref="AW260" si="2759">IF(AG258&gt;0,(AG260-AG258)/AG258,)</f>
        <v>0</v>
      </c>
      <c r="AX260" s="525">
        <f t="shared" ref="AX260" si="2760">IF(AH258&gt;0,(AH260-AH258)/AH258,)</f>
        <v>0</v>
      </c>
    </row>
    <row r="261" spans="1:50" x14ac:dyDescent="0.2">
      <c r="A261" s="696" t="s">
        <v>1115</v>
      </c>
      <c r="B261" s="697">
        <v>1579</v>
      </c>
      <c r="C261" s="697">
        <v>1142</v>
      </c>
      <c r="D261" s="697"/>
      <c r="E261" s="697">
        <v>477</v>
      </c>
      <c r="F261" s="697">
        <v>137</v>
      </c>
      <c r="G261" s="697"/>
      <c r="H261" s="697">
        <v>3335</v>
      </c>
      <c r="I261" s="697"/>
      <c r="J261" s="697">
        <v>1173.9000000000001</v>
      </c>
      <c r="K261" s="697">
        <v>1199</v>
      </c>
      <c r="L261" s="697">
        <v>149</v>
      </c>
      <c r="M261" s="697"/>
      <c r="N261" s="697">
        <v>2521.9</v>
      </c>
      <c r="O261" s="697"/>
      <c r="P261" s="697"/>
      <c r="Q261" s="697"/>
      <c r="Y261" s="309"/>
      <c r="Z261" s="305"/>
      <c r="AE261" s="309"/>
      <c r="AF261" s="305"/>
      <c r="AH261" s="309"/>
      <c r="AI261" s="516"/>
      <c r="AO261" s="524"/>
      <c r="AU261" s="524"/>
      <c r="AX261" s="524"/>
    </row>
    <row r="262" spans="1:50" x14ac:dyDescent="0.2">
      <c r="A262" s="696" t="s">
        <v>1117</v>
      </c>
      <c r="B262" s="697">
        <v>104855039.35645655</v>
      </c>
      <c r="C262" s="697">
        <v>78949398.088991314</v>
      </c>
      <c r="D262" s="697"/>
      <c r="E262" s="697">
        <v>25463344.851102933</v>
      </c>
      <c r="F262" s="697">
        <v>6826489.1648360891</v>
      </c>
      <c r="G262" s="697"/>
      <c r="H262" s="697">
        <v>216094271.46138689</v>
      </c>
      <c r="I262" s="697"/>
      <c r="J262" s="697">
        <v>58323181.406455979</v>
      </c>
      <c r="K262" s="697">
        <v>60545343.988208294</v>
      </c>
      <c r="L262" s="697">
        <v>6881889.1418532822</v>
      </c>
      <c r="M262" s="697"/>
      <c r="N262" s="697">
        <v>125750414.53651756</v>
      </c>
      <c r="O262" s="697"/>
      <c r="P262" s="697"/>
      <c r="Q262" s="697"/>
      <c r="R262" s="294"/>
      <c r="S262" s="296">
        <f>IF(B261&gt;0,(B262/B261),)</f>
        <v>66405.978059820482</v>
      </c>
      <c r="T262" s="296">
        <f t="shared" ref="T262" si="2761">IF(C261&gt;0,(C262/C261),)</f>
        <v>69132.572757435482</v>
      </c>
      <c r="U262" s="296">
        <f t="shared" ref="U262" si="2762">IF(D261&gt;0,(D262/D261),)</f>
        <v>0</v>
      </c>
      <c r="V262" s="296">
        <f t="shared" ref="V262" si="2763">IF(E261&gt;0,(E262/E261),)</f>
        <v>53382.274320970508</v>
      </c>
      <c r="W262" s="296">
        <f t="shared" ref="W262" si="2764">IF(F261&gt;0,(F262/F261),)</f>
        <v>49828.388064496998</v>
      </c>
      <c r="X262" s="296">
        <f t="shared" ref="X262" si="2765">IF(G261&gt;0,(G262/G261),)</f>
        <v>0</v>
      </c>
      <c r="Y262" s="311">
        <f t="shared" ref="Y262" si="2766">IF(H261&gt;0,(H262/H261),)</f>
        <v>64795.883496667731</v>
      </c>
      <c r="Z262" s="306">
        <f t="shared" ref="Z262" si="2767">IF(I261&gt;0,(I262/I261),)</f>
        <v>0</v>
      </c>
      <c r="AA262" s="296">
        <f t="shared" ref="AA262" si="2768">IF(J261&gt;0,(J262/J261),)</f>
        <v>49683.262123226828</v>
      </c>
      <c r="AB262" s="296">
        <f t="shared" ref="AB262" si="2769">IF(K261&gt;0,(K262/K261),)</f>
        <v>50496.533768313842</v>
      </c>
      <c r="AC262" s="296">
        <f t="shared" ref="AC262" si="2770">IF(L261&gt;0,(L262/L261),)</f>
        <v>46187.175448679744</v>
      </c>
      <c r="AD262" s="296">
        <f t="shared" ref="AD262" si="2771">IF(M261&gt;0,(M262/M261),)</f>
        <v>0</v>
      </c>
      <c r="AE262" s="311">
        <f t="shared" ref="AE262" si="2772">IF(N261&gt;0,(N262/N261),)</f>
        <v>49863.362756856957</v>
      </c>
      <c r="AF262" s="306">
        <f t="shared" ref="AF262" si="2773">IF(O261&gt;0,(O262/O261),)</f>
        <v>0</v>
      </c>
      <c r="AG262" s="296">
        <f t="shared" ref="AG262" si="2774">IF(P261&gt;0,(P262/P261),)</f>
        <v>0</v>
      </c>
      <c r="AH262" s="311">
        <f t="shared" ref="AH262" si="2775">IF(Q261&gt;0,(Q262/Q261),)</f>
        <v>0</v>
      </c>
      <c r="AI262" s="516"/>
      <c r="AO262" s="524"/>
      <c r="AU262" s="524"/>
      <c r="AX262" s="524"/>
    </row>
    <row r="263" spans="1:50" x14ac:dyDescent="0.2">
      <c r="A263" s="696" t="s">
        <v>1119</v>
      </c>
      <c r="B263" s="697">
        <v>1618</v>
      </c>
      <c r="C263" s="697">
        <v>1175</v>
      </c>
      <c r="D263" s="697"/>
      <c r="E263" s="697">
        <v>485</v>
      </c>
      <c r="F263" s="697">
        <v>130</v>
      </c>
      <c r="G263" s="697"/>
      <c r="H263" s="697">
        <v>3408</v>
      </c>
      <c r="I263" s="697"/>
      <c r="J263" s="697">
        <v>1157</v>
      </c>
      <c r="K263" s="697">
        <v>1199.0999999999999</v>
      </c>
      <c r="L263" s="697">
        <v>149</v>
      </c>
      <c r="M263" s="697"/>
      <c r="N263" s="697">
        <v>2505.1</v>
      </c>
      <c r="O263" s="697"/>
      <c r="P263" s="697"/>
      <c r="Q263" s="697"/>
      <c r="Y263" s="309"/>
      <c r="Z263" s="305"/>
      <c r="AE263" s="309"/>
      <c r="AF263" s="305"/>
      <c r="AH263" s="309"/>
      <c r="AI263" s="516"/>
      <c r="AO263" s="524"/>
      <c r="AU263" s="524"/>
      <c r="AX263" s="524"/>
    </row>
    <row r="264" spans="1:50" ht="13.5" thickBot="1" x14ac:dyDescent="0.25">
      <c r="A264" s="701" t="s">
        <v>1121</v>
      </c>
      <c r="B264" s="702">
        <v>106616507.78621882</v>
      </c>
      <c r="C264" s="702">
        <v>80581956.90025571</v>
      </c>
      <c r="D264" s="702"/>
      <c r="E264" s="702">
        <v>25524632.149557717</v>
      </c>
      <c r="F264" s="702">
        <v>6645541.3637471749</v>
      </c>
      <c r="G264" s="702"/>
      <c r="H264" s="702">
        <v>219368638.19977942</v>
      </c>
      <c r="I264" s="702"/>
      <c r="J264" s="702">
        <v>55956980.010363892</v>
      </c>
      <c r="K264" s="702">
        <v>58869901.268816561</v>
      </c>
      <c r="L264" s="702">
        <v>7072835.1647087988</v>
      </c>
      <c r="M264" s="702"/>
      <c r="N264" s="702">
        <v>121899716.44388925</v>
      </c>
      <c r="O264" s="702"/>
      <c r="P264" s="702"/>
      <c r="Q264" s="702"/>
      <c r="S264" s="302">
        <f>IF(B263&gt;0,(B264/B263),)</f>
        <v>65894.009756624742</v>
      </c>
      <c r="T264" s="302">
        <f t="shared" ref="T264" si="2776">IF(C263&gt;0,(C264/C263),)</f>
        <v>68580.388851281459</v>
      </c>
      <c r="U264" s="302">
        <f t="shared" ref="U264" si="2777">IF(D263&gt;0,(D264/D263),)</f>
        <v>0</v>
      </c>
      <c r="V264" s="302">
        <f t="shared" ref="V264" si="2778">IF(E263&gt;0,(E264/E263),)</f>
        <v>52628.107524861276</v>
      </c>
      <c r="W264" s="302">
        <f t="shared" ref="W264" si="2779">IF(F263&gt;0,(F264/F263),)</f>
        <v>51119.548951901343</v>
      </c>
      <c r="X264" s="302">
        <f t="shared" ref="X264" si="2780">IF(G263&gt;0,(G264/G263),)</f>
        <v>0</v>
      </c>
      <c r="Y264" s="312">
        <f t="shared" ref="Y264" si="2781">IF(H263&gt;0,(H264/H263),)</f>
        <v>64368.731866132461</v>
      </c>
      <c r="Z264" s="307">
        <f t="shared" ref="Z264" si="2782">IF(I263&gt;0,(I264/I263),)</f>
        <v>0</v>
      </c>
      <c r="AA264" s="302">
        <f t="shared" ref="AA264" si="2783">IF(J263&gt;0,(J264/J263),)</f>
        <v>48363.854805846058</v>
      </c>
      <c r="AB264" s="302">
        <f t="shared" ref="AB264" si="2784">IF(K263&gt;0,(K264/K263),)</f>
        <v>49095.072361618353</v>
      </c>
      <c r="AC264" s="302">
        <f t="shared" ref="AC264" si="2785">IF(L263&gt;0,(L264/L263),)</f>
        <v>47468.692380595967</v>
      </c>
      <c r="AD264" s="302">
        <f t="shared" ref="AD264" si="2786">IF(M263&gt;0,(M264/M263),)</f>
        <v>0</v>
      </c>
      <c r="AE264" s="312">
        <f t="shared" ref="AE264" si="2787">IF(N263&gt;0,(N264/N263),)</f>
        <v>48660.618914969164</v>
      </c>
      <c r="AF264" s="307">
        <f t="shared" ref="AF264" si="2788">IF(O263&gt;0,(O264/O263),)</f>
        <v>0</v>
      </c>
      <c r="AG264" s="302">
        <f t="shared" ref="AG264" si="2789">IF(P263&gt;0,(P264/P263),)</f>
        <v>0</v>
      </c>
      <c r="AH264" s="312">
        <f t="shared" ref="AH264" si="2790">IF(Q263&gt;0,(Q264/Q263),)</f>
        <v>0</v>
      </c>
      <c r="AI264" s="519">
        <f>IF(S262&gt;0,(S264-S262)/S262,)</f>
        <v>-7.7096719023480535E-3</v>
      </c>
      <c r="AJ264" s="520">
        <f t="shared" ref="AJ264" si="2791">IF(T262&gt;0,(T264-T262)/T262,)</f>
        <v>-7.9873189168217888E-3</v>
      </c>
      <c r="AK264" s="520">
        <f t="shared" ref="AK264" si="2792">IF(U262&gt;0,(U264-U262)/U262,)</f>
        <v>0</v>
      </c>
      <c r="AL264" s="520">
        <f t="shared" ref="AL264" si="2793">IF(V262&gt;0,(V264-V262)/V262,)</f>
        <v>-1.4127663268422555E-2</v>
      </c>
      <c r="AM264" s="520">
        <f t="shared" ref="AM264" si="2794">IF(W262&gt;0,(W264-W262)/W262,)</f>
        <v>2.5912154447643155E-2</v>
      </c>
      <c r="AN264" s="520">
        <f t="shared" ref="AN264" si="2795">IF(X262&gt;0,(X264-X262)/X262,)</f>
        <v>0</v>
      </c>
      <c r="AO264" s="526">
        <f t="shared" ref="AO264" si="2796">IF(Y262&gt;0,(Y264-Y262)/Y262,)</f>
        <v>-6.5922649323430843E-3</v>
      </c>
      <c r="AP264" s="520">
        <f t="shared" ref="AP264" si="2797">IF(Z262&gt;0,(Z264-Z262)/Z262,)</f>
        <v>0</v>
      </c>
      <c r="AQ264" s="520">
        <f t="shared" ref="AQ264" si="2798">IF(AA262&gt;0,(AA264-AA262)/AA262,)</f>
        <v>-2.6556374541355846E-2</v>
      </c>
      <c r="AR264" s="520">
        <f t="shared" ref="AR264" si="2799">IF(AB262&gt;0,(AB264-AB262)/AB262,)</f>
        <v>-2.775361598333893E-2</v>
      </c>
      <c r="AS264" s="520">
        <f t="shared" ref="AS264" si="2800">IF(AC262&gt;0,(AC264-AC262)/AC262,)</f>
        <v>2.7746163723308074E-2</v>
      </c>
      <c r="AT264" s="520">
        <f t="shared" ref="AT264" si="2801">IF(AD262&gt;0,(AD264-AD262)/AD262,)</f>
        <v>0</v>
      </c>
      <c r="AU264" s="526">
        <f t="shared" ref="AU264" si="2802">IF(AE262&gt;0,(AE264-AE262)/AE262,)</f>
        <v>-2.4120792810396616E-2</v>
      </c>
      <c r="AV264" s="520">
        <f t="shared" ref="AV264" si="2803">IF(AF262&gt;0,(AF264-AF262)/AF262,)</f>
        <v>0</v>
      </c>
      <c r="AW264" s="520">
        <f t="shared" ref="AW264" si="2804">IF(AG262&gt;0,(AG264-AG262)/AG262,)</f>
        <v>0</v>
      </c>
      <c r="AX264" s="526">
        <f t="shared" ref="AX264" si="2805">IF(AH262&gt;0,(AH264-AH262)/AH262,)</f>
        <v>0</v>
      </c>
    </row>
    <row r="265" spans="1:50" x14ac:dyDescent="0.2">
      <c r="A265" s="695" t="s">
        <v>40</v>
      </c>
      <c r="B265" s="697"/>
      <c r="C265" s="697"/>
      <c r="D265" s="697"/>
      <c r="E265" s="697"/>
      <c r="F265" s="697"/>
      <c r="G265" s="697"/>
      <c r="H265" s="697"/>
      <c r="I265" s="697"/>
      <c r="J265" s="697"/>
      <c r="K265" s="697"/>
      <c r="L265" s="697"/>
      <c r="M265" s="697"/>
      <c r="N265" s="697"/>
      <c r="O265" s="697"/>
      <c r="P265" s="697"/>
      <c r="Q265" s="697"/>
      <c r="Y265" s="309"/>
      <c r="Z265" s="305"/>
      <c r="AE265" s="309"/>
      <c r="AF265" s="305"/>
      <c r="AH265" s="309"/>
      <c r="AI265" s="516"/>
      <c r="AO265" s="524"/>
      <c r="AU265" s="524"/>
      <c r="AX265" s="524"/>
    </row>
    <row r="266" spans="1:50" x14ac:dyDescent="0.2">
      <c r="A266" s="696" t="s">
        <v>1067</v>
      </c>
      <c r="B266" s="697">
        <v>1468</v>
      </c>
      <c r="C266" s="697">
        <v>440</v>
      </c>
      <c r="D266" s="697">
        <v>686</v>
      </c>
      <c r="E266" s="697">
        <v>50</v>
      </c>
      <c r="F266" s="697">
        <v>99</v>
      </c>
      <c r="G266" s="697">
        <v>112</v>
      </c>
      <c r="H266" s="697">
        <v>2855</v>
      </c>
      <c r="I266" s="697"/>
      <c r="J266" s="697">
        <v>0</v>
      </c>
      <c r="K266" s="697">
        <v>0</v>
      </c>
      <c r="L266" s="697">
        <v>0</v>
      </c>
      <c r="M266" s="697"/>
      <c r="N266" s="697">
        <v>0</v>
      </c>
      <c r="O266" s="697"/>
      <c r="P266" s="697"/>
      <c r="Q266" s="697"/>
      <c r="S266" s="295"/>
      <c r="T266" s="295"/>
      <c r="U266" s="295"/>
      <c r="V266" s="295"/>
      <c r="W266" s="295"/>
      <c r="X266" s="295"/>
      <c r="Y266" s="310"/>
      <c r="Z266" s="305"/>
      <c r="AA266" s="295"/>
      <c r="AB266" s="295"/>
      <c r="AC266" s="295"/>
      <c r="AD266" s="295"/>
      <c r="AE266" s="310"/>
      <c r="AF266" s="305"/>
      <c r="AG266" s="295"/>
      <c r="AH266" s="310"/>
      <c r="AI266" s="516"/>
      <c r="AO266" s="524"/>
      <c r="AU266" s="524"/>
      <c r="AX266" s="524"/>
    </row>
    <row r="267" spans="1:50" x14ac:dyDescent="0.2">
      <c r="A267" s="696" t="s">
        <v>1069</v>
      </c>
      <c r="B267" s="697">
        <v>186194049.22965872</v>
      </c>
      <c r="C267" s="697">
        <v>45806100.672766462</v>
      </c>
      <c r="D267" s="697">
        <v>62669221.058708951</v>
      </c>
      <c r="E267" s="697">
        <v>4372786.7088607596</v>
      </c>
      <c r="F267" s="697">
        <v>8323035.5884348769</v>
      </c>
      <c r="G267" s="697">
        <v>9076211.4773218147</v>
      </c>
      <c r="H267" s="697">
        <v>316441404.73575157</v>
      </c>
      <c r="I267" s="697"/>
      <c r="J267" s="697">
        <v>0</v>
      </c>
      <c r="K267" s="697">
        <v>0</v>
      </c>
      <c r="L267" s="697">
        <v>0</v>
      </c>
      <c r="M267" s="697"/>
      <c r="N267" s="697">
        <v>0</v>
      </c>
      <c r="O267" s="697"/>
      <c r="P267" s="697"/>
      <c r="Q267" s="697"/>
      <c r="S267" s="296">
        <f>IF(B266&gt;0,(B267/B266),)</f>
        <v>126835.18339895009</v>
      </c>
      <c r="T267" s="296">
        <f t="shared" ref="T267" si="2806">IF(C266&gt;0,(C267/C266),)</f>
        <v>104104.77425628742</v>
      </c>
      <c r="U267" s="296">
        <f t="shared" ref="U267" si="2807">IF(D266&gt;0,(D267/D266),)</f>
        <v>91354.549648263783</v>
      </c>
      <c r="V267" s="296">
        <f t="shared" ref="V267" si="2808">IF(E266&gt;0,(E267/E266),)</f>
        <v>87455.734177215199</v>
      </c>
      <c r="W267" s="296">
        <f t="shared" ref="W267" si="2809">IF(F266&gt;0,(F267/F266),)</f>
        <v>84071.066549847237</v>
      </c>
      <c r="X267" s="296">
        <f t="shared" ref="X267" si="2810">IF(G266&gt;0,(G267/G266),)</f>
        <v>81037.602476087632</v>
      </c>
      <c r="Y267" s="311">
        <f t="shared" ref="Y267" si="2811">IF(H266&gt;0,(H267/H266),)</f>
        <v>110837.61987241736</v>
      </c>
      <c r="Z267" s="306">
        <f t="shared" ref="Z267" si="2812">IF(I266&gt;0,(I267/I266),)</f>
        <v>0</v>
      </c>
      <c r="AA267" s="296">
        <f t="shared" ref="AA267" si="2813">IF(J266&gt;0,(J267/J266),)</f>
        <v>0</v>
      </c>
      <c r="AB267" s="296">
        <f t="shared" ref="AB267" si="2814">IF(K266&gt;0,(K267/K266),)</f>
        <v>0</v>
      </c>
      <c r="AC267" s="296">
        <f t="shared" ref="AC267" si="2815">IF(L266&gt;0,(L267/L266),)</f>
        <v>0</v>
      </c>
      <c r="AD267" s="296">
        <f t="shared" ref="AD267" si="2816">IF(M266&gt;0,(M267/M266),)</f>
        <v>0</v>
      </c>
      <c r="AE267" s="311">
        <f t="shared" ref="AE267" si="2817">IF(N266&gt;0,(N267/N266),)</f>
        <v>0</v>
      </c>
      <c r="AF267" s="306">
        <f t="shared" ref="AF267" si="2818">IF(O266&gt;0,(O267/O266),)</f>
        <v>0</v>
      </c>
      <c r="AG267" s="296">
        <f t="shared" ref="AG267" si="2819">IF(P266&gt;0,(P267/P266),)</f>
        <v>0</v>
      </c>
      <c r="AH267" s="311">
        <f t="shared" ref="AH267" si="2820">IF(Q266&gt;0,(Q267/Q266),)</f>
        <v>0</v>
      </c>
      <c r="AI267" s="516"/>
      <c r="AO267" s="524"/>
      <c r="AU267" s="524"/>
      <c r="AX267" s="524"/>
    </row>
    <row r="268" spans="1:50" x14ac:dyDescent="0.2">
      <c r="A268" s="696" t="s">
        <v>1071</v>
      </c>
      <c r="B268" s="697">
        <v>1206</v>
      </c>
      <c r="C268" s="697">
        <v>405</v>
      </c>
      <c r="D268" s="697">
        <v>663</v>
      </c>
      <c r="E268" s="697">
        <v>56</v>
      </c>
      <c r="F268" s="697">
        <v>118</v>
      </c>
      <c r="G268" s="697">
        <v>110</v>
      </c>
      <c r="H268" s="697">
        <v>2558</v>
      </c>
      <c r="I268" s="697"/>
      <c r="J268" s="697">
        <v>0</v>
      </c>
      <c r="K268" s="697">
        <v>0</v>
      </c>
      <c r="L268" s="697">
        <v>0</v>
      </c>
      <c r="M268" s="697"/>
      <c r="N268" s="697">
        <v>0</v>
      </c>
      <c r="O268" s="697"/>
      <c r="P268" s="697"/>
      <c r="Q268" s="697"/>
      <c r="Y268" s="309"/>
      <c r="Z268" s="305"/>
      <c r="AE268" s="309"/>
      <c r="AF268" s="305"/>
      <c r="AH268" s="309"/>
      <c r="AI268" s="516"/>
      <c r="AO268" s="524"/>
      <c r="AU268" s="524"/>
      <c r="AX268" s="524"/>
    </row>
    <row r="269" spans="1:50" x14ac:dyDescent="0.2">
      <c r="A269" s="696" t="s">
        <v>1073</v>
      </c>
      <c r="B269" s="697">
        <v>153995974.35082844</v>
      </c>
      <c r="C269" s="697">
        <v>41593380.414673671</v>
      </c>
      <c r="D269" s="697">
        <v>60607076.257636286</v>
      </c>
      <c r="E269" s="697">
        <v>4592192.5981866671</v>
      </c>
      <c r="F269" s="697">
        <v>9547797.7012518495</v>
      </c>
      <c r="G269" s="697">
        <v>9039740.9522368424</v>
      </c>
      <c r="H269" s="697">
        <v>279376162.27481371</v>
      </c>
      <c r="I269" s="697"/>
      <c r="J269" s="697">
        <v>0</v>
      </c>
      <c r="K269" s="697">
        <v>0</v>
      </c>
      <c r="L269" s="697">
        <v>0</v>
      </c>
      <c r="M269" s="697"/>
      <c r="N269" s="697">
        <v>0</v>
      </c>
      <c r="O269" s="697"/>
      <c r="P269" s="697"/>
      <c r="Q269" s="697"/>
      <c r="R269" s="294"/>
      <c r="S269" s="296">
        <f>IF(B268&gt;0,(B269/B268),)</f>
        <v>127691.52102058743</v>
      </c>
      <c r="T269" s="296">
        <f t="shared" ref="T269" si="2821">IF(C268&gt;0,(C269/C268),)</f>
        <v>102699.70472758931</v>
      </c>
      <c r="U269" s="296">
        <f t="shared" ref="U269" si="2822">IF(D268&gt;0,(D269/D268),)</f>
        <v>91413.388020567552</v>
      </c>
      <c r="V269" s="296">
        <f t="shared" ref="V269" si="2823">IF(E268&gt;0,(E269/E268),)</f>
        <v>82003.439253333345</v>
      </c>
      <c r="W269" s="296">
        <f t="shared" ref="W269" si="2824">IF(F268&gt;0,(F269/F268),)</f>
        <v>80913.539841117366</v>
      </c>
      <c r="X269" s="296">
        <f t="shared" ref="X269" si="2825">IF(G268&gt;0,(G269/G268),)</f>
        <v>82179.463202153114</v>
      </c>
      <c r="Y269" s="311">
        <f t="shared" ref="Y269" si="2826">IF(H268&gt;0,(H269/H268),)</f>
        <v>109216.63888773015</v>
      </c>
      <c r="Z269" s="306">
        <f t="shared" ref="Z269" si="2827">IF(I268&gt;0,(I269/I268),)</f>
        <v>0</v>
      </c>
      <c r="AA269" s="296">
        <f t="shared" ref="AA269" si="2828">IF(J268&gt;0,(J269/J268),)</f>
        <v>0</v>
      </c>
      <c r="AB269" s="296">
        <f t="shared" ref="AB269" si="2829">IF(K268&gt;0,(K269/K268),)</f>
        <v>0</v>
      </c>
      <c r="AC269" s="296">
        <f t="shared" ref="AC269" si="2830">IF(L268&gt;0,(L269/L268),)</f>
        <v>0</v>
      </c>
      <c r="AD269" s="296">
        <f t="shared" ref="AD269" si="2831">IF(M268&gt;0,(M269/M268),)</f>
        <v>0</v>
      </c>
      <c r="AE269" s="311">
        <f t="shared" ref="AE269" si="2832">IF(N268&gt;0,(N269/N268),)</f>
        <v>0</v>
      </c>
      <c r="AF269" s="306">
        <f t="shared" ref="AF269" si="2833">IF(O268&gt;0,(O269/O268),)</f>
        <v>0</v>
      </c>
      <c r="AG269" s="296">
        <f t="shared" ref="AG269" si="2834">IF(P268&gt;0,(P269/P268),)</f>
        <v>0</v>
      </c>
      <c r="AH269" s="311">
        <f t="shared" ref="AH269" si="2835">IF(Q268&gt;0,(Q269/Q268),)</f>
        <v>0</v>
      </c>
      <c r="AI269" s="517">
        <f>IF(S267&gt;0,(S269-S267)/S267,)</f>
        <v>6.7515779036152841E-3</v>
      </c>
      <c r="AJ269" s="518">
        <f t="shared" ref="AJ269" si="2836">IF(T267&gt;0,(T269-T267)/T267,)</f>
        <v>-1.3496686763270581E-2</v>
      </c>
      <c r="AK269" s="518">
        <f t="shared" ref="AK269" si="2837">IF(U267&gt;0,(U269-U267)/U267,)</f>
        <v>6.4406614153658421E-4</v>
      </c>
      <c r="AL269" s="518">
        <f t="shared" ref="AL269" si="2838">IF(V267&gt;0,(V269-V267)/V267,)</f>
        <v>-6.2343481249996051E-2</v>
      </c>
      <c r="AM269" s="518">
        <f t="shared" ref="AM269" si="2839">IF(W267&gt;0,(W269-W267)/W267,)</f>
        <v>-3.7557828612269556E-2</v>
      </c>
      <c r="AN269" s="518">
        <f t="shared" ref="AN269" si="2840">IF(X267&gt;0,(X269-X267)/X267,)</f>
        <v>1.4090504792542695E-2</v>
      </c>
      <c r="AO269" s="525">
        <f t="shared" ref="AO269" si="2841">IF(Y267&gt;0,(Y269-Y267)/Y267,)</f>
        <v>-1.4624826719962795E-2</v>
      </c>
      <c r="AP269" s="518">
        <f t="shared" ref="AP269" si="2842">IF(Z267&gt;0,(Z269-Z267)/Z267,)</f>
        <v>0</v>
      </c>
      <c r="AQ269" s="518">
        <f t="shared" ref="AQ269" si="2843">IF(AA267&gt;0,(AA269-AA267)/AA267,)</f>
        <v>0</v>
      </c>
      <c r="AR269" s="518">
        <f t="shared" ref="AR269" si="2844">IF(AB267&gt;0,(AB269-AB267)/AB267,)</f>
        <v>0</v>
      </c>
      <c r="AS269" s="518">
        <f t="shared" ref="AS269" si="2845">IF(AC267&gt;0,(AC269-AC267)/AC267,)</f>
        <v>0</v>
      </c>
      <c r="AT269" s="518">
        <f t="shared" ref="AT269" si="2846">IF(AD267&gt;0,(AD269-AD267)/AD267,)</f>
        <v>0</v>
      </c>
      <c r="AU269" s="525">
        <f t="shared" ref="AU269" si="2847">IF(AE267&gt;0,(AE269-AE267)/AE267,)</f>
        <v>0</v>
      </c>
      <c r="AV269" s="518">
        <f t="shared" ref="AV269" si="2848">IF(AF267&gt;0,(AF269-AF267)/AF267,)</f>
        <v>0</v>
      </c>
      <c r="AW269" s="518">
        <f t="shared" ref="AW269" si="2849">IF(AG267&gt;0,(AG269-AG267)/AG267,)</f>
        <v>0</v>
      </c>
      <c r="AX269" s="525">
        <f t="shared" ref="AX269" si="2850">IF(AH267&gt;0,(AH269-AH267)/AH267,)</f>
        <v>0</v>
      </c>
    </row>
    <row r="270" spans="1:50" x14ac:dyDescent="0.2">
      <c r="A270" s="696" t="s">
        <v>1075</v>
      </c>
      <c r="B270" s="697">
        <v>1060</v>
      </c>
      <c r="C270" s="697">
        <v>703</v>
      </c>
      <c r="D270" s="697">
        <v>842</v>
      </c>
      <c r="E270" s="697">
        <v>89</v>
      </c>
      <c r="F270" s="697">
        <v>188</v>
      </c>
      <c r="G270" s="697">
        <v>100</v>
      </c>
      <c r="H270" s="697">
        <v>2982</v>
      </c>
      <c r="I270" s="697"/>
      <c r="J270" s="697">
        <v>0</v>
      </c>
      <c r="K270" s="697">
        <v>0</v>
      </c>
      <c r="L270" s="697">
        <v>0</v>
      </c>
      <c r="M270" s="697"/>
      <c r="N270" s="697">
        <v>0</v>
      </c>
      <c r="O270" s="697"/>
      <c r="P270" s="697"/>
      <c r="Q270" s="697"/>
      <c r="Y270" s="309"/>
      <c r="Z270" s="305"/>
      <c r="AE270" s="309"/>
      <c r="AF270" s="305"/>
      <c r="AH270" s="309"/>
      <c r="AI270" s="516"/>
      <c r="AO270" s="524"/>
      <c r="AU270" s="524"/>
      <c r="AX270" s="524"/>
    </row>
    <row r="271" spans="1:50" x14ac:dyDescent="0.2">
      <c r="A271" s="698" t="s">
        <v>1077</v>
      </c>
      <c r="B271" s="699">
        <v>90678908.546296686</v>
      </c>
      <c r="C271" s="699">
        <v>54073950.523572832</v>
      </c>
      <c r="D271" s="699">
        <v>61506009.352826163</v>
      </c>
      <c r="E271" s="699">
        <v>6603752.8310893504</v>
      </c>
      <c r="F271" s="699">
        <v>13472939.759999998</v>
      </c>
      <c r="G271" s="699">
        <v>6723045.487012987</v>
      </c>
      <c r="H271" s="699">
        <v>233058606.50079802</v>
      </c>
      <c r="I271" s="699"/>
      <c r="J271" s="699">
        <v>0</v>
      </c>
      <c r="K271" s="699">
        <v>0</v>
      </c>
      <c r="L271" s="699">
        <v>0</v>
      </c>
      <c r="M271" s="699"/>
      <c r="N271" s="699">
        <v>0</v>
      </c>
      <c r="O271" s="699"/>
      <c r="P271" s="699"/>
      <c r="Q271" s="699"/>
      <c r="S271" s="296">
        <f>IF(B270&gt;0,(B271/B270),)</f>
        <v>85546.140138015748</v>
      </c>
      <c r="T271" s="296">
        <f t="shared" ref="T271" si="2851">IF(C270&gt;0,(C271/C270),)</f>
        <v>76918.848539932907</v>
      </c>
      <c r="U271" s="296">
        <f t="shared" ref="U271" si="2852">IF(D270&gt;0,(D271/D270),)</f>
        <v>73047.51704611184</v>
      </c>
      <c r="V271" s="296">
        <f t="shared" ref="V271" si="2853">IF(E270&gt;0,(E271/E270),)</f>
        <v>74199.470012239894</v>
      </c>
      <c r="W271" s="296">
        <f t="shared" ref="W271" si="2854">IF(F270&gt;0,(F271/F270),)</f>
        <v>71664.573191489355</v>
      </c>
      <c r="X271" s="296">
        <f t="shared" ref="X271" si="2855">IF(G270&gt;0,(G271/G270),)</f>
        <v>67230.454870129877</v>
      </c>
      <c r="Y271" s="311">
        <f t="shared" ref="Y271" si="2856">IF(H270&gt;0,(H271/H270),)</f>
        <v>78155.132964720993</v>
      </c>
      <c r="Z271" s="306">
        <f t="shared" ref="Z271" si="2857">IF(I270&gt;0,(I271/I270),)</f>
        <v>0</v>
      </c>
      <c r="AA271" s="296">
        <f t="shared" ref="AA271" si="2858">IF(J270&gt;0,(J271/J270),)</f>
        <v>0</v>
      </c>
      <c r="AB271" s="296">
        <f t="shared" ref="AB271" si="2859">IF(K270&gt;0,(K271/K270),)</f>
        <v>0</v>
      </c>
      <c r="AC271" s="296">
        <f t="shared" ref="AC271" si="2860">IF(L270&gt;0,(L271/L270),)</f>
        <v>0</v>
      </c>
      <c r="AD271" s="296">
        <f t="shared" ref="AD271" si="2861">IF(M270&gt;0,(M271/M270),)</f>
        <v>0</v>
      </c>
      <c r="AE271" s="311">
        <f t="shared" ref="AE271" si="2862">IF(N270&gt;0,(N271/N270),)</f>
        <v>0</v>
      </c>
      <c r="AF271" s="306">
        <f t="shared" ref="AF271" si="2863">IF(O270&gt;0,(O271/O270),)</f>
        <v>0</v>
      </c>
      <c r="AG271" s="296">
        <f t="shared" ref="AG271" si="2864">IF(P270&gt;0,(P271/P270),)</f>
        <v>0</v>
      </c>
      <c r="AH271" s="311">
        <f t="shared" ref="AH271" si="2865">IF(Q270&gt;0,(Q271/Q270),)</f>
        <v>0</v>
      </c>
      <c r="AI271" s="516"/>
      <c r="AO271" s="524"/>
      <c r="AU271" s="524"/>
      <c r="AX271" s="524"/>
    </row>
    <row r="272" spans="1:50" x14ac:dyDescent="0.2">
      <c r="A272" s="696" t="s">
        <v>1079</v>
      </c>
      <c r="B272" s="697">
        <v>957</v>
      </c>
      <c r="C272" s="697">
        <v>716</v>
      </c>
      <c r="D272" s="697">
        <v>835</v>
      </c>
      <c r="E272" s="697">
        <v>100</v>
      </c>
      <c r="F272" s="697">
        <v>175</v>
      </c>
      <c r="G272" s="697">
        <v>102</v>
      </c>
      <c r="H272" s="697">
        <v>2885</v>
      </c>
      <c r="I272" s="697"/>
      <c r="J272" s="697">
        <v>0</v>
      </c>
      <c r="K272" s="697">
        <v>0</v>
      </c>
      <c r="L272" s="697">
        <v>0</v>
      </c>
      <c r="M272" s="697"/>
      <c r="N272" s="697">
        <v>0</v>
      </c>
      <c r="O272" s="697"/>
      <c r="P272" s="697"/>
      <c r="Q272" s="697"/>
      <c r="Y272" s="309"/>
      <c r="Z272" s="305"/>
      <c r="AE272" s="309"/>
      <c r="AF272" s="305"/>
      <c r="AH272" s="309"/>
      <c r="AI272" s="516"/>
      <c r="AO272" s="524"/>
      <c r="AU272" s="524"/>
      <c r="AX272" s="524"/>
    </row>
    <row r="273" spans="1:50" x14ac:dyDescent="0.2">
      <c r="A273" s="696" t="s">
        <v>1081</v>
      </c>
      <c r="B273" s="697">
        <v>81635826.380467251</v>
      </c>
      <c r="C273" s="697">
        <v>54636901.327669159</v>
      </c>
      <c r="D273" s="697">
        <v>60501126.121276431</v>
      </c>
      <c r="E273" s="697">
        <v>7169092.4268546645</v>
      </c>
      <c r="F273" s="697">
        <v>11946066.423402254</v>
      </c>
      <c r="G273" s="697">
        <v>6968312</v>
      </c>
      <c r="H273" s="697">
        <v>222857324.67966977</v>
      </c>
      <c r="I273" s="697"/>
      <c r="J273" s="697">
        <v>0</v>
      </c>
      <c r="K273" s="697">
        <v>0</v>
      </c>
      <c r="L273" s="697">
        <v>0</v>
      </c>
      <c r="M273" s="697"/>
      <c r="N273" s="697">
        <v>0</v>
      </c>
      <c r="O273" s="697"/>
      <c r="P273" s="697"/>
      <c r="Q273" s="697"/>
      <c r="R273" s="294"/>
      <c r="S273" s="296">
        <f>IF(B272&gt;0,(B273/B272),)</f>
        <v>85303.893814490337</v>
      </c>
      <c r="T273" s="296">
        <f t="shared" ref="T273" si="2866">IF(C272&gt;0,(C273/C272),)</f>
        <v>76308.521407359163</v>
      </c>
      <c r="U273" s="296">
        <f t="shared" ref="U273" si="2867">IF(D272&gt;0,(D273/D272),)</f>
        <v>72456.438468594526</v>
      </c>
      <c r="V273" s="296">
        <f t="shared" ref="V273" si="2868">IF(E272&gt;0,(E273/E272),)</f>
        <v>71690.924268546645</v>
      </c>
      <c r="W273" s="296">
        <f t="shared" ref="W273" si="2869">IF(F272&gt;0,(F273/F272),)</f>
        <v>68263.236705155738</v>
      </c>
      <c r="X273" s="296">
        <f t="shared" ref="X273" si="2870">IF(G272&gt;0,(G273/G272),)</f>
        <v>68316.784313725497</v>
      </c>
      <c r="Y273" s="311">
        <f t="shared" ref="Y273" si="2871">IF(H272&gt;0,(H273/H272),)</f>
        <v>77246.906301445328</v>
      </c>
      <c r="Z273" s="306">
        <f t="shared" ref="Z273" si="2872">IF(I272&gt;0,(I273/I272),)</f>
        <v>0</v>
      </c>
      <c r="AA273" s="296">
        <f t="shared" ref="AA273" si="2873">IF(J272&gt;0,(J273/J272),)</f>
        <v>0</v>
      </c>
      <c r="AB273" s="296">
        <f t="shared" ref="AB273" si="2874">IF(K272&gt;0,(K273/K272),)</f>
        <v>0</v>
      </c>
      <c r="AC273" s="296">
        <f t="shared" ref="AC273" si="2875">IF(L272&gt;0,(L273/L272),)</f>
        <v>0</v>
      </c>
      <c r="AD273" s="296">
        <f t="shared" ref="AD273" si="2876">IF(M272&gt;0,(M273/M272),)</f>
        <v>0</v>
      </c>
      <c r="AE273" s="311">
        <f t="shared" ref="AE273" si="2877">IF(N272&gt;0,(N273/N272),)</f>
        <v>0</v>
      </c>
      <c r="AF273" s="306">
        <f t="shared" ref="AF273" si="2878">IF(O272&gt;0,(O273/O272),)</f>
        <v>0</v>
      </c>
      <c r="AG273" s="296">
        <f t="shared" ref="AG273" si="2879">IF(P272&gt;0,(P273/P272),)</f>
        <v>0</v>
      </c>
      <c r="AH273" s="311">
        <f t="shared" ref="AH273" si="2880">IF(Q272&gt;0,(Q273/Q272),)</f>
        <v>0</v>
      </c>
      <c r="AI273" s="517">
        <f>IF(S271&gt;0,(S273-S271)/S271,)</f>
        <v>-2.8317621710878256E-3</v>
      </c>
      <c r="AJ273" s="518">
        <f t="shared" ref="AJ273" si="2881">IF(T271&gt;0,(T273-T271)/T271,)</f>
        <v>-7.9346888852202327E-3</v>
      </c>
      <c r="AK273" s="518">
        <f t="shared" ref="AK273" si="2882">IF(U271&gt;0,(U273-U271)/U271,)</f>
        <v>-8.0916997787096635E-3</v>
      </c>
      <c r="AL273" s="518">
        <f t="shared" ref="AL273" si="2883">IF(V271&gt;0,(V273-V271)/V271,)</f>
        <v>-3.3808135600961034E-2</v>
      </c>
      <c r="AM273" s="518">
        <f t="shared" ref="AM273" si="2884">IF(W271&gt;0,(W273-W271)/W271,)</f>
        <v>-4.7461895534424932E-2</v>
      </c>
      <c r="AN273" s="636">
        <f t="shared" ref="AN273" si="2885">IF(X271&gt;0,(X273-X271)/X271,)</f>
        <v>1.6158293822258068E-2</v>
      </c>
      <c r="AO273" s="525">
        <f t="shared" ref="AO273" si="2886">IF(Y271&gt;0,(Y273-Y271)/Y271,)</f>
        <v>-1.1620819117352618E-2</v>
      </c>
      <c r="AP273" s="518">
        <f t="shared" ref="AP273" si="2887">IF(Z271&gt;0,(Z273-Z271)/Z271,)</f>
        <v>0</v>
      </c>
      <c r="AQ273" s="518">
        <f t="shared" ref="AQ273" si="2888">IF(AA271&gt;0,(AA273-AA271)/AA271,)</f>
        <v>0</v>
      </c>
      <c r="AR273" s="518">
        <f t="shared" ref="AR273" si="2889">IF(AB271&gt;0,(AB273-AB271)/AB271,)</f>
        <v>0</v>
      </c>
      <c r="AS273" s="518">
        <f t="shared" ref="AS273" si="2890">IF(AC271&gt;0,(AC273-AC271)/AC271,)</f>
        <v>0</v>
      </c>
      <c r="AT273" s="518">
        <f t="shared" ref="AT273" si="2891">IF(AD271&gt;0,(AD273-AD271)/AD271,)</f>
        <v>0</v>
      </c>
      <c r="AU273" s="525">
        <f t="shared" ref="AU273" si="2892">IF(AE271&gt;0,(AE273-AE271)/AE271,)</f>
        <v>0</v>
      </c>
      <c r="AV273" s="518">
        <f t="shared" ref="AV273" si="2893">IF(AF271&gt;0,(AF273-AF271)/AF271,)</f>
        <v>0</v>
      </c>
      <c r="AW273" s="518">
        <f t="shared" ref="AW273" si="2894">IF(AG271&gt;0,(AG273-AG271)/AG271,)</f>
        <v>0</v>
      </c>
      <c r="AX273" s="525">
        <f t="shared" ref="AX273" si="2895">IF(AH271&gt;0,(AH273-AH271)/AH271,)</f>
        <v>0</v>
      </c>
    </row>
    <row r="274" spans="1:50" x14ac:dyDescent="0.2">
      <c r="A274" s="696" t="s">
        <v>1083</v>
      </c>
      <c r="B274" s="697">
        <v>829</v>
      </c>
      <c r="C274" s="697">
        <v>488</v>
      </c>
      <c r="D274" s="697">
        <v>721</v>
      </c>
      <c r="E274" s="697">
        <v>101</v>
      </c>
      <c r="F274" s="697">
        <v>222</v>
      </c>
      <c r="G274" s="697">
        <v>84</v>
      </c>
      <c r="H274" s="697">
        <v>2445</v>
      </c>
      <c r="I274" s="697"/>
      <c r="J274" s="697">
        <v>0</v>
      </c>
      <c r="K274" s="697">
        <v>0</v>
      </c>
      <c r="L274" s="697">
        <v>0</v>
      </c>
      <c r="M274" s="697"/>
      <c r="N274" s="697">
        <v>0</v>
      </c>
      <c r="O274" s="697"/>
      <c r="P274" s="697"/>
      <c r="Q274" s="697"/>
      <c r="Y274" s="309"/>
      <c r="Z274" s="305"/>
      <c r="AE274" s="309"/>
      <c r="AF274" s="305"/>
      <c r="AH274" s="309"/>
      <c r="AI274" s="516"/>
      <c r="AO274" s="524"/>
      <c r="AU274" s="524"/>
      <c r="AX274" s="524"/>
    </row>
    <row r="275" spans="1:50" x14ac:dyDescent="0.2">
      <c r="A275" s="696" t="s">
        <v>1085</v>
      </c>
      <c r="B275" s="697">
        <v>60773475.483876176</v>
      </c>
      <c r="C275" s="697">
        <v>33216090.248210024</v>
      </c>
      <c r="D275" s="697">
        <v>44862751.578437313</v>
      </c>
      <c r="E275" s="697">
        <v>6385787.8616904505</v>
      </c>
      <c r="F275" s="697">
        <v>13873323.677152112</v>
      </c>
      <c r="G275" s="697">
        <v>5283559.3056994826</v>
      </c>
      <c r="H275" s="697">
        <v>164394988.15506554</v>
      </c>
      <c r="I275" s="697"/>
      <c r="J275" s="697">
        <v>0</v>
      </c>
      <c r="K275" s="697">
        <v>0</v>
      </c>
      <c r="L275" s="697">
        <v>0</v>
      </c>
      <c r="M275" s="697"/>
      <c r="N275" s="697">
        <v>0</v>
      </c>
      <c r="O275" s="697"/>
      <c r="P275" s="697"/>
      <c r="Q275" s="697"/>
      <c r="R275" s="294"/>
      <c r="S275" s="296">
        <f>IF(B274&gt;0,(B275/B274),)</f>
        <v>73309.379353288517</v>
      </c>
      <c r="T275" s="296">
        <f t="shared" ref="T275" si="2896">IF(C274&gt;0,(C275/C274),)</f>
        <v>68065.758705348417</v>
      </c>
      <c r="U275" s="296">
        <f t="shared" ref="U275" si="2897">IF(D274&gt;0,(D275/D274),)</f>
        <v>62222.956419469228</v>
      </c>
      <c r="V275" s="296">
        <f t="shared" ref="V275" si="2898">IF(E274&gt;0,(E275/E274),)</f>
        <v>63225.622392974758</v>
      </c>
      <c r="W275" s="296">
        <f t="shared" ref="W275" si="2899">IF(F274&gt;0,(F275/F274),)</f>
        <v>62492.448996180683</v>
      </c>
      <c r="X275" s="296">
        <f t="shared" ref="X275" si="2900">IF(G274&gt;0,(G275/G274),)</f>
        <v>62899.51554404146</v>
      </c>
      <c r="Y275" s="311">
        <f t="shared" ref="Y275" si="2901">IF(H274&gt;0,(H275/H274),)</f>
        <v>67237.213969351957</v>
      </c>
      <c r="Z275" s="306">
        <f t="shared" ref="Z275" si="2902">IF(I274&gt;0,(I275/I274),)</f>
        <v>0</v>
      </c>
      <c r="AA275" s="296">
        <f t="shared" ref="AA275" si="2903">IF(J274&gt;0,(J275/J274),)</f>
        <v>0</v>
      </c>
      <c r="AB275" s="296">
        <f t="shared" ref="AB275" si="2904">IF(K274&gt;0,(K275/K274),)</f>
        <v>0</v>
      </c>
      <c r="AC275" s="296">
        <f t="shared" ref="AC275" si="2905">IF(L274&gt;0,(L275/L274),)</f>
        <v>0</v>
      </c>
      <c r="AD275" s="296">
        <f t="shared" ref="AD275" si="2906">IF(M274&gt;0,(M275/M274),)</f>
        <v>0</v>
      </c>
      <c r="AE275" s="311">
        <f t="shared" ref="AE275" si="2907">IF(N274&gt;0,(N275/N274),)</f>
        <v>0</v>
      </c>
      <c r="AF275" s="306">
        <f t="shared" ref="AF275" si="2908">IF(O274&gt;0,(O275/O274),)</f>
        <v>0</v>
      </c>
      <c r="AG275" s="296">
        <f t="shared" ref="AG275" si="2909">IF(P274&gt;0,(P275/P274),)</f>
        <v>0</v>
      </c>
      <c r="AH275" s="311">
        <f t="shared" ref="AH275" si="2910">IF(Q274&gt;0,(Q275/Q274),)</f>
        <v>0</v>
      </c>
      <c r="AI275" s="516"/>
      <c r="AO275" s="524"/>
      <c r="AU275" s="524"/>
      <c r="AX275" s="524"/>
    </row>
    <row r="276" spans="1:50" x14ac:dyDescent="0.2">
      <c r="A276" s="696" t="s">
        <v>1087</v>
      </c>
      <c r="B276" s="697">
        <v>677</v>
      </c>
      <c r="C276" s="697">
        <v>453</v>
      </c>
      <c r="D276" s="697">
        <v>662</v>
      </c>
      <c r="E276" s="697">
        <v>87</v>
      </c>
      <c r="F276" s="697">
        <v>213</v>
      </c>
      <c r="G276" s="697">
        <v>73</v>
      </c>
      <c r="H276" s="697">
        <v>2165</v>
      </c>
      <c r="I276" s="697"/>
      <c r="J276" s="697">
        <v>0</v>
      </c>
      <c r="K276" s="697">
        <v>0</v>
      </c>
      <c r="L276" s="697">
        <v>0</v>
      </c>
      <c r="M276" s="697"/>
      <c r="N276" s="697">
        <v>0</v>
      </c>
      <c r="O276" s="697"/>
      <c r="P276" s="697"/>
      <c r="Q276" s="697"/>
      <c r="Y276" s="309"/>
      <c r="Z276" s="305"/>
      <c r="AE276" s="309"/>
      <c r="AF276" s="305"/>
      <c r="AH276" s="309"/>
      <c r="AI276" s="516"/>
      <c r="AO276" s="524"/>
      <c r="AU276" s="524"/>
      <c r="AX276" s="524"/>
    </row>
    <row r="277" spans="1:50" x14ac:dyDescent="0.2">
      <c r="A277" s="696" t="s">
        <v>1089</v>
      </c>
      <c r="B277" s="697">
        <v>52144587.584223963</v>
      </c>
      <c r="C277" s="697">
        <v>30924955.009884074</v>
      </c>
      <c r="D277" s="697">
        <v>42171591.59902738</v>
      </c>
      <c r="E277" s="697">
        <v>5470370.1578814629</v>
      </c>
      <c r="F277" s="697">
        <v>13401213.196048705</v>
      </c>
      <c r="G277" s="697">
        <v>4698232</v>
      </c>
      <c r="H277" s="697">
        <v>148810949.54706559</v>
      </c>
      <c r="I277" s="697"/>
      <c r="J277" s="697">
        <v>0</v>
      </c>
      <c r="K277" s="697">
        <v>0</v>
      </c>
      <c r="L277" s="697">
        <v>0</v>
      </c>
      <c r="M277" s="697"/>
      <c r="N277" s="697">
        <v>0</v>
      </c>
      <c r="O277" s="697"/>
      <c r="P277" s="697"/>
      <c r="Q277" s="697"/>
      <c r="R277" s="294"/>
      <c r="S277" s="296">
        <f>IF(B276&gt;0,(B277/B276),)</f>
        <v>77023.024496638056</v>
      </c>
      <c r="T277" s="296">
        <f t="shared" ref="T277" si="2911">IF(C276&gt;0,(C277/C276),)</f>
        <v>68267.008851841223</v>
      </c>
      <c r="U277" s="296">
        <f t="shared" ref="U277" si="2912">IF(D276&gt;0,(D277/D276),)</f>
        <v>63703.310572548915</v>
      </c>
      <c r="V277" s="296">
        <f t="shared" ref="V277" si="2913">IF(E276&gt;0,(E277/E276),)</f>
        <v>62877.817906683485</v>
      </c>
      <c r="W277" s="296">
        <f t="shared" ref="W277" si="2914">IF(F276&gt;0,(F277/F276),)</f>
        <v>62916.493878162932</v>
      </c>
      <c r="X277" s="296">
        <f t="shared" ref="X277" si="2915">IF(G276&gt;0,(G277/G276),)</f>
        <v>64359.342465753427</v>
      </c>
      <c r="Y277" s="311">
        <f t="shared" ref="Y277" si="2916">IF(H276&gt;0,(H277/H276),)</f>
        <v>68734.849675318983</v>
      </c>
      <c r="Z277" s="306">
        <f t="shared" ref="Z277" si="2917">IF(I276&gt;0,(I277/I276),)</f>
        <v>0</v>
      </c>
      <c r="AA277" s="296">
        <f t="shared" ref="AA277" si="2918">IF(J276&gt;0,(J277/J276),)</f>
        <v>0</v>
      </c>
      <c r="AB277" s="296">
        <f t="shared" ref="AB277" si="2919">IF(K276&gt;0,(K277/K276),)</f>
        <v>0</v>
      </c>
      <c r="AC277" s="296">
        <f t="shared" ref="AC277" si="2920">IF(L276&gt;0,(L277/L276),)</f>
        <v>0</v>
      </c>
      <c r="AD277" s="296">
        <f t="shared" ref="AD277" si="2921">IF(M276&gt;0,(M277/M276),)</f>
        <v>0</v>
      </c>
      <c r="AE277" s="311">
        <f t="shared" ref="AE277" si="2922">IF(N276&gt;0,(N277/N276),)</f>
        <v>0</v>
      </c>
      <c r="AF277" s="306">
        <f t="shared" ref="AF277" si="2923">IF(O276&gt;0,(O277/O276),)</f>
        <v>0</v>
      </c>
      <c r="AG277" s="296">
        <f t="shared" ref="AG277" si="2924">IF(P276&gt;0,(P277/P276),)</f>
        <v>0</v>
      </c>
      <c r="AH277" s="311">
        <f t="shared" ref="AH277" si="2925">IF(Q276&gt;0,(Q277/Q276),)</f>
        <v>0</v>
      </c>
      <c r="AI277" s="517">
        <f>IF(S275&gt;0,(S277-S275)/S275,)</f>
        <v>5.0657162509219249E-2</v>
      </c>
      <c r="AJ277" s="518">
        <f t="shared" ref="AJ277" si="2926">IF(T275&gt;0,(T277-T275)/T275,)</f>
        <v>2.9567017296318289E-3</v>
      </c>
      <c r="AK277" s="518">
        <f t="shared" ref="AK277" si="2927">IF(U275&gt;0,(U277-U275)/U275,)</f>
        <v>2.3791125305908666E-2</v>
      </c>
      <c r="AL277" s="518">
        <f t="shared" ref="AL277" si="2928">IF(V275&gt;0,(V277-V275)/V275,)</f>
        <v>-5.5010053381446501E-3</v>
      </c>
      <c r="AM277" s="518">
        <f t="shared" ref="AM277" si="2929">IF(W275&gt;0,(W277-W275)/W275,)</f>
        <v>6.7855379136792151E-3</v>
      </c>
      <c r="AN277" s="518">
        <f t="shared" ref="AN277" si="2930">IF(X275&gt;0,(X277-X275)/X275,)</f>
        <v>2.3208873853564328E-2</v>
      </c>
      <c r="AO277" s="525">
        <f t="shared" ref="AO277" si="2931">IF(Y275&gt;0,(Y277-Y275)/Y275,)</f>
        <v>2.2273910793651833E-2</v>
      </c>
      <c r="AP277" s="518">
        <f t="shared" ref="AP277" si="2932">IF(Z275&gt;0,(Z277-Z275)/Z275,)</f>
        <v>0</v>
      </c>
      <c r="AQ277" s="518">
        <f t="shared" ref="AQ277" si="2933">IF(AA275&gt;0,(AA277-AA275)/AA275,)</f>
        <v>0</v>
      </c>
      <c r="AR277" s="518">
        <f t="shared" ref="AR277" si="2934">IF(AB275&gt;0,(AB277-AB275)/AB275,)</f>
        <v>0</v>
      </c>
      <c r="AS277" s="518">
        <f t="shared" ref="AS277" si="2935">IF(AC275&gt;0,(AC277-AC275)/AC275,)</f>
        <v>0</v>
      </c>
      <c r="AT277" s="518">
        <f t="shared" ref="AT277" si="2936">IF(AD275&gt;0,(AD277-AD275)/AD275,)</f>
        <v>0</v>
      </c>
      <c r="AU277" s="525">
        <f t="shared" ref="AU277" si="2937">IF(AE275&gt;0,(AE277-AE275)/AE275,)</f>
        <v>0</v>
      </c>
      <c r="AV277" s="518">
        <f t="shared" ref="AV277" si="2938">IF(AF275&gt;0,(AF277-AF275)/AF275,)</f>
        <v>0</v>
      </c>
      <c r="AW277" s="518">
        <f t="shared" ref="AW277" si="2939">IF(AG275&gt;0,(AG277-AG275)/AG275,)</f>
        <v>0</v>
      </c>
      <c r="AX277" s="525">
        <f t="shared" ref="AX277" si="2940">IF(AH275&gt;0,(AH277-AH275)/AH275,)</f>
        <v>0</v>
      </c>
    </row>
    <row r="278" spans="1:50" x14ac:dyDescent="0.2">
      <c r="A278" s="696" t="s">
        <v>1091</v>
      </c>
      <c r="B278" s="697">
        <v>66</v>
      </c>
      <c r="C278" s="697">
        <v>8</v>
      </c>
      <c r="D278" s="697">
        <v>35</v>
      </c>
      <c r="E278" s="697">
        <v>7</v>
      </c>
      <c r="F278" s="697">
        <v>53</v>
      </c>
      <c r="G278" s="697">
        <v>5</v>
      </c>
      <c r="H278" s="697">
        <v>174</v>
      </c>
      <c r="I278" s="697"/>
      <c r="J278" s="697">
        <v>0</v>
      </c>
      <c r="K278" s="697">
        <v>0</v>
      </c>
      <c r="L278" s="697">
        <v>0</v>
      </c>
      <c r="M278" s="697"/>
      <c r="N278" s="697">
        <v>0</v>
      </c>
      <c r="O278" s="697"/>
      <c r="P278" s="697"/>
      <c r="Q278" s="697"/>
      <c r="Y278" s="309"/>
      <c r="Z278" s="305"/>
      <c r="AE278" s="309"/>
      <c r="AF278" s="305"/>
      <c r="AH278" s="309"/>
      <c r="AI278" s="516"/>
      <c r="AO278" s="524"/>
      <c r="AU278" s="524"/>
      <c r="AX278" s="524"/>
    </row>
    <row r="279" spans="1:50" x14ac:dyDescent="0.2">
      <c r="A279" s="696" t="s">
        <v>1093</v>
      </c>
      <c r="B279" s="697">
        <v>3983280.9142914098</v>
      </c>
      <c r="C279" s="697">
        <v>528790.37837837834</v>
      </c>
      <c r="D279" s="697">
        <v>1780218.3724137931</v>
      </c>
      <c r="E279" s="697">
        <v>425894</v>
      </c>
      <c r="F279" s="697">
        <v>3103286</v>
      </c>
      <c r="G279" s="697">
        <v>274572</v>
      </c>
      <c r="H279" s="697">
        <v>10096041.665083582</v>
      </c>
      <c r="I279" s="697"/>
      <c r="J279" s="697">
        <v>0</v>
      </c>
      <c r="K279" s="697">
        <v>0</v>
      </c>
      <c r="L279" s="697">
        <v>0</v>
      </c>
      <c r="M279" s="697"/>
      <c r="N279" s="697">
        <v>0</v>
      </c>
      <c r="O279" s="697"/>
      <c r="P279" s="697"/>
      <c r="Q279" s="697"/>
      <c r="R279" s="294"/>
      <c r="S279" s="296">
        <f>IF(B278&gt;0,(B279/B278),)</f>
        <v>60352.741125627421</v>
      </c>
      <c r="T279" s="296">
        <f t="shared" ref="T279" si="2941">IF(C278&gt;0,(C279/C278),)</f>
        <v>66098.797297297293</v>
      </c>
      <c r="U279" s="296">
        <f t="shared" ref="U279" si="2942">IF(D278&gt;0,(D279/D278),)</f>
        <v>50863.382068965519</v>
      </c>
      <c r="V279" s="296">
        <f t="shared" ref="V279" si="2943">IF(E278&gt;0,(E279/E278),)</f>
        <v>60842</v>
      </c>
      <c r="W279" s="296">
        <f t="shared" ref="W279" si="2944">IF(F278&gt;0,(F279/F278),)</f>
        <v>58552.566037735851</v>
      </c>
      <c r="X279" s="296">
        <f t="shared" ref="X279" si="2945">IF(G278&gt;0,(G279/G278),)</f>
        <v>54914.400000000001</v>
      </c>
      <c r="Y279" s="311">
        <f t="shared" ref="Y279" si="2946">IF(H278&gt;0,(H279/H278),)</f>
        <v>58023.227960250471</v>
      </c>
      <c r="Z279" s="306">
        <f t="shared" ref="Z279" si="2947">IF(I278&gt;0,(I279/I278),)</f>
        <v>0</v>
      </c>
      <c r="AA279" s="296">
        <f t="shared" ref="AA279" si="2948">IF(J278&gt;0,(J279/J278),)</f>
        <v>0</v>
      </c>
      <c r="AB279" s="296">
        <f t="shared" ref="AB279" si="2949">IF(K278&gt;0,(K279/K278),)</f>
        <v>0</v>
      </c>
      <c r="AC279" s="296">
        <f t="shared" ref="AC279" si="2950">IF(L278&gt;0,(L279/L278),)</f>
        <v>0</v>
      </c>
      <c r="AD279" s="296">
        <f t="shared" ref="AD279" si="2951">IF(M278&gt;0,(M279/M278),)</f>
        <v>0</v>
      </c>
      <c r="AE279" s="311">
        <f t="shared" ref="AE279" si="2952">IF(N278&gt;0,(N279/N278),)</f>
        <v>0</v>
      </c>
      <c r="AF279" s="306">
        <f t="shared" ref="AF279" si="2953">IF(O278&gt;0,(O279/O278),)</f>
        <v>0</v>
      </c>
      <c r="AG279" s="296">
        <f t="shared" ref="AG279" si="2954">IF(P278&gt;0,(P279/P278),)</f>
        <v>0</v>
      </c>
      <c r="AH279" s="311">
        <f t="shared" ref="AH279" si="2955">IF(Q278&gt;0,(Q279/Q278),)</f>
        <v>0</v>
      </c>
      <c r="AI279" s="516"/>
      <c r="AO279" s="524"/>
      <c r="AU279" s="524"/>
      <c r="AX279" s="524"/>
    </row>
    <row r="280" spans="1:50" x14ac:dyDescent="0.2">
      <c r="A280" s="696" t="s">
        <v>1095</v>
      </c>
      <c r="B280" s="697">
        <v>69</v>
      </c>
      <c r="C280" s="697">
        <v>8</v>
      </c>
      <c r="D280" s="697">
        <v>32</v>
      </c>
      <c r="E280" s="697">
        <v>4</v>
      </c>
      <c r="F280" s="697">
        <v>56</v>
      </c>
      <c r="G280" s="697">
        <v>1</v>
      </c>
      <c r="H280" s="697">
        <v>170</v>
      </c>
      <c r="I280" s="697"/>
      <c r="J280" s="697">
        <v>0</v>
      </c>
      <c r="K280" s="697">
        <v>794</v>
      </c>
      <c r="L280" s="697">
        <v>311</v>
      </c>
      <c r="M280" s="697"/>
      <c r="N280" s="697">
        <v>1105</v>
      </c>
      <c r="O280" s="697"/>
      <c r="P280" s="697"/>
      <c r="Q280" s="697"/>
      <c r="Y280" s="309"/>
      <c r="Z280" s="305"/>
      <c r="AE280" s="309"/>
      <c r="AF280" s="305"/>
      <c r="AH280" s="309"/>
      <c r="AI280" s="516"/>
      <c r="AO280" s="524"/>
      <c r="AU280" s="524"/>
      <c r="AX280" s="524"/>
    </row>
    <row r="281" spans="1:50" x14ac:dyDescent="0.2">
      <c r="A281" s="696" t="s">
        <v>1097</v>
      </c>
      <c r="B281" s="697">
        <v>3820272.1475883494</v>
      </c>
      <c r="C281" s="697">
        <v>494381.09734054055</v>
      </c>
      <c r="D281" s="697">
        <v>1577706.1261556922</v>
      </c>
      <c r="E281" s="697">
        <v>238016</v>
      </c>
      <c r="F281" s="697">
        <v>3038872.3902823986</v>
      </c>
      <c r="G281" s="697">
        <v>50000</v>
      </c>
      <c r="H281" s="697">
        <v>9219247.7613669802</v>
      </c>
      <c r="I281" s="697"/>
      <c r="J281" s="697">
        <v>0</v>
      </c>
      <c r="K281" s="697">
        <v>34273175.43216154</v>
      </c>
      <c r="L281" s="697">
        <v>14471324.191217454</v>
      </c>
      <c r="M281" s="697"/>
      <c r="N281" s="697">
        <v>48744499.623378992</v>
      </c>
      <c r="O281" s="697"/>
      <c r="P281" s="697"/>
      <c r="Q281" s="697"/>
      <c r="R281" s="294"/>
      <c r="S281" s="296">
        <f>IF(B280&gt;0,(B281/B280),)</f>
        <v>55366.263008526803</v>
      </c>
      <c r="T281" s="296">
        <f t="shared" ref="T281" si="2956">IF(C280&gt;0,(C281/C280),)</f>
        <v>61797.637167567569</v>
      </c>
      <c r="U281" s="296">
        <f t="shared" ref="U281" si="2957">IF(D280&gt;0,(D281/D280),)</f>
        <v>49303.31644236538</v>
      </c>
      <c r="V281" s="296">
        <f t="shared" ref="V281" si="2958">IF(E280&gt;0,(E281/E280),)</f>
        <v>59504</v>
      </c>
      <c r="W281" s="296">
        <f t="shared" ref="W281" si="2959">IF(F280&gt;0,(F281/F280),)</f>
        <v>54265.578397899975</v>
      </c>
      <c r="X281" s="296">
        <f t="shared" ref="X281" si="2960">IF(G280&gt;0,(G281/G280),)</f>
        <v>50000</v>
      </c>
      <c r="Y281" s="311">
        <f t="shared" ref="Y281" si="2961">IF(H280&gt;0,(H281/H280),)</f>
        <v>54230.869184511648</v>
      </c>
      <c r="Z281" s="306">
        <f t="shared" ref="Z281" si="2962">IF(I280&gt;0,(I281/I280),)</f>
        <v>0</v>
      </c>
      <c r="AA281" s="296">
        <f t="shared" ref="AA281" si="2963">IF(J280&gt;0,(J281/J280),)</f>
        <v>0</v>
      </c>
      <c r="AB281" s="296">
        <f t="shared" ref="AB281" si="2964">IF(K280&gt;0,(K281/K280),)</f>
        <v>43165.208352848284</v>
      </c>
      <c r="AC281" s="296">
        <f t="shared" ref="AC281" si="2965">IF(L280&gt;0,(L281/L280),)</f>
        <v>46531.589039284416</v>
      </c>
      <c r="AD281" s="296">
        <f t="shared" ref="AD281" si="2966">IF(M280&gt;0,(M281/M280),)</f>
        <v>0</v>
      </c>
      <c r="AE281" s="311">
        <f t="shared" ref="AE281" si="2967">IF(N280&gt;0,(N281/N280),)</f>
        <v>44112.669342424429</v>
      </c>
      <c r="AF281" s="306">
        <f t="shared" ref="AF281" si="2968">IF(O280&gt;0,(O281/O280),)</f>
        <v>0</v>
      </c>
      <c r="AG281" s="296">
        <f t="shared" ref="AG281" si="2969">IF(P280&gt;0,(P281/P280),)</f>
        <v>0</v>
      </c>
      <c r="AH281" s="311">
        <f t="shared" ref="AH281" si="2970">IF(Q280&gt;0,(Q281/Q280),)</f>
        <v>0</v>
      </c>
      <c r="AI281" s="517">
        <f>IF(S279&gt;0,(S281-S279)/S279,)</f>
        <v>-8.2622230972425922E-2</v>
      </c>
      <c r="AJ281" s="518">
        <f t="shared" ref="AJ281" si="2971">IF(T279&gt;0,(T281-T279)/T279,)</f>
        <v>-6.5071685198508047E-2</v>
      </c>
      <c r="AK281" s="518">
        <f t="shared" ref="AK281" si="2972">IF(U279&gt;0,(U281-U279)/U279,)</f>
        <v>-3.0671684877046714E-2</v>
      </c>
      <c r="AL281" s="518">
        <f t="shared" ref="AL281" si="2973">IF(V279&gt;0,(V281-V279)/V279,)</f>
        <v>-2.1991387528352124E-2</v>
      </c>
      <c r="AM281" s="518">
        <f t="shared" ref="AM281" si="2974">IF(W279&gt;0,(W281-W279)/W279,)</f>
        <v>-7.3216050635133659E-2</v>
      </c>
      <c r="AN281" s="518">
        <f t="shared" ref="AN281" si="2975">IF(X279&gt;0,(X281-X279)/X279,)</f>
        <v>-8.9492009381874363E-2</v>
      </c>
      <c r="AO281" s="525">
        <f t="shared" ref="AO281" si="2976">IF(Y279&gt;0,(Y281-Y279)/Y279,)</f>
        <v>-6.5359320897086681E-2</v>
      </c>
      <c r="AP281" s="518">
        <f t="shared" ref="AP281" si="2977">IF(Z279&gt;0,(Z281-Z279)/Z279,)</f>
        <v>0</v>
      </c>
      <c r="AQ281" s="518">
        <f t="shared" ref="AQ281" si="2978">IF(AA279&gt;0,(AA281-AA279)/AA279,)</f>
        <v>0</v>
      </c>
      <c r="AR281" s="518">
        <f t="shared" ref="AR281" si="2979">IF(AB279&gt;0,(AB281-AB279)/AB279,)</f>
        <v>0</v>
      </c>
      <c r="AS281" s="518">
        <f t="shared" ref="AS281" si="2980">IF(AC279&gt;0,(AC281-AC279)/AC279,)</f>
        <v>0</v>
      </c>
      <c r="AT281" s="518">
        <f t="shared" ref="AT281" si="2981">IF(AD279&gt;0,(AD281-AD279)/AD279,)</f>
        <v>0</v>
      </c>
      <c r="AU281" s="525">
        <f t="shared" ref="AU281" si="2982">IF(AE279&gt;0,(AE281-AE279)/AE279,)</f>
        <v>0</v>
      </c>
      <c r="AV281" s="518">
        <f t="shared" ref="AV281" si="2983">IF(AF279&gt;0,(AF281-AF279)/AF279,)</f>
        <v>0</v>
      </c>
      <c r="AW281" s="518">
        <f t="shared" ref="AW281" si="2984">IF(AG279&gt;0,(AG281-AG279)/AG279,)</f>
        <v>0</v>
      </c>
      <c r="AX281" s="525">
        <f t="shared" ref="AX281" si="2985">IF(AH279&gt;0,(AH281-AH279)/AH279,)</f>
        <v>0</v>
      </c>
    </row>
    <row r="282" spans="1:50" x14ac:dyDescent="0.2">
      <c r="A282" s="696" t="s">
        <v>1099</v>
      </c>
      <c r="B282" s="697">
        <v>805</v>
      </c>
      <c r="C282" s="697">
        <v>529</v>
      </c>
      <c r="D282" s="697">
        <v>583</v>
      </c>
      <c r="E282" s="697">
        <v>33</v>
      </c>
      <c r="F282" s="697">
        <v>110</v>
      </c>
      <c r="G282" s="697">
        <v>71</v>
      </c>
      <c r="H282" s="697">
        <v>2131</v>
      </c>
      <c r="I282" s="697"/>
      <c r="J282" s="697">
        <v>0</v>
      </c>
      <c r="K282" s="697">
        <v>0</v>
      </c>
      <c r="L282" s="697">
        <v>0</v>
      </c>
      <c r="M282" s="697"/>
      <c r="N282" s="697">
        <v>0</v>
      </c>
      <c r="O282" s="697"/>
      <c r="P282" s="697"/>
      <c r="Q282" s="697"/>
      <c r="Y282" s="309"/>
      <c r="Z282" s="305"/>
      <c r="AE282" s="309"/>
      <c r="AF282" s="305"/>
      <c r="AH282" s="309"/>
      <c r="AI282" s="516"/>
      <c r="AO282" s="524"/>
      <c r="AU282" s="524"/>
      <c r="AX282" s="524"/>
    </row>
    <row r="283" spans="1:50" x14ac:dyDescent="0.2">
      <c r="A283" s="696" t="s">
        <v>1101</v>
      </c>
      <c r="B283" s="697">
        <v>48165154.933271676</v>
      </c>
      <c r="C283" s="697">
        <v>26898093.753858849</v>
      </c>
      <c r="D283" s="697">
        <v>28587406.136741042</v>
      </c>
      <c r="E283" s="697">
        <v>1817805</v>
      </c>
      <c r="F283" s="697">
        <v>5480557.5570153501</v>
      </c>
      <c r="G283" s="697">
        <v>3889985.4964028778</v>
      </c>
      <c r="H283" s="697">
        <v>114839002.87728979</v>
      </c>
      <c r="I283" s="697"/>
      <c r="J283" s="697">
        <v>0</v>
      </c>
      <c r="K283" s="697">
        <v>0</v>
      </c>
      <c r="L283" s="697">
        <v>0</v>
      </c>
      <c r="M283" s="697"/>
      <c r="N283" s="697">
        <v>0</v>
      </c>
      <c r="O283" s="697"/>
      <c r="P283" s="697"/>
      <c r="Q283" s="697"/>
      <c r="R283" s="294"/>
      <c r="S283" s="296">
        <f>IF(B282&gt;0,(B283/B282),)</f>
        <v>59832.490600337485</v>
      </c>
      <c r="T283" s="296">
        <f t="shared" ref="T283" si="2986">IF(C282&gt;0,(C283/C282),)</f>
        <v>50847.058135839034</v>
      </c>
      <c r="U283" s="296">
        <f t="shared" ref="U283" si="2987">IF(D282&gt;0,(D283/D282),)</f>
        <v>49035.001949813108</v>
      </c>
      <c r="V283" s="296">
        <f t="shared" ref="V283" si="2988">IF(E282&gt;0,(E283/E282),)</f>
        <v>55085</v>
      </c>
      <c r="W283" s="296">
        <f t="shared" ref="W283" si="2989">IF(F282&gt;0,(F283/F282),)</f>
        <v>49823.250518321365</v>
      </c>
      <c r="X283" s="296">
        <f t="shared" ref="X283" si="2990">IF(G282&gt;0,(G283/G282),)</f>
        <v>54788.52811835039</v>
      </c>
      <c r="Y283" s="311">
        <f t="shared" ref="Y283" si="2991">IF(H282&gt;0,(H283/H282),)</f>
        <v>53889.72448488493</v>
      </c>
      <c r="Z283" s="306">
        <f t="shared" ref="Z283" si="2992">IF(I282&gt;0,(I283/I282),)</f>
        <v>0</v>
      </c>
      <c r="AA283" s="296">
        <f t="shared" ref="AA283" si="2993">IF(J282&gt;0,(J283/J282),)</f>
        <v>0</v>
      </c>
      <c r="AB283" s="296">
        <f t="shared" ref="AB283" si="2994">IF(K282&gt;0,(K283/K282),)</f>
        <v>0</v>
      </c>
      <c r="AC283" s="296">
        <f t="shared" ref="AC283" si="2995">IF(L282&gt;0,(L283/L282),)</f>
        <v>0</v>
      </c>
      <c r="AD283" s="296">
        <f t="shared" ref="AD283" si="2996">IF(M282&gt;0,(M283/M282),)</f>
        <v>0</v>
      </c>
      <c r="AE283" s="311">
        <f t="shared" ref="AE283" si="2997">IF(N282&gt;0,(N283/N282),)</f>
        <v>0</v>
      </c>
      <c r="AF283" s="306">
        <f t="shared" ref="AF283" si="2998">IF(O282&gt;0,(O283/O282),)</f>
        <v>0</v>
      </c>
      <c r="AG283" s="296">
        <f t="shared" ref="AG283" si="2999">IF(P282&gt;0,(P283/P282),)</f>
        <v>0</v>
      </c>
      <c r="AH283" s="311">
        <f t="shared" ref="AH283" si="3000">IF(Q282&gt;0,(Q283/Q282),)</f>
        <v>0</v>
      </c>
      <c r="AI283" s="516"/>
      <c r="AO283" s="524"/>
      <c r="AU283" s="524"/>
      <c r="AX283" s="524"/>
    </row>
    <row r="284" spans="1:50" x14ac:dyDescent="0.2">
      <c r="A284" s="696" t="s">
        <v>1103</v>
      </c>
      <c r="B284" s="697">
        <v>882</v>
      </c>
      <c r="C284" s="697">
        <v>568</v>
      </c>
      <c r="D284" s="697">
        <v>616</v>
      </c>
      <c r="E284" s="697">
        <v>30</v>
      </c>
      <c r="F284" s="697">
        <v>113</v>
      </c>
      <c r="G284" s="697">
        <v>80</v>
      </c>
      <c r="H284" s="697">
        <v>2289</v>
      </c>
      <c r="I284" s="697"/>
      <c r="J284" s="697">
        <v>2144</v>
      </c>
      <c r="K284" s="697">
        <v>1649</v>
      </c>
      <c r="L284" s="697">
        <v>861</v>
      </c>
      <c r="M284" s="697"/>
      <c r="N284" s="697">
        <v>4654</v>
      </c>
      <c r="O284" s="697"/>
      <c r="P284" s="697"/>
      <c r="Q284" s="697"/>
      <c r="Y284" s="309"/>
      <c r="Z284" s="305"/>
      <c r="AE284" s="309"/>
      <c r="AF284" s="305"/>
      <c r="AH284" s="309"/>
      <c r="AI284" s="516"/>
      <c r="AO284" s="524"/>
      <c r="AU284" s="524"/>
      <c r="AX284" s="524"/>
    </row>
    <row r="285" spans="1:50" x14ac:dyDescent="0.2">
      <c r="A285" s="696" t="s">
        <v>1105</v>
      </c>
      <c r="B285" s="697">
        <v>51118960.467334732</v>
      </c>
      <c r="C285" s="697">
        <v>28319454.818350859</v>
      </c>
      <c r="D285" s="697">
        <v>29913640.642601207</v>
      </c>
      <c r="E285" s="697">
        <v>1533433.2358309859</v>
      </c>
      <c r="F285" s="697">
        <v>5407338.7367270412</v>
      </c>
      <c r="G285" s="697">
        <v>4202487.0292371139</v>
      </c>
      <c r="H285" s="697">
        <v>120495314.93008196</v>
      </c>
      <c r="I285" s="697"/>
      <c r="J285" s="697">
        <v>109069895.83499956</v>
      </c>
      <c r="K285" s="697">
        <v>77817577.473156735</v>
      </c>
      <c r="L285" s="697">
        <v>39043365.417753816</v>
      </c>
      <c r="M285" s="697"/>
      <c r="N285" s="697">
        <v>225930838.72591013</v>
      </c>
      <c r="O285" s="697"/>
      <c r="P285" s="697"/>
      <c r="Q285" s="697"/>
      <c r="R285" s="294"/>
      <c r="S285" s="296">
        <f>IF(B284&gt;0,(B285/B284),)</f>
        <v>57958.005065005367</v>
      </c>
      <c r="T285" s="296">
        <f t="shared" ref="T285" si="3001">IF(C284&gt;0,(C285/C284),)</f>
        <v>49858.195102730388</v>
      </c>
      <c r="U285" s="296">
        <f t="shared" ref="U285" si="3002">IF(D284&gt;0,(D285/D284),)</f>
        <v>48561.104939287674</v>
      </c>
      <c r="V285" s="296">
        <f t="shared" ref="V285" si="3003">IF(E284&gt;0,(E285/E284),)</f>
        <v>51114.441194366198</v>
      </c>
      <c r="W285" s="296">
        <f t="shared" ref="W285" si="3004">IF(F284&gt;0,(F285/F284),)</f>
        <v>47852.555192274704</v>
      </c>
      <c r="X285" s="296">
        <f t="shared" ref="X285" si="3005">IF(G284&gt;0,(G285/G284),)</f>
        <v>52531.087865463924</v>
      </c>
      <c r="Y285" s="311">
        <f t="shared" ref="Y285" si="3006">IF(H284&gt;0,(H285/H284),)</f>
        <v>52641.028803006535</v>
      </c>
      <c r="Z285" s="306">
        <f t="shared" ref="Z285" si="3007">IF(I284&gt;0,(I285/I284),)</f>
        <v>0</v>
      </c>
      <c r="AA285" s="296">
        <f t="shared" ref="AA285" si="3008">IF(J284&gt;0,(J285/J284),)</f>
        <v>50872.152908115466</v>
      </c>
      <c r="AB285" s="296">
        <f t="shared" ref="AB285" si="3009">IF(K284&gt;0,(K285/K284),)</f>
        <v>47190.768631386738</v>
      </c>
      <c r="AC285" s="296">
        <f t="shared" ref="AC285" si="3010">IF(L284&gt;0,(L285/L284),)</f>
        <v>45346.533586241363</v>
      </c>
      <c r="AD285" s="296">
        <f t="shared" ref="AD285" si="3011">IF(M284&gt;0,(M285/M284),)</f>
        <v>0</v>
      </c>
      <c r="AE285" s="311">
        <f t="shared" ref="AE285" si="3012">IF(N284&gt;0,(N285/N284),)</f>
        <v>48545.517560358858</v>
      </c>
      <c r="AF285" s="306">
        <f t="shared" ref="AF285" si="3013">IF(O284&gt;0,(O285/O284),)</f>
        <v>0</v>
      </c>
      <c r="AG285" s="296">
        <f t="shared" ref="AG285" si="3014">IF(P284&gt;0,(P285/P284),)</f>
        <v>0</v>
      </c>
      <c r="AH285" s="311">
        <f t="shared" ref="AH285" si="3015">IF(Q284&gt;0,(Q285/Q284),)</f>
        <v>0</v>
      </c>
      <c r="AI285" s="517">
        <f>IF(S283&gt;0,(S285-S283)/S283,)</f>
        <v>-3.1328890315683186E-2</v>
      </c>
      <c r="AJ285" s="518">
        <f t="shared" ref="AJ285" si="3016">IF(T283&gt;0,(T285-T283)/T283,)</f>
        <v>-1.944779244586534E-2</v>
      </c>
      <c r="AK285" s="518">
        <f t="shared" ref="AK285" si="3017">IF(U283&gt;0,(U285-U283)/U283,)</f>
        <v>-9.6644639886108961E-3</v>
      </c>
      <c r="AL285" s="518">
        <f t="shared" ref="AL285" si="3018">IF(V283&gt;0,(V285-V283)/V283,)</f>
        <v>-7.2080581022670454E-2</v>
      </c>
      <c r="AM285" s="518">
        <f t="shared" ref="AM285" si="3019">IF(W283&gt;0,(W285-W283)/W283,)</f>
        <v>-3.9553728541295866E-2</v>
      </c>
      <c r="AN285" s="518">
        <f t="shared" ref="AN285" si="3020">IF(X283&gt;0,(X285-X283)/X283,)</f>
        <v>-4.1202790628178589E-2</v>
      </c>
      <c r="AO285" s="525">
        <f t="shared" ref="AO285" si="3021">IF(Y283&gt;0,(Y285-Y283)/Y283,)</f>
        <v>-2.3171313155045555E-2</v>
      </c>
      <c r="AP285" s="518">
        <f t="shared" ref="AP285" si="3022">IF(Z283&gt;0,(Z285-Z283)/Z283,)</f>
        <v>0</v>
      </c>
      <c r="AQ285" s="518">
        <f t="shared" ref="AQ285" si="3023">IF(AA283&gt;0,(AA285-AA283)/AA283,)</f>
        <v>0</v>
      </c>
      <c r="AR285" s="518">
        <f t="shared" ref="AR285" si="3024">IF(AB283&gt;0,(AB285-AB283)/AB283,)</f>
        <v>0</v>
      </c>
      <c r="AS285" s="518">
        <f t="shared" ref="AS285" si="3025">IF(AC283&gt;0,(AC285-AC283)/AC283,)</f>
        <v>0</v>
      </c>
      <c r="AT285" s="518">
        <f t="shared" ref="AT285" si="3026">IF(AD283&gt;0,(AD285-AD283)/AD283,)</f>
        <v>0</v>
      </c>
      <c r="AU285" s="525">
        <f t="shared" ref="AU285" si="3027">IF(AE283&gt;0,(AE285-AE283)/AE283,)</f>
        <v>0</v>
      </c>
      <c r="AV285" s="518">
        <f t="shared" ref="AV285" si="3028">IF(AF283&gt;0,(AF285-AF283)/AF283,)</f>
        <v>0</v>
      </c>
      <c r="AW285" s="518">
        <f t="shared" ref="AW285" si="3029">IF(AG283&gt;0,(AG285-AG283)/AG283,)</f>
        <v>0</v>
      </c>
      <c r="AX285" s="525">
        <f t="shared" ref="AX285" si="3030">IF(AH283&gt;0,(AH285-AH283)/AH283,)</f>
        <v>0</v>
      </c>
    </row>
    <row r="286" spans="1:50" x14ac:dyDescent="0.2">
      <c r="A286" s="696" t="s">
        <v>1107</v>
      </c>
      <c r="B286" s="697">
        <v>0</v>
      </c>
      <c r="C286" s="697">
        <v>0</v>
      </c>
      <c r="D286" s="697">
        <v>0</v>
      </c>
      <c r="E286" s="697">
        <v>0</v>
      </c>
      <c r="F286" s="697">
        <v>0</v>
      </c>
      <c r="G286" s="697">
        <v>0</v>
      </c>
      <c r="H286" s="697">
        <v>0</v>
      </c>
      <c r="I286" s="697"/>
      <c r="J286" s="697">
        <v>2573</v>
      </c>
      <c r="K286" s="697">
        <v>2485</v>
      </c>
      <c r="L286" s="697">
        <v>1158</v>
      </c>
      <c r="M286" s="697"/>
      <c r="N286" s="697">
        <v>6216</v>
      </c>
      <c r="O286" s="697"/>
      <c r="P286" s="697"/>
      <c r="Q286" s="697"/>
      <c r="Y286" s="309"/>
      <c r="Z286" s="305"/>
      <c r="AE286" s="309"/>
      <c r="AF286" s="305"/>
      <c r="AH286" s="309"/>
      <c r="AI286" s="516"/>
      <c r="AO286" s="524"/>
      <c r="AU286" s="524"/>
      <c r="AX286" s="524"/>
    </row>
    <row r="287" spans="1:50" x14ac:dyDescent="0.2">
      <c r="A287" s="696" t="s">
        <v>1109</v>
      </c>
      <c r="B287" s="697">
        <v>0</v>
      </c>
      <c r="C287" s="697">
        <v>0</v>
      </c>
      <c r="D287" s="697">
        <v>0</v>
      </c>
      <c r="E287" s="697">
        <v>0</v>
      </c>
      <c r="F287" s="697">
        <v>0</v>
      </c>
      <c r="G287" s="697">
        <v>0</v>
      </c>
      <c r="H287" s="697">
        <v>0</v>
      </c>
      <c r="I287" s="697"/>
      <c r="J287" s="697">
        <v>122407302.41999999</v>
      </c>
      <c r="K287" s="697">
        <v>117594686.88000001</v>
      </c>
      <c r="L287" s="697">
        <v>53842148.640000001</v>
      </c>
      <c r="M287" s="697"/>
      <c r="N287" s="697">
        <v>293844137.94</v>
      </c>
      <c r="O287" s="697"/>
      <c r="P287" s="697"/>
      <c r="Q287" s="697"/>
      <c r="R287" s="294"/>
      <c r="S287" s="296">
        <f>IF(B286&gt;0,(B287/B286),)</f>
        <v>0</v>
      </c>
      <c r="T287" s="296">
        <f t="shared" ref="T287" si="3031">IF(C286&gt;0,(C287/C286),)</f>
        <v>0</v>
      </c>
      <c r="U287" s="296">
        <f t="shared" ref="U287" si="3032">IF(D286&gt;0,(D287/D286),)</f>
        <v>0</v>
      </c>
      <c r="V287" s="296">
        <f t="shared" ref="V287" si="3033">IF(E286&gt;0,(E287/E286),)</f>
        <v>0</v>
      </c>
      <c r="W287" s="296">
        <f t="shared" ref="W287" si="3034">IF(F286&gt;0,(F287/F286),)</f>
        <v>0</v>
      </c>
      <c r="X287" s="296">
        <f t="shared" ref="X287" si="3035">IF(G286&gt;0,(G287/G286),)</f>
        <v>0</v>
      </c>
      <c r="Y287" s="311">
        <f t="shared" ref="Y287" si="3036">IF(H286&gt;0,(H287/H286),)</f>
        <v>0</v>
      </c>
      <c r="Z287" s="306">
        <f t="shared" ref="Z287" si="3037">IF(I286&gt;0,(I287/I286),)</f>
        <v>0</v>
      </c>
      <c r="AA287" s="296">
        <f t="shared" ref="AA287" si="3038">IF(J286&gt;0,(J287/J286),)</f>
        <v>47573.766972405749</v>
      </c>
      <c r="AB287" s="296">
        <f t="shared" ref="AB287" si="3039">IF(K286&gt;0,(K287/K286),)</f>
        <v>47321.805585513081</v>
      </c>
      <c r="AC287" s="296">
        <f t="shared" ref="AC287" si="3040">IF(L286&gt;0,(L287/L286),)</f>
        <v>46495.810569948189</v>
      </c>
      <c r="AD287" s="296">
        <f t="shared" ref="AD287" si="3041">IF(M286&gt;0,(M287/M286),)</f>
        <v>0</v>
      </c>
      <c r="AE287" s="311">
        <f t="shared" ref="AE287" si="3042">IF(N286&gt;0,(N287/N286),)</f>
        <v>47272.222963320462</v>
      </c>
      <c r="AF287" s="306">
        <f t="shared" ref="AF287" si="3043">IF(O286&gt;0,(O287/O286),)</f>
        <v>0</v>
      </c>
      <c r="AG287" s="296">
        <f t="shared" ref="AG287" si="3044">IF(P286&gt;0,(P287/P286),)</f>
        <v>0</v>
      </c>
      <c r="AH287" s="311">
        <f t="shared" ref="AH287" si="3045">IF(Q286&gt;0,(Q287/Q286),)</f>
        <v>0</v>
      </c>
      <c r="AI287" s="516"/>
      <c r="AO287" s="524"/>
      <c r="AU287" s="524"/>
      <c r="AX287" s="524"/>
    </row>
    <row r="288" spans="1:50" x14ac:dyDescent="0.2">
      <c r="A288" s="696" t="s">
        <v>1111</v>
      </c>
      <c r="B288" s="697">
        <v>0</v>
      </c>
      <c r="C288" s="697">
        <v>0</v>
      </c>
      <c r="D288" s="697">
        <v>0</v>
      </c>
      <c r="E288" s="697">
        <v>0</v>
      </c>
      <c r="F288" s="697">
        <v>0</v>
      </c>
      <c r="G288" s="697">
        <v>0</v>
      </c>
      <c r="H288" s="697">
        <v>0</v>
      </c>
      <c r="I288" s="697"/>
      <c r="J288" s="697">
        <v>538</v>
      </c>
      <c r="K288" s="697">
        <v>0</v>
      </c>
      <c r="L288" s="697">
        <v>0</v>
      </c>
      <c r="M288" s="697"/>
      <c r="N288" s="697">
        <v>538</v>
      </c>
      <c r="O288" s="697"/>
      <c r="P288" s="697"/>
      <c r="Q288" s="697"/>
      <c r="Y288" s="309"/>
      <c r="Z288" s="305"/>
      <c r="AE288" s="309"/>
      <c r="AF288" s="305"/>
      <c r="AH288" s="309"/>
      <c r="AI288" s="516"/>
      <c r="AO288" s="524"/>
      <c r="AU288" s="524"/>
      <c r="AX288" s="524"/>
    </row>
    <row r="289" spans="1:50" x14ac:dyDescent="0.2">
      <c r="A289" s="696" t="s">
        <v>1113</v>
      </c>
      <c r="B289" s="697">
        <v>0</v>
      </c>
      <c r="C289" s="697">
        <v>0</v>
      </c>
      <c r="D289" s="697">
        <v>0</v>
      </c>
      <c r="E289" s="697">
        <v>0</v>
      </c>
      <c r="F289" s="697">
        <v>0</v>
      </c>
      <c r="G289" s="697">
        <v>0</v>
      </c>
      <c r="H289" s="697">
        <v>0</v>
      </c>
      <c r="I289" s="697"/>
      <c r="J289" s="697">
        <v>0</v>
      </c>
      <c r="K289" s="697">
        <v>0</v>
      </c>
      <c r="L289" s="697">
        <v>0</v>
      </c>
      <c r="M289" s="697"/>
      <c r="N289" s="697">
        <v>0</v>
      </c>
      <c r="O289" s="697"/>
      <c r="P289" s="697"/>
      <c r="Q289" s="697"/>
      <c r="R289" s="294"/>
      <c r="S289" s="296">
        <f>IF(B288&gt;0,(B289/B288),)</f>
        <v>0</v>
      </c>
      <c r="T289" s="296">
        <f t="shared" ref="T289" si="3046">IF(C288&gt;0,(C289/C288),)</f>
        <v>0</v>
      </c>
      <c r="U289" s="296">
        <f t="shared" ref="U289" si="3047">IF(D288&gt;0,(D289/D288),)</f>
        <v>0</v>
      </c>
      <c r="V289" s="296">
        <f t="shared" ref="V289" si="3048">IF(E288&gt;0,(E289/E288),)</f>
        <v>0</v>
      </c>
      <c r="W289" s="296">
        <f t="shared" ref="W289" si="3049">IF(F288&gt;0,(F289/F288),)</f>
        <v>0</v>
      </c>
      <c r="X289" s="296">
        <f t="shared" ref="X289" si="3050">IF(G288&gt;0,(G289/G288),)</f>
        <v>0</v>
      </c>
      <c r="Y289" s="311">
        <f t="shared" ref="Y289" si="3051">IF(H288&gt;0,(H289/H288),)</f>
        <v>0</v>
      </c>
      <c r="Z289" s="306">
        <f t="shared" ref="Z289" si="3052">IF(I288&gt;0,(I289/I288),)</f>
        <v>0</v>
      </c>
      <c r="AA289" s="296">
        <f t="shared" ref="AA289" si="3053">IF(J288&gt;0,(J289/J288),)</f>
        <v>0</v>
      </c>
      <c r="AB289" s="296">
        <f t="shared" ref="AB289" si="3054">IF(K288&gt;0,(K289/K288),)</f>
        <v>0</v>
      </c>
      <c r="AC289" s="296">
        <f t="shared" ref="AC289" si="3055">IF(L288&gt;0,(L289/L288),)</f>
        <v>0</v>
      </c>
      <c r="AD289" s="296">
        <f t="shared" ref="AD289" si="3056">IF(M288&gt;0,(M289/M288),)</f>
        <v>0</v>
      </c>
      <c r="AE289" s="311">
        <f t="shared" ref="AE289" si="3057">IF(N288&gt;0,(N289/N288),)</f>
        <v>0</v>
      </c>
      <c r="AF289" s="306">
        <f t="shared" ref="AF289" si="3058">IF(O288&gt;0,(O289/O288),)</f>
        <v>0</v>
      </c>
      <c r="AG289" s="296">
        <f t="shared" ref="AG289" si="3059">IF(P288&gt;0,(P289/P288),)</f>
        <v>0</v>
      </c>
      <c r="AH289" s="311">
        <f t="shared" ref="AH289" si="3060">IF(Q288&gt;0,(Q289/Q288),)</f>
        <v>0</v>
      </c>
      <c r="AI289" s="517">
        <f>IF(S287&gt;0,(S289-S287)/S287,)</f>
        <v>0</v>
      </c>
      <c r="AJ289" s="518">
        <f t="shared" ref="AJ289" si="3061">IF(T287&gt;0,(T289-T287)/T287,)</f>
        <v>0</v>
      </c>
      <c r="AK289" s="518">
        <f t="shared" ref="AK289" si="3062">IF(U287&gt;0,(U289-U287)/U287,)</f>
        <v>0</v>
      </c>
      <c r="AL289" s="518">
        <f t="shared" ref="AL289" si="3063">IF(V287&gt;0,(V289-V287)/V287,)</f>
        <v>0</v>
      </c>
      <c r="AM289" s="518">
        <f t="shared" ref="AM289" si="3064">IF(W287&gt;0,(W289-W287)/W287,)</f>
        <v>0</v>
      </c>
      <c r="AN289" s="518">
        <f t="shared" ref="AN289" si="3065">IF(X287&gt;0,(X289-X287)/X287,)</f>
        <v>0</v>
      </c>
      <c r="AO289" s="525">
        <f t="shared" ref="AO289" si="3066">IF(Y287&gt;0,(Y289-Y287)/Y287,)</f>
        <v>0</v>
      </c>
      <c r="AP289" s="518">
        <f t="shared" ref="AP289" si="3067">IF(Z287&gt;0,(Z289-Z287)/Z287,)</f>
        <v>0</v>
      </c>
      <c r="AQ289" s="518">
        <f t="shared" ref="AQ289" si="3068">IF(AA287&gt;0,(AA289-AA287)/AA287,)</f>
        <v>-1</v>
      </c>
      <c r="AR289" s="518">
        <f t="shared" ref="AR289" si="3069">IF(AB287&gt;0,(AB289-AB287)/AB287,)</f>
        <v>-1</v>
      </c>
      <c r="AS289" s="518">
        <f t="shared" ref="AS289" si="3070">IF(AC287&gt;0,(AC289-AC287)/AC287,)</f>
        <v>-1</v>
      </c>
      <c r="AT289" s="518">
        <f t="shared" ref="AT289" si="3071">IF(AD287&gt;0,(AD289-AD287)/AD287,)</f>
        <v>0</v>
      </c>
      <c r="AU289" s="525">
        <f t="shared" ref="AU289" si="3072">IF(AE287&gt;0,(AE289-AE287)/AE287,)</f>
        <v>-1</v>
      </c>
      <c r="AV289" s="518">
        <f t="shared" ref="AV289" si="3073">IF(AF287&gt;0,(AF289-AF287)/AF287,)</f>
        <v>0</v>
      </c>
      <c r="AW289" s="518">
        <f t="shared" ref="AW289" si="3074">IF(AG287&gt;0,(AG289-AG287)/AG287,)</f>
        <v>0</v>
      </c>
      <c r="AX289" s="525">
        <f t="shared" ref="AX289" si="3075">IF(AH287&gt;0,(AH289-AH287)/AH287,)</f>
        <v>0</v>
      </c>
    </row>
    <row r="290" spans="1:50" x14ac:dyDescent="0.2">
      <c r="A290" s="696" t="s">
        <v>1115</v>
      </c>
      <c r="B290" s="697">
        <v>4228</v>
      </c>
      <c r="C290" s="697">
        <v>2168</v>
      </c>
      <c r="D290" s="697">
        <v>2867</v>
      </c>
      <c r="E290" s="697">
        <v>280</v>
      </c>
      <c r="F290" s="697">
        <v>672</v>
      </c>
      <c r="G290" s="697">
        <v>372</v>
      </c>
      <c r="H290" s="697">
        <v>10587</v>
      </c>
      <c r="I290" s="697"/>
      <c r="J290" s="697">
        <v>2573</v>
      </c>
      <c r="K290" s="697">
        <v>2485</v>
      </c>
      <c r="L290" s="697">
        <v>1158</v>
      </c>
      <c r="M290" s="697"/>
      <c r="N290" s="697">
        <v>6216</v>
      </c>
      <c r="O290" s="697"/>
      <c r="P290" s="697"/>
      <c r="Q290" s="697"/>
      <c r="Y290" s="309"/>
      <c r="Z290" s="305"/>
      <c r="AE290" s="309"/>
      <c r="AF290" s="305"/>
      <c r="AH290" s="309"/>
      <c r="AI290" s="516"/>
      <c r="AO290" s="524"/>
      <c r="AU290" s="524"/>
      <c r="AX290" s="524"/>
    </row>
    <row r="291" spans="1:50" x14ac:dyDescent="0.2">
      <c r="A291" s="696" t="s">
        <v>1117</v>
      </c>
      <c r="B291" s="697">
        <v>389794869.10739464</v>
      </c>
      <c r="C291" s="697">
        <v>160523025.57678658</v>
      </c>
      <c r="D291" s="697">
        <v>199405606.49912727</v>
      </c>
      <c r="E291" s="697">
        <v>19606026.40164056</v>
      </c>
      <c r="F291" s="697">
        <v>44253142.582602337</v>
      </c>
      <c r="G291" s="697">
        <v>25247373.766437158</v>
      </c>
      <c r="H291" s="697">
        <v>838830043.93398857</v>
      </c>
      <c r="I291" s="697"/>
      <c r="J291" s="697">
        <v>122407302.41999999</v>
      </c>
      <c r="K291" s="697">
        <v>117594686.88000001</v>
      </c>
      <c r="L291" s="697">
        <v>53842148.640000001</v>
      </c>
      <c r="M291" s="697"/>
      <c r="N291" s="697">
        <v>293844137.94</v>
      </c>
      <c r="O291" s="697"/>
      <c r="P291" s="697"/>
      <c r="Q291" s="697"/>
      <c r="R291" s="294"/>
      <c r="S291" s="296">
        <f>IF(B290&gt;0,(B291/B290),)</f>
        <v>92193.677650755591</v>
      </c>
      <c r="T291" s="296">
        <f t="shared" ref="T291" si="3076">IF(C290&gt;0,(C291/C290),)</f>
        <v>74041.985967152475</v>
      </c>
      <c r="U291" s="296">
        <f t="shared" ref="U291" si="3077">IF(D290&gt;0,(D291/D290),)</f>
        <v>69552.007847620247</v>
      </c>
      <c r="V291" s="296">
        <f t="shared" ref="V291" si="3078">IF(E290&gt;0,(E291/E290),)</f>
        <v>70021.522863001999</v>
      </c>
      <c r="W291" s="296">
        <f t="shared" ref="W291" si="3079">IF(F290&gt;0,(F291/F290),)</f>
        <v>65852.890747920144</v>
      </c>
      <c r="X291" s="296">
        <f t="shared" ref="X291" si="3080">IF(G290&gt;0,(G291/G290),)</f>
        <v>67869.284318379461</v>
      </c>
      <c r="Y291" s="311">
        <f t="shared" ref="Y291" si="3081">IF(H290&gt;0,(H291/H290),)</f>
        <v>79232.081225464121</v>
      </c>
      <c r="Z291" s="306">
        <f t="shared" ref="Z291" si="3082">IF(I290&gt;0,(I291/I290),)</f>
        <v>0</v>
      </c>
      <c r="AA291" s="296">
        <f t="shared" ref="AA291" si="3083">IF(J290&gt;0,(J291/J290),)</f>
        <v>47573.766972405749</v>
      </c>
      <c r="AB291" s="296">
        <f t="shared" ref="AB291" si="3084">IF(K290&gt;0,(K291/K290),)</f>
        <v>47321.805585513081</v>
      </c>
      <c r="AC291" s="296">
        <f t="shared" ref="AC291" si="3085">IF(L290&gt;0,(L291/L290),)</f>
        <v>46495.810569948189</v>
      </c>
      <c r="AD291" s="296">
        <f t="shared" ref="AD291" si="3086">IF(M290&gt;0,(M291/M290),)</f>
        <v>0</v>
      </c>
      <c r="AE291" s="311">
        <f t="shared" ref="AE291" si="3087">IF(N290&gt;0,(N291/N290),)</f>
        <v>47272.222963320462</v>
      </c>
      <c r="AF291" s="306">
        <f t="shared" ref="AF291" si="3088">IF(O290&gt;0,(O291/O290),)</f>
        <v>0</v>
      </c>
      <c r="AG291" s="296">
        <f t="shared" ref="AG291" si="3089">IF(P290&gt;0,(P291/P290),)</f>
        <v>0</v>
      </c>
      <c r="AH291" s="311">
        <f t="shared" ref="AH291" si="3090">IF(Q290&gt;0,(Q291/Q290),)</f>
        <v>0</v>
      </c>
      <c r="AI291" s="516"/>
      <c r="AO291" s="524"/>
      <c r="AU291" s="524"/>
      <c r="AX291" s="524"/>
    </row>
    <row r="292" spans="1:50" x14ac:dyDescent="0.2">
      <c r="A292" s="696" t="s">
        <v>1119</v>
      </c>
      <c r="B292" s="697">
        <v>3791</v>
      </c>
      <c r="C292" s="697">
        <v>2150</v>
      </c>
      <c r="D292" s="697">
        <v>2808</v>
      </c>
      <c r="E292" s="697">
        <v>277</v>
      </c>
      <c r="F292" s="697">
        <v>675</v>
      </c>
      <c r="G292" s="697">
        <v>366</v>
      </c>
      <c r="H292" s="697">
        <v>10067</v>
      </c>
      <c r="I292" s="697"/>
      <c r="J292" s="697">
        <v>2682</v>
      </c>
      <c r="K292" s="697">
        <v>2443</v>
      </c>
      <c r="L292" s="697">
        <v>1172</v>
      </c>
      <c r="M292" s="697"/>
      <c r="N292" s="697">
        <v>6297</v>
      </c>
      <c r="O292" s="697"/>
      <c r="P292" s="697"/>
      <c r="Q292" s="697"/>
      <c r="Y292" s="309"/>
      <c r="Z292" s="305"/>
      <c r="AE292" s="309"/>
      <c r="AF292" s="305"/>
      <c r="AH292" s="309"/>
      <c r="AI292" s="516"/>
      <c r="AO292" s="524"/>
      <c r="AU292" s="524"/>
      <c r="AX292" s="524"/>
    </row>
    <row r="293" spans="1:50" ht="13.5" thickBot="1" x14ac:dyDescent="0.25">
      <c r="A293" s="701" t="s">
        <v>1121</v>
      </c>
      <c r="B293" s="702">
        <v>342715620.93044275</v>
      </c>
      <c r="C293" s="702">
        <v>155969072.66791832</v>
      </c>
      <c r="D293" s="702">
        <v>194771140.74669698</v>
      </c>
      <c r="E293" s="702">
        <v>19003104.41875378</v>
      </c>
      <c r="F293" s="702">
        <v>43341288.44771225</v>
      </c>
      <c r="G293" s="702">
        <v>24958771.981473956</v>
      </c>
      <c r="H293" s="702">
        <v>780758999.19299805</v>
      </c>
      <c r="I293" s="702"/>
      <c r="J293" s="702">
        <v>109069895.83499956</v>
      </c>
      <c r="K293" s="702">
        <v>112090752.90531826</v>
      </c>
      <c r="L293" s="702">
        <v>53514689.608971268</v>
      </c>
      <c r="M293" s="702"/>
      <c r="N293" s="702">
        <v>274675338.34928906</v>
      </c>
      <c r="O293" s="702"/>
      <c r="P293" s="702"/>
      <c r="Q293" s="702"/>
      <c r="S293" s="302">
        <f>IF(B292&gt;0,(B293/B292),)</f>
        <v>90402.432321404049</v>
      </c>
      <c r="T293" s="302">
        <f t="shared" ref="T293" si="3091">IF(C292&gt;0,(C293/C292),)</f>
        <v>72543.754729264343</v>
      </c>
      <c r="U293" s="302">
        <f t="shared" ref="U293" si="3092">IF(D292&gt;0,(D293/D292),)</f>
        <v>69362.94186135933</v>
      </c>
      <c r="V293" s="302">
        <f t="shared" ref="V293" si="3093">IF(E292&gt;0,(E293/E292),)</f>
        <v>68603.265049652633</v>
      </c>
      <c r="W293" s="302">
        <f t="shared" ref="W293" si="3094">IF(F292&gt;0,(F293/F292),)</f>
        <v>64209.316218832966</v>
      </c>
      <c r="X293" s="302">
        <f t="shared" ref="X293" si="3095">IF(G292&gt;0,(G293/G292),)</f>
        <v>68193.366069600976</v>
      </c>
      <c r="Y293" s="312">
        <f t="shared" ref="Y293" si="3096">IF(H292&gt;0,(H293/H292),)</f>
        <v>77556.272890930573</v>
      </c>
      <c r="Z293" s="307">
        <f t="shared" ref="Z293" si="3097">IF(I292&gt;0,(I293/I292),)</f>
        <v>0</v>
      </c>
      <c r="AA293" s="302">
        <f t="shared" ref="AA293" si="3098">IF(J292&gt;0,(J293/J292),)</f>
        <v>40667.373540268294</v>
      </c>
      <c r="AB293" s="302">
        <f t="shared" ref="AB293" si="3099">IF(K292&gt;0,(K293/K292),)</f>
        <v>45882.420346016479</v>
      </c>
      <c r="AC293" s="302">
        <f t="shared" ref="AC293" si="3100">IF(L292&gt;0,(L293/L292),)</f>
        <v>45660.997959873093</v>
      </c>
      <c r="AD293" s="302">
        <f t="shared" ref="AD293" si="3101">IF(M292&gt;0,(M293/M292),)</f>
        <v>0</v>
      </c>
      <c r="AE293" s="312">
        <f t="shared" ref="AE293" si="3102">IF(N292&gt;0,(N293/N292),)</f>
        <v>43620.031499013669</v>
      </c>
      <c r="AF293" s="307">
        <f t="shared" ref="AF293" si="3103">IF(O292&gt;0,(O293/O292),)</f>
        <v>0</v>
      </c>
      <c r="AG293" s="302">
        <f t="shared" ref="AG293" si="3104">IF(P292&gt;0,(P293/P292),)</f>
        <v>0</v>
      </c>
      <c r="AH293" s="312">
        <f t="shared" ref="AH293" si="3105">IF(Q292&gt;0,(Q293/Q292),)</f>
        <v>0</v>
      </c>
      <c r="AI293" s="519">
        <f>IF(S291&gt;0,(S293-S291)/S291,)</f>
        <v>-1.9429155827117201E-2</v>
      </c>
      <c r="AJ293" s="520">
        <f t="shared" ref="AJ293" si="3106">IF(T291&gt;0,(T293-T291)/T291,)</f>
        <v>-2.0234887251036168E-2</v>
      </c>
      <c r="AK293" s="520">
        <f t="shared" ref="AK293" si="3107">IF(U291&gt;0,(U293-U291)/U291,)</f>
        <v>-2.7183397303948034E-3</v>
      </c>
      <c r="AL293" s="520">
        <f t="shared" ref="AL293" si="3108">IF(V291&gt;0,(V293-V291)/V291,)</f>
        <v>-2.0254598234377245E-2</v>
      </c>
      <c r="AM293" s="520">
        <f t="shared" ref="AM293" si="3109">IF(W291&gt;0,(W293-W291)/W291,)</f>
        <v>-2.4958274578691715E-2</v>
      </c>
      <c r="AN293" s="520">
        <f t="shared" ref="AN293" si="3110">IF(X291&gt;0,(X293-X291)/X291,)</f>
        <v>4.7750872058886715E-3</v>
      </c>
      <c r="AO293" s="526">
        <f t="shared" ref="AO293" si="3111">IF(Y291&gt;0,(Y293-Y291)/Y291,)</f>
        <v>-2.1150628742981511E-2</v>
      </c>
      <c r="AP293" s="520">
        <f t="shared" ref="AP293" si="3112">IF(Z291&gt;0,(Z293-Z291)/Z291,)</f>
        <v>0</v>
      </c>
      <c r="AQ293" s="520">
        <f t="shared" ref="AQ293" si="3113">IF(AA291&gt;0,(AA293-AA291)/AA291,)</f>
        <v>-0.14517230548809337</v>
      </c>
      <c r="AR293" s="520">
        <f t="shared" ref="AR293" si="3114">IF(AB291&gt;0,(AB293-AB291)/AB291,)</f>
        <v>-3.0416955179268339E-2</v>
      </c>
      <c r="AS293" s="520">
        <f t="shared" ref="AS293" si="3115">IF(AC291&gt;0,(AC293-AC291)/AC291,)</f>
        <v>-1.7954576978913096E-2</v>
      </c>
      <c r="AT293" s="520">
        <f t="shared" ref="AT293" si="3116">IF(AD291&gt;0,(AD293-AD291)/AD291,)</f>
        <v>0</v>
      </c>
      <c r="AU293" s="526">
        <f t="shared" ref="AU293" si="3117">IF(AE291&gt;0,(AE293-AE291)/AE291,)</f>
        <v>-7.7258720562826247E-2</v>
      </c>
      <c r="AV293" s="520">
        <f t="shared" ref="AV293" si="3118">IF(AF291&gt;0,(AF293-AF291)/AF291,)</f>
        <v>0</v>
      </c>
      <c r="AW293" s="520">
        <f t="shared" ref="AW293" si="3119">IF(AG291&gt;0,(AG293-AG291)/AG291,)</f>
        <v>0</v>
      </c>
      <c r="AX293" s="526">
        <f t="shared" ref="AX293" si="3120">IF(AH291&gt;0,(AH293-AH291)/AH291,)</f>
        <v>0</v>
      </c>
    </row>
    <row r="294" spans="1:50" x14ac:dyDescent="0.2">
      <c r="A294" s="695" t="s">
        <v>41</v>
      </c>
      <c r="B294" s="697"/>
      <c r="C294" s="697"/>
      <c r="D294" s="697"/>
      <c r="E294" s="697"/>
      <c r="F294" s="697"/>
      <c r="G294" s="697"/>
      <c r="H294" s="697"/>
      <c r="I294" s="697"/>
      <c r="J294" s="697"/>
      <c r="K294" s="697"/>
      <c r="L294" s="697"/>
      <c r="M294" s="697"/>
      <c r="N294" s="697"/>
      <c r="O294" s="697"/>
      <c r="P294" s="697"/>
      <c r="Q294" s="697"/>
      <c r="Y294" s="309"/>
      <c r="Z294" s="305"/>
      <c r="AE294" s="309"/>
      <c r="AF294" s="305"/>
      <c r="AH294" s="309"/>
      <c r="AI294" s="516"/>
      <c r="AO294" s="524"/>
      <c r="AU294" s="524"/>
      <c r="AX294" s="524"/>
    </row>
    <row r="295" spans="1:50" x14ac:dyDescent="0.2">
      <c r="A295" s="696" t="s">
        <v>1067</v>
      </c>
      <c r="B295" s="697">
        <v>711</v>
      </c>
      <c r="C295" s="697"/>
      <c r="D295" s="697">
        <v>223</v>
      </c>
      <c r="E295" s="697">
        <v>47</v>
      </c>
      <c r="F295" s="697">
        <v>150</v>
      </c>
      <c r="G295" s="697">
        <v>38</v>
      </c>
      <c r="H295" s="697">
        <v>1169</v>
      </c>
      <c r="I295" s="697">
        <v>0</v>
      </c>
      <c r="J295" s="697">
        <v>0</v>
      </c>
      <c r="K295" s="697">
        <v>0</v>
      </c>
      <c r="L295" s="697">
        <v>0</v>
      </c>
      <c r="M295" s="697"/>
      <c r="N295" s="697">
        <v>0</v>
      </c>
      <c r="O295" s="697">
        <v>0</v>
      </c>
      <c r="P295" s="697">
        <v>0</v>
      </c>
      <c r="Q295" s="697">
        <v>0</v>
      </c>
      <c r="S295" s="295"/>
      <c r="T295" s="295"/>
      <c r="U295" s="295"/>
      <c r="V295" s="295"/>
      <c r="W295" s="295"/>
      <c r="X295" s="295"/>
      <c r="Y295" s="310"/>
      <c r="Z295" s="305"/>
      <c r="AA295" s="295"/>
      <c r="AB295" s="295"/>
      <c r="AC295" s="295"/>
      <c r="AD295" s="295"/>
      <c r="AE295" s="310"/>
      <c r="AF295" s="305"/>
      <c r="AG295" s="295"/>
      <c r="AH295" s="310"/>
      <c r="AI295" s="516"/>
      <c r="AO295" s="524"/>
      <c r="AU295" s="524"/>
      <c r="AX295" s="524"/>
    </row>
    <row r="296" spans="1:50" x14ac:dyDescent="0.2">
      <c r="A296" s="696" t="s">
        <v>1069</v>
      </c>
      <c r="B296" s="697">
        <v>79315369.519773364</v>
      </c>
      <c r="C296" s="697"/>
      <c r="D296" s="697">
        <v>16825054.957654722</v>
      </c>
      <c r="E296" s="697">
        <v>3409080.6612529</v>
      </c>
      <c r="F296" s="697">
        <v>10543563.630938984</v>
      </c>
      <c r="G296" s="697">
        <v>2331383.5705263158</v>
      </c>
      <c r="H296" s="697">
        <v>112424452.34014629</v>
      </c>
      <c r="I296" s="697">
        <v>0</v>
      </c>
      <c r="J296" s="697">
        <v>0</v>
      </c>
      <c r="K296" s="697">
        <v>0</v>
      </c>
      <c r="L296" s="697">
        <v>0</v>
      </c>
      <c r="M296" s="697"/>
      <c r="N296" s="697">
        <v>0</v>
      </c>
      <c r="O296" s="697">
        <v>0</v>
      </c>
      <c r="P296" s="697">
        <v>0</v>
      </c>
      <c r="Q296" s="697">
        <v>0</v>
      </c>
      <c r="S296" s="296">
        <f>IF(B295&gt;0,(B296/B295),)</f>
        <v>111554.66880418194</v>
      </c>
      <c r="T296" s="296">
        <f t="shared" ref="T296" si="3121">IF(C295&gt;0,(C296/C295),)</f>
        <v>0</v>
      </c>
      <c r="U296" s="296">
        <f t="shared" ref="U296" si="3122">IF(D295&gt;0,(D296/D295),)</f>
        <v>75448.67694015571</v>
      </c>
      <c r="V296" s="296">
        <f t="shared" ref="V296" si="3123">IF(E295&gt;0,(E296/E295),)</f>
        <v>72533.631090487237</v>
      </c>
      <c r="W296" s="296">
        <f t="shared" ref="W296" si="3124">IF(F295&gt;0,(F296/F295),)</f>
        <v>70290.424206259893</v>
      </c>
      <c r="X296" s="296">
        <f t="shared" ref="X296" si="3125">IF(G295&gt;0,(G296/G295),)</f>
        <v>61352.199224376731</v>
      </c>
      <c r="Y296" s="311">
        <f t="shared" ref="Y296" si="3126">IF(H295&gt;0,(H296/H295),)</f>
        <v>96171.473344864236</v>
      </c>
      <c r="Z296" s="306">
        <f t="shared" ref="Z296" si="3127">IF(I295&gt;0,(I296/I295),)</f>
        <v>0</v>
      </c>
      <c r="AA296" s="296">
        <f t="shared" ref="AA296" si="3128">IF(J295&gt;0,(J296/J295),)</f>
        <v>0</v>
      </c>
      <c r="AB296" s="296">
        <f t="shared" ref="AB296" si="3129">IF(K295&gt;0,(K296/K295),)</f>
        <v>0</v>
      </c>
      <c r="AC296" s="296">
        <f t="shared" ref="AC296" si="3130">IF(L295&gt;0,(L296/L295),)</f>
        <v>0</v>
      </c>
      <c r="AD296" s="296">
        <f t="shared" ref="AD296" si="3131">IF(M295&gt;0,(M296/M295),)</f>
        <v>0</v>
      </c>
      <c r="AE296" s="311">
        <f t="shared" ref="AE296" si="3132">IF(N295&gt;0,(N296/N295),)</f>
        <v>0</v>
      </c>
      <c r="AF296" s="306">
        <f t="shared" ref="AF296" si="3133">IF(O295&gt;0,(O296/O295),)</f>
        <v>0</v>
      </c>
      <c r="AG296" s="296">
        <f t="shared" ref="AG296" si="3134">IF(P295&gt;0,(P296/P295),)</f>
        <v>0</v>
      </c>
      <c r="AH296" s="311">
        <f t="shared" ref="AH296" si="3135">IF(Q295&gt;0,(Q296/Q295),)</f>
        <v>0</v>
      </c>
      <c r="AI296" s="516"/>
      <c r="AO296" s="524"/>
      <c r="AU296" s="524"/>
      <c r="AX296" s="524"/>
    </row>
    <row r="297" spans="1:50" x14ac:dyDescent="0.2">
      <c r="A297" s="696" t="s">
        <v>1071</v>
      </c>
      <c r="B297" s="697">
        <v>720</v>
      </c>
      <c r="C297" s="697"/>
      <c r="D297" s="697">
        <v>228</v>
      </c>
      <c r="E297" s="697">
        <v>53</v>
      </c>
      <c r="F297" s="697">
        <v>148</v>
      </c>
      <c r="G297" s="697">
        <v>40</v>
      </c>
      <c r="H297" s="697">
        <v>1189</v>
      </c>
      <c r="I297" s="697">
        <v>0</v>
      </c>
      <c r="J297" s="697">
        <v>0</v>
      </c>
      <c r="K297" s="697">
        <v>0</v>
      </c>
      <c r="L297" s="697">
        <v>0</v>
      </c>
      <c r="M297" s="697"/>
      <c r="N297" s="697">
        <v>0</v>
      </c>
      <c r="O297" s="697">
        <v>0</v>
      </c>
      <c r="P297" s="697">
        <v>0</v>
      </c>
      <c r="Q297" s="697">
        <v>0</v>
      </c>
      <c r="Y297" s="309"/>
      <c r="Z297" s="305"/>
      <c r="AE297" s="309"/>
      <c r="AF297" s="305"/>
      <c r="AH297" s="309"/>
      <c r="AI297" s="516"/>
      <c r="AO297" s="524"/>
      <c r="AU297" s="524"/>
      <c r="AX297" s="524"/>
    </row>
    <row r="298" spans="1:50" x14ac:dyDescent="0.2">
      <c r="A298" s="696" t="s">
        <v>1073</v>
      </c>
      <c r="B298" s="697">
        <v>80015617.807219937</v>
      </c>
      <c r="C298" s="697"/>
      <c r="D298" s="697">
        <v>17775784.37423313</v>
      </c>
      <c r="E298" s="697">
        <v>3946923.2772073923</v>
      </c>
      <c r="F298" s="697">
        <v>10657120.806003535</v>
      </c>
      <c r="G298" s="697">
        <v>2512821.9152950621</v>
      </c>
      <c r="H298" s="697">
        <v>114908268.17995906</v>
      </c>
      <c r="I298" s="697">
        <v>0</v>
      </c>
      <c r="J298" s="697">
        <v>0</v>
      </c>
      <c r="K298" s="697">
        <v>0</v>
      </c>
      <c r="L298" s="697">
        <v>0</v>
      </c>
      <c r="M298" s="697"/>
      <c r="N298" s="697">
        <v>0</v>
      </c>
      <c r="O298" s="697">
        <v>0</v>
      </c>
      <c r="P298" s="697">
        <v>0</v>
      </c>
      <c r="Q298" s="697">
        <v>0</v>
      </c>
      <c r="R298" s="294"/>
      <c r="S298" s="296">
        <f>IF(B297&gt;0,(B298/B297),)</f>
        <v>111132.80251002769</v>
      </c>
      <c r="T298" s="296">
        <f t="shared" ref="T298" si="3136">IF(C297&gt;0,(C298/C297),)</f>
        <v>0</v>
      </c>
      <c r="U298" s="296">
        <f t="shared" ref="U298" si="3137">IF(D297&gt;0,(D298/D297),)</f>
        <v>77963.966553654085</v>
      </c>
      <c r="V298" s="296">
        <f t="shared" ref="V298" si="3138">IF(E297&gt;0,(E298/E297),)</f>
        <v>74470.250513347026</v>
      </c>
      <c r="W298" s="296">
        <f t="shared" ref="W298" si="3139">IF(F297&gt;0,(F298/F297),)</f>
        <v>72007.573013537403</v>
      </c>
      <c r="X298" s="296">
        <f t="shared" ref="X298" si="3140">IF(G297&gt;0,(G298/G297),)</f>
        <v>62820.547882376552</v>
      </c>
      <c r="Y298" s="311">
        <f t="shared" ref="Y298" si="3141">IF(H297&gt;0,(H298/H297),)</f>
        <v>96642.782321243954</v>
      </c>
      <c r="Z298" s="306">
        <f t="shared" ref="Z298" si="3142">IF(I297&gt;0,(I298/I297),)</f>
        <v>0</v>
      </c>
      <c r="AA298" s="296">
        <f t="shared" ref="AA298" si="3143">IF(J297&gt;0,(J298/J297),)</f>
        <v>0</v>
      </c>
      <c r="AB298" s="296">
        <f t="shared" ref="AB298" si="3144">IF(K297&gt;0,(K298/K297),)</f>
        <v>0</v>
      </c>
      <c r="AC298" s="296">
        <f t="shared" ref="AC298" si="3145">IF(L297&gt;0,(L298/L297),)</f>
        <v>0</v>
      </c>
      <c r="AD298" s="296">
        <f t="shared" ref="AD298" si="3146">IF(M297&gt;0,(M298/M297),)</f>
        <v>0</v>
      </c>
      <c r="AE298" s="311">
        <f t="shared" ref="AE298" si="3147">IF(N297&gt;0,(N298/N297),)</f>
        <v>0</v>
      </c>
      <c r="AF298" s="306">
        <f t="shared" ref="AF298" si="3148">IF(O297&gt;0,(O298/O297),)</f>
        <v>0</v>
      </c>
      <c r="AG298" s="296">
        <f t="shared" ref="AG298" si="3149">IF(P297&gt;0,(P298/P297),)</f>
        <v>0</v>
      </c>
      <c r="AH298" s="311">
        <f t="shared" ref="AH298" si="3150">IF(Q297&gt;0,(Q298/Q297),)</f>
        <v>0</v>
      </c>
      <c r="AI298" s="517">
        <f>IF(S296&gt;0,(S298-S296)/S296,)</f>
        <v>-3.7817000281250637E-3</v>
      </c>
      <c r="AJ298" s="518">
        <f t="shared" ref="AJ298" si="3151">IF(T296&gt;0,(T298-T296)/T296,)</f>
        <v>0</v>
      </c>
      <c r="AK298" s="518">
        <f t="shared" ref="AK298" si="3152">IF(U296&gt;0,(U298-U296)/U296,)</f>
        <v>3.3337756412792359E-2</v>
      </c>
      <c r="AL298" s="518">
        <f t="shared" ref="AL298" si="3153">IF(V296&gt;0,(V298-V296)/V296,)</f>
        <v>2.669960670304531E-2</v>
      </c>
      <c r="AM298" s="518">
        <f t="shared" ref="AM298" si="3154">IF(W296&gt;0,(W298-W296)/W296,)</f>
        <v>2.4429341929118491E-2</v>
      </c>
      <c r="AN298" s="518">
        <f t="shared" ref="AN298" si="3155">IF(X296&gt;0,(X298-X296)/X296,)</f>
        <v>2.3933105521283578E-2</v>
      </c>
      <c r="AO298" s="525">
        <f t="shared" ref="AO298" si="3156">IF(Y296&gt;0,(Y298-Y296)/Y296,)</f>
        <v>4.9007149416296931E-3</v>
      </c>
      <c r="AP298" s="518">
        <f t="shared" ref="AP298" si="3157">IF(Z296&gt;0,(Z298-Z296)/Z296,)</f>
        <v>0</v>
      </c>
      <c r="AQ298" s="518">
        <f t="shared" ref="AQ298" si="3158">IF(AA296&gt;0,(AA298-AA296)/AA296,)</f>
        <v>0</v>
      </c>
      <c r="AR298" s="518">
        <f t="shared" ref="AR298" si="3159">IF(AB296&gt;0,(AB298-AB296)/AB296,)</f>
        <v>0</v>
      </c>
      <c r="AS298" s="518">
        <f t="shared" ref="AS298" si="3160">IF(AC296&gt;0,(AC298-AC296)/AC296,)</f>
        <v>0</v>
      </c>
      <c r="AT298" s="518">
        <f t="shared" ref="AT298" si="3161">IF(AD296&gt;0,(AD298-AD296)/AD296,)</f>
        <v>0</v>
      </c>
      <c r="AU298" s="525">
        <f t="shared" ref="AU298" si="3162">IF(AE296&gt;0,(AE298-AE296)/AE296,)</f>
        <v>0</v>
      </c>
      <c r="AV298" s="518">
        <f t="shared" ref="AV298" si="3163">IF(AF296&gt;0,(AF298-AF296)/AF296,)</f>
        <v>0</v>
      </c>
      <c r="AW298" s="518">
        <f t="shared" ref="AW298" si="3164">IF(AG296&gt;0,(AG298-AG296)/AG296,)</f>
        <v>0</v>
      </c>
      <c r="AX298" s="525">
        <f t="shared" ref="AX298" si="3165">IF(AH296&gt;0,(AH298-AH296)/AH296,)</f>
        <v>0</v>
      </c>
    </row>
    <row r="299" spans="1:50" x14ac:dyDescent="0.2">
      <c r="A299" s="696" t="s">
        <v>1075</v>
      </c>
      <c r="B299" s="697">
        <v>575</v>
      </c>
      <c r="C299" s="697"/>
      <c r="D299" s="697">
        <v>153</v>
      </c>
      <c r="E299" s="697">
        <v>35</v>
      </c>
      <c r="F299" s="697">
        <v>154</v>
      </c>
      <c r="G299" s="697">
        <v>58</v>
      </c>
      <c r="H299" s="697">
        <v>975</v>
      </c>
      <c r="I299" s="697">
        <v>0</v>
      </c>
      <c r="J299" s="697">
        <v>0</v>
      </c>
      <c r="K299" s="697">
        <v>0</v>
      </c>
      <c r="L299" s="697">
        <v>0</v>
      </c>
      <c r="M299" s="697"/>
      <c r="N299" s="697">
        <v>0</v>
      </c>
      <c r="O299" s="697">
        <v>0</v>
      </c>
      <c r="P299" s="697">
        <v>0</v>
      </c>
      <c r="Q299" s="697">
        <v>0</v>
      </c>
      <c r="Y299" s="309"/>
      <c r="Z299" s="305"/>
      <c r="AE299" s="309"/>
      <c r="AF299" s="305"/>
      <c r="AH299" s="309"/>
      <c r="AI299" s="516"/>
      <c r="AO299" s="524"/>
      <c r="AU299" s="524"/>
      <c r="AX299" s="524"/>
    </row>
    <row r="300" spans="1:50" x14ac:dyDescent="0.2">
      <c r="A300" s="698" t="s">
        <v>1077</v>
      </c>
      <c r="B300" s="699">
        <v>42094272.521184072</v>
      </c>
      <c r="C300" s="699"/>
      <c r="D300" s="699">
        <v>9207813.1185410339</v>
      </c>
      <c r="E300" s="699">
        <v>2146480</v>
      </c>
      <c r="F300" s="699">
        <v>9218438.1857805233</v>
      </c>
      <c r="G300" s="699">
        <v>3150552.429624245</v>
      </c>
      <c r="H300" s="699">
        <v>65817556.255129874</v>
      </c>
      <c r="I300" s="699">
        <v>0</v>
      </c>
      <c r="J300" s="699">
        <v>0</v>
      </c>
      <c r="K300" s="699">
        <v>0</v>
      </c>
      <c r="L300" s="699">
        <v>0</v>
      </c>
      <c r="M300" s="699"/>
      <c r="N300" s="699">
        <v>0</v>
      </c>
      <c r="O300" s="699">
        <v>0</v>
      </c>
      <c r="P300" s="699">
        <v>0</v>
      </c>
      <c r="Q300" s="699">
        <v>0</v>
      </c>
      <c r="S300" s="296">
        <f>IF(B299&gt;0,(B300/B299),)</f>
        <v>73207.430471624466</v>
      </c>
      <c r="T300" s="296">
        <f t="shared" ref="T300" si="3166">IF(C299&gt;0,(C300/C299),)</f>
        <v>0</v>
      </c>
      <c r="U300" s="296">
        <f t="shared" ref="U300" si="3167">IF(D299&gt;0,(D300/D299),)</f>
        <v>60181.785088503493</v>
      </c>
      <c r="V300" s="296">
        <f t="shared" ref="V300" si="3168">IF(E299&gt;0,(E300/E299),)</f>
        <v>61328</v>
      </c>
      <c r="W300" s="296">
        <f t="shared" ref="W300" si="3169">IF(F299&gt;0,(F300/F299),)</f>
        <v>59859.988219354047</v>
      </c>
      <c r="X300" s="296">
        <f t="shared" ref="X300" si="3170">IF(G299&gt;0,(G300/G299),)</f>
        <v>54319.869476280088</v>
      </c>
      <c r="Y300" s="311">
        <f t="shared" ref="Y300" si="3171">IF(H299&gt;0,(H300/H299),)</f>
        <v>67505.185902697311</v>
      </c>
      <c r="Z300" s="306">
        <f t="shared" ref="Z300" si="3172">IF(I299&gt;0,(I300/I299),)</f>
        <v>0</v>
      </c>
      <c r="AA300" s="296">
        <f t="shared" ref="AA300" si="3173">IF(J299&gt;0,(J300/J299),)</f>
        <v>0</v>
      </c>
      <c r="AB300" s="296">
        <f t="shared" ref="AB300" si="3174">IF(K299&gt;0,(K300/K299),)</f>
        <v>0</v>
      </c>
      <c r="AC300" s="296">
        <f t="shared" ref="AC300" si="3175">IF(L299&gt;0,(L300/L299),)</f>
        <v>0</v>
      </c>
      <c r="AD300" s="296">
        <f t="shared" ref="AD300" si="3176">IF(M299&gt;0,(M300/M299),)</f>
        <v>0</v>
      </c>
      <c r="AE300" s="311">
        <f t="shared" ref="AE300" si="3177">IF(N299&gt;0,(N300/N299),)</f>
        <v>0</v>
      </c>
      <c r="AF300" s="306">
        <f t="shared" ref="AF300" si="3178">IF(O299&gt;0,(O300/O299),)</f>
        <v>0</v>
      </c>
      <c r="AG300" s="296">
        <f t="shared" ref="AG300" si="3179">IF(P299&gt;0,(P300/P299),)</f>
        <v>0</v>
      </c>
      <c r="AH300" s="311">
        <f t="shared" ref="AH300" si="3180">IF(Q299&gt;0,(Q300/Q299),)</f>
        <v>0</v>
      </c>
      <c r="AI300" s="516"/>
      <c r="AO300" s="524"/>
      <c r="AU300" s="524"/>
      <c r="AX300" s="524"/>
    </row>
    <row r="301" spans="1:50" x14ac:dyDescent="0.2">
      <c r="A301" s="696" t="s">
        <v>1079</v>
      </c>
      <c r="B301" s="697">
        <v>588</v>
      </c>
      <c r="C301" s="697"/>
      <c r="D301" s="697">
        <v>164</v>
      </c>
      <c r="E301" s="697">
        <v>25</v>
      </c>
      <c r="F301" s="697">
        <v>152</v>
      </c>
      <c r="G301" s="697">
        <v>51</v>
      </c>
      <c r="H301" s="697">
        <v>980</v>
      </c>
      <c r="I301" s="697">
        <v>0</v>
      </c>
      <c r="J301" s="697">
        <v>0</v>
      </c>
      <c r="K301" s="697">
        <v>0</v>
      </c>
      <c r="L301" s="697">
        <v>0</v>
      </c>
      <c r="M301" s="697"/>
      <c r="N301" s="697">
        <v>0</v>
      </c>
      <c r="O301" s="697">
        <v>0</v>
      </c>
      <c r="P301" s="697">
        <v>0</v>
      </c>
      <c r="Q301" s="697">
        <v>0</v>
      </c>
      <c r="Y301" s="309"/>
      <c r="Z301" s="305"/>
      <c r="AE301" s="309"/>
      <c r="AF301" s="305"/>
      <c r="AH301" s="309"/>
      <c r="AI301" s="516"/>
      <c r="AO301" s="524"/>
      <c r="AU301" s="524"/>
      <c r="AX301" s="524"/>
    </row>
    <row r="302" spans="1:50" x14ac:dyDescent="0.2">
      <c r="A302" s="696" t="s">
        <v>1081</v>
      </c>
      <c r="B302" s="697">
        <v>43515452.824104682</v>
      </c>
      <c r="C302" s="697"/>
      <c r="D302" s="697">
        <v>10467175.173770491</v>
      </c>
      <c r="E302" s="697">
        <v>1515019.1629955948</v>
      </c>
      <c r="F302" s="697">
        <v>9207133.4643748105</v>
      </c>
      <c r="G302" s="697">
        <v>2622781.1631293474</v>
      </c>
      <c r="H302" s="697">
        <v>67327561.788374916</v>
      </c>
      <c r="I302" s="697">
        <v>0</v>
      </c>
      <c r="J302" s="697">
        <v>0</v>
      </c>
      <c r="K302" s="697">
        <v>0</v>
      </c>
      <c r="L302" s="697">
        <v>0</v>
      </c>
      <c r="M302" s="697"/>
      <c r="N302" s="697">
        <v>0</v>
      </c>
      <c r="O302" s="697">
        <v>0</v>
      </c>
      <c r="P302" s="697">
        <v>0</v>
      </c>
      <c r="Q302" s="697">
        <v>0</v>
      </c>
      <c r="R302" s="294"/>
      <c r="S302" s="296">
        <f>IF(B301&gt;0,(B302/B301),)</f>
        <v>74005.872149837887</v>
      </c>
      <c r="T302" s="296">
        <f t="shared" ref="T302" si="3181">IF(C301&gt;0,(C302/C301),)</f>
        <v>0</v>
      </c>
      <c r="U302" s="296">
        <f t="shared" ref="U302" si="3182">IF(D301&gt;0,(D302/D301),)</f>
        <v>63824.238864454215</v>
      </c>
      <c r="V302" s="296">
        <f t="shared" ref="V302" si="3183">IF(E301&gt;0,(E302/E301),)</f>
        <v>60600.766519823788</v>
      </c>
      <c r="W302" s="296">
        <f t="shared" ref="W302" si="3184">IF(F301&gt;0,(F302/F301),)</f>
        <v>60573.246476150067</v>
      </c>
      <c r="X302" s="296">
        <f t="shared" ref="X302" si="3185">IF(G301&gt;0,(G302/G301),)</f>
        <v>51427.081629987202</v>
      </c>
      <c r="Y302" s="311">
        <f t="shared" ref="Y302" si="3186">IF(H301&gt;0,(H302/H301),)</f>
        <v>68701.593661607054</v>
      </c>
      <c r="Z302" s="306">
        <f t="shared" ref="Z302" si="3187">IF(I301&gt;0,(I302/I301),)</f>
        <v>0</v>
      </c>
      <c r="AA302" s="296">
        <f t="shared" ref="AA302" si="3188">IF(J301&gt;0,(J302/J301),)</f>
        <v>0</v>
      </c>
      <c r="AB302" s="296">
        <f t="shared" ref="AB302" si="3189">IF(K301&gt;0,(K302/K301),)</f>
        <v>0</v>
      </c>
      <c r="AC302" s="296">
        <f t="shared" ref="AC302" si="3190">IF(L301&gt;0,(L302/L301),)</f>
        <v>0</v>
      </c>
      <c r="AD302" s="296">
        <f t="shared" ref="AD302" si="3191">IF(M301&gt;0,(M302/M301),)</f>
        <v>0</v>
      </c>
      <c r="AE302" s="311">
        <f t="shared" ref="AE302" si="3192">IF(N301&gt;0,(N302/N301),)</f>
        <v>0</v>
      </c>
      <c r="AF302" s="306">
        <f t="shared" ref="AF302" si="3193">IF(O301&gt;0,(O302/O301),)</f>
        <v>0</v>
      </c>
      <c r="AG302" s="296">
        <f t="shared" ref="AG302" si="3194">IF(P301&gt;0,(P302/P301),)</f>
        <v>0</v>
      </c>
      <c r="AH302" s="311">
        <f t="shared" ref="AH302" si="3195">IF(Q301&gt;0,(Q302/Q301),)</f>
        <v>0</v>
      </c>
      <c r="AI302" s="517">
        <f>IF(S300&gt;0,(S302-S300)/S300,)</f>
        <v>1.0906566083109567E-2</v>
      </c>
      <c r="AJ302" s="518">
        <f t="shared" ref="AJ302" si="3196">IF(T300&gt;0,(T302-T300)/T300,)</f>
        <v>0</v>
      </c>
      <c r="AK302" s="518">
        <f t="shared" ref="AK302" si="3197">IF(U300&gt;0,(U302-U300)/U300,)</f>
        <v>6.0524189679553704E-2</v>
      </c>
      <c r="AL302" s="527">
        <f t="shared" ref="AL302" si="3198">IF(V300&gt;0,(V302-V300)/V300,)</f>
        <v>-1.1858098750590461E-2</v>
      </c>
      <c r="AM302" s="518">
        <f t="shared" ref="AM302" si="3199">IF(W300&gt;0,(W302-W300)/W300,)</f>
        <v>1.1915442652315922E-2</v>
      </c>
      <c r="AN302" s="527">
        <f t="shared" ref="AN302" si="3200">IF(X300&gt;0,(X302-X300)/X300,)</f>
        <v>-5.3254690671819128E-2</v>
      </c>
      <c r="AO302" s="525">
        <f t="shared" ref="AO302" si="3201">IF(Y300&gt;0,(Y302-Y300)/Y300,)</f>
        <v>1.7723197750084831E-2</v>
      </c>
      <c r="AP302" s="518">
        <f t="shared" ref="AP302" si="3202">IF(Z300&gt;0,(Z302-Z300)/Z300,)</f>
        <v>0</v>
      </c>
      <c r="AQ302" s="518">
        <f t="shared" ref="AQ302" si="3203">IF(AA300&gt;0,(AA302-AA300)/AA300,)</f>
        <v>0</v>
      </c>
      <c r="AR302" s="518">
        <f t="shared" ref="AR302" si="3204">IF(AB300&gt;0,(AB302-AB300)/AB300,)</f>
        <v>0</v>
      </c>
      <c r="AS302" s="518">
        <f t="shared" ref="AS302" si="3205">IF(AC300&gt;0,(AC302-AC300)/AC300,)</f>
        <v>0</v>
      </c>
      <c r="AT302" s="518">
        <f t="shared" ref="AT302" si="3206">IF(AD300&gt;0,(AD302-AD300)/AD300,)</f>
        <v>0</v>
      </c>
      <c r="AU302" s="525">
        <f t="shared" ref="AU302" si="3207">IF(AE300&gt;0,(AE302-AE300)/AE300,)</f>
        <v>0</v>
      </c>
      <c r="AV302" s="518">
        <f t="shared" ref="AV302" si="3208">IF(AF300&gt;0,(AF302-AF300)/AF300,)</f>
        <v>0</v>
      </c>
      <c r="AW302" s="518">
        <f t="shared" ref="AW302" si="3209">IF(AG300&gt;0,(AG302-AG300)/AG300,)</f>
        <v>0</v>
      </c>
      <c r="AX302" s="525">
        <f t="shared" ref="AX302" si="3210">IF(AH300&gt;0,(AH302-AH300)/AH300,)</f>
        <v>0</v>
      </c>
    </row>
    <row r="303" spans="1:50" x14ac:dyDescent="0.2">
      <c r="A303" s="696" t="s">
        <v>1083</v>
      </c>
      <c r="B303" s="697">
        <v>486</v>
      </c>
      <c r="C303" s="697"/>
      <c r="D303" s="697">
        <v>220</v>
      </c>
      <c r="E303" s="697">
        <v>29</v>
      </c>
      <c r="F303" s="697">
        <v>231</v>
      </c>
      <c r="G303" s="697">
        <v>61</v>
      </c>
      <c r="H303" s="697">
        <v>1027</v>
      </c>
      <c r="I303" s="697">
        <v>0</v>
      </c>
      <c r="J303" s="697">
        <v>0</v>
      </c>
      <c r="K303" s="697">
        <v>0</v>
      </c>
      <c r="L303" s="697">
        <v>0</v>
      </c>
      <c r="M303" s="697"/>
      <c r="N303" s="697">
        <v>0</v>
      </c>
      <c r="O303" s="697">
        <v>0</v>
      </c>
      <c r="P303" s="697">
        <v>0</v>
      </c>
      <c r="Q303" s="697">
        <v>0</v>
      </c>
      <c r="Y303" s="309"/>
      <c r="Z303" s="305"/>
      <c r="AE303" s="309"/>
      <c r="AF303" s="305"/>
      <c r="AH303" s="309"/>
      <c r="AI303" s="516"/>
      <c r="AO303" s="524"/>
      <c r="AU303" s="524"/>
      <c r="AX303" s="524"/>
    </row>
    <row r="304" spans="1:50" x14ac:dyDescent="0.2">
      <c r="A304" s="696" t="s">
        <v>1085</v>
      </c>
      <c r="B304" s="697">
        <v>31823339.451137822</v>
      </c>
      <c r="C304" s="697"/>
      <c r="D304" s="697">
        <v>12277062.431211498</v>
      </c>
      <c r="E304" s="697">
        <v>1541475.9239543725</v>
      </c>
      <c r="F304" s="697">
        <v>11572410.744103618</v>
      </c>
      <c r="G304" s="697">
        <v>2863949.2507600794</v>
      </c>
      <c r="H304" s="697">
        <v>60078237.801167391</v>
      </c>
      <c r="I304" s="697">
        <v>0</v>
      </c>
      <c r="J304" s="697">
        <v>0</v>
      </c>
      <c r="K304" s="697">
        <v>0</v>
      </c>
      <c r="L304" s="697">
        <v>0</v>
      </c>
      <c r="M304" s="697"/>
      <c r="N304" s="697">
        <v>0</v>
      </c>
      <c r="O304" s="697">
        <v>0</v>
      </c>
      <c r="P304" s="697">
        <v>0</v>
      </c>
      <c r="Q304" s="697">
        <v>0</v>
      </c>
      <c r="R304" s="294"/>
      <c r="S304" s="296">
        <f>IF(B303&gt;0,(B304/B303),)</f>
        <v>65480.122327444078</v>
      </c>
      <c r="T304" s="296">
        <f t="shared" ref="T304" si="3211">IF(C303&gt;0,(C304/C303),)</f>
        <v>0</v>
      </c>
      <c r="U304" s="296">
        <f t="shared" ref="U304" si="3212">IF(D303&gt;0,(D304/D303),)</f>
        <v>55804.829232779535</v>
      </c>
      <c r="V304" s="296">
        <f t="shared" ref="V304" si="3213">IF(E303&gt;0,(E304/E303),)</f>
        <v>53154.342205323192</v>
      </c>
      <c r="W304" s="296">
        <f t="shared" ref="W304" si="3214">IF(F303&gt;0,(F304/F303),)</f>
        <v>50097.01620824077</v>
      </c>
      <c r="X304" s="296">
        <f t="shared" ref="X304" si="3215">IF(G303&gt;0,(G304/G303),)</f>
        <v>46949.987717378353</v>
      </c>
      <c r="Y304" s="311">
        <f t="shared" ref="Y304" si="3216">IF(H303&gt;0,(H304/H303),)</f>
        <v>58498.770984583636</v>
      </c>
      <c r="Z304" s="306">
        <f t="shared" ref="Z304" si="3217">IF(I303&gt;0,(I304/I303),)</f>
        <v>0</v>
      </c>
      <c r="AA304" s="296">
        <f t="shared" ref="AA304" si="3218">IF(J303&gt;0,(J304/J303),)</f>
        <v>0</v>
      </c>
      <c r="AB304" s="296">
        <f t="shared" ref="AB304" si="3219">IF(K303&gt;0,(K304/K303),)</f>
        <v>0</v>
      </c>
      <c r="AC304" s="296">
        <f t="shared" ref="AC304" si="3220">IF(L303&gt;0,(L304/L303),)</f>
        <v>0</v>
      </c>
      <c r="AD304" s="296">
        <f t="shared" ref="AD304" si="3221">IF(M303&gt;0,(M304/M303),)</f>
        <v>0</v>
      </c>
      <c r="AE304" s="311">
        <f t="shared" ref="AE304" si="3222">IF(N303&gt;0,(N304/N303),)</f>
        <v>0</v>
      </c>
      <c r="AF304" s="306">
        <f t="shared" ref="AF304" si="3223">IF(O303&gt;0,(O304/O303),)</f>
        <v>0</v>
      </c>
      <c r="AG304" s="296">
        <f t="shared" ref="AG304" si="3224">IF(P303&gt;0,(P304/P303),)</f>
        <v>0</v>
      </c>
      <c r="AH304" s="311">
        <f t="shared" ref="AH304" si="3225">IF(Q303&gt;0,(Q304/Q303),)</f>
        <v>0</v>
      </c>
      <c r="AI304" s="516"/>
      <c r="AO304" s="524"/>
      <c r="AU304" s="524"/>
      <c r="AX304" s="524"/>
    </row>
    <row r="305" spans="1:50" x14ac:dyDescent="0.2">
      <c r="A305" s="696" t="s">
        <v>1087</v>
      </c>
      <c r="B305" s="697">
        <v>456</v>
      </c>
      <c r="C305" s="697"/>
      <c r="D305" s="697">
        <v>224</v>
      </c>
      <c r="E305" s="697">
        <v>33</v>
      </c>
      <c r="F305" s="697">
        <v>236</v>
      </c>
      <c r="G305" s="697">
        <v>64</v>
      </c>
      <c r="H305" s="697">
        <v>1013</v>
      </c>
      <c r="I305" s="697">
        <v>0</v>
      </c>
      <c r="J305" s="697">
        <v>0</v>
      </c>
      <c r="K305" s="697">
        <v>0</v>
      </c>
      <c r="L305" s="697">
        <v>0</v>
      </c>
      <c r="M305" s="697"/>
      <c r="N305" s="697">
        <v>0</v>
      </c>
      <c r="O305" s="697">
        <v>0</v>
      </c>
      <c r="P305" s="697">
        <v>0</v>
      </c>
      <c r="Q305" s="697">
        <v>0</v>
      </c>
      <c r="Y305" s="309"/>
      <c r="Z305" s="305"/>
      <c r="AE305" s="309"/>
      <c r="AF305" s="305"/>
      <c r="AH305" s="309"/>
      <c r="AI305" s="516"/>
      <c r="AO305" s="524"/>
      <c r="AU305" s="524"/>
      <c r="AX305" s="524"/>
    </row>
    <row r="306" spans="1:50" x14ac:dyDescent="0.2">
      <c r="A306" s="696" t="s">
        <v>1089</v>
      </c>
      <c r="B306" s="697">
        <v>30389890.51728633</v>
      </c>
      <c r="C306" s="697"/>
      <c r="D306" s="697">
        <v>12512230.45151812</v>
      </c>
      <c r="E306" s="697">
        <v>1761372.5276872965</v>
      </c>
      <c r="F306" s="697">
        <v>12075780.729490619</v>
      </c>
      <c r="G306" s="697">
        <v>2819228.785486212</v>
      </c>
      <c r="H306" s="697">
        <v>59558503.011468582</v>
      </c>
      <c r="I306" s="697">
        <v>0</v>
      </c>
      <c r="J306" s="697">
        <v>0</v>
      </c>
      <c r="K306" s="697">
        <v>0</v>
      </c>
      <c r="L306" s="697">
        <v>0</v>
      </c>
      <c r="M306" s="697"/>
      <c r="N306" s="697">
        <v>0</v>
      </c>
      <c r="O306" s="697">
        <v>0</v>
      </c>
      <c r="P306" s="697">
        <v>0</v>
      </c>
      <c r="Q306" s="697">
        <v>0</v>
      </c>
      <c r="R306" s="294"/>
      <c r="S306" s="296">
        <f>IF(B305&gt;0,(B306/B305),)</f>
        <v>66644.496748434933</v>
      </c>
      <c r="T306" s="296">
        <f t="shared" ref="T306" si="3226">IF(C305&gt;0,(C306/C305),)</f>
        <v>0</v>
      </c>
      <c r="U306" s="296">
        <f t="shared" ref="U306" si="3227">IF(D305&gt;0,(D306/D305),)</f>
        <v>55858.171658563035</v>
      </c>
      <c r="V306" s="296">
        <f t="shared" ref="V306" si="3228">IF(E305&gt;0,(E306/E305),)</f>
        <v>53374.925081433226</v>
      </c>
      <c r="W306" s="296">
        <f t="shared" ref="W306" si="3229">IF(F305&gt;0,(F306/F305),)</f>
        <v>51168.562413095846</v>
      </c>
      <c r="X306" s="296">
        <f t="shared" ref="X306" si="3230">IF(G305&gt;0,(G306/G305),)</f>
        <v>44050.449773222063</v>
      </c>
      <c r="Y306" s="311">
        <f t="shared" ref="Y306" si="3231">IF(H305&gt;0,(H306/H305),)</f>
        <v>58794.178688517852</v>
      </c>
      <c r="Z306" s="306">
        <f t="shared" ref="Z306" si="3232">IF(I305&gt;0,(I306/I305),)</f>
        <v>0</v>
      </c>
      <c r="AA306" s="296">
        <f t="shared" ref="AA306" si="3233">IF(J305&gt;0,(J306/J305),)</f>
        <v>0</v>
      </c>
      <c r="AB306" s="296">
        <f t="shared" ref="AB306" si="3234">IF(K305&gt;0,(K306/K305),)</f>
        <v>0</v>
      </c>
      <c r="AC306" s="296">
        <f t="shared" ref="AC306" si="3235">IF(L305&gt;0,(L306/L305),)</f>
        <v>0</v>
      </c>
      <c r="AD306" s="296">
        <f t="shared" ref="AD306" si="3236">IF(M305&gt;0,(M306/M305),)</f>
        <v>0</v>
      </c>
      <c r="AE306" s="311">
        <f t="shared" ref="AE306" si="3237">IF(N305&gt;0,(N306/N305),)</f>
        <v>0</v>
      </c>
      <c r="AF306" s="306">
        <f t="shared" ref="AF306" si="3238">IF(O305&gt;0,(O306/O305),)</f>
        <v>0</v>
      </c>
      <c r="AG306" s="296">
        <f t="shared" ref="AG306" si="3239">IF(P305&gt;0,(P306/P305),)</f>
        <v>0</v>
      </c>
      <c r="AH306" s="311">
        <f t="shared" ref="AH306" si="3240">IF(Q305&gt;0,(Q306/Q305),)</f>
        <v>0</v>
      </c>
      <c r="AI306" s="517">
        <f>IF(S304&gt;0,(S306-S304)/S304,)</f>
        <v>1.7782105158084611E-2</v>
      </c>
      <c r="AJ306" s="518">
        <f t="shared" ref="AJ306" si="3241">IF(T304&gt;0,(T306-T304)/T304,)</f>
        <v>0</v>
      </c>
      <c r="AK306" s="518">
        <f t="shared" ref="AK306" si="3242">IF(U304&gt;0,(U306-U304)/U304,)</f>
        <v>9.5587472476604883E-4</v>
      </c>
      <c r="AL306" s="518">
        <f t="shared" ref="AL306" si="3243">IF(V304&gt;0,(V306-V304)/V304,)</f>
        <v>4.1498561915783473E-3</v>
      </c>
      <c r="AM306" s="518">
        <f t="shared" ref="AM306" si="3244">IF(W304&gt;0,(W306-W304)/W304,)</f>
        <v>2.1389421685334045E-2</v>
      </c>
      <c r="AN306" s="527">
        <f t="shared" ref="AN306" si="3245">IF(X304&gt;0,(X306-X304)/X304,)</f>
        <v>-6.1758012837201198E-2</v>
      </c>
      <c r="AO306" s="525">
        <f t="shared" ref="AO306" si="3246">IF(Y304&gt;0,(Y306-Y304)/Y304,)</f>
        <v>5.049810431266415E-3</v>
      </c>
      <c r="AP306" s="518">
        <f t="shared" ref="AP306" si="3247">IF(Z304&gt;0,(Z306-Z304)/Z304,)</f>
        <v>0</v>
      </c>
      <c r="AQ306" s="518">
        <f t="shared" ref="AQ306" si="3248">IF(AA304&gt;0,(AA306-AA304)/AA304,)</f>
        <v>0</v>
      </c>
      <c r="AR306" s="518">
        <f t="shared" ref="AR306" si="3249">IF(AB304&gt;0,(AB306-AB304)/AB304,)</f>
        <v>0</v>
      </c>
      <c r="AS306" s="518">
        <f t="shared" ref="AS306" si="3250">IF(AC304&gt;0,(AC306-AC304)/AC304,)</f>
        <v>0</v>
      </c>
      <c r="AT306" s="518">
        <f t="shared" ref="AT306" si="3251">IF(AD304&gt;0,(AD306-AD304)/AD304,)</f>
        <v>0</v>
      </c>
      <c r="AU306" s="525">
        <f t="shared" ref="AU306" si="3252">IF(AE304&gt;0,(AE306-AE304)/AE304,)</f>
        <v>0</v>
      </c>
      <c r="AV306" s="518">
        <f t="shared" ref="AV306" si="3253">IF(AF304&gt;0,(AF306-AF304)/AF304,)</f>
        <v>0</v>
      </c>
      <c r="AW306" s="518">
        <f t="shared" ref="AW306" si="3254">IF(AG304&gt;0,(AG306-AG304)/AG304,)</f>
        <v>0</v>
      </c>
      <c r="AX306" s="525">
        <f t="shared" ref="AX306" si="3255">IF(AH304&gt;0,(AH306-AH304)/AH304,)</f>
        <v>0</v>
      </c>
    </row>
    <row r="307" spans="1:50" x14ac:dyDescent="0.2">
      <c r="A307" s="696" t="s">
        <v>1091</v>
      </c>
      <c r="B307" s="697">
        <v>288</v>
      </c>
      <c r="C307" s="697"/>
      <c r="D307" s="697">
        <v>179</v>
      </c>
      <c r="E307" s="697">
        <v>17</v>
      </c>
      <c r="F307" s="697">
        <v>250</v>
      </c>
      <c r="G307" s="697">
        <v>50</v>
      </c>
      <c r="H307" s="697">
        <v>784</v>
      </c>
      <c r="I307" s="697">
        <v>0</v>
      </c>
      <c r="J307" s="697">
        <v>0</v>
      </c>
      <c r="K307" s="697">
        <v>0</v>
      </c>
      <c r="L307" s="697">
        <v>0</v>
      </c>
      <c r="M307" s="697"/>
      <c r="N307" s="697">
        <v>0</v>
      </c>
      <c r="O307" s="697">
        <v>0</v>
      </c>
      <c r="P307" s="697">
        <v>0</v>
      </c>
      <c r="Q307" s="697">
        <v>0</v>
      </c>
      <c r="Y307" s="309"/>
      <c r="Z307" s="305"/>
      <c r="AE307" s="309"/>
      <c r="AF307" s="305"/>
      <c r="AH307" s="309"/>
      <c r="AI307" s="516"/>
      <c r="AO307" s="524"/>
      <c r="AU307" s="524"/>
      <c r="AX307" s="524"/>
    </row>
    <row r="308" spans="1:50" x14ac:dyDescent="0.2">
      <c r="A308" s="696" t="s">
        <v>1093</v>
      </c>
      <c r="B308" s="697">
        <v>12084438.43692467</v>
      </c>
      <c r="C308" s="697"/>
      <c r="D308" s="697">
        <v>7331237.5262449523</v>
      </c>
      <c r="E308" s="697">
        <v>717068.76073619642</v>
      </c>
      <c r="F308" s="697">
        <v>10711961.216261417</v>
      </c>
      <c r="G308" s="697">
        <v>1949297.4781445139</v>
      </c>
      <c r="H308" s="697">
        <v>32794003.418311752</v>
      </c>
      <c r="I308" s="697">
        <v>0</v>
      </c>
      <c r="J308" s="697">
        <v>0</v>
      </c>
      <c r="K308" s="697">
        <v>0</v>
      </c>
      <c r="L308" s="697">
        <v>0</v>
      </c>
      <c r="M308" s="697"/>
      <c r="N308" s="697">
        <v>0</v>
      </c>
      <c r="O308" s="697">
        <v>0</v>
      </c>
      <c r="P308" s="697">
        <v>0</v>
      </c>
      <c r="Q308" s="697">
        <v>0</v>
      </c>
      <c r="R308" s="294"/>
      <c r="S308" s="296">
        <f>IF(B307&gt;0,(B308/B307),)</f>
        <v>41959.855683766218</v>
      </c>
      <c r="T308" s="296">
        <f t="shared" ref="T308" si="3256">IF(C307&gt;0,(C308/C307),)</f>
        <v>0</v>
      </c>
      <c r="U308" s="296">
        <f t="shared" ref="U308" si="3257">IF(D307&gt;0,(D308/D307),)</f>
        <v>40956.634224832138</v>
      </c>
      <c r="V308" s="296">
        <f t="shared" ref="V308" si="3258">IF(E307&gt;0,(E308/E307),)</f>
        <v>42180.51533742332</v>
      </c>
      <c r="W308" s="296">
        <f t="shared" ref="W308" si="3259">IF(F307&gt;0,(F308/F307),)</f>
        <v>42847.84486504567</v>
      </c>
      <c r="X308" s="296">
        <f t="shared" ref="X308" si="3260">IF(G307&gt;0,(G308/G307),)</f>
        <v>38985.949562890281</v>
      </c>
      <c r="Y308" s="311">
        <f t="shared" ref="Y308" si="3261">IF(H307&gt;0,(H308/H307),)</f>
        <v>41829.085992744585</v>
      </c>
      <c r="Z308" s="306">
        <f t="shared" ref="Z308" si="3262">IF(I307&gt;0,(I308/I307),)</f>
        <v>0</v>
      </c>
      <c r="AA308" s="296">
        <f t="shared" ref="AA308" si="3263">IF(J307&gt;0,(J308/J307),)</f>
        <v>0</v>
      </c>
      <c r="AB308" s="296">
        <f t="shared" ref="AB308" si="3264">IF(K307&gt;0,(K308/K307),)</f>
        <v>0</v>
      </c>
      <c r="AC308" s="296">
        <f t="shared" ref="AC308" si="3265">IF(L307&gt;0,(L308/L307),)</f>
        <v>0</v>
      </c>
      <c r="AD308" s="296">
        <f t="shared" ref="AD308" si="3266">IF(M307&gt;0,(M308/M307),)</f>
        <v>0</v>
      </c>
      <c r="AE308" s="311">
        <f t="shared" ref="AE308" si="3267">IF(N307&gt;0,(N308/N307),)</f>
        <v>0</v>
      </c>
      <c r="AF308" s="306">
        <f t="shared" ref="AF308" si="3268">IF(O307&gt;0,(O308/O307),)</f>
        <v>0</v>
      </c>
      <c r="AG308" s="296">
        <f t="shared" ref="AG308" si="3269">IF(P307&gt;0,(P308/P307),)</f>
        <v>0</v>
      </c>
      <c r="AH308" s="311">
        <f t="shared" ref="AH308" si="3270">IF(Q307&gt;0,(Q308/Q307),)</f>
        <v>0</v>
      </c>
      <c r="AI308" s="516"/>
      <c r="AO308" s="524"/>
      <c r="AU308" s="524"/>
      <c r="AX308" s="524"/>
    </row>
    <row r="309" spans="1:50" x14ac:dyDescent="0.2">
      <c r="A309" s="696" t="s">
        <v>1095</v>
      </c>
      <c r="B309" s="697">
        <v>317</v>
      </c>
      <c r="C309" s="697"/>
      <c r="D309" s="697">
        <v>166</v>
      </c>
      <c r="E309" s="697">
        <v>14</v>
      </c>
      <c r="F309" s="697">
        <v>246</v>
      </c>
      <c r="G309" s="697">
        <v>51</v>
      </c>
      <c r="H309" s="697">
        <v>794</v>
      </c>
      <c r="I309" s="697">
        <v>0</v>
      </c>
      <c r="J309" s="697">
        <v>0</v>
      </c>
      <c r="K309" s="697">
        <v>0</v>
      </c>
      <c r="L309" s="697">
        <v>0</v>
      </c>
      <c r="M309" s="697"/>
      <c r="N309" s="697">
        <v>0</v>
      </c>
      <c r="O309" s="697">
        <v>0</v>
      </c>
      <c r="P309" s="697">
        <v>0</v>
      </c>
      <c r="Q309" s="697">
        <v>0</v>
      </c>
      <c r="Y309" s="309"/>
      <c r="Z309" s="305"/>
      <c r="AE309" s="309"/>
      <c r="AF309" s="305"/>
      <c r="AH309" s="309"/>
      <c r="AI309" s="516"/>
      <c r="AO309" s="524"/>
      <c r="AU309" s="524"/>
      <c r="AX309" s="524"/>
    </row>
    <row r="310" spans="1:50" x14ac:dyDescent="0.2">
      <c r="A310" s="696" t="s">
        <v>1097</v>
      </c>
      <c r="B310" s="697">
        <v>13354806.698510408</v>
      </c>
      <c r="C310" s="697"/>
      <c r="D310" s="697">
        <v>7280327.8793342579</v>
      </c>
      <c r="E310" s="697">
        <v>492543.13043478259</v>
      </c>
      <c r="F310" s="697">
        <v>10743001.094690701</v>
      </c>
      <c r="G310" s="697">
        <v>2022702.44625</v>
      </c>
      <c r="H310" s="697">
        <v>33893381.249220148</v>
      </c>
      <c r="I310" s="697">
        <v>0</v>
      </c>
      <c r="J310" s="697">
        <v>0</v>
      </c>
      <c r="K310" s="697">
        <v>0</v>
      </c>
      <c r="L310" s="697">
        <v>0</v>
      </c>
      <c r="M310" s="697"/>
      <c r="N310" s="697">
        <v>0</v>
      </c>
      <c r="O310" s="697">
        <v>0</v>
      </c>
      <c r="P310" s="697">
        <v>0</v>
      </c>
      <c r="Q310" s="697">
        <v>0</v>
      </c>
      <c r="R310" s="294"/>
      <c r="S310" s="296">
        <f>IF(B309&gt;0,(B310/B309),)</f>
        <v>42128.727755553336</v>
      </c>
      <c r="T310" s="296">
        <f t="shared" ref="T310" si="3271">IF(C309&gt;0,(C310/C309),)</f>
        <v>0</v>
      </c>
      <c r="U310" s="296">
        <f t="shared" ref="U310" si="3272">IF(D309&gt;0,(D310/D309),)</f>
        <v>43857.396863459384</v>
      </c>
      <c r="V310" s="296">
        <f t="shared" ref="V310" si="3273">IF(E309&gt;0,(E310/E309),)</f>
        <v>35181.65217391304</v>
      </c>
      <c r="W310" s="296">
        <f t="shared" ref="W310" si="3274">IF(F309&gt;0,(F310/F309),)</f>
        <v>43670.736157279272</v>
      </c>
      <c r="X310" s="296">
        <f t="shared" ref="X310" si="3275">IF(G309&gt;0,(G310/G309),)</f>
        <v>39660.832279411763</v>
      </c>
      <c r="Y310" s="311">
        <f t="shared" ref="Y310" si="3276">IF(H309&gt;0,(H310/H309),)</f>
        <v>42686.878147632429</v>
      </c>
      <c r="Z310" s="306">
        <f t="shared" ref="Z310" si="3277">IF(I309&gt;0,(I310/I309),)</f>
        <v>0</v>
      </c>
      <c r="AA310" s="296">
        <f t="shared" ref="AA310" si="3278">IF(J309&gt;0,(J310/J309),)</f>
        <v>0</v>
      </c>
      <c r="AB310" s="296">
        <f t="shared" ref="AB310" si="3279">IF(K309&gt;0,(K310/K309),)</f>
        <v>0</v>
      </c>
      <c r="AC310" s="296">
        <f t="shared" ref="AC310" si="3280">IF(L309&gt;0,(L310/L309),)</f>
        <v>0</v>
      </c>
      <c r="AD310" s="296">
        <f t="shared" ref="AD310" si="3281">IF(M309&gt;0,(M310/M309),)</f>
        <v>0</v>
      </c>
      <c r="AE310" s="311">
        <f t="shared" ref="AE310" si="3282">IF(N309&gt;0,(N310/N309),)</f>
        <v>0</v>
      </c>
      <c r="AF310" s="306">
        <f t="shared" ref="AF310" si="3283">IF(O309&gt;0,(O310/O309),)</f>
        <v>0</v>
      </c>
      <c r="AG310" s="296">
        <f t="shared" ref="AG310" si="3284">IF(P309&gt;0,(P310/P309),)</f>
        <v>0</v>
      </c>
      <c r="AH310" s="311">
        <f t="shared" ref="AH310" si="3285">IF(Q309&gt;0,(Q310/Q309),)</f>
        <v>0</v>
      </c>
      <c r="AI310" s="517">
        <f>IF(S308&gt;0,(S310-S308)/S308,)</f>
        <v>4.0246104052367605E-3</v>
      </c>
      <c r="AJ310" s="518">
        <f t="shared" ref="AJ310" si="3286">IF(T308&gt;0,(T310-T308)/T308,)</f>
        <v>0</v>
      </c>
      <c r="AK310" s="518">
        <f t="shared" ref="AK310" si="3287">IF(U308&gt;0,(U310-U308)/U308,)</f>
        <v>7.0825220224480859E-2</v>
      </c>
      <c r="AL310" s="527">
        <f t="shared" ref="AL310" si="3288">IF(V308&gt;0,(V310-V308)/V308,)</f>
        <v>-0.16592644986726279</v>
      </c>
      <c r="AM310" s="518">
        <f t="shared" ref="AM310" si="3289">IF(W308&gt;0,(W310-W308)/W308,)</f>
        <v>1.9204963396067996E-2</v>
      </c>
      <c r="AN310" s="518">
        <f t="shared" ref="AN310" si="3290">IF(X308&gt;0,(X310-X308)/X308,)</f>
        <v>1.7310921603507279E-2</v>
      </c>
      <c r="AO310" s="525">
        <f t="shared" ref="AO310" si="3291">IF(Y308&gt;0,(Y310-Y308)/Y308,)</f>
        <v>2.0507073834619079E-2</v>
      </c>
      <c r="AP310" s="518">
        <f t="shared" ref="AP310" si="3292">IF(Z308&gt;0,(Z310-Z308)/Z308,)</f>
        <v>0</v>
      </c>
      <c r="AQ310" s="518">
        <f t="shared" ref="AQ310" si="3293">IF(AA308&gt;0,(AA310-AA308)/AA308,)</f>
        <v>0</v>
      </c>
      <c r="AR310" s="518">
        <f t="shared" ref="AR310" si="3294">IF(AB308&gt;0,(AB310-AB308)/AB308,)</f>
        <v>0</v>
      </c>
      <c r="AS310" s="518">
        <f t="shared" ref="AS310" si="3295">IF(AC308&gt;0,(AC310-AC308)/AC308,)</f>
        <v>0</v>
      </c>
      <c r="AT310" s="518">
        <f t="shared" ref="AT310" si="3296">IF(AD308&gt;0,(AD310-AD308)/AD308,)</f>
        <v>0</v>
      </c>
      <c r="AU310" s="525">
        <f t="shared" ref="AU310" si="3297">IF(AE308&gt;0,(AE310-AE308)/AE308,)</f>
        <v>0</v>
      </c>
      <c r="AV310" s="518">
        <f t="shared" ref="AV310" si="3298">IF(AF308&gt;0,(AF310-AF308)/AF308,)</f>
        <v>0</v>
      </c>
      <c r="AW310" s="518">
        <f t="shared" ref="AW310" si="3299">IF(AG308&gt;0,(AG310-AG308)/AG308,)</f>
        <v>0</v>
      </c>
      <c r="AX310" s="525">
        <f t="shared" ref="AX310" si="3300">IF(AH308&gt;0,(AH310-AH308)/AH308,)</f>
        <v>0</v>
      </c>
    </row>
    <row r="311" spans="1:50" x14ac:dyDescent="0.2">
      <c r="A311" s="696" t="s">
        <v>1099</v>
      </c>
      <c r="B311" s="697">
        <v>0</v>
      </c>
      <c r="C311" s="697"/>
      <c r="D311" s="697">
        <v>0</v>
      </c>
      <c r="E311" s="697">
        <v>0</v>
      </c>
      <c r="F311" s="697">
        <v>0</v>
      </c>
      <c r="G311" s="697">
        <v>0</v>
      </c>
      <c r="H311" s="697">
        <v>0</v>
      </c>
      <c r="I311" s="697">
        <v>0</v>
      </c>
      <c r="J311" s="697">
        <v>0</v>
      </c>
      <c r="K311" s="697">
        <v>0</v>
      </c>
      <c r="L311" s="697">
        <v>0</v>
      </c>
      <c r="M311" s="697"/>
      <c r="N311" s="697">
        <v>0</v>
      </c>
      <c r="O311" s="697">
        <v>0</v>
      </c>
      <c r="P311" s="697">
        <v>0</v>
      </c>
      <c r="Q311" s="697">
        <v>0</v>
      </c>
      <c r="Y311" s="309"/>
      <c r="Z311" s="305"/>
      <c r="AE311" s="309"/>
      <c r="AF311" s="305"/>
      <c r="AH311" s="309"/>
      <c r="AI311" s="516"/>
      <c r="AO311" s="524"/>
      <c r="AU311" s="524"/>
      <c r="AX311" s="524"/>
    </row>
    <row r="312" spans="1:50" x14ac:dyDescent="0.2">
      <c r="A312" s="696" t="s">
        <v>1101</v>
      </c>
      <c r="B312" s="697">
        <v>0</v>
      </c>
      <c r="C312" s="697"/>
      <c r="D312" s="697">
        <v>0</v>
      </c>
      <c r="E312" s="697">
        <v>0</v>
      </c>
      <c r="F312" s="697">
        <v>0</v>
      </c>
      <c r="G312" s="697">
        <v>0</v>
      </c>
      <c r="H312" s="697">
        <v>0</v>
      </c>
      <c r="I312" s="697">
        <v>0</v>
      </c>
      <c r="J312" s="697">
        <v>0</v>
      </c>
      <c r="K312" s="697">
        <v>0</v>
      </c>
      <c r="L312" s="697">
        <v>0</v>
      </c>
      <c r="M312" s="697"/>
      <c r="N312" s="697">
        <v>0</v>
      </c>
      <c r="O312" s="697">
        <v>0</v>
      </c>
      <c r="P312" s="697">
        <v>0</v>
      </c>
      <c r="Q312" s="697">
        <v>0</v>
      </c>
      <c r="R312" s="294"/>
      <c r="S312" s="296">
        <f>IF(B311&gt;0,(B312/B311),)</f>
        <v>0</v>
      </c>
      <c r="T312" s="296">
        <f t="shared" ref="T312" si="3301">IF(C311&gt;0,(C312/C311),)</f>
        <v>0</v>
      </c>
      <c r="U312" s="296">
        <f t="shared" ref="U312" si="3302">IF(D311&gt;0,(D312/D311),)</f>
        <v>0</v>
      </c>
      <c r="V312" s="296">
        <f t="shared" ref="V312" si="3303">IF(E311&gt;0,(E312/E311),)</f>
        <v>0</v>
      </c>
      <c r="W312" s="296">
        <f t="shared" ref="W312" si="3304">IF(F311&gt;0,(F312/F311),)</f>
        <v>0</v>
      </c>
      <c r="X312" s="296">
        <f t="shared" ref="X312" si="3305">IF(G311&gt;0,(G312/G311),)</f>
        <v>0</v>
      </c>
      <c r="Y312" s="311">
        <f t="shared" ref="Y312" si="3306">IF(H311&gt;0,(H312/H311),)</f>
        <v>0</v>
      </c>
      <c r="Z312" s="306">
        <f t="shared" ref="Z312" si="3307">IF(I311&gt;0,(I312/I311),)</f>
        <v>0</v>
      </c>
      <c r="AA312" s="296">
        <f t="shared" ref="AA312" si="3308">IF(J311&gt;0,(J312/J311),)</f>
        <v>0</v>
      </c>
      <c r="AB312" s="296">
        <f t="shared" ref="AB312" si="3309">IF(K311&gt;0,(K312/K311),)</f>
        <v>0</v>
      </c>
      <c r="AC312" s="296">
        <f t="shared" ref="AC312" si="3310">IF(L311&gt;0,(L312/L311),)</f>
        <v>0</v>
      </c>
      <c r="AD312" s="296">
        <f t="shared" ref="AD312" si="3311">IF(M311&gt;0,(M312/M311),)</f>
        <v>0</v>
      </c>
      <c r="AE312" s="311">
        <f t="shared" ref="AE312" si="3312">IF(N311&gt;0,(N312/N311),)</f>
        <v>0</v>
      </c>
      <c r="AF312" s="306">
        <f t="shared" ref="AF312" si="3313">IF(O311&gt;0,(O312/O311),)</f>
        <v>0</v>
      </c>
      <c r="AG312" s="296">
        <f t="shared" ref="AG312" si="3314">IF(P311&gt;0,(P312/P311),)</f>
        <v>0</v>
      </c>
      <c r="AH312" s="311">
        <f t="shared" ref="AH312" si="3315">IF(Q311&gt;0,(Q312/Q311),)</f>
        <v>0</v>
      </c>
      <c r="AI312" s="516"/>
      <c r="AO312" s="524"/>
      <c r="AU312" s="524"/>
      <c r="AX312" s="524"/>
    </row>
    <row r="313" spans="1:50" x14ac:dyDescent="0.2">
      <c r="A313" s="696" t="s">
        <v>1103</v>
      </c>
      <c r="B313" s="697">
        <v>0</v>
      </c>
      <c r="C313" s="697"/>
      <c r="D313" s="697">
        <v>0</v>
      </c>
      <c r="E313" s="697">
        <v>0</v>
      </c>
      <c r="F313" s="697">
        <v>0</v>
      </c>
      <c r="G313" s="697">
        <v>0</v>
      </c>
      <c r="H313" s="697">
        <v>0</v>
      </c>
      <c r="I313" s="697">
        <v>0</v>
      </c>
      <c r="J313" s="697">
        <v>0</v>
      </c>
      <c r="K313" s="697">
        <v>0</v>
      </c>
      <c r="L313" s="697">
        <v>0</v>
      </c>
      <c r="M313" s="697"/>
      <c r="N313" s="697">
        <v>0</v>
      </c>
      <c r="O313" s="697">
        <v>0</v>
      </c>
      <c r="P313" s="697">
        <v>0</v>
      </c>
      <c r="Q313" s="697">
        <v>0</v>
      </c>
      <c r="Y313" s="309"/>
      <c r="Z313" s="305"/>
      <c r="AE313" s="309"/>
      <c r="AF313" s="305"/>
      <c r="AH313" s="309"/>
      <c r="AI313" s="516"/>
      <c r="AO313" s="524"/>
      <c r="AU313" s="524"/>
      <c r="AX313" s="524"/>
    </row>
    <row r="314" spans="1:50" x14ac:dyDescent="0.2">
      <c r="A314" s="696" t="s">
        <v>1105</v>
      </c>
      <c r="B314" s="697">
        <v>0</v>
      </c>
      <c r="C314" s="697"/>
      <c r="D314" s="697">
        <v>0</v>
      </c>
      <c r="E314" s="697">
        <v>0</v>
      </c>
      <c r="F314" s="697">
        <v>0</v>
      </c>
      <c r="G314" s="697">
        <v>0</v>
      </c>
      <c r="H314" s="697">
        <v>0</v>
      </c>
      <c r="I314" s="697">
        <v>0</v>
      </c>
      <c r="J314" s="697">
        <v>0</v>
      </c>
      <c r="K314" s="697">
        <v>0</v>
      </c>
      <c r="L314" s="697">
        <v>0</v>
      </c>
      <c r="M314" s="697"/>
      <c r="N314" s="697">
        <v>0</v>
      </c>
      <c r="O314" s="697">
        <v>0</v>
      </c>
      <c r="P314" s="697">
        <v>0</v>
      </c>
      <c r="Q314" s="697">
        <v>0</v>
      </c>
      <c r="R314" s="294"/>
      <c r="S314" s="296">
        <f>IF(B313&gt;0,(B314/B313),)</f>
        <v>0</v>
      </c>
      <c r="T314" s="296">
        <f t="shared" ref="T314" si="3316">IF(C313&gt;0,(C314/C313),)</f>
        <v>0</v>
      </c>
      <c r="U314" s="296">
        <f t="shared" ref="U314" si="3317">IF(D313&gt;0,(D314/D313),)</f>
        <v>0</v>
      </c>
      <c r="V314" s="296">
        <f t="shared" ref="V314" si="3318">IF(E313&gt;0,(E314/E313),)</f>
        <v>0</v>
      </c>
      <c r="W314" s="296">
        <f t="shared" ref="W314" si="3319">IF(F313&gt;0,(F314/F313),)</f>
        <v>0</v>
      </c>
      <c r="X314" s="296">
        <f t="shared" ref="X314" si="3320">IF(G313&gt;0,(G314/G313),)</f>
        <v>0</v>
      </c>
      <c r="Y314" s="311">
        <f t="shared" ref="Y314" si="3321">IF(H313&gt;0,(H314/H313),)</f>
        <v>0</v>
      </c>
      <c r="Z314" s="306">
        <f t="shared" ref="Z314" si="3322">IF(I313&gt;0,(I314/I313),)</f>
        <v>0</v>
      </c>
      <c r="AA314" s="296">
        <f t="shared" ref="AA314" si="3323">IF(J313&gt;0,(J314/J313),)</f>
        <v>0</v>
      </c>
      <c r="AB314" s="296">
        <f t="shared" ref="AB314" si="3324">IF(K313&gt;0,(K314/K313),)</f>
        <v>0</v>
      </c>
      <c r="AC314" s="296">
        <f t="shared" ref="AC314" si="3325">IF(L313&gt;0,(L314/L313),)</f>
        <v>0</v>
      </c>
      <c r="AD314" s="296">
        <f t="shared" ref="AD314" si="3326">IF(M313&gt;0,(M314/M313),)</f>
        <v>0</v>
      </c>
      <c r="AE314" s="311">
        <f t="shared" ref="AE314" si="3327">IF(N313&gt;0,(N314/N313),)</f>
        <v>0</v>
      </c>
      <c r="AF314" s="306">
        <f t="shared" ref="AF314" si="3328">IF(O313&gt;0,(O314/O313),)</f>
        <v>0</v>
      </c>
      <c r="AG314" s="296">
        <f t="shared" ref="AG314" si="3329">IF(P313&gt;0,(P314/P313),)</f>
        <v>0</v>
      </c>
      <c r="AH314" s="311">
        <f t="shared" ref="AH314" si="3330">IF(Q313&gt;0,(Q314/Q313),)</f>
        <v>0</v>
      </c>
      <c r="AI314" s="517">
        <f>IF(S312&gt;0,(S314-S312)/S312,)</f>
        <v>0</v>
      </c>
      <c r="AJ314" s="518">
        <f t="shared" ref="AJ314" si="3331">IF(T312&gt;0,(T314-T312)/T312,)</f>
        <v>0</v>
      </c>
      <c r="AK314" s="518">
        <f t="shared" ref="AK314" si="3332">IF(U312&gt;0,(U314-U312)/U312,)</f>
        <v>0</v>
      </c>
      <c r="AL314" s="518">
        <f t="shared" ref="AL314" si="3333">IF(V312&gt;0,(V314-V312)/V312,)</f>
        <v>0</v>
      </c>
      <c r="AM314" s="518">
        <f t="shared" ref="AM314" si="3334">IF(W312&gt;0,(W314-W312)/W312,)</f>
        <v>0</v>
      </c>
      <c r="AN314" s="518">
        <f t="shared" ref="AN314" si="3335">IF(X312&gt;0,(X314-X312)/X312,)</f>
        <v>0</v>
      </c>
      <c r="AO314" s="525">
        <f t="shared" ref="AO314" si="3336">IF(Y312&gt;0,(Y314-Y312)/Y312,)</f>
        <v>0</v>
      </c>
      <c r="AP314" s="518">
        <f t="shared" ref="AP314" si="3337">IF(Z312&gt;0,(Z314-Z312)/Z312,)</f>
        <v>0</v>
      </c>
      <c r="AQ314" s="518">
        <f t="shared" ref="AQ314" si="3338">IF(AA312&gt;0,(AA314-AA312)/AA312,)</f>
        <v>0</v>
      </c>
      <c r="AR314" s="518">
        <f t="shared" ref="AR314" si="3339">IF(AB312&gt;0,(AB314-AB312)/AB312,)</f>
        <v>0</v>
      </c>
      <c r="AS314" s="518">
        <f t="shared" ref="AS314" si="3340">IF(AC312&gt;0,(AC314-AC312)/AC312,)</f>
        <v>0</v>
      </c>
      <c r="AT314" s="518">
        <f t="shared" ref="AT314" si="3341">IF(AD312&gt;0,(AD314-AD312)/AD312,)</f>
        <v>0</v>
      </c>
      <c r="AU314" s="525">
        <f t="shared" ref="AU314" si="3342">IF(AE312&gt;0,(AE314-AE312)/AE312,)</f>
        <v>0</v>
      </c>
      <c r="AV314" s="518">
        <f t="shared" ref="AV314" si="3343">IF(AF312&gt;0,(AF314-AF312)/AF312,)</f>
        <v>0</v>
      </c>
      <c r="AW314" s="518">
        <f t="shared" ref="AW314" si="3344">IF(AG312&gt;0,(AG314-AG312)/AG312,)</f>
        <v>0</v>
      </c>
      <c r="AX314" s="525">
        <f t="shared" ref="AX314" si="3345">IF(AH312&gt;0,(AH314-AH312)/AH312,)</f>
        <v>0</v>
      </c>
    </row>
    <row r="315" spans="1:50" x14ac:dyDescent="0.2">
      <c r="A315" s="696" t="s">
        <v>1107</v>
      </c>
      <c r="B315" s="697">
        <v>0</v>
      </c>
      <c r="C315" s="697"/>
      <c r="D315" s="697">
        <v>0</v>
      </c>
      <c r="E315" s="697">
        <v>0</v>
      </c>
      <c r="F315" s="697">
        <v>0</v>
      </c>
      <c r="G315" s="697">
        <v>0</v>
      </c>
      <c r="H315" s="697">
        <v>0</v>
      </c>
      <c r="I315" s="697">
        <v>212</v>
      </c>
      <c r="J315" s="697">
        <v>570</v>
      </c>
      <c r="K315" s="697">
        <v>151</v>
      </c>
      <c r="L315" s="697">
        <v>328</v>
      </c>
      <c r="M315" s="697"/>
      <c r="N315" s="697">
        <v>1261</v>
      </c>
      <c r="O315" s="697">
        <v>215</v>
      </c>
      <c r="P315" s="697">
        <v>916</v>
      </c>
      <c r="Q315" s="697">
        <v>1131</v>
      </c>
      <c r="Y315" s="309"/>
      <c r="Z315" s="305"/>
      <c r="AE315" s="309"/>
      <c r="AF315" s="305"/>
      <c r="AH315" s="309"/>
      <c r="AI315" s="516"/>
      <c r="AO315" s="524"/>
      <c r="AU315" s="524"/>
      <c r="AX315" s="524"/>
    </row>
    <row r="316" spans="1:50" x14ac:dyDescent="0.2">
      <c r="A316" s="696" t="s">
        <v>1109</v>
      </c>
      <c r="B316" s="697">
        <v>0</v>
      </c>
      <c r="C316" s="697"/>
      <c r="D316" s="697">
        <v>0</v>
      </c>
      <c r="E316" s="697">
        <v>0</v>
      </c>
      <c r="F316" s="697">
        <v>0</v>
      </c>
      <c r="G316" s="697">
        <v>0</v>
      </c>
      <c r="H316" s="697">
        <v>0</v>
      </c>
      <c r="I316" s="697">
        <v>11833460</v>
      </c>
      <c r="J316" s="697">
        <v>29210271.487286001</v>
      </c>
      <c r="K316" s="697">
        <v>6653026.6663729176</v>
      </c>
      <c r="L316" s="697">
        <v>14453307.237854147</v>
      </c>
      <c r="M316" s="697"/>
      <c r="N316" s="697">
        <v>62150065.391513065</v>
      </c>
      <c r="O316" s="697">
        <v>10966149.260923594</v>
      </c>
      <c r="P316" s="697">
        <v>40882794.242296919</v>
      </c>
      <c r="Q316" s="697">
        <v>51848943.503220513</v>
      </c>
      <c r="R316" s="294"/>
      <c r="S316" s="296">
        <f>IF(B315&gt;0,(B316/B315),)</f>
        <v>0</v>
      </c>
      <c r="T316" s="296">
        <f t="shared" ref="T316" si="3346">IF(C315&gt;0,(C316/C315),)</f>
        <v>0</v>
      </c>
      <c r="U316" s="296">
        <f t="shared" ref="U316" si="3347">IF(D315&gt;0,(D316/D315),)</f>
        <v>0</v>
      </c>
      <c r="V316" s="296">
        <f t="shared" ref="V316" si="3348">IF(E315&gt;0,(E316/E315),)</f>
        <v>0</v>
      </c>
      <c r="W316" s="296">
        <f t="shared" ref="W316" si="3349">IF(F315&gt;0,(F316/F315),)</f>
        <v>0</v>
      </c>
      <c r="X316" s="296">
        <f t="shared" ref="X316" si="3350">IF(G315&gt;0,(G316/G315),)</f>
        <v>0</v>
      </c>
      <c r="Y316" s="311">
        <f t="shared" ref="Y316" si="3351">IF(H315&gt;0,(H316/H315),)</f>
        <v>0</v>
      </c>
      <c r="Z316" s="306">
        <f t="shared" ref="Z316" si="3352">IF(I315&gt;0,(I316/I315),)</f>
        <v>55818.207547169812</v>
      </c>
      <c r="AA316" s="296">
        <f t="shared" ref="AA316" si="3353">IF(J315&gt;0,(J316/J315),)</f>
        <v>51246.090328571932</v>
      </c>
      <c r="AB316" s="296">
        <f t="shared" ref="AB316" si="3354">IF(K315&gt;0,(K316/K315),)</f>
        <v>44059.779247502767</v>
      </c>
      <c r="AC316" s="296">
        <f t="shared" ref="AC316" si="3355">IF(L315&gt;0,(L316/L315),)</f>
        <v>44064.96109101874</v>
      </c>
      <c r="AD316" s="296">
        <f t="shared" ref="AD316" si="3356">IF(M315&gt;0,(M316/M315),)</f>
        <v>0</v>
      </c>
      <c r="AE316" s="311">
        <f t="shared" ref="AE316" si="3357">IF(N315&gt;0,(N316/N315),)</f>
        <v>49286.332586449695</v>
      </c>
      <c r="AF316" s="306">
        <f t="shared" ref="AF316" si="3358">IF(O315&gt;0,(O316/O315),)</f>
        <v>51005.345399644626</v>
      </c>
      <c r="AG316" s="296">
        <f t="shared" ref="AG316" si="3359">IF(P315&gt;0,(P316/P315),)</f>
        <v>44631.871443555588</v>
      </c>
      <c r="AH316" s="311">
        <f t="shared" ref="AH316" si="3360">IF(Q315&gt;0,(Q316/Q315),)</f>
        <v>45843.451373316107</v>
      </c>
      <c r="AI316" s="516"/>
      <c r="AO316" s="524"/>
      <c r="AU316" s="524"/>
      <c r="AX316" s="524"/>
    </row>
    <row r="317" spans="1:50" x14ac:dyDescent="0.2">
      <c r="A317" s="696" t="s">
        <v>1111</v>
      </c>
      <c r="B317" s="697">
        <v>0</v>
      </c>
      <c r="C317" s="697"/>
      <c r="D317" s="697">
        <v>0</v>
      </c>
      <c r="E317" s="697">
        <v>0</v>
      </c>
      <c r="F317" s="697">
        <v>0</v>
      </c>
      <c r="G317" s="697">
        <v>0</v>
      </c>
      <c r="H317" s="697">
        <v>0</v>
      </c>
      <c r="I317" s="697">
        <v>210</v>
      </c>
      <c r="J317" s="697">
        <v>576</v>
      </c>
      <c r="K317" s="697">
        <v>154</v>
      </c>
      <c r="L317" s="697">
        <v>326</v>
      </c>
      <c r="M317" s="697"/>
      <c r="N317" s="697">
        <v>1266</v>
      </c>
      <c r="O317" s="697">
        <v>209</v>
      </c>
      <c r="P317" s="697">
        <v>876</v>
      </c>
      <c r="Q317" s="697">
        <v>1085</v>
      </c>
      <c r="Y317" s="309"/>
      <c r="Z317" s="305"/>
      <c r="AE317" s="309"/>
      <c r="AF317" s="305"/>
      <c r="AH317" s="309"/>
      <c r="AI317" s="516"/>
      <c r="AO317" s="524"/>
      <c r="AU317" s="524"/>
      <c r="AX317" s="524"/>
    </row>
    <row r="318" spans="1:50" x14ac:dyDescent="0.2">
      <c r="A318" s="696" t="s">
        <v>1113</v>
      </c>
      <c r="B318" s="697">
        <v>0</v>
      </c>
      <c r="C318" s="697"/>
      <c r="D318" s="697">
        <v>0</v>
      </c>
      <c r="E318" s="697">
        <v>0</v>
      </c>
      <c r="F318" s="697">
        <v>0</v>
      </c>
      <c r="G318" s="697">
        <v>0</v>
      </c>
      <c r="H318" s="697">
        <v>0</v>
      </c>
      <c r="I318" s="697">
        <v>11415252</v>
      </c>
      <c r="J318" s="697">
        <v>30295130.968465336</v>
      </c>
      <c r="K318" s="697">
        <v>6846132.952702702</v>
      </c>
      <c r="L318" s="697">
        <v>14244636.806677517</v>
      </c>
      <c r="M318" s="697"/>
      <c r="N318" s="697">
        <v>62801152.72784555</v>
      </c>
      <c r="O318" s="697">
        <v>10758235.988614963</v>
      </c>
      <c r="P318" s="697">
        <v>39537702.00347463</v>
      </c>
      <c r="Q318" s="697">
        <v>50295937.992089592</v>
      </c>
      <c r="R318" s="294"/>
      <c r="S318" s="296">
        <f>IF(B317&gt;0,(B318/B317),)</f>
        <v>0</v>
      </c>
      <c r="T318" s="296">
        <f t="shared" ref="T318" si="3361">IF(C317&gt;0,(C318/C317),)</f>
        <v>0</v>
      </c>
      <c r="U318" s="296">
        <f t="shared" ref="U318" si="3362">IF(D317&gt;0,(D318/D317),)</f>
        <v>0</v>
      </c>
      <c r="V318" s="296">
        <f t="shared" ref="V318" si="3363">IF(E317&gt;0,(E318/E317),)</f>
        <v>0</v>
      </c>
      <c r="W318" s="296">
        <f t="shared" ref="W318" si="3364">IF(F317&gt;0,(F318/F317),)</f>
        <v>0</v>
      </c>
      <c r="X318" s="296">
        <f t="shared" ref="X318" si="3365">IF(G317&gt;0,(G318/G317),)</f>
        <v>0</v>
      </c>
      <c r="Y318" s="311">
        <f t="shared" ref="Y318" si="3366">IF(H317&gt;0,(H318/H317),)</f>
        <v>0</v>
      </c>
      <c r="Z318" s="306">
        <f t="shared" ref="Z318" si="3367">IF(I317&gt;0,(I318/I317),)</f>
        <v>54358.342857142859</v>
      </c>
      <c r="AA318" s="296">
        <f t="shared" ref="AA318" si="3368">IF(J317&gt;0,(J318/J317),)</f>
        <v>52595.713486918983</v>
      </c>
      <c r="AB318" s="296">
        <f t="shared" ref="AB318" si="3369">IF(K317&gt;0,(K318/K317),)</f>
        <v>44455.40878378378</v>
      </c>
      <c r="AC318" s="296">
        <f t="shared" ref="AC318" si="3370">IF(L317&gt;0,(L318/L317),)</f>
        <v>43695.204928458639</v>
      </c>
      <c r="AD318" s="296">
        <f t="shared" ref="AD318" si="3371">IF(M317&gt;0,(M318/M317),)</f>
        <v>0</v>
      </c>
      <c r="AE318" s="311">
        <f t="shared" ref="AE318" si="3372">IF(N317&gt;0,(N318/N317),)</f>
        <v>49605.965819783218</v>
      </c>
      <c r="AF318" s="306">
        <f t="shared" ref="AF318" si="3373">IF(O317&gt;0,(O318/O317),)</f>
        <v>51474.813342655325</v>
      </c>
      <c r="AG318" s="296">
        <f t="shared" ref="AG318" si="3374">IF(P317&gt;0,(P318/P317),)</f>
        <v>45134.363017665106</v>
      </c>
      <c r="AH318" s="311">
        <f t="shared" ref="AH318" si="3375">IF(Q317&gt;0,(Q318/Q317),)</f>
        <v>46355.703218515751</v>
      </c>
      <c r="AI318" s="517">
        <f>IF(S316&gt;0,(S318-S316)/S316,)</f>
        <v>0</v>
      </c>
      <c r="AJ318" s="518">
        <f t="shared" ref="AJ318" si="3376">IF(T316&gt;0,(T318-T316)/T316,)</f>
        <v>0</v>
      </c>
      <c r="AK318" s="518">
        <f t="shared" ref="AK318" si="3377">IF(U316&gt;0,(U318-U316)/U316,)</f>
        <v>0</v>
      </c>
      <c r="AL318" s="518">
        <f t="shared" ref="AL318" si="3378">IF(V316&gt;0,(V318-V316)/V316,)</f>
        <v>0</v>
      </c>
      <c r="AM318" s="518">
        <f t="shared" ref="AM318" si="3379">IF(W316&gt;0,(W318-W316)/W316,)</f>
        <v>0</v>
      </c>
      <c r="AN318" s="518">
        <f t="shared" ref="AN318" si="3380">IF(X316&gt;0,(X318-X316)/X316,)</f>
        <v>0</v>
      </c>
      <c r="AO318" s="525">
        <f t="shared" ref="AO318" si="3381">IF(Y316&gt;0,(Y318-Y316)/Y316,)</f>
        <v>0</v>
      </c>
      <c r="AP318" s="518">
        <f t="shared" ref="AP318" si="3382">IF(Z316&gt;0,(Z318-Z316)/Z316,)</f>
        <v>-2.6153915616034015E-2</v>
      </c>
      <c r="AQ318" s="518">
        <f t="shared" ref="AQ318" si="3383">IF(AA316&gt;0,(AA318-AA316)/AA316,)</f>
        <v>2.6336119491140515E-2</v>
      </c>
      <c r="AR318" s="518">
        <f t="shared" ref="AR318" si="3384">IF(AB316&gt;0,(AB318-AB316)/AB316,)</f>
        <v>8.9793808102984537E-3</v>
      </c>
      <c r="AS318" s="518">
        <f t="shared" ref="AS318" si="3385">IF(AC316&gt;0,(AC318-AC316)/AC316,)</f>
        <v>-8.3911605367436547E-3</v>
      </c>
      <c r="AT318" s="518">
        <f t="shared" ref="AT318" si="3386">IF(AD316&gt;0,(AD318-AD316)/AD316,)</f>
        <v>0</v>
      </c>
      <c r="AU318" s="525">
        <f t="shared" ref="AU318" si="3387">IF(AE316&gt;0,(AE318-AE316)/AE316,)</f>
        <v>6.4852306219554253E-3</v>
      </c>
      <c r="AV318" s="518">
        <f t="shared" ref="AV318" si="3388">IF(AF316&gt;0,(AF318-AF316)/AF316,)</f>
        <v>9.2042890668076905E-3</v>
      </c>
      <c r="AW318" s="518">
        <f t="shared" ref="AW318" si="3389">IF(AG316&gt;0,(AG318-AG316)/AG316,)</f>
        <v>1.1258581768075789E-2</v>
      </c>
      <c r="AX318" s="525">
        <f t="shared" ref="AX318" si="3390">IF(AH316&gt;0,(AH318-AH316)/AH316,)</f>
        <v>1.1173937167780696E-2</v>
      </c>
    </row>
    <row r="319" spans="1:50" x14ac:dyDescent="0.2">
      <c r="A319" s="696" t="s">
        <v>1115</v>
      </c>
      <c r="B319" s="697">
        <v>2060</v>
      </c>
      <c r="C319" s="697"/>
      <c r="D319" s="697">
        <v>775</v>
      </c>
      <c r="E319" s="697">
        <v>128</v>
      </c>
      <c r="F319" s="697">
        <v>785</v>
      </c>
      <c r="G319" s="697">
        <v>207</v>
      </c>
      <c r="H319" s="697">
        <v>3955</v>
      </c>
      <c r="I319" s="697">
        <v>212</v>
      </c>
      <c r="J319" s="697">
        <v>570</v>
      </c>
      <c r="K319" s="697">
        <v>151</v>
      </c>
      <c r="L319" s="697">
        <v>328</v>
      </c>
      <c r="M319" s="697"/>
      <c r="N319" s="697">
        <v>1261</v>
      </c>
      <c r="O319" s="697">
        <v>215</v>
      </c>
      <c r="P319" s="697">
        <v>916</v>
      </c>
      <c r="Q319" s="697">
        <v>1131</v>
      </c>
      <c r="Y319" s="309"/>
      <c r="Z319" s="305"/>
      <c r="AE319" s="309"/>
      <c r="AF319" s="305"/>
      <c r="AH319" s="309"/>
      <c r="AI319" s="516"/>
      <c r="AO319" s="524"/>
      <c r="AU319" s="524"/>
      <c r="AX319" s="524"/>
    </row>
    <row r="320" spans="1:50" x14ac:dyDescent="0.2">
      <c r="A320" s="696" t="s">
        <v>1117</v>
      </c>
      <c r="B320" s="697">
        <v>165317419.92901993</v>
      </c>
      <c r="C320" s="697"/>
      <c r="D320" s="697">
        <v>45641168.033652209</v>
      </c>
      <c r="E320" s="697">
        <v>7814105.3459434686</v>
      </c>
      <c r="F320" s="697">
        <v>42046373.777084544</v>
      </c>
      <c r="G320" s="697">
        <v>10295182.729055153</v>
      </c>
      <c r="H320" s="697">
        <v>271114249.81475532</v>
      </c>
      <c r="I320" s="697">
        <v>11833460</v>
      </c>
      <c r="J320" s="697">
        <v>29210271.487286001</v>
      </c>
      <c r="K320" s="697">
        <v>6653026.6663729176</v>
      </c>
      <c r="L320" s="697">
        <v>14453307.237854147</v>
      </c>
      <c r="M320" s="697"/>
      <c r="N320" s="697">
        <v>62150065.391513065</v>
      </c>
      <c r="O320" s="697">
        <v>10966149.260923594</v>
      </c>
      <c r="P320" s="697">
        <v>40882794.242296919</v>
      </c>
      <c r="Q320" s="697">
        <v>51848943.503220513</v>
      </c>
      <c r="R320" s="294"/>
      <c r="S320" s="296">
        <f>IF(B319&gt;0,(B320/B319),)</f>
        <v>80251.174722825206</v>
      </c>
      <c r="T320" s="296">
        <f t="shared" ref="T320" si="3391">IF(C319&gt;0,(C320/C319),)</f>
        <v>0</v>
      </c>
      <c r="U320" s="296">
        <f t="shared" ref="U320" si="3392">IF(D319&gt;0,(D320/D319),)</f>
        <v>58891.829720841561</v>
      </c>
      <c r="V320" s="296">
        <f t="shared" ref="V320" si="3393">IF(E319&gt;0,(E320/E319),)</f>
        <v>61047.698015183349</v>
      </c>
      <c r="W320" s="296">
        <f t="shared" ref="W320" si="3394">IF(F319&gt;0,(F320/F319),)</f>
        <v>53562.25958864273</v>
      </c>
      <c r="X320" s="296">
        <f t="shared" ref="X320" si="3395">IF(G319&gt;0,(G320/G319),)</f>
        <v>49735.182265966927</v>
      </c>
      <c r="Y320" s="311">
        <f t="shared" ref="Y320" si="3396">IF(H319&gt;0,(H320/H319),)</f>
        <v>68549.747108661264</v>
      </c>
      <c r="Z320" s="306">
        <f t="shared" ref="Z320" si="3397">IF(I319&gt;0,(I320/I319),)</f>
        <v>55818.207547169812</v>
      </c>
      <c r="AA320" s="296">
        <f t="shared" ref="AA320" si="3398">IF(J319&gt;0,(J320/J319),)</f>
        <v>51246.090328571932</v>
      </c>
      <c r="AB320" s="296">
        <f t="shared" ref="AB320" si="3399">IF(K319&gt;0,(K320/K319),)</f>
        <v>44059.779247502767</v>
      </c>
      <c r="AC320" s="296">
        <f t="shared" ref="AC320" si="3400">IF(L319&gt;0,(L320/L319),)</f>
        <v>44064.96109101874</v>
      </c>
      <c r="AD320" s="296">
        <f t="shared" ref="AD320" si="3401">IF(M319&gt;0,(M320/M319),)</f>
        <v>0</v>
      </c>
      <c r="AE320" s="311">
        <f t="shared" ref="AE320" si="3402">IF(N319&gt;0,(N320/N319),)</f>
        <v>49286.332586449695</v>
      </c>
      <c r="AF320" s="306">
        <f t="shared" ref="AF320" si="3403">IF(O319&gt;0,(O320/O319),)</f>
        <v>51005.345399644626</v>
      </c>
      <c r="AG320" s="296">
        <f t="shared" ref="AG320" si="3404">IF(P319&gt;0,(P320/P319),)</f>
        <v>44631.871443555588</v>
      </c>
      <c r="AH320" s="311">
        <f t="shared" ref="AH320" si="3405">IF(Q319&gt;0,(Q320/Q319),)</f>
        <v>45843.451373316107</v>
      </c>
      <c r="AI320" s="516"/>
      <c r="AO320" s="524"/>
      <c r="AU320" s="524"/>
      <c r="AX320" s="524"/>
    </row>
    <row r="321" spans="1:50" x14ac:dyDescent="0.2">
      <c r="A321" s="696" t="s">
        <v>1119</v>
      </c>
      <c r="B321" s="697">
        <v>2081</v>
      </c>
      <c r="C321" s="697"/>
      <c r="D321" s="697">
        <v>782</v>
      </c>
      <c r="E321" s="697">
        <v>125</v>
      </c>
      <c r="F321" s="697">
        <v>782</v>
      </c>
      <c r="G321" s="697">
        <v>206</v>
      </c>
      <c r="H321" s="697">
        <v>3976</v>
      </c>
      <c r="I321" s="697">
        <v>210</v>
      </c>
      <c r="J321" s="697">
        <v>576</v>
      </c>
      <c r="K321" s="697">
        <v>154</v>
      </c>
      <c r="L321" s="697">
        <v>326</v>
      </c>
      <c r="M321" s="697"/>
      <c r="N321" s="697">
        <v>1266</v>
      </c>
      <c r="O321" s="697">
        <v>209</v>
      </c>
      <c r="P321" s="697">
        <v>876</v>
      </c>
      <c r="Q321" s="697">
        <v>1085</v>
      </c>
      <c r="Y321" s="309"/>
      <c r="Z321" s="305"/>
      <c r="AE321" s="309"/>
      <c r="AF321" s="305"/>
      <c r="AH321" s="309"/>
      <c r="AI321" s="516"/>
      <c r="AO321" s="524"/>
      <c r="AU321" s="524"/>
      <c r="AX321" s="524"/>
    </row>
    <row r="322" spans="1:50" ht="13.5" thickBot="1" x14ac:dyDescent="0.25">
      <c r="A322" s="701" t="s">
        <v>1121</v>
      </c>
      <c r="B322" s="702">
        <v>167275767.84712136</v>
      </c>
      <c r="C322" s="702"/>
      <c r="D322" s="702">
        <v>48035517.878856003</v>
      </c>
      <c r="E322" s="702">
        <v>7715858.0983250653</v>
      </c>
      <c r="F322" s="702">
        <v>42683036.094559662</v>
      </c>
      <c r="G322" s="702">
        <v>9977534.310160622</v>
      </c>
      <c r="H322" s="702">
        <v>275687714.22902274</v>
      </c>
      <c r="I322" s="702">
        <v>11415252</v>
      </c>
      <c r="J322" s="702">
        <v>30295130.968465336</v>
      </c>
      <c r="K322" s="702">
        <v>6846132.952702702</v>
      </c>
      <c r="L322" s="702">
        <v>14244636.806677517</v>
      </c>
      <c r="M322" s="702"/>
      <c r="N322" s="702">
        <v>62801152.72784555</v>
      </c>
      <c r="O322" s="702">
        <v>10758235.988614963</v>
      </c>
      <c r="P322" s="702">
        <v>39537702.00347463</v>
      </c>
      <c r="Q322" s="702">
        <v>50295937.992089592</v>
      </c>
      <c r="S322" s="302">
        <f>IF(B321&gt;0,(B322/B321),)</f>
        <v>80382.396851091471</v>
      </c>
      <c r="T322" s="302">
        <f t="shared" ref="T322" si="3406">IF(C321&gt;0,(C322/C321),)</f>
        <v>0</v>
      </c>
      <c r="U322" s="302">
        <f t="shared" ref="U322" si="3407">IF(D321&gt;0,(D322/D321),)</f>
        <v>61426.493451222508</v>
      </c>
      <c r="V322" s="302">
        <f t="shared" ref="V322" si="3408">IF(E321&gt;0,(E322/E321),)</f>
        <v>61726.864786600519</v>
      </c>
      <c r="W322" s="302">
        <f t="shared" ref="W322" si="3409">IF(F321&gt;0,(F322/F321),)</f>
        <v>54581.887588950973</v>
      </c>
      <c r="X322" s="302">
        <f t="shared" ref="X322" si="3410">IF(G321&gt;0,(G322/G321),)</f>
        <v>48434.632573595256</v>
      </c>
      <c r="Y322" s="312">
        <f t="shared" ref="Y322" si="3411">IF(H321&gt;0,(H322/H321),)</f>
        <v>69337.956295025841</v>
      </c>
      <c r="Z322" s="307">
        <f t="shared" ref="Z322" si="3412">IF(I321&gt;0,(I322/I321),)</f>
        <v>54358.342857142859</v>
      </c>
      <c r="AA322" s="302">
        <f t="shared" ref="AA322" si="3413">IF(J321&gt;0,(J322/J321),)</f>
        <v>52595.713486918983</v>
      </c>
      <c r="AB322" s="302">
        <f t="shared" ref="AB322" si="3414">IF(K321&gt;0,(K322/K321),)</f>
        <v>44455.40878378378</v>
      </c>
      <c r="AC322" s="302">
        <f t="shared" ref="AC322" si="3415">IF(L321&gt;0,(L322/L321),)</f>
        <v>43695.204928458639</v>
      </c>
      <c r="AD322" s="302">
        <f t="shared" ref="AD322" si="3416">IF(M321&gt;0,(M322/M321),)</f>
        <v>0</v>
      </c>
      <c r="AE322" s="312">
        <f t="shared" ref="AE322" si="3417">IF(N321&gt;0,(N322/N321),)</f>
        <v>49605.965819783218</v>
      </c>
      <c r="AF322" s="307">
        <f t="shared" ref="AF322" si="3418">IF(O321&gt;0,(O322/O321),)</f>
        <v>51474.813342655325</v>
      </c>
      <c r="AG322" s="302">
        <f t="shared" ref="AG322" si="3419">IF(P321&gt;0,(P322/P321),)</f>
        <v>45134.363017665106</v>
      </c>
      <c r="AH322" s="312">
        <f t="shared" ref="AH322" si="3420">IF(Q321&gt;0,(Q322/Q321),)</f>
        <v>46355.703218515751</v>
      </c>
      <c r="AI322" s="519">
        <f>IF(S320&gt;0,(S322-S320)/S320,)</f>
        <v>1.6351427716726301E-3</v>
      </c>
      <c r="AJ322" s="520">
        <f t="shared" ref="AJ322" si="3421">IF(T320&gt;0,(T322-T320)/T320,)</f>
        <v>0</v>
      </c>
      <c r="AK322" s="520">
        <f t="shared" ref="AK322" si="3422">IF(U320&gt;0,(U322-U320)/U320,)</f>
        <v>4.303931024720635E-2</v>
      </c>
      <c r="AL322" s="520">
        <f t="shared" ref="AL322" si="3423">IF(V320&gt;0,(V322-V320)/V320,)</f>
        <v>1.1125182332808901E-2</v>
      </c>
      <c r="AM322" s="520">
        <f t="shared" ref="AM322" si="3424">IF(W320&gt;0,(W322-W320)/W320,)</f>
        <v>1.9036314153640439E-2</v>
      </c>
      <c r="AN322" s="520">
        <f t="shared" ref="AN322" si="3425">IF(X320&gt;0,(X322-X320)/X320,)</f>
        <v>-2.6149490825564312E-2</v>
      </c>
      <c r="AO322" s="526">
        <f t="shared" ref="AO322" si="3426">IF(Y320&gt;0,(Y322-Y320)/Y320,)</f>
        <v>1.1498352942355147E-2</v>
      </c>
      <c r="AP322" s="520">
        <f t="shared" ref="AP322" si="3427">IF(Z320&gt;0,(Z322-Z320)/Z320,)</f>
        <v>-2.6153915616034015E-2</v>
      </c>
      <c r="AQ322" s="520">
        <f t="shared" ref="AQ322" si="3428">IF(AA320&gt;0,(AA322-AA320)/AA320,)</f>
        <v>2.6336119491140515E-2</v>
      </c>
      <c r="AR322" s="520">
        <f t="shared" ref="AR322" si="3429">IF(AB320&gt;0,(AB322-AB320)/AB320,)</f>
        <v>8.9793808102984537E-3</v>
      </c>
      <c r="AS322" s="520">
        <f t="shared" ref="AS322" si="3430">IF(AC320&gt;0,(AC322-AC320)/AC320,)</f>
        <v>-8.3911605367436547E-3</v>
      </c>
      <c r="AT322" s="520">
        <f t="shared" ref="AT322" si="3431">IF(AD320&gt;0,(AD322-AD320)/AD320,)</f>
        <v>0</v>
      </c>
      <c r="AU322" s="526">
        <f t="shared" ref="AU322" si="3432">IF(AE320&gt;0,(AE322-AE320)/AE320,)</f>
        <v>6.4852306219554253E-3</v>
      </c>
      <c r="AV322" s="520">
        <f t="shared" ref="AV322" si="3433">IF(AF320&gt;0,(AF322-AF320)/AF320,)</f>
        <v>9.2042890668076905E-3</v>
      </c>
      <c r="AW322" s="520">
        <f t="shared" ref="AW322" si="3434">IF(AG320&gt;0,(AG322-AG320)/AG320,)</f>
        <v>1.1258581768075789E-2</v>
      </c>
      <c r="AX322" s="526">
        <f t="shared" ref="AX322" si="3435">IF(AH320&gt;0,(AH322-AH320)/AH320,)</f>
        <v>1.1173937167780696E-2</v>
      </c>
    </row>
    <row r="323" spans="1:50" x14ac:dyDescent="0.2">
      <c r="A323" s="695" t="s">
        <v>21</v>
      </c>
      <c r="B323" s="697"/>
      <c r="C323" s="697"/>
      <c r="D323" s="697"/>
      <c r="E323" s="697"/>
      <c r="F323" s="697"/>
      <c r="G323" s="697"/>
      <c r="H323" s="697"/>
      <c r="I323" s="697"/>
      <c r="J323" s="697"/>
      <c r="K323" s="697"/>
      <c r="L323" s="697"/>
      <c r="M323" s="697"/>
      <c r="N323" s="697"/>
      <c r="O323" s="697"/>
      <c r="P323" s="697"/>
      <c r="Q323" s="697"/>
      <c r="Y323" s="309"/>
      <c r="Z323" s="305"/>
      <c r="AE323" s="309"/>
      <c r="AF323" s="305"/>
      <c r="AH323" s="309"/>
      <c r="AI323" s="516"/>
      <c r="AO323" s="524"/>
      <c r="AU323" s="524"/>
      <c r="AX323" s="524"/>
    </row>
    <row r="324" spans="1:50" x14ac:dyDescent="0.2">
      <c r="A324" s="696" t="s">
        <v>1067</v>
      </c>
      <c r="B324" s="697">
        <v>678</v>
      </c>
      <c r="C324" s="697"/>
      <c r="D324" s="697">
        <v>217</v>
      </c>
      <c r="E324" s="697">
        <v>58</v>
      </c>
      <c r="F324" s="697">
        <v>166</v>
      </c>
      <c r="G324" s="697">
        <v>85</v>
      </c>
      <c r="H324" s="697">
        <v>1204</v>
      </c>
      <c r="I324" s="697"/>
      <c r="J324" s="697">
        <v>0</v>
      </c>
      <c r="K324" s="697">
        <v>0</v>
      </c>
      <c r="L324" s="697">
        <v>17</v>
      </c>
      <c r="M324" s="697"/>
      <c r="N324" s="697">
        <v>17</v>
      </c>
      <c r="O324" s="697"/>
      <c r="P324" s="697"/>
      <c r="Q324" s="697"/>
      <c r="S324" s="295"/>
      <c r="T324" s="295"/>
      <c r="U324" s="295"/>
      <c r="V324" s="295"/>
      <c r="W324" s="295"/>
      <c r="X324" s="295"/>
      <c r="Y324" s="310"/>
      <c r="Z324" s="305"/>
      <c r="AA324" s="295"/>
      <c r="AB324" s="295"/>
      <c r="AC324" s="295"/>
      <c r="AD324" s="295"/>
      <c r="AE324" s="310"/>
      <c r="AF324" s="305"/>
      <c r="AG324" s="295"/>
      <c r="AH324" s="310"/>
      <c r="AI324" s="516"/>
      <c r="AO324" s="524"/>
      <c r="AU324" s="524"/>
      <c r="AX324" s="524"/>
    </row>
    <row r="325" spans="1:50" x14ac:dyDescent="0.2">
      <c r="A325" s="696" t="s">
        <v>1069</v>
      </c>
      <c r="B325" s="697">
        <v>76200819.687529489</v>
      </c>
      <c r="C325" s="697"/>
      <c r="D325" s="697">
        <v>17403529.2028777</v>
      </c>
      <c r="E325" s="697">
        <v>5012302</v>
      </c>
      <c r="F325" s="697">
        <v>13085190.082171107</v>
      </c>
      <c r="G325" s="697">
        <v>6159556.7177791335</v>
      </c>
      <c r="H325" s="697">
        <v>117861397.69035743</v>
      </c>
      <c r="I325" s="697"/>
      <c r="J325" s="697">
        <v>0</v>
      </c>
      <c r="K325" s="697">
        <v>0</v>
      </c>
      <c r="L325" s="697">
        <v>1155324.0291262136</v>
      </c>
      <c r="M325" s="697"/>
      <c r="N325" s="697">
        <v>1155324.0291262136</v>
      </c>
      <c r="O325" s="697"/>
      <c r="P325" s="697"/>
      <c r="Q325" s="697"/>
      <c r="S325" s="296">
        <f>IF(B324&gt;0,(B325/B324),)</f>
        <v>112390.58950963052</v>
      </c>
      <c r="T325" s="296">
        <f t="shared" ref="T325" si="3436">IF(C324&gt;0,(C325/C324),)</f>
        <v>0</v>
      </c>
      <c r="U325" s="296">
        <f t="shared" ref="U325" si="3437">IF(D324&gt;0,(D325/D324),)</f>
        <v>80200.595404966356</v>
      </c>
      <c r="V325" s="296">
        <f t="shared" ref="V325" si="3438">IF(E324&gt;0,(E325/E324),)</f>
        <v>86419</v>
      </c>
      <c r="W325" s="296">
        <f t="shared" ref="W325" si="3439">IF(F324&gt;0,(F325/F324),)</f>
        <v>78826.446278139192</v>
      </c>
      <c r="X325" s="296">
        <f t="shared" ref="X325" si="3440">IF(G324&gt;0,(G325/G324),)</f>
        <v>72465.373150342741</v>
      </c>
      <c r="Y325" s="311">
        <f t="shared" ref="Y325" si="3441">IF(H324&gt;0,(H325/H324),)</f>
        <v>97891.526320894875</v>
      </c>
      <c r="Z325" s="306">
        <f t="shared" ref="Z325" si="3442">IF(I324&gt;0,(I325/I324),)</f>
        <v>0</v>
      </c>
      <c r="AA325" s="296">
        <f t="shared" ref="AA325" si="3443">IF(J324&gt;0,(J325/J324),)</f>
        <v>0</v>
      </c>
      <c r="AB325" s="296">
        <f t="shared" ref="AB325" si="3444">IF(K324&gt;0,(K325/K324),)</f>
        <v>0</v>
      </c>
      <c r="AC325" s="296">
        <f t="shared" ref="AC325" si="3445">IF(L324&gt;0,(L325/L324),)</f>
        <v>67960.237007424337</v>
      </c>
      <c r="AD325" s="296">
        <f t="shared" ref="AD325" si="3446">IF(M324&gt;0,(M325/M324),)</f>
        <v>0</v>
      </c>
      <c r="AE325" s="311">
        <f t="shared" ref="AE325" si="3447">IF(N324&gt;0,(N325/N324),)</f>
        <v>67960.237007424337</v>
      </c>
      <c r="AF325" s="306">
        <f t="shared" ref="AF325" si="3448">IF(O324&gt;0,(O325/O324),)</f>
        <v>0</v>
      </c>
      <c r="AG325" s="296">
        <f t="shared" ref="AG325" si="3449">IF(P324&gt;0,(P325/P324),)</f>
        <v>0</v>
      </c>
      <c r="AH325" s="311">
        <f t="shared" ref="AH325" si="3450">IF(Q324&gt;0,(Q325/Q324),)</f>
        <v>0</v>
      </c>
      <c r="AI325" s="516"/>
      <c r="AO325" s="524"/>
      <c r="AU325" s="524"/>
      <c r="AX325" s="524"/>
    </row>
    <row r="326" spans="1:50" x14ac:dyDescent="0.2">
      <c r="A326" s="696" t="s">
        <v>1071</v>
      </c>
      <c r="B326" s="697">
        <v>637</v>
      </c>
      <c r="C326" s="697"/>
      <c r="D326" s="697">
        <v>216</v>
      </c>
      <c r="E326" s="697">
        <v>55</v>
      </c>
      <c r="F326" s="697">
        <v>170</v>
      </c>
      <c r="G326" s="697">
        <v>69</v>
      </c>
      <c r="H326" s="697">
        <v>1147</v>
      </c>
      <c r="I326" s="697"/>
      <c r="J326" s="697">
        <v>0</v>
      </c>
      <c r="K326" s="697">
        <v>0</v>
      </c>
      <c r="L326" s="697">
        <v>15</v>
      </c>
      <c r="M326" s="697"/>
      <c r="N326" s="697">
        <v>15</v>
      </c>
      <c r="O326" s="697"/>
      <c r="P326" s="697"/>
      <c r="Q326" s="697"/>
      <c r="Y326" s="309"/>
      <c r="Z326" s="305"/>
      <c r="AE326" s="309"/>
      <c r="AF326" s="305"/>
      <c r="AH326" s="309"/>
      <c r="AI326" s="516"/>
      <c r="AO326" s="524"/>
      <c r="AU326" s="524"/>
      <c r="AX326" s="524"/>
    </row>
    <row r="327" spans="1:50" x14ac:dyDescent="0.2">
      <c r="A327" s="696" t="s">
        <v>1073</v>
      </c>
      <c r="B327" s="697">
        <v>76991532.321425617</v>
      </c>
      <c r="C327" s="697"/>
      <c r="D327" s="697">
        <v>18075580.950771786</v>
      </c>
      <c r="E327" s="697">
        <v>4882604.9999999991</v>
      </c>
      <c r="F327" s="697">
        <v>13647541.043269532</v>
      </c>
      <c r="G327" s="697">
        <v>5190641.6911483649</v>
      </c>
      <c r="H327" s="697">
        <v>118787901.0066153</v>
      </c>
      <c r="I327" s="697"/>
      <c r="J327" s="697">
        <v>0</v>
      </c>
      <c r="K327" s="697">
        <v>0</v>
      </c>
      <c r="L327" s="697">
        <v>1012922.0000000001</v>
      </c>
      <c r="M327" s="697"/>
      <c r="N327" s="697">
        <v>1012922.0000000001</v>
      </c>
      <c r="O327" s="697"/>
      <c r="P327" s="697"/>
      <c r="Q327" s="697"/>
      <c r="R327" s="294"/>
      <c r="S327" s="296">
        <f>IF(B326&gt;0,(B327/B326),)</f>
        <v>120865.82782013441</v>
      </c>
      <c r="T327" s="296">
        <f t="shared" ref="T327" si="3451">IF(C326&gt;0,(C327/C326),)</f>
        <v>0</v>
      </c>
      <c r="U327" s="296">
        <f t="shared" ref="U327" si="3452">IF(D326&gt;0,(D327/D326),)</f>
        <v>83683.245142461979</v>
      </c>
      <c r="V327" s="296">
        <f t="shared" ref="V327" si="3453">IF(E326&gt;0,(E327/E326),)</f>
        <v>88774.636363636353</v>
      </c>
      <c r="W327" s="296">
        <f t="shared" ref="W327" si="3454">IF(F326&gt;0,(F327/F326),)</f>
        <v>80279.653195703126</v>
      </c>
      <c r="X327" s="296">
        <f t="shared" ref="X327" si="3455">IF(G326&gt;0,(G327/G326),)</f>
        <v>75226.691176063265</v>
      </c>
      <c r="Y327" s="311">
        <f t="shared" ref="Y327" si="3456">IF(H326&gt;0,(H327/H326),)</f>
        <v>103563.9939028904</v>
      </c>
      <c r="Z327" s="306">
        <f t="shared" ref="Z327" si="3457">IF(I326&gt;0,(I327/I326),)</f>
        <v>0</v>
      </c>
      <c r="AA327" s="296">
        <f t="shared" ref="AA327" si="3458">IF(J326&gt;0,(J327/J326),)</f>
        <v>0</v>
      </c>
      <c r="AB327" s="296">
        <f t="shared" ref="AB327" si="3459">IF(K326&gt;0,(K327/K326),)</f>
        <v>0</v>
      </c>
      <c r="AC327" s="296">
        <f t="shared" ref="AC327" si="3460">IF(L326&gt;0,(L327/L326),)</f>
        <v>67528.133333333346</v>
      </c>
      <c r="AD327" s="296">
        <f t="shared" ref="AD327" si="3461">IF(M326&gt;0,(M327/M326),)</f>
        <v>0</v>
      </c>
      <c r="AE327" s="311">
        <f t="shared" ref="AE327" si="3462">IF(N326&gt;0,(N327/N326),)</f>
        <v>67528.133333333346</v>
      </c>
      <c r="AF327" s="306">
        <f t="shared" ref="AF327" si="3463">IF(O326&gt;0,(O327/O326),)</f>
        <v>0</v>
      </c>
      <c r="AG327" s="296">
        <f t="shared" ref="AG327" si="3464">IF(P326&gt;0,(P327/P326),)</f>
        <v>0</v>
      </c>
      <c r="AH327" s="311">
        <f t="shared" ref="AH327" si="3465">IF(Q326&gt;0,(Q327/Q326),)</f>
        <v>0</v>
      </c>
      <c r="AI327" s="517">
        <f>IF(S325&gt;0,(S327-S325)/S325,)</f>
        <v>7.5408789539071361E-2</v>
      </c>
      <c r="AJ327" s="518">
        <f t="shared" ref="AJ327" si="3466">IF(T325&gt;0,(T327-T325)/T325,)</f>
        <v>0</v>
      </c>
      <c r="AK327" s="518">
        <f t="shared" ref="AK327" si="3467">IF(U325&gt;0,(U327-U325)/U325,)</f>
        <v>4.3424237936268026E-2</v>
      </c>
      <c r="AL327" s="518">
        <f t="shared" ref="AL327" si="3468">IF(V325&gt;0,(V327-V325)/V325,)</f>
        <v>2.7258315458826798E-2</v>
      </c>
      <c r="AM327" s="518">
        <f t="shared" ref="AM327" si="3469">IF(W325&gt;0,(W327-W325)/W325,)</f>
        <v>1.8435524956133268E-2</v>
      </c>
      <c r="AN327" s="518">
        <f t="shared" ref="AN327" si="3470">IF(X325&gt;0,(X327-X325)/X325,)</f>
        <v>3.8105344741572809E-2</v>
      </c>
      <c r="AO327" s="525">
        <f t="shared" ref="AO327" si="3471">IF(Y325&gt;0,(Y327-Y325)/Y325,)</f>
        <v>5.7946461713149794E-2</v>
      </c>
      <c r="AP327" s="518">
        <f t="shared" ref="AP327" si="3472">IF(Z325&gt;0,(Z327-Z325)/Z325,)</f>
        <v>0</v>
      </c>
      <c r="AQ327" s="518">
        <f t="shared" ref="AQ327" si="3473">IF(AA325&gt;0,(AA327-AA325)/AA325,)</f>
        <v>0</v>
      </c>
      <c r="AR327" s="518">
        <f t="shared" ref="AR327" si="3474">IF(AB325&gt;0,(AB327-AB325)/AB325,)</f>
        <v>0</v>
      </c>
      <c r="AS327" s="518">
        <f t="shared" ref="AS327" si="3475">IF(AC325&gt;0,(AC327-AC325)/AC325,)</f>
        <v>-6.3581837427051048E-3</v>
      </c>
      <c r="AT327" s="518">
        <f t="shared" ref="AT327" si="3476">IF(AD325&gt;0,(AD327-AD325)/AD325,)</f>
        <v>0</v>
      </c>
      <c r="AU327" s="525">
        <f t="shared" ref="AU327" si="3477">IF(AE325&gt;0,(AE327-AE325)/AE325,)</f>
        <v>-6.3581837427051048E-3</v>
      </c>
      <c r="AV327" s="518">
        <f t="shared" ref="AV327" si="3478">IF(AF325&gt;0,(AF327-AF325)/AF325,)</f>
        <v>0</v>
      </c>
      <c r="AW327" s="518">
        <f t="shared" ref="AW327" si="3479">IF(AG325&gt;0,(AG327-AG325)/AG325,)</f>
        <v>0</v>
      </c>
      <c r="AX327" s="525">
        <f t="shared" ref="AX327" si="3480">IF(AH325&gt;0,(AH327-AH325)/AH325,)</f>
        <v>0</v>
      </c>
    </row>
    <row r="328" spans="1:50" x14ac:dyDescent="0.2">
      <c r="A328" s="696" t="s">
        <v>1075</v>
      </c>
      <c r="B328" s="697">
        <v>606</v>
      </c>
      <c r="C328" s="697"/>
      <c r="D328" s="697">
        <v>255</v>
      </c>
      <c r="E328" s="697">
        <v>53</v>
      </c>
      <c r="F328" s="697">
        <v>203</v>
      </c>
      <c r="G328" s="697">
        <v>134</v>
      </c>
      <c r="H328" s="697">
        <v>1251</v>
      </c>
      <c r="I328" s="697"/>
      <c r="J328" s="697">
        <v>0</v>
      </c>
      <c r="K328" s="697">
        <v>0</v>
      </c>
      <c r="L328" s="697">
        <v>24</v>
      </c>
      <c r="M328" s="697"/>
      <c r="N328" s="697">
        <v>24</v>
      </c>
      <c r="O328" s="697"/>
      <c r="P328" s="697"/>
      <c r="Q328" s="697"/>
      <c r="Y328" s="309"/>
      <c r="Z328" s="305"/>
      <c r="AE328" s="309"/>
      <c r="AF328" s="305"/>
      <c r="AH328" s="309"/>
      <c r="AI328" s="516"/>
      <c r="AO328" s="524"/>
      <c r="AU328" s="524"/>
      <c r="AX328" s="524"/>
    </row>
    <row r="329" spans="1:50" x14ac:dyDescent="0.2">
      <c r="A329" s="698" t="s">
        <v>1077</v>
      </c>
      <c r="B329" s="699">
        <v>48401232.90411374</v>
      </c>
      <c r="C329" s="699"/>
      <c r="D329" s="699">
        <v>16540960.996655518</v>
      </c>
      <c r="E329" s="699">
        <v>3696331.7536534448</v>
      </c>
      <c r="F329" s="699">
        <v>13439490.812246028</v>
      </c>
      <c r="G329" s="699">
        <v>7799170.1579907313</v>
      </c>
      <c r="H329" s="699">
        <v>89877186.624659449</v>
      </c>
      <c r="I329" s="699"/>
      <c r="J329" s="699">
        <v>0</v>
      </c>
      <c r="K329" s="699">
        <v>0</v>
      </c>
      <c r="L329" s="699">
        <v>1313301.9038064654</v>
      </c>
      <c r="M329" s="699"/>
      <c r="N329" s="699">
        <v>1313301.9038064654</v>
      </c>
      <c r="O329" s="699"/>
      <c r="P329" s="699"/>
      <c r="Q329" s="699"/>
      <c r="S329" s="296">
        <f>IF(B328&gt;0,(B329/B328),)</f>
        <v>79870.02129391706</v>
      </c>
      <c r="T329" s="296">
        <f t="shared" ref="T329" si="3481">IF(C328&gt;0,(C329/C328),)</f>
        <v>0</v>
      </c>
      <c r="U329" s="296">
        <f t="shared" ref="U329" si="3482">IF(D328&gt;0,(D329/D328),)</f>
        <v>64866.513712374581</v>
      </c>
      <c r="V329" s="296">
        <f t="shared" ref="V329" si="3483">IF(E328&gt;0,(E329/E328),)</f>
        <v>69742.108559498956</v>
      </c>
      <c r="W329" s="296">
        <f t="shared" ref="W329" si="3484">IF(F328&gt;0,(F329/F328),)</f>
        <v>66204.38823766516</v>
      </c>
      <c r="X329" s="296">
        <f t="shared" ref="X329" si="3485">IF(G328&gt;0,(G329/G328),)</f>
        <v>58202.762373065161</v>
      </c>
      <c r="Y329" s="311">
        <f t="shared" ref="Y329" si="3486">IF(H328&gt;0,(H329/H328),)</f>
        <v>71844.273880623063</v>
      </c>
      <c r="Z329" s="306">
        <f t="shared" ref="Z329" si="3487">IF(I328&gt;0,(I329/I328),)</f>
        <v>0</v>
      </c>
      <c r="AA329" s="296">
        <f t="shared" ref="AA329" si="3488">IF(J328&gt;0,(J329/J328),)</f>
        <v>0</v>
      </c>
      <c r="AB329" s="296">
        <f t="shared" ref="AB329" si="3489">IF(K328&gt;0,(K329/K328),)</f>
        <v>0</v>
      </c>
      <c r="AC329" s="296">
        <f t="shared" ref="AC329" si="3490">IF(L328&gt;0,(L329/L328),)</f>
        <v>54720.912658602727</v>
      </c>
      <c r="AD329" s="296">
        <f t="shared" ref="AD329" si="3491">IF(M328&gt;0,(M329/M328),)</f>
        <v>0</v>
      </c>
      <c r="AE329" s="311">
        <f t="shared" ref="AE329" si="3492">IF(N328&gt;0,(N329/N328),)</f>
        <v>54720.912658602727</v>
      </c>
      <c r="AF329" s="306">
        <f t="shared" ref="AF329" si="3493">IF(O328&gt;0,(O329/O328),)</f>
        <v>0</v>
      </c>
      <c r="AG329" s="296">
        <f t="shared" ref="AG329" si="3494">IF(P328&gt;0,(P329/P328),)</f>
        <v>0</v>
      </c>
      <c r="AH329" s="311">
        <f t="shared" ref="AH329" si="3495">IF(Q328&gt;0,(Q329/Q328),)</f>
        <v>0</v>
      </c>
      <c r="AI329" s="516"/>
      <c r="AO329" s="524"/>
      <c r="AU329" s="524"/>
      <c r="AX329" s="524"/>
    </row>
    <row r="330" spans="1:50" x14ac:dyDescent="0.2">
      <c r="A330" s="696" t="s">
        <v>1079</v>
      </c>
      <c r="B330" s="697">
        <v>653</v>
      </c>
      <c r="C330" s="697"/>
      <c r="D330" s="697">
        <v>265</v>
      </c>
      <c r="E330" s="697">
        <v>61</v>
      </c>
      <c r="F330" s="697">
        <v>217</v>
      </c>
      <c r="G330" s="697">
        <v>129</v>
      </c>
      <c r="H330" s="697">
        <v>1325</v>
      </c>
      <c r="I330" s="697"/>
      <c r="J330" s="697">
        <v>0</v>
      </c>
      <c r="K330" s="697">
        <v>0</v>
      </c>
      <c r="L330" s="697">
        <v>21</v>
      </c>
      <c r="M330" s="697"/>
      <c r="N330" s="697">
        <v>21</v>
      </c>
      <c r="O330" s="697"/>
      <c r="P330" s="697"/>
      <c r="Q330" s="697"/>
      <c r="Y330" s="309"/>
      <c r="Z330" s="305"/>
      <c r="AE330" s="309"/>
      <c r="AF330" s="305"/>
      <c r="AH330" s="309"/>
      <c r="AI330" s="516"/>
      <c r="AO330" s="524"/>
      <c r="AU330" s="524"/>
      <c r="AX330" s="524"/>
    </row>
    <row r="331" spans="1:50" x14ac:dyDescent="0.2">
      <c r="A331" s="696" t="s">
        <v>1081</v>
      </c>
      <c r="B331" s="697">
        <v>55697686.735456683</v>
      </c>
      <c r="C331" s="697"/>
      <c r="D331" s="697">
        <v>17858911.45196525</v>
      </c>
      <c r="E331" s="697">
        <v>4384066</v>
      </c>
      <c r="F331" s="697">
        <v>14456418.955752186</v>
      </c>
      <c r="G331" s="697">
        <v>7533128.6982949851</v>
      </c>
      <c r="H331" s="697">
        <v>99930211.841469094</v>
      </c>
      <c r="I331" s="697"/>
      <c r="J331" s="697">
        <v>0</v>
      </c>
      <c r="K331" s="697">
        <v>0</v>
      </c>
      <c r="L331" s="697">
        <v>1203883.076923077</v>
      </c>
      <c r="M331" s="697"/>
      <c r="N331" s="697">
        <v>1203883.076923077</v>
      </c>
      <c r="O331" s="697"/>
      <c r="P331" s="697"/>
      <c r="Q331" s="697"/>
      <c r="R331" s="294"/>
      <c r="S331" s="296">
        <f>IF(B330&gt;0,(B331/B330),)</f>
        <v>85295.079227345603</v>
      </c>
      <c r="T331" s="296">
        <f t="shared" ref="T331" si="3496">IF(C330&gt;0,(C331/C330),)</f>
        <v>0</v>
      </c>
      <c r="U331" s="296">
        <f t="shared" ref="U331" si="3497">IF(D330&gt;0,(D331/D330),)</f>
        <v>67392.118686661328</v>
      </c>
      <c r="V331" s="296">
        <f t="shared" ref="V331" si="3498">IF(E330&gt;0,(E331/E330),)</f>
        <v>71869.934426229505</v>
      </c>
      <c r="W331" s="296">
        <f t="shared" ref="W331" si="3499">IF(F330&gt;0,(F331/F330),)</f>
        <v>66619.442192406394</v>
      </c>
      <c r="X331" s="296">
        <f t="shared" ref="X331" si="3500">IF(G330&gt;0,(G331/G330),)</f>
        <v>58396.346498410734</v>
      </c>
      <c r="Y331" s="311">
        <f t="shared" ref="Y331" si="3501">IF(H330&gt;0,(H331/H330),)</f>
        <v>75419.027804882338</v>
      </c>
      <c r="Z331" s="306">
        <f t="shared" ref="Z331" si="3502">IF(I330&gt;0,(I331/I330),)</f>
        <v>0</v>
      </c>
      <c r="AA331" s="296">
        <f t="shared" ref="AA331" si="3503">IF(J330&gt;0,(J331/J330),)</f>
        <v>0</v>
      </c>
      <c r="AB331" s="296">
        <f t="shared" ref="AB331" si="3504">IF(K330&gt;0,(K331/K330),)</f>
        <v>0</v>
      </c>
      <c r="AC331" s="296">
        <f t="shared" ref="AC331" si="3505">IF(L330&gt;0,(L331/L330),)</f>
        <v>57327.765567765571</v>
      </c>
      <c r="AD331" s="296">
        <f t="shared" ref="AD331" si="3506">IF(M330&gt;0,(M331/M330),)</f>
        <v>0</v>
      </c>
      <c r="AE331" s="311">
        <f t="shared" ref="AE331" si="3507">IF(N330&gt;0,(N331/N330),)</f>
        <v>57327.765567765571</v>
      </c>
      <c r="AF331" s="306">
        <f t="shared" ref="AF331" si="3508">IF(O330&gt;0,(O331/O330),)</f>
        <v>0</v>
      </c>
      <c r="AG331" s="296">
        <f t="shared" ref="AG331" si="3509">IF(P330&gt;0,(P331/P330),)</f>
        <v>0</v>
      </c>
      <c r="AH331" s="311">
        <f t="shared" ref="AH331" si="3510">IF(Q330&gt;0,(Q331/Q330),)</f>
        <v>0</v>
      </c>
      <c r="AI331" s="517">
        <f>IF(S329&gt;0,(S331-S329)/S329,)</f>
        <v>6.7923581908969868E-2</v>
      </c>
      <c r="AJ331" s="518">
        <f t="shared" ref="AJ331" si="3511">IF(T329&gt;0,(T331-T329)/T329,)</f>
        <v>0</v>
      </c>
      <c r="AK331" s="518">
        <f t="shared" ref="AK331" si="3512">IF(U329&gt;0,(U331-U329)/U329,)</f>
        <v>3.8935420292287692E-2</v>
      </c>
      <c r="AL331" s="518">
        <f t="shared" ref="AL331" si="3513">IF(V329&gt;0,(V331-V329)/V329,)</f>
        <v>3.0509915898445209E-2</v>
      </c>
      <c r="AM331" s="518">
        <f t="shared" ref="AM331" si="3514">IF(W329&gt;0,(W331-W329)/W329,)</f>
        <v>6.2692816260342711E-3</v>
      </c>
      <c r="AN331" s="518">
        <f t="shared" ref="AN331" si="3515">IF(X329&gt;0,(X331-X329)/X329,)</f>
        <v>3.3260298558468234E-3</v>
      </c>
      <c r="AO331" s="525">
        <f t="shared" ref="AO331" si="3516">IF(Y329&gt;0,(Y331-Y329)/Y329,)</f>
        <v>4.9756977573454375E-2</v>
      </c>
      <c r="AP331" s="518">
        <f t="shared" ref="AP331" si="3517">IF(Z329&gt;0,(Z331-Z329)/Z329,)</f>
        <v>0</v>
      </c>
      <c r="AQ331" s="518">
        <f t="shared" ref="AQ331" si="3518">IF(AA329&gt;0,(AA331-AA329)/AA329,)</f>
        <v>0</v>
      </c>
      <c r="AR331" s="518">
        <f t="shared" ref="AR331" si="3519">IF(AB329&gt;0,(AB331-AB329)/AB329,)</f>
        <v>0</v>
      </c>
      <c r="AS331" s="518">
        <f t="shared" ref="AS331" si="3520">IF(AC329&gt;0,(AC331-AC329)/AC329,)</f>
        <v>4.7639061238373158E-2</v>
      </c>
      <c r="AT331" s="518">
        <f t="shared" ref="AT331" si="3521">IF(AD329&gt;0,(AD331-AD329)/AD329,)</f>
        <v>0</v>
      </c>
      <c r="AU331" s="525">
        <f t="shared" ref="AU331" si="3522">IF(AE329&gt;0,(AE331-AE329)/AE329,)</f>
        <v>4.7639061238373158E-2</v>
      </c>
      <c r="AV331" s="518">
        <f t="shared" ref="AV331" si="3523">IF(AF329&gt;0,(AF331-AF329)/AF329,)</f>
        <v>0</v>
      </c>
      <c r="AW331" s="518">
        <f t="shared" ref="AW331" si="3524">IF(AG329&gt;0,(AG331-AG329)/AG329,)</f>
        <v>0</v>
      </c>
      <c r="AX331" s="525">
        <f t="shared" ref="AX331" si="3525">IF(AH329&gt;0,(AH331-AH329)/AH329,)</f>
        <v>0</v>
      </c>
    </row>
    <row r="332" spans="1:50" x14ac:dyDescent="0.2">
      <c r="A332" s="696" t="s">
        <v>1083</v>
      </c>
      <c r="B332" s="697">
        <v>574</v>
      </c>
      <c r="C332" s="697"/>
      <c r="D332" s="697">
        <v>244</v>
      </c>
      <c r="E332" s="697">
        <v>64</v>
      </c>
      <c r="F332" s="697">
        <v>252</v>
      </c>
      <c r="G332" s="697">
        <v>175</v>
      </c>
      <c r="H332" s="697">
        <v>1309</v>
      </c>
      <c r="I332" s="697"/>
      <c r="J332" s="697">
        <v>0</v>
      </c>
      <c r="K332" s="697">
        <v>0</v>
      </c>
      <c r="L332" s="697">
        <v>36</v>
      </c>
      <c r="M332" s="697"/>
      <c r="N332" s="697">
        <v>36</v>
      </c>
      <c r="O332" s="697"/>
      <c r="P332" s="697"/>
      <c r="Q332" s="697"/>
      <c r="Y332" s="309"/>
      <c r="Z332" s="305"/>
      <c r="AE332" s="309"/>
      <c r="AF332" s="305"/>
      <c r="AH332" s="309"/>
      <c r="AI332" s="516"/>
      <c r="AO332" s="524"/>
      <c r="AU332" s="524"/>
      <c r="AX332" s="524"/>
    </row>
    <row r="333" spans="1:50" x14ac:dyDescent="0.2">
      <c r="A333" s="696" t="s">
        <v>1085</v>
      </c>
      <c r="B333" s="697">
        <v>40910427.774000473</v>
      </c>
      <c r="C333" s="697"/>
      <c r="D333" s="697">
        <v>14050953.332398318</v>
      </c>
      <c r="E333" s="697">
        <v>3682240</v>
      </c>
      <c r="F333" s="697">
        <v>14189973.719197707</v>
      </c>
      <c r="G333" s="697">
        <v>8995395.1401008405</v>
      </c>
      <c r="H333" s="697">
        <v>81828989.965697333</v>
      </c>
      <c r="I333" s="697"/>
      <c r="J333" s="697">
        <v>0</v>
      </c>
      <c r="K333" s="697">
        <v>0</v>
      </c>
      <c r="L333" s="697">
        <v>1667779.6829268294</v>
      </c>
      <c r="M333" s="697"/>
      <c r="N333" s="697">
        <v>1667779.6829268294</v>
      </c>
      <c r="O333" s="697"/>
      <c r="P333" s="697"/>
      <c r="Q333" s="697"/>
      <c r="R333" s="294"/>
      <c r="S333" s="296">
        <f>IF(B332&gt;0,(B333/B332),)</f>
        <v>71272.522254356227</v>
      </c>
      <c r="T333" s="296">
        <f t="shared" ref="T333" si="3526">IF(C332&gt;0,(C333/C332),)</f>
        <v>0</v>
      </c>
      <c r="U333" s="296">
        <f t="shared" ref="U333" si="3527">IF(D332&gt;0,(D333/D332),)</f>
        <v>57585.874313107859</v>
      </c>
      <c r="V333" s="296">
        <f t="shared" ref="V333" si="3528">IF(E332&gt;0,(E333/E332),)</f>
        <v>57535</v>
      </c>
      <c r="W333" s="296">
        <f t="shared" ref="W333" si="3529">IF(F332&gt;0,(F333/F332),)</f>
        <v>56309.419520625823</v>
      </c>
      <c r="X333" s="296">
        <f t="shared" ref="X333" si="3530">IF(G332&gt;0,(G333/G332),)</f>
        <v>51402.257943433375</v>
      </c>
      <c r="Y333" s="311">
        <f t="shared" ref="Y333" si="3531">IF(H332&gt;0,(H333/H332),)</f>
        <v>62512.597376392157</v>
      </c>
      <c r="Z333" s="306">
        <f t="shared" ref="Z333" si="3532">IF(I332&gt;0,(I333/I332),)</f>
        <v>0</v>
      </c>
      <c r="AA333" s="296">
        <f t="shared" ref="AA333" si="3533">IF(J332&gt;0,(J333/J332),)</f>
        <v>0</v>
      </c>
      <c r="AB333" s="296">
        <f t="shared" ref="AB333" si="3534">IF(K332&gt;0,(K333/K332),)</f>
        <v>0</v>
      </c>
      <c r="AC333" s="296">
        <f t="shared" ref="AC333" si="3535">IF(L332&gt;0,(L333/L332),)</f>
        <v>46327.213414634149</v>
      </c>
      <c r="AD333" s="296">
        <f t="shared" ref="AD333" si="3536">IF(M332&gt;0,(M333/M332),)</f>
        <v>0</v>
      </c>
      <c r="AE333" s="311">
        <f t="shared" ref="AE333" si="3537">IF(N332&gt;0,(N333/N332),)</f>
        <v>46327.213414634149</v>
      </c>
      <c r="AF333" s="306">
        <f t="shared" ref="AF333" si="3538">IF(O332&gt;0,(O333/O332),)</f>
        <v>0</v>
      </c>
      <c r="AG333" s="296">
        <f t="shared" ref="AG333" si="3539">IF(P332&gt;0,(P333/P332),)</f>
        <v>0</v>
      </c>
      <c r="AH333" s="311">
        <f t="shared" ref="AH333" si="3540">IF(Q332&gt;0,(Q333/Q332),)</f>
        <v>0</v>
      </c>
      <c r="AI333" s="516"/>
      <c r="AO333" s="524"/>
      <c r="AU333" s="524"/>
      <c r="AX333" s="524"/>
    </row>
    <row r="334" spans="1:50" x14ac:dyDescent="0.2">
      <c r="A334" s="696" t="s">
        <v>1087</v>
      </c>
      <c r="B334" s="697">
        <v>571</v>
      </c>
      <c r="C334" s="697"/>
      <c r="D334" s="697">
        <v>235</v>
      </c>
      <c r="E334" s="697">
        <v>50</v>
      </c>
      <c r="F334" s="697">
        <v>254</v>
      </c>
      <c r="G334" s="697">
        <v>175</v>
      </c>
      <c r="H334" s="697">
        <v>1285</v>
      </c>
      <c r="I334" s="697"/>
      <c r="J334" s="697">
        <v>0</v>
      </c>
      <c r="K334" s="697">
        <v>0</v>
      </c>
      <c r="L334" s="697">
        <v>33</v>
      </c>
      <c r="M334" s="697"/>
      <c r="N334" s="697">
        <v>33</v>
      </c>
      <c r="O334" s="697"/>
      <c r="P334" s="697"/>
      <c r="Q334" s="697"/>
      <c r="Y334" s="309"/>
      <c r="Z334" s="305"/>
      <c r="AE334" s="309"/>
      <c r="AF334" s="305"/>
      <c r="AH334" s="309"/>
      <c r="AI334" s="516"/>
      <c r="AO334" s="524"/>
      <c r="AU334" s="524"/>
      <c r="AX334" s="524"/>
    </row>
    <row r="335" spans="1:50" x14ac:dyDescent="0.2">
      <c r="A335" s="696" t="s">
        <v>1089</v>
      </c>
      <c r="B335" s="697">
        <v>43154225.852482378</v>
      </c>
      <c r="C335" s="697"/>
      <c r="D335" s="697">
        <v>13915283.774038462</v>
      </c>
      <c r="E335" s="697">
        <v>3060252</v>
      </c>
      <c r="F335" s="697">
        <v>14754842.917050693</v>
      </c>
      <c r="G335" s="697">
        <v>9293519.96541599</v>
      </c>
      <c r="H335" s="697">
        <v>84178124.508987516</v>
      </c>
      <c r="I335" s="697"/>
      <c r="J335" s="697">
        <v>0</v>
      </c>
      <c r="K335" s="697">
        <v>0</v>
      </c>
      <c r="L335" s="697">
        <v>1527005.509090909</v>
      </c>
      <c r="M335" s="697"/>
      <c r="N335" s="697">
        <v>1527005.509090909</v>
      </c>
      <c r="O335" s="697"/>
      <c r="P335" s="697"/>
      <c r="Q335" s="697"/>
      <c r="R335" s="294"/>
      <c r="S335" s="296">
        <f>IF(B334&gt;0,(B335/B334),)</f>
        <v>75576.577675100489</v>
      </c>
      <c r="T335" s="296">
        <f t="shared" ref="T335" si="3541">IF(C334&gt;0,(C335/C334),)</f>
        <v>0</v>
      </c>
      <c r="U335" s="296">
        <f t="shared" ref="U335" si="3542">IF(D334&gt;0,(D335/D334),)</f>
        <v>59213.973506546645</v>
      </c>
      <c r="V335" s="296">
        <f t="shared" ref="V335" si="3543">IF(E334&gt;0,(E335/E334),)</f>
        <v>61205.04</v>
      </c>
      <c r="W335" s="296">
        <f t="shared" ref="W335" si="3544">IF(F334&gt;0,(F335/F334),)</f>
        <v>58089.93274429407</v>
      </c>
      <c r="X335" s="296">
        <f t="shared" ref="X335" si="3545">IF(G334&gt;0,(G335/G334),)</f>
        <v>53105.828373805656</v>
      </c>
      <c r="Y335" s="311">
        <f t="shared" ref="Y335" si="3546">IF(H334&gt;0,(H335/H334),)</f>
        <v>65508.268100379391</v>
      </c>
      <c r="Z335" s="306">
        <f t="shared" ref="Z335" si="3547">IF(I334&gt;0,(I335/I334),)</f>
        <v>0</v>
      </c>
      <c r="AA335" s="296">
        <f t="shared" ref="AA335" si="3548">IF(J334&gt;0,(J335/J334),)</f>
        <v>0</v>
      </c>
      <c r="AB335" s="296">
        <f t="shared" ref="AB335" si="3549">IF(K334&gt;0,(K335/K334),)</f>
        <v>0</v>
      </c>
      <c r="AC335" s="296">
        <f t="shared" ref="AC335" si="3550">IF(L334&gt;0,(L335/L334),)</f>
        <v>46272.894214876032</v>
      </c>
      <c r="AD335" s="296">
        <f t="shared" ref="AD335" si="3551">IF(M334&gt;0,(M335/M334),)</f>
        <v>0</v>
      </c>
      <c r="AE335" s="311">
        <f t="shared" ref="AE335" si="3552">IF(N334&gt;0,(N335/N334),)</f>
        <v>46272.894214876032</v>
      </c>
      <c r="AF335" s="306">
        <f t="shared" ref="AF335" si="3553">IF(O334&gt;0,(O335/O334),)</f>
        <v>0</v>
      </c>
      <c r="AG335" s="296">
        <f t="shared" ref="AG335" si="3554">IF(P334&gt;0,(P335/P334),)</f>
        <v>0</v>
      </c>
      <c r="AH335" s="311">
        <f t="shared" ref="AH335" si="3555">IF(Q334&gt;0,(Q335/Q334),)</f>
        <v>0</v>
      </c>
      <c r="AI335" s="517">
        <f>IF(S333&gt;0,(S335-S333)/S333,)</f>
        <v>6.03887063991368E-2</v>
      </c>
      <c r="AJ335" s="518">
        <f t="shared" ref="AJ335" si="3556">IF(T333&gt;0,(T335-T333)/T333,)</f>
        <v>0</v>
      </c>
      <c r="AK335" s="518">
        <f t="shared" ref="AK335" si="3557">IF(U333&gt;0,(U335-U333)/U333,)</f>
        <v>2.827254448871315E-2</v>
      </c>
      <c r="AL335" s="518">
        <f t="shared" ref="AL335" si="3558">IF(V333&gt;0,(V335-V333)/V333,)</f>
        <v>6.3787955157730086E-2</v>
      </c>
      <c r="AM335" s="518">
        <f t="shared" ref="AM335" si="3559">IF(W333&gt;0,(W335-W333)/W333,)</f>
        <v>3.1620166551638053E-2</v>
      </c>
      <c r="AN335" s="518">
        <f t="shared" ref="AN335" si="3560">IF(X333&gt;0,(X335-X333)/X333,)</f>
        <v>3.3141937699449099E-2</v>
      </c>
      <c r="AO335" s="525">
        <f t="shared" ref="AO335" si="3561">IF(Y333&gt;0,(Y335-Y333)/Y333,)</f>
        <v>4.7921072707155614E-2</v>
      </c>
      <c r="AP335" s="518">
        <f t="shared" ref="AP335" si="3562">IF(Z333&gt;0,(Z335-Z333)/Z333,)</f>
        <v>0</v>
      </c>
      <c r="AQ335" s="518">
        <f t="shared" ref="AQ335" si="3563">IF(AA333&gt;0,(AA335-AA333)/AA333,)</f>
        <v>0</v>
      </c>
      <c r="AR335" s="518">
        <f t="shared" ref="AR335" si="3564">IF(AB333&gt;0,(AB335-AB333)/AB333,)</f>
        <v>0</v>
      </c>
      <c r="AS335" s="518">
        <f t="shared" ref="AS335" si="3565">IF(AC333&gt;0,(AC335-AC333)/AC333,)</f>
        <v>-1.1725117000228951E-3</v>
      </c>
      <c r="AT335" s="518">
        <f t="shared" ref="AT335" si="3566">IF(AD333&gt;0,(AD335-AD333)/AD333,)</f>
        <v>0</v>
      </c>
      <c r="AU335" s="525">
        <f t="shared" ref="AU335" si="3567">IF(AE333&gt;0,(AE335-AE333)/AE333,)</f>
        <v>-1.1725117000228951E-3</v>
      </c>
      <c r="AV335" s="518">
        <f t="shared" ref="AV335" si="3568">IF(AF333&gt;0,(AF335-AF333)/AF333,)</f>
        <v>0</v>
      </c>
      <c r="AW335" s="518">
        <f t="shared" ref="AW335" si="3569">IF(AG333&gt;0,(AG335-AG333)/AG333,)</f>
        <v>0</v>
      </c>
      <c r="AX335" s="525">
        <f t="shared" ref="AX335" si="3570">IF(AH333&gt;0,(AH335-AH333)/AH333,)</f>
        <v>0</v>
      </c>
    </row>
    <row r="336" spans="1:50" x14ac:dyDescent="0.2">
      <c r="A336" s="696" t="s">
        <v>1091</v>
      </c>
      <c r="B336" s="697">
        <v>157</v>
      </c>
      <c r="C336" s="697"/>
      <c r="D336" s="697">
        <v>90</v>
      </c>
      <c r="E336" s="697">
        <v>3</v>
      </c>
      <c r="F336" s="697">
        <v>61</v>
      </c>
      <c r="G336" s="697">
        <v>156</v>
      </c>
      <c r="H336" s="697">
        <v>467</v>
      </c>
      <c r="I336" s="697"/>
      <c r="J336" s="697">
        <v>0</v>
      </c>
      <c r="K336" s="697">
        <v>0</v>
      </c>
      <c r="L336" s="697">
        <v>50</v>
      </c>
      <c r="M336" s="697"/>
      <c r="N336" s="697">
        <v>50</v>
      </c>
      <c r="O336" s="697"/>
      <c r="P336" s="697"/>
      <c r="Q336" s="697"/>
      <c r="Y336" s="309"/>
      <c r="Z336" s="305"/>
      <c r="AE336" s="309"/>
      <c r="AF336" s="305"/>
      <c r="AH336" s="309"/>
      <c r="AI336" s="516"/>
      <c r="AO336" s="524"/>
      <c r="AU336" s="524"/>
      <c r="AX336" s="524"/>
    </row>
    <row r="337" spans="1:50" x14ac:dyDescent="0.2">
      <c r="A337" s="696" t="s">
        <v>1093</v>
      </c>
      <c r="B337" s="697">
        <v>7134511.8340080967</v>
      </c>
      <c r="C337" s="697"/>
      <c r="D337" s="697">
        <v>4277856.1313868612</v>
      </c>
      <c r="E337" s="697">
        <v>134979</v>
      </c>
      <c r="F337" s="697">
        <v>2813457.1716526286</v>
      </c>
      <c r="G337" s="697">
        <v>6875081.7400106434</v>
      </c>
      <c r="H337" s="697">
        <v>21235885.87705823</v>
      </c>
      <c r="I337" s="697"/>
      <c r="J337" s="697">
        <v>0</v>
      </c>
      <c r="K337" s="697">
        <v>0</v>
      </c>
      <c r="L337" s="697">
        <v>2085739.2560676301</v>
      </c>
      <c r="M337" s="697"/>
      <c r="N337" s="697">
        <v>2085739.2560676301</v>
      </c>
      <c r="O337" s="697"/>
      <c r="P337" s="697"/>
      <c r="Q337" s="697"/>
      <c r="R337" s="294"/>
      <c r="S337" s="296">
        <f>IF(B336&gt;0,(B337/B336),)</f>
        <v>45442.750535083418</v>
      </c>
      <c r="T337" s="296">
        <f t="shared" ref="T337" si="3571">IF(C336&gt;0,(C337/C336),)</f>
        <v>0</v>
      </c>
      <c r="U337" s="296">
        <f t="shared" ref="U337" si="3572">IF(D336&gt;0,(D337/D336),)</f>
        <v>47531.734793187345</v>
      </c>
      <c r="V337" s="296">
        <f t="shared" ref="V337" si="3573">IF(E336&gt;0,(E337/E336),)</f>
        <v>44993</v>
      </c>
      <c r="W337" s="296">
        <f t="shared" ref="W337" si="3574">IF(F336&gt;0,(F337/F336),)</f>
        <v>46122.248715616865</v>
      </c>
      <c r="X337" s="296">
        <f t="shared" ref="X337" si="3575">IF(G336&gt;0,(G337/G336),)</f>
        <v>44071.036794940024</v>
      </c>
      <c r="Y337" s="311">
        <f t="shared" ref="Y337" si="3576">IF(H336&gt;0,(H337/H336),)</f>
        <v>45472.989030103279</v>
      </c>
      <c r="Z337" s="306">
        <f t="shared" ref="Z337" si="3577">IF(I336&gt;0,(I337/I336),)</f>
        <v>0</v>
      </c>
      <c r="AA337" s="296">
        <f t="shared" ref="AA337" si="3578">IF(J336&gt;0,(J337/J336),)</f>
        <v>0</v>
      </c>
      <c r="AB337" s="296">
        <f t="shared" ref="AB337" si="3579">IF(K336&gt;0,(K337/K336),)</f>
        <v>0</v>
      </c>
      <c r="AC337" s="296">
        <f t="shared" ref="AC337" si="3580">IF(L336&gt;0,(L337/L336),)</f>
        <v>41714.785121352601</v>
      </c>
      <c r="AD337" s="296">
        <f t="shared" ref="AD337" si="3581">IF(M336&gt;0,(M337/M336),)</f>
        <v>0</v>
      </c>
      <c r="AE337" s="311">
        <f t="shared" ref="AE337" si="3582">IF(N336&gt;0,(N337/N336),)</f>
        <v>41714.785121352601</v>
      </c>
      <c r="AF337" s="306">
        <f t="shared" ref="AF337" si="3583">IF(O336&gt;0,(O337/O336),)</f>
        <v>0</v>
      </c>
      <c r="AG337" s="296">
        <f t="shared" ref="AG337" si="3584">IF(P336&gt;0,(P337/P336),)</f>
        <v>0</v>
      </c>
      <c r="AH337" s="311">
        <f t="shared" ref="AH337" si="3585">IF(Q336&gt;0,(Q337/Q336),)</f>
        <v>0</v>
      </c>
      <c r="AI337" s="516"/>
      <c r="AO337" s="524"/>
      <c r="AU337" s="524"/>
      <c r="AX337" s="524"/>
    </row>
    <row r="338" spans="1:50" x14ac:dyDescent="0.2">
      <c r="A338" s="696" t="s">
        <v>1095</v>
      </c>
      <c r="B338" s="697">
        <v>161</v>
      </c>
      <c r="C338" s="697"/>
      <c r="D338" s="697">
        <v>86</v>
      </c>
      <c r="E338" s="697">
        <v>16</v>
      </c>
      <c r="F338" s="697">
        <v>63</v>
      </c>
      <c r="G338" s="697">
        <v>158</v>
      </c>
      <c r="H338" s="697">
        <v>484</v>
      </c>
      <c r="I338" s="697"/>
      <c r="J338" s="697">
        <v>0</v>
      </c>
      <c r="K338" s="697">
        <v>0</v>
      </c>
      <c r="L338" s="697">
        <v>44</v>
      </c>
      <c r="M338" s="697"/>
      <c r="N338" s="697">
        <v>44</v>
      </c>
      <c r="O338" s="697"/>
      <c r="P338" s="697"/>
      <c r="Q338" s="697"/>
      <c r="Y338" s="309"/>
      <c r="Z338" s="305"/>
      <c r="AE338" s="309"/>
      <c r="AF338" s="305"/>
      <c r="AH338" s="309"/>
      <c r="AI338" s="516"/>
      <c r="AO338" s="524"/>
      <c r="AU338" s="524"/>
      <c r="AX338" s="524"/>
    </row>
    <row r="339" spans="1:50" x14ac:dyDescent="0.2">
      <c r="A339" s="696" t="s">
        <v>1097</v>
      </c>
      <c r="B339" s="697">
        <v>8039945.115344963</v>
      </c>
      <c r="C339" s="697"/>
      <c r="D339" s="697">
        <v>4237528.2779783392</v>
      </c>
      <c r="E339" s="697">
        <v>838208</v>
      </c>
      <c r="F339" s="697">
        <v>3017832.0315789473</v>
      </c>
      <c r="G339" s="697">
        <v>7183345.6522291973</v>
      </c>
      <c r="H339" s="697">
        <v>23316859.077131446</v>
      </c>
      <c r="I339" s="697"/>
      <c r="J339" s="697">
        <v>0</v>
      </c>
      <c r="K339" s="697">
        <v>0</v>
      </c>
      <c r="L339" s="697">
        <v>1956631.8674734747</v>
      </c>
      <c r="M339" s="697"/>
      <c r="N339" s="697">
        <v>1956631.8674734747</v>
      </c>
      <c r="O339" s="697"/>
      <c r="P339" s="697"/>
      <c r="Q339" s="697"/>
      <c r="R339" s="294"/>
      <c r="S339" s="296">
        <f>IF(B338&gt;0,(B339/B338),)</f>
        <v>49937.547300279271</v>
      </c>
      <c r="T339" s="296">
        <f t="shared" ref="T339" si="3586">IF(C338&gt;0,(C339/C338),)</f>
        <v>0</v>
      </c>
      <c r="U339" s="296">
        <f t="shared" ref="U339" si="3587">IF(D338&gt;0,(D339/D338),)</f>
        <v>49273.584627655109</v>
      </c>
      <c r="V339" s="296">
        <f t="shared" ref="V339" si="3588">IF(E338&gt;0,(E339/E338),)</f>
        <v>52388</v>
      </c>
      <c r="W339" s="296">
        <f t="shared" ref="W339" si="3589">IF(F338&gt;0,(F339/F338),)</f>
        <v>47902.09573934837</v>
      </c>
      <c r="X339" s="296">
        <f t="shared" ref="X339" si="3590">IF(G338&gt;0,(G339/G338),)</f>
        <v>45464.212988792387</v>
      </c>
      <c r="Y339" s="311">
        <f t="shared" ref="Y339" si="3591">IF(H338&gt;0,(H339/H338),)</f>
        <v>48175.328671759184</v>
      </c>
      <c r="Z339" s="306">
        <f t="shared" ref="Z339" si="3592">IF(I338&gt;0,(I339/I338),)</f>
        <v>0</v>
      </c>
      <c r="AA339" s="296">
        <f t="shared" ref="AA339" si="3593">IF(J338&gt;0,(J339/J338),)</f>
        <v>0</v>
      </c>
      <c r="AB339" s="296">
        <f t="shared" ref="AB339" si="3594">IF(K338&gt;0,(K339/K338),)</f>
        <v>0</v>
      </c>
      <c r="AC339" s="296">
        <f t="shared" ref="AC339" si="3595">IF(L338&gt;0,(L339/L338),)</f>
        <v>44468.906078942608</v>
      </c>
      <c r="AD339" s="296">
        <f t="shared" ref="AD339" si="3596">IF(M338&gt;0,(M339/M338),)</f>
        <v>0</v>
      </c>
      <c r="AE339" s="311">
        <f t="shared" ref="AE339" si="3597">IF(N338&gt;0,(N339/N338),)</f>
        <v>44468.906078942608</v>
      </c>
      <c r="AF339" s="306">
        <f t="shared" ref="AF339" si="3598">IF(O338&gt;0,(O339/O338),)</f>
        <v>0</v>
      </c>
      <c r="AG339" s="296">
        <f t="shared" ref="AG339" si="3599">IF(P338&gt;0,(P339/P338),)</f>
        <v>0</v>
      </c>
      <c r="AH339" s="311">
        <f t="shared" ref="AH339" si="3600">IF(Q338&gt;0,(Q339/Q338),)</f>
        <v>0</v>
      </c>
      <c r="AI339" s="517">
        <f>IF(S337&gt;0,(S339-S337)/S337,)</f>
        <v>9.8911195125077442E-2</v>
      </c>
      <c r="AJ339" s="518">
        <f t="shared" ref="AJ339" si="3601">IF(T337&gt;0,(T339-T337)/T337,)</f>
        <v>0</v>
      </c>
      <c r="AK339" s="518">
        <f t="shared" ref="AK339" si="3602">IF(U337&gt;0,(U339-U337)/U337,)</f>
        <v>3.6646039578539041E-2</v>
      </c>
      <c r="AL339" s="527">
        <f t="shared" ref="AL339" si="3603">IF(V337&gt;0,(V339-V337)/V337,)</f>
        <v>0.16435890027337585</v>
      </c>
      <c r="AM339" s="518">
        <f t="shared" ref="AM339" si="3604">IF(W337&gt;0,(W339-W337)/W337,)</f>
        <v>3.8589771168916438E-2</v>
      </c>
      <c r="AN339" s="518">
        <f t="shared" ref="AN339" si="3605">IF(X337&gt;0,(X339-X337)/X337,)</f>
        <v>3.1612058512141002E-2</v>
      </c>
      <c r="AO339" s="525">
        <f t="shared" ref="AO339" si="3606">IF(Y337&gt;0,(Y339-Y337)/Y337,)</f>
        <v>5.9427358950759672E-2</v>
      </c>
      <c r="AP339" s="518">
        <f t="shared" ref="AP339" si="3607">IF(Z337&gt;0,(Z339-Z337)/Z337,)</f>
        <v>0</v>
      </c>
      <c r="AQ339" s="518">
        <f t="shared" ref="AQ339" si="3608">IF(AA337&gt;0,(AA339-AA337)/AA337,)</f>
        <v>0</v>
      </c>
      <c r="AR339" s="518">
        <f t="shared" ref="AR339" si="3609">IF(AB337&gt;0,(AB339-AB337)/AB337,)</f>
        <v>0</v>
      </c>
      <c r="AS339" s="518">
        <f t="shared" ref="AS339" si="3610">IF(AC337&gt;0,(AC339-AC337)/AC337,)</f>
        <v>6.602265718444876E-2</v>
      </c>
      <c r="AT339" s="518">
        <f t="shared" ref="AT339" si="3611">IF(AD337&gt;0,(AD339-AD337)/AD337,)</f>
        <v>0</v>
      </c>
      <c r="AU339" s="525">
        <f t="shared" ref="AU339" si="3612">IF(AE337&gt;0,(AE339-AE337)/AE337,)</f>
        <v>6.602265718444876E-2</v>
      </c>
      <c r="AV339" s="518">
        <f t="shared" ref="AV339" si="3613">IF(AF337&gt;0,(AF339-AF337)/AF337,)</f>
        <v>0</v>
      </c>
      <c r="AW339" s="518">
        <f t="shared" ref="AW339" si="3614">IF(AG337&gt;0,(AG339-AG337)/AG337,)</f>
        <v>0</v>
      </c>
      <c r="AX339" s="525">
        <f t="shared" ref="AX339" si="3615">IF(AH337&gt;0,(AH339-AH337)/AH337,)</f>
        <v>0</v>
      </c>
    </row>
    <row r="340" spans="1:50" x14ac:dyDescent="0.2">
      <c r="A340" s="696" t="s">
        <v>1099</v>
      </c>
      <c r="B340" s="697">
        <v>228</v>
      </c>
      <c r="C340" s="697"/>
      <c r="D340" s="697">
        <v>1</v>
      </c>
      <c r="E340" s="697">
        <v>0</v>
      </c>
      <c r="F340" s="697">
        <v>85</v>
      </c>
      <c r="G340" s="697">
        <v>5</v>
      </c>
      <c r="H340" s="697">
        <v>319</v>
      </c>
      <c r="I340" s="697"/>
      <c r="J340" s="697">
        <v>1360</v>
      </c>
      <c r="K340" s="697">
        <v>477</v>
      </c>
      <c r="L340" s="697">
        <v>128</v>
      </c>
      <c r="M340" s="697"/>
      <c r="N340" s="697">
        <v>1965</v>
      </c>
      <c r="O340" s="697"/>
      <c r="P340" s="697"/>
      <c r="Q340" s="697"/>
      <c r="Y340" s="309"/>
      <c r="Z340" s="305"/>
      <c r="AE340" s="309"/>
      <c r="AF340" s="305"/>
      <c r="AH340" s="309"/>
      <c r="AI340" s="516"/>
      <c r="AO340" s="524"/>
      <c r="AU340" s="524"/>
      <c r="AX340" s="524"/>
    </row>
    <row r="341" spans="1:50" x14ac:dyDescent="0.2">
      <c r="A341" s="696" t="s">
        <v>1101</v>
      </c>
      <c r="B341" s="697">
        <v>11045292.305414781</v>
      </c>
      <c r="C341" s="697"/>
      <c r="D341" s="697">
        <v>30000</v>
      </c>
      <c r="E341" s="697">
        <v>0</v>
      </c>
      <c r="F341" s="697">
        <v>3511869.4823500961</v>
      </c>
      <c r="G341" s="697">
        <v>195840</v>
      </c>
      <c r="H341" s="697">
        <v>14783001.787764877</v>
      </c>
      <c r="I341" s="697"/>
      <c r="J341" s="697">
        <v>63849654</v>
      </c>
      <c r="K341" s="697">
        <v>21716897</v>
      </c>
      <c r="L341" s="697">
        <v>5313954</v>
      </c>
      <c r="M341" s="697"/>
      <c r="N341" s="697">
        <v>90880505</v>
      </c>
      <c r="O341" s="697"/>
      <c r="P341" s="697"/>
      <c r="Q341" s="697"/>
      <c r="R341" s="294"/>
      <c r="S341" s="296">
        <f>IF(B340&gt;0,(B341/B340),)</f>
        <v>48444.264497433251</v>
      </c>
      <c r="T341" s="296">
        <f t="shared" ref="T341" si="3616">IF(C340&gt;0,(C341/C340),)</f>
        <v>0</v>
      </c>
      <c r="U341" s="296">
        <f t="shared" ref="U341" si="3617">IF(D340&gt;0,(D341/D340),)</f>
        <v>30000</v>
      </c>
      <c r="V341" s="296">
        <f t="shared" ref="V341" si="3618">IF(E340&gt;0,(E341/E340),)</f>
        <v>0</v>
      </c>
      <c r="W341" s="296">
        <f t="shared" ref="W341" si="3619">IF(F340&gt;0,(F341/F340),)</f>
        <v>41316.111557059958</v>
      </c>
      <c r="X341" s="296">
        <f t="shared" ref="X341" si="3620">IF(G340&gt;0,(G341/G340),)</f>
        <v>39168</v>
      </c>
      <c r="Y341" s="311">
        <f t="shared" ref="Y341" si="3621">IF(H340&gt;0,(H341/H340),)</f>
        <v>46341.698394247265</v>
      </c>
      <c r="Z341" s="306">
        <f t="shared" ref="Z341" si="3622">IF(I340&gt;0,(I341/I340),)</f>
        <v>0</v>
      </c>
      <c r="AA341" s="296">
        <f t="shared" ref="AA341" si="3623">IF(J340&gt;0,(J341/J340),)</f>
        <v>46948.275000000001</v>
      </c>
      <c r="AB341" s="296">
        <f t="shared" ref="AB341" si="3624">IF(K340&gt;0,(K341/K340),)</f>
        <v>45528.085953878406</v>
      </c>
      <c r="AC341" s="296">
        <f t="shared" ref="AC341" si="3625">IF(L340&gt;0,(L341/L340),)</f>
        <v>41515.265625</v>
      </c>
      <c r="AD341" s="296">
        <f t="shared" ref="AD341" si="3626">IF(M340&gt;0,(M341/M340),)</f>
        <v>0</v>
      </c>
      <c r="AE341" s="311">
        <f t="shared" ref="AE341" si="3627">IF(N340&gt;0,(N341/N340),)</f>
        <v>46249.62086513995</v>
      </c>
      <c r="AF341" s="306">
        <f t="shared" ref="AF341" si="3628">IF(O340&gt;0,(O341/O340),)</f>
        <v>0</v>
      </c>
      <c r="AG341" s="296">
        <f t="shared" ref="AG341" si="3629">IF(P340&gt;0,(P341/P340),)</f>
        <v>0</v>
      </c>
      <c r="AH341" s="311">
        <f t="shared" ref="AH341" si="3630">IF(Q340&gt;0,(Q341/Q340),)</f>
        <v>0</v>
      </c>
      <c r="AI341" s="516"/>
      <c r="AO341" s="524"/>
      <c r="AU341" s="524"/>
      <c r="AX341" s="524"/>
    </row>
    <row r="342" spans="1:50" x14ac:dyDescent="0.2">
      <c r="A342" s="696" t="s">
        <v>1103</v>
      </c>
      <c r="B342" s="697">
        <v>254</v>
      </c>
      <c r="C342" s="697"/>
      <c r="D342" s="697">
        <v>1</v>
      </c>
      <c r="E342" s="697">
        <v>0</v>
      </c>
      <c r="F342" s="697">
        <v>91</v>
      </c>
      <c r="G342" s="697">
        <v>9</v>
      </c>
      <c r="H342" s="697">
        <v>355</v>
      </c>
      <c r="I342" s="697"/>
      <c r="J342" s="697">
        <v>1388</v>
      </c>
      <c r="K342" s="697">
        <v>471</v>
      </c>
      <c r="L342" s="697">
        <v>128</v>
      </c>
      <c r="M342" s="697"/>
      <c r="N342" s="697">
        <v>1987</v>
      </c>
      <c r="O342" s="697"/>
      <c r="P342" s="697"/>
      <c r="Q342" s="697"/>
      <c r="Y342" s="309"/>
      <c r="Z342" s="305"/>
      <c r="AE342" s="309"/>
      <c r="AF342" s="305"/>
      <c r="AH342" s="309"/>
      <c r="AI342" s="516"/>
      <c r="AO342" s="524"/>
      <c r="AU342" s="524"/>
      <c r="AX342" s="524"/>
    </row>
    <row r="343" spans="1:50" x14ac:dyDescent="0.2">
      <c r="A343" s="696" t="s">
        <v>1105</v>
      </c>
      <c r="B343" s="697">
        <v>13218647.081359258</v>
      </c>
      <c r="C343" s="697"/>
      <c r="D343" s="697">
        <v>25750</v>
      </c>
      <c r="E343" s="697">
        <v>0</v>
      </c>
      <c r="F343" s="697">
        <v>3893501.537634409</v>
      </c>
      <c r="G343" s="697">
        <v>348642</v>
      </c>
      <c r="H343" s="697">
        <v>17486540.618993666</v>
      </c>
      <c r="I343" s="697"/>
      <c r="J343" s="697">
        <v>67725732</v>
      </c>
      <c r="K343" s="697">
        <v>22168231</v>
      </c>
      <c r="L343" s="697">
        <v>5369082</v>
      </c>
      <c r="M343" s="697"/>
      <c r="N343" s="697">
        <v>95263045</v>
      </c>
      <c r="O343" s="697"/>
      <c r="P343" s="697"/>
      <c r="Q343" s="697"/>
      <c r="R343" s="294"/>
      <c r="S343" s="296">
        <f>IF(B342&gt;0,(B343/B342),)</f>
        <v>52041.917643146684</v>
      </c>
      <c r="T343" s="296">
        <f t="shared" ref="T343" si="3631">IF(C342&gt;0,(C343/C342),)</f>
        <v>0</v>
      </c>
      <c r="U343" s="296">
        <f t="shared" ref="U343" si="3632">IF(D342&gt;0,(D343/D342),)</f>
        <v>25750</v>
      </c>
      <c r="V343" s="296">
        <f t="shared" ref="V343" si="3633">IF(E342&gt;0,(E343/E342),)</f>
        <v>0</v>
      </c>
      <c r="W343" s="296">
        <f t="shared" ref="W343" si="3634">IF(F342&gt;0,(F343/F342),)</f>
        <v>42785.731182795702</v>
      </c>
      <c r="X343" s="296">
        <f t="shared" ref="X343" si="3635">IF(G342&gt;0,(G343/G342),)</f>
        <v>38738</v>
      </c>
      <c r="Y343" s="311">
        <f t="shared" ref="Y343" si="3636">IF(H342&gt;0,(H343/H342),)</f>
        <v>49257.860898573708</v>
      </c>
      <c r="Z343" s="306">
        <f t="shared" ref="Z343" si="3637">IF(I342&gt;0,(I343/I342),)</f>
        <v>0</v>
      </c>
      <c r="AA343" s="296">
        <f t="shared" ref="AA343" si="3638">IF(J342&gt;0,(J343/J342),)</f>
        <v>48793.755043227662</v>
      </c>
      <c r="AB343" s="296">
        <f t="shared" ref="AB343" si="3639">IF(K342&gt;0,(K343/K342),)</f>
        <v>47066.307855626328</v>
      </c>
      <c r="AC343" s="296">
        <f t="shared" ref="AC343" si="3640">IF(L342&gt;0,(L343/L342),)</f>
        <v>41945.953125</v>
      </c>
      <c r="AD343" s="296">
        <f t="shared" ref="AD343" si="3641">IF(M342&gt;0,(M343/M342),)</f>
        <v>0</v>
      </c>
      <c r="AE343" s="311">
        <f t="shared" ref="AE343" si="3642">IF(N342&gt;0,(N343/N342),)</f>
        <v>47943.152994464013</v>
      </c>
      <c r="AF343" s="306">
        <f t="shared" ref="AF343" si="3643">IF(O342&gt;0,(O343/O342),)</f>
        <v>0</v>
      </c>
      <c r="AG343" s="296">
        <f t="shared" ref="AG343" si="3644">IF(P342&gt;0,(P343/P342),)</f>
        <v>0</v>
      </c>
      <c r="AH343" s="311">
        <f t="shared" ref="AH343" si="3645">IF(Q342&gt;0,(Q343/Q342),)</f>
        <v>0</v>
      </c>
      <c r="AI343" s="517">
        <f>IF(S341&gt;0,(S343-S341)/S341,)</f>
        <v>7.4263758218561654E-2</v>
      </c>
      <c r="AJ343" s="518">
        <f t="shared" ref="AJ343" si="3646">IF(T341&gt;0,(T343-T341)/T341,)</f>
        <v>0</v>
      </c>
      <c r="AK343" s="527">
        <f t="shared" ref="AK343" si="3647">IF(U341&gt;0,(U343-U341)/U341,)</f>
        <v>-0.14166666666666666</v>
      </c>
      <c r="AL343" s="518">
        <f t="shared" ref="AL343" si="3648">IF(V341&gt;0,(V343-V341)/V341,)</f>
        <v>0</v>
      </c>
      <c r="AM343" s="518">
        <f t="shared" ref="AM343" si="3649">IF(W341&gt;0,(W343-W341)/W341,)</f>
        <v>3.5570134031275277E-2</v>
      </c>
      <c r="AN343" s="518">
        <f t="shared" ref="AN343" si="3650">IF(X341&gt;0,(X343-X341)/X341,)</f>
        <v>-1.0978349673202614E-2</v>
      </c>
      <c r="AO343" s="525">
        <f t="shared" ref="AO343" si="3651">IF(Y341&gt;0,(Y343-Y341)/Y341,)</f>
        <v>6.2927398118158909E-2</v>
      </c>
      <c r="AP343" s="518">
        <f t="shared" ref="AP343" si="3652">IF(Z341&gt;0,(Z343-Z341)/Z341,)</f>
        <v>0</v>
      </c>
      <c r="AQ343" s="518">
        <f t="shared" ref="AQ343" si="3653">IF(AA341&gt;0,(AA343-AA341)/AA341,)</f>
        <v>3.9308793416321701E-2</v>
      </c>
      <c r="AR343" s="518">
        <f t="shared" ref="AR343" si="3654">IF(AB341&gt;0,(AB343-AB341)/AB341,)</f>
        <v>3.3786219418628673E-2</v>
      </c>
      <c r="AS343" s="518">
        <f t="shared" ref="AS343" si="3655">IF(AC341&gt;0,(AC343-AC341)/AC341,)</f>
        <v>1.0374195937714176E-2</v>
      </c>
      <c r="AT343" s="518">
        <f t="shared" ref="AT343" si="3656">IF(AD341&gt;0,(AD343-AD341)/AD341,)</f>
        <v>0</v>
      </c>
      <c r="AU343" s="525">
        <f t="shared" ref="AU343" si="3657">IF(AE341&gt;0,(AE343-AE341)/AE341,)</f>
        <v>3.6617211074275874E-2</v>
      </c>
      <c r="AV343" s="518">
        <f t="shared" ref="AV343" si="3658">IF(AF341&gt;0,(AF343-AF341)/AF341,)</f>
        <v>0</v>
      </c>
      <c r="AW343" s="518">
        <f t="shared" ref="AW343" si="3659">IF(AG341&gt;0,(AG343-AG341)/AG341,)</f>
        <v>0</v>
      </c>
      <c r="AX343" s="525">
        <f t="shared" ref="AX343" si="3660">IF(AH341&gt;0,(AH343-AH341)/AH341,)</f>
        <v>0</v>
      </c>
    </row>
    <row r="344" spans="1:50" x14ac:dyDescent="0.2">
      <c r="A344" s="696" t="s">
        <v>1107</v>
      </c>
      <c r="B344" s="697">
        <v>0</v>
      </c>
      <c r="C344" s="697"/>
      <c r="D344" s="697">
        <v>0</v>
      </c>
      <c r="E344" s="697">
        <v>0</v>
      </c>
      <c r="F344" s="697">
        <v>0</v>
      </c>
      <c r="G344" s="697">
        <v>0</v>
      </c>
      <c r="H344" s="697">
        <v>0</v>
      </c>
      <c r="I344" s="697"/>
      <c r="J344" s="697">
        <v>0</v>
      </c>
      <c r="K344" s="697">
        <v>0</v>
      </c>
      <c r="L344" s="697">
        <v>0</v>
      </c>
      <c r="M344" s="697"/>
      <c r="N344" s="697">
        <v>0</v>
      </c>
      <c r="O344" s="697"/>
      <c r="P344" s="697"/>
      <c r="Q344" s="697"/>
      <c r="Y344" s="309"/>
      <c r="Z344" s="305"/>
      <c r="AE344" s="309"/>
      <c r="AF344" s="305"/>
      <c r="AH344" s="309"/>
      <c r="AI344" s="516"/>
      <c r="AO344" s="524"/>
      <c r="AU344" s="524"/>
      <c r="AX344" s="524"/>
    </row>
    <row r="345" spans="1:50" x14ac:dyDescent="0.2">
      <c r="A345" s="696" t="s">
        <v>1109</v>
      </c>
      <c r="B345" s="697">
        <v>0</v>
      </c>
      <c r="C345" s="697"/>
      <c r="D345" s="697">
        <v>0</v>
      </c>
      <c r="E345" s="697">
        <v>0</v>
      </c>
      <c r="F345" s="697">
        <v>0</v>
      </c>
      <c r="G345" s="697">
        <v>0</v>
      </c>
      <c r="H345" s="697">
        <v>0</v>
      </c>
      <c r="I345" s="697"/>
      <c r="J345" s="697">
        <v>0</v>
      </c>
      <c r="K345" s="697">
        <v>0</v>
      </c>
      <c r="L345" s="697">
        <v>0</v>
      </c>
      <c r="M345" s="697"/>
      <c r="N345" s="697">
        <v>0</v>
      </c>
      <c r="O345" s="697"/>
      <c r="P345" s="697"/>
      <c r="Q345" s="697"/>
      <c r="R345" s="294"/>
      <c r="S345" s="296">
        <f>IF(B344&gt;0,(B345/B344),)</f>
        <v>0</v>
      </c>
      <c r="T345" s="296">
        <f t="shared" ref="T345" si="3661">IF(C344&gt;0,(C345/C344),)</f>
        <v>0</v>
      </c>
      <c r="U345" s="296">
        <f t="shared" ref="U345" si="3662">IF(D344&gt;0,(D345/D344),)</f>
        <v>0</v>
      </c>
      <c r="V345" s="296">
        <f t="shared" ref="V345" si="3663">IF(E344&gt;0,(E345/E344),)</f>
        <v>0</v>
      </c>
      <c r="W345" s="296">
        <f t="shared" ref="W345" si="3664">IF(F344&gt;0,(F345/F344),)</f>
        <v>0</v>
      </c>
      <c r="X345" s="296">
        <f t="shared" ref="X345" si="3665">IF(G344&gt;0,(G345/G344),)</f>
        <v>0</v>
      </c>
      <c r="Y345" s="311">
        <f t="shared" ref="Y345" si="3666">IF(H344&gt;0,(H345/H344),)</f>
        <v>0</v>
      </c>
      <c r="Z345" s="306">
        <f t="shared" ref="Z345" si="3667">IF(I344&gt;0,(I345/I344),)</f>
        <v>0</v>
      </c>
      <c r="AA345" s="296">
        <f t="shared" ref="AA345" si="3668">IF(J344&gt;0,(J345/J344),)</f>
        <v>0</v>
      </c>
      <c r="AB345" s="296">
        <f t="shared" ref="AB345" si="3669">IF(K344&gt;0,(K345/K344),)</f>
        <v>0</v>
      </c>
      <c r="AC345" s="296">
        <f t="shared" ref="AC345" si="3670">IF(L344&gt;0,(L345/L344),)</f>
        <v>0</v>
      </c>
      <c r="AD345" s="296">
        <f t="shared" ref="AD345" si="3671">IF(M344&gt;0,(M345/M344),)</f>
        <v>0</v>
      </c>
      <c r="AE345" s="311">
        <f t="shared" ref="AE345" si="3672">IF(N344&gt;0,(N345/N344),)</f>
        <v>0</v>
      </c>
      <c r="AF345" s="306">
        <f t="shared" ref="AF345" si="3673">IF(O344&gt;0,(O345/O344),)</f>
        <v>0</v>
      </c>
      <c r="AG345" s="296">
        <f t="shared" ref="AG345" si="3674">IF(P344&gt;0,(P345/P344),)</f>
        <v>0</v>
      </c>
      <c r="AH345" s="311">
        <f t="shared" ref="AH345" si="3675">IF(Q344&gt;0,(Q345/Q344),)</f>
        <v>0</v>
      </c>
      <c r="AI345" s="516"/>
      <c r="AO345" s="524"/>
      <c r="AU345" s="524"/>
      <c r="AX345" s="524"/>
    </row>
    <row r="346" spans="1:50" x14ac:dyDescent="0.2">
      <c r="A346" s="696" t="s">
        <v>1111</v>
      </c>
      <c r="B346" s="697">
        <v>0</v>
      </c>
      <c r="C346" s="697"/>
      <c r="D346" s="697">
        <v>0</v>
      </c>
      <c r="E346" s="697">
        <v>0</v>
      </c>
      <c r="F346" s="697">
        <v>0</v>
      </c>
      <c r="G346" s="697">
        <v>0</v>
      </c>
      <c r="H346" s="697">
        <v>0</v>
      </c>
      <c r="I346" s="697"/>
      <c r="J346" s="697">
        <v>0</v>
      </c>
      <c r="K346" s="697">
        <v>0</v>
      </c>
      <c r="L346" s="697">
        <v>0</v>
      </c>
      <c r="M346" s="697"/>
      <c r="N346" s="697">
        <v>0</v>
      </c>
      <c r="O346" s="697"/>
      <c r="P346" s="697"/>
      <c r="Q346" s="697"/>
      <c r="Y346" s="309"/>
      <c r="Z346" s="305"/>
      <c r="AE346" s="309"/>
      <c r="AF346" s="305"/>
      <c r="AH346" s="309"/>
      <c r="AI346" s="516"/>
      <c r="AO346" s="524"/>
      <c r="AU346" s="524"/>
      <c r="AX346" s="524"/>
    </row>
    <row r="347" spans="1:50" x14ac:dyDescent="0.2">
      <c r="A347" s="696" t="s">
        <v>1113</v>
      </c>
      <c r="B347" s="697">
        <v>0</v>
      </c>
      <c r="C347" s="697"/>
      <c r="D347" s="697">
        <v>0</v>
      </c>
      <c r="E347" s="697">
        <v>0</v>
      </c>
      <c r="F347" s="697">
        <v>0</v>
      </c>
      <c r="G347" s="697">
        <v>0</v>
      </c>
      <c r="H347" s="697">
        <v>0</v>
      </c>
      <c r="I347" s="697"/>
      <c r="J347" s="697">
        <v>0</v>
      </c>
      <c r="K347" s="697">
        <v>0</v>
      </c>
      <c r="L347" s="697">
        <v>0</v>
      </c>
      <c r="M347" s="697"/>
      <c r="N347" s="697">
        <v>0</v>
      </c>
      <c r="O347" s="697"/>
      <c r="P347" s="697"/>
      <c r="Q347" s="697"/>
      <c r="R347" s="294"/>
      <c r="S347" s="296">
        <f>IF(B346&gt;0,(B347/B346),)</f>
        <v>0</v>
      </c>
      <c r="T347" s="296">
        <f t="shared" ref="T347" si="3676">IF(C346&gt;0,(C347/C346),)</f>
        <v>0</v>
      </c>
      <c r="U347" s="296">
        <f t="shared" ref="U347" si="3677">IF(D346&gt;0,(D347/D346),)</f>
        <v>0</v>
      </c>
      <c r="V347" s="296">
        <f t="shared" ref="V347" si="3678">IF(E346&gt;0,(E347/E346),)</f>
        <v>0</v>
      </c>
      <c r="W347" s="296">
        <f t="shared" ref="W347" si="3679">IF(F346&gt;0,(F347/F346),)</f>
        <v>0</v>
      </c>
      <c r="X347" s="296">
        <f t="shared" ref="X347" si="3680">IF(G346&gt;0,(G347/G346),)</f>
        <v>0</v>
      </c>
      <c r="Y347" s="311">
        <f t="shared" ref="Y347" si="3681">IF(H346&gt;0,(H347/H346),)</f>
        <v>0</v>
      </c>
      <c r="Z347" s="306">
        <f t="shared" ref="Z347" si="3682">IF(I346&gt;0,(I347/I346),)</f>
        <v>0</v>
      </c>
      <c r="AA347" s="296">
        <f t="shared" ref="AA347" si="3683">IF(J346&gt;0,(J347/J346),)</f>
        <v>0</v>
      </c>
      <c r="AB347" s="296">
        <f t="shared" ref="AB347" si="3684">IF(K346&gt;0,(K347/K346),)</f>
        <v>0</v>
      </c>
      <c r="AC347" s="296">
        <f t="shared" ref="AC347" si="3685">IF(L346&gt;0,(L347/L346),)</f>
        <v>0</v>
      </c>
      <c r="AD347" s="296">
        <f t="shared" ref="AD347" si="3686">IF(M346&gt;0,(M347/M346),)</f>
        <v>0</v>
      </c>
      <c r="AE347" s="311">
        <f t="shared" ref="AE347" si="3687">IF(N346&gt;0,(N347/N346),)</f>
        <v>0</v>
      </c>
      <c r="AF347" s="306">
        <f t="shared" ref="AF347" si="3688">IF(O346&gt;0,(O347/O346),)</f>
        <v>0</v>
      </c>
      <c r="AG347" s="296">
        <f t="shared" ref="AG347" si="3689">IF(P346&gt;0,(P347/P346),)</f>
        <v>0</v>
      </c>
      <c r="AH347" s="311">
        <f t="shared" ref="AH347" si="3690">IF(Q346&gt;0,(Q347/Q346),)</f>
        <v>0</v>
      </c>
      <c r="AI347" s="517">
        <f>IF(S345&gt;0,(S347-S345)/S345,)</f>
        <v>0</v>
      </c>
      <c r="AJ347" s="518">
        <f t="shared" ref="AJ347" si="3691">IF(T345&gt;0,(T347-T345)/T345,)</f>
        <v>0</v>
      </c>
      <c r="AK347" s="518">
        <f t="shared" ref="AK347" si="3692">IF(U345&gt;0,(U347-U345)/U345,)</f>
        <v>0</v>
      </c>
      <c r="AL347" s="518">
        <f t="shared" ref="AL347" si="3693">IF(V345&gt;0,(V347-V345)/V345,)</f>
        <v>0</v>
      </c>
      <c r="AM347" s="518">
        <f t="shared" ref="AM347" si="3694">IF(W345&gt;0,(W347-W345)/W345,)</f>
        <v>0</v>
      </c>
      <c r="AN347" s="518">
        <f t="shared" ref="AN347" si="3695">IF(X345&gt;0,(X347-X345)/X345,)</f>
        <v>0</v>
      </c>
      <c r="AO347" s="525">
        <f t="shared" ref="AO347" si="3696">IF(Y345&gt;0,(Y347-Y345)/Y345,)</f>
        <v>0</v>
      </c>
      <c r="AP347" s="518">
        <f t="shared" ref="AP347" si="3697">IF(Z345&gt;0,(Z347-Z345)/Z345,)</f>
        <v>0</v>
      </c>
      <c r="AQ347" s="518">
        <f t="shared" ref="AQ347" si="3698">IF(AA345&gt;0,(AA347-AA345)/AA345,)</f>
        <v>0</v>
      </c>
      <c r="AR347" s="518">
        <f t="shared" ref="AR347" si="3699">IF(AB345&gt;0,(AB347-AB345)/AB345,)</f>
        <v>0</v>
      </c>
      <c r="AS347" s="518">
        <f t="shared" ref="AS347" si="3700">IF(AC345&gt;0,(AC347-AC345)/AC345,)</f>
        <v>0</v>
      </c>
      <c r="AT347" s="518">
        <f t="shared" ref="AT347" si="3701">IF(AD345&gt;0,(AD347-AD345)/AD345,)</f>
        <v>0</v>
      </c>
      <c r="AU347" s="525">
        <f t="shared" ref="AU347" si="3702">IF(AE345&gt;0,(AE347-AE345)/AE345,)</f>
        <v>0</v>
      </c>
      <c r="AV347" s="518">
        <f t="shared" ref="AV347" si="3703">IF(AF345&gt;0,(AF347-AF345)/AF345,)</f>
        <v>0</v>
      </c>
      <c r="AW347" s="518">
        <f t="shared" ref="AW347" si="3704">IF(AG345&gt;0,(AG347-AG345)/AG345,)</f>
        <v>0</v>
      </c>
      <c r="AX347" s="525">
        <f t="shared" ref="AX347" si="3705">IF(AH345&gt;0,(AH347-AH345)/AH345,)</f>
        <v>0</v>
      </c>
    </row>
    <row r="348" spans="1:50" x14ac:dyDescent="0.2">
      <c r="A348" s="696" t="s">
        <v>1115</v>
      </c>
      <c r="B348" s="697">
        <v>2243</v>
      </c>
      <c r="C348" s="697"/>
      <c r="D348" s="697">
        <v>807</v>
      </c>
      <c r="E348" s="697">
        <v>178</v>
      </c>
      <c r="F348" s="697">
        <v>767</v>
      </c>
      <c r="G348" s="697">
        <v>555</v>
      </c>
      <c r="H348" s="697">
        <v>4550</v>
      </c>
      <c r="I348" s="697"/>
      <c r="J348" s="697">
        <v>1360</v>
      </c>
      <c r="K348" s="697">
        <v>477</v>
      </c>
      <c r="L348" s="697">
        <v>255</v>
      </c>
      <c r="M348" s="697"/>
      <c r="N348" s="697">
        <v>2092</v>
      </c>
      <c r="O348" s="697"/>
      <c r="P348" s="697"/>
      <c r="Q348" s="697"/>
      <c r="Y348" s="309"/>
      <c r="Z348" s="305"/>
      <c r="AE348" s="309"/>
      <c r="AF348" s="305"/>
      <c r="AH348" s="309"/>
      <c r="AI348" s="516"/>
      <c r="AO348" s="524"/>
      <c r="AU348" s="524"/>
      <c r="AX348" s="524"/>
    </row>
    <row r="349" spans="1:50" x14ac:dyDescent="0.2">
      <c r="A349" s="696" t="s">
        <v>1117</v>
      </c>
      <c r="B349" s="697">
        <v>183692284.50506657</v>
      </c>
      <c r="C349" s="697"/>
      <c r="D349" s="697">
        <v>52303299.663318396</v>
      </c>
      <c r="E349" s="697">
        <v>12525852.753653444</v>
      </c>
      <c r="F349" s="697">
        <v>47039981.267617568</v>
      </c>
      <c r="G349" s="697">
        <v>30025043.755881347</v>
      </c>
      <c r="H349" s="697">
        <v>325586461.94553733</v>
      </c>
      <c r="I349" s="697"/>
      <c r="J349" s="697">
        <v>63849654</v>
      </c>
      <c r="K349" s="697">
        <v>21716897</v>
      </c>
      <c r="L349" s="697">
        <v>11536098.871927138</v>
      </c>
      <c r="M349" s="697"/>
      <c r="N349" s="697">
        <v>97102649.871927142</v>
      </c>
      <c r="O349" s="697"/>
      <c r="P349" s="697"/>
      <c r="Q349" s="697"/>
      <c r="R349" s="294"/>
      <c r="S349" s="296">
        <f>IF(B348&gt;0,(B349/B348),)</f>
        <v>81895.802275999362</v>
      </c>
      <c r="T349" s="296">
        <f t="shared" ref="T349" si="3706">IF(C348&gt;0,(C349/C348),)</f>
        <v>0</v>
      </c>
      <c r="U349" s="296">
        <f t="shared" ref="U349" si="3707">IF(D348&gt;0,(D349/D348),)</f>
        <v>64812.019409316476</v>
      </c>
      <c r="V349" s="296">
        <f t="shared" ref="V349" si="3708">IF(E348&gt;0,(E349/E348),)</f>
        <v>70369.959290187893</v>
      </c>
      <c r="W349" s="296">
        <f t="shared" ref="W349" si="3709">IF(F348&gt;0,(F349/F348),)</f>
        <v>61329.832161170234</v>
      </c>
      <c r="X349" s="296">
        <f t="shared" ref="X349" si="3710">IF(G348&gt;0,(G349/G348),)</f>
        <v>54099.177938524947</v>
      </c>
      <c r="Y349" s="311">
        <f t="shared" ref="Y349" si="3711">IF(H348&gt;0,(H349/H348),)</f>
        <v>71557.464163854354</v>
      </c>
      <c r="Z349" s="306">
        <f t="shared" ref="Z349" si="3712">IF(I348&gt;0,(I349/I348),)</f>
        <v>0</v>
      </c>
      <c r="AA349" s="296">
        <f t="shared" ref="AA349" si="3713">IF(J348&gt;0,(J349/J348),)</f>
        <v>46948.275000000001</v>
      </c>
      <c r="AB349" s="296">
        <f t="shared" ref="AB349" si="3714">IF(K348&gt;0,(K349/K348),)</f>
        <v>45528.085953878406</v>
      </c>
      <c r="AC349" s="296">
        <f t="shared" ref="AC349" si="3715">IF(L348&gt;0,(L349/L348),)</f>
        <v>45239.603419322113</v>
      </c>
      <c r="AD349" s="296">
        <f t="shared" ref="AD349" si="3716">IF(M348&gt;0,(M349/M348),)</f>
        <v>0</v>
      </c>
      <c r="AE349" s="311">
        <f t="shared" ref="AE349" si="3717">IF(N348&gt;0,(N349/N348),)</f>
        <v>46416.180627116228</v>
      </c>
      <c r="AF349" s="306">
        <f t="shared" ref="AF349" si="3718">IF(O348&gt;0,(O349/O348),)</f>
        <v>0</v>
      </c>
      <c r="AG349" s="296">
        <f t="shared" ref="AG349" si="3719">IF(P348&gt;0,(P349/P348),)</f>
        <v>0</v>
      </c>
      <c r="AH349" s="311">
        <f t="shared" ref="AH349" si="3720">IF(Q348&gt;0,(Q349/Q348),)</f>
        <v>0</v>
      </c>
      <c r="AI349" s="516"/>
      <c r="AO349" s="524"/>
      <c r="AU349" s="524"/>
      <c r="AX349" s="524"/>
    </row>
    <row r="350" spans="1:50" x14ac:dyDescent="0.2">
      <c r="A350" s="696" t="s">
        <v>1119</v>
      </c>
      <c r="B350" s="697">
        <v>2276</v>
      </c>
      <c r="C350" s="697"/>
      <c r="D350" s="697">
        <v>803</v>
      </c>
      <c r="E350" s="697">
        <v>182</v>
      </c>
      <c r="F350" s="697">
        <v>795</v>
      </c>
      <c r="G350" s="697">
        <v>540</v>
      </c>
      <c r="H350" s="697">
        <v>4596</v>
      </c>
      <c r="I350" s="697"/>
      <c r="J350" s="697">
        <v>1388</v>
      </c>
      <c r="K350" s="697">
        <v>471</v>
      </c>
      <c r="L350" s="697">
        <v>241</v>
      </c>
      <c r="M350" s="697"/>
      <c r="N350" s="697">
        <v>2100</v>
      </c>
      <c r="O350" s="697"/>
      <c r="P350" s="697"/>
      <c r="Q350" s="697"/>
      <c r="Y350" s="309"/>
      <c r="Z350" s="305"/>
      <c r="AE350" s="309"/>
      <c r="AF350" s="305"/>
      <c r="AH350" s="309"/>
      <c r="AI350" s="516"/>
      <c r="AO350" s="524"/>
      <c r="AU350" s="524"/>
      <c r="AX350" s="524"/>
    </row>
    <row r="351" spans="1:50" ht="13.5" thickBot="1" x14ac:dyDescent="0.25">
      <c r="A351" s="701" t="s">
        <v>1121</v>
      </c>
      <c r="B351" s="702">
        <v>197102037.10606891</v>
      </c>
      <c r="C351" s="702"/>
      <c r="D351" s="702">
        <v>54113054.454753838</v>
      </c>
      <c r="E351" s="702">
        <v>13165130.999999998</v>
      </c>
      <c r="F351" s="702">
        <v>49770136.485285766</v>
      </c>
      <c r="G351" s="702">
        <v>29549278.007088535</v>
      </c>
      <c r="H351" s="702">
        <v>343699637.05319709</v>
      </c>
      <c r="I351" s="702"/>
      <c r="J351" s="702">
        <v>67725732</v>
      </c>
      <c r="K351" s="702">
        <v>22168231</v>
      </c>
      <c r="L351" s="702">
        <v>11069524.45348746</v>
      </c>
      <c r="M351" s="702"/>
      <c r="N351" s="702">
        <v>100963487.45348746</v>
      </c>
      <c r="O351" s="702"/>
      <c r="P351" s="702"/>
      <c r="Q351" s="702"/>
      <c r="S351" s="302">
        <f>IF(B350&gt;0,(B351/B350),)</f>
        <v>86600.192050118145</v>
      </c>
      <c r="T351" s="302">
        <f t="shared" ref="T351" si="3721">IF(C350&gt;0,(C351/C350),)</f>
        <v>0</v>
      </c>
      <c r="U351" s="302">
        <f t="shared" ref="U351" si="3722">IF(D350&gt;0,(D351/D350),)</f>
        <v>67388.610778024711</v>
      </c>
      <c r="V351" s="302">
        <f t="shared" ref="V351" si="3723">IF(E350&gt;0,(E351/E350),)</f>
        <v>72335.88461538461</v>
      </c>
      <c r="W351" s="302">
        <f t="shared" ref="W351" si="3724">IF(F350&gt;0,(F351/F350),)</f>
        <v>62603.945264510396</v>
      </c>
      <c r="X351" s="302">
        <f t="shared" ref="X351" si="3725">IF(G350&gt;0,(G351/G350),)</f>
        <v>54720.885198312099</v>
      </c>
      <c r="Y351" s="312">
        <f t="shared" ref="Y351" si="3726">IF(H350&gt;0,(H351/H350),)</f>
        <v>74782.340525064646</v>
      </c>
      <c r="Z351" s="307">
        <f t="shared" ref="Z351" si="3727">IF(I350&gt;0,(I351/I350),)</f>
        <v>0</v>
      </c>
      <c r="AA351" s="302">
        <f t="shared" ref="AA351" si="3728">IF(J350&gt;0,(J351/J350),)</f>
        <v>48793.755043227662</v>
      </c>
      <c r="AB351" s="302">
        <f t="shared" ref="AB351" si="3729">IF(K350&gt;0,(K351/K350),)</f>
        <v>47066.307855626328</v>
      </c>
      <c r="AC351" s="302">
        <f t="shared" ref="AC351" si="3730">IF(L350&gt;0,(L351/L350),)</f>
        <v>45931.636736462489</v>
      </c>
      <c r="AD351" s="302">
        <f t="shared" ref="AD351" si="3731">IF(M350&gt;0,(M351/M350),)</f>
        <v>0</v>
      </c>
      <c r="AE351" s="312">
        <f t="shared" ref="AE351" si="3732">IF(N350&gt;0,(N351/N350),)</f>
        <v>48077.851168327361</v>
      </c>
      <c r="AF351" s="307">
        <f t="shared" ref="AF351" si="3733">IF(O350&gt;0,(O351/O350),)</f>
        <v>0</v>
      </c>
      <c r="AG351" s="302">
        <f t="shared" ref="AG351" si="3734">IF(P350&gt;0,(P351/P350),)</f>
        <v>0</v>
      </c>
      <c r="AH351" s="312">
        <f t="shared" ref="AH351" si="3735">IF(Q350&gt;0,(Q351/Q350),)</f>
        <v>0</v>
      </c>
      <c r="AI351" s="519">
        <f>IF(S349&gt;0,(S351-S349)/S349,)</f>
        <v>5.744360081197307E-2</v>
      </c>
      <c r="AJ351" s="520">
        <f t="shared" ref="AJ351" si="3736">IF(T349&gt;0,(T351-T349)/T349,)</f>
        <v>0</v>
      </c>
      <c r="AK351" s="520">
        <f t="shared" ref="AK351" si="3737">IF(U349&gt;0,(U351-U349)/U349,)</f>
        <v>3.9754838565296435E-2</v>
      </c>
      <c r="AL351" s="520">
        <f t="shared" ref="AL351" si="3738">IF(V349&gt;0,(V351-V349)/V349,)</f>
        <v>2.7936996767182119E-2</v>
      </c>
      <c r="AM351" s="520">
        <f t="shared" ref="AM351" si="3739">IF(W349&gt;0,(W351-W349)/W349,)</f>
        <v>2.0774769120383164E-2</v>
      </c>
      <c r="AN351" s="520">
        <f t="shared" ref="AN351" si="3740">IF(X349&gt;0,(X351-X349)/X349,)</f>
        <v>1.149199088558467E-2</v>
      </c>
      <c r="AO351" s="526">
        <f t="shared" ref="AO351" si="3741">IF(Y349&gt;0,(Y351-Y349)/Y349,)</f>
        <v>4.5066945830079683E-2</v>
      </c>
      <c r="AP351" s="520">
        <f t="shared" ref="AP351" si="3742">IF(Z349&gt;0,(Z351-Z349)/Z349,)</f>
        <v>0</v>
      </c>
      <c r="AQ351" s="520">
        <f t="shared" ref="AQ351" si="3743">IF(AA349&gt;0,(AA351-AA349)/AA349,)</f>
        <v>3.9308793416321701E-2</v>
      </c>
      <c r="AR351" s="520">
        <f t="shared" ref="AR351" si="3744">IF(AB349&gt;0,(AB351-AB349)/AB349,)</f>
        <v>3.3786219418628673E-2</v>
      </c>
      <c r="AS351" s="520">
        <f t="shared" ref="AS351" si="3745">IF(AC349&gt;0,(AC351-AC349)/AC349,)</f>
        <v>1.5297068604381368E-2</v>
      </c>
      <c r="AT351" s="520">
        <f t="shared" ref="AT351" si="3746">IF(AD349&gt;0,(AD351-AD349)/AD349,)</f>
        <v>0</v>
      </c>
      <c r="AU351" s="526">
        <f t="shared" ref="AU351" si="3747">IF(AE349&gt;0,(AE351-AE349)/AE349,)</f>
        <v>3.579938113736978E-2</v>
      </c>
      <c r="AV351" s="520">
        <f t="shared" ref="AV351" si="3748">IF(AF349&gt;0,(AF351-AF349)/AF349,)</f>
        <v>0</v>
      </c>
      <c r="AW351" s="520">
        <f t="shared" ref="AW351" si="3749">IF(AG349&gt;0,(AG351-AG349)/AG349,)</f>
        <v>0</v>
      </c>
      <c r="AX351" s="526">
        <f t="shared" ref="AX351" si="3750">IF(AH349&gt;0,(AH351-AH349)/AH349,)</f>
        <v>0</v>
      </c>
    </row>
    <row r="352" spans="1:50" x14ac:dyDescent="0.2">
      <c r="A352" s="695" t="s">
        <v>42</v>
      </c>
      <c r="B352" s="697"/>
      <c r="C352" s="697"/>
      <c r="D352" s="697"/>
      <c r="E352" s="697"/>
      <c r="F352" s="697"/>
      <c r="G352" s="697"/>
      <c r="H352" s="697"/>
      <c r="I352" s="697"/>
      <c r="J352" s="697"/>
      <c r="K352" s="697"/>
      <c r="L352" s="697"/>
      <c r="M352" s="697"/>
      <c r="N352" s="697"/>
      <c r="O352" s="697"/>
      <c r="P352" s="697"/>
      <c r="Q352" s="697"/>
      <c r="Y352" s="309"/>
      <c r="Z352" s="305"/>
      <c r="AE352" s="309"/>
      <c r="AF352" s="305"/>
      <c r="AH352" s="309"/>
      <c r="AI352" s="516"/>
      <c r="AO352" s="524"/>
      <c r="AU352" s="524"/>
      <c r="AX352" s="524"/>
    </row>
    <row r="353" spans="1:50" x14ac:dyDescent="0.2">
      <c r="A353" s="696" t="s">
        <v>1067</v>
      </c>
      <c r="B353" s="697">
        <v>792</v>
      </c>
      <c r="C353" s="697">
        <v>102</v>
      </c>
      <c r="D353" s="697">
        <v>857</v>
      </c>
      <c r="E353" s="697"/>
      <c r="F353" s="697">
        <v>76</v>
      </c>
      <c r="G353" s="697"/>
      <c r="H353" s="697">
        <v>1827</v>
      </c>
      <c r="I353" s="697"/>
      <c r="J353" s="697">
        <v>112</v>
      </c>
      <c r="K353" s="697">
        <v>99</v>
      </c>
      <c r="L353" s="697"/>
      <c r="M353" s="697"/>
      <c r="N353" s="697">
        <v>211</v>
      </c>
      <c r="O353" s="697">
        <v>0</v>
      </c>
      <c r="P353" s="697">
        <v>0</v>
      </c>
      <c r="Q353" s="697">
        <v>0</v>
      </c>
      <c r="S353" s="295"/>
      <c r="T353" s="295"/>
      <c r="U353" s="295"/>
      <c r="V353" s="295"/>
      <c r="W353" s="295"/>
      <c r="X353" s="295"/>
      <c r="Y353" s="310"/>
      <c r="Z353" s="305"/>
      <c r="AA353" s="295"/>
      <c r="AB353" s="295"/>
      <c r="AC353" s="295"/>
      <c r="AD353" s="295"/>
      <c r="AE353" s="310"/>
      <c r="AF353" s="305"/>
      <c r="AG353" s="295"/>
      <c r="AH353" s="310"/>
      <c r="AI353" s="516"/>
      <c r="AO353" s="524"/>
      <c r="AU353" s="524"/>
      <c r="AX353" s="524"/>
    </row>
    <row r="354" spans="1:50" x14ac:dyDescent="0.2">
      <c r="A354" s="696" t="s">
        <v>1069</v>
      </c>
      <c r="B354" s="697">
        <v>88518400.128059745</v>
      </c>
      <c r="C354" s="697">
        <v>7672739.625</v>
      </c>
      <c r="D354" s="697">
        <v>68532083.086017549</v>
      </c>
      <c r="E354" s="697"/>
      <c r="F354" s="697">
        <v>5691238.1949860724</v>
      </c>
      <c r="G354" s="697"/>
      <c r="H354" s="697">
        <v>170414461.03406337</v>
      </c>
      <c r="I354" s="697"/>
      <c r="J354" s="697">
        <v>6724278.3688049223</v>
      </c>
      <c r="K354" s="697">
        <v>6100019.9320818512</v>
      </c>
      <c r="L354" s="697"/>
      <c r="M354" s="697"/>
      <c r="N354" s="697">
        <v>12824298.300886773</v>
      </c>
      <c r="O354" s="697">
        <v>0</v>
      </c>
      <c r="P354" s="697">
        <v>0</v>
      </c>
      <c r="Q354" s="697">
        <v>0</v>
      </c>
      <c r="S354" s="296">
        <f>IF(B353&gt;0,(B354/B353),)</f>
        <v>111765.65672734816</v>
      </c>
      <c r="T354" s="296">
        <f t="shared" ref="T354" si="3751">IF(C353&gt;0,(C354/C353),)</f>
        <v>75222.9375</v>
      </c>
      <c r="U354" s="296">
        <f t="shared" ref="U354" si="3752">IF(D353&gt;0,(D354/D353),)</f>
        <v>79967.42483782678</v>
      </c>
      <c r="V354" s="296">
        <f t="shared" ref="V354" si="3753">IF(E353&gt;0,(E354/E353),)</f>
        <v>0</v>
      </c>
      <c r="W354" s="296">
        <f t="shared" ref="W354" si="3754">IF(F353&gt;0,(F354/F353),)</f>
        <v>74884.713091922007</v>
      </c>
      <c r="X354" s="296">
        <f t="shared" ref="X354" si="3755">IF(G353&gt;0,(G354/G353),)</f>
        <v>0</v>
      </c>
      <c r="Y354" s="311">
        <f t="shared" ref="Y354" si="3756">IF(H353&gt;0,(H354/H353),)</f>
        <v>93275.56706845286</v>
      </c>
      <c r="Z354" s="306">
        <f t="shared" ref="Z354" si="3757">IF(I353&gt;0,(I354/I353),)</f>
        <v>0</v>
      </c>
      <c r="AA354" s="296">
        <f t="shared" ref="AA354" si="3758">IF(J353&gt;0,(J354/J353),)</f>
        <v>60038.19972147252</v>
      </c>
      <c r="AB354" s="296">
        <f t="shared" ref="AB354" si="3759">IF(K353&gt;0,(K354/K353),)</f>
        <v>61616.362950321731</v>
      </c>
      <c r="AC354" s="296">
        <f t="shared" ref="AC354" si="3760">IF(L353&gt;0,(L354/L353),)</f>
        <v>0</v>
      </c>
      <c r="AD354" s="296">
        <f t="shared" ref="AD354" si="3761">IF(M353&gt;0,(M354/M353),)</f>
        <v>0</v>
      </c>
      <c r="AE354" s="311">
        <f t="shared" ref="AE354" si="3762">IF(N353&gt;0,(N354/N353),)</f>
        <v>60778.664933112668</v>
      </c>
      <c r="AF354" s="306">
        <f t="shared" ref="AF354" si="3763">IF(O353&gt;0,(O354/O353),)</f>
        <v>0</v>
      </c>
      <c r="AG354" s="296">
        <f t="shared" ref="AG354" si="3764">IF(P353&gt;0,(P354/P353),)</f>
        <v>0</v>
      </c>
      <c r="AH354" s="311">
        <f t="shared" ref="AH354" si="3765">IF(Q353&gt;0,(Q354/Q353),)</f>
        <v>0</v>
      </c>
      <c r="AI354" s="516"/>
      <c r="AO354" s="524"/>
      <c r="AU354" s="524"/>
      <c r="AX354" s="524"/>
    </row>
    <row r="355" spans="1:50" x14ac:dyDescent="0.2">
      <c r="A355" s="696" t="s">
        <v>1071</v>
      </c>
      <c r="B355" s="697">
        <v>790</v>
      </c>
      <c r="C355" s="697">
        <v>112</v>
      </c>
      <c r="D355" s="697">
        <v>868</v>
      </c>
      <c r="E355" s="697"/>
      <c r="F355" s="697">
        <v>69</v>
      </c>
      <c r="G355" s="697"/>
      <c r="H355" s="697">
        <v>1839</v>
      </c>
      <c r="I355" s="697"/>
      <c r="J355" s="697">
        <v>109</v>
      </c>
      <c r="K355" s="697">
        <v>98</v>
      </c>
      <c r="L355" s="697"/>
      <c r="M355" s="697"/>
      <c r="N355" s="697">
        <v>207</v>
      </c>
      <c r="O355" s="697">
        <v>0</v>
      </c>
      <c r="P355" s="697">
        <v>0</v>
      </c>
      <c r="Q355" s="697">
        <v>0</v>
      </c>
      <c r="Y355" s="309"/>
      <c r="Z355" s="305"/>
      <c r="AE355" s="309"/>
      <c r="AF355" s="305"/>
      <c r="AH355" s="309"/>
      <c r="AI355" s="516"/>
      <c r="AO355" s="524"/>
      <c r="AU355" s="524"/>
      <c r="AX355" s="524"/>
    </row>
    <row r="356" spans="1:50" x14ac:dyDescent="0.2">
      <c r="A356" s="696" t="s">
        <v>1073</v>
      </c>
      <c r="B356" s="697">
        <v>90414640.086447984</v>
      </c>
      <c r="C356" s="697">
        <v>8924750.9647058826</v>
      </c>
      <c r="D356" s="697">
        <v>69949956.13686347</v>
      </c>
      <c r="E356" s="697"/>
      <c r="F356" s="697">
        <v>4131615.5235849055</v>
      </c>
      <c r="G356" s="697"/>
      <c r="H356" s="697">
        <v>173420962.71160224</v>
      </c>
      <c r="I356" s="697"/>
      <c r="J356" s="697">
        <v>5998900.1502211513</v>
      </c>
      <c r="K356" s="697">
        <v>5911218.4799660034</v>
      </c>
      <c r="L356" s="697"/>
      <c r="M356" s="697"/>
      <c r="N356" s="697">
        <v>11910118.630187154</v>
      </c>
      <c r="O356" s="697">
        <v>0</v>
      </c>
      <c r="P356" s="697">
        <v>0</v>
      </c>
      <c r="Q356" s="697">
        <v>0</v>
      </c>
      <c r="R356" s="294"/>
      <c r="S356" s="296">
        <f>IF(B355&gt;0,(B356/B355),)</f>
        <v>114448.91150183289</v>
      </c>
      <c r="T356" s="296">
        <f t="shared" ref="T356" si="3766">IF(C355&gt;0,(C356/C355),)</f>
        <v>79685.276470588244</v>
      </c>
      <c r="U356" s="296">
        <f t="shared" ref="U356" si="3767">IF(D355&gt;0,(D356/D355),)</f>
        <v>80587.507070119202</v>
      </c>
      <c r="V356" s="296">
        <f t="shared" ref="V356" si="3768">IF(E355&gt;0,(E356/E355),)</f>
        <v>0</v>
      </c>
      <c r="W356" s="296">
        <f t="shared" ref="W356" si="3769">IF(F355&gt;0,(F356/F355),)</f>
        <v>59878.485849056604</v>
      </c>
      <c r="X356" s="296">
        <f t="shared" ref="X356" si="3770">IF(G355&gt;0,(G356/G355),)</f>
        <v>0</v>
      </c>
      <c r="Y356" s="311">
        <f t="shared" ref="Y356" si="3771">IF(H355&gt;0,(H356/H355),)</f>
        <v>94301.774177053958</v>
      </c>
      <c r="Z356" s="306">
        <f t="shared" ref="Z356" si="3772">IF(I355&gt;0,(I356/I355),)</f>
        <v>0</v>
      </c>
      <c r="AA356" s="296">
        <f t="shared" ref="AA356" si="3773">IF(J355&gt;0,(J356/J355),)</f>
        <v>55035.781194689458</v>
      </c>
      <c r="AB356" s="296">
        <f t="shared" ref="AB356" si="3774">IF(K355&gt;0,(K356/K355),)</f>
        <v>60318.555918020444</v>
      </c>
      <c r="AC356" s="296">
        <f t="shared" ref="AC356" si="3775">IF(L355&gt;0,(L356/L355),)</f>
        <v>0</v>
      </c>
      <c r="AD356" s="296">
        <f t="shared" ref="AD356" si="3776">IF(M355&gt;0,(M356/M355),)</f>
        <v>0</v>
      </c>
      <c r="AE356" s="311">
        <f t="shared" ref="AE356" si="3777">IF(N355&gt;0,(N356/N355),)</f>
        <v>57536.804976749532</v>
      </c>
      <c r="AF356" s="306">
        <f t="shared" ref="AF356" si="3778">IF(O355&gt;0,(O356/O355),)</f>
        <v>0</v>
      </c>
      <c r="AG356" s="296">
        <f t="shared" ref="AG356" si="3779">IF(P355&gt;0,(P356/P355),)</f>
        <v>0</v>
      </c>
      <c r="AH356" s="311">
        <f t="shared" ref="AH356" si="3780">IF(Q355&gt;0,(Q356/Q355),)</f>
        <v>0</v>
      </c>
      <c r="AI356" s="517">
        <f>IF(S354&gt;0,(S356-S354)/S354,)</f>
        <v>2.4007864786501579E-2</v>
      </c>
      <c r="AJ356" s="527">
        <f t="shared" ref="AJ356" si="3781">IF(T354&gt;0,(T356-T354)/T354,)</f>
        <v>5.9321519723797594E-2</v>
      </c>
      <c r="AK356" s="518">
        <f t="shared" ref="AK356" si="3782">IF(U354&gt;0,(U356-U354)/U354,)</f>
        <v>7.7541853267120032E-3</v>
      </c>
      <c r="AL356" s="518">
        <f t="shared" ref="AL356" si="3783">IF(V354&gt;0,(V356-V354)/V354,)</f>
        <v>0</v>
      </c>
      <c r="AM356" s="527">
        <f t="shared" ref="AM356" si="3784">IF(W354&gt;0,(W356-W354)/W354,)</f>
        <v>-0.2003910627853385</v>
      </c>
      <c r="AN356" s="518">
        <f t="shared" ref="AN356" si="3785">IF(X354&gt;0,(X356-X354)/X354,)</f>
        <v>0</v>
      </c>
      <c r="AO356" s="525">
        <f t="shared" ref="AO356" si="3786">IF(Y354&gt;0,(Y356-Y354)/Y354,)</f>
        <v>1.1001885497495692E-2</v>
      </c>
      <c r="AP356" s="518">
        <f t="shared" ref="AP356" si="3787">IF(Z354&gt;0,(Z356-Z354)/Z354,)</f>
        <v>0</v>
      </c>
      <c r="AQ356" s="527">
        <f t="shared" ref="AQ356" si="3788">IF(AA354&gt;0,(AA356-AA354)/AA354,)</f>
        <v>-8.33205950543177E-2</v>
      </c>
      <c r="AR356" s="518">
        <f t="shared" ref="AR356" si="3789">IF(AB354&gt;0,(AB356-AB354)/AB354,)</f>
        <v>-2.1062701044974784E-2</v>
      </c>
      <c r="AS356" s="518">
        <f t="shared" ref="AS356" si="3790">IF(AC354&gt;0,(AC356-AC354)/AC354,)</f>
        <v>0</v>
      </c>
      <c r="AT356" s="518">
        <f t="shared" ref="AT356" si="3791">IF(AD354&gt;0,(AD356-AD354)/AD354,)</f>
        <v>0</v>
      </c>
      <c r="AU356" s="525">
        <f t="shared" ref="AU356" si="3792">IF(AE354&gt;0,(AE356-AE354)/AE354,)</f>
        <v>-5.3338781954668221E-2</v>
      </c>
      <c r="AV356" s="518">
        <f t="shared" ref="AV356" si="3793">IF(AF354&gt;0,(AF356-AF354)/AF354,)</f>
        <v>0</v>
      </c>
      <c r="AW356" s="518">
        <f t="shared" ref="AW356" si="3794">IF(AG354&gt;0,(AG356-AG354)/AG354,)</f>
        <v>0</v>
      </c>
      <c r="AX356" s="525">
        <f t="shared" ref="AX356" si="3795">IF(AH354&gt;0,(AH356-AH354)/AH354,)</f>
        <v>0</v>
      </c>
    </row>
    <row r="357" spans="1:50" x14ac:dyDescent="0.2">
      <c r="A357" s="696" t="s">
        <v>1075</v>
      </c>
      <c r="B357" s="697">
        <v>672</v>
      </c>
      <c r="C357" s="697">
        <v>116</v>
      </c>
      <c r="D357" s="697">
        <v>553</v>
      </c>
      <c r="E357" s="697"/>
      <c r="F357" s="697">
        <v>64</v>
      </c>
      <c r="G357" s="697"/>
      <c r="H357" s="697">
        <v>1405</v>
      </c>
      <c r="I357" s="697"/>
      <c r="J357" s="697">
        <v>403</v>
      </c>
      <c r="K357" s="697">
        <v>356</v>
      </c>
      <c r="L357" s="697"/>
      <c r="M357" s="697"/>
      <c r="N357" s="697">
        <v>759</v>
      </c>
      <c r="O357" s="697">
        <v>0</v>
      </c>
      <c r="P357" s="697">
        <v>0</v>
      </c>
      <c r="Q357" s="697">
        <v>0</v>
      </c>
      <c r="Y357" s="309"/>
      <c r="Z357" s="305"/>
      <c r="AE357" s="309"/>
      <c r="AF357" s="305"/>
      <c r="AH357" s="309"/>
      <c r="AI357" s="516"/>
      <c r="AO357" s="524"/>
      <c r="AU357" s="524"/>
      <c r="AX357" s="524"/>
    </row>
    <row r="358" spans="1:50" x14ac:dyDescent="0.2">
      <c r="A358" s="698" t="s">
        <v>1077</v>
      </c>
      <c r="B358" s="699">
        <v>53966411.693196945</v>
      </c>
      <c r="C358" s="699">
        <v>6975812.4907749081</v>
      </c>
      <c r="D358" s="699">
        <v>40888912.219118014</v>
      </c>
      <c r="E358" s="699"/>
      <c r="F358" s="699">
        <v>4008092.0682593859</v>
      </c>
      <c r="G358" s="699"/>
      <c r="H358" s="699">
        <v>105839228.47134925</v>
      </c>
      <c r="I358" s="699"/>
      <c r="J358" s="699">
        <v>20174750.64884175</v>
      </c>
      <c r="K358" s="699">
        <v>18013024.366179608</v>
      </c>
      <c r="L358" s="699"/>
      <c r="M358" s="699"/>
      <c r="N358" s="699">
        <v>38187775.015021354</v>
      </c>
      <c r="O358" s="699">
        <v>0</v>
      </c>
      <c r="P358" s="699">
        <v>0</v>
      </c>
      <c r="Q358" s="699">
        <v>0</v>
      </c>
      <c r="S358" s="296">
        <f>IF(B357&gt;0,(B358/B357),)</f>
        <v>80307.160257733543</v>
      </c>
      <c r="T358" s="296">
        <f t="shared" ref="T358" si="3796">IF(C357&gt;0,(C358/C357),)</f>
        <v>60136.31457564576</v>
      </c>
      <c r="U358" s="296">
        <f t="shared" ref="U358" si="3797">IF(D357&gt;0,(D358/D357),)</f>
        <v>73940.1667615154</v>
      </c>
      <c r="V358" s="296">
        <f t="shared" ref="V358" si="3798">IF(E357&gt;0,(E358/E357),)</f>
        <v>0</v>
      </c>
      <c r="W358" s="296">
        <f t="shared" ref="W358" si="3799">IF(F357&gt;0,(F358/F357),)</f>
        <v>62626.438566552904</v>
      </c>
      <c r="X358" s="296">
        <f t="shared" ref="X358" si="3800">IF(G357&gt;0,(G358/G357),)</f>
        <v>0</v>
      </c>
      <c r="Y358" s="311">
        <f t="shared" ref="Y358" si="3801">IF(H357&gt;0,(H358/H357),)</f>
        <v>75330.411723380254</v>
      </c>
      <c r="Z358" s="306">
        <f t="shared" ref="Z358" si="3802">IF(I357&gt;0,(I358/I357),)</f>
        <v>0</v>
      </c>
      <c r="AA358" s="296">
        <f t="shared" ref="AA358" si="3803">IF(J357&gt;0,(J358/J357),)</f>
        <v>50061.416002088707</v>
      </c>
      <c r="AB358" s="296">
        <f t="shared" ref="AB358" si="3804">IF(K357&gt;0,(K358/K357),)</f>
        <v>50598.383051066317</v>
      </c>
      <c r="AC358" s="296">
        <f t="shared" ref="AC358" si="3805">IF(L357&gt;0,(L358/L357),)</f>
        <v>0</v>
      </c>
      <c r="AD358" s="296">
        <f t="shared" ref="AD358" si="3806">IF(M357&gt;0,(M358/M357),)</f>
        <v>0</v>
      </c>
      <c r="AE358" s="311">
        <f t="shared" ref="AE358" si="3807">IF(N357&gt;0,(N358/N357),)</f>
        <v>50313.274064586767</v>
      </c>
      <c r="AF358" s="306">
        <f t="shared" ref="AF358" si="3808">IF(O357&gt;0,(O358/O357),)</f>
        <v>0</v>
      </c>
      <c r="AG358" s="296">
        <f t="shared" ref="AG358" si="3809">IF(P357&gt;0,(P358/P357),)</f>
        <v>0</v>
      </c>
      <c r="AH358" s="311">
        <f t="shared" ref="AH358" si="3810">IF(Q357&gt;0,(Q358/Q357),)</f>
        <v>0</v>
      </c>
      <c r="AI358" s="516"/>
      <c r="AO358" s="524"/>
      <c r="AU358" s="524"/>
      <c r="AX358" s="524"/>
    </row>
    <row r="359" spans="1:50" x14ac:dyDescent="0.2">
      <c r="A359" s="696" t="s">
        <v>1079</v>
      </c>
      <c r="B359" s="697">
        <v>708</v>
      </c>
      <c r="C359" s="697">
        <v>110</v>
      </c>
      <c r="D359" s="697">
        <v>651</v>
      </c>
      <c r="E359" s="697"/>
      <c r="F359" s="697">
        <v>61</v>
      </c>
      <c r="G359" s="697"/>
      <c r="H359" s="697">
        <v>1530</v>
      </c>
      <c r="I359" s="697"/>
      <c r="J359" s="697">
        <v>381</v>
      </c>
      <c r="K359" s="697">
        <v>373</v>
      </c>
      <c r="L359" s="697"/>
      <c r="M359" s="697"/>
      <c r="N359" s="697">
        <v>754</v>
      </c>
      <c r="O359" s="697">
        <v>0</v>
      </c>
      <c r="P359" s="697">
        <v>0</v>
      </c>
      <c r="Q359" s="697">
        <v>0</v>
      </c>
      <c r="Y359" s="309"/>
      <c r="Z359" s="305"/>
      <c r="AE359" s="309"/>
      <c r="AF359" s="305"/>
      <c r="AH359" s="309"/>
      <c r="AI359" s="516"/>
      <c r="AO359" s="524"/>
      <c r="AU359" s="524"/>
      <c r="AX359" s="524"/>
    </row>
    <row r="360" spans="1:50" x14ac:dyDescent="0.2">
      <c r="A360" s="696" t="s">
        <v>1081</v>
      </c>
      <c r="B360" s="697">
        <v>57951077.935573772</v>
      </c>
      <c r="C360" s="697">
        <v>6724823.2173913037</v>
      </c>
      <c r="D360" s="697">
        <v>41484834.704740785</v>
      </c>
      <c r="E360" s="697"/>
      <c r="F360" s="697">
        <v>4169209.890625</v>
      </c>
      <c r="G360" s="697"/>
      <c r="H360" s="697">
        <v>110329945.74833086</v>
      </c>
      <c r="I360" s="697"/>
      <c r="J360" s="697">
        <v>18341502.945599169</v>
      </c>
      <c r="K360" s="697">
        <v>18698857.309051841</v>
      </c>
      <c r="L360" s="697"/>
      <c r="M360" s="697"/>
      <c r="N360" s="697">
        <v>37040360.25465101</v>
      </c>
      <c r="O360" s="697">
        <v>0</v>
      </c>
      <c r="P360" s="697">
        <v>0</v>
      </c>
      <c r="Q360" s="697">
        <v>0</v>
      </c>
      <c r="R360" s="294"/>
      <c r="S360" s="296">
        <f>IF(B359&gt;0,(B360/B359),)</f>
        <v>81851.804993748272</v>
      </c>
      <c r="T360" s="296">
        <f t="shared" ref="T360" si="3811">IF(C359&gt;0,(C360/C359),)</f>
        <v>61134.756521739124</v>
      </c>
      <c r="U360" s="296">
        <f t="shared" ref="U360" si="3812">IF(D359&gt;0,(D360/D359),)</f>
        <v>63724.784492689381</v>
      </c>
      <c r="V360" s="296">
        <f t="shared" ref="V360" si="3813">IF(E359&gt;0,(E360/E359),)</f>
        <v>0</v>
      </c>
      <c r="W360" s="296">
        <f t="shared" ref="W360" si="3814">IF(F359&gt;0,(F360/F359),)</f>
        <v>68347.703125</v>
      </c>
      <c r="X360" s="296">
        <f t="shared" ref="X360" si="3815">IF(G359&gt;0,(G360/G359),)</f>
        <v>0</v>
      </c>
      <c r="Y360" s="311">
        <f t="shared" ref="Y360" si="3816">IF(H359&gt;0,(H360/H359),)</f>
        <v>72111.07565250383</v>
      </c>
      <c r="Z360" s="306">
        <f t="shared" ref="Z360" si="3817">IF(I359&gt;0,(I360/I359),)</f>
        <v>0</v>
      </c>
      <c r="AA360" s="296">
        <f t="shared" ref="AA360" si="3818">IF(J359&gt;0,(J360/J359),)</f>
        <v>48140.427678737979</v>
      </c>
      <c r="AB360" s="296">
        <f t="shared" ref="AB360" si="3819">IF(K359&gt;0,(K360/K359),)</f>
        <v>50130.984742766334</v>
      </c>
      <c r="AC360" s="296">
        <f t="shared" ref="AC360" si="3820">IF(L359&gt;0,(L360/L359),)</f>
        <v>0</v>
      </c>
      <c r="AD360" s="296">
        <f t="shared" ref="AD360" si="3821">IF(M359&gt;0,(M360/M359),)</f>
        <v>0</v>
      </c>
      <c r="AE360" s="311">
        <f t="shared" ref="AE360" si="3822">IF(N359&gt;0,(N360/N359),)</f>
        <v>49125.146226327597</v>
      </c>
      <c r="AF360" s="306">
        <f t="shared" ref="AF360" si="3823">IF(O359&gt;0,(O360/O359),)</f>
        <v>0</v>
      </c>
      <c r="AG360" s="296">
        <f t="shared" ref="AG360" si="3824">IF(P359&gt;0,(P360/P359),)</f>
        <v>0</v>
      </c>
      <c r="AH360" s="311">
        <f t="shared" ref="AH360" si="3825">IF(Q359&gt;0,(Q360/Q359),)</f>
        <v>0</v>
      </c>
      <c r="AI360" s="517">
        <f>IF(S358&gt;0,(S360-S358)/S358,)</f>
        <v>1.9234209391260103E-2</v>
      </c>
      <c r="AJ360" s="518">
        <f t="shared" ref="AJ360" si="3826">IF(T358&gt;0,(T360-T358)/T358,)</f>
        <v>1.6602978635104404E-2</v>
      </c>
      <c r="AK360" s="527">
        <f t="shared" ref="AK360" si="3827">IF(U358&gt;0,(U360-U358)/U358,)</f>
        <v>-0.13815741451834204</v>
      </c>
      <c r="AL360" s="518">
        <f t="shared" ref="AL360" si="3828">IF(V358&gt;0,(V360-V358)/V358,)</f>
        <v>0</v>
      </c>
      <c r="AM360" s="527">
        <f t="shared" ref="AM360" si="3829">IF(W358&gt;0,(W360-W358)/W358,)</f>
        <v>9.1355419362816354E-2</v>
      </c>
      <c r="AN360" s="518">
        <f t="shared" ref="AN360" si="3830">IF(X358&gt;0,(X360-X358)/X358,)</f>
        <v>0</v>
      </c>
      <c r="AO360" s="525">
        <f t="shared" ref="AO360" si="3831">IF(Y358&gt;0,(Y360-Y358)/Y358,)</f>
        <v>-4.27362070274898E-2</v>
      </c>
      <c r="AP360" s="518">
        <f t="shared" ref="AP360" si="3832">IF(Z358&gt;0,(Z360-Z358)/Z358,)</f>
        <v>0</v>
      </c>
      <c r="AQ360" s="518">
        <f t="shared" ref="AQ360" si="3833">IF(AA358&gt;0,(AA360-AA358)/AA358,)</f>
        <v>-3.8372632593344523E-2</v>
      </c>
      <c r="AR360" s="518">
        <f t="shared" ref="AR360" si="3834">IF(AB358&gt;0,(AB360-AB358)/AB358,)</f>
        <v>-9.2374159037505819E-3</v>
      </c>
      <c r="AS360" s="518">
        <f t="shared" ref="AS360" si="3835">IF(AC358&gt;0,(AC360-AC358)/AC358,)</f>
        <v>0</v>
      </c>
      <c r="AT360" s="518">
        <f t="shared" ref="AT360" si="3836">IF(AD358&gt;0,(AD360-AD358)/AD358,)</f>
        <v>0</v>
      </c>
      <c r="AU360" s="525">
        <f t="shared" ref="AU360" si="3837">IF(AE358&gt;0,(AE360-AE358)/AE358,)</f>
        <v>-2.3614599931103257E-2</v>
      </c>
      <c r="AV360" s="518">
        <f t="shared" ref="AV360" si="3838">IF(AF358&gt;0,(AF360-AF358)/AF358,)</f>
        <v>0</v>
      </c>
      <c r="AW360" s="518">
        <f t="shared" ref="AW360" si="3839">IF(AG358&gt;0,(AG360-AG358)/AG358,)</f>
        <v>0</v>
      </c>
      <c r="AX360" s="525">
        <f t="shared" ref="AX360" si="3840">IF(AH358&gt;0,(AH360-AH358)/AH358,)</f>
        <v>0</v>
      </c>
    </row>
    <row r="361" spans="1:50" x14ac:dyDescent="0.2">
      <c r="A361" s="696" t="s">
        <v>1083</v>
      </c>
      <c r="B361" s="697">
        <v>583</v>
      </c>
      <c r="C361" s="697">
        <v>126</v>
      </c>
      <c r="D361" s="697">
        <v>694</v>
      </c>
      <c r="E361" s="697"/>
      <c r="F361" s="697">
        <v>79</v>
      </c>
      <c r="G361" s="697"/>
      <c r="H361" s="697">
        <v>1482</v>
      </c>
      <c r="I361" s="697"/>
      <c r="J361" s="697">
        <v>178</v>
      </c>
      <c r="K361" s="697">
        <v>181</v>
      </c>
      <c r="L361" s="697"/>
      <c r="M361" s="697"/>
      <c r="N361" s="697">
        <v>359</v>
      </c>
      <c r="O361" s="697">
        <v>0</v>
      </c>
      <c r="P361" s="697">
        <v>0</v>
      </c>
      <c r="Q361" s="697">
        <v>0</v>
      </c>
      <c r="Y361" s="309"/>
      <c r="Z361" s="305"/>
      <c r="AE361" s="309"/>
      <c r="AF361" s="305"/>
      <c r="AH361" s="309"/>
      <c r="AI361" s="516"/>
      <c r="AO361" s="524"/>
      <c r="AU361" s="524"/>
      <c r="AX361" s="524"/>
    </row>
    <row r="362" spans="1:50" x14ac:dyDescent="0.2">
      <c r="A362" s="696" t="s">
        <v>1085</v>
      </c>
      <c r="B362" s="697">
        <v>39735489.396861404</v>
      </c>
      <c r="C362" s="697">
        <v>5991053.7272727275</v>
      </c>
      <c r="D362" s="697">
        <v>37073523.449733526</v>
      </c>
      <c r="E362" s="697"/>
      <c r="F362" s="697">
        <v>4280324.1213389123</v>
      </c>
      <c r="G362" s="697"/>
      <c r="H362" s="697">
        <v>87080390.695206568</v>
      </c>
      <c r="I362" s="697"/>
      <c r="J362" s="697">
        <v>7788846.6489707474</v>
      </c>
      <c r="K362" s="697">
        <v>7722904.2760598464</v>
      </c>
      <c r="L362" s="697"/>
      <c r="M362" s="697"/>
      <c r="N362" s="697">
        <v>15511750.925030593</v>
      </c>
      <c r="O362" s="697">
        <v>0</v>
      </c>
      <c r="P362" s="697">
        <v>0</v>
      </c>
      <c r="Q362" s="697">
        <v>0</v>
      </c>
      <c r="R362" s="294"/>
      <c r="S362" s="296">
        <f>IF(B361&gt;0,(B362/B361),)</f>
        <v>68156.928639556441</v>
      </c>
      <c r="T362" s="296">
        <f t="shared" ref="T362" si="3841">IF(C361&gt;0,(C362/C361),)</f>
        <v>47548.045454545456</v>
      </c>
      <c r="U362" s="296">
        <f t="shared" ref="U362" si="3842">IF(D361&gt;0,(D362/D361),)</f>
        <v>53420.062607685199</v>
      </c>
      <c r="V362" s="296">
        <f t="shared" ref="V362" si="3843">IF(E361&gt;0,(E362/E361),)</f>
        <v>0</v>
      </c>
      <c r="W362" s="296">
        <f t="shared" ref="W362" si="3844">IF(F361&gt;0,(F362/F361),)</f>
        <v>54181.317991631804</v>
      </c>
      <c r="X362" s="296">
        <f t="shared" ref="X362" si="3845">IF(G361&gt;0,(G362/G361),)</f>
        <v>0</v>
      </c>
      <c r="Y362" s="311">
        <f t="shared" ref="Y362" si="3846">IF(H361&gt;0,(H362/H361),)</f>
        <v>58758.69817490322</v>
      </c>
      <c r="Z362" s="306">
        <f t="shared" ref="Z362" si="3847">IF(I361&gt;0,(I362/I361),)</f>
        <v>0</v>
      </c>
      <c r="AA362" s="296">
        <f t="shared" ref="AA362" si="3848">IF(J361&gt;0,(J362/J361),)</f>
        <v>43757.565443655883</v>
      </c>
      <c r="AB362" s="296">
        <f t="shared" ref="AB362" si="3849">IF(K361&gt;0,(K362/K361),)</f>
        <v>42667.979425745005</v>
      </c>
      <c r="AC362" s="296">
        <f t="shared" ref="AC362" si="3850">IF(L361&gt;0,(L362/L361),)</f>
        <v>0</v>
      </c>
      <c r="AD362" s="296">
        <f t="shared" ref="AD362" si="3851">IF(M361&gt;0,(M362/M361),)</f>
        <v>0</v>
      </c>
      <c r="AE362" s="311">
        <f t="shared" ref="AE362" si="3852">IF(N361&gt;0,(N362/N361),)</f>
        <v>43208.219846881875</v>
      </c>
      <c r="AF362" s="306">
        <f t="shared" ref="AF362" si="3853">IF(O361&gt;0,(O362/O361),)</f>
        <v>0</v>
      </c>
      <c r="AG362" s="296">
        <f t="shared" ref="AG362" si="3854">IF(P361&gt;0,(P362/P361),)</f>
        <v>0</v>
      </c>
      <c r="AH362" s="311">
        <f t="shared" ref="AH362" si="3855">IF(Q361&gt;0,(Q362/Q361),)</f>
        <v>0</v>
      </c>
      <c r="AI362" s="516"/>
      <c r="AO362" s="524"/>
      <c r="AU362" s="524"/>
      <c r="AX362" s="524"/>
    </row>
    <row r="363" spans="1:50" x14ac:dyDescent="0.2">
      <c r="A363" s="696" t="s">
        <v>1087</v>
      </c>
      <c r="B363" s="697">
        <v>587</v>
      </c>
      <c r="C363" s="697">
        <v>119</v>
      </c>
      <c r="D363" s="697">
        <v>661</v>
      </c>
      <c r="E363" s="697"/>
      <c r="F363" s="697">
        <v>77</v>
      </c>
      <c r="G363" s="697"/>
      <c r="H363" s="697">
        <v>1444</v>
      </c>
      <c r="I363" s="697"/>
      <c r="J363" s="697">
        <v>182</v>
      </c>
      <c r="K363" s="697">
        <v>181</v>
      </c>
      <c r="L363" s="697"/>
      <c r="M363" s="697"/>
      <c r="N363" s="697">
        <v>363</v>
      </c>
      <c r="O363" s="697">
        <v>0</v>
      </c>
      <c r="P363" s="697">
        <v>0</v>
      </c>
      <c r="Q363" s="697">
        <v>0</v>
      </c>
      <c r="Y363" s="309"/>
      <c r="Z363" s="305"/>
      <c r="AE363" s="309"/>
      <c r="AF363" s="305"/>
      <c r="AH363" s="309"/>
      <c r="AI363" s="516"/>
      <c r="AO363" s="524"/>
      <c r="AU363" s="524"/>
      <c r="AX363" s="524"/>
    </row>
    <row r="364" spans="1:50" x14ac:dyDescent="0.2">
      <c r="A364" s="696" t="s">
        <v>1089</v>
      </c>
      <c r="B364" s="697">
        <v>40367866.422411747</v>
      </c>
      <c r="C364" s="697">
        <v>6033641.0289473683</v>
      </c>
      <c r="D364" s="697">
        <v>35675105.741468422</v>
      </c>
      <c r="E364" s="697"/>
      <c r="F364" s="697">
        <v>4098234.1794871795</v>
      </c>
      <c r="G364" s="697"/>
      <c r="H364" s="697">
        <v>86174847.372314721</v>
      </c>
      <c r="I364" s="697"/>
      <c r="J364" s="697">
        <v>8075570.3244788954</v>
      </c>
      <c r="K364" s="697">
        <v>7872720.522057021</v>
      </c>
      <c r="L364" s="697"/>
      <c r="M364" s="697"/>
      <c r="N364" s="697">
        <v>15948290.846535917</v>
      </c>
      <c r="O364" s="697">
        <v>0</v>
      </c>
      <c r="P364" s="697">
        <v>0</v>
      </c>
      <c r="Q364" s="697">
        <v>0</v>
      </c>
      <c r="R364" s="294"/>
      <c r="S364" s="296">
        <f>IF(B363&gt;0,(B364/B363),)</f>
        <v>68769.789475999569</v>
      </c>
      <c r="T364" s="296">
        <f t="shared" ref="T364" si="3856">IF(C363&gt;0,(C364/C363),)</f>
        <v>50702.865789473683</v>
      </c>
      <c r="U364" s="296">
        <f t="shared" ref="U364" si="3857">IF(D363&gt;0,(D364/D363),)</f>
        <v>53971.415645186724</v>
      </c>
      <c r="V364" s="296">
        <f t="shared" ref="V364" si="3858">IF(E363&gt;0,(E364/E363),)</f>
        <v>0</v>
      </c>
      <c r="W364" s="296">
        <f t="shared" ref="W364" si="3859">IF(F363&gt;0,(F364/F363),)</f>
        <v>53223.820512820515</v>
      </c>
      <c r="X364" s="296">
        <f t="shared" ref="X364" si="3860">IF(G363&gt;0,(G364/G363),)</f>
        <v>0</v>
      </c>
      <c r="Y364" s="311">
        <f t="shared" ref="Y364" si="3861">IF(H363&gt;0,(H364/H363),)</f>
        <v>59677.872141492189</v>
      </c>
      <c r="Z364" s="306">
        <f t="shared" ref="Z364" si="3862">IF(I363&gt;0,(I364/I363),)</f>
        <v>0</v>
      </c>
      <c r="AA364" s="296">
        <f t="shared" ref="AA364" si="3863">IF(J363&gt;0,(J364/J363),)</f>
        <v>44371.265519114808</v>
      </c>
      <c r="AB364" s="296">
        <f t="shared" ref="AB364" si="3864">IF(K363&gt;0,(K364/K363),)</f>
        <v>43495.693492027742</v>
      </c>
      <c r="AC364" s="296">
        <f t="shared" ref="AC364" si="3865">IF(L363&gt;0,(L364/L363),)</f>
        <v>0</v>
      </c>
      <c r="AD364" s="296">
        <f t="shared" ref="AD364" si="3866">IF(M363&gt;0,(M364/M363),)</f>
        <v>0</v>
      </c>
      <c r="AE364" s="311">
        <f t="shared" ref="AE364" si="3867">IF(N363&gt;0,(N364/N363),)</f>
        <v>43934.685527647154</v>
      </c>
      <c r="AF364" s="306">
        <f t="shared" ref="AF364" si="3868">IF(O363&gt;0,(O364/O363),)</f>
        <v>0</v>
      </c>
      <c r="AG364" s="296">
        <f t="shared" ref="AG364" si="3869">IF(P363&gt;0,(P364/P363),)</f>
        <v>0</v>
      </c>
      <c r="AH364" s="311">
        <f t="shared" ref="AH364" si="3870">IF(Q363&gt;0,(Q364/Q363),)</f>
        <v>0</v>
      </c>
      <c r="AI364" s="517">
        <f>IF(S362&gt;0,(S364-S362)/S362,)</f>
        <v>8.9919080668115613E-3</v>
      </c>
      <c r="AJ364" s="527">
        <f t="shared" ref="AJ364" si="3871">IF(T362&gt;0,(T364-T362)/T362,)</f>
        <v>6.6350158135188603E-2</v>
      </c>
      <c r="AK364" s="518">
        <f t="shared" ref="AK364" si="3872">IF(U362&gt;0,(U364-U362)/U362,)</f>
        <v>1.0321085573235656E-2</v>
      </c>
      <c r="AL364" s="518">
        <f t="shared" ref="AL364" si="3873">IF(V362&gt;0,(V364-V362)/V362,)</f>
        <v>0</v>
      </c>
      <c r="AM364" s="518">
        <f t="shared" ref="AM364" si="3874">IF(W362&gt;0,(W364-W362)/W362,)</f>
        <v>-1.7672096477224349E-2</v>
      </c>
      <c r="AN364" s="518">
        <f t="shared" ref="AN364" si="3875">IF(X362&gt;0,(X364-X362)/X362,)</f>
        <v>0</v>
      </c>
      <c r="AO364" s="525">
        <f t="shared" ref="AO364" si="3876">IF(Y362&gt;0,(Y364-Y362)/Y362,)</f>
        <v>1.5643198286199658E-2</v>
      </c>
      <c r="AP364" s="518">
        <f t="shared" ref="AP364" si="3877">IF(Z362&gt;0,(Z364-Z362)/Z362,)</f>
        <v>0</v>
      </c>
      <c r="AQ364" s="518">
        <f t="shared" ref="AQ364" si="3878">IF(AA362&gt;0,(AA364-AA362)/AA362,)</f>
        <v>1.402500503025359E-2</v>
      </c>
      <c r="AR364" s="518">
        <f t="shared" ref="AR364" si="3879">IF(AB362&gt;0,(AB364-AB362)/AB362,)</f>
        <v>1.9398951565616225E-2</v>
      </c>
      <c r="AS364" s="518">
        <f t="shared" ref="AS364" si="3880">IF(AC362&gt;0,(AC364-AC362)/AC362,)</f>
        <v>0</v>
      </c>
      <c r="AT364" s="518">
        <f t="shared" ref="AT364" si="3881">IF(AD362&gt;0,(AD364-AD362)/AD362,)</f>
        <v>0</v>
      </c>
      <c r="AU364" s="525">
        <f t="shared" ref="AU364" si="3882">IF(AE362&gt;0,(AE364-AE362)/AE362,)</f>
        <v>1.6813136096318595E-2</v>
      </c>
      <c r="AV364" s="518">
        <f t="shared" ref="AV364" si="3883">IF(AF362&gt;0,(AF364-AF362)/AF362,)</f>
        <v>0</v>
      </c>
      <c r="AW364" s="518">
        <f t="shared" ref="AW364" si="3884">IF(AG362&gt;0,(AG364-AG362)/AG362,)</f>
        <v>0</v>
      </c>
      <c r="AX364" s="525">
        <f t="shared" ref="AX364" si="3885">IF(AH362&gt;0,(AH364-AH362)/AH362,)</f>
        <v>0</v>
      </c>
    </row>
    <row r="365" spans="1:50" x14ac:dyDescent="0.2">
      <c r="A365" s="696" t="s">
        <v>1091</v>
      </c>
      <c r="B365" s="697">
        <v>171</v>
      </c>
      <c r="C365" s="697">
        <v>12</v>
      </c>
      <c r="D365" s="697">
        <v>268</v>
      </c>
      <c r="E365" s="697"/>
      <c r="F365" s="697">
        <v>19</v>
      </c>
      <c r="G365" s="697"/>
      <c r="H365" s="697">
        <v>470</v>
      </c>
      <c r="I365" s="697"/>
      <c r="J365" s="697">
        <v>295</v>
      </c>
      <c r="K365" s="697">
        <v>165</v>
      </c>
      <c r="L365" s="697"/>
      <c r="M365" s="697"/>
      <c r="N365" s="697">
        <v>460</v>
      </c>
      <c r="O365" s="697">
        <v>0</v>
      </c>
      <c r="P365" s="697">
        <v>0</v>
      </c>
      <c r="Q365" s="697">
        <v>0</v>
      </c>
      <c r="Y365" s="309"/>
      <c r="Z365" s="305"/>
      <c r="AE365" s="309"/>
      <c r="AF365" s="305"/>
      <c r="AH365" s="309"/>
      <c r="AI365" s="516"/>
      <c r="AO365" s="524"/>
      <c r="AU365" s="524"/>
      <c r="AX365" s="524"/>
    </row>
    <row r="366" spans="1:50" x14ac:dyDescent="0.2">
      <c r="A366" s="696" t="s">
        <v>1093</v>
      </c>
      <c r="B366" s="697">
        <v>7812241.6042186124</v>
      </c>
      <c r="C366" s="697">
        <v>523641.78947368427</v>
      </c>
      <c r="D366" s="697">
        <v>10594509.51832133</v>
      </c>
      <c r="E366" s="697"/>
      <c r="F366" s="697">
        <v>912041.54237288132</v>
      </c>
      <c r="G366" s="697"/>
      <c r="H366" s="697">
        <v>19842434.45438651</v>
      </c>
      <c r="I366" s="697"/>
      <c r="J366" s="697">
        <v>11514873.384377109</v>
      </c>
      <c r="K366" s="697">
        <v>6385651.5145754274</v>
      </c>
      <c r="L366" s="697"/>
      <c r="M366" s="697"/>
      <c r="N366" s="697">
        <v>17900524.898952536</v>
      </c>
      <c r="O366" s="697">
        <v>0</v>
      </c>
      <c r="P366" s="697">
        <v>0</v>
      </c>
      <c r="Q366" s="697">
        <v>0</v>
      </c>
      <c r="R366" s="294"/>
      <c r="S366" s="296">
        <f>IF(B365&gt;0,(B366/B365),)</f>
        <v>45685.623416483111</v>
      </c>
      <c r="T366" s="296">
        <f t="shared" ref="T366" si="3886">IF(C365&gt;0,(C366/C365),)</f>
        <v>43636.815789473687</v>
      </c>
      <c r="U366" s="296">
        <f t="shared" ref="U366" si="3887">IF(D365&gt;0,(D366/D365),)</f>
        <v>39531.751934034815</v>
      </c>
      <c r="V366" s="296">
        <f t="shared" ref="V366" si="3888">IF(E365&gt;0,(E366/E365),)</f>
        <v>0</v>
      </c>
      <c r="W366" s="296">
        <f t="shared" ref="W366" si="3889">IF(F365&gt;0,(F366/F365),)</f>
        <v>48002.186440677964</v>
      </c>
      <c r="X366" s="296">
        <f t="shared" ref="X366" si="3890">IF(G365&gt;0,(G366/G365),)</f>
        <v>0</v>
      </c>
      <c r="Y366" s="311">
        <f t="shared" ref="Y366" si="3891">IF(H365&gt;0,(H366/H365),)</f>
        <v>42217.94564763087</v>
      </c>
      <c r="Z366" s="306">
        <f t="shared" ref="Z366" si="3892">IF(I365&gt;0,(I366/I365),)</f>
        <v>0</v>
      </c>
      <c r="AA366" s="296">
        <f t="shared" ref="AA366" si="3893">IF(J365&gt;0,(J366/J365),)</f>
        <v>39033.469099583417</v>
      </c>
      <c r="AB366" s="296">
        <f t="shared" ref="AB366" si="3894">IF(K365&gt;0,(K366/K365),)</f>
        <v>38700.918270154107</v>
      </c>
      <c r="AC366" s="296">
        <f t="shared" ref="AC366" si="3895">IF(L365&gt;0,(L366/L365),)</f>
        <v>0</v>
      </c>
      <c r="AD366" s="296">
        <f t="shared" ref="AD366" si="3896">IF(M365&gt;0,(M366/M365),)</f>
        <v>0</v>
      </c>
      <c r="AE366" s="311">
        <f t="shared" ref="AE366" si="3897">IF(N365&gt;0,(N366/N365),)</f>
        <v>38914.184562940296</v>
      </c>
      <c r="AF366" s="306">
        <f t="shared" ref="AF366" si="3898">IF(O365&gt;0,(O366/O365),)</f>
        <v>0</v>
      </c>
      <c r="AG366" s="296">
        <f t="shared" ref="AG366" si="3899">IF(P365&gt;0,(P366/P365),)</f>
        <v>0</v>
      </c>
      <c r="AH366" s="311">
        <f t="shared" ref="AH366" si="3900">IF(Q365&gt;0,(Q366/Q365),)</f>
        <v>0</v>
      </c>
      <c r="AI366" s="516"/>
      <c r="AO366" s="524"/>
      <c r="AU366" s="524"/>
      <c r="AX366" s="524"/>
    </row>
    <row r="367" spans="1:50" x14ac:dyDescent="0.2">
      <c r="A367" s="696" t="s">
        <v>1095</v>
      </c>
      <c r="B367" s="697">
        <v>166</v>
      </c>
      <c r="C367" s="697">
        <v>23</v>
      </c>
      <c r="D367" s="697">
        <v>238</v>
      </c>
      <c r="E367" s="697"/>
      <c r="F367" s="697">
        <v>16</v>
      </c>
      <c r="G367" s="697"/>
      <c r="H367" s="697">
        <v>443</v>
      </c>
      <c r="I367" s="697"/>
      <c r="J367" s="697">
        <v>311</v>
      </c>
      <c r="K367" s="697">
        <v>158</v>
      </c>
      <c r="L367" s="697"/>
      <c r="M367" s="697"/>
      <c r="N367" s="697">
        <v>469</v>
      </c>
      <c r="O367" s="697">
        <v>0</v>
      </c>
      <c r="P367" s="697">
        <v>0</v>
      </c>
      <c r="Q367" s="697">
        <v>0</v>
      </c>
      <c r="Y367" s="309"/>
      <c r="Z367" s="305"/>
      <c r="AE367" s="309"/>
      <c r="AF367" s="305"/>
      <c r="AH367" s="309"/>
      <c r="AI367" s="516"/>
      <c r="AO367" s="524"/>
      <c r="AU367" s="524"/>
      <c r="AX367" s="524"/>
    </row>
    <row r="368" spans="1:50" x14ac:dyDescent="0.2">
      <c r="A368" s="696" t="s">
        <v>1097</v>
      </c>
      <c r="B368" s="697">
        <v>7489712.2261525197</v>
      </c>
      <c r="C368" s="697">
        <v>918228.34285714291</v>
      </c>
      <c r="D368" s="697">
        <v>9562173.9287839383</v>
      </c>
      <c r="E368" s="697"/>
      <c r="F368" s="697">
        <v>634265.41176470579</v>
      </c>
      <c r="G368" s="697"/>
      <c r="H368" s="697">
        <v>18604379.909558307</v>
      </c>
      <c r="I368" s="697"/>
      <c r="J368" s="697">
        <v>11448416.531268494</v>
      </c>
      <c r="K368" s="697">
        <v>6216891.3250142233</v>
      </c>
      <c r="L368" s="697"/>
      <c r="M368" s="697"/>
      <c r="N368" s="697">
        <v>17665307.856282718</v>
      </c>
      <c r="O368" s="697">
        <v>0</v>
      </c>
      <c r="P368" s="697">
        <v>0</v>
      </c>
      <c r="Q368" s="697">
        <v>0</v>
      </c>
      <c r="R368" s="294"/>
      <c r="S368" s="296">
        <f>IF(B367&gt;0,(B368/B367),)</f>
        <v>45118.748350316382</v>
      </c>
      <c r="T368" s="296">
        <f t="shared" ref="T368" si="3901">IF(C367&gt;0,(C368/C367),)</f>
        <v>39922.971428571429</v>
      </c>
      <c r="U368" s="296">
        <f t="shared" ref="U368" si="3902">IF(D367&gt;0,(D368/D367),)</f>
        <v>40177.20138144512</v>
      </c>
      <c r="V368" s="296">
        <f t="shared" ref="V368" si="3903">IF(E367&gt;0,(E368/E367),)</f>
        <v>0</v>
      </c>
      <c r="W368" s="296">
        <f t="shared" ref="W368" si="3904">IF(F367&gt;0,(F368/F367),)</f>
        <v>39641.588235294112</v>
      </c>
      <c r="X368" s="296">
        <f t="shared" ref="X368" si="3905">IF(G367&gt;0,(G368/G367),)</f>
        <v>0</v>
      </c>
      <c r="Y368" s="311">
        <f t="shared" ref="Y368" si="3906">IF(H367&gt;0,(H368/H367),)</f>
        <v>41996.342910966836</v>
      </c>
      <c r="Z368" s="306">
        <f t="shared" ref="Z368" si="3907">IF(I367&gt;0,(I368/I367),)</f>
        <v>0</v>
      </c>
      <c r="AA368" s="296">
        <f t="shared" ref="AA368" si="3908">IF(J367&gt;0,(J368/J367),)</f>
        <v>36811.628717905129</v>
      </c>
      <c r="AB368" s="296">
        <f t="shared" ref="AB368" si="3909">IF(K367&gt;0,(K368/K367),)</f>
        <v>39347.413449457112</v>
      </c>
      <c r="AC368" s="296">
        <f t="shared" ref="AC368" si="3910">IF(L367&gt;0,(L368/L367),)</f>
        <v>0</v>
      </c>
      <c r="AD368" s="296">
        <f t="shared" ref="AD368" si="3911">IF(M367&gt;0,(M368/M367),)</f>
        <v>0</v>
      </c>
      <c r="AE368" s="311">
        <f t="shared" ref="AE368" si="3912">IF(N367&gt;0,(N368/N367),)</f>
        <v>37665.901612543108</v>
      </c>
      <c r="AF368" s="306">
        <f t="shared" ref="AF368" si="3913">IF(O367&gt;0,(O368/O367),)</f>
        <v>0</v>
      </c>
      <c r="AG368" s="296">
        <f t="shared" ref="AG368" si="3914">IF(P367&gt;0,(P368/P367),)</f>
        <v>0</v>
      </c>
      <c r="AH368" s="311">
        <f t="shared" ref="AH368" si="3915">IF(Q367&gt;0,(Q368/Q367),)</f>
        <v>0</v>
      </c>
      <c r="AI368" s="517">
        <f>IF(S366&gt;0,(S368-S366)/S366,)</f>
        <v>-1.2408171844322557E-2</v>
      </c>
      <c r="AJ368" s="527">
        <f t="shared" ref="AJ368" si="3916">IF(T366&gt;0,(T368-T366)/T366,)</f>
        <v>-8.5108051394486309E-2</v>
      </c>
      <c r="AK368" s="518">
        <f t="shared" ref="AK368" si="3917">IF(U366&gt;0,(U368-U366)/U366,)</f>
        <v>1.6327367643289441E-2</v>
      </c>
      <c r="AL368" s="518">
        <f t="shared" ref="AL368" si="3918">IF(V366&gt;0,(V368-V366)/V366,)</f>
        <v>0</v>
      </c>
      <c r="AM368" s="527">
        <f t="shared" ref="AM368" si="3919">IF(W366&gt;0,(W368-W366)/W366,)</f>
        <v>-0.17417119563326647</v>
      </c>
      <c r="AN368" s="518">
        <f t="shared" ref="AN368" si="3920">IF(X366&gt;0,(X368-X366)/X366,)</f>
        <v>0</v>
      </c>
      <c r="AO368" s="525">
        <f t="shared" ref="AO368" si="3921">IF(Y366&gt;0,(Y368-Y366)/Y366,)</f>
        <v>-5.2490175271346804E-3</v>
      </c>
      <c r="AP368" s="518">
        <f t="shared" ref="AP368" si="3922">IF(Z366&gt;0,(Z368-Z366)/Z366,)</f>
        <v>0</v>
      </c>
      <c r="AQ368" s="527">
        <f t="shared" ref="AQ368" si="3923">IF(AA366&gt;0,(AA368-AA366)/AA366,)</f>
        <v>-5.6921417258862107E-2</v>
      </c>
      <c r="AR368" s="518">
        <f t="shared" ref="AR368" si="3924">IF(AB366&gt;0,(AB368-AB366)/AB366,)</f>
        <v>1.6704905418266983E-2</v>
      </c>
      <c r="AS368" s="518">
        <f t="shared" ref="AS368" si="3925">IF(AC366&gt;0,(AC368-AC366)/AC366,)</f>
        <v>0</v>
      </c>
      <c r="AT368" s="518">
        <f t="shared" ref="AT368" si="3926">IF(AD366&gt;0,(AD368-AD366)/AD366,)</f>
        <v>0</v>
      </c>
      <c r="AU368" s="525">
        <f t="shared" ref="AU368" si="3927">IF(AE366&gt;0,(AE368-AE366)/AE366,)</f>
        <v>-3.2077839081484524E-2</v>
      </c>
      <c r="AV368" s="518">
        <f t="shared" ref="AV368" si="3928">IF(AF366&gt;0,(AF368-AF366)/AF366,)</f>
        <v>0</v>
      </c>
      <c r="AW368" s="518">
        <f t="shared" ref="AW368" si="3929">IF(AG366&gt;0,(AG368-AG366)/AG366,)</f>
        <v>0</v>
      </c>
      <c r="AX368" s="525">
        <f t="shared" ref="AX368" si="3930">IF(AH366&gt;0,(AH368-AH366)/AH366,)</f>
        <v>0</v>
      </c>
    </row>
    <row r="369" spans="1:50" x14ac:dyDescent="0.2">
      <c r="A369" s="696" t="s">
        <v>1099</v>
      </c>
      <c r="B369" s="697">
        <v>293</v>
      </c>
      <c r="C369" s="697">
        <v>61</v>
      </c>
      <c r="D369" s="697">
        <v>151</v>
      </c>
      <c r="E369" s="697"/>
      <c r="F369" s="697">
        <v>34</v>
      </c>
      <c r="G369" s="697"/>
      <c r="H369" s="697">
        <v>539</v>
      </c>
      <c r="I369" s="697"/>
      <c r="J369" s="697">
        <v>0</v>
      </c>
      <c r="K369" s="697">
        <v>0</v>
      </c>
      <c r="L369" s="697"/>
      <c r="M369" s="697"/>
      <c r="N369" s="697">
        <v>0</v>
      </c>
      <c r="O369" s="697">
        <v>0</v>
      </c>
      <c r="P369" s="697">
        <v>0</v>
      </c>
      <c r="Q369" s="697">
        <v>0</v>
      </c>
      <c r="Y369" s="309"/>
      <c r="Z369" s="305"/>
      <c r="AE369" s="309"/>
      <c r="AF369" s="305"/>
      <c r="AH369" s="309"/>
      <c r="AI369" s="516"/>
      <c r="AO369" s="524"/>
      <c r="AU369" s="524"/>
      <c r="AX369" s="524"/>
    </row>
    <row r="370" spans="1:50" x14ac:dyDescent="0.2">
      <c r="A370" s="696" t="s">
        <v>1101</v>
      </c>
      <c r="B370" s="697">
        <v>12443594.452342488</v>
      </c>
      <c r="C370" s="697">
        <v>2936921.1746293246</v>
      </c>
      <c r="D370" s="697">
        <v>5222172.9720065091</v>
      </c>
      <c r="E370" s="697"/>
      <c r="F370" s="697">
        <v>1465953</v>
      </c>
      <c r="G370" s="697"/>
      <c r="H370" s="697">
        <v>22068641.598978322</v>
      </c>
      <c r="I370" s="697"/>
      <c r="J370" s="697">
        <v>0</v>
      </c>
      <c r="K370" s="697">
        <v>0</v>
      </c>
      <c r="L370" s="697"/>
      <c r="M370" s="697"/>
      <c r="N370" s="697">
        <v>0</v>
      </c>
      <c r="O370" s="697">
        <v>0</v>
      </c>
      <c r="P370" s="697">
        <v>0</v>
      </c>
      <c r="Q370" s="697">
        <v>0</v>
      </c>
      <c r="R370" s="294"/>
      <c r="S370" s="296">
        <f>IF(B369&gt;0,(B370/B369),)</f>
        <v>42469.605639394154</v>
      </c>
      <c r="T370" s="296">
        <f t="shared" ref="T370" si="3931">IF(C369&gt;0,(C370/C369),)</f>
        <v>48146.248764415155</v>
      </c>
      <c r="U370" s="296">
        <f t="shared" ref="U370" si="3932">IF(D369&gt;0,(D370/D369),)</f>
        <v>34583.926966930521</v>
      </c>
      <c r="V370" s="296">
        <f t="shared" ref="V370" si="3933">IF(E369&gt;0,(E370/E369),)</f>
        <v>0</v>
      </c>
      <c r="W370" s="296">
        <f t="shared" ref="W370" si="3934">IF(F369&gt;0,(F370/F369),)</f>
        <v>43116.26470588235</v>
      </c>
      <c r="X370" s="296">
        <f t="shared" ref="X370" si="3935">IF(G369&gt;0,(G370/G369),)</f>
        <v>0</v>
      </c>
      <c r="Y370" s="311">
        <f t="shared" ref="Y370" si="3936">IF(H369&gt;0,(H370/H369),)</f>
        <v>40943.676435952359</v>
      </c>
      <c r="Z370" s="306">
        <f t="shared" ref="Z370" si="3937">IF(I369&gt;0,(I370/I369),)</f>
        <v>0</v>
      </c>
      <c r="AA370" s="296">
        <f t="shared" ref="AA370" si="3938">IF(J369&gt;0,(J370/J369),)</f>
        <v>0</v>
      </c>
      <c r="AB370" s="296">
        <f t="shared" ref="AB370" si="3939">IF(K369&gt;0,(K370/K369),)</f>
        <v>0</v>
      </c>
      <c r="AC370" s="296">
        <f t="shared" ref="AC370" si="3940">IF(L369&gt;0,(L370/L369),)</f>
        <v>0</v>
      </c>
      <c r="AD370" s="296">
        <f t="shared" ref="AD370" si="3941">IF(M369&gt;0,(M370/M369),)</f>
        <v>0</v>
      </c>
      <c r="AE370" s="311">
        <f t="shared" ref="AE370" si="3942">IF(N369&gt;0,(N370/N369),)</f>
        <v>0</v>
      </c>
      <c r="AF370" s="306">
        <f t="shared" ref="AF370" si="3943">IF(O369&gt;0,(O370/O369),)</f>
        <v>0</v>
      </c>
      <c r="AG370" s="296">
        <f t="shared" ref="AG370" si="3944">IF(P369&gt;0,(P370/P369),)</f>
        <v>0</v>
      </c>
      <c r="AH370" s="311">
        <f t="shared" ref="AH370" si="3945">IF(Q369&gt;0,(Q370/Q369),)</f>
        <v>0</v>
      </c>
      <c r="AI370" s="516"/>
      <c r="AO370" s="524"/>
      <c r="AU370" s="524"/>
      <c r="AX370" s="524"/>
    </row>
    <row r="371" spans="1:50" x14ac:dyDescent="0.2">
      <c r="A371" s="696" t="s">
        <v>1103</v>
      </c>
      <c r="B371" s="697">
        <v>291</v>
      </c>
      <c r="C371" s="697">
        <v>25</v>
      </c>
      <c r="D371" s="697">
        <v>250</v>
      </c>
      <c r="E371" s="697"/>
      <c r="F371" s="697">
        <v>40</v>
      </c>
      <c r="G371" s="697"/>
      <c r="H371" s="697">
        <v>606</v>
      </c>
      <c r="I371" s="697"/>
      <c r="J371" s="697">
        <v>0</v>
      </c>
      <c r="K371" s="697">
        <v>0</v>
      </c>
      <c r="L371" s="697"/>
      <c r="M371" s="697"/>
      <c r="N371" s="697">
        <v>0</v>
      </c>
      <c r="O371" s="697">
        <v>0</v>
      </c>
      <c r="P371" s="697">
        <v>0</v>
      </c>
      <c r="Q371" s="697">
        <v>0</v>
      </c>
      <c r="Y371" s="309"/>
      <c r="Z371" s="305"/>
      <c r="AE371" s="309"/>
      <c r="AF371" s="305"/>
      <c r="AH371" s="309"/>
      <c r="AI371" s="516"/>
      <c r="AO371" s="524"/>
      <c r="AU371" s="524"/>
      <c r="AX371" s="524"/>
    </row>
    <row r="372" spans="1:50" x14ac:dyDescent="0.2">
      <c r="A372" s="696" t="s">
        <v>1105</v>
      </c>
      <c r="B372" s="697">
        <v>13174191.449664431</v>
      </c>
      <c r="C372" s="697">
        <v>1087034</v>
      </c>
      <c r="D372" s="697">
        <v>9153785.6812962908</v>
      </c>
      <c r="E372" s="697"/>
      <c r="F372" s="697">
        <v>1691665.7851239669</v>
      </c>
      <c r="G372" s="697"/>
      <c r="H372" s="697">
        <v>25106676.916084688</v>
      </c>
      <c r="I372" s="697"/>
      <c r="J372" s="697">
        <v>0</v>
      </c>
      <c r="K372" s="697">
        <v>0</v>
      </c>
      <c r="L372" s="697"/>
      <c r="M372" s="697"/>
      <c r="N372" s="697">
        <v>0</v>
      </c>
      <c r="O372" s="697">
        <v>0</v>
      </c>
      <c r="P372" s="697">
        <v>0</v>
      </c>
      <c r="Q372" s="697">
        <v>0</v>
      </c>
      <c r="R372" s="294"/>
      <c r="S372" s="296">
        <f>IF(B371&gt;0,(B372/B371),)</f>
        <v>45272.135565857148</v>
      </c>
      <c r="T372" s="296">
        <f t="shared" ref="T372" si="3946">IF(C371&gt;0,(C372/C371),)</f>
        <v>43481.36</v>
      </c>
      <c r="U372" s="296">
        <f t="shared" ref="U372" si="3947">IF(D371&gt;0,(D372/D371),)</f>
        <v>36615.142725185164</v>
      </c>
      <c r="V372" s="296">
        <f t="shared" ref="V372" si="3948">IF(E371&gt;0,(E372/E371),)</f>
        <v>0</v>
      </c>
      <c r="W372" s="296">
        <f t="shared" ref="W372" si="3949">IF(F371&gt;0,(F372/F371),)</f>
        <v>42291.644628099173</v>
      </c>
      <c r="X372" s="296">
        <f t="shared" ref="X372" si="3950">IF(G371&gt;0,(G372/G371),)</f>
        <v>0</v>
      </c>
      <c r="Y372" s="311">
        <f t="shared" ref="Y372" si="3951">IF(H371&gt;0,(H372/H371),)</f>
        <v>41430.159927532492</v>
      </c>
      <c r="Z372" s="306">
        <f t="shared" ref="Z372" si="3952">IF(I371&gt;0,(I372/I371),)</f>
        <v>0</v>
      </c>
      <c r="AA372" s="296">
        <f t="shared" ref="AA372" si="3953">IF(J371&gt;0,(J372/J371),)</f>
        <v>0</v>
      </c>
      <c r="AB372" s="296">
        <f t="shared" ref="AB372" si="3954">IF(K371&gt;0,(K372/K371),)</f>
        <v>0</v>
      </c>
      <c r="AC372" s="296">
        <f t="shared" ref="AC372" si="3955">IF(L371&gt;0,(L372/L371),)</f>
        <v>0</v>
      </c>
      <c r="AD372" s="296">
        <f t="shared" ref="AD372" si="3956">IF(M371&gt;0,(M372/M371),)</f>
        <v>0</v>
      </c>
      <c r="AE372" s="311">
        <f t="shared" ref="AE372" si="3957">IF(N371&gt;0,(N372/N371),)</f>
        <v>0</v>
      </c>
      <c r="AF372" s="306">
        <f t="shared" ref="AF372" si="3958">IF(O371&gt;0,(O372/O371),)</f>
        <v>0</v>
      </c>
      <c r="AG372" s="296">
        <f t="shared" ref="AG372" si="3959">IF(P371&gt;0,(P372/P371),)</f>
        <v>0</v>
      </c>
      <c r="AH372" s="311">
        <f t="shared" ref="AH372" si="3960">IF(Q371&gt;0,(Q372/Q371),)</f>
        <v>0</v>
      </c>
      <c r="AI372" s="517">
        <f>IF(S370&gt;0,(S372-S370)/S370,)</f>
        <v>6.5989073462537878E-2</v>
      </c>
      <c r="AJ372" s="527">
        <f t="shared" ref="AJ372" si="3961">IF(T370&gt;0,(T372-T370)/T370,)</f>
        <v>-9.6889973448211181E-2</v>
      </c>
      <c r="AK372" s="518">
        <f t="shared" ref="AK372" si="3962">IF(U370&gt;0,(U372-U370)/U370,)</f>
        <v>5.8732941467199783E-2</v>
      </c>
      <c r="AL372" s="518">
        <f t="shared" ref="AL372" si="3963">IF(V370&gt;0,(V372-V370)/V370,)</f>
        <v>0</v>
      </c>
      <c r="AM372" s="518">
        <f t="shared" ref="AM372" si="3964">IF(W370&gt;0,(W372-W370)/W370,)</f>
        <v>-1.9125499006194605E-2</v>
      </c>
      <c r="AN372" s="518">
        <f t="shared" ref="AN372" si="3965">IF(X370&gt;0,(X372-X370)/X370,)</f>
        <v>0</v>
      </c>
      <c r="AO372" s="525">
        <f t="shared" ref="AO372" si="3966">IF(Y370&gt;0,(Y372-Y370)/Y370,)</f>
        <v>1.188177354667045E-2</v>
      </c>
      <c r="AP372" s="518">
        <f t="shared" ref="AP372" si="3967">IF(Z370&gt;0,(Z372-Z370)/Z370,)</f>
        <v>0</v>
      </c>
      <c r="AQ372" s="518">
        <f t="shared" ref="AQ372" si="3968">IF(AA370&gt;0,(AA372-AA370)/AA370,)</f>
        <v>0</v>
      </c>
      <c r="AR372" s="518">
        <f t="shared" ref="AR372" si="3969">IF(AB370&gt;0,(AB372-AB370)/AB370,)</f>
        <v>0</v>
      </c>
      <c r="AS372" s="518">
        <f t="shared" ref="AS372" si="3970">IF(AC370&gt;0,(AC372-AC370)/AC370,)</f>
        <v>0</v>
      </c>
      <c r="AT372" s="518">
        <f t="shared" ref="AT372" si="3971">IF(AD370&gt;0,(AD372-AD370)/AD370,)</f>
        <v>0</v>
      </c>
      <c r="AU372" s="525">
        <f t="shared" ref="AU372" si="3972">IF(AE370&gt;0,(AE372-AE370)/AE370,)</f>
        <v>0</v>
      </c>
      <c r="AV372" s="518">
        <f t="shared" ref="AV372" si="3973">IF(AF370&gt;0,(AF372-AF370)/AF370,)</f>
        <v>0</v>
      </c>
      <c r="AW372" s="518">
        <f t="shared" ref="AW372" si="3974">IF(AG370&gt;0,(AG372-AG370)/AG370,)</f>
        <v>0</v>
      </c>
      <c r="AX372" s="525">
        <f t="shared" ref="AX372" si="3975">IF(AH370&gt;0,(AH372-AH370)/AH370,)</f>
        <v>0</v>
      </c>
    </row>
    <row r="373" spans="1:50" x14ac:dyDescent="0.2">
      <c r="A373" s="696" t="s">
        <v>1107</v>
      </c>
      <c r="B373" s="697">
        <v>0</v>
      </c>
      <c r="C373" s="697">
        <v>0</v>
      </c>
      <c r="D373" s="697">
        <v>0</v>
      </c>
      <c r="E373" s="697"/>
      <c r="F373" s="697">
        <v>0</v>
      </c>
      <c r="G373" s="697"/>
      <c r="H373" s="697">
        <v>0</v>
      </c>
      <c r="I373" s="697"/>
      <c r="J373" s="697">
        <v>0</v>
      </c>
      <c r="K373" s="697">
        <v>0</v>
      </c>
      <c r="L373" s="697"/>
      <c r="M373" s="697"/>
      <c r="N373" s="697">
        <v>0</v>
      </c>
      <c r="O373" s="697">
        <v>37</v>
      </c>
      <c r="P373" s="697">
        <v>421</v>
      </c>
      <c r="Q373" s="697">
        <v>458</v>
      </c>
      <c r="Y373" s="309"/>
      <c r="Z373" s="305"/>
      <c r="AE373" s="309"/>
      <c r="AF373" s="305"/>
      <c r="AH373" s="309"/>
      <c r="AI373" s="516"/>
      <c r="AO373" s="524"/>
      <c r="AU373" s="524"/>
      <c r="AX373" s="524"/>
    </row>
    <row r="374" spans="1:50" x14ac:dyDescent="0.2">
      <c r="A374" s="696" t="s">
        <v>1109</v>
      </c>
      <c r="B374" s="697">
        <v>0</v>
      </c>
      <c r="C374" s="697">
        <v>0</v>
      </c>
      <c r="D374" s="697">
        <v>0</v>
      </c>
      <c r="E374" s="697"/>
      <c r="F374" s="697">
        <v>0</v>
      </c>
      <c r="G374" s="697"/>
      <c r="H374" s="697">
        <v>0</v>
      </c>
      <c r="I374" s="697"/>
      <c r="J374" s="697">
        <v>0</v>
      </c>
      <c r="K374" s="697">
        <v>0</v>
      </c>
      <c r="L374" s="697"/>
      <c r="M374" s="697"/>
      <c r="N374" s="697">
        <v>0</v>
      </c>
      <c r="O374" s="697">
        <v>1359081</v>
      </c>
      <c r="P374" s="697">
        <v>14760722.2575</v>
      </c>
      <c r="Q374" s="697">
        <v>16119803.2575</v>
      </c>
      <c r="R374" s="294"/>
      <c r="S374" s="296">
        <f>IF(B373&gt;0,(B374/B373),)</f>
        <v>0</v>
      </c>
      <c r="T374" s="296">
        <f t="shared" ref="T374" si="3976">IF(C373&gt;0,(C374/C373),)</f>
        <v>0</v>
      </c>
      <c r="U374" s="296">
        <f t="shared" ref="U374" si="3977">IF(D373&gt;0,(D374/D373),)</f>
        <v>0</v>
      </c>
      <c r="V374" s="296">
        <f t="shared" ref="V374" si="3978">IF(E373&gt;0,(E374/E373),)</f>
        <v>0</v>
      </c>
      <c r="W374" s="296">
        <f t="shared" ref="W374" si="3979">IF(F373&gt;0,(F374/F373),)</f>
        <v>0</v>
      </c>
      <c r="X374" s="296">
        <f t="shared" ref="X374" si="3980">IF(G373&gt;0,(G374/G373),)</f>
        <v>0</v>
      </c>
      <c r="Y374" s="311">
        <f t="shared" ref="Y374" si="3981">IF(H373&gt;0,(H374/H373),)</f>
        <v>0</v>
      </c>
      <c r="Z374" s="306">
        <f t="shared" ref="Z374" si="3982">IF(I373&gt;0,(I374/I373),)</f>
        <v>0</v>
      </c>
      <c r="AA374" s="296">
        <f t="shared" ref="AA374" si="3983">IF(J373&gt;0,(J374/J373),)</f>
        <v>0</v>
      </c>
      <c r="AB374" s="296">
        <f t="shared" ref="AB374" si="3984">IF(K373&gt;0,(K374/K373),)</f>
        <v>0</v>
      </c>
      <c r="AC374" s="296">
        <f t="shared" ref="AC374" si="3985">IF(L373&gt;0,(L374/L373),)</f>
        <v>0</v>
      </c>
      <c r="AD374" s="296">
        <f t="shared" ref="AD374" si="3986">IF(M373&gt;0,(M374/M373),)</f>
        <v>0</v>
      </c>
      <c r="AE374" s="311">
        <f t="shared" ref="AE374" si="3987">IF(N373&gt;0,(N374/N373),)</f>
        <v>0</v>
      </c>
      <c r="AF374" s="306">
        <f t="shared" ref="AF374" si="3988">IF(O373&gt;0,(O374/O373),)</f>
        <v>36731.91891891892</v>
      </c>
      <c r="AG374" s="296">
        <f t="shared" ref="AG374" si="3989">IF(P373&gt;0,(P374/P373),)</f>
        <v>35061.097998812351</v>
      </c>
      <c r="AH374" s="311">
        <f t="shared" ref="AH374" si="3990">IF(Q373&gt;0,(Q374/Q373),)</f>
        <v>35196.076981441045</v>
      </c>
      <c r="AI374" s="516"/>
      <c r="AO374" s="524"/>
      <c r="AU374" s="524"/>
      <c r="AX374" s="524"/>
    </row>
    <row r="375" spans="1:50" x14ac:dyDescent="0.2">
      <c r="A375" s="696" t="s">
        <v>1111</v>
      </c>
      <c r="B375" s="697">
        <v>0</v>
      </c>
      <c r="C375" s="697">
        <v>0</v>
      </c>
      <c r="D375" s="697">
        <v>0</v>
      </c>
      <c r="E375" s="697"/>
      <c r="F375" s="697">
        <v>0</v>
      </c>
      <c r="G375" s="697"/>
      <c r="H375" s="697">
        <v>0</v>
      </c>
      <c r="I375" s="697"/>
      <c r="J375" s="697">
        <v>0</v>
      </c>
      <c r="K375" s="697">
        <v>0</v>
      </c>
      <c r="L375" s="697"/>
      <c r="M375" s="697"/>
      <c r="N375" s="697">
        <v>0</v>
      </c>
      <c r="O375" s="697">
        <v>39</v>
      </c>
      <c r="P375" s="697">
        <v>434</v>
      </c>
      <c r="Q375" s="697">
        <v>473</v>
      </c>
      <c r="Y375" s="309"/>
      <c r="Z375" s="305"/>
      <c r="AE375" s="309"/>
      <c r="AF375" s="305"/>
      <c r="AH375" s="309"/>
      <c r="AI375" s="516"/>
      <c r="AO375" s="524"/>
      <c r="AU375" s="524"/>
      <c r="AX375" s="524"/>
    </row>
    <row r="376" spans="1:50" x14ac:dyDescent="0.2">
      <c r="A376" s="696" t="s">
        <v>1113</v>
      </c>
      <c r="B376" s="697">
        <v>0</v>
      </c>
      <c r="C376" s="697">
        <v>0</v>
      </c>
      <c r="D376" s="697">
        <v>0</v>
      </c>
      <c r="E376" s="697"/>
      <c r="F376" s="697">
        <v>0</v>
      </c>
      <c r="G376" s="697"/>
      <c r="H376" s="697">
        <v>0</v>
      </c>
      <c r="I376" s="697"/>
      <c r="J376" s="697">
        <v>0</v>
      </c>
      <c r="K376" s="697">
        <v>0</v>
      </c>
      <c r="L376" s="697"/>
      <c r="M376" s="697"/>
      <c r="N376" s="697">
        <v>0</v>
      </c>
      <c r="O376" s="697">
        <v>1490702.2499999998</v>
      </c>
      <c r="P376" s="697">
        <v>15806326.7325</v>
      </c>
      <c r="Q376" s="697">
        <v>17297028.982499998</v>
      </c>
      <c r="R376" s="294"/>
      <c r="S376" s="296">
        <f>IF(B375&gt;0,(B376/B375),)</f>
        <v>0</v>
      </c>
      <c r="T376" s="296">
        <f t="shared" ref="T376" si="3991">IF(C375&gt;0,(C376/C375),)</f>
        <v>0</v>
      </c>
      <c r="U376" s="296">
        <f t="shared" ref="U376" si="3992">IF(D375&gt;0,(D376/D375),)</f>
        <v>0</v>
      </c>
      <c r="V376" s="296">
        <f t="shared" ref="V376" si="3993">IF(E375&gt;0,(E376/E375),)</f>
        <v>0</v>
      </c>
      <c r="W376" s="296">
        <f t="shared" ref="W376" si="3994">IF(F375&gt;0,(F376/F375),)</f>
        <v>0</v>
      </c>
      <c r="X376" s="296">
        <f t="shared" ref="X376" si="3995">IF(G375&gt;0,(G376/G375),)</f>
        <v>0</v>
      </c>
      <c r="Y376" s="311">
        <f t="shared" ref="Y376" si="3996">IF(H375&gt;0,(H376/H375),)</f>
        <v>0</v>
      </c>
      <c r="Z376" s="306">
        <f t="shared" ref="Z376" si="3997">IF(I375&gt;0,(I376/I375),)</f>
        <v>0</v>
      </c>
      <c r="AA376" s="296">
        <f t="shared" ref="AA376" si="3998">IF(J375&gt;0,(J376/J375),)</f>
        <v>0</v>
      </c>
      <c r="AB376" s="296">
        <f t="shared" ref="AB376" si="3999">IF(K375&gt;0,(K376/K375),)</f>
        <v>0</v>
      </c>
      <c r="AC376" s="296">
        <f t="shared" ref="AC376" si="4000">IF(L375&gt;0,(L376/L375),)</f>
        <v>0</v>
      </c>
      <c r="AD376" s="296">
        <f t="shared" ref="AD376" si="4001">IF(M375&gt;0,(M376/M375),)</f>
        <v>0</v>
      </c>
      <c r="AE376" s="311">
        <f t="shared" ref="AE376" si="4002">IF(N375&gt;0,(N376/N375),)</f>
        <v>0</v>
      </c>
      <c r="AF376" s="306">
        <f t="shared" ref="AF376" si="4003">IF(O375&gt;0,(O376/O375),)</f>
        <v>38223.13461538461</v>
      </c>
      <c r="AG376" s="296">
        <f t="shared" ref="AG376" si="4004">IF(P375&gt;0,(P376/P375),)</f>
        <v>36420.107678571425</v>
      </c>
      <c r="AH376" s="311">
        <f t="shared" ref="AH376" si="4005">IF(Q375&gt;0,(Q376/Q375),)</f>
        <v>36568.771633192388</v>
      </c>
      <c r="AI376" s="517">
        <f>IF(S374&gt;0,(S376-S374)/S374,)</f>
        <v>0</v>
      </c>
      <c r="AJ376" s="518">
        <f t="shared" ref="AJ376" si="4006">IF(T374&gt;0,(T376-T374)/T374,)</f>
        <v>0</v>
      </c>
      <c r="AK376" s="518">
        <f t="shared" ref="AK376" si="4007">IF(U374&gt;0,(U376-U374)/U374,)</f>
        <v>0</v>
      </c>
      <c r="AL376" s="518">
        <f t="shared" ref="AL376" si="4008">IF(V374&gt;0,(V376-V374)/V374,)</f>
        <v>0</v>
      </c>
      <c r="AM376" s="518">
        <f t="shared" ref="AM376" si="4009">IF(W374&gt;0,(W376-W374)/W374,)</f>
        <v>0</v>
      </c>
      <c r="AN376" s="518">
        <f t="shared" ref="AN376" si="4010">IF(X374&gt;0,(X376-X374)/X374,)</f>
        <v>0</v>
      </c>
      <c r="AO376" s="525">
        <f t="shared" ref="AO376" si="4011">IF(Y374&gt;0,(Y376-Y374)/Y374,)</f>
        <v>0</v>
      </c>
      <c r="AP376" s="518">
        <f t="shared" ref="AP376" si="4012">IF(Z374&gt;0,(Z376-Z374)/Z374,)</f>
        <v>0</v>
      </c>
      <c r="AQ376" s="518">
        <f t="shared" ref="AQ376" si="4013">IF(AA374&gt;0,(AA376-AA374)/AA374,)</f>
        <v>0</v>
      </c>
      <c r="AR376" s="518">
        <f t="shared" ref="AR376" si="4014">IF(AB374&gt;0,(AB376-AB374)/AB374,)</f>
        <v>0</v>
      </c>
      <c r="AS376" s="518">
        <f t="shared" ref="AS376" si="4015">IF(AC374&gt;0,(AC376-AC374)/AC374,)</f>
        <v>0</v>
      </c>
      <c r="AT376" s="518">
        <f t="shared" ref="AT376" si="4016">IF(AD374&gt;0,(AD376-AD374)/AD374,)</f>
        <v>0</v>
      </c>
      <c r="AU376" s="525">
        <f t="shared" ref="AU376" si="4017">IF(AE374&gt;0,(AE376-AE374)/AE374,)</f>
        <v>0</v>
      </c>
      <c r="AV376" s="518">
        <f t="shared" ref="AV376" si="4018">IF(AF374&gt;0,(AF376-AF374)/AF374,)</f>
        <v>4.0597271810311905E-2</v>
      </c>
      <c r="AW376" s="518">
        <f t="shared" ref="AW376" si="4019">IF(AG374&gt;0,(AG376-AG374)/AG374,)</f>
        <v>3.8761184256269121E-2</v>
      </c>
      <c r="AX376" s="525">
        <f t="shared" ref="AX376" si="4020">IF(AH374&gt;0,(AH376-AH374)/AH374,)</f>
        <v>3.9001353829154504E-2</v>
      </c>
    </row>
    <row r="377" spans="1:50" x14ac:dyDescent="0.2">
      <c r="A377" s="696" t="s">
        <v>1115</v>
      </c>
      <c r="B377" s="697">
        <v>2511</v>
      </c>
      <c r="C377" s="697">
        <v>417</v>
      </c>
      <c r="D377" s="697">
        <v>2523</v>
      </c>
      <c r="E377" s="697"/>
      <c r="F377" s="697">
        <v>272</v>
      </c>
      <c r="G377" s="697"/>
      <c r="H377" s="697">
        <v>5723</v>
      </c>
      <c r="I377" s="697"/>
      <c r="J377" s="697">
        <v>988</v>
      </c>
      <c r="K377" s="697">
        <v>801</v>
      </c>
      <c r="L377" s="697"/>
      <c r="M377" s="697"/>
      <c r="N377" s="697">
        <v>1789</v>
      </c>
      <c r="O377" s="697">
        <v>37</v>
      </c>
      <c r="P377" s="697">
        <v>421</v>
      </c>
      <c r="Q377" s="697">
        <v>458</v>
      </c>
      <c r="Y377" s="309"/>
      <c r="Z377" s="305"/>
      <c r="AE377" s="309"/>
      <c r="AF377" s="305"/>
      <c r="AH377" s="309"/>
      <c r="AI377" s="516"/>
      <c r="AO377" s="524"/>
      <c r="AU377" s="524"/>
      <c r="AX377" s="524"/>
    </row>
    <row r="378" spans="1:50" x14ac:dyDescent="0.2">
      <c r="A378" s="696" t="s">
        <v>1117</v>
      </c>
      <c r="B378" s="697">
        <v>202476137.27467921</v>
      </c>
      <c r="C378" s="697">
        <v>24100168.80715064</v>
      </c>
      <c r="D378" s="697">
        <v>162311201.24519691</v>
      </c>
      <c r="E378" s="697"/>
      <c r="F378" s="697">
        <v>16357648.926957252</v>
      </c>
      <c r="G378" s="697"/>
      <c r="H378" s="697">
        <v>405245156.25398397</v>
      </c>
      <c r="I378" s="697"/>
      <c r="J378" s="697">
        <v>46202749.050994523</v>
      </c>
      <c r="K378" s="697">
        <v>38221600.088896729</v>
      </c>
      <c r="L378" s="697"/>
      <c r="M378" s="697"/>
      <c r="N378" s="697">
        <v>84424349.139891252</v>
      </c>
      <c r="O378" s="697">
        <v>1359081</v>
      </c>
      <c r="P378" s="697">
        <v>14760722.2575</v>
      </c>
      <c r="Q378" s="697">
        <v>16119803.2575</v>
      </c>
      <c r="R378" s="294"/>
      <c r="S378" s="296">
        <f>IF(B377&gt;0,(B378/B377),)</f>
        <v>80635.658014607412</v>
      </c>
      <c r="T378" s="296">
        <f t="shared" ref="T378" si="4021">IF(C377&gt;0,(C378/C377),)</f>
        <v>57794.16980132048</v>
      </c>
      <c r="U378" s="296">
        <f t="shared" ref="U378" si="4022">IF(D377&gt;0,(D378/D377),)</f>
        <v>64332.620390486292</v>
      </c>
      <c r="V378" s="296">
        <f t="shared" ref="V378" si="4023">IF(E377&gt;0,(E378/E377),)</f>
        <v>0</v>
      </c>
      <c r="W378" s="296">
        <f t="shared" ref="W378" si="4024">IF(F377&gt;0,(F378/F377),)</f>
        <v>60138.415172636953</v>
      </c>
      <c r="X378" s="296">
        <f t="shared" ref="X378" si="4025">IF(G377&gt;0,(G378/G377),)</f>
        <v>0</v>
      </c>
      <c r="Y378" s="311">
        <f t="shared" ref="Y378" si="4026">IF(H377&gt;0,(H378/H377),)</f>
        <v>70809.917220685646</v>
      </c>
      <c r="Z378" s="306">
        <f t="shared" ref="Z378" si="4027">IF(I377&gt;0,(I378/I377),)</f>
        <v>0</v>
      </c>
      <c r="AA378" s="296">
        <f t="shared" ref="AA378" si="4028">IF(J377&gt;0,(J378/J377),)</f>
        <v>46763.916043516721</v>
      </c>
      <c r="AB378" s="296">
        <f t="shared" ref="AB378" si="4029">IF(K377&gt;0,(K378/K377),)</f>
        <v>47717.353419346728</v>
      </c>
      <c r="AC378" s="296">
        <f t="shared" ref="AC378" si="4030">IF(L377&gt;0,(L378/L377),)</f>
        <v>0</v>
      </c>
      <c r="AD378" s="296">
        <f t="shared" ref="AD378" si="4031">IF(M377&gt;0,(M378/M377),)</f>
        <v>0</v>
      </c>
      <c r="AE378" s="311">
        <f t="shared" ref="AE378" si="4032">IF(N377&gt;0,(N378/N377),)</f>
        <v>47190.804438172861</v>
      </c>
      <c r="AF378" s="306">
        <f t="shared" ref="AF378" si="4033">IF(O377&gt;0,(O378/O377),)</f>
        <v>36731.91891891892</v>
      </c>
      <c r="AG378" s="296">
        <f t="shared" ref="AG378" si="4034">IF(P377&gt;0,(P378/P377),)</f>
        <v>35061.097998812351</v>
      </c>
      <c r="AH378" s="311">
        <f t="shared" ref="AH378" si="4035">IF(Q377&gt;0,(Q378/Q377),)</f>
        <v>35196.076981441045</v>
      </c>
      <c r="AI378" s="516"/>
      <c r="AO378" s="524"/>
      <c r="AU378" s="524"/>
      <c r="AX378" s="524"/>
    </row>
    <row r="379" spans="1:50" x14ac:dyDescent="0.2">
      <c r="A379" s="696" t="s">
        <v>1119</v>
      </c>
      <c r="B379" s="697">
        <v>2542</v>
      </c>
      <c r="C379" s="697">
        <v>389</v>
      </c>
      <c r="D379" s="697">
        <v>2668</v>
      </c>
      <c r="E379" s="697"/>
      <c r="F379" s="697">
        <v>263</v>
      </c>
      <c r="G379" s="697"/>
      <c r="H379" s="697">
        <v>5862</v>
      </c>
      <c r="I379" s="697"/>
      <c r="J379" s="697">
        <v>983</v>
      </c>
      <c r="K379" s="697">
        <v>810</v>
      </c>
      <c r="L379" s="697"/>
      <c r="M379" s="697"/>
      <c r="N379" s="697">
        <v>1793</v>
      </c>
      <c r="O379" s="697">
        <v>39</v>
      </c>
      <c r="P379" s="697">
        <v>434</v>
      </c>
      <c r="Q379" s="697">
        <v>473</v>
      </c>
      <c r="Y379" s="309"/>
      <c r="Z379" s="305"/>
      <c r="AE379" s="309"/>
      <c r="AF379" s="305"/>
      <c r="AH379" s="309"/>
      <c r="AI379" s="516"/>
      <c r="AO379" s="524"/>
      <c r="AU379" s="524"/>
      <c r="AX379" s="524"/>
    </row>
    <row r="380" spans="1:50" ht="13.5" thickBot="1" x14ac:dyDescent="0.25">
      <c r="A380" s="701" t="s">
        <v>1121</v>
      </c>
      <c r="B380" s="702">
        <v>209397488.12025046</v>
      </c>
      <c r="C380" s="702">
        <v>23688477.553901695</v>
      </c>
      <c r="D380" s="702">
        <v>165825856.19315293</v>
      </c>
      <c r="E380" s="702"/>
      <c r="F380" s="702">
        <v>14724990.790585758</v>
      </c>
      <c r="G380" s="702"/>
      <c r="H380" s="702">
        <v>413636812.65789086</v>
      </c>
      <c r="I380" s="702"/>
      <c r="J380" s="702">
        <v>43864389.951567709</v>
      </c>
      <c r="K380" s="702">
        <v>38699687.636089087</v>
      </c>
      <c r="L380" s="702"/>
      <c r="M380" s="702"/>
      <c r="N380" s="702">
        <v>82564077.587656796</v>
      </c>
      <c r="O380" s="702">
        <v>1490702.2499999998</v>
      </c>
      <c r="P380" s="702">
        <v>15806326.7325</v>
      </c>
      <c r="Q380" s="702">
        <v>17297028.982499998</v>
      </c>
      <c r="S380" s="302">
        <f>IF(B379&gt;0,(B380/B379),)</f>
        <v>82375.093674370757</v>
      </c>
      <c r="T380" s="302">
        <f t="shared" ref="T380" si="4036">IF(C379&gt;0,(C380/C379),)</f>
        <v>60895.829187407959</v>
      </c>
      <c r="U380" s="302">
        <f t="shared" ref="U380" si="4037">IF(D379&gt;0,(D380/D379),)</f>
        <v>62153.619262800952</v>
      </c>
      <c r="V380" s="302">
        <f t="shared" ref="V380" si="4038">IF(E379&gt;0,(E380/E379),)</f>
        <v>0</v>
      </c>
      <c r="W380" s="302">
        <f t="shared" ref="W380" si="4039">IF(F379&gt;0,(F380/F379),)</f>
        <v>55988.558139109344</v>
      </c>
      <c r="X380" s="302">
        <f t="shared" ref="X380" si="4040">IF(G379&gt;0,(G380/G379),)</f>
        <v>0</v>
      </c>
      <c r="Y380" s="312">
        <f t="shared" ref="Y380" si="4041">IF(H379&gt;0,(H380/H379),)</f>
        <v>70562.404069923374</v>
      </c>
      <c r="Z380" s="307">
        <f t="shared" ref="Z380" si="4042">IF(I379&gt;0,(I380/I379),)</f>
        <v>0</v>
      </c>
      <c r="AA380" s="302">
        <f t="shared" ref="AA380" si="4043">IF(J379&gt;0,(J380/J379),)</f>
        <v>44622.980622144161</v>
      </c>
      <c r="AB380" s="302">
        <f t="shared" ref="AB380" si="4044">IF(K379&gt;0,(K380/K379),)</f>
        <v>47777.392143319863</v>
      </c>
      <c r="AC380" s="302">
        <f t="shared" ref="AC380" si="4045">IF(L379&gt;0,(L380/L379),)</f>
        <v>0</v>
      </c>
      <c r="AD380" s="302">
        <f t="shared" ref="AD380" si="4046">IF(M379&gt;0,(M380/M379),)</f>
        <v>0</v>
      </c>
      <c r="AE380" s="312">
        <f t="shared" ref="AE380" si="4047">IF(N379&gt;0,(N380/N379),)</f>
        <v>46048.007578168879</v>
      </c>
      <c r="AF380" s="307">
        <f t="shared" ref="AF380" si="4048">IF(O379&gt;0,(O380/O379),)</f>
        <v>38223.13461538461</v>
      </c>
      <c r="AG380" s="302">
        <f t="shared" ref="AG380" si="4049">IF(P379&gt;0,(P380/P379),)</f>
        <v>36420.107678571425</v>
      </c>
      <c r="AH380" s="312">
        <f t="shared" ref="AH380" si="4050">IF(Q379&gt;0,(Q380/Q379),)</f>
        <v>36568.771633192388</v>
      </c>
      <c r="AI380" s="519">
        <f>IF(S378&gt;0,(S380-S378)/S378,)</f>
        <v>2.1571544185182201E-2</v>
      </c>
      <c r="AJ380" s="520">
        <f t="shared" ref="AJ380" si="4051">IF(T378&gt;0,(T380-T378)/T378,)</f>
        <v>5.3667340438491973E-2</v>
      </c>
      <c r="AK380" s="520">
        <f t="shared" ref="AK380" si="4052">IF(U378&gt;0,(U380-U378)/U378,)</f>
        <v>-3.3870859207338892E-2</v>
      </c>
      <c r="AL380" s="520">
        <f t="shared" ref="AL380" si="4053">IF(V378&gt;0,(V380-V378)/V378,)</f>
        <v>0</v>
      </c>
      <c r="AM380" s="520">
        <f t="shared" ref="AM380" si="4054">IF(W378&gt;0,(W380-W378)/W378,)</f>
        <v>-6.9005094690553118E-2</v>
      </c>
      <c r="AN380" s="520">
        <f t="shared" ref="AN380" si="4055">IF(X378&gt;0,(X380-X378)/X378,)</f>
        <v>0</v>
      </c>
      <c r="AO380" s="526">
        <f t="shared" ref="AO380" si="4056">IF(Y378&gt;0,(Y380-Y378)/Y378,)</f>
        <v>-3.4954588351074362E-3</v>
      </c>
      <c r="AP380" s="520">
        <f t="shared" ref="AP380" si="4057">IF(Z378&gt;0,(Z380-Z378)/Z378,)</f>
        <v>0</v>
      </c>
      <c r="AQ380" s="520">
        <f t="shared" ref="AQ380" si="4058">IF(AA378&gt;0,(AA380-AA378)/AA378,)</f>
        <v>-4.5781782248096738E-2</v>
      </c>
      <c r="AR380" s="520">
        <f t="shared" ref="AR380" si="4059">IF(AB378&gt;0,(AB380-AB378)/AB378,)</f>
        <v>1.2582157154758082E-3</v>
      </c>
      <c r="AS380" s="520">
        <f t="shared" ref="AS380" si="4060">IF(AC378&gt;0,(AC380-AC378)/AC378,)</f>
        <v>0</v>
      </c>
      <c r="AT380" s="520">
        <f t="shared" ref="AT380" si="4061">IF(AD378&gt;0,(AD380-AD378)/AD378,)</f>
        <v>0</v>
      </c>
      <c r="AU380" s="526">
        <f t="shared" ref="AU380" si="4062">IF(AE378&gt;0,(AE380-AE378)/AE378,)</f>
        <v>-2.4216515772712034E-2</v>
      </c>
      <c r="AV380" s="520">
        <f t="shared" ref="AV380" si="4063">IF(AF378&gt;0,(AF380-AF378)/AF378,)</f>
        <v>4.0597271810311905E-2</v>
      </c>
      <c r="AW380" s="520">
        <f t="shared" ref="AW380" si="4064">IF(AG378&gt;0,(AG380-AG378)/AG378,)</f>
        <v>3.8761184256269121E-2</v>
      </c>
      <c r="AX380" s="526">
        <f t="shared" ref="AX380" si="4065">IF(AH378&gt;0,(AH380-AH378)/AH378,)</f>
        <v>3.9001353829154504E-2</v>
      </c>
    </row>
    <row r="381" spans="1:50" x14ac:dyDescent="0.2">
      <c r="A381" s="695" t="s">
        <v>43</v>
      </c>
      <c r="B381" s="697"/>
      <c r="C381" s="697"/>
      <c r="D381" s="697"/>
      <c r="E381" s="697"/>
      <c r="F381" s="697"/>
      <c r="G381" s="697"/>
      <c r="H381" s="697"/>
      <c r="I381" s="697"/>
      <c r="J381" s="697"/>
      <c r="K381" s="697"/>
      <c r="L381" s="697"/>
      <c r="M381" s="697"/>
      <c r="N381" s="697"/>
      <c r="O381" s="697"/>
      <c r="P381" s="697"/>
      <c r="Q381" s="697"/>
      <c r="Y381" s="309"/>
      <c r="Z381" s="305"/>
      <c r="AE381" s="309"/>
      <c r="AF381" s="305"/>
      <c r="AH381" s="309"/>
      <c r="AI381" s="516"/>
      <c r="AO381" s="524"/>
      <c r="AU381" s="524"/>
      <c r="AX381" s="524"/>
    </row>
    <row r="382" spans="1:50" x14ac:dyDescent="0.2">
      <c r="A382" s="696" t="s">
        <v>1067</v>
      </c>
      <c r="B382" s="697">
        <v>3200</v>
      </c>
      <c r="C382" s="697">
        <v>388</v>
      </c>
      <c r="D382" s="697">
        <v>1602</v>
      </c>
      <c r="E382" s="697">
        <v>48</v>
      </c>
      <c r="F382" s="697">
        <v>56</v>
      </c>
      <c r="G382" s="697">
        <v>27</v>
      </c>
      <c r="H382" s="697">
        <v>5321</v>
      </c>
      <c r="I382" s="697">
        <v>62</v>
      </c>
      <c r="J382" s="697">
        <v>1680</v>
      </c>
      <c r="K382" s="697">
        <v>403</v>
      </c>
      <c r="L382" s="697">
        <v>55</v>
      </c>
      <c r="M382" s="697"/>
      <c r="N382" s="697">
        <v>2200</v>
      </c>
      <c r="O382" s="697"/>
      <c r="P382" s="697"/>
      <c r="Q382" s="697"/>
      <c r="S382" s="295"/>
      <c r="T382" s="295"/>
      <c r="U382" s="295"/>
      <c r="V382" s="295"/>
      <c r="W382" s="295"/>
      <c r="X382" s="295"/>
      <c r="Y382" s="310"/>
      <c r="Z382" s="305"/>
      <c r="AA382" s="295"/>
      <c r="AB382" s="295"/>
      <c r="AC382" s="295"/>
      <c r="AD382" s="295"/>
      <c r="AE382" s="310"/>
      <c r="AF382" s="305"/>
      <c r="AG382" s="295"/>
      <c r="AH382" s="310"/>
      <c r="AI382" s="516"/>
      <c r="AO382" s="524"/>
      <c r="AU382" s="524"/>
      <c r="AX382" s="524"/>
    </row>
    <row r="383" spans="1:50" x14ac:dyDescent="0.2">
      <c r="A383" s="696" t="s">
        <v>1069</v>
      </c>
      <c r="B383" s="697">
        <v>409361290.38056266</v>
      </c>
      <c r="C383" s="697">
        <v>41159164</v>
      </c>
      <c r="D383" s="697">
        <v>138285366.01167288</v>
      </c>
      <c r="E383" s="697">
        <v>4366982.5604551919</v>
      </c>
      <c r="F383" s="697">
        <v>4851781.59375</v>
      </c>
      <c r="G383" s="697">
        <v>2752711.6837944663</v>
      </c>
      <c r="H383" s="697">
        <v>600777296.23023522</v>
      </c>
      <c r="I383" s="697">
        <v>4084196.3256484149</v>
      </c>
      <c r="J383" s="697">
        <v>108822649.71105579</v>
      </c>
      <c r="K383" s="697">
        <v>19723408.396302179</v>
      </c>
      <c r="L383" s="697">
        <v>2994415.984375</v>
      </c>
      <c r="M383" s="697"/>
      <c r="N383" s="697">
        <v>135624670.41738138</v>
      </c>
      <c r="O383" s="697"/>
      <c r="P383" s="697"/>
      <c r="Q383" s="697"/>
      <c r="S383" s="296">
        <f>IF(B382&gt;0,(B383/B382),)</f>
        <v>127925.40324392583</v>
      </c>
      <c r="T383" s="296">
        <f t="shared" ref="T383" si="4066">IF(C382&gt;0,(C383/C382),)</f>
        <v>106080.31958762887</v>
      </c>
      <c r="U383" s="296">
        <f t="shared" ref="U383" si="4067">IF(D382&gt;0,(D383/D382),)</f>
        <v>86320.453190807049</v>
      </c>
      <c r="V383" s="296">
        <f t="shared" ref="V383" si="4068">IF(E382&gt;0,(E383/E382),)</f>
        <v>90978.803342816493</v>
      </c>
      <c r="W383" s="296">
        <f t="shared" ref="W383" si="4069">IF(F382&gt;0,(F383/F382),)</f>
        <v>86638.95703125</v>
      </c>
      <c r="X383" s="296">
        <f t="shared" ref="X383" si="4070">IF(G382&gt;0,(G383/G382),)</f>
        <v>101952.28458498024</v>
      </c>
      <c r="Y383" s="311">
        <f t="shared" ref="Y383" si="4071">IF(H382&gt;0,(H383/H382),)</f>
        <v>112906.84011092562</v>
      </c>
      <c r="Z383" s="306">
        <f t="shared" ref="Z383" si="4072">IF(I382&gt;0,(I383/I382),)</f>
        <v>65874.134284651853</v>
      </c>
      <c r="AA383" s="296">
        <f t="shared" ref="AA383" si="4073">IF(J382&gt;0,(J383/J382),)</f>
        <v>64775.386732771301</v>
      </c>
      <c r="AB383" s="296">
        <f t="shared" ref="AB383" si="4074">IF(K382&gt;0,(K383/K382),)</f>
        <v>48941.460040452053</v>
      </c>
      <c r="AC383" s="296">
        <f t="shared" ref="AC383" si="4075">IF(L382&gt;0,(L383/L382),)</f>
        <v>54443.926988636362</v>
      </c>
      <c r="AD383" s="296">
        <f t="shared" ref="AD383" si="4076">IF(M382&gt;0,(M383/M382),)</f>
        <v>0</v>
      </c>
      <c r="AE383" s="311">
        <f t="shared" ref="AE383" si="4077">IF(N382&gt;0,(N383/N382),)</f>
        <v>61647.577462446083</v>
      </c>
      <c r="AF383" s="306">
        <f t="shared" ref="AF383" si="4078">IF(O382&gt;0,(O383/O382),)</f>
        <v>0</v>
      </c>
      <c r="AG383" s="296">
        <f t="shared" ref="AG383" si="4079">IF(P382&gt;0,(P383/P382),)</f>
        <v>0</v>
      </c>
      <c r="AH383" s="311">
        <f t="shared" ref="AH383" si="4080">IF(Q382&gt;0,(Q383/Q382),)</f>
        <v>0</v>
      </c>
      <c r="AI383" s="516"/>
      <c r="AO383" s="524"/>
      <c r="AU383" s="524"/>
      <c r="AX383" s="524"/>
    </row>
    <row r="384" spans="1:50" x14ac:dyDescent="0.2">
      <c r="A384" s="696" t="s">
        <v>1071</v>
      </c>
      <c r="B384" s="697">
        <v>3197</v>
      </c>
      <c r="C384" s="697">
        <v>394</v>
      </c>
      <c r="D384" s="697">
        <v>1618</v>
      </c>
      <c r="E384" s="697">
        <v>41</v>
      </c>
      <c r="F384" s="697">
        <v>56</v>
      </c>
      <c r="G384" s="697">
        <v>23</v>
      </c>
      <c r="H384" s="697">
        <v>5329</v>
      </c>
      <c r="I384" s="697">
        <v>68</v>
      </c>
      <c r="J384" s="697">
        <v>2380</v>
      </c>
      <c r="K384" s="697">
        <v>484</v>
      </c>
      <c r="L384" s="697">
        <v>59</v>
      </c>
      <c r="M384" s="697"/>
      <c r="N384" s="697">
        <v>2991</v>
      </c>
      <c r="O384" s="697"/>
      <c r="P384" s="697"/>
      <c r="Q384" s="697"/>
      <c r="Y384" s="309"/>
      <c r="Z384" s="305"/>
      <c r="AE384" s="309"/>
      <c r="AF384" s="305"/>
      <c r="AH384" s="309"/>
      <c r="AI384" s="516"/>
      <c r="AO384" s="524"/>
      <c r="AU384" s="524"/>
      <c r="AX384" s="524"/>
    </row>
    <row r="385" spans="1:50" x14ac:dyDescent="0.2">
      <c r="A385" s="696" t="s">
        <v>1073</v>
      </c>
      <c r="B385" s="697">
        <v>416043244.50687039</v>
      </c>
      <c r="C385" s="697">
        <v>42579287</v>
      </c>
      <c r="D385" s="697">
        <v>140185275.99912128</v>
      </c>
      <c r="E385" s="697">
        <v>3599906.16</v>
      </c>
      <c r="F385" s="697">
        <v>4832661.9310344821</v>
      </c>
      <c r="G385" s="697">
        <v>2435518.5205479451</v>
      </c>
      <c r="H385" s="697">
        <v>609675894.1175741</v>
      </c>
      <c r="I385" s="697">
        <v>4452050.8273381293</v>
      </c>
      <c r="J385" s="697">
        <v>142752313.54665375</v>
      </c>
      <c r="K385" s="697">
        <v>23672024.618853834</v>
      </c>
      <c r="L385" s="697">
        <v>3102865.7490196079</v>
      </c>
      <c r="M385" s="697"/>
      <c r="N385" s="697">
        <v>173979254.74186534</v>
      </c>
      <c r="O385" s="697"/>
      <c r="P385" s="697"/>
      <c r="Q385" s="697"/>
      <c r="R385" s="294"/>
      <c r="S385" s="296">
        <f>IF(B384&gt;0,(B385/B384),)</f>
        <v>130135.51595460445</v>
      </c>
      <c r="T385" s="296">
        <f t="shared" ref="T385" si="4081">IF(C384&gt;0,(C385/C384),)</f>
        <v>108069.25634517767</v>
      </c>
      <c r="U385" s="296">
        <f t="shared" ref="U385" si="4082">IF(D384&gt;0,(D385/D384),)</f>
        <v>86641.085289938987</v>
      </c>
      <c r="V385" s="296">
        <f t="shared" ref="V385" si="4083">IF(E384&gt;0,(E385/E384),)</f>
        <v>87802.589268292693</v>
      </c>
      <c r="W385" s="296">
        <f t="shared" ref="W385" si="4084">IF(F384&gt;0,(F385/F384),)</f>
        <v>86297.534482758609</v>
      </c>
      <c r="X385" s="296">
        <f t="shared" ref="X385" si="4085">IF(G384&gt;0,(G385/G384),)</f>
        <v>105892.10958904109</v>
      </c>
      <c r="Y385" s="311">
        <f t="shared" ref="Y385" si="4086">IF(H384&gt;0,(H385/H384),)</f>
        <v>114407.18598565849</v>
      </c>
      <c r="Z385" s="306">
        <f t="shared" ref="Z385" si="4087">IF(I384&gt;0,(I385/I384),)</f>
        <v>65471.335696148963</v>
      </c>
      <c r="AA385" s="296">
        <f t="shared" ref="AA385" si="4088">IF(J384&gt;0,(J385/J384),)</f>
        <v>59979.963675064602</v>
      </c>
      <c r="AB385" s="296">
        <f t="shared" ref="AB385" si="4089">IF(K384&gt;0,(K385/K384),)</f>
        <v>48909.141774491392</v>
      </c>
      <c r="AC385" s="296">
        <f t="shared" ref="AC385" si="4090">IF(L384&gt;0,(L385/L384),)</f>
        <v>52590.944898637419</v>
      </c>
      <c r="AD385" s="296">
        <f t="shared" ref="AD385" si="4091">IF(M384&gt;0,(M385/M384),)</f>
        <v>0</v>
      </c>
      <c r="AE385" s="311">
        <f t="shared" ref="AE385" si="4092">IF(N384&gt;0,(N385/N384),)</f>
        <v>58167.58767698607</v>
      </c>
      <c r="AF385" s="306">
        <f t="shared" ref="AF385" si="4093">IF(O384&gt;0,(O385/O384),)</f>
        <v>0</v>
      </c>
      <c r="AG385" s="296">
        <f t="shared" ref="AG385" si="4094">IF(P384&gt;0,(P385/P384),)</f>
        <v>0</v>
      </c>
      <c r="AH385" s="311">
        <f t="shared" ref="AH385" si="4095">IF(Q384&gt;0,(Q385/Q384),)</f>
        <v>0</v>
      </c>
      <c r="AI385" s="517">
        <f>IF(S383&gt;0,(S385-S383)/S383,)</f>
        <v>1.7276574117686481E-2</v>
      </c>
      <c r="AJ385" s="518">
        <f t="shared" ref="AJ385" si="4096">IF(T383&gt;0,(T385-T383)/T383,)</f>
        <v>1.8749347336815058E-2</v>
      </c>
      <c r="AK385" s="518">
        <f t="shared" ref="AK385" si="4097">IF(U383&gt;0,(U385-U383)/U383,)</f>
        <v>3.7144394784767395E-3</v>
      </c>
      <c r="AL385" s="518">
        <f t="shared" ref="AL385" si="4098">IF(V383&gt;0,(V385-V383)/V383,)</f>
        <v>-3.4911583333928152E-2</v>
      </c>
      <c r="AM385" s="518">
        <f t="shared" ref="AM385" si="4099">IF(W383&gt;0,(W385-W383)/W383,)</f>
        <v>-3.9407509068725621E-3</v>
      </c>
      <c r="AN385" s="518">
        <f t="shared" ref="AN385" si="4100">IF(X383&gt;0,(X385-X383)/X383,)</f>
        <v>3.864381283949448E-2</v>
      </c>
      <c r="AO385" s="525">
        <f t="shared" ref="AO385" si="4101">IF(Y383&gt;0,(Y385-Y383)/Y383,)</f>
        <v>1.3288352355436135E-2</v>
      </c>
      <c r="AP385" s="518">
        <f t="shared" ref="AP385" si="4102">IF(Z383&gt;0,(Z385-Z383)/Z383,)</f>
        <v>-6.1146699364934051E-3</v>
      </c>
      <c r="AQ385" s="527">
        <f t="shared" ref="AQ385" si="4103">IF(AA383&gt;0,(AA385-AA383)/AA383,)</f>
        <v>-7.4031561980325289E-2</v>
      </c>
      <c r="AR385" s="518">
        <f t="shared" ref="AR385" si="4104">IF(AB383&gt;0,(AB385-AB383)/AB383,)</f>
        <v>-6.6034535818810093E-4</v>
      </c>
      <c r="AS385" s="518">
        <f t="shared" ref="AS385" si="4105">IF(AC383&gt;0,(AC385-AC383)/AC383,)</f>
        <v>-3.4034688393908483E-2</v>
      </c>
      <c r="AT385" s="518">
        <f t="shared" ref="AT385" si="4106">IF(AD383&gt;0,(AD385-AD383)/AD383,)</f>
        <v>0</v>
      </c>
      <c r="AU385" s="525">
        <f t="shared" ref="AU385" si="4107">IF(AE383&gt;0,(AE385-AE383)/AE383,)</f>
        <v>-5.6449741071819437E-2</v>
      </c>
      <c r="AV385" s="518">
        <f t="shared" ref="AV385" si="4108">IF(AF383&gt;0,(AF385-AF383)/AF383,)</f>
        <v>0</v>
      </c>
      <c r="AW385" s="518">
        <f t="shared" ref="AW385" si="4109">IF(AG383&gt;0,(AG385-AG383)/AG383,)</f>
        <v>0</v>
      </c>
      <c r="AX385" s="525">
        <f t="shared" ref="AX385" si="4110">IF(AH383&gt;0,(AH385-AH383)/AH383,)</f>
        <v>0</v>
      </c>
    </row>
    <row r="386" spans="1:50" x14ac:dyDescent="0.2">
      <c r="A386" s="696" t="s">
        <v>1075</v>
      </c>
      <c r="B386" s="697">
        <v>2392</v>
      </c>
      <c r="C386" s="697">
        <v>483</v>
      </c>
      <c r="D386" s="697">
        <v>1814</v>
      </c>
      <c r="E386" s="697">
        <v>51</v>
      </c>
      <c r="F386" s="697">
        <v>104</v>
      </c>
      <c r="G386" s="697">
        <v>14</v>
      </c>
      <c r="H386" s="697">
        <v>4858</v>
      </c>
      <c r="I386" s="697">
        <v>74</v>
      </c>
      <c r="J386" s="697">
        <v>930</v>
      </c>
      <c r="K386" s="697">
        <v>148</v>
      </c>
      <c r="L386" s="697">
        <v>23</v>
      </c>
      <c r="M386" s="697"/>
      <c r="N386" s="697">
        <v>1175</v>
      </c>
      <c r="O386" s="697"/>
      <c r="P386" s="697"/>
      <c r="Q386" s="697"/>
      <c r="Y386" s="309"/>
      <c r="Z386" s="305"/>
      <c r="AE386" s="309"/>
      <c r="AF386" s="305"/>
      <c r="AH386" s="309"/>
      <c r="AI386" s="516"/>
      <c r="AO386" s="524"/>
      <c r="AU386" s="524"/>
      <c r="AX386" s="524"/>
    </row>
    <row r="387" spans="1:50" x14ac:dyDescent="0.2">
      <c r="A387" s="698" t="s">
        <v>1077</v>
      </c>
      <c r="B387" s="699">
        <v>202450752.62907478</v>
      </c>
      <c r="C387" s="699">
        <v>37243236</v>
      </c>
      <c r="D387" s="699">
        <v>124323433.43459278</v>
      </c>
      <c r="E387" s="699">
        <v>3772587.2654960696</v>
      </c>
      <c r="F387" s="699">
        <v>7153630.2568421047</v>
      </c>
      <c r="G387" s="699">
        <v>942846</v>
      </c>
      <c r="H387" s="699">
        <v>375886485.58600569</v>
      </c>
      <c r="I387" s="699">
        <v>3881621.6834693877</v>
      </c>
      <c r="J387" s="699">
        <v>48761832.858921699</v>
      </c>
      <c r="K387" s="699">
        <v>7314251.7395526851</v>
      </c>
      <c r="L387" s="699">
        <v>1121316.5181818181</v>
      </c>
      <c r="M387" s="699"/>
      <c r="N387" s="699">
        <v>61079022.800125584</v>
      </c>
      <c r="O387" s="699"/>
      <c r="P387" s="699"/>
      <c r="Q387" s="699"/>
      <c r="S387" s="296">
        <f>IF(B386&gt;0,(B387/B386),)</f>
        <v>84636.602269680094</v>
      </c>
      <c r="T387" s="296">
        <f t="shared" ref="T387" si="4111">IF(C386&gt;0,(C387/C386),)</f>
        <v>77108.149068322979</v>
      </c>
      <c r="U387" s="296">
        <f t="shared" ref="U387" si="4112">IF(D386&gt;0,(D387/D386),)</f>
        <v>68535.520085222044</v>
      </c>
      <c r="V387" s="296">
        <f t="shared" ref="V387" si="4113">IF(E386&gt;0,(E387/E386),)</f>
        <v>73972.299323452346</v>
      </c>
      <c r="W387" s="296">
        <f t="shared" ref="W387" si="4114">IF(F386&gt;0,(F387/F386),)</f>
        <v>68784.906315789471</v>
      </c>
      <c r="X387" s="296">
        <f t="shared" ref="X387" si="4115">IF(G386&gt;0,(G387/G386),)</f>
        <v>67346.142857142855</v>
      </c>
      <c r="Y387" s="311">
        <f t="shared" ref="Y387" si="4116">IF(H386&gt;0,(H387/H386),)</f>
        <v>77374.739725402571</v>
      </c>
      <c r="Z387" s="306">
        <f t="shared" ref="Z387" si="4117">IF(I386&gt;0,(I387/I386),)</f>
        <v>52454.347073910641</v>
      </c>
      <c r="AA387" s="296">
        <f t="shared" ref="AA387" si="4118">IF(J386&gt;0,(J387/J386),)</f>
        <v>52432.078342926558</v>
      </c>
      <c r="AB387" s="296">
        <f t="shared" ref="AB387" si="4119">IF(K386&gt;0,(K387/K386),)</f>
        <v>49420.619861842468</v>
      </c>
      <c r="AC387" s="296">
        <f t="shared" ref="AC387" si="4120">IF(L386&gt;0,(L387/L386),)</f>
        <v>48752.892094861658</v>
      </c>
      <c r="AD387" s="296">
        <f t="shared" ref="AD387" si="4121">IF(M386&gt;0,(M387/M386),)</f>
        <v>0</v>
      </c>
      <c r="AE387" s="311">
        <f t="shared" ref="AE387" si="4122">IF(N386&gt;0,(N387/N386),)</f>
        <v>51982.147063936667</v>
      </c>
      <c r="AF387" s="306">
        <f t="shared" ref="AF387" si="4123">IF(O386&gt;0,(O387/O386),)</f>
        <v>0</v>
      </c>
      <c r="AG387" s="296">
        <f t="shared" ref="AG387" si="4124">IF(P386&gt;0,(P387/P386),)</f>
        <v>0</v>
      </c>
      <c r="AH387" s="311">
        <f t="shared" ref="AH387" si="4125">IF(Q386&gt;0,(Q387/Q386),)</f>
        <v>0</v>
      </c>
      <c r="AI387" s="516"/>
      <c r="AO387" s="524"/>
      <c r="AU387" s="524"/>
      <c r="AX387" s="524"/>
    </row>
    <row r="388" spans="1:50" x14ac:dyDescent="0.2">
      <c r="A388" s="696" t="s">
        <v>1079</v>
      </c>
      <c r="B388" s="697">
        <v>2441</v>
      </c>
      <c r="C388" s="697">
        <v>472</v>
      </c>
      <c r="D388" s="697">
        <v>1889</v>
      </c>
      <c r="E388" s="697">
        <v>53</v>
      </c>
      <c r="F388" s="697">
        <v>109</v>
      </c>
      <c r="G388" s="697">
        <v>15</v>
      </c>
      <c r="H388" s="697">
        <v>4979</v>
      </c>
      <c r="I388" s="697">
        <v>71</v>
      </c>
      <c r="J388" s="697">
        <v>833</v>
      </c>
      <c r="K388" s="697">
        <v>154</v>
      </c>
      <c r="L388" s="697">
        <v>24</v>
      </c>
      <c r="M388" s="697"/>
      <c r="N388" s="697">
        <v>1082</v>
      </c>
      <c r="O388" s="697"/>
      <c r="P388" s="697"/>
      <c r="Q388" s="697"/>
      <c r="Y388" s="309"/>
      <c r="Z388" s="305"/>
      <c r="AE388" s="309"/>
      <c r="AF388" s="305"/>
      <c r="AH388" s="309"/>
      <c r="AI388" s="516"/>
      <c r="AO388" s="524"/>
      <c r="AU388" s="524"/>
      <c r="AX388" s="524"/>
    </row>
    <row r="389" spans="1:50" x14ac:dyDescent="0.2">
      <c r="A389" s="696" t="s">
        <v>1081</v>
      </c>
      <c r="B389" s="697">
        <v>211816890.72734708</v>
      </c>
      <c r="C389" s="697">
        <v>36739833</v>
      </c>
      <c r="D389" s="697">
        <v>130884456.46578415</v>
      </c>
      <c r="E389" s="697">
        <v>4053349.1194029851</v>
      </c>
      <c r="F389" s="697">
        <v>7226705.9274924481</v>
      </c>
      <c r="G389" s="697">
        <v>1059935.8695652173</v>
      </c>
      <c r="H389" s="697">
        <v>391781171.10959184</v>
      </c>
      <c r="I389" s="697">
        <v>3886536.5099601597</v>
      </c>
      <c r="J389" s="697">
        <v>46094336.498028599</v>
      </c>
      <c r="K389" s="697">
        <v>7248534.7215189626</v>
      </c>
      <c r="L389" s="697">
        <v>1169071.8117647059</v>
      </c>
      <c r="M389" s="697"/>
      <c r="N389" s="697">
        <v>58398479.541272432</v>
      </c>
      <c r="O389" s="697"/>
      <c r="P389" s="697"/>
      <c r="Q389" s="697"/>
      <c r="R389" s="294"/>
      <c r="S389" s="296">
        <f>IF(B388&gt;0,(B389/B388),)</f>
        <v>86774.637741641578</v>
      </c>
      <c r="T389" s="296">
        <f t="shared" ref="T389" si="4126">IF(C388&gt;0,(C389/C388),)</f>
        <v>77838.629237288129</v>
      </c>
      <c r="U389" s="296">
        <f t="shared" ref="U389" si="4127">IF(D388&gt;0,(D389/D388),)</f>
        <v>69287.695323337291</v>
      </c>
      <c r="V389" s="296">
        <f t="shared" ref="V389" si="4128">IF(E388&gt;0,(E389/E388),)</f>
        <v>76478.28527175443</v>
      </c>
      <c r="W389" s="296">
        <f t="shared" ref="W389" si="4129">IF(F388&gt;0,(F389/F388),)</f>
        <v>66300.05438066466</v>
      </c>
      <c r="X389" s="296">
        <f t="shared" ref="X389" si="4130">IF(G388&gt;0,(G389/G388),)</f>
        <v>70662.391304347824</v>
      </c>
      <c r="Y389" s="311">
        <f t="shared" ref="Y389" si="4131">IF(H388&gt;0,(H389/H388),)</f>
        <v>78686.7184393637</v>
      </c>
      <c r="Z389" s="306">
        <f t="shared" ref="Z389" si="4132">IF(I388&gt;0,(I389/I388),)</f>
        <v>54739.950844509294</v>
      </c>
      <c r="AA389" s="296">
        <f t="shared" ref="AA389" si="4133">IF(J388&gt;0,(J389/J388),)</f>
        <v>55335.337932807444</v>
      </c>
      <c r="AB389" s="296">
        <f t="shared" ref="AB389" si="4134">IF(K388&gt;0,(K389/K388),)</f>
        <v>47068.40728259067</v>
      </c>
      <c r="AC389" s="296">
        <f t="shared" ref="AC389" si="4135">IF(L388&gt;0,(L389/L388),)</f>
        <v>48711.325490196083</v>
      </c>
      <c r="AD389" s="296">
        <f t="shared" ref="AD389" si="4136">IF(M388&gt;0,(M389/M388),)</f>
        <v>0</v>
      </c>
      <c r="AE389" s="311">
        <f t="shared" ref="AE389" si="4137">IF(N388&gt;0,(N389/N388),)</f>
        <v>53972.716766425539</v>
      </c>
      <c r="AF389" s="306">
        <f t="shared" ref="AF389" si="4138">IF(O388&gt;0,(O389/O388),)</f>
        <v>0</v>
      </c>
      <c r="AG389" s="296">
        <f t="shared" ref="AG389" si="4139">IF(P388&gt;0,(P389/P388),)</f>
        <v>0</v>
      </c>
      <c r="AH389" s="311">
        <f t="shared" ref="AH389" si="4140">IF(Q388&gt;0,(Q389/Q388),)</f>
        <v>0</v>
      </c>
      <c r="AI389" s="517">
        <f>IF(S387&gt;0,(S389-S387)/S387,)</f>
        <v>2.5261357552480653E-2</v>
      </c>
      <c r="AJ389" s="518">
        <f t="shared" ref="AJ389" si="4141">IF(T387&gt;0,(T389-T387)/T387,)</f>
        <v>9.4734496650658289E-3</v>
      </c>
      <c r="AK389" s="518">
        <f t="shared" ref="AK389" si="4142">IF(U387&gt;0,(U389-U387)/U387,)</f>
        <v>1.0974969434534647E-2</v>
      </c>
      <c r="AL389" s="518">
        <f t="shared" ref="AL389" si="4143">IF(V387&gt;0,(V389-V387)/V387,)</f>
        <v>3.3877356405326464E-2</v>
      </c>
      <c r="AM389" s="518">
        <f t="shared" ref="AM389" si="4144">IF(W387&gt;0,(W389-W387)/W387,)</f>
        <v>-3.6124959212954784E-2</v>
      </c>
      <c r="AN389" s="518">
        <f t="shared" ref="AN389" si="4145">IF(X387&gt;0,(X389-X387)/X387,)</f>
        <v>4.9241846771232597E-2</v>
      </c>
      <c r="AO389" s="525">
        <f t="shared" ref="AO389" si="4146">IF(Y387&gt;0,(Y389-Y387)/Y387,)</f>
        <v>1.6956163195084698E-2</v>
      </c>
      <c r="AP389" s="518">
        <f t="shared" ref="AP389" si="4147">IF(Z387&gt;0,(Z389-Z387)/Z387,)</f>
        <v>4.3573200279819126E-2</v>
      </c>
      <c r="AQ389" s="518">
        <f t="shared" ref="AQ389" si="4148">IF(AA387&gt;0,(AA389-AA387)/AA387,)</f>
        <v>5.5371819726321339E-2</v>
      </c>
      <c r="AR389" s="518">
        <f t="shared" ref="AR389" si="4149">IF(AB387&gt;0,(AB389-AB387)/AB387,)</f>
        <v>-4.759577248985368E-2</v>
      </c>
      <c r="AS389" s="518">
        <f t="shared" ref="AS389" si="4150">IF(AC387&gt;0,(AC389-AC387)/AC387,)</f>
        <v>-8.5259772045310274E-4</v>
      </c>
      <c r="AT389" s="518">
        <f t="shared" ref="AT389" si="4151">IF(AD387&gt;0,(AD389-AD387)/AD387,)</f>
        <v>0</v>
      </c>
      <c r="AU389" s="525">
        <f t="shared" ref="AU389" si="4152">IF(AE387&gt;0,(AE389-AE387)/AE387,)</f>
        <v>3.8293333671664702E-2</v>
      </c>
      <c r="AV389" s="518">
        <f t="shared" ref="AV389" si="4153">IF(AF387&gt;0,(AF389-AF387)/AF387,)</f>
        <v>0</v>
      </c>
      <c r="AW389" s="518">
        <f t="shared" ref="AW389" si="4154">IF(AG387&gt;0,(AG389-AG387)/AG387,)</f>
        <v>0</v>
      </c>
      <c r="AX389" s="525">
        <f t="shared" ref="AX389" si="4155">IF(AH387&gt;0,(AH389-AH387)/AH387,)</f>
        <v>0</v>
      </c>
    </row>
    <row r="390" spans="1:50" x14ac:dyDescent="0.2">
      <c r="A390" s="696" t="s">
        <v>1083</v>
      </c>
      <c r="B390" s="697">
        <v>1947</v>
      </c>
      <c r="C390" s="697">
        <v>390</v>
      </c>
      <c r="D390" s="697">
        <v>2060</v>
      </c>
      <c r="E390" s="697">
        <v>70</v>
      </c>
      <c r="F390" s="697">
        <v>86</v>
      </c>
      <c r="G390" s="697">
        <v>15</v>
      </c>
      <c r="H390" s="697">
        <v>4568</v>
      </c>
      <c r="I390" s="697">
        <v>80</v>
      </c>
      <c r="J390" s="697">
        <v>768</v>
      </c>
      <c r="K390" s="697">
        <v>155</v>
      </c>
      <c r="L390" s="697">
        <v>34</v>
      </c>
      <c r="M390" s="697"/>
      <c r="N390" s="697">
        <v>1037</v>
      </c>
      <c r="O390" s="697"/>
      <c r="P390" s="697"/>
      <c r="Q390" s="697"/>
      <c r="Y390" s="309"/>
      <c r="Z390" s="305"/>
      <c r="AE390" s="309"/>
      <c r="AF390" s="305"/>
      <c r="AH390" s="309"/>
      <c r="AI390" s="516"/>
      <c r="AO390" s="524"/>
      <c r="AU390" s="524"/>
      <c r="AX390" s="524"/>
    </row>
    <row r="391" spans="1:50" x14ac:dyDescent="0.2">
      <c r="A391" s="696" t="s">
        <v>1085</v>
      </c>
      <c r="B391" s="697">
        <v>148421251.03925842</v>
      </c>
      <c r="C391" s="697">
        <v>26596791</v>
      </c>
      <c r="D391" s="697">
        <v>122949288.21599995</v>
      </c>
      <c r="E391" s="697">
        <v>4784815.24</v>
      </c>
      <c r="F391" s="697">
        <v>4918701</v>
      </c>
      <c r="G391" s="697">
        <v>976074</v>
      </c>
      <c r="H391" s="697">
        <v>308646920.49525839</v>
      </c>
      <c r="I391" s="697">
        <v>3961720.297297297</v>
      </c>
      <c r="J391" s="697">
        <v>37281665.322262168</v>
      </c>
      <c r="K391" s="697">
        <v>7274747.3913619528</v>
      </c>
      <c r="L391" s="697">
        <v>1714222.5512908506</v>
      </c>
      <c r="M391" s="697"/>
      <c r="N391" s="697">
        <v>50232355.562212266</v>
      </c>
      <c r="O391" s="697"/>
      <c r="P391" s="697"/>
      <c r="Q391" s="697"/>
      <c r="R391" s="294"/>
      <c r="S391" s="296">
        <f>IF(B390&gt;0,(B391/B390),)</f>
        <v>76230.740133157888</v>
      </c>
      <c r="T391" s="296">
        <f t="shared" ref="T391" si="4156">IF(C390&gt;0,(C391/C390),)</f>
        <v>68196.899999999994</v>
      </c>
      <c r="U391" s="296">
        <f t="shared" ref="U391" si="4157">IF(D390&gt;0,(D391/D390),)</f>
        <v>59684.12049320386</v>
      </c>
      <c r="V391" s="296">
        <f t="shared" ref="V391" si="4158">IF(E390&gt;0,(E391/E390),)</f>
        <v>68354.503428571436</v>
      </c>
      <c r="W391" s="296">
        <f t="shared" ref="W391" si="4159">IF(F390&gt;0,(F391/F390),)</f>
        <v>57194.197674418603</v>
      </c>
      <c r="X391" s="296">
        <f t="shared" ref="X391" si="4160">IF(G390&gt;0,(G391/G390),)</f>
        <v>65071.6</v>
      </c>
      <c r="Y391" s="311">
        <f t="shared" ref="Y391" si="4161">IF(H390&gt;0,(H391/H390),)</f>
        <v>67567.189250275478</v>
      </c>
      <c r="Z391" s="306">
        <f t="shared" ref="Z391" si="4162">IF(I390&gt;0,(I391/I390),)</f>
        <v>49521.503716216212</v>
      </c>
      <c r="AA391" s="296">
        <f t="shared" ref="AA391" si="4163">IF(J390&gt;0,(J391/J390),)</f>
        <v>48543.835055028867</v>
      </c>
      <c r="AB391" s="296">
        <f t="shared" ref="AB391" si="4164">IF(K390&gt;0,(K391/K390),)</f>
        <v>46933.854137819049</v>
      </c>
      <c r="AC391" s="296">
        <f t="shared" ref="AC391" si="4165">IF(L390&gt;0,(L391/L390),)</f>
        <v>50418.310332083842</v>
      </c>
      <c r="AD391" s="296">
        <f t="shared" ref="AD391" si="4166">IF(M390&gt;0,(M391/M390),)</f>
        <v>0</v>
      </c>
      <c r="AE391" s="311">
        <f t="shared" ref="AE391" si="4167">IF(N390&gt;0,(N391/N390),)</f>
        <v>48440.072866164192</v>
      </c>
      <c r="AF391" s="306">
        <f t="shared" ref="AF391" si="4168">IF(O390&gt;0,(O391/O390),)</f>
        <v>0</v>
      </c>
      <c r="AG391" s="296">
        <f t="shared" ref="AG391" si="4169">IF(P390&gt;0,(P391/P390),)</f>
        <v>0</v>
      </c>
      <c r="AH391" s="311">
        <f t="shared" ref="AH391" si="4170">IF(Q390&gt;0,(Q391/Q390),)</f>
        <v>0</v>
      </c>
      <c r="AI391" s="516"/>
      <c r="AO391" s="524"/>
      <c r="AU391" s="524"/>
      <c r="AX391" s="524"/>
    </row>
    <row r="392" spans="1:50" x14ac:dyDescent="0.2">
      <c r="A392" s="696" t="s">
        <v>1087</v>
      </c>
      <c r="B392" s="697">
        <v>1801</v>
      </c>
      <c r="C392" s="697">
        <v>387</v>
      </c>
      <c r="D392" s="697">
        <v>2004</v>
      </c>
      <c r="E392" s="697">
        <v>57</v>
      </c>
      <c r="F392" s="697">
        <v>81</v>
      </c>
      <c r="G392" s="697">
        <v>17</v>
      </c>
      <c r="H392" s="697">
        <v>4347</v>
      </c>
      <c r="I392" s="697">
        <v>73</v>
      </c>
      <c r="J392" s="697">
        <v>772</v>
      </c>
      <c r="K392" s="697">
        <v>143</v>
      </c>
      <c r="L392" s="697">
        <v>35</v>
      </c>
      <c r="M392" s="697"/>
      <c r="N392" s="697">
        <v>1023</v>
      </c>
      <c r="O392" s="697"/>
      <c r="P392" s="697"/>
      <c r="Q392" s="697"/>
      <c r="Y392" s="309"/>
      <c r="Z392" s="305"/>
      <c r="AE392" s="309"/>
      <c r="AF392" s="305"/>
      <c r="AH392" s="309"/>
      <c r="AI392" s="516"/>
      <c r="AO392" s="524"/>
      <c r="AU392" s="524"/>
      <c r="AX392" s="524"/>
    </row>
    <row r="393" spans="1:50" x14ac:dyDescent="0.2">
      <c r="A393" s="696" t="s">
        <v>1089</v>
      </c>
      <c r="B393" s="697">
        <v>140675980.69932258</v>
      </c>
      <c r="C393" s="697">
        <v>27213363</v>
      </c>
      <c r="D393" s="697">
        <v>121819203.55690049</v>
      </c>
      <c r="E393" s="697">
        <v>3897981.886792453</v>
      </c>
      <c r="F393" s="697">
        <v>4823201</v>
      </c>
      <c r="G393" s="697">
        <v>1145292</v>
      </c>
      <c r="H393" s="697">
        <v>299575022.14301556</v>
      </c>
      <c r="I393" s="697">
        <v>3720979.475409836</v>
      </c>
      <c r="J393" s="697">
        <v>39143729.539836839</v>
      </c>
      <c r="K393" s="697">
        <v>6537587.1135614105</v>
      </c>
      <c r="L393" s="697">
        <v>1761369.1018181818</v>
      </c>
      <c r="M393" s="697"/>
      <c r="N393" s="697">
        <v>51163665.230626263</v>
      </c>
      <c r="O393" s="697"/>
      <c r="P393" s="697"/>
      <c r="Q393" s="697"/>
      <c r="R393" s="294"/>
      <c r="S393" s="296">
        <f>IF(B392&gt;0,(B393/B392),)</f>
        <v>78109.928206175784</v>
      </c>
      <c r="T393" s="296">
        <f t="shared" ref="T393" si="4171">IF(C392&gt;0,(C393/C392),)</f>
        <v>70318.767441860458</v>
      </c>
      <c r="U393" s="296">
        <f t="shared" ref="U393" si="4172">IF(D392&gt;0,(D393/D392),)</f>
        <v>60788.025726996253</v>
      </c>
      <c r="V393" s="296">
        <f t="shared" ref="V393" si="4173">IF(E392&gt;0,(E393/E392),)</f>
        <v>68385.647136709696</v>
      </c>
      <c r="W393" s="296">
        <f t="shared" ref="W393" si="4174">IF(F392&gt;0,(F393/F392),)</f>
        <v>59545.691358024691</v>
      </c>
      <c r="X393" s="296">
        <f t="shared" ref="X393" si="4175">IF(G392&gt;0,(G393/G392),)</f>
        <v>67370.117647058825</v>
      </c>
      <c r="Y393" s="311">
        <f t="shared" ref="Y393" si="4176">IF(H392&gt;0,(H393/H392),)</f>
        <v>68915.349009205325</v>
      </c>
      <c r="Z393" s="306">
        <f t="shared" ref="Z393" si="4177">IF(I392&gt;0,(I393/I392),)</f>
        <v>50972.321580956661</v>
      </c>
      <c r="AA393" s="296">
        <f t="shared" ref="AA393" si="4178">IF(J392&gt;0,(J393/J392),)</f>
        <v>50704.312875436321</v>
      </c>
      <c r="AB393" s="296">
        <f t="shared" ref="AB393" si="4179">IF(K392&gt;0,(K393/K392),)</f>
        <v>45717.392402527345</v>
      </c>
      <c r="AC393" s="296">
        <f t="shared" ref="AC393" si="4180">IF(L392&gt;0,(L393/L392),)</f>
        <v>50324.831480519482</v>
      </c>
      <c r="AD393" s="296">
        <f t="shared" ref="AD393" si="4181">IF(M392&gt;0,(M393/M392),)</f>
        <v>0</v>
      </c>
      <c r="AE393" s="311">
        <f t="shared" ref="AE393" si="4182">IF(N392&gt;0,(N393/N392),)</f>
        <v>50013.357996702114</v>
      </c>
      <c r="AF393" s="306">
        <f t="shared" ref="AF393" si="4183">IF(O392&gt;0,(O393/O392),)</f>
        <v>0</v>
      </c>
      <c r="AG393" s="296">
        <f t="shared" ref="AG393" si="4184">IF(P392&gt;0,(P393/P392),)</f>
        <v>0</v>
      </c>
      <c r="AH393" s="311">
        <f t="shared" ref="AH393" si="4185">IF(Q392&gt;0,(Q393/Q392),)</f>
        <v>0</v>
      </c>
      <c r="AI393" s="517">
        <f>IF(S391&gt;0,(S393-S391)/S391,)</f>
        <v>2.4651316119132245E-2</v>
      </c>
      <c r="AJ393" s="518">
        <f t="shared" ref="AJ393" si="4186">IF(T391&gt;0,(T393-T391)/T391,)</f>
        <v>3.1113840099190201E-2</v>
      </c>
      <c r="AK393" s="518">
        <f t="shared" ref="AK393" si="4187">IF(U391&gt;0,(U393-U391)/U391,)</f>
        <v>1.8495794604497743E-2</v>
      </c>
      <c r="AL393" s="518">
        <f t="shared" ref="AL393" si="4188">IF(V391&gt;0,(V393-V391)/V391,)</f>
        <v>4.5562042844485447E-4</v>
      </c>
      <c r="AM393" s="518">
        <f t="shared" ref="AM393" si="4189">IF(W391&gt;0,(W393-W391)/W391,)</f>
        <v>4.1114200027634037E-2</v>
      </c>
      <c r="AN393" s="518">
        <f t="shared" ref="AN393" si="4190">IF(X391&gt;0,(X393-X391)/X391,)</f>
        <v>3.5322900421363955E-2</v>
      </c>
      <c r="AO393" s="525">
        <f t="shared" ref="AO393" si="4191">IF(Y391&gt;0,(Y393-Y391)/Y391,)</f>
        <v>1.995287615022924E-2</v>
      </c>
      <c r="AP393" s="518">
        <f t="shared" ref="AP393" si="4192">IF(Z391&gt;0,(Z393-Z391)/Z391,)</f>
        <v>2.9296724773431454E-2</v>
      </c>
      <c r="AQ393" s="518">
        <f t="shared" ref="AQ393" si="4193">IF(AA391&gt;0,(AA393-AA391)/AA391,)</f>
        <v>4.450570948830794E-2</v>
      </c>
      <c r="AR393" s="518">
        <f t="shared" ref="AR393" si="4194">IF(AB391&gt;0,(AB393-AB391)/AB391,)</f>
        <v>-2.591864140796156E-2</v>
      </c>
      <c r="AS393" s="518">
        <f t="shared" ref="AS393" si="4195">IF(AC391&gt;0,(AC393-AC391)/AC391,)</f>
        <v>-1.8540655358867501E-3</v>
      </c>
      <c r="AT393" s="518">
        <f t="shared" ref="AT393" si="4196">IF(AD391&gt;0,(AD393-AD391)/AD391,)</f>
        <v>0</v>
      </c>
      <c r="AU393" s="525">
        <f t="shared" ref="AU393" si="4197">IF(AE391&gt;0,(AE393-AE391)/AE391,)</f>
        <v>3.2479000080878818E-2</v>
      </c>
      <c r="AV393" s="518">
        <f t="shared" ref="AV393" si="4198">IF(AF391&gt;0,(AF393-AF391)/AF391,)</f>
        <v>0</v>
      </c>
      <c r="AW393" s="518">
        <f t="shared" ref="AW393" si="4199">IF(AG391&gt;0,(AG393-AG391)/AG391,)</f>
        <v>0</v>
      </c>
      <c r="AX393" s="525">
        <f t="shared" ref="AX393" si="4200">IF(AH391&gt;0,(AH393-AH391)/AH391,)</f>
        <v>0</v>
      </c>
    </row>
    <row r="394" spans="1:50" x14ac:dyDescent="0.2">
      <c r="A394" s="696" t="s">
        <v>1091</v>
      </c>
      <c r="B394" s="697">
        <v>306</v>
      </c>
      <c r="C394" s="697">
        <v>11</v>
      </c>
      <c r="D394" s="697">
        <v>434</v>
      </c>
      <c r="E394" s="697">
        <v>9</v>
      </c>
      <c r="F394" s="697">
        <v>3</v>
      </c>
      <c r="G394" s="697">
        <v>0</v>
      </c>
      <c r="H394" s="697">
        <v>763</v>
      </c>
      <c r="I394" s="697">
        <v>498</v>
      </c>
      <c r="J394" s="697">
        <v>2421</v>
      </c>
      <c r="K394" s="697">
        <v>1147</v>
      </c>
      <c r="L394" s="697">
        <v>300</v>
      </c>
      <c r="M394" s="697"/>
      <c r="N394" s="697">
        <v>4366</v>
      </c>
      <c r="O394" s="697"/>
      <c r="P394" s="697"/>
      <c r="Q394" s="697"/>
      <c r="Y394" s="309"/>
      <c r="Z394" s="305"/>
      <c r="AE394" s="309"/>
      <c r="AF394" s="305"/>
      <c r="AH394" s="309"/>
      <c r="AI394" s="516"/>
      <c r="AO394" s="524"/>
      <c r="AU394" s="524"/>
      <c r="AX394" s="524"/>
    </row>
    <row r="395" spans="1:50" x14ac:dyDescent="0.2">
      <c r="A395" s="696" t="s">
        <v>1093</v>
      </c>
      <c r="B395" s="697">
        <v>13358514.381602451</v>
      </c>
      <c r="C395" s="697">
        <v>549843</v>
      </c>
      <c r="D395" s="697">
        <v>19655495.909037277</v>
      </c>
      <c r="E395" s="697">
        <v>480556.97802197805</v>
      </c>
      <c r="F395" s="697">
        <v>186000</v>
      </c>
      <c r="G395" s="697">
        <v>0</v>
      </c>
      <c r="H395" s="697">
        <v>34230410.268661708</v>
      </c>
      <c r="I395" s="697">
        <v>25363590.764922343</v>
      </c>
      <c r="J395" s="697">
        <v>123245923.66719919</v>
      </c>
      <c r="K395" s="697">
        <v>53781782.305605531</v>
      </c>
      <c r="L395" s="697">
        <v>12148832.574436868</v>
      </c>
      <c r="M395" s="697"/>
      <c r="N395" s="697">
        <v>214540129.31216395</v>
      </c>
      <c r="O395" s="697"/>
      <c r="P395" s="697"/>
      <c r="Q395" s="697"/>
      <c r="R395" s="294"/>
      <c r="S395" s="296">
        <f>IF(B394&gt;0,(B395/B394),)</f>
        <v>43655.275756870753</v>
      </c>
      <c r="T395" s="296">
        <f t="shared" ref="T395" si="4201">IF(C394&gt;0,(C395/C394),)</f>
        <v>49985.727272727272</v>
      </c>
      <c r="U395" s="296">
        <f t="shared" ref="U395" si="4202">IF(D394&gt;0,(D395/D394),)</f>
        <v>45289.16108073105</v>
      </c>
      <c r="V395" s="296">
        <f t="shared" ref="V395" si="4203">IF(E394&gt;0,(E395/E394),)</f>
        <v>53395.219780219784</v>
      </c>
      <c r="W395" s="296">
        <f t="shared" ref="W395" si="4204">IF(F394&gt;0,(F395/F394),)</f>
        <v>62000</v>
      </c>
      <c r="X395" s="296">
        <f t="shared" ref="X395" si="4205">IF(G394&gt;0,(G395/G394),)</f>
        <v>0</v>
      </c>
      <c r="Y395" s="311">
        <f t="shared" ref="Y395" si="4206">IF(H394&gt;0,(H395/H394),)</f>
        <v>44862.923025768949</v>
      </c>
      <c r="Z395" s="306">
        <f t="shared" ref="Z395" si="4207">IF(I394&gt;0,(I395/I394),)</f>
        <v>50930.905150446473</v>
      </c>
      <c r="AA395" s="296">
        <f t="shared" ref="AA395" si="4208">IF(J394&gt;0,(J395/J394),)</f>
        <v>50907.031667575051</v>
      </c>
      <c r="AB395" s="296">
        <f t="shared" ref="AB395" si="4209">IF(K394&gt;0,(K395/K394),)</f>
        <v>46889.086578557566</v>
      </c>
      <c r="AC395" s="296">
        <f t="shared" ref="AC395" si="4210">IF(L394&gt;0,(L395/L394),)</f>
        <v>40496.108581456225</v>
      </c>
      <c r="AD395" s="296">
        <f t="shared" ref="AD395" si="4211">IF(M394&gt;0,(M395/M394),)</f>
        <v>0</v>
      </c>
      <c r="AE395" s="311">
        <f t="shared" ref="AE395" si="4212">IF(N394&gt;0,(N395/N394),)</f>
        <v>49138.82943476041</v>
      </c>
      <c r="AF395" s="306">
        <f t="shared" ref="AF395" si="4213">IF(O394&gt;0,(O395/O394),)</f>
        <v>0</v>
      </c>
      <c r="AG395" s="296">
        <f t="shared" ref="AG395" si="4214">IF(P394&gt;0,(P395/P394),)</f>
        <v>0</v>
      </c>
      <c r="AH395" s="311">
        <f t="shared" ref="AH395" si="4215">IF(Q394&gt;0,(Q395/Q394),)</f>
        <v>0</v>
      </c>
      <c r="AI395" s="516"/>
      <c r="AO395" s="524"/>
      <c r="AU395" s="524"/>
      <c r="AX395" s="524"/>
    </row>
    <row r="396" spans="1:50" x14ac:dyDescent="0.2">
      <c r="A396" s="696" t="s">
        <v>1095</v>
      </c>
      <c r="B396" s="697">
        <v>350</v>
      </c>
      <c r="C396" s="697">
        <v>11</v>
      </c>
      <c r="D396" s="697">
        <v>572</v>
      </c>
      <c r="E396" s="697">
        <v>16</v>
      </c>
      <c r="F396" s="697">
        <v>1</v>
      </c>
      <c r="G396" s="697">
        <v>31</v>
      </c>
      <c r="H396" s="697">
        <v>981</v>
      </c>
      <c r="I396" s="697">
        <v>512</v>
      </c>
      <c r="J396" s="697">
        <v>2414</v>
      </c>
      <c r="K396" s="697">
        <v>956</v>
      </c>
      <c r="L396" s="697">
        <v>283</v>
      </c>
      <c r="M396" s="697"/>
      <c r="N396" s="697">
        <v>4165</v>
      </c>
      <c r="O396" s="697"/>
      <c r="P396" s="697"/>
      <c r="Q396" s="697"/>
      <c r="Y396" s="309"/>
      <c r="Z396" s="305"/>
      <c r="AE396" s="309"/>
      <c r="AF396" s="305"/>
      <c r="AH396" s="309"/>
      <c r="AI396" s="516"/>
      <c r="AO396" s="524"/>
      <c r="AU396" s="524"/>
      <c r="AX396" s="524"/>
    </row>
    <row r="397" spans="1:50" x14ac:dyDescent="0.2">
      <c r="A397" s="696" t="s">
        <v>1097</v>
      </c>
      <c r="B397" s="697">
        <v>15835794.38952674</v>
      </c>
      <c r="C397" s="697">
        <v>560674</v>
      </c>
      <c r="D397" s="697">
        <v>26869007.458313596</v>
      </c>
      <c r="E397" s="697">
        <v>780822</v>
      </c>
      <c r="F397" s="697">
        <v>55000</v>
      </c>
      <c r="G397" s="697">
        <v>1817551.7596153845</v>
      </c>
      <c r="H397" s="697">
        <v>45918849.607455723</v>
      </c>
      <c r="I397" s="697">
        <v>26400697.566314455</v>
      </c>
      <c r="J397" s="697">
        <v>122931454.75726083</v>
      </c>
      <c r="K397" s="697">
        <v>46242360.497229233</v>
      </c>
      <c r="L397" s="697">
        <v>11178662.538935907</v>
      </c>
      <c r="M397" s="697"/>
      <c r="N397" s="697">
        <v>206753175.35974044</v>
      </c>
      <c r="O397" s="697"/>
      <c r="P397" s="697"/>
      <c r="Q397" s="697"/>
      <c r="R397" s="294"/>
      <c r="S397" s="296">
        <f>IF(B396&gt;0,(B397/B396),)</f>
        <v>45245.126827219254</v>
      </c>
      <c r="T397" s="296">
        <f t="shared" ref="T397" si="4216">IF(C396&gt;0,(C397/C396),)</f>
        <v>50970.36363636364</v>
      </c>
      <c r="U397" s="296">
        <f t="shared" ref="U397" si="4217">IF(D396&gt;0,(D397/D396),)</f>
        <v>46973.789262786006</v>
      </c>
      <c r="V397" s="296">
        <f t="shared" ref="V397" si="4218">IF(E396&gt;0,(E397/E396),)</f>
        <v>48801.375</v>
      </c>
      <c r="W397" s="296">
        <f t="shared" ref="W397" si="4219">IF(F396&gt;0,(F397/F396),)</f>
        <v>55000</v>
      </c>
      <c r="X397" s="296">
        <f t="shared" ref="X397" si="4220">IF(G396&gt;0,(G397/G396),)</f>
        <v>58630.701923076922</v>
      </c>
      <c r="Y397" s="311">
        <f t="shared" ref="Y397" si="4221">IF(H396&gt;0,(H397/H396),)</f>
        <v>46808.205512187284</v>
      </c>
      <c r="Z397" s="306">
        <f t="shared" ref="Z397" si="4222">IF(I396&gt;0,(I397/I396),)</f>
        <v>51563.86243420792</v>
      </c>
      <c r="AA397" s="296">
        <f t="shared" ref="AA397" si="4223">IF(J396&gt;0,(J397/J396),)</f>
        <v>50924.380595385599</v>
      </c>
      <c r="AB397" s="296">
        <f t="shared" ref="AB397" si="4224">IF(K396&gt;0,(K397/K396),)</f>
        <v>48370.669976181205</v>
      </c>
      <c r="AC397" s="296">
        <f t="shared" ref="AC397" si="4225">IF(L396&gt;0,(L397/L396),)</f>
        <v>39500.574342529704</v>
      </c>
      <c r="AD397" s="296">
        <f t="shared" ref="AD397" si="4226">IF(M396&gt;0,(M397/M396),)</f>
        <v>0</v>
      </c>
      <c r="AE397" s="311">
        <f t="shared" ref="AE397" si="4227">IF(N396&gt;0,(N397/N396),)</f>
        <v>49640.618333671177</v>
      </c>
      <c r="AF397" s="306">
        <f t="shared" ref="AF397" si="4228">IF(O396&gt;0,(O397/O396),)</f>
        <v>0</v>
      </c>
      <c r="AG397" s="296">
        <f t="shared" ref="AG397" si="4229">IF(P396&gt;0,(P397/P396),)</f>
        <v>0</v>
      </c>
      <c r="AH397" s="311">
        <f t="shared" ref="AH397" si="4230">IF(Q396&gt;0,(Q397/Q396),)</f>
        <v>0</v>
      </c>
      <c r="AI397" s="517">
        <f>IF(S395&gt;0,(S397-S395)/S395,)</f>
        <v>3.6418303235623922E-2</v>
      </c>
      <c r="AJ397" s="518">
        <f t="shared" ref="AJ397" si="4231">IF(T395&gt;0,(T397-T395)/T395,)</f>
        <v>1.9698350256345983E-2</v>
      </c>
      <c r="AK397" s="518">
        <f t="shared" ref="AK397" si="4232">IF(U395&gt;0,(U397-U395)/U395,)</f>
        <v>3.7197160244412344E-2</v>
      </c>
      <c r="AL397" s="527">
        <f t="shared" ref="AL397" si="4233">IF(V395&gt;0,(V397-V395)/V395,)</f>
        <v>-8.6034757402039391E-2</v>
      </c>
      <c r="AM397" s="518">
        <f t="shared" ref="AM397" si="4234">IF(W395&gt;0,(W397-W395)/W395,)</f>
        <v>-0.11290322580645161</v>
      </c>
      <c r="AN397" s="518">
        <f t="shared" ref="AN397" si="4235">IF(X395&gt;0,(X397-X395)/X395,)</f>
        <v>0</v>
      </c>
      <c r="AO397" s="525">
        <f t="shared" ref="AO397" si="4236">IF(Y395&gt;0,(Y397-Y395)/Y395,)</f>
        <v>4.3360582753401475E-2</v>
      </c>
      <c r="AP397" s="518">
        <f t="shared" ref="AP397" si="4237">IF(Z395&gt;0,(Z397-Z395)/Z395,)</f>
        <v>1.2427764279698812E-2</v>
      </c>
      <c r="AQ397" s="518">
        <f t="shared" ref="AQ397" si="4238">IF(AA395&gt;0,(AA397-AA395)/AA395,)</f>
        <v>3.4079629556555644E-4</v>
      </c>
      <c r="AR397" s="518">
        <f t="shared" ref="AR397" si="4239">IF(AB395&gt;0,(AB397-AB395)/AB395,)</f>
        <v>3.1597616966613479E-2</v>
      </c>
      <c r="AS397" s="527">
        <f t="shared" ref="AS397" si="4240">IF(AC395&gt;0,(AC397-AC395)/AC395,)</f>
        <v>-2.4583454405848533E-2</v>
      </c>
      <c r="AT397" s="518">
        <f t="shared" ref="AT397" si="4241">IF(AD395&gt;0,(AD397-AD395)/AD395,)</f>
        <v>0</v>
      </c>
      <c r="AU397" s="525">
        <f t="shared" ref="AU397" si="4242">IF(AE395&gt;0,(AE397-AE395)/AE395,)</f>
        <v>1.0211657556413126E-2</v>
      </c>
      <c r="AV397" s="518">
        <f t="shared" ref="AV397" si="4243">IF(AF395&gt;0,(AF397-AF395)/AF395,)</f>
        <v>0</v>
      </c>
      <c r="AW397" s="518">
        <f t="shared" ref="AW397" si="4244">IF(AG395&gt;0,(AG397-AG395)/AG395,)</f>
        <v>0</v>
      </c>
      <c r="AX397" s="525">
        <f t="shared" ref="AX397" si="4245">IF(AH395&gt;0,(AH397-AH395)/AH395,)</f>
        <v>0</v>
      </c>
    </row>
    <row r="398" spans="1:50" x14ac:dyDescent="0.2">
      <c r="A398" s="696" t="s">
        <v>1099</v>
      </c>
      <c r="B398" s="697">
        <v>1804</v>
      </c>
      <c r="C398" s="697">
        <v>683</v>
      </c>
      <c r="D398" s="697">
        <v>1241</v>
      </c>
      <c r="E398" s="697">
        <v>15</v>
      </c>
      <c r="F398" s="697">
        <v>60</v>
      </c>
      <c r="G398" s="697">
        <v>45</v>
      </c>
      <c r="H398" s="697">
        <v>3848</v>
      </c>
      <c r="I398" s="697">
        <v>0</v>
      </c>
      <c r="J398" s="697">
        <v>75</v>
      </c>
      <c r="K398" s="697">
        <v>0</v>
      </c>
      <c r="L398" s="697">
        <v>0</v>
      </c>
      <c r="M398" s="697"/>
      <c r="N398" s="697">
        <v>75</v>
      </c>
      <c r="O398" s="697"/>
      <c r="P398" s="697"/>
      <c r="Q398" s="697"/>
      <c r="Y398" s="309"/>
      <c r="Z398" s="305"/>
      <c r="AE398" s="309"/>
      <c r="AF398" s="305"/>
      <c r="AH398" s="309"/>
      <c r="AI398" s="516"/>
      <c r="AO398" s="524"/>
      <c r="AU398" s="524"/>
      <c r="AX398" s="524"/>
    </row>
    <row r="399" spans="1:50" x14ac:dyDescent="0.2">
      <c r="A399" s="696" t="s">
        <v>1101</v>
      </c>
      <c r="B399" s="697">
        <v>96932441.920273617</v>
      </c>
      <c r="C399" s="697">
        <v>29707492</v>
      </c>
      <c r="D399" s="697">
        <v>53655896.472193733</v>
      </c>
      <c r="E399" s="697">
        <v>662321.99999999988</v>
      </c>
      <c r="F399" s="697">
        <v>2892780.9782608696</v>
      </c>
      <c r="G399" s="697">
        <v>1561069.9563551201</v>
      </c>
      <c r="H399" s="697">
        <v>185412003.32708335</v>
      </c>
      <c r="I399" s="697">
        <v>0</v>
      </c>
      <c r="J399" s="697">
        <v>3010475.5910987481</v>
      </c>
      <c r="K399" s="697">
        <v>0</v>
      </c>
      <c r="L399" s="697">
        <v>0</v>
      </c>
      <c r="M399" s="697"/>
      <c r="N399" s="697">
        <v>3010475.5910987481</v>
      </c>
      <c r="O399" s="697"/>
      <c r="P399" s="697"/>
      <c r="Q399" s="697"/>
      <c r="R399" s="294"/>
      <c r="S399" s="296">
        <f>IF(B398&gt;0,(B399/B398),)</f>
        <v>53731.952283965416</v>
      </c>
      <c r="T399" s="296">
        <f t="shared" ref="T399" si="4246">IF(C398&gt;0,(C399/C398),)</f>
        <v>43495.595900439235</v>
      </c>
      <c r="U399" s="296">
        <f t="shared" ref="U399" si="4247">IF(D398&gt;0,(D399/D398),)</f>
        <v>43236.016496529999</v>
      </c>
      <c r="V399" s="296">
        <f t="shared" ref="V399" si="4248">IF(E398&gt;0,(E399/E398),)</f>
        <v>44154.799999999996</v>
      </c>
      <c r="W399" s="296">
        <f t="shared" ref="W399" si="4249">IF(F398&gt;0,(F399/F398),)</f>
        <v>48213.016304347824</v>
      </c>
      <c r="X399" s="296">
        <f t="shared" ref="X399" si="4250">IF(G398&gt;0,(G399/G398),)</f>
        <v>34690.443474558226</v>
      </c>
      <c r="Y399" s="311">
        <f t="shared" ref="Y399" si="4251">IF(H398&gt;0,(H399/H398),)</f>
        <v>48183.992548618335</v>
      </c>
      <c r="Z399" s="306">
        <f t="shared" ref="Z399" si="4252">IF(I398&gt;0,(I399/I398),)</f>
        <v>0</v>
      </c>
      <c r="AA399" s="296">
        <f t="shared" ref="AA399" si="4253">IF(J398&gt;0,(J399/J398),)</f>
        <v>40139.674547983312</v>
      </c>
      <c r="AB399" s="296">
        <f t="shared" ref="AB399" si="4254">IF(K398&gt;0,(K399/K398),)</f>
        <v>0</v>
      </c>
      <c r="AC399" s="296">
        <f t="shared" ref="AC399" si="4255">IF(L398&gt;0,(L399/L398),)</f>
        <v>0</v>
      </c>
      <c r="AD399" s="296">
        <f t="shared" ref="AD399" si="4256">IF(M398&gt;0,(M399/M398),)</f>
        <v>0</v>
      </c>
      <c r="AE399" s="311">
        <f t="shared" ref="AE399" si="4257">IF(N398&gt;0,(N399/N398),)</f>
        <v>40139.674547983312</v>
      </c>
      <c r="AF399" s="306">
        <f t="shared" ref="AF399" si="4258">IF(O398&gt;0,(O399/O398),)</f>
        <v>0</v>
      </c>
      <c r="AG399" s="296">
        <f t="shared" ref="AG399" si="4259">IF(P398&gt;0,(P399/P398),)</f>
        <v>0</v>
      </c>
      <c r="AH399" s="311">
        <f t="shared" ref="AH399" si="4260">IF(Q398&gt;0,(Q399/Q398),)</f>
        <v>0</v>
      </c>
      <c r="AI399" s="516"/>
      <c r="AO399" s="524"/>
      <c r="AU399" s="524"/>
      <c r="AX399" s="524"/>
    </row>
    <row r="400" spans="1:50" x14ac:dyDescent="0.2">
      <c r="A400" s="696" t="s">
        <v>1103</v>
      </c>
      <c r="B400" s="697">
        <v>1974</v>
      </c>
      <c r="C400" s="697">
        <v>519</v>
      </c>
      <c r="D400" s="697">
        <v>1490</v>
      </c>
      <c r="E400" s="697">
        <v>20</v>
      </c>
      <c r="F400" s="697">
        <v>81</v>
      </c>
      <c r="G400" s="697">
        <v>13</v>
      </c>
      <c r="H400" s="697">
        <v>4097</v>
      </c>
      <c r="I400" s="697">
        <v>0</v>
      </c>
      <c r="J400" s="697">
        <v>68</v>
      </c>
      <c r="K400" s="697">
        <v>0</v>
      </c>
      <c r="L400" s="697">
        <v>0</v>
      </c>
      <c r="M400" s="697"/>
      <c r="N400" s="697">
        <v>68</v>
      </c>
      <c r="O400" s="697"/>
      <c r="P400" s="697"/>
      <c r="Q400" s="697"/>
      <c r="Y400" s="309"/>
      <c r="Z400" s="305"/>
      <c r="AE400" s="309"/>
      <c r="AF400" s="305"/>
      <c r="AH400" s="309"/>
      <c r="AI400" s="516"/>
      <c r="AO400" s="524"/>
      <c r="AU400" s="524"/>
      <c r="AX400" s="524"/>
    </row>
    <row r="401" spans="1:50" x14ac:dyDescent="0.2">
      <c r="A401" s="696" t="s">
        <v>1105</v>
      </c>
      <c r="B401" s="697">
        <v>110297946.72356665</v>
      </c>
      <c r="C401" s="697">
        <v>26314631</v>
      </c>
      <c r="D401" s="697">
        <v>63006930.981775887</v>
      </c>
      <c r="E401" s="697">
        <v>1134219</v>
      </c>
      <c r="F401" s="697">
        <v>3577110.4285714286</v>
      </c>
      <c r="G401" s="697">
        <v>616755.97674418602</v>
      </c>
      <c r="H401" s="697">
        <v>204947594.11065814</v>
      </c>
      <c r="I401" s="697">
        <v>0</v>
      </c>
      <c r="J401" s="697">
        <v>1913465.1121076231</v>
      </c>
      <c r="K401" s="697">
        <v>0</v>
      </c>
      <c r="L401" s="697">
        <v>0</v>
      </c>
      <c r="M401" s="697"/>
      <c r="N401" s="697">
        <v>1913465.1121076231</v>
      </c>
      <c r="O401" s="697"/>
      <c r="P401" s="697"/>
      <c r="Q401" s="697"/>
      <c r="R401" s="294"/>
      <c r="S401" s="296">
        <f>IF(B400&gt;0,(B401/B400),)</f>
        <v>55875.352950135079</v>
      </c>
      <c r="T401" s="296">
        <f t="shared" ref="T401" si="4261">IF(C400&gt;0,(C401/C400),)</f>
        <v>50702.564547206166</v>
      </c>
      <c r="U401" s="296">
        <f t="shared" ref="U401" si="4262">IF(D400&gt;0,(D401/D400),)</f>
        <v>42286.530860252271</v>
      </c>
      <c r="V401" s="296">
        <f t="shared" ref="V401" si="4263">IF(E400&gt;0,(E401/E400),)</f>
        <v>56710.95</v>
      </c>
      <c r="W401" s="296">
        <f t="shared" ref="W401" si="4264">IF(F400&gt;0,(F401/F400),)</f>
        <v>44161.857142857145</v>
      </c>
      <c r="X401" s="296">
        <f t="shared" ref="X401" si="4265">IF(G400&gt;0,(G401/G400),)</f>
        <v>47442.767441860466</v>
      </c>
      <c r="Y401" s="311">
        <f t="shared" ref="Y401" si="4266">IF(H400&gt;0,(H401/H400),)</f>
        <v>50023.820871529933</v>
      </c>
      <c r="Z401" s="306">
        <f t="shared" ref="Z401" si="4267">IF(I400&gt;0,(I401/I400),)</f>
        <v>0</v>
      </c>
      <c r="AA401" s="296">
        <f t="shared" ref="AA401" si="4268">IF(J400&gt;0,(J401/J400),)</f>
        <v>28139.192825112106</v>
      </c>
      <c r="AB401" s="296">
        <f t="shared" ref="AB401" si="4269">IF(K400&gt;0,(K401/K400),)</f>
        <v>0</v>
      </c>
      <c r="AC401" s="296">
        <f t="shared" ref="AC401" si="4270">IF(L400&gt;0,(L401/L400),)</f>
        <v>0</v>
      </c>
      <c r="AD401" s="296">
        <f t="shared" ref="AD401" si="4271">IF(M400&gt;0,(M401/M400),)</f>
        <v>0</v>
      </c>
      <c r="AE401" s="311">
        <f t="shared" ref="AE401" si="4272">IF(N400&gt;0,(N401/N400),)</f>
        <v>28139.192825112106</v>
      </c>
      <c r="AF401" s="306">
        <f t="shared" ref="AF401" si="4273">IF(O400&gt;0,(O401/O400),)</f>
        <v>0</v>
      </c>
      <c r="AG401" s="296">
        <f t="shared" ref="AG401" si="4274">IF(P400&gt;0,(P401/P400),)</f>
        <v>0</v>
      </c>
      <c r="AH401" s="311">
        <f t="shared" ref="AH401" si="4275">IF(Q400&gt;0,(Q401/Q400),)</f>
        <v>0</v>
      </c>
      <c r="AI401" s="517">
        <f>IF(S399&gt;0,(S401-S399)/S399,)</f>
        <v>3.9890615826540354E-2</v>
      </c>
      <c r="AJ401" s="527">
        <f t="shared" ref="AJ401" si="4276">IF(T399&gt;0,(T401-T399)/T399,)</f>
        <v>0.1656942156457305</v>
      </c>
      <c r="AK401" s="518">
        <f t="shared" ref="AK401" si="4277">IF(U399&gt;0,(U401-U399)/U399,)</f>
        <v>-2.1960525349367724E-2</v>
      </c>
      <c r="AL401" s="527">
        <f t="shared" ref="AL401" si="4278">IF(V399&gt;0,(V401-V399)/V399,)</f>
        <v>0.28436659208058929</v>
      </c>
      <c r="AM401" s="518">
        <f t="shared" ref="AM401" si="4279">IF(W399&gt;0,(W401-W399)/W399,)</f>
        <v>-8.4026254153390267E-2</v>
      </c>
      <c r="AN401" s="527">
        <f t="shared" ref="AN401" si="4280">IF(X399&gt;0,(X401-X399)/X399,)</f>
        <v>0.36760337113172742</v>
      </c>
      <c r="AO401" s="525">
        <f t="shared" ref="AO401" si="4281">IF(Y399&gt;0,(Y401-Y399)/Y399,)</f>
        <v>3.8183392981708308E-2</v>
      </c>
      <c r="AP401" s="518">
        <f t="shared" ref="AP401" si="4282">IF(Z399&gt;0,(Z401-Z399)/Z399,)</f>
        <v>0</v>
      </c>
      <c r="AQ401" s="527">
        <f t="shared" ref="AQ401" si="4283">IF(AA399&gt;0,(AA401-AA399)/AA399,)</f>
        <v>-0.29896808726054136</v>
      </c>
      <c r="AR401" s="518">
        <f t="shared" ref="AR401" si="4284">IF(AB399&gt;0,(AB401-AB399)/AB399,)</f>
        <v>0</v>
      </c>
      <c r="AS401" s="518">
        <f t="shared" ref="AS401" si="4285">IF(AC399&gt;0,(AC401-AC399)/AC399,)</f>
        <v>0</v>
      </c>
      <c r="AT401" s="518">
        <f t="shared" ref="AT401" si="4286">IF(AD399&gt;0,(AD401-AD399)/AD399,)</f>
        <v>0</v>
      </c>
      <c r="AU401" s="525">
        <f t="shared" ref="AU401" si="4287">IF(AE399&gt;0,(AE401-AE399)/AE399,)</f>
        <v>-0.29896808726054136</v>
      </c>
      <c r="AV401" s="518">
        <f t="shared" ref="AV401" si="4288">IF(AF399&gt;0,(AF401-AF399)/AF399,)</f>
        <v>0</v>
      </c>
      <c r="AW401" s="518">
        <f t="shared" ref="AW401" si="4289">IF(AG399&gt;0,(AG401-AG399)/AG399,)</f>
        <v>0</v>
      </c>
      <c r="AX401" s="525">
        <f t="shared" ref="AX401" si="4290">IF(AH399&gt;0,(AH401-AH399)/AH399,)</f>
        <v>0</v>
      </c>
    </row>
    <row r="402" spans="1:50" x14ac:dyDescent="0.2">
      <c r="A402" s="696" t="s">
        <v>1107</v>
      </c>
      <c r="B402" s="697">
        <v>0</v>
      </c>
      <c r="C402" s="697">
        <v>0</v>
      </c>
      <c r="D402" s="697">
        <v>0</v>
      </c>
      <c r="E402" s="697">
        <v>0</v>
      </c>
      <c r="F402" s="697">
        <v>0</v>
      </c>
      <c r="G402" s="697">
        <v>0</v>
      </c>
      <c r="H402" s="697">
        <v>0</v>
      </c>
      <c r="I402" s="697">
        <v>10</v>
      </c>
      <c r="J402" s="697">
        <v>2466</v>
      </c>
      <c r="K402" s="697">
        <v>677</v>
      </c>
      <c r="L402" s="697">
        <v>15</v>
      </c>
      <c r="M402" s="697"/>
      <c r="N402" s="697">
        <v>3168</v>
      </c>
      <c r="O402" s="697"/>
      <c r="P402" s="697"/>
      <c r="Q402" s="697"/>
      <c r="Y402" s="309"/>
      <c r="Z402" s="305"/>
      <c r="AE402" s="309"/>
      <c r="AF402" s="305"/>
      <c r="AH402" s="309"/>
      <c r="AI402" s="516"/>
      <c r="AO402" s="524"/>
      <c r="AU402" s="524"/>
      <c r="AX402" s="524"/>
    </row>
    <row r="403" spans="1:50" x14ac:dyDescent="0.2">
      <c r="A403" s="696" t="s">
        <v>1109</v>
      </c>
      <c r="B403" s="697">
        <v>0</v>
      </c>
      <c r="C403" s="697">
        <v>0</v>
      </c>
      <c r="D403" s="697">
        <v>0</v>
      </c>
      <c r="E403" s="697">
        <v>0</v>
      </c>
      <c r="F403" s="697">
        <v>0</v>
      </c>
      <c r="G403" s="697">
        <v>0</v>
      </c>
      <c r="H403" s="697">
        <v>0</v>
      </c>
      <c r="I403" s="697">
        <v>431640</v>
      </c>
      <c r="J403" s="697">
        <v>134104250.6238279</v>
      </c>
      <c r="K403" s="697">
        <v>35412856.35412211</v>
      </c>
      <c r="L403" s="697">
        <v>415707.73381294968</v>
      </c>
      <c r="M403" s="697"/>
      <c r="N403" s="697">
        <v>170364454.71176296</v>
      </c>
      <c r="O403" s="697"/>
      <c r="P403" s="697"/>
      <c r="Q403" s="697"/>
      <c r="R403" s="294"/>
      <c r="S403" s="296">
        <f>IF(B402&gt;0,(B403/B402),)</f>
        <v>0</v>
      </c>
      <c r="T403" s="296">
        <f t="shared" ref="T403" si="4291">IF(C402&gt;0,(C403/C402),)</f>
        <v>0</v>
      </c>
      <c r="U403" s="296">
        <f t="shared" ref="U403" si="4292">IF(D402&gt;0,(D403/D402),)</f>
        <v>0</v>
      </c>
      <c r="V403" s="296">
        <f t="shared" ref="V403" si="4293">IF(E402&gt;0,(E403/E402),)</f>
        <v>0</v>
      </c>
      <c r="W403" s="296">
        <f t="shared" ref="W403" si="4294">IF(F402&gt;0,(F403/F402),)</f>
        <v>0</v>
      </c>
      <c r="X403" s="296">
        <f t="shared" ref="X403" si="4295">IF(G402&gt;0,(G403/G402),)</f>
        <v>0</v>
      </c>
      <c r="Y403" s="311">
        <f t="shared" ref="Y403" si="4296">IF(H402&gt;0,(H403/H402),)</f>
        <v>0</v>
      </c>
      <c r="Z403" s="306">
        <f t="shared" ref="Z403" si="4297">IF(I402&gt;0,(I403/I402),)</f>
        <v>43164</v>
      </c>
      <c r="AA403" s="296">
        <f t="shared" ref="AA403" si="4298">IF(J402&gt;0,(J403/J402),)</f>
        <v>54381.285735534431</v>
      </c>
      <c r="AB403" s="296">
        <f t="shared" ref="AB403" si="4299">IF(K402&gt;0,(K403/K402),)</f>
        <v>52308.502738732808</v>
      </c>
      <c r="AC403" s="296">
        <f t="shared" ref="AC403" si="4300">IF(L402&gt;0,(L403/L402),)</f>
        <v>27713.848920863311</v>
      </c>
      <c r="AD403" s="296">
        <f t="shared" ref="AD403" si="4301">IF(M402&gt;0,(M403/M402),)</f>
        <v>0</v>
      </c>
      <c r="AE403" s="311">
        <f t="shared" ref="AE403" si="4302">IF(N402&gt;0,(N403/N402),)</f>
        <v>53776.658684268616</v>
      </c>
      <c r="AF403" s="306">
        <f t="shared" ref="AF403" si="4303">IF(O402&gt;0,(O403/O402),)</f>
        <v>0</v>
      </c>
      <c r="AG403" s="296">
        <f t="shared" ref="AG403" si="4304">IF(P402&gt;0,(P403/P402),)</f>
        <v>0</v>
      </c>
      <c r="AH403" s="311">
        <f t="shared" ref="AH403" si="4305">IF(Q402&gt;0,(Q403/Q402),)</f>
        <v>0</v>
      </c>
      <c r="AI403" s="516"/>
      <c r="AO403" s="524"/>
      <c r="AU403" s="524"/>
      <c r="AX403" s="524"/>
    </row>
    <row r="404" spans="1:50" x14ac:dyDescent="0.2">
      <c r="A404" s="696" t="s">
        <v>1111</v>
      </c>
      <c r="B404" s="697">
        <v>0</v>
      </c>
      <c r="C404" s="697">
        <v>0</v>
      </c>
      <c r="D404" s="697">
        <v>0</v>
      </c>
      <c r="E404" s="697">
        <v>0</v>
      </c>
      <c r="F404" s="697">
        <v>0</v>
      </c>
      <c r="G404" s="697">
        <v>0</v>
      </c>
      <c r="H404" s="697">
        <v>0</v>
      </c>
      <c r="I404" s="697">
        <v>1</v>
      </c>
      <c r="J404" s="697">
        <v>1186</v>
      </c>
      <c r="K404" s="697">
        <v>674</v>
      </c>
      <c r="L404" s="697">
        <v>0</v>
      </c>
      <c r="M404" s="697"/>
      <c r="N404" s="697">
        <v>1861</v>
      </c>
      <c r="O404" s="697"/>
      <c r="P404" s="697"/>
      <c r="Q404" s="697"/>
      <c r="Y404" s="309"/>
      <c r="Z404" s="305"/>
      <c r="AE404" s="309"/>
      <c r="AF404" s="305"/>
      <c r="AH404" s="309"/>
      <c r="AI404" s="516"/>
      <c r="AO404" s="524"/>
      <c r="AU404" s="524"/>
      <c r="AX404" s="524"/>
    </row>
    <row r="405" spans="1:50" x14ac:dyDescent="0.2">
      <c r="A405" s="696" t="s">
        <v>1113</v>
      </c>
      <c r="B405" s="697">
        <v>0</v>
      </c>
      <c r="C405" s="697">
        <v>0</v>
      </c>
      <c r="D405" s="697">
        <v>0</v>
      </c>
      <c r="E405" s="697">
        <v>0</v>
      </c>
      <c r="F405" s="697">
        <v>0</v>
      </c>
      <c r="G405" s="697">
        <v>0</v>
      </c>
      <c r="H405" s="697">
        <v>0</v>
      </c>
      <c r="I405" s="697">
        <v>64981.63636363636</v>
      </c>
      <c r="J405" s="697">
        <v>69103421.846318111</v>
      </c>
      <c r="K405" s="697">
        <v>33764106.725330919</v>
      </c>
      <c r="L405" s="697">
        <v>0</v>
      </c>
      <c r="M405" s="697"/>
      <c r="N405" s="697">
        <v>102932510.20801267</v>
      </c>
      <c r="O405" s="697"/>
      <c r="P405" s="697"/>
      <c r="Q405" s="697"/>
      <c r="R405" s="294"/>
      <c r="S405" s="296">
        <f>IF(B404&gt;0,(B405/B404),)</f>
        <v>0</v>
      </c>
      <c r="T405" s="296">
        <f t="shared" ref="T405" si="4306">IF(C404&gt;0,(C405/C404),)</f>
        <v>0</v>
      </c>
      <c r="U405" s="296">
        <f t="shared" ref="U405" si="4307">IF(D404&gt;0,(D405/D404),)</f>
        <v>0</v>
      </c>
      <c r="V405" s="296">
        <f t="shared" ref="V405" si="4308">IF(E404&gt;0,(E405/E404),)</f>
        <v>0</v>
      </c>
      <c r="W405" s="296">
        <f t="shared" ref="W405" si="4309">IF(F404&gt;0,(F405/F404),)</f>
        <v>0</v>
      </c>
      <c r="X405" s="296">
        <f t="shared" ref="X405" si="4310">IF(G404&gt;0,(G405/G404),)</f>
        <v>0</v>
      </c>
      <c r="Y405" s="311">
        <f t="shared" ref="Y405" si="4311">IF(H404&gt;0,(H405/H404),)</f>
        <v>0</v>
      </c>
      <c r="Z405" s="306">
        <f t="shared" ref="Z405" si="4312">IF(I404&gt;0,(I405/I404),)</f>
        <v>64981.63636363636</v>
      </c>
      <c r="AA405" s="296">
        <f t="shared" ref="AA405" si="4313">IF(J404&gt;0,(J405/J404),)</f>
        <v>58265.954339222691</v>
      </c>
      <c r="AB405" s="296">
        <f t="shared" ref="AB405" si="4314">IF(K404&gt;0,(K405/K404),)</f>
        <v>50095.113835802549</v>
      </c>
      <c r="AC405" s="296">
        <f t="shared" ref="AC405" si="4315">IF(L404&gt;0,(L405/L404),)</f>
        <v>0</v>
      </c>
      <c r="AD405" s="296">
        <f t="shared" ref="AD405" si="4316">IF(M404&gt;0,(M405/M404),)</f>
        <v>0</v>
      </c>
      <c r="AE405" s="311">
        <f t="shared" ref="AE405" si="4317">IF(N404&gt;0,(N405/N404),)</f>
        <v>55310.322519082576</v>
      </c>
      <c r="AF405" s="306">
        <f t="shared" ref="AF405" si="4318">IF(O404&gt;0,(O405/O404),)</f>
        <v>0</v>
      </c>
      <c r="AG405" s="296">
        <f t="shared" ref="AG405" si="4319">IF(P404&gt;0,(P405/P404),)</f>
        <v>0</v>
      </c>
      <c r="AH405" s="311">
        <f t="shared" ref="AH405" si="4320">IF(Q404&gt;0,(Q405/Q404),)</f>
        <v>0</v>
      </c>
      <c r="AI405" s="517">
        <f>IF(S403&gt;0,(S405-S403)/S403,)</f>
        <v>0</v>
      </c>
      <c r="AJ405" s="518">
        <f t="shared" ref="AJ405" si="4321">IF(T403&gt;0,(T405-T403)/T403,)</f>
        <v>0</v>
      </c>
      <c r="AK405" s="518">
        <f t="shared" ref="AK405" si="4322">IF(U403&gt;0,(U405-U403)/U403,)</f>
        <v>0</v>
      </c>
      <c r="AL405" s="518">
        <f t="shared" ref="AL405" si="4323">IF(V403&gt;0,(V405-V403)/V403,)</f>
        <v>0</v>
      </c>
      <c r="AM405" s="518">
        <f t="shared" ref="AM405" si="4324">IF(W403&gt;0,(W405-W403)/W403,)</f>
        <v>0</v>
      </c>
      <c r="AN405" s="518">
        <f t="shared" ref="AN405" si="4325">IF(X403&gt;0,(X405-X403)/X403,)</f>
        <v>0</v>
      </c>
      <c r="AO405" s="525">
        <f t="shared" ref="AO405" si="4326">IF(Y403&gt;0,(Y405-Y403)/Y403,)</f>
        <v>0</v>
      </c>
      <c r="AP405" s="527">
        <f t="shared" ref="AP405" si="4327">IF(Z403&gt;0,(Z405-Z403)/Z403,)</f>
        <v>0.50545909470012884</v>
      </c>
      <c r="AQ405" s="518">
        <f t="shared" ref="AQ405" si="4328">IF(AA403&gt;0,(AA405-AA403)/AA403,)</f>
        <v>7.1433923474705494E-2</v>
      </c>
      <c r="AR405" s="518">
        <f t="shared" ref="AR405" si="4329">IF(AB403&gt;0,(AB405-AB403)/AB403,)</f>
        <v>-4.2314132254665245E-2</v>
      </c>
      <c r="AS405" s="527">
        <f t="shared" ref="AS405" si="4330">IF(AC403&gt;0,(AC405-AC403)/AC403,)</f>
        <v>-1</v>
      </c>
      <c r="AT405" s="518">
        <f t="shared" ref="AT405" si="4331">IF(AD403&gt;0,(AD405-AD403)/AD403,)</f>
        <v>0</v>
      </c>
      <c r="AU405" s="525">
        <f t="shared" ref="AU405" si="4332">IF(AE403&gt;0,(AE405-AE403)/AE403,)</f>
        <v>2.851913585442983E-2</v>
      </c>
      <c r="AV405" s="518">
        <f t="shared" ref="AV405" si="4333">IF(AF403&gt;0,(AF405-AF403)/AF403,)</f>
        <v>0</v>
      </c>
      <c r="AW405" s="518">
        <f t="shared" ref="AW405" si="4334">IF(AG403&gt;0,(AG405-AG403)/AG403,)</f>
        <v>0</v>
      </c>
      <c r="AX405" s="525">
        <f t="shared" ref="AX405" si="4335">IF(AH403&gt;0,(AH405-AH403)/AH403,)</f>
        <v>0</v>
      </c>
    </row>
    <row r="406" spans="1:50" x14ac:dyDescent="0.2">
      <c r="A406" s="696" t="s">
        <v>1115</v>
      </c>
      <c r="B406" s="697">
        <v>9649</v>
      </c>
      <c r="C406" s="697">
        <v>1955</v>
      </c>
      <c r="D406" s="697">
        <v>7151</v>
      </c>
      <c r="E406" s="697">
        <v>193</v>
      </c>
      <c r="F406" s="697">
        <v>309</v>
      </c>
      <c r="G406" s="697">
        <v>101</v>
      </c>
      <c r="H406" s="697">
        <v>19358</v>
      </c>
      <c r="I406" s="697">
        <v>724</v>
      </c>
      <c r="J406" s="697">
        <v>8340</v>
      </c>
      <c r="K406" s="697">
        <v>2530</v>
      </c>
      <c r="L406" s="697">
        <v>427</v>
      </c>
      <c r="M406" s="697"/>
      <c r="N406" s="697">
        <v>12021</v>
      </c>
      <c r="O406" s="697"/>
      <c r="P406" s="697"/>
      <c r="Q406" s="697"/>
      <c r="Y406" s="309"/>
      <c r="Z406" s="305"/>
      <c r="AE406" s="309"/>
      <c r="AF406" s="305"/>
      <c r="AH406" s="309"/>
      <c r="AI406" s="516"/>
      <c r="AO406" s="524"/>
      <c r="AU406" s="524"/>
      <c r="AX406" s="524"/>
    </row>
    <row r="407" spans="1:50" x14ac:dyDescent="0.2">
      <c r="A407" s="696" t="s">
        <v>1117</v>
      </c>
      <c r="B407" s="697">
        <v>870524250.3507719</v>
      </c>
      <c r="C407" s="697">
        <v>135256525.99999997</v>
      </c>
      <c r="D407" s="697">
        <v>458869480.04349661</v>
      </c>
      <c r="E407" s="697">
        <v>14067264.043973241</v>
      </c>
      <c r="F407" s="697">
        <v>20002893.828852978</v>
      </c>
      <c r="G407" s="697">
        <v>6232701.6401495868</v>
      </c>
      <c r="H407" s="697">
        <v>1504953115.9072442</v>
      </c>
      <c r="I407" s="697">
        <v>37722769.071337447</v>
      </c>
      <c r="J407" s="697">
        <v>455226797.77436543</v>
      </c>
      <c r="K407" s="697">
        <v>123507046.18694445</v>
      </c>
      <c r="L407" s="697">
        <v>18394495.362097487</v>
      </c>
      <c r="M407" s="697"/>
      <c r="N407" s="697">
        <v>634851108.39474487</v>
      </c>
      <c r="O407" s="697"/>
      <c r="P407" s="697"/>
      <c r="Q407" s="697"/>
      <c r="R407" s="294"/>
      <c r="S407" s="296">
        <f>IF(B406&gt;0,(B407/B406),)</f>
        <v>90219.116006920085</v>
      </c>
      <c r="T407" s="296">
        <f t="shared" ref="T407" si="4336">IF(C406&gt;0,(C407/C406),)</f>
        <v>69184.923785166218</v>
      </c>
      <c r="U407" s="296">
        <f t="shared" ref="U407" si="4337">IF(D406&gt;0,(D407/D406),)</f>
        <v>64168.57503055469</v>
      </c>
      <c r="V407" s="296">
        <f t="shared" ref="V407" si="4338">IF(E406&gt;0,(E407/E406),)</f>
        <v>72887.378466182592</v>
      </c>
      <c r="W407" s="296">
        <f t="shared" ref="W407" si="4339">IF(F406&gt;0,(F407/F406),)</f>
        <v>64734.284235770152</v>
      </c>
      <c r="X407" s="296">
        <f t="shared" ref="X407" si="4340">IF(G406&gt;0,(G407/G406),)</f>
        <v>61709.917229203827</v>
      </c>
      <c r="Y407" s="311">
        <f t="shared" ref="Y407" si="4341">IF(H406&gt;0,(H407/H406),)</f>
        <v>77743.212930428985</v>
      </c>
      <c r="Z407" s="306">
        <f t="shared" ref="Z407" si="4342">IF(I406&gt;0,(I407/I406),)</f>
        <v>52103.272197979895</v>
      </c>
      <c r="AA407" s="296">
        <f t="shared" ref="AA407" si="4343">IF(J406&gt;0,(J407/J406),)</f>
        <v>54583.548893808802</v>
      </c>
      <c r="AB407" s="296">
        <f t="shared" ref="AB407" si="4344">IF(K406&gt;0,(K407/K406),)</f>
        <v>48817.014303140102</v>
      </c>
      <c r="AC407" s="296">
        <f t="shared" ref="AC407" si="4345">IF(L406&gt;0,(L407/L406),)</f>
        <v>43078.443470954298</v>
      </c>
      <c r="AD407" s="296">
        <f t="shared" ref="AD407" si="4346">IF(M406&gt;0,(M407/M406),)</f>
        <v>0</v>
      </c>
      <c r="AE407" s="311">
        <f t="shared" ref="AE407" si="4347">IF(N406&gt;0,(N407/N406),)</f>
        <v>52811.83831584268</v>
      </c>
      <c r="AF407" s="306">
        <f t="shared" ref="AF407" si="4348">IF(O406&gt;0,(O407/O406),)</f>
        <v>0</v>
      </c>
      <c r="AG407" s="296">
        <f t="shared" ref="AG407" si="4349">IF(P406&gt;0,(P407/P406),)</f>
        <v>0</v>
      </c>
      <c r="AH407" s="311">
        <f t="shared" ref="AH407" si="4350">IF(Q406&gt;0,(Q407/Q406),)</f>
        <v>0</v>
      </c>
      <c r="AI407" s="516"/>
      <c r="AO407" s="524"/>
      <c r="AU407" s="524"/>
      <c r="AX407" s="524"/>
    </row>
    <row r="408" spans="1:50" x14ac:dyDescent="0.2">
      <c r="A408" s="696" t="s">
        <v>1119</v>
      </c>
      <c r="B408" s="697">
        <v>9763</v>
      </c>
      <c r="C408" s="697">
        <v>1783</v>
      </c>
      <c r="D408" s="697">
        <v>7573</v>
      </c>
      <c r="E408" s="697">
        <v>187</v>
      </c>
      <c r="F408" s="697">
        <v>328</v>
      </c>
      <c r="G408" s="697">
        <v>99</v>
      </c>
      <c r="H408" s="697">
        <v>19733</v>
      </c>
      <c r="I408" s="697">
        <v>725</v>
      </c>
      <c r="J408" s="697">
        <v>7653</v>
      </c>
      <c r="K408" s="697">
        <v>2411</v>
      </c>
      <c r="L408" s="697">
        <v>401</v>
      </c>
      <c r="M408" s="697"/>
      <c r="N408" s="697">
        <v>11190</v>
      </c>
      <c r="O408" s="697"/>
      <c r="P408" s="697"/>
      <c r="Q408" s="697"/>
      <c r="Y408" s="309"/>
      <c r="Z408" s="305"/>
      <c r="AE408" s="309"/>
      <c r="AF408" s="305"/>
      <c r="AH408" s="309"/>
      <c r="AI408" s="516"/>
      <c r="AO408" s="524"/>
      <c r="AU408" s="524"/>
      <c r="AX408" s="524"/>
    </row>
    <row r="409" spans="1:50" ht="13.5" thickBot="1" x14ac:dyDescent="0.25">
      <c r="A409" s="701" t="s">
        <v>1121</v>
      </c>
      <c r="B409" s="702">
        <v>894669857.04663348</v>
      </c>
      <c r="C409" s="702">
        <v>133407788.00000001</v>
      </c>
      <c r="D409" s="702">
        <v>482764874.46189541</v>
      </c>
      <c r="E409" s="702">
        <v>13466278.166195437</v>
      </c>
      <c r="F409" s="702">
        <v>20514679.287098359</v>
      </c>
      <c r="G409" s="702">
        <v>7075054.1264727321</v>
      </c>
      <c r="H409" s="702">
        <v>1551898531.0882955</v>
      </c>
      <c r="I409" s="702">
        <v>38525246.015386216</v>
      </c>
      <c r="J409" s="702">
        <v>421938721.30020577</v>
      </c>
      <c r="K409" s="702">
        <v>117464613.67649436</v>
      </c>
      <c r="L409" s="702">
        <v>17211969.201538399</v>
      </c>
      <c r="M409" s="702"/>
      <c r="N409" s="702">
        <v>595140550.19362485</v>
      </c>
      <c r="O409" s="702"/>
      <c r="P409" s="702"/>
      <c r="Q409" s="702"/>
      <c r="S409" s="302">
        <f>IF(B408&gt;0,(B409/B408),)</f>
        <v>91638.825877971263</v>
      </c>
      <c r="T409" s="302">
        <f t="shared" ref="T409" si="4351">IF(C408&gt;0,(C409/C408),)</f>
        <v>74822.090858104333</v>
      </c>
      <c r="U409" s="302">
        <f t="shared" ref="U409" si="4352">IF(D408&gt;0,(D409/D408),)</f>
        <v>63748.167762035577</v>
      </c>
      <c r="V409" s="302">
        <f t="shared" ref="V409" si="4353">IF(E408&gt;0,(E409/E408),)</f>
        <v>72012.182706927473</v>
      </c>
      <c r="W409" s="302">
        <f t="shared" ref="W409" si="4354">IF(F408&gt;0,(F409/F408),)</f>
        <v>62544.753924080367</v>
      </c>
      <c r="X409" s="302">
        <f t="shared" ref="X409" si="4355">IF(G408&gt;0,(G409/G408),)</f>
        <v>71465.193196694265</v>
      </c>
      <c r="Y409" s="312">
        <f t="shared" ref="Y409" si="4356">IF(H408&gt;0,(H409/H408),)</f>
        <v>78644.835103040357</v>
      </c>
      <c r="Z409" s="307">
        <f t="shared" ref="Z409" si="4357">IF(I408&gt;0,(I409/I408),)</f>
        <v>53138.270366049954</v>
      </c>
      <c r="AA409" s="302">
        <f t="shared" ref="AA409" si="4358">IF(J408&gt;0,(J409/J408),)</f>
        <v>55133.767320032115</v>
      </c>
      <c r="AB409" s="302">
        <f t="shared" ref="AB409" si="4359">IF(K408&gt;0,(K409/K408),)</f>
        <v>48720.287713187208</v>
      </c>
      <c r="AC409" s="302">
        <f t="shared" ref="AC409" si="4360">IF(L408&gt;0,(L409/L408),)</f>
        <v>42922.616462689271</v>
      </c>
      <c r="AD409" s="302">
        <f t="shared" ref="AD409" si="4361">IF(M408&gt;0,(M409/M408),)</f>
        <v>0</v>
      </c>
      <c r="AE409" s="312">
        <f t="shared" ref="AE409" si="4362">IF(N408&gt;0,(N409/N408),)</f>
        <v>53185.035763505351</v>
      </c>
      <c r="AF409" s="307">
        <f t="shared" ref="AF409" si="4363">IF(O408&gt;0,(O409/O408),)</f>
        <v>0</v>
      </c>
      <c r="AG409" s="302">
        <f t="shared" ref="AG409" si="4364">IF(P408&gt;0,(P409/P408),)</f>
        <v>0</v>
      </c>
      <c r="AH409" s="312">
        <f t="shared" ref="AH409" si="4365">IF(Q408&gt;0,(Q409/Q408),)</f>
        <v>0</v>
      </c>
      <c r="AI409" s="519">
        <f>IF(S407&gt;0,(S409-S407)/S407,)</f>
        <v>1.5736242316343269E-2</v>
      </c>
      <c r="AJ409" s="520">
        <f t="shared" ref="AJ409" si="4366">IF(T407&gt;0,(T409-T407)/T407,)</f>
        <v>8.1479703445836091E-2</v>
      </c>
      <c r="AK409" s="520">
        <f t="shared" ref="AK409" si="4367">IF(U407&gt;0,(U409-U407)/U407,)</f>
        <v>-6.551606737705034E-3</v>
      </c>
      <c r="AL409" s="520">
        <f t="shared" ref="AL409" si="4368">IF(V407&gt;0,(V409-V407)/V407,)</f>
        <v>-1.2007507714949326E-2</v>
      </c>
      <c r="AM409" s="520">
        <f t="shared" ref="AM409" si="4369">IF(W407&gt;0,(W409-W407)/W407,)</f>
        <v>-3.3823349366392134E-2</v>
      </c>
      <c r="AN409" s="520">
        <f t="shared" ref="AN409" si="4370">IF(X407&gt;0,(X409-X407)/X407,)</f>
        <v>0.15808279131630101</v>
      </c>
      <c r="AO409" s="526">
        <f t="shared" ref="AO409" si="4371">IF(Y407&gt;0,(Y409-Y407)/Y407,)</f>
        <v>1.1597439038417647E-2</v>
      </c>
      <c r="AP409" s="520">
        <f t="shared" ref="AP409" si="4372">IF(Z407&gt;0,(Z409-Z407)/Z407,)</f>
        <v>1.9864360229378961E-2</v>
      </c>
      <c r="AQ409" s="520">
        <f t="shared" ref="AQ409" si="4373">IF(AA407&gt;0,(AA409-AA407)/AA407,)</f>
        <v>1.0080297770556327E-2</v>
      </c>
      <c r="AR409" s="520">
        <f t="shared" ref="AR409" si="4374">IF(AB407&gt;0,(AB409-AB407)/AB407,)</f>
        <v>-1.9814114266032039E-3</v>
      </c>
      <c r="AS409" s="520">
        <f t="shared" ref="AS409" si="4375">IF(AC407&gt;0,(AC409-AC407)/AC407,)</f>
        <v>-3.6172850202931205E-3</v>
      </c>
      <c r="AT409" s="520">
        <f t="shared" ref="AT409" si="4376">IF(AD407&gt;0,(AD409-AD407)/AD407,)</f>
        <v>0</v>
      </c>
      <c r="AU409" s="526">
        <f t="shared" ref="AU409" si="4377">IF(AE407&gt;0,(AE409-AE407)/AE407,)</f>
        <v>7.0665490837632508E-3</v>
      </c>
      <c r="AV409" s="520">
        <f t="shared" ref="AV409" si="4378">IF(AF407&gt;0,(AF409-AF407)/AF407,)</f>
        <v>0</v>
      </c>
      <c r="AW409" s="520">
        <f t="shared" ref="AW409" si="4379">IF(AG407&gt;0,(AG409-AG407)/AG407,)</f>
        <v>0</v>
      </c>
      <c r="AX409" s="526">
        <f t="shared" ref="AX409" si="4380">IF(AH407&gt;0,(AH409-AH407)/AH407,)</f>
        <v>0</v>
      </c>
    </row>
    <row r="410" spans="1:50" x14ac:dyDescent="0.2">
      <c r="A410" s="695" t="s">
        <v>44</v>
      </c>
      <c r="B410" s="697"/>
      <c r="C410" s="697"/>
      <c r="D410" s="697"/>
      <c r="E410" s="697"/>
      <c r="F410" s="697"/>
      <c r="G410" s="697"/>
      <c r="H410" s="697"/>
      <c r="I410" s="697"/>
      <c r="J410" s="697"/>
      <c r="K410" s="697"/>
      <c r="L410" s="697"/>
      <c r="M410" s="697"/>
      <c r="N410" s="697"/>
      <c r="O410" s="697"/>
      <c r="P410" s="697"/>
      <c r="Q410" s="697"/>
      <c r="Y410" s="309"/>
      <c r="Z410" s="305"/>
      <c r="AE410" s="309"/>
      <c r="AF410" s="305"/>
      <c r="AH410" s="309"/>
      <c r="AI410" s="516"/>
      <c r="AO410" s="524"/>
      <c r="AU410" s="524"/>
      <c r="AX410" s="524"/>
    </row>
    <row r="411" spans="1:50" x14ac:dyDescent="0.2">
      <c r="A411" s="696" t="s">
        <v>1067</v>
      </c>
      <c r="B411" s="697">
        <v>1539</v>
      </c>
      <c r="C411" s="697">
        <v>432</v>
      </c>
      <c r="D411" s="697">
        <v>350</v>
      </c>
      <c r="E411" s="697">
        <v>215</v>
      </c>
      <c r="F411" s="697">
        <v>117</v>
      </c>
      <c r="G411" s="697">
        <v>15</v>
      </c>
      <c r="H411" s="697">
        <v>2668</v>
      </c>
      <c r="I411" s="697"/>
      <c r="J411" s="697">
        <v>0</v>
      </c>
      <c r="K411" s="697">
        <v>0</v>
      </c>
      <c r="L411" s="697">
        <v>11</v>
      </c>
      <c r="M411" s="697">
        <v>443</v>
      </c>
      <c r="N411" s="697">
        <v>454</v>
      </c>
      <c r="O411" s="697"/>
      <c r="P411" s="697"/>
      <c r="Q411" s="697"/>
      <c r="S411" s="295"/>
      <c r="T411" s="295"/>
      <c r="U411" s="295"/>
      <c r="V411" s="295"/>
      <c r="W411" s="295"/>
      <c r="X411" s="295"/>
      <c r="Y411" s="310"/>
      <c r="Z411" s="305"/>
      <c r="AA411" s="295"/>
      <c r="AB411" s="295"/>
      <c r="AC411" s="295"/>
      <c r="AD411" s="295"/>
      <c r="AE411" s="310"/>
      <c r="AF411" s="305"/>
      <c r="AG411" s="295"/>
      <c r="AH411" s="310"/>
      <c r="AI411" s="516"/>
      <c r="AO411" s="524"/>
      <c r="AU411" s="524"/>
      <c r="AX411" s="524"/>
    </row>
    <row r="412" spans="1:50" x14ac:dyDescent="0.2">
      <c r="A412" s="696" t="s">
        <v>1069</v>
      </c>
      <c r="B412" s="697">
        <v>198338430.6200335</v>
      </c>
      <c r="C412" s="697">
        <v>49551683.226951472</v>
      </c>
      <c r="D412" s="697">
        <v>30432623.069341287</v>
      </c>
      <c r="E412" s="697">
        <v>16994054.069039416</v>
      </c>
      <c r="F412" s="697">
        <v>10087622.573748309</v>
      </c>
      <c r="G412" s="697">
        <v>1148100</v>
      </c>
      <c r="H412" s="697">
        <v>306552513.55911398</v>
      </c>
      <c r="I412" s="697"/>
      <c r="J412" s="697">
        <v>0</v>
      </c>
      <c r="K412" s="697">
        <v>0</v>
      </c>
      <c r="L412" s="697">
        <v>737935</v>
      </c>
      <c r="M412" s="697">
        <v>30298138.606322546</v>
      </c>
      <c r="N412" s="697">
        <v>31036073.606322546</v>
      </c>
      <c r="O412" s="697"/>
      <c r="P412" s="697"/>
      <c r="Q412" s="697"/>
      <c r="S412" s="296">
        <f>IF(B411&gt;0,(B412/B411),)</f>
        <v>128874.87369722774</v>
      </c>
      <c r="T412" s="296">
        <f t="shared" ref="T412" si="4381">IF(C411&gt;0,(C412/C411),)</f>
        <v>114702.97043275804</v>
      </c>
      <c r="U412" s="296">
        <f t="shared" ref="U412" si="4382">IF(D411&gt;0,(D412/D411),)</f>
        <v>86950.351626689386</v>
      </c>
      <c r="V412" s="296">
        <f t="shared" ref="V412" si="4383">IF(E411&gt;0,(E412/E411),)</f>
        <v>79042.111949020531</v>
      </c>
      <c r="W412" s="296">
        <f t="shared" ref="W412" si="4384">IF(F411&gt;0,(F412/F411),)</f>
        <v>86218.996356823161</v>
      </c>
      <c r="X412" s="296">
        <f t="shared" ref="X412" si="4385">IF(G411&gt;0,(G412/G411),)</f>
        <v>76540</v>
      </c>
      <c r="Y412" s="311">
        <f t="shared" ref="Y412" si="4386">IF(H411&gt;0,(H412/H411),)</f>
        <v>114899.74271331109</v>
      </c>
      <c r="Z412" s="306">
        <f t="shared" ref="Z412" si="4387">IF(I411&gt;0,(I412/I411),)</f>
        <v>0</v>
      </c>
      <c r="AA412" s="296">
        <f t="shared" ref="AA412" si="4388">IF(J411&gt;0,(J412/J411),)</f>
        <v>0</v>
      </c>
      <c r="AB412" s="296">
        <f t="shared" ref="AB412" si="4389">IF(K411&gt;0,(K412/K411),)</f>
        <v>0</v>
      </c>
      <c r="AC412" s="296">
        <f t="shared" ref="AC412" si="4390">IF(L411&gt;0,(L412/L411),)</f>
        <v>67085</v>
      </c>
      <c r="AD412" s="296">
        <f t="shared" ref="AD412" si="4391">IF(M411&gt;0,(M412/M411),)</f>
        <v>68393.089404791303</v>
      </c>
      <c r="AE412" s="311">
        <f t="shared" ref="AE412" si="4392">IF(N411&gt;0,(N412/N411),)</f>
        <v>68361.39560863997</v>
      </c>
      <c r="AF412" s="306">
        <f t="shared" ref="AF412" si="4393">IF(O411&gt;0,(O412/O411),)</f>
        <v>0</v>
      </c>
      <c r="AG412" s="296">
        <f t="shared" ref="AG412" si="4394">IF(P411&gt;0,(P412/P411),)</f>
        <v>0</v>
      </c>
      <c r="AH412" s="311">
        <f t="shared" ref="AH412" si="4395">IF(Q411&gt;0,(Q412/Q411),)</f>
        <v>0</v>
      </c>
      <c r="AI412" s="516"/>
      <c r="AO412" s="524"/>
      <c r="AU412" s="524"/>
      <c r="AX412" s="524"/>
    </row>
    <row r="413" spans="1:50" x14ac:dyDescent="0.2">
      <c r="A413" s="696" t="s">
        <v>1071</v>
      </c>
      <c r="B413" s="697">
        <v>1709</v>
      </c>
      <c r="C413" s="697">
        <v>441</v>
      </c>
      <c r="D413" s="697">
        <v>341</v>
      </c>
      <c r="E413" s="697">
        <v>223</v>
      </c>
      <c r="F413" s="697">
        <v>121</v>
      </c>
      <c r="G413" s="697">
        <v>17</v>
      </c>
      <c r="H413" s="697">
        <v>2852</v>
      </c>
      <c r="I413" s="697"/>
      <c r="J413" s="697">
        <v>0</v>
      </c>
      <c r="K413" s="697">
        <v>0</v>
      </c>
      <c r="L413" s="697">
        <v>9</v>
      </c>
      <c r="M413" s="697">
        <v>447</v>
      </c>
      <c r="N413" s="697">
        <v>456</v>
      </c>
      <c r="O413" s="697"/>
      <c r="P413" s="697"/>
      <c r="Q413" s="697"/>
      <c r="Y413" s="309"/>
      <c r="Z413" s="305"/>
      <c r="AE413" s="309"/>
      <c r="AF413" s="305"/>
      <c r="AH413" s="309"/>
      <c r="AI413" s="516"/>
      <c r="AO413" s="524"/>
      <c r="AU413" s="524"/>
      <c r="AX413" s="524"/>
    </row>
    <row r="414" spans="1:50" x14ac:dyDescent="0.2">
      <c r="A414" s="696" t="s">
        <v>1073</v>
      </c>
      <c r="B414" s="697">
        <v>210657699.23936802</v>
      </c>
      <c r="C414" s="697">
        <v>47011407.291187853</v>
      </c>
      <c r="D414" s="697">
        <v>27379811.454434287</v>
      </c>
      <c r="E414" s="697">
        <v>17970081.203745067</v>
      </c>
      <c r="F414" s="697">
        <v>10378096.935999999</v>
      </c>
      <c r="G414" s="697">
        <v>1250856</v>
      </c>
      <c r="H414" s="697">
        <v>314647952.12473524</v>
      </c>
      <c r="I414" s="697"/>
      <c r="J414" s="697">
        <v>0</v>
      </c>
      <c r="K414" s="697">
        <v>0</v>
      </c>
      <c r="L414" s="697">
        <v>602365</v>
      </c>
      <c r="M414" s="697">
        <v>30878516.808370043</v>
      </c>
      <c r="N414" s="697">
        <v>31480881.808370043</v>
      </c>
      <c r="O414" s="697"/>
      <c r="P414" s="697"/>
      <c r="Q414" s="697"/>
      <c r="R414" s="294"/>
      <c r="S414" s="296">
        <f>IF(B413&gt;0,(B414/B413),)</f>
        <v>123263.72102947222</v>
      </c>
      <c r="T414" s="296">
        <f t="shared" ref="T414" si="4396">IF(C413&gt;0,(C414/C413),)</f>
        <v>106601.8305922627</v>
      </c>
      <c r="U414" s="296">
        <f t="shared" ref="U414" si="4397">IF(D413&gt;0,(D414/D413),)</f>
        <v>80292.702212417265</v>
      </c>
      <c r="V414" s="296">
        <f t="shared" ref="V414" si="4398">IF(E413&gt;0,(E414/E413),)</f>
        <v>80583.323783610162</v>
      </c>
      <c r="W414" s="296">
        <f t="shared" ref="W414" si="4399">IF(F413&gt;0,(F414/F413),)</f>
        <v>85769.396165289247</v>
      </c>
      <c r="X414" s="296">
        <f t="shared" ref="X414" si="4400">IF(G413&gt;0,(G414/G413),)</f>
        <v>73579.76470588235</v>
      </c>
      <c r="Y414" s="311">
        <f t="shared" ref="Y414" si="4401">IF(H413&gt;0,(H414/H413),)</f>
        <v>110325.36890769118</v>
      </c>
      <c r="Z414" s="306">
        <f t="shared" ref="Z414" si="4402">IF(I413&gt;0,(I414/I413),)</f>
        <v>0</v>
      </c>
      <c r="AA414" s="296">
        <f t="shared" ref="AA414" si="4403">IF(J413&gt;0,(J414/J413),)</f>
        <v>0</v>
      </c>
      <c r="AB414" s="296">
        <f t="shared" ref="AB414" si="4404">IF(K413&gt;0,(K414/K413),)</f>
        <v>0</v>
      </c>
      <c r="AC414" s="296">
        <f t="shared" ref="AC414" si="4405">IF(L413&gt;0,(L414/L413),)</f>
        <v>66929.444444444438</v>
      </c>
      <c r="AD414" s="296">
        <f t="shared" ref="AD414" si="4406">IF(M413&gt;0,(M414/M413),)</f>
        <v>69079.455947136565</v>
      </c>
      <c r="AE414" s="311">
        <f t="shared" ref="AE414" si="4407">IF(N413&gt;0,(N414/N413),)</f>
        <v>69037.021509583428</v>
      </c>
      <c r="AF414" s="306">
        <f t="shared" ref="AF414" si="4408">IF(O413&gt;0,(O414/O413),)</f>
        <v>0</v>
      </c>
      <c r="AG414" s="296">
        <f t="shared" ref="AG414" si="4409">IF(P413&gt;0,(P414/P413),)</f>
        <v>0</v>
      </c>
      <c r="AH414" s="311">
        <f t="shared" ref="AH414" si="4410">IF(Q413&gt;0,(Q414/Q413),)</f>
        <v>0</v>
      </c>
      <c r="AI414" s="517">
        <f>IF(S412&gt;0,(S414-S412)/S412,)</f>
        <v>-4.3539539607527281E-2</v>
      </c>
      <c r="AJ414" s="518">
        <f t="shared" ref="AJ414" si="4411">IF(T412&gt;0,(T414-T412)/T412,)</f>
        <v>-7.0627114624241066E-2</v>
      </c>
      <c r="AK414" s="518">
        <f t="shared" ref="AK414" si="4412">IF(U412&gt;0,(U414-U412)/U412,)</f>
        <v>-7.6568401274050249E-2</v>
      </c>
      <c r="AL414" s="518">
        <f t="shared" ref="AL414" si="4413">IF(V412&gt;0,(V414-V412)/V412,)</f>
        <v>1.9498616580281403E-2</v>
      </c>
      <c r="AM414" s="518">
        <f t="shared" ref="AM414" si="4414">IF(W412&gt;0,(W414-W412)/W412,)</f>
        <v>-5.2146303080728741E-3</v>
      </c>
      <c r="AN414" s="518">
        <f t="shared" ref="AN414" si="4415">IF(X412&gt;0,(X414-X412)/X412,)</f>
        <v>-3.8675663628398881E-2</v>
      </c>
      <c r="AO414" s="525">
        <f t="shared" ref="AO414" si="4416">IF(Y412&gt;0,(Y414-Y412)/Y412,)</f>
        <v>-3.9811871616053388E-2</v>
      </c>
      <c r="AP414" s="518">
        <f t="shared" ref="AP414" si="4417">IF(Z412&gt;0,(Z414-Z412)/Z412,)</f>
        <v>0</v>
      </c>
      <c r="AQ414" s="518">
        <f t="shared" ref="AQ414" si="4418">IF(AA412&gt;0,(AA414-AA412)/AA412,)</f>
        <v>0</v>
      </c>
      <c r="AR414" s="518">
        <f t="shared" ref="AR414" si="4419">IF(AB412&gt;0,(AB414-AB412)/AB412,)</f>
        <v>0</v>
      </c>
      <c r="AS414" s="518">
        <f t="shared" ref="AS414" si="4420">IF(AC412&gt;0,(AC414-AC412)/AC412,)</f>
        <v>-2.3187829701954541E-3</v>
      </c>
      <c r="AT414" s="518">
        <f t="shared" ref="AT414" si="4421">IF(AD412&gt;0,(AD414-AD412)/AD412,)</f>
        <v>1.003561249124065E-2</v>
      </c>
      <c r="AU414" s="525">
        <f t="shared" ref="AU414" si="4422">IF(AE412&gt;0,(AE414-AE412)/AE412,)</f>
        <v>9.8831496187018718E-3</v>
      </c>
      <c r="AV414" s="518">
        <f t="shared" ref="AV414" si="4423">IF(AF412&gt;0,(AF414-AF412)/AF412,)</f>
        <v>0</v>
      </c>
      <c r="AW414" s="518">
        <f t="shared" ref="AW414" si="4424">IF(AG412&gt;0,(AG414-AG412)/AG412,)</f>
        <v>0</v>
      </c>
      <c r="AX414" s="525">
        <f t="shared" ref="AX414" si="4425">IF(AH412&gt;0,(AH414-AH412)/AH412,)</f>
        <v>0</v>
      </c>
    </row>
    <row r="415" spans="1:50" x14ac:dyDescent="0.2">
      <c r="A415" s="696" t="s">
        <v>1075</v>
      </c>
      <c r="B415" s="697">
        <v>1334</v>
      </c>
      <c r="C415" s="697">
        <v>510</v>
      </c>
      <c r="D415" s="697">
        <v>295</v>
      </c>
      <c r="E415" s="697">
        <v>283</v>
      </c>
      <c r="F415" s="697">
        <v>167</v>
      </c>
      <c r="G415" s="697">
        <v>31</v>
      </c>
      <c r="H415" s="697">
        <v>2620</v>
      </c>
      <c r="I415" s="697"/>
      <c r="J415" s="697">
        <v>0</v>
      </c>
      <c r="K415" s="697">
        <v>0</v>
      </c>
      <c r="L415" s="697">
        <v>13</v>
      </c>
      <c r="M415" s="697">
        <v>699</v>
      </c>
      <c r="N415" s="697">
        <v>712</v>
      </c>
      <c r="O415" s="697"/>
      <c r="P415" s="697"/>
      <c r="Q415" s="697"/>
      <c r="Y415" s="309"/>
      <c r="Z415" s="305"/>
      <c r="AE415" s="309"/>
      <c r="AF415" s="305"/>
      <c r="AH415" s="309"/>
      <c r="AI415" s="516"/>
      <c r="AO415" s="524"/>
      <c r="AU415" s="524"/>
      <c r="AX415" s="524"/>
    </row>
    <row r="416" spans="1:50" x14ac:dyDescent="0.2">
      <c r="A416" s="698" t="s">
        <v>1077</v>
      </c>
      <c r="B416" s="699">
        <v>114813147.64821163</v>
      </c>
      <c r="C416" s="699">
        <v>41794428.456683904</v>
      </c>
      <c r="D416" s="699">
        <v>19916014.846195839</v>
      </c>
      <c r="E416" s="699">
        <v>18334009.565974027</v>
      </c>
      <c r="F416" s="699">
        <v>11218497.08365019</v>
      </c>
      <c r="G416" s="699">
        <v>1908727.3665480427</v>
      </c>
      <c r="H416" s="699">
        <v>207984824.96726364</v>
      </c>
      <c r="I416" s="699"/>
      <c r="J416" s="699">
        <v>0</v>
      </c>
      <c r="K416" s="699">
        <v>0</v>
      </c>
      <c r="L416" s="699">
        <v>702039</v>
      </c>
      <c r="M416" s="699">
        <v>42977949.806592718</v>
      </c>
      <c r="N416" s="699">
        <v>43679988.806592718</v>
      </c>
      <c r="O416" s="699"/>
      <c r="P416" s="699"/>
      <c r="Q416" s="699"/>
      <c r="S416" s="296">
        <f>IF(B415&gt;0,(B416/B415),)</f>
        <v>86066.827322497469</v>
      </c>
      <c r="T416" s="296">
        <f t="shared" ref="T416" si="4426">IF(C415&gt;0,(C416/C415),)</f>
        <v>81949.859718988053</v>
      </c>
      <c r="U416" s="296">
        <f t="shared" ref="U416" si="4427">IF(D415&gt;0,(D416/D415),)</f>
        <v>67511.914732867255</v>
      </c>
      <c r="V416" s="296">
        <f t="shared" ref="V416" si="4428">IF(E415&gt;0,(E416/E415),)</f>
        <v>64784.486098848152</v>
      </c>
      <c r="W416" s="296">
        <f t="shared" ref="W416" si="4429">IF(F415&gt;0,(F416/F415),)</f>
        <v>67176.629243414311</v>
      </c>
      <c r="X416" s="296">
        <f t="shared" ref="X416" si="4430">IF(G415&gt;0,(G416/G415),)</f>
        <v>61571.850533807832</v>
      </c>
      <c r="Y416" s="311">
        <f t="shared" ref="Y416" si="4431">IF(H415&gt;0,(H416/H415),)</f>
        <v>79383.520979871624</v>
      </c>
      <c r="Z416" s="306">
        <f t="shared" ref="Z416" si="4432">IF(I415&gt;0,(I416/I415),)</f>
        <v>0</v>
      </c>
      <c r="AA416" s="296">
        <f t="shared" ref="AA416" si="4433">IF(J415&gt;0,(J416/J415),)</f>
        <v>0</v>
      </c>
      <c r="AB416" s="296">
        <f t="shared" ref="AB416" si="4434">IF(K415&gt;0,(K416/K415),)</f>
        <v>0</v>
      </c>
      <c r="AC416" s="296">
        <f t="shared" ref="AC416" si="4435">IF(L415&gt;0,(L416/L415),)</f>
        <v>54003</v>
      </c>
      <c r="AD416" s="296">
        <f t="shared" ref="AD416" si="4436">IF(M415&gt;0,(M416/M415),)</f>
        <v>61484.906733322918</v>
      </c>
      <c r="AE416" s="311">
        <f t="shared" ref="AE416" si="4437">IF(N415&gt;0,(N416/N415),)</f>
        <v>61348.298885663928</v>
      </c>
      <c r="AF416" s="306">
        <f t="shared" ref="AF416" si="4438">IF(O415&gt;0,(O416/O415),)</f>
        <v>0</v>
      </c>
      <c r="AG416" s="296">
        <f t="shared" ref="AG416" si="4439">IF(P415&gt;0,(P416/P415),)</f>
        <v>0</v>
      </c>
      <c r="AH416" s="311">
        <f t="shared" ref="AH416" si="4440">IF(Q415&gt;0,(Q416/Q415),)</f>
        <v>0</v>
      </c>
      <c r="AI416" s="516"/>
      <c r="AO416" s="524"/>
      <c r="AU416" s="524"/>
      <c r="AX416" s="524"/>
    </row>
    <row r="417" spans="1:50" x14ac:dyDescent="0.2">
      <c r="A417" s="696" t="s">
        <v>1079</v>
      </c>
      <c r="B417" s="697">
        <v>1482</v>
      </c>
      <c r="C417" s="697">
        <v>518</v>
      </c>
      <c r="D417" s="697">
        <v>318</v>
      </c>
      <c r="E417" s="697">
        <v>302</v>
      </c>
      <c r="F417" s="697">
        <v>171</v>
      </c>
      <c r="G417" s="697">
        <v>32</v>
      </c>
      <c r="H417" s="697">
        <v>2823</v>
      </c>
      <c r="I417" s="697"/>
      <c r="J417" s="697">
        <v>0</v>
      </c>
      <c r="K417" s="697">
        <v>0</v>
      </c>
      <c r="L417" s="697">
        <v>16</v>
      </c>
      <c r="M417" s="697">
        <v>720</v>
      </c>
      <c r="N417" s="697">
        <v>736</v>
      </c>
      <c r="O417" s="697"/>
      <c r="P417" s="697"/>
      <c r="Q417" s="697"/>
      <c r="Y417" s="309"/>
      <c r="Z417" s="305"/>
      <c r="AE417" s="309"/>
      <c r="AF417" s="305"/>
      <c r="AH417" s="309"/>
      <c r="AI417" s="516"/>
      <c r="AO417" s="524"/>
      <c r="AU417" s="524"/>
      <c r="AX417" s="524"/>
    </row>
    <row r="418" spans="1:50" x14ac:dyDescent="0.2">
      <c r="A418" s="696" t="s">
        <v>1081</v>
      </c>
      <c r="B418" s="697">
        <v>122987707.14409366</v>
      </c>
      <c r="C418" s="697">
        <v>37759791.899566114</v>
      </c>
      <c r="D418" s="697">
        <v>19910023.03043855</v>
      </c>
      <c r="E418" s="697">
        <v>20270003.83038969</v>
      </c>
      <c r="F418" s="697">
        <v>11312330.375647668</v>
      </c>
      <c r="G418" s="697">
        <v>1951165.3608247424</v>
      </c>
      <c r="H418" s="697">
        <v>214191021.6409604</v>
      </c>
      <c r="I418" s="697"/>
      <c r="J418" s="697">
        <v>0</v>
      </c>
      <c r="K418" s="697">
        <v>0</v>
      </c>
      <c r="L418" s="697">
        <v>922484</v>
      </c>
      <c r="M418" s="697">
        <v>44634468.809416026</v>
      </c>
      <c r="N418" s="697">
        <v>45556952.809416026</v>
      </c>
      <c r="O418" s="697"/>
      <c r="P418" s="697"/>
      <c r="Q418" s="697"/>
      <c r="R418" s="294"/>
      <c r="S418" s="296">
        <f>IF(B417&gt;0,(B418/B417),)</f>
        <v>82987.656642438364</v>
      </c>
      <c r="T418" s="296">
        <f t="shared" ref="T418" si="4441">IF(C417&gt;0,(C418/C417),)</f>
        <v>72895.351157463534</v>
      </c>
      <c r="U418" s="296">
        <f t="shared" ref="U418" si="4442">IF(D417&gt;0,(D418/D417),)</f>
        <v>62610.135315844498</v>
      </c>
      <c r="V418" s="296">
        <f t="shared" ref="V418" si="4443">IF(E417&gt;0,(E418/E417),)</f>
        <v>67119.217981422815</v>
      </c>
      <c r="W418" s="296">
        <f t="shared" ref="W418" si="4444">IF(F417&gt;0,(F418/F417),)</f>
        <v>66153.978804957122</v>
      </c>
      <c r="X418" s="296">
        <f t="shared" ref="X418" si="4445">IF(G417&gt;0,(G418/G417),)</f>
        <v>60973.917525773199</v>
      </c>
      <c r="Y418" s="311">
        <f t="shared" ref="Y418" si="4446">IF(H417&gt;0,(H418/H417),)</f>
        <v>75873.546454467025</v>
      </c>
      <c r="Z418" s="306">
        <f t="shared" ref="Z418" si="4447">IF(I417&gt;0,(I418/I417),)</f>
        <v>0</v>
      </c>
      <c r="AA418" s="296">
        <f t="shared" ref="AA418" si="4448">IF(J417&gt;0,(J418/J417),)</f>
        <v>0</v>
      </c>
      <c r="AB418" s="296">
        <f t="shared" ref="AB418" si="4449">IF(K417&gt;0,(K418/K417),)</f>
        <v>0</v>
      </c>
      <c r="AC418" s="296">
        <f t="shared" ref="AC418" si="4450">IF(L417&gt;0,(L418/L417),)</f>
        <v>57655.25</v>
      </c>
      <c r="AD418" s="296">
        <f t="shared" ref="AD418" si="4451">IF(M417&gt;0,(M418/M417),)</f>
        <v>61992.317790855588</v>
      </c>
      <c r="AE418" s="311">
        <f t="shared" ref="AE418" si="4452">IF(N417&gt;0,(N418/N417),)</f>
        <v>61898.033708445684</v>
      </c>
      <c r="AF418" s="306">
        <f t="shared" ref="AF418" si="4453">IF(O417&gt;0,(O418/O417),)</f>
        <v>0</v>
      </c>
      <c r="AG418" s="296">
        <f t="shared" ref="AG418" si="4454">IF(P417&gt;0,(P418/P417),)</f>
        <v>0</v>
      </c>
      <c r="AH418" s="311">
        <f t="shared" ref="AH418" si="4455">IF(Q417&gt;0,(Q418/Q417),)</f>
        <v>0</v>
      </c>
      <c r="AI418" s="517">
        <f>IF(S416&gt;0,(S418-S416)/S416,)</f>
        <v>-3.5776509671040527E-2</v>
      </c>
      <c r="AJ418" s="518">
        <f t="shared" ref="AJ418" si="4456">IF(T416&gt;0,(T418-T416)/T416,)</f>
        <v>-0.11048839610675452</v>
      </c>
      <c r="AK418" s="518">
        <f t="shared" ref="AK418" si="4457">IF(U416&gt;0,(U418-U416)/U416,)</f>
        <v>-7.2606138285637931E-2</v>
      </c>
      <c r="AL418" s="518">
        <f t="shared" ref="AL418" si="4458">IF(V416&gt;0,(V418-V416)/V416,)</f>
        <v>3.6038441039917012E-2</v>
      </c>
      <c r="AM418" s="518">
        <f t="shared" ref="AM418" si="4459">IF(W416&gt;0,(W418-W416)/W416,)</f>
        <v>-1.5223306825229623E-2</v>
      </c>
      <c r="AN418" s="518">
        <f t="shared" ref="AN418" si="4460">IF(X416&gt;0,(X418-X416)/X416,)</f>
        <v>-9.7111423946291964E-3</v>
      </c>
      <c r="AO418" s="525">
        <f t="shared" ref="AO418" si="4461">IF(Y416&gt;0,(Y418-Y416)/Y416,)</f>
        <v>-4.4215404936429864E-2</v>
      </c>
      <c r="AP418" s="518">
        <f t="shared" ref="AP418" si="4462">IF(Z416&gt;0,(Z418-Z416)/Z416,)</f>
        <v>0</v>
      </c>
      <c r="AQ418" s="518">
        <f t="shared" ref="AQ418" si="4463">IF(AA416&gt;0,(AA418-AA416)/AA416,)</f>
        <v>0</v>
      </c>
      <c r="AR418" s="518">
        <f t="shared" ref="AR418" si="4464">IF(AB416&gt;0,(AB418-AB416)/AB416,)</f>
        <v>0</v>
      </c>
      <c r="AS418" s="527">
        <f t="shared" ref="AS418" si="4465">IF(AC416&gt;0,(AC418-AC416)/AC416,)</f>
        <v>6.7630502009147636E-2</v>
      </c>
      <c r="AT418" s="518">
        <f t="shared" ref="AT418" si="4466">IF(AD416&gt;0,(AD418-AD416)/AD416,)</f>
        <v>8.2526116487978557E-3</v>
      </c>
      <c r="AU418" s="525">
        <f t="shared" ref="AU418" si="4467">IF(AE416&gt;0,(AE418-AE416)/AE416,)</f>
        <v>8.9608812757189654E-3</v>
      </c>
      <c r="AV418" s="518">
        <f t="shared" ref="AV418" si="4468">IF(AF416&gt;0,(AF418-AF416)/AF416,)</f>
        <v>0</v>
      </c>
      <c r="AW418" s="518">
        <f t="shared" ref="AW418" si="4469">IF(AG416&gt;0,(AG418-AG416)/AG416,)</f>
        <v>0</v>
      </c>
      <c r="AX418" s="525">
        <f t="shared" ref="AX418" si="4470">IF(AH416&gt;0,(AH418-AH416)/AH416,)</f>
        <v>0</v>
      </c>
    </row>
    <row r="419" spans="1:50" x14ac:dyDescent="0.2">
      <c r="A419" s="696" t="s">
        <v>1083</v>
      </c>
      <c r="B419" s="697">
        <v>1019</v>
      </c>
      <c r="C419" s="697">
        <v>540</v>
      </c>
      <c r="D419" s="697">
        <v>360</v>
      </c>
      <c r="E419" s="697">
        <v>275</v>
      </c>
      <c r="F419" s="697">
        <v>117</v>
      </c>
      <c r="G419" s="697">
        <v>15</v>
      </c>
      <c r="H419" s="697">
        <v>2326</v>
      </c>
      <c r="I419" s="697"/>
      <c r="J419" s="697">
        <v>0</v>
      </c>
      <c r="K419" s="697">
        <v>0</v>
      </c>
      <c r="L419" s="697">
        <v>10</v>
      </c>
      <c r="M419" s="697">
        <v>678</v>
      </c>
      <c r="N419" s="697">
        <v>688</v>
      </c>
      <c r="O419" s="697"/>
      <c r="P419" s="697"/>
      <c r="Q419" s="697"/>
      <c r="Y419" s="309"/>
      <c r="Z419" s="305"/>
      <c r="AE419" s="309"/>
      <c r="AF419" s="305"/>
      <c r="AH419" s="309"/>
      <c r="AI419" s="516"/>
      <c r="AO419" s="524"/>
      <c r="AU419" s="524"/>
      <c r="AX419" s="524"/>
    </row>
    <row r="420" spans="1:50" x14ac:dyDescent="0.2">
      <c r="A420" s="696" t="s">
        <v>1085</v>
      </c>
      <c r="B420" s="697">
        <v>74027880.710551992</v>
      </c>
      <c r="C420" s="697">
        <v>34946305.104798123</v>
      </c>
      <c r="D420" s="697">
        <v>21601651.797345575</v>
      </c>
      <c r="E420" s="697">
        <v>16265942.679495826</v>
      </c>
      <c r="F420" s="697">
        <v>6693487.0679245275</v>
      </c>
      <c r="G420" s="697">
        <v>852105</v>
      </c>
      <c r="H420" s="697">
        <v>154387372.36011603</v>
      </c>
      <c r="I420" s="697"/>
      <c r="J420" s="697">
        <v>0</v>
      </c>
      <c r="K420" s="697">
        <v>0</v>
      </c>
      <c r="L420" s="697">
        <v>462680</v>
      </c>
      <c r="M420" s="697">
        <v>37393404.06767644</v>
      </c>
      <c r="N420" s="697">
        <v>37856084.06767644</v>
      </c>
      <c r="O420" s="697"/>
      <c r="P420" s="697"/>
      <c r="Q420" s="697"/>
      <c r="R420" s="294"/>
      <c r="S420" s="296">
        <f>IF(B419&gt;0,(B420/B419),)</f>
        <v>72647.576752259076</v>
      </c>
      <c r="T420" s="296">
        <f t="shared" ref="T420" si="4471">IF(C419&gt;0,(C420/C419),)</f>
        <v>64715.379823700227</v>
      </c>
      <c r="U420" s="296">
        <f t="shared" ref="U420" si="4472">IF(D419&gt;0,(D420/D419),)</f>
        <v>60004.588325959929</v>
      </c>
      <c r="V420" s="296">
        <f t="shared" ref="V420" si="4473">IF(E419&gt;0,(E420/E419),)</f>
        <v>59148.882470893914</v>
      </c>
      <c r="W420" s="296">
        <f t="shared" ref="W420" si="4474">IF(F419&gt;0,(F420/F419),)</f>
        <v>57209.291178842112</v>
      </c>
      <c r="X420" s="296">
        <f t="shared" ref="X420" si="4475">IF(G419&gt;0,(G420/G419),)</f>
        <v>56807</v>
      </c>
      <c r="Y420" s="311">
        <f t="shared" ref="Y420" si="4476">IF(H419&gt;0,(H420/H419),)</f>
        <v>66374.622682767003</v>
      </c>
      <c r="Z420" s="306">
        <f t="shared" ref="Z420" si="4477">IF(I419&gt;0,(I420/I419),)</f>
        <v>0</v>
      </c>
      <c r="AA420" s="296">
        <f t="shared" ref="AA420" si="4478">IF(J419&gt;0,(J420/J419),)</f>
        <v>0</v>
      </c>
      <c r="AB420" s="296">
        <f t="shared" ref="AB420" si="4479">IF(K419&gt;0,(K420/K419),)</f>
        <v>0</v>
      </c>
      <c r="AC420" s="296">
        <f t="shared" ref="AC420" si="4480">IF(L419&gt;0,(L420/L419),)</f>
        <v>46268</v>
      </c>
      <c r="AD420" s="296">
        <f t="shared" ref="AD420" si="4481">IF(M419&gt;0,(M420/M419),)</f>
        <v>55152.513374154041</v>
      </c>
      <c r="AE420" s="311">
        <f t="shared" ref="AE420" si="4482">IF(N419&gt;0,(N420/N419),)</f>
        <v>55023.378005343664</v>
      </c>
      <c r="AF420" s="306">
        <f t="shared" ref="AF420" si="4483">IF(O419&gt;0,(O420/O419),)</f>
        <v>0</v>
      </c>
      <c r="AG420" s="296">
        <f t="shared" ref="AG420" si="4484">IF(P419&gt;0,(P420/P419),)</f>
        <v>0</v>
      </c>
      <c r="AH420" s="311">
        <f t="shared" ref="AH420" si="4485">IF(Q419&gt;0,(Q420/Q419),)</f>
        <v>0</v>
      </c>
      <c r="AI420" s="516"/>
      <c r="AO420" s="524"/>
      <c r="AU420" s="524"/>
      <c r="AX420" s="524"/>
    </row>
    <row r="421" spans="1:50" x14ac:dyDescent="0.2">
      <c r="A421" s="696" t="s">
        <v>1087</v>
      </c>
      <c r="B421" s="697">
        <v>1153</v>
      </c>
      <c r="C421" s="697">
        <v>550</v>
      </c>
      <c r="D421" s="697">
        <v>370</v>
      </c>
      <c r="E421" s="697">
        <v>271</v>
      </c>
      <c r="F421" s="697">
        <v>106</v>
      </c>
      <c r="G421" s="697">
        <v>22</v>
      </c>
      <c r="H421" s="697">
        <v>2472</v>
      </c>
      <c r="I421" s="697"/>
      <c r="J421" s="697">
        <v>0</v>
      </c>
      <c r="K421" s="697">
        <v>0</v>
      </c>
      <c r="L421" s="697">
        <v>8</v>
      </c>
      <c r="M421" s="697">
        <v>741</v>
      </c>
      <c r="N421" s="697">
        <v>749</v>
      </c>
      <c r="O421" s="697"/>
      <c r="P421" s="697"/>
      <c r="Q421" s="697"/>
      <c r="Y421" s="309"/>
      <c r="Z421" s="305"/>
      <c r="AE421" s="309"/>
      <c r="AF421" s="305"/>
      <c r="AH421" s="309"/>
      <c r="AI421" s="516"/>
      <c r="AO421" s="524"/>
      <c r="AU421" s="524"/>
      <c r="AX421" s="524"/>
    </row>
    <row r="422" spans="1:50" x14ac:dyDescent="0.2">
      <c r="A422" s="696" t="s">
        <v>1089</v>
      </c>
      <c r="B422" s="697">
        <v>82841510.323379129</v>
      </c>
      <c r="C422" s="697">
        <v>34600485.487847522</v>
      </c>
      <c r="D422" s="697">
        <v>20732468.968283623</v>
      </c>
      <c r="E422" s="697">
        <v>16278233.202310663</v>
      </c>
      <c r="F422" s="697">
        <v>6184968.8070175443</v>
      </c>
      <c r="G422" s="697">
        <v>1196450</v>
      </c>
      <c r="H422" s="697">
        <v>161834116.78883845</v>
      </c>
      <c r="I422" s="697"/>
      <c r="J422" s="697">
        <v>0</v>
      </c>
      <c r="K422" s="697">
        <v>0</v>
      </c>
      <c r="L422" s="697">
        <v>370850</v>
      </c>
      <c r="M422" s="697">
        <v>41347086.517241381</v>
      </c>
      <c r="N422" s="697">
        <v>41717936.517241381</v>
      </c>
      <c r="O422" s="697"/>
      <c r="P422" s="697"/>
      <c r="Q422" s="697"/>
      <c r="R422" s="294"/>
      <c r="S422" s="296">
        <f>IF(B421&gt;0,(B422/B421),)</f>
        <v>71848.664634327084</v>
      </c>
      <c r="T422" s="296">
        <f t="shared" ref="T422" si="4486">IF(C421&gt;0,(C422/C421),)</f>
        <v>62909.973614268223</v>
      </c>
      <c r="U422" s="296">
        <f t="shared" ref="U422" si="4487">IF(D421&gt;0,(D422/D421),)</f>
        <v>56033.699914280063</v>
      </c>
      <c r="V422" s="296">
        <f t="shared" ref="V422" si="4488">IF(E421&gt;0,(E422/E421),)</f>
        <v>60067.281189338239</v>
      </c>
      <c r="W422" s="296">
        <f t="shared" ref="W422" si="4489">IF(F421&gt;0,(F422/F421),)</f>
        <v>58348.762330354191</v>
      </c>
      <c r="X422" s="296">
        <f t="shared" ref="X422" si="4490">IF(G421&gt;0,(G422/G421),)</f>
        <v>54384.090909090912</v>
      </c>
      <c r="Y422" s="311">
        <f t="shared" ref="Y422" si="4491">IF(H421&gt;0,(H422/H421),)</f>
        <v>65466.875723640151</v>
      </c>
      <c r="Z422" s="306">
        <f t="shared" ref="Z422" si="4492">IF(I421&gt;0,(I422/I421),)</f>
        <v>0</v>
      </c>
      <c r="AA422" s="296">
        <f t="shared" ref="AA422" si="4493">IF(J421&gt;0,(J422/J421),)</f>
        <v>0</v>
      </c>
      <c r="AB422" s="296">
        <f t="shared" ref="AB422" si="4494">IF(K421&gt;0,(K422/K421),)</f>
        <v>0</v>
      </c>
      <c r="AC422" s="296">
        <f t="shared" ref="AC422" si="4495">IF(L421&gt;0,(L422/L421),)</f>
        <v>46356.25</v>
      </c>
      <c r="AD422" s="296">
        <f t="shared" ref="AD422" si="4496">IF(M421&gt;0,(M422/M421),)</f>
        <v>55799.037135278515</v>
      </c>
      <c r="AE422" s="311">
        <f t="shared" ref="AE422" si="4497">IF(N421&gt;0,(N422/N421),)</f>
        <v>55698.179595782887</v>
      </c>
      <c r="AF422" s="306">
        <f t="shared" ref="AF422" si="4498">IF(O421&gt;0,(O422/O421),)</f>
        <v>0</v>
      </c>
      <c r="AG422" s="296">
        <f t="shared" ref="AG422" si="4499">IF(P421&gt;0,(P422/P421),)</f>
        <v>0</v>
      </c>
      <c r="AH422" s="311">
        <f t="shared" ref="AH422" si="4500">IF(Q421&gt;0,(Q422/Q421),)</f>
        <v>0</v>
      </c>
      <c r="AI422" s="517">
        <f>IF(S420&gt;0,(S422-S420)/S420,)</f>
        <v>-1.0997092451637054E-2</v>
      </c>
      <c r="AJ422" s="518">
        <f t="shared" ref="AJ422" si="4501">IF(T420&gt;0,(T422-T420)/T420,)</f>
        <v>-2.7897637537635574E-2</v>
      </c>
      <c r="AK422" s="527">
        <f t="shared" ref="AK422" si="4502">IF(U420&gt;0,(U422-U420)/U420,)</f>
        <v>-6.6176412878778651E-2</v>
      </c>
      <c r="AL422" s="518">
        <f t="shared" ref="AL422" si="4503">IF(V420&gt;0,(V422-V420)/V420,)</f>
        <v>1.552689890457782E-2</v>
      </c>
      <c r="AM422" s="518">
        <f t="shared" ref="AM422" si="4504">IF(W420&gt;0,(W422-W420)/W420,)</f>
        <v>1.9917589049477578E-2</v>
      </c>
      <c r="AN422" s="518">
        <f t="shared" ref="AN422" si="4505">IF(X420&gt;0,(X422-X420)/X420,)</f>
        <v>-4.2651593833666422E-2</v>
      </c>
      <c r="AO422" s="525">
        <f t="shared" ref="AO422" si="4506">IF(Y420&gt;0,(Y422-Y420)/Y420,)</f>
        <v>-1.3676114792627411E-2</v>
      </c>
      <c r="AP422" s="518">
        <f t="shared" ref="AP422" si="4507">IF(Z420&gt;0,(Z422-Z420)/Z420,)</f>
        <v>0</v>
      </c>
      <c r="AQ422" s="518">
        <f t="shared" ref="AQ422" si="4508">IF(AA420&gt;0,(AA422-AA420)/AA420,)</f>
        <v>0</v>
      </c>
      <c r="AR422" s="518">
        <f t="shared" ref="AR422" si="4509">IF(AB420&gt;0,(AB422-AB420)/AB420,)</f>
        <v>0</v>
      </c>
      <c r="AS422" s="518">
        <f t="shared" ref="AS422" si="4510">IF(AC420&gt;0,(AC422-AC420)/AC420,)</f>
        <v>1.9073657819659376E-3</v>
      </c>
      <c r="AT422" s="518">
        <f t="shared" ref="AT422" si="4511">IF(AD420&gt;0,(AD422-AD420)/AD420,)</f>
        <v>1.1722471408301264E-2</v>
      </c>
      <c r="AU422" s="525">
        <f t="shared" ref="AU422" si="4512">IF(AE420&gt;0,(AE422-AE420)/AE420,)</f>
        <v>1.2263906995562669E-2</v>
      </c>
      <c r="AV422" s="518">
        <f t="shared" ref="AV422" si="4513">IF(AF420&gt;0,(AF422-AF420)/AF420,)</f>
        <v>0</v>
      </c>
      <c r="AW422" s="518">
        <f t="shared" ref="AW422" si="4514">IF(AG420&gt;0,(AG422-AG420)/AG420,)</f>
        <v>0</v>
      </c>
      <c r="AX422" s="525">
        <f t="shared" ref="AX422" si="4515">IF(AH420&gt;0,(AH422-AH420)/AH420,)</f>
        <v>0</v>
      </c>
    </row>
    <row r="423" spans="1:50" x14ac:dyDescent="0.2">
      <c r="A423" s="696" t="s">
        <v>1091</v>
      </c>
      <c r="B423" s="697">
        <v>302</v>
      </c>
      <c r="C423" s="697">
        <v>245</v>
      </c>
      <c r="D423" s="697">
        <v>181</v>
      </c>
      <c r="E423" s="697">
        <v>85</v>
      </c>
      <c r="F423" s="697">
        <v>37</v>
      </c>
      <c r="G423" s="697">
        <v>25</v>
      </c>
      <c r="H423" s="697">
        <v>875</v>
      </c>
      <c r="I423" s="697"/>
      <c r="J423" s="697">
        <v>0</v>
      </c>
      <c r="K423" s="697">
        <v>0</v>
      </c>
      <c r="L423" s="697">
        <v>0</v>
      </c>
      <c r="M423" s="697">
        <v>520</v>
      </c>
      <c r="N423" s="697">
        <v>520</v>
      </c>
      <c r="O423" s="697"/>
      <c r="P423" s="697"/>
      <c r="Q423" s="697"/>
      <c r="Y423" s="309"/>
      <c r="Z423" s="305"/>
      <c r="AE423" s="309"/>
      <c r="AF423" s="305"/>
      <c r="AH423" s="309"/>
      <c r="AI423" s="516"/>
      <c r="AO423" s="524"/>
      <c r="AU423" s="524"/>
      <c r="AX423" s="524"/>
    </row>
    <row r="424" spans="1:50" x14ac:dyDescent="0.2">
      <c r="A424" s="696" t="s">
        <v>1093</v>
      </c>
      <c r="B424" s="697">
        <v>15167566.247866053</v>
      </c>
      <c r="C424" s="697">
        <v>12086769.258097891</v>
      </c>
      <c r="D424" s="697">
        <v>9302552.6111880373</v>
      </c>
      <c r="E424" s="697">
        <v>4295931.8782595675</v>
      </c>
      <c r="F424" s="697">
        <v>1853215.5714285714</v>
      </c>
      <c r="G424" s="697">
        <v>1099629.5154185023</v>
      </c>
      <c r="H424" s="697">
        <v>43805665.082258627</v>
      </c>
      <c r="I424" s="697"/>
      <c r="J424" s="697">
        <v>0</v>
      </c>
      <c r="K424" s="697">
        <v>0</v>
      </c>
      <c r="L424" s="697">
        <v>0</v>
      </c>
      <c r="M424" s="697">
        <v>25931500.199252803</v>
      </c>
      <c r="N424" s="697">
        <v>25931500.199252803</v>
      </c>
      <c r="O424" s="697"/>
      <c r="P424" s="697"/>
      <c r="Q424" s="697"/>
      <c r="R424" s="294"/>
      <c r="S424" s="296">
        <f>IF(B423&gt;0,(B424/B423),)</f>
        <v>50223.729297569713</v>
      </c>
      <c r="T424" s="296">
        <f t="shared" ref="T424" si="4516">IF(C423&gt;0,(C424/C423),)</f>
        <v>49333.752073868942</v>
      </c>
      <c r="U424" s="296">
        <f t="shared" ref="U424" si="4517">IF(D423&gt;0,(D424/D423),)</f>
        <v>51395.318293856559</v>
      </c>
      <c r="V424" s="296">
        <f t="shared" ref="V424" si="4518">IF(E423&gt;0,(E424/E423),)</f>
        <v>50540.375038347855</v>
      </c>
      <c r="W424" s="296">
        <f t="shared" ref="W424" si="4519">IF(F423&gt;0,(F424/F423),)</f>
        <v>50086.907335907337</v>
      </c>
      <c r="X424" s="296">
        <f t="shared" ref="X424" si="4520">IF(G423&gt;0,(G424/G423),)</f>
        <v>43985.180616740094</v>
      </c>
      <c r="Y424" s="311">
        <f t="shared" ref="Y424" si="4521">IF(H423&gt;0,(H424/H423),)</f>
        <v>50063.617236867001</v>
      </c>
      <c r="Z424" s="306">
        <f t="shared" ref="Z424" si="4522">IF(I423&gt;0,(I424/I423),)</f>
        <v>0</v>
      </c>
      <c r="AA424" s="296">
        <f t="shared" ref="AA424" si="4523">IF(J423&gt;0,(J424/J423),)</f>
        <v>0</v>
      </c>
      <c r="AB424" s="296">
        <f t="shared" ref="AB424" si="4524">IF(K423&gt;0,(K424/K423),)</f>
        <v>0</v>
      </c>
      <c r="AC424" s="296">
        <f t="shared" ref="AC424" si="4525">IF(L423&gt;0,(L424/L423),)</f>
        <v>0</v>
      </c>
      <c r="AD424" s="296">
        <f t="shared" ref="AD424" si="4526">IF(M423&gt;0,(M424/M423),)</f>
        <v>49868.269613947698</v>
      </c>
      <c r="AE424" s="311">
        <f t="shared" ref="AE424" si="4527">IF(N423&gt;0,(N424/N423),)</f>
        <v>49868.269613947698</v>
      </c>
      <c r="AF424" s="306">
        <f t="shared" ref="AF424" si="4528">IF(O423&gt;0,(O424/O423),)</f>
        <v>0</v>
      </c>
      <c r="AG424" s="296">
        <f t="shared" ref="AG424" si="4529">IF(P423&gt;0,(P424/P423),)</f>
        <v>0</v>
      </c>
      <c r="AH424" s="311">
        <f t="shared" ref="AH424" si="4530">IF(Q423&gt;0,(Q424/Q423),)</f>
        <v>0</v>
      </c>
      <c r="AI424" s="516"/>
      <c r="AO424" s="524"/>
      <c r="AU424" s="524"/>
      <c r="AX424" s="524"/>
    </row>
    <row r="425" spans="1:50" x14ac:dyDescent="0.2">
      <c r="A425" s="696" t="s">
        <v>1095</v>
      </c>
      <c r="B425" s="697">
        <v>330</v>
      </c>
      <c r="C425" s="697">
        <v>244</v>
      </c>
      <c r="D425" s="697">
        <v>120</v>
      </c>
      <c r="E425" s="697">
        <v>87</v>
      </c>
      <c r="F425" s="697">
        <v>38</v>
      </c>
      <c r="G425" s="697">
        <v>19</v>
      </c>
      <c r="H425" s="697">
        <v>838</v>
      </c>
      <c r="I425" s="697"/>
      <c r="J425" s="697">
        <v>0</v>
      </c>
      <c r="K425" s="697">
        <v>0</v>
      </c>
      <c r="L425" s="697">
        <v>0</v>
      </c>
      <c r="M425" s="697">
        <v>558</v>
      </c>
      <c r="N425" s="697">
        <v>558</v>
      </c>
      <c r="O425" s="697"/>
      <c r="P425" s="697"/>
      <c r="Q425" s="697"/>
      <c r="Y425" s="309"/>
      <c r="Z425" s="305"/>
      <c r="AE425" s="309"/>
      <c r="AF425" s="305"/>
      <c r="AH425" s="309"/>
      <c r="AI425" s="516"/>
      <c r="AO425" s="524"/>
      <c r="AU425" s="524"/>
      <c r="AX425" s="524"/>
    </row>
    <row r="426" spans="1:50" x14ac:dyDescent="0.2">
      <c r="A426" s="696" t="s">
        <v>1097</v>
      </c>
      <c r="B426" s="697">
        <v>16146130.562893197</v>
      </c>
      <c r="C426" s="697">
        <v>11429716.552541506</v>
      </c>
      <c r="D426" s="697">
        <v>5999526.6130476501</v>
      </c>
      <c r="E426" s="697">
        <v>4369529.7781331968</v>
      </c>
      <c r="F426" s="697">
        <v>1913269</v>
      </c>
      <c r="G426" s="697">
        <v>844877.58620689658</v>
      </c>
      <c r="H426" s="697">
        <v>40703050.092822447</v>
      </c>
      <c r="I426" s="697"/>
      <c r="J426" s="697">
        <v>0</v>
      </c>
      <c r="K426" s="697">
        <v>0</v>
      </c>
      <c r="L426" s="697">
        <v>0</v>
      </c>
      <c r="M426" s="697">
        <v>27730284.188463736</v>
      </c>
      <c r="N426" s="697">
        <v>27730284.188463736</v>
      </c>
      <c r="O426" s="697"/>
      <c r="P426" s="697"/>
      <c r="Q426" s="697"/>
      <c r="R426" s="294"/>
      <c r="S426" s="296">
        <f>IF(B425&gt;0,(B426/B425),)</f>
        <v>48927.668372403627</v>
      </c>
      <c r="T426" s="296">
        <f t="shared" ref="T426" si="4531">IF(C425&gt;0,(C426/C425),)</f>
        <v>46843.100625170104</v>
      </c>
      <c r="U426" s="296">
        <f t="shared" ref="U426" si="4532">IF(D425&gt;0,(D426/D425),)</f>
        <v>49996.055108730419</v>
      </c>
      <c r="V426" s="296">
        <f t="shared" ref="V426" si="4533">IF(E425&gt;0,(E426/E425),)</f>
        <v>50224.480208427551</v>
      </c>
      <c r="W426" s="296">
        <f t="shared" ref="W426" si="4534">IF(F425&gt;0,(F426/F425),)</f>
        <v>50349.184210526313</v>
      </c>
      <c r="X426" s="296">
        <f t="shared" ref="X426" si="4535">IF(G425&gt;0,(G426/G425),)</f>
        <v>44467.241379310348</v>
      </c>
      <c r="Y426" s="311">
        <f t="shared" ref="Y426" si="4536">IF(H425&gt;0,(H426/H425),)</f>
        <v>48571.65882198383</v>
      </c>
      <c r="Z426" s="306">
        <f t="shared" ref="Z426" si="4537">IF(I425&gt;0,(I426/I425),)</f>
        <v>0</v>
      </c>
      <c r="AA426" s="296">
        <f t="shared" ref="AA426" si="4538">IF(J425&gt;0,(J426/J425),)</f>
        <v>0</v>
      </c>
      <c r="AB426" s="296">
        <f t="shared" ref="AB426" si="4539">IF(K425&gt;0,(K426/K425),)</f>
        <v>0</v>
      </c>
      <c r="AC426" s="296">
        <f t="shared" ref="AC426" si="4540">IF(L425&gt;0,(L426/L425),)</f>
        <v>0</v>
      </c>
      <c r="AD426" s="296">
        <f t="shared" ref="AD426" si="4541">IF(M425&gt;0,(M426/M425),)</f>
        <v>49695.849800114222</v>
      </c>
      <c r="AE426" s="311">
        <f t="shared" ref="AE426" si="4542">IF(N425&gt;0,(N426/N425),)</f>
        <v>49695.849800114222</v>
      </c>
      <c r="AF426" s="306">
        <f t="shared" ref="AF426" si="4543">IF(O425&gt;0,(O426/O425),)</f>
        <v>0</v>
      </c>
      <c r="AG426" s="296">
        <f t="shared" ref="AG426" si="4544">IF(P425&gt;0,(P426/P425),)</f>
        <v>0</v>
      </c>
      <c r="AH426" s="311">
        <f t="shared" ref="AH426" si="4545">IF(Q425&gt;0,(Q426/Q425),)</f>
        <v>0</v>
      </c>
      <c r="AI426" s="517">
        <f>IF(S424&gt;0,(S426-S424)/S424,)</f>
        <v>-2.5805748463780479E-2</v>
      </c>
      <c r="AJ426" s="518">
        <f t="shared" ref="AJ426" si="4546">IF(T424&gt;0,(T426-T424)/T424,)</f>
        <v>-5.0485749491940311E-2</v>
      </c>
      <c r="AK426" s="518">
        <f t="shared" ref="AK426" si="4547">IF(U424&gt;0,(U426-U424)/U424,)</f>
        <v>-2.7225498967157827E-2</v>
      </c>
      <c r="AL426" s="518">
        <f t="shared" ref="AL426" si="4548">IF(V424&gt;0,(V426-V424)/V424,)</f>
        <v>-6.2503459794395382E-3</v>
      </c>
      <c r="AM426" s="518">
        <f t="shared" ref="AM426" si="4549">IF(W424&gt;0,(W426-W424)/W424,)</f>
        <v>5.2364357986812533E-3</v>
      </c>
      <c r="AN426" s="518">
        <f t="shared" ref="AN426" si="4550">IF(X424&gt;0,(X426-X424)/X424,)</f>
        <v>1.0959617666928236E-2</v>
      </c>
      <c r="AO426" s="525">
        <f t="shared" ref="AO426" si="4551">IF(Y424&gt;0,(Y426-Y424)/Y424,)</f>
        <v>-2.98012508329999E-2</v>
      </c>
      <c r="AP426" s="518">
        <f t="shared" ref="AP426" si="4552">IF(Z424&gt;0,(Z426-Z424)/Z424,)</f>
        <v>0</v>
      </c>
      <c r="AQ426" s="518">
        <f t="shared" ref="AQ426" si="4553">IF(AA424&gt;0,(AA426-AA424)/AA424,)</f>
        <v>0</v>
      </c>
      <c r="AR426" s="518">
        <f t="shared" ref="AR426" si="4554">IF(AB424&gt;0,(AB426-AB424)/AB424,)</f>
        <v>0</v>
      </c>
      <c r="AS426" s="518">
        <f t="shared" ref="AS426" si="4555">IF(AC424&gt;0,(AC426-AC424)/AC424,)</f>
        <v>0</v>
      </c>
      <c r="AT426" s="518">
        <f t="shared" ref="AT426" si="4556">IF(AD424&gt;0,(AD426-AD424)/AD424,)</f>
        <v>-3.4575054472163135E-3</v>
      </c>
      <c r="AU426" s="525">
        <f t="shared" ref="AU426" si="4557">IF(AE424&gt;0,(AE426-AE424)/AE424,)</f>
        <v>-3.4575054472163135E-3</v>
      </c>
      <c r="AV426" s="518">
        <f t="shared" ref="AV426" si="4558">IF(AF424&gt;0,(AF426-AF424)/AF424,)</f>
        <v>0</v>
      </c>
      <c r="AW426" s="518">
        <f t="shared" ref="AW426" si="4559">IF(AG424&gt;0,(AG426-AG424)/AG424,)</f>
        <v>0</v>
      </c>
      <c r="AX426" s="525">
        <f t="shared" ref="AX426" si="4560">IF(AH424&gt;0,(AH426-AH424)/AH424,)</f>
        <v>0</v>
      </c>
    </row>
    <row r="427" spans="1:50" x14ac:dyDescent="0.2">
      <c r="A427" s="696" t="s">
        <v>1099</v>
      </c>
      <c r="B427" s="697">
        <v>238</v>
      </c>
      <c r="C427" s="697">
        <v>10</v>
      </c>
      <c r="D427" s="697">
        <v>0</v>
      </c>
      <c r="E427" s="697">
        <v>4</v>
      </c>
      <c r="F427" s="697">
        <v>54</v>
      </c>
      <c r="G427" s="697">
        <v>1</v>
      </c>
      <c r="H427" s="697">
        <v>307</v>
      </c>
      <c r="I427" s="697"/>
      <c r="J427" s="697">
        <v>0</v>
      </c>
      <c r="K427" s="697">
        <v>0</v>
      </c>
      <c r="L427" s="697">
        <v>0</v>
      </c>
      <c r="M427" s="697">
        <v>2</v>
      </c>
      <c r="N427" s="697">
        <v>2</v>
      </c>
      <c r="O427" s="697"/>
      <c r="P427" s="697"/>
      <c r="Q427" s="697"/>
      <c r="Y427" s="309"/>
      <c r="Z427" s="305"/>
      <c r="AE427" s="309"/>
      <c r="AF427" s="305"/>
      <c r="AH427" s="309"/>
      <c r="AI427" s="516"/>
      <c r="AO427" s="524"/>
      <c r="AU427" s="524"/>
      <c r="AX427" s="524"/>
    </row>
    <row r="428" spans="1:50" x14ac:dyDescent="0.2">
      <c r="A428" s="696" t="s">
        <v>1101</v>
      </c>
      <c r="B428" s="697">
        <v>12452691.77936155</v>
      </c>
      <c r="C428" s="697">
        <v>667723.40425531915</v>
      </c>
      <c r="D428" s="697">
        <v>0</v>
      </c>
      <c r="E428" s="697">
        <v>196749.5</v>
      </c>
      <c r="F428" s="697">
        <v>2935115</v>
      </c>
      <c r="G428" s="697">
        <v>60300</v>
      </c>
      <c r="H428" s="697">
        <v>16312579.683616869</v>
      </c>
      <c r="I428" s="697"/>
      <c r="J428" s="697">
        <v>0</v>
      </c>
      <c r="K428" s="697">
        <v>0</v>
      </c>
      <c r="L428" s="697">
        <v>0</v>
      </c>
      <c r="M428" s="697">
        <v>108743.40000000001</v>
      </c>
      <c r="N428" s="697">
        <v>108743.40000000001</v>
      </c>
      <c r="O428" s="697"/>
      <c r="P428" s="697"/>
      <c r="Q428" s="697"/>
      <c r="R428" s="294"/>
      <c r="S428" s="296">
        <f>IF(B427&gt;0,(B428/B427),)</f>
        <v>52322.234367065335</v>
      </c>
      <c r="T428" s="296">
        <f t="shared" ref="T428" si="4561">IF(C427&gt;0,(C428/C427),)</f>
        <v>66772.340425531918</v>
      </c>
      <c r="U428" s="296">
        <f t="shared" ref="U428" si="4562">IF(D427&gt;0,(D428/D427),)</f>
        <v>0</v>
      </c>
      <c r="V428" s="296">
        <f t="shared" ref="V428" si="4563">IF(E427&gt;0,(E428/E427),)</f>
        <v>49187.375</v>
      </c>
      <c r="W428" s="296">
        <f t="shared" ref="W428" si="4564">IF(F427&gt;0,(F428/F427),)</f>
        <v>54353.981481481482</v>
      </c>
      <c r="X428" s="296">
        <f t="shared" ref="X428" si="4565">IF(G427&gt;0,(G428/G427),)</f>
        <v>60300</v>
      </c>
      <c r="Y428" s="311">
        <f t="shared" ref="Y428" si="4566">IF(H427&gt;0,(H428/H427),)</f>
        <v>53135.438708849739</v>
      </c>
      <c r="Z428" s="306">
        <f t="shared" ref="Z428" si="4567">IF(I427&gt;0,(I428/I427),)</f>
        <v>0</v>
      </c>
      <c r="AA428" s="296">
        <f t="shared" ref="AA428" si="4568">IF(J427&gt;0,(J428/J427),)</f>
        <v>0</v>
      </c>
      <c r="AB428" s="296">
        <f t="shared" ref="AB428" si="4569">IF(K427&gt;0,(K428/K427),)</f>
        <v>0</v>
      </c>
      <c r="AC428" s="296">
        <f t="shared" ref="AC428" si="4570">IF(L427&gt;0,(L428/L427),)</f>
        <v>0</v>
      </c>
      <c r="AD428" s="296">
        <f t="shared" ref="AD428" si="4571">IF(M427&gt;0,(M428/M427),)</f>
        <v>54371.700000000004</v>
      </c>
      <c r="AE428" s="311">
        <f t="shared" ref="AE428" si="4572">IF(N427&gt;0,(N428/N427),)</f>
        <v>54371.700000000004</v>
      </c>
      <c r="AF428" s="306">
        <f t="shared" ref="AF428" si="4573">IF(O427&gt;0,(O428/O427),)</f>
        <v>0</v>
      </c>
      <c r="AG428" s="296">
        <f t="shared" ref="AG428" si="4574">IF(P427&gt;0,(P428/P427),)</f>
        <v>0</v>
      </c>
      <c r="AH428" s="311">
        <f t="shared" ref="AH428" si="4575">IF(Q427&gt;0,(Q428/Q427),)</f>
        <v>0</v>
      </c>
      <c r="AI428" s="516"/>
      <c r="AO428" s="524"/>
      <c r="AU428" s="524"/>
      <c r="AX428" s="524"/>
    </row>
    <row r="429" spans="1:50" x14ac:dyDescent="0.2">
      <c r="A429" s="696" t="s">
        <v>1103</v>
      </c>
      <c r="B429" s="697">
        <v>267</v>
      </c>
      <c r="C429" s="697">
        <v>11</v>
      </c>
      <c r="D429" s="697">
        <v>69</v>
      </c>
      <c r="E429" s="697">
        <v>37</v>
      </c>
      <c r="F429" s="697">
        <v>66</v>
      </c>
      <c r="G429" s="697">
        <v>0</v>
      </c>
      <c r="H429" s="697">
        <v>450</v>
      </c>
      <c r="I429" s="697"/>
      <c r="J429" s="697">
        <v>0</v>
      </c>
      <c r="K429" s="697">
        <v>0</v>
      </c>
      <c r="L429" s="697">
        <v>0</v>
      </c>
      <c r="M429" s="697">
        <v>25</v>
      </c>
      <c r="N429" s="697">
        <v>25</v>
      </c>
      <c r="O429" s="697"/>
      <c r="P429" s="697"/>
      <c r="Q429" s="697"/>
      <c r="Y429" s="309"/>
      <c r="Z429" s="305"/>
      <c r="AE429" s="309"/>
      <c r="AF429" s="305"/>
      <c r="AH429" s="309"/>
      <c r="AI429" s="516"/>
      <c r="AO429" s="524"/>
      <c r="AU429" s="524"/>
      <c r="AX429" s="524"/>
    </row>
    <row r="430" spans="1:50" x14ac:dyDescent="0.2">
      <c r="A430" s="696" t="s">
        <v>1105</v>
      </c>
      <c r="B430" s="697">
        <v>13087871.76646859</v>
      </c>
      <c r="C430" s="697">
        <v>709877.14285714284</v>
      </c>
      <c r="D430" s="697">
        <v>3218923.2425373136</v>
      </c>
      <c r="E430" s="697">
        <v>1635531.985074627</v>
      </c>
      <c r="F430" s="697">
        <v>3592019.75</v>
      </c>
      <c r="G430" s="697">
        <v>0</v>
      </c>
      <c r="H430" s="697">
        <v>22244223.886937674</v>
      </c>
      <c r="I430" s="697"/>
      <c r="J430" s="697">
        <v>0</v>
      </c>
      <c r="K430" s="697">
        <v>0</v>
      </c>
      <c r="L430" s="697">
        <v>0</v>
      </c>
      <c r="M430" s="697">
        <v>974515.44943820231</v>
      </c>
      <c r="N430" s="697">
        <v>974515.44943820231</v>
      </c>
      <c r="O430" s="697"/>
      <c r="P430" s="697"/>
      <c r="Q430" s="697"/>
      <c r="R430" s="294"/>
      <c r="S430" s="296">
        <f>IF(B429&gt;0,(B430/B429),)</f>
        <v>49018.246316361758</v>
      </c>
      <c r="T430" s="296">
        <f t="shared" ref="T430" si="4576">IF(C429&gt;0,(C430/C429),)</f>
        <v>64534.28571428571</v>
      </c>
      <c r="U430" s="296">
        <f t="shared" ref="U430" si="4577">IF(D429&gt;0,(D430/D429),)</f>
        <v>46651.06148604802</v>
      </c>
      <c r="V430" s="296">
        <f t="shared" ref="V430" si="4578">IF(E429&gt;0,(E430/E429),)</f>
        <v>44203.567164179105</v>
      </c>
      <c r="W430" s="296">
        <f t="shared" ref="W430" si="4579">IF(F429&gt;0,(F430/F429),)</f>
        <v>54424.541666666664</v>
      </c>
      <c r="X430" s="296">
        <f t="shared" ref="X430" si="4580">IF(G429&gt;0,(G430/G429),)</f>
        <v>0</v>
      </c>
      <c r="Y430" s="311">
        <f t="shared" ref="Y430" si="4581">IF(H429&gt;0,(H430/H429),)</f>
        <v>49431.608637639278</v>
      </c>
      <c r="Z430" s="306">
        <f t="shared" ref="Z430" si="4582">IF(I429&gt;0,(I430/I429),)</f>
        <v>0</v>
      </c>
      <c r="AA430" s="296">
        <f t="shared" ref="AA430" si="4583">IF(J429&gt;0,(J430/J429),)</f>
        <v>0</v>
      </c>
      <c r="AB430" s="296">
        <f t="shared" ref="AB430" si="4584">IF(K429&gt;0,(K430/K429),)</f>
        <v>0</v>
      </c>
      <c r="AC430" s="296">
        <f t="shared" ref="AC430" si="4585">IF(L429&gt;0,(L430/L429),)</f>
        <v>0</v>
      </c>
      <c r="AD430" s="296">
        <f t="shared" ref="AD430" si="4586">IF(M429&gt;0,(M430/M429),)</f>
        <v>38980.617977528091</v>
      </c>
      <c r="AE430" s="311">
        <f t="shared" ref="AE430" si="4587">IF(N429&gt;0,(N430/N429),)</f>
        <v>38980.617977528091</v>
      </c>
      <c r="AF430" s="306">
        <f t="shared" ref="AF430" si="4588">IF(O429&gt;0,(O430/O429),)</f>
        <v>0</v>
      </c>
      <c r="AG430" s="296">
        <f t="shared" ref="AG430" si="4589">IF(P429&gt;0,(P430/P429),)</f>
        <v>0</v>
      </c>
      <c r="AH430" s="311">
        <f t="shared" ref="AH430" si="4590">IF(Q429&gt;0,(Q430/Q429),)</f>
        <v>0</v>
      </c>
      <c r="AI430" s="517">
        <f>IF(S428&gt;0,(S430-S428)/S428,)</f>
        <v>-6.3146921966759514E-2</v>
      </c>
      <c r="AJ430" s="518">
        <f t="shared" ref="AJ430" si="4591">IF(T428&gt;0,(T430-T428)/T428,)</f>
        <v>-3.351769156185571E-2</v>
      </c>
      <c r="AK430" s="518">
        <f t="shared" ref="AK430" si="4592">IF(U428&gt;0,(U430-U428)/U428,)</f>
        <v>0</v>
      </c>
      <c r="AL430" s="518">
        <f t="shared" ref="AL430" si="4593">IF(V428&gt;0,(V430-V428)/V428,)</f>
        <v>-0.1013229072667711</v>
      </c>
      <c r="AM430" s="518">
        <f t="shared" ref="AM430" si="4594">IF(W428&gt;0,(W430-W428)/W428,)</f>
        <v>1.2981603787244637E-3</v>
      </c>
      <c r="AN430" s="518">
        <f t="shared" ref="AN430" si="4595">IF(X428&gt;0,(X430-X428)/X428,)</f>
        <v>-1</v>
      </c>
      <c r="AO430" s="525">
        <f t="shared" ref="AO430" si="4596">IF(Y428&gt;0,(Y430-Y428)/Y428,)</f>
        <v>-6.9705457623211189E-2</v>
      </c>
      <c r="AP430" s="518">
        <f t="shared" ref="AP430" si="4597">IF(Z428&gt;0,(Z430-Z428)/Z428,)</f>
        <v>0</v>
      </c>
      <c r="AQ430" s="518">
        <f t="shared" ref="AQ430" si="4598">IF(AA428&gt;0,(AA430-AA428)/AA428,)</f>
        <v>0</v>
      </c>
      <c r="AR430" s="518">
        <f t="shared" ref="AR430" si="4599">IF(AB428&gt;0,(AB430-AB428)/AB428,)</f>
        <v>0</v>
      </c>
      <c r="AS430" s="518">
        <f t="shared" ref="AS430" si="4600">IF(AC428&gt;0,(AC430-AC428)/AC428,)</f>
        <v>0</v>
      </c>
      <c r="AT430" s="527">
        <f t="shared" ref="AT430" si="4601">IF(AD428&gt;0,(AD430-AD428)/AD428,)</f>
        <v>-0.28307156153793078</v>
      </c>
      <c r="AU430" s="525">
        <f t="shared" ref="AU430" si="4602">IF(AE428&gt;0,(AE430-AE428)/AE428,)</f>
        <v>-0.28307156153793078</v>
      </c>
      <c r="AV430" s="518">
        <f t="shared" ref="AV430" si="4603">IF(AF428&gt;0,(AF430-AF428)/AF428,)</f>
        <v>0</v>
      </c>
      <c r="AW430" s="518">
        <f t="shared" ref="AW430" si="4604">IF(AG428&gt;0,(AG430-AG428)/AG428,)</f>
        <v>0</v>
      </c>
      <c r="AX430" s="525">
        <f t="shared" ref="AX430" si="4605">IF(AH428&gt;0,(AH430-AH428)/AH428,)</f>
        <v>0</v>
      </c>
    </row>
    <row r="431" spans="1:50" x14ac:dyDescent="0.2">
      <c r="A431" s="696" t="s">
        <v>1107</v>
      </c>
      <c r="B431" s="697">
        <v>0</v>
      </c>
      <c r="C431" s="697">
        <v>0</v>
      </c>
      <c r="D431" s="697">
        <v>0</v>
      </c>
      <c r="E431" s="697">
        <v>0</v>
      </c>
      <c r="F431" s="697">
        <v>0</v>
      </c>
      <c r="G431" s="697">
        <v>0</v>
      </c>
      <c r="H431" s="697">
        <v>0</v>
      </c>
      <c r="I431" s="697"/>
      <c r="J431" s="697">
        <v>0</v>
      </c>
      <c r="K431" s="697">
        <v>0</v>
      </c>
      <c r="L431" s="697">
        <v>0</v>
      </c>
      <c r="M431" s="697">
        <v>0</v>
      </c>
      <c r="N431" s="697">
        <v>0</v>
      </c>
      <c r="O431" s="697"/>
      <c r="P431" s="697"/>
      <c r="Q431" s="697"/>
      <c r="Y431" s="309"/>
      <c r="Z431" s="305"/>
      <c r="AE431" s="309"/>
      <c r="AF431" s="305"/>
      <c r="AH431" s="309"/>
      <c r="AI431" s="516"/>
      <c r="AO431" s="524"/>
      <c r="AU431" s="524"/>
      <c r="AX431" s="524"/>
    </row>
    <row r="432" spans="1:50" x14ac:dyDescent="0.2">
      <c r="A432" s="696" t="s">
        <v>1109</v>
      </c>
      <c r="B432" s="697">
        <v>0</v>
      </c>
      <c r="C432" s="697">
        <v>0</v>
      </c>
      <c r="D432" s="697">
        <v>0</v>
      </c>
      <c r="E432" s="697">
        <v>0</v>
      </c>
      <c r="F432" s="697">
        <v>0</v>
      </c>
      <c r="G432" s="697">
        <v>0</v>
      </c>
      <c r="H432" s="697">
        <v>0</v>
      </c>
      <c r="I432" s="697"/>
      <c r="J432" s="697">
        <v>0</v>
      </c>
      <c r="K432" s="697">
        <v>0</v>
      </c>
      <c r="L432" s="697">
        <v>0</v>
      </c>
      <c r="M432" s="697">
        <v>0</v>
      </c>
      <c r="N432" s="697">
        <v>0</v>
      </c>
      <c r="O432" s="697"/>
      <c r="P432" s="697"/>
      <c r="Q432" s="697"/>
      <c r="R432" s="294"/>
      <c r="S432" s="296">
        <f>IF(B431&gt;0,(B432/B431),)</f>
        <v>0</v>
      </c>
      <c r="T432" s="296">
        <f t="shared" ref="T432" si="4606">IF(C431&gt;0,(C432/C431),)</f>
        <v>0</v>
      </c>
      <c r="U432" s="296">
        <f t="shared" ref="U432" si="4607">IF(D431&gt;0,(D432/D431),)</f>
        <v>0</v>
      </c>
      <c r="V432" s="296">
        <f t="shared" ref="V432" si="4608">IF(E431&gt;0,(E432/E431),)</f>
        <v>0</v>
      </c>
      <c r="W432" s="296">
        <f t="shared" ref="W432" si="4609">IF(F431&gt;0,(F432/F431),)</f>
        <v>0</v>
      </c>
      <c r="X432" s="296">
        <f t="shared" ref="X432" si="4610">IF(G431&gt;0,(G432/G431),)</f>
        <v>0</v>
      </c>
      <c r="Y432" s="311">
        <f t="shared" ref="Y432" si="4611">IF(H431&gt;0,(H432/H431),)</f>
        <v>0</v>
      </c>
      <c r="Z432" s="306">
        <f t="shared" ref="Z432" si="4612">IF(I431&gt;0,(I432/I431),)</f>
        <v>0</v>
      </c>
      <c r="AA432" s="296">
        <f t="shared" ref="AA432" si="4613">IF(J431&gt;0,(J432/J431),)</f>
        <v>0</v>
      </c>
      <c r="AB432" s="296">
        <f t="shared" ref="AB432" si="4614">IF(K431&gt;0,(K432/K431),)</f>
        <v>0</v>
      </c>
      <c r="AC432" s="296">
        <f t="shared" ref="AC432" si="4615">IF(L431&gt;0,(L432/L431),)</f>
        <v>0</v>
      </c>
      <c r="AD432" s="296">
        <f t="shared" ref="AD432" si="4616">IF(M431&gt;0,(M432/M431),)</f>
        <v>0</v>
      </c>
      <c r="AE432" s="311">
        <f t="shared" ref="AE432" si="4617">IF(N431&gt;0,(N432/N431),)</f>
        <v>0</v>
      </c>
      <c r="AF432" s="306">
        <f t="shared" ref="AF432" si="4618">IF(O431&gt;0,(O432/O431),)</f>
        <v>0</v>
      </c>
      <c r="AG432" s="296">
        <f t="shared" ref="AG432" si="4619">IF(P431&gt;0,(P432/P431),)</f>
        <v>0</v>
      </c>
      <c r="AH432" s="311">
        <f t="shared" ref="AH432" si="4620">IF(Q431&gt;0,(Q432/Q431),)</f>
        <v>0</v>
      </c>
      <c r="AI432" s="516"/>
      <c r="AO432" s="524"/>
      <c r="AU432" s="524"/>
      <c r="AX432" s="524"/>
    </row>
    <row r="433" spans="1:50" x14ac:dyDescent="0.2">
      <c r="A433" s="696" t="s">
        <v>1111</v>
      </c>
      <c r="B433" s="697">
        <v>0</v>
      </c>
      <c r="C433" s="697">
        <v>0</v>
      </c>
      <c r="D433" s="697">
        <v>0</v>
      </c>
      <c r="E433" s="697">
        <v>0</v>
      </c>
      <c r="F433" s="697">
        <v>0</v>
      </c>
      <c r="G433" s="697">
        <v>0</v>
      </c>
      <c r="H433" s="697">
        <v>0</v>
      </c>
      <c r="I433" s="697"/>
      <c r="J433" s="697">
        <v>0</v>
      </c>
      <c r="K433" s="697">
        <v>0</v>
      </c>
      <c r="L433" s="697">
        <v>0</v>
      </c>
      <c r="M433" s="697">
        <v>0</v>
      </c>
      <c r="N433" s="697">
        <v>0</v>
      </c>
      <c r="O433" s="697"/>
      <c r="P433" s="697"/>
      <c r="Q433" s="697"/>
      <c r="Y433" s="309"/>
      <c r="Z433" s="305"/>
      <c r="AE433" s="309"/>
      <c r="AF433" s="305"/>
      <c r="AH433" s="309"/>
      <c r="AI433" s="516"/>
      <c r="AO433" s="524"/>
      <c r="AU433" s="524"/>
      <c r="AX433" s="524"/>
    </row>
    <row r="434" spans="1:50" x14ac:dyDescent="0.2">
      <c r="A434" s="696" t="s">
        <v>1113</v>
      </c>
      <c r="B434" s="697">
        <v>0</v>
      </c>
      <c r="C434" s="697">
        <v>0</v>
      </c>
      <c r="D434" s="697">
        <v>0</v>
      </c>
      <c r="E434" s="697">
        <v>0</v>
      </c>
      <c r="F434" s="697">
        <v>0</v>
      </c>
      <c r="G434" s="697">
        <v>0</v>
      </c>
      <c r="H434" s="697">
        <v>0</v>
      </c>
      <c r="I434" s="697"/>
      <c r="J434" s="697">
        <v>0</v>
      </c>
      <c r="K434" s="697">
        <v>0</v>
      </c>
      <c r="L434" s="697">
        <v>0</v>
      </c>
      <c r="M434" s="697">
        <v>0</v>
      </c>
      <c r="N434" s="697">
        <v>0</v>
      </c>
      <c r="O434" s="697"/>
      <c r="P434" s="697"/>
      <c r="Q434" s="697"/>
      <c r="R434" s="294"/>
      <c r="S434" s="296">
        <f>IF(B433&gt;0,(B434/B433),)</f>
        <v>0</v>
      </c>
      <c r="T434" s="296">
        <f t="shared" ref="T434" si="4621">IF(C433&gt;0,(C434/C433),)</f>
        <v>0</v>
      </c>
      <c r="U434" s="296">
        <f t="shared" ref="U434" si="4622">IF(D433&gt;0,(D434/D433),)</f>
        <v>0</v>
      </c>
      <c r="V434" s="296">
        <f t="shared" ref="V434" si="4623">IF(E433&gt;0,(E434/E433),)</f>
        <v>0</v>
      </c>
      <c r="W434" s="296">
        <f t="shared" ref="W434" si="4624">IF(F433&gt;0,(F434/F433),)</f>
        <v>0</v>
      </c>
      <c r="X434" s="296">
        <f t="shared" ref="X434" si="4625">IF(G433&gt;0,(G434/G433),)</f>
        <v>0</v>
      </c>
      <c r="Y434" s="311">
        <f t="shared" ref="Y434" si="4626">IF(H433&gt;0,(H434/H433),)</f>
        <v>0</v>
      </c>
      <c r="Z434" s="306">
        <f t="shared" ref="Z434" si="4627">IF(I433&gt;0,(I434/I433),)</f>
        <v>0</v>
      </c>
      <c r="AA434" s="296">
        <f t="shared" ref="AA434" si="4628">IF(J433&gt;0,(J434/J433),)</f>
        <v>0</v>
      </c>
      <c r="AB434" s="296">
        <f t="shared" ref="AB434" si="4629">IF(K433&gt;0,(K434/K433),)</f>
        <v>0</v>
      </c>
      <c r="AC434" s="296">
        <f t="shared" ref="AC434" si="4630">IF(L433&gt;0,(L434/L433),)</f>
        <v>0</v>
      </c>
      <c r="AD434" s="296">
        <f t="shared" ref="AD434" si="4631">IF(M433&gt;0,(M434/M433),)</f>
        <v>0</v>
      </c>
      <c r="AE434" s="311">
        <f t="shared" ref="AE434" si="4632">IF(N433&gt;0,(N434/N433),)</f>
        <v>0</v>
      </c>
      <c r="AF434" s="306">
        <f t="shared" ref="AF434" si="4633">IF(O433&gt;0,(O434/O433),)</f>
        <v>0</v>
      </c>
      <c r="AG434" s="296">
        <f t="shared" ref="AG434" si="4634">IF(P433&gt;0,(P434/P433),)</f>
        <v>0</v>
      </c>
      <c r="AH434" s="311">
        <f t="shared" ref="AH434" si="4635">IF(Q433&gt;0,(Q434/Q433),)</f>
        <v>0</v>
      </c>
      <c r="AI434" s="517">
        <f>IF(S432&gt;0,(S434-S432)/S432,)</f>
        <v>0</v>
      </c>
      <c r="AJ434" s="518">
        <f t="shared" ref="AJ434" si="4636">IF(T432&gt;0,(T434-T432)/T432,)</f>
        <v>0</v>
      </c>
      <c r="AK434" s="518">
        <f t="shared" ref="AK434" si="4637">IF(U432&gt;0,(U434-U432)/U432,)</f>
        <v>0</v>
      </c>
      <c r="AL434" s="518">
        <f t="shared" ref="AL434" si="4638">IF(V432&gt;0,(V434-V432)/V432,)</f>
        <v>0</v>
      </c>
      <c r="AM434" s="518">
        <f t="shared" ref="AM434" si="4639">IF(W432&gt;0,(W434-W432)/W432,)</f>
        <v>0</v>
      </c>
      <c r="AN434" s="518">
        <f t="shared" ref="AN434" si="4640">IF(X432&gt;0,(X434-X432)/X432,)</f>
        <v>0</v>
      </c>
      <c r="AO434" s="525">
        <f t="shared" ref="AO434" si="4641">IF(Y432&gt;0,(Y434-Y432)/Y432,)</f>
        <v>0</v>
      </c>
      <c r="AP434" s="518">
        <f t="shared" ref="AP434" si="4642">IF(Z432&gt;0,(Z434-Z432)/Z432,)</f>
        <v>0</v>
      </c>
      <c r="AQ434" s="518">
        <f t="shared" ref="AQ434" si="4643">IF(AA432&gt;0,(AA434-AA432)/AA432,)</f>
        <v>0</v>
      </c>
      <c r="AR434" s="518">
        <f t="shared" ref="AR434" si="4644">IF(AB432&gt;0,(AB434-AB432)/AB432,)</f>
        <v>0</v>
      </c>
      <c r="AS434" s="518">
        <f t="shared" ref="AS434" si="4645">IF(AC432&gt;0,(AC434-AC432)/AC432,)</f>
        <v>0</v>
      </c>
      <c r="AT434" s="518">
        <f t="shared" ref="AT434" si="4646">IF(AD432&gt;0,(AD434-AD432)/AD432,)</f>
        <v>0</v>
      </c>
      <c r="AU434" s="525">
        <f t="shared" ref="AU434" si="4647">IF(AE432&gt;0,(AE434-AE432)/AE432,)</f>
        <v>0</v>
      </c>
      <c r="AV434" s="518">
        <f t="shared" ref="AV434" si="4648">IF(AF432&gt;0,(AF434-AF432)/AF432,)</f>
        <v>0</v>
      </c>
      <c r="AW434" s="518">
        <f t="shared" ref="AW434" si="4649">IF(AG432&gt;0,(AG434-AG432)/AG432,)</f>
        <v>0</v>
      </c>
      <c r="AX434" s="525">
        <f t="shared" ref="AX434" si="4650">IF(AH432&gt;0,(AH434-AH432)/AH432,)</f>
        <v>0</v>
      </c>
    </row>
    <row r="435" spans="1:50" x14ac:dyDescent="0.2">
      <c r="A435" s="696" t="s">
        <v>1115</v>
      </c>
      <c r="B435" s="697">
        <v>4432</v>
      </c>
      <c r="C435" s="697">
        <v>1737</v>
      </c>
      <c r="D435" s="697">
        <v>1186</v>
      </c>
      <c r="E435" s="697">
        <v>862</v>
      </c>
      <c r="F435" s="697">
        <v>492</v>
      </c>
      <c r="G435" s="697">
        <v>87</v>
      </c>
      <c r="H435" s="697">
        <v>8796</v>
      </c>
      <c r="I435" s="697"/>
      <c r="J435" s="697">
        <v>0</v>
      </c>
      <c r="K435" s="697">
        <v>0</v>
      </c>
      <c r="L435" s="697">
        <v>34</v>
      </c>
      <c r="M435" s="697">
        <v>2342</v>
      </c>
      <c r="N435" s="697">
        <v>2376</v>
      </c>
      <c r="O435" s="697"/>
      <c r="P435" s="697"/>
      <c r="Q435" s="697"/>
      <c r="Y435" s="309"/>
      <c r="Z435" s="305"/>
      <c r="AE435" s="309"/>
      <c r="AF435" s="305"/>
      <c r="AH435" s="309"/>
      <c r="AI435" s="516"/>
      <c r="AO435" s="524"/>
      <c r="AU435" s="524"/>
      <c r="AX435" s="524"/>
    </row>
    <row r="436" spans="1:50" x14ac:dyDescent="0.2">
      <c r="A436" s="696" t="s">
        <v>1117</v>
      </c>
      <c r="B436" s="697">
        <v>414799717.00602472</v>
      </c>
      <c r="C436" s="697">
        <v>139046909.45078668</v>
      </c>
      <c r="D436" s="697">
        <v>81252842.324070722</v>
      </c>
      <c r="E436" s="697">
        <v>56086687.692768842</v>
      </c>
      <c r="F436" s="697">
        <v>32787937.296751596</v>
      </c>
      <c r="G436" s="697">
        <v>5068861.8819665452</v>
      </c>
      <c r="H436" s="697">
        <v>729042955.65236914</v>
      </c>
      <c r="I436" s="697"/>
      <c r="J436" s="697">
        <v>0</v>
      </c>
      <c r="K436" s="697">
        <v>0</v>
      </c>
      <c r="L436" s="697">
        <v>1902654</v>
      </c>
      <c r="M436" s="697">
        <v>136709736.0798445</v>
      </c>
      <c r="N436" s="697">
        <v>138612390.0798445</v>
      </c>
      <c r="O436" s="697"/>
      <c r="P436" s="697"/>
      <c r="Q436" s="697"/>
      <c r="R436" s="294"/>
      <c r="S436" s="296">
        <f>IF(B435&gt;0,(B436/B435),)</f>
        <v>93591.9939093016</v>
      </c>
      <c r="T436" s="296">
        <f t="shared" ref="T436" si="4651">IF(C435&gt;0,(C436/C435),)</f>
        <v>80050.034226129355</v>
      </c>
      <c r="U436" s="296">
        <f t="shared" ref="U436" si="4652">IF(D435&gt;0,(D436/D435),)</f>
        <v>68509.985096181044</v>
      </c>
      <c r="V436" s="296">
        <f t="shared" ref="V436" si="4653">IF(E435&gt;0,(E436/E435),)</f>
        <v>65065.762984650632</v>
      </c>
      <c r="W436" s="296">
        <f t="shared" ref="W436" si="4654">IF(F435&gt;0,(F436/F435),)</f>
        <v>66642.148977137389</v>
      </c>
      <c r="X436" s="296">
        <f t="shared" ref="X436" si="4655">IF(G435&gt;0,(G436/G435),)</f>
        <v>58262.780252489028</v>
      </c>
      <c r="Y436" s="311">
        <f t="shared" ref="Y436" si="4656">IF(H435&gt;0,(H436/H435),)</f>
        <v>82883.464717186129</v>
      </c>
      <c r="Z436" s="306">
        <f t="shared" ref="Z436" si="4657">IF(I435&gt;0,(I436/I435),)</f>
        <v>0</v>
      </c>
      <c r="AA436" s="296">
        <f t="shared" ref="AA436" si="4658">IF(J435&gt;0,(J436/J435),)</f>
        <v>0</v>
      </c>
      <c r="AB436" s="296">
        <f t="shared" ref="AB436" si="4659">IF(K435&gt;0,(K436/K435),)</f>
        <v>0</v>
      </c>
      <c r="AC436" s="296">
        <f t="shared" ref="AC436" si="4660">IF(L435&gt;0,(L436/L435),)</f>
        <v>55960.411764705881</v>
      </c>
      <c r="AD436" s="296">
        <f t="shared" ref="AD436" si="4661">IF(M435&gt;0,(M436/M435),)</f>
        <v>58373.072621624466</v>
      </c>
      <c r="AE436" s="311">
        <f t="shared" ref="AE436" si="4662">IF(N435&gt;0,(N436/N435),)</f>
        <v>58338.548013402571</v>
      </c>
      <c r="AF436" s="306">
        <f t="shared" ref="AF436" si="4663">IF(O435&gt;0,(O436/O435),)</f>
        <v>0</v>
      </c>
      <c r="AG436" s="296">
        <f t="shared" ref="AG436" si="4664">IF(P435&gt;0,(P436/P435),)</f>
        <v>0</v>
      </c>
      <c r="AH436" s="311">
        <f t="shared" ref="AH436" si="4665">IF(Q435&gt;0,(Q436/Q435),)</f>
        <v>0</v>
      </c>
      <c r="AI436" s="516"/>
      <c r="AO436" s="524"/>
      <c r="AU436" s="524"/>
      <c r="AX436" s="524"/>
    </row>
    <row r="437" spans="1:50" x14ac:dyDescent="0.2">
      <c r="A437" s="696" t="s">
        <v>1119</v>
      </c>
      <c r="B437" s="697">
        <v>4941</v>
      </c>
      <c r="C437" s="697">
        <v>1764</v>
      </c>
      <c r="D437" s="697">
        <v>1218</v>
      </c>
      <c r="E437" s="697">
        <v>920</v>
      </c>
      <c r="F437" s="697">
        <v>502</v>
      </c>
      <c r="G437" s="697">
        <v>90</v>
      </c>
      <c r="H437" s="697">
        <v>9435</v>
      </c>
      <c r="I437" s="697"/>
      <c r="J437" s="697">
        <v>0</v>
      </c>
      <c r="K437" s="697">
        <v>0</v>
      </c>
      <c r="L437" s="697">
        <v>33</v>
      </c>
      <c r="M437" s="697">
        <v>2491</v>
      </c>
      <c r="N437" s="697">
        <v>2524</v>
      </c>
      <c r="O437" s="697"/>
      <c r="P437" s="697"/>
      <c r="Q437" s="697"/>
      <c r="Y437" s="309"/>
      <c r="Z437" s="305"/>
      <c r="AE437" s="309"/>
      <c r="AF437" s="305"/>
      <c r="AH437" s="309"/>
      <c r="AI437" s="516"/>
      <c r="AO437" s="524"/>
      <c r="AU437" s="524"/>
      <c r="AX437" s="524"/>
    </row>
    <row r="438" spans="1:50" ht="13.5" thickBot="1" x14ac:dyDescent="0.25">
      <c r="A438" s="701" t="s">
        <v>1121</v>
      </c>
      <c r="B438" s="702">
        <v>445720919.03620255</v>
      </c>
      <c r="C438" s="702">
        <v>131511278.37400015</v>
      </c>
      <c r="D438" s="702">
        <v>77240753.308741435</v>
      </c>
      <c r="E438" s="702">
        <v>60523379.999653235</v>
      </c>
      <c r="F438" s="702">
        <v>33380684.868665211</v>
      </c>
      <c r="G438" s="702">
        <v>5243348.9470316386</v>
      </c>
      <c r="H438" s="702">
        <v>753620364.53429425</v>
      </c>
      <c r="I438" s="702"/>
      <c r="J438" s="702">
        <v>0</v>
      </c>
      <c r="K438" s="702">
        <v>0</v>
      </c>
      <c r="L438" s="702">
        <v>1895699</v>
      </c>
      <c r="M438" s="702">
        <v>145564871.7729294</v>
      </c>
      <c r="N438" s="702">
        <v>147460570.7729294</v>
      </c>
      <c r="O438" s="702"/>
      <c r="P438" s="702"/>
      <c r="Q438" s="702"/>
      <c r="S438" s="302">
        <f>IF(B437&gt;0,(B438/B437),)</f>
        <v>90208.645828011038</v>
      </c>
      <c r="T438" s="302">
        <f t="shared" ref="T438" si="4666">IF(C437&gt;0,(C438/C437),)</f>
        <v>74552.878896825481</v>
      </c>
      <c r="U438" s="302">
        <f t="shared" ref="U438" si="4667">IF(D437&gt;0,(D438/D437),)</f>
        <v>63416.053619656348</v>
      </c>
      <c r="V438" s="302">
        <f t="shared" ref="V438" si="4668">IF(E437&gt;0,(E438/E437),)</f>
        <v>65786.282608318739</v>
      </c>
      <c r="W438" s="302">
        <f t="shared" ref="W438" si="4669">IF(F437&gt;0,(F438/F437),)</f>
        <v>66495.388184592055</v>
      </c>
      <c r="X438" s="302">
        <f t="shared" ref="X438" si="4670">IF(G437&gt;0,(G438/G437),)</f>
        <v>58259.432744795988</v>
      </c>
      <c r="Y438" s="312">
        <f t="shared" ref="Y438" si="4671">IF(H437&gt;0,(H438/H437),)</f>
        <v>79874.97239367188</v>
      </c>
      <c r="Z438" s="307">
        <f t="shared" ref="Z438" si="4672">IF(I437&gt;0,(I438/I437),)</f>
        <v>0</v>
      </c>
      <c r="AA438" s="302">
        <f t="shared" ref="AA438" si="4673">IF(J437&gt;0,(J438/J437),)</f>
        <v>0</v>
      </c>
      <c r="AB438" s="302">
        <f t="shared" ref="AB438" si="4674">IF(K437&gt;0,(K438/K437),)</f>
        <v>0</v>
      </c>
      <c r="AC438" s="302">
        <f t="shared" ref="AC438" si="4675">IF(L437&gt;0,(L438/L437),)</f>
        <v>57445.42424242424</v>
      </c>
      <c r="AD438" s="302">
        <f t="shared" ref="AD438" si="4676">IF(M437&gt;0,(M438/M437),)</f>
        <v>58436.319459224971</v>
      </c>
      <c r="AE438" s="312">
        <f t="shared" ref="AE438" si="4677">IF(N437&gt;0,(N438/N437),)</f>
        <v>58423.364014631297</v>
      </c>
      <c r="AF438" s="307">
        <f t="shared" ref="AF438" si="4678">IF(O437&gt;0,(O438/O437),)</f>
        <v>0</v>
      </c>
      <c r="AG438" s="302">
        <f t="shared" ref="AG438" si="4679">IF(P437&gt;0,(P438/P437),)</f>
        <v>0</v>
      </c>
      <c r="AH438" s="312">
        <f t="shared" ref="AH438" si="4680">IF(Q437&gt;0,(Q438/Q437),)</f>
        <v>0</v>
      </c>
      <c r="AI438" s="519">
        <f>IF(S436&gt;0,(S438-S436)/S436,)</f>
        <v>-3.6149973304012588E-2</v>
      </c>
      <c r="AJ438" s="520">
        <f t="shared" ref="AJ438" si="4681">IF(T436&gt;0,(T438-T436)/T436,)</f>
        <v>-6.8671492553959865E-2</v>
      </c>
      <c r="AK438" s="520">
        <f t="shared" ref="AK438" si="4682">IF(U436&gt;0,(U438-U436)/U436,)</f>
        <v>-7.4353124867467646E-2</v>
      </c>
      <c r="AL438" s="520">
        <f t="shared" ref="AL438" si="4683">IF(V436&gt;0,(V438-V436)/V436,)</f>
        <v>1.1073713587867741E-2</v>
      </c>
      <c r="AM438" s="520">
        <f t="shared" ref="AM438" si="4684">IF(W436&gt;0,(W438-W436)/W436,)</f>
        <v>-2.2022217890314806E-3</v>
      </c>
      <c r="AN438" s="520">
        <f t="shared" ref="AN438" si="4685">IF(X436&gt;0,(X438-X436)/X436,)</f>
        <v>-5.745533732743241E-5</v>
      </c>
      <c r="AO438" s="526">
        <f t="shared" ref="AO438" si="4686">IF(Y436&gt;0,(Y438-Y436)/Y436,)</f>
        <v>-3.6297859093846849E-2</v>
      </c>
      <c r="AP438" s="520">
        <f t="shared" ref="AP438" si="4687">IF(Z436&gt;0,(Z438-Z436)/Z436,)</f>
        <v>0</v>
      </c>
      <c r="AQ438" s="520">
        <f t="shared" ref="AQ438" si="4688">IF(AA436&gt;0,(AA438-AA436)/AA436,)</f>
        <v>0</v>
      </c>
      <c r="AR438" s="520">
        <f t="shared" ref="AR438" si="4689">IF(AB436&gt;0,(AB438-AB436)/AB436,)</f>
        <v>0</v>
      </c>
      <c r="AS438" s="520">
        <f t="shared" ref="AS438" si="4690">IF(AC436&gt;0,(AC438-AC436)/AC436,)</f>
        <v>2.65368397209499E-2</v>
      </c>
      <c r="AT438" s="520">
        <f t="shared" ref="AT438" si="4691">IF(AD436&gt;0,(AD438-AD436)/AD436,)</f>
        <v>1.0834933773398014E-3</v>
      </c>
      <c r="AU438" s="526">
        <f t="shared" ref="AU438" si="4692">IF(AE436&gt;0,(AE438-AE436)/AE436,)</f>
        <v>1.453858625505057E-3</v>
      </c>
      <c r="AV438" s="520">
        <f t="shared" ref="AV438" si="4693">IF(AF436&gt;0,(AF438-AF436)/AF436,)</f>
        <v>0</v>
      </c>
      <c r="AW438" s="520">
        <f t="shared" ref="AW438" si="4694">IF(AG436&gt;0,(AG438-AG436)/AG436,)</f>
        <v>0</v>
      </c>
      <c r="AX438" s="526">
        <f t="shared" ref="AX438" si="4695">IF(AH436&gt;0,(AH438-AH436)/AH436,)</f>
        <v>0</v>
      </c>
    </row>
    <row r="439" spans="1:50" x14ac:dyDescent="0.2">
      <c r="A439" s="695" t="s">
        <v>45</v>
      </c>
      <c r="B439" s="697"/>
      <c r="C439" s="697"/>
      <c r="D439" s="697"/>
      <c r="E439" s="697"/>
      <c r="F439" s="697"/>
      <c r="G439" s="697"/>
      <c r="H439" s="697"/>
      <c r="I439" s="697"/>
      <c r="J439" s="697"/>
      <c r="K439" s="697"/>
      <c r="L439" s="697"/>
      <c r="M439" s="697"/>
      <c r="N439" s="697"/>
      <c r="O439" s="697"/>
      <c r="P439" s="697"/>
      <c r="Q439" s="697"/>
      <c r="Y439" s="309"/>
      <c r="Z439" s="305"/>
      <c r="AE439" s="309"/>
      <c r="AF439" s="305"/>
      <c r="AH439" s="309"/>
      <c r="AI439" s="516"/>
      <c r="AO439" s="524"/>
      <c r="AU439" s="524"/>
      <c r="AX439" s="524"/>
    </row>
    <row r="440" spans="1:50" x14ac:dyDescent="0.2">
      <c r="A440" s="696" t="s">
        <v>1067</v>
      </c>
      <c r="B440" s="697">
        <v>292</v>
      </c>
      <c r="C440" s="697"/>
      <c r="D440" s="697">
        <v>203</v>
      </c>
      <c r="E440" s="697"/>
      <c r="F440" s="697">
        <v>86</v>
      </c>
      <c r="G440" s="697">
        <v>133</v>
      </c>
      <c r="H440" s="697">
        <v>714</v>
      </c>
      <c r="I440" s="697">
        <v>41</v>
      </c>
      <c r="J440" s="697"/>
      <c r="K440" s="697">
        <v>36</v>
      </c>
      <c r="L440" s="697">
        <v>40</v>
      </c>
      <c r="M440" s="697"/>
      <c r="N440" s="697">
        <v>117</v>
      </c>
      <c r="O440" s="697"/>
      <c r="P440" s="697"/>
      <c r="Q440" s="697"/>
      <c r="S440" s="295"/>
      <c r="T440" s="295"/>
      <c r="U440" s="295"/>
      <c r="V440" s="295"/>
      <c r="W440" s="295"/>
      <c r="X440" s="295"/>
      <c r="Y440" s="310"/>
      <c r="Z440" s="305"/>
      <c r="AA440" s="295"/>
      <c r="AB440" s="295"/>
      <c r="AC440" s="295"/>
      <c r="AD440" s="295"/>
      <c r="AE440" s="310"/>
      <c r="AF440" s="305"/>
      <c r="AG440" s="295"/>
      <c r="AH440" s="310"/>
      <c r="AI440" s="516"/>
      <c r="AO440" s="524"/>
      <c r="AU440" s="524"/>
      <c r="AX440" s="524"/>
    </row>
    <row r="441" spans="1:50" x14ac:dyDescent="0.2">
      <c r="A441" s="696" t="s">
        <v>1069</v>
      </c>
      <c r="B441" s="697">
        <v>31540477.961290322</v>
      </c>
      <c r="C441" s="697"/>
      <c r="D441" s="697">
        <v>15331871.525387492</v>
      </c>
      <c r="E441" s="697"/>
      <c r="F441" s="697">
        <v>6530434.2502121888</v>
      </c>
      <c r="G441" s="697">
        <v>9169941.3364036679</v>
      </c>
      <c r="H441" s="697">
        <v>62572725.073293671</v>
      </c>
      <c r="I441" s="697">
        <v>2515981.0641509434</v>
      </c>
      <c r="J441" s="697"/>
      <c r="K441" s="697">
        <v>2322072.4084507041</v>
      </c>
      <c r="L441" s="697">
        <v>2602939.8660287084</v>
      </c>
      <c r="M441" s="697"/>
      <c r="N441" s="697">
        <v>7440993.3386303559</v>
      </c>
      <c r="O441" s="697"/>
      <c r="P441" s="697"/>
      <c r="Q441" s="697"/>
      <c r="S441" s="296">
        <f>IF(B440&gt;0,(B441/B440),)</f>
        <v>108015.33548387096</v>
      </c>
      <c r="T441" s="296">
        <f t="shared" ref="T441" si="4696">IF(C440&gt;0,(C441/C440),)</f>
        <v>0</v>
      </c>
      <c r="U441" s="296">
        <f t="shared" ref="U441" si="4697">IF(D440&gt;0,(D441/D440),)</f>
        <v>75526.460716194546</v>
      </c>
      <c r="V441" s="296">
        <f t="shared" ref="V441" si="4698">IF(E440&gt;0,(E441/E440),)</f>
        <v>0</v>
      </c>
      <c r="W441" s="296">
        <f t="shared" ref="W441" si="4699">IF(F440&gt;0,(F441/F440),)</f>
        <v>75935.281979211504</v>
      </c>
      <c r="X441" s="296">
        <f t="shared" ref="X441" si="4700">IF(G440&gt;0,(G441/G440),)</f>
        <v>68946.927341380957</v>
      </c>
      <c r="Y441" s="311">
        <f t="shared" ref="Y441" si="4701">IF(H440&gt;0,(H441/H440),)</f>
        <v>87636.86985055136</v>
      </c>
      <c r="Z441" s="306">
        <f t="shared" ref="Z441" si="4702">IF(I440&gt;0,(I441/I440),)</f>
        <v>61365.391808559594</v>
      </c>
      <c r="AA441" s="296">
        <f t="shared" ref="AA441" si="4703">IF(J440&gt;0,(J441/J440),)</f>
        <v>0</v>
      </c>
      <c r="AB441" s="296">
        <f t="shared" ref="AB441" si="4704">IF(K440&gt;0,(K441/K440),)</f>
        <v>64502.011345852894</v>
      </c>
      <c r="AC441" s="296">
        <f t="shared" ref="AC441" si="4705">IF(L440&gt;0,(L441/L440),)</f>
        <v>65073.496650717709</v>
      </c>
      <c r="AD441" s="296">
        <f t="shared" ref="AD441" si="4706">IF(M440&gt;0,(M441/M440),)</f>
        <v>0</v>
      </c>
      <c r="AE441" s="311">
        <f t="shared" ref="AE441" si="4707">IF(N440&gt;0,(N441/N440),)</f>
        <v>63598.233663507315</v>
      </c>
      <c r="AF441" s="306">
        <f t="shared" ref="AF441" si="4708">IF(O440&gt;0,(O441/O440),)</f>
        <v>0</v>
      </c>
      <c r="AG441" s="296">
        <f t="shared" ref="AG441" si="4709">IF(P440&gt;0,(P441/P440),)</f>
        <v>0</v>
      </c>
      <c r="AH441" s="311">
        <f t="shared" ref="AH441" si="4710">IF(Q440&gt;0,(Q441/Q440),)</f>
        <v>0</v>
      </c>
      <c r="AI441" s="516"/>
      <c r="AO441" s="524"/>
      <c r="AU441" s="524"/>
      <c r="AX441" s="524"/>
    </row>
    <row r="442" spans="1:50" x14ac:dyDescent="0.2">
      <c r="A442" s="696" t="s">
        <v>1071</v>
      </c>
      <c r="B442" s="697">
        <v>290</v>
      </c>
      <c r="C442" s="697"/>
      <c r="D442" s="697">
        <v>196</v>
      </c>
      <c r="E442" s="697"/>
      <c r="F442" s="697">
        <v>82</v>
      </c>
      <c r="G442" s="697">
        <v>133</v>
      </c>
      <c r="H442" s="697">
        <v>701</v>
      </c>
      <c r="I442" s="697">
        <v>44</v>
      </c>
      <c r="J442" s="697"/>
      <c r="K442" s="697">
        <v>36</v>
      </c>
      <c r="L442" s="697">
        <v>34</v>
      </c>
      <c r="M442" s="697"/>
      <c r="N442" s="697">
        <v>114</v>
      </c>
      <c r="O442" s="697"/>
      <c r="P442" s="697"/>
      <c r="Q442" s="697"/>
      <c r="Y442" s="309"/>
      <c r="Z442" s="305"/>
      <c r="AE442" s="309"/>
      <c r="AF442" s="305"/>
      <c r="AH442" s="309"/>
      <c r="AI442" s="516"/>
      <c r="AO442" s="524"/>
      <c r="AU442" s="524"/>
      <c r="AX442" s="524"/>
    </row>
    <row r="443" spans="1:50" x14ac:dyDescent="0.2">
      <c r="A443" s="696" t="s">
        <v>1073</v>
      </c>
      <c r="B443" s="697">
        <v>31202066.39579685</v>
      </c>
      <c r="C443" s="697"/>
      <c r="D443" s="697">
        <v>14561059.871108685</v>
      </c>
      <c r="E443" s="697"/>
      <c r="F443" s="697">
        <v>6162243.0897470945</v>
      </c>
      <c r="G443" s="697">
        <v>9023891.1394056715</v>
      </c>
      <c r="H443" s="697">
        <v>60949260.4960583</v>
      </c>
      <c r="I443" s="697">
        <v>2753503.5570469797</v>
      </c>
      <c r="J443" s="697"/>
      <c r="K443" s="697">
        <v>2350432.8723404258</v>
      </c>
      <c r="L443" s="697">
        <v>2194912.971903014</v>
      </c>
      <c r="M443" s="697"/>
      <c r="N443" s="697">
        <v>7298849.4012904195</v>
      </c>
      <c r="O443" s="697"/>
      <c r="P443" s="697"/>
      <c r="Q443" s="697"/>
      <c r="R443" s="294"/>
      <c r="S443" s="296">
        <f>IF(B442&gt;0,(B443/B442),)</f>
        <v>107593.33239929948</v>
      </c>
      <c r="T443" s="296">
        <f t="shared" ref="T443" si="4711">IF(C442&gt;0,(C443/C442),)</f>
        <v>0</v>
      </c>
      <c r="U443" s="296">
        <f t="shared" ref="U443" si="4712">IF(D442&gt;0,(D443/D442),)</f>
        <v>74291.121791370839</v>
      </c>
      <c r="V443" s="296">
        <f t="shared" ref="V443" si="4713">IF(E442&gt;0,(E443/E442),)</f>
        <v>0</v>
      </c>
      <c r="W443" s="296">
        <f t="shared" ref="W443" si="4714">IF(F442&gt;0,(F443/F442),)</f>
        <v>75149.305972525544</v>
      </c>
      <c r="X443" s="296">
        <f t="shared" ref="X443" si="4715">IF(G442&gt;0,(G443/G442),)</f>
        <v>67848.805559441142</v>
      </c>
      <c r="Y443" s="311">
        <f t="shared" ref="Y443" si="4716">IF(H442&gt;0,(H443/H442),)</f>
        <v>86946.163332465483</v>
      </c>
      <c r="Z443" s="306">
        <f t="shared" ref="Z443" si="4717">IF(I442&gt;0,(I443/I442),)</f>
        <v>62579.626296522263</v>
      </c>
      <c r="AA443" s="296">
        <f t="shared" ref="AA443" si="4718">IF(J442&gt;0,(J443/J442),)</f>
        <v>0</v>
      </c>
      <c r="AB443" s="296">
        <f t="shared" ref="AB443" si="4719">IF(K442&gt;0,(K443/K442),)</f>
        <v>65289.802009456274</v>
      </c>
      <c r="AC443" s="296">
        <f t="shared" ref="AC443" si="4720">IF(L442&gt;0,(L443/L442),)</f>
        <v>64556.26387950041</v>
      </c>
      <c r="AD443" s="296">
        <f t="shared" ref="AD443" si="4721">IF(M442&gt;0,(M443/M442),)</f>
        <v>0</v>
      </c>
      <c r="AE443" s="311">
        <f t="shared" ref="AE443" si="4722">IF(N442&gt;0,(N443/N442),)</f>
        <v>64024.994748161575</v>
      </c>
      <c r="AF443" s="306">
        <f t="shared" ref="AF443" si="4723">IF(O442&gt;0,(O443/O442),)</f>
        <v>0</v>
      </c>
      <c r="AG443" s="296">
        <f t="shared" ref="AG443" si="4724">IF(P442&gt;0,(P443/P442),)</f>
        <v>0</v>
      </c>
      <c r="AH443" s="311">
        <f t="shared" ref="AH443" si="4725">IF(Q442&gt;0,(Q443/Q442),)</f>
        <v>0</v>
      </c>
      <c r="AI443" s="517">
        <f>IF(S441&gt;0,(S443-S441)/S441,)</f>
        <v>-3.9068812097935238E-3</v>
      </c>
      <c r="AJ443" s="518">
        <f t="shared" ref="AJ443" si="4726">IF(T441&gt;0,(T443-T441)/T441,)</f>
        <v>0</v>
      </c>
      <c r="AK443" s="518">
        <f t="shared" ref="AK443" si="4727">IF(U441&gt;0,(U443-U441)/U441,)</f>
        <v>-1.6356372496597382E-2</v>
      </c>
      <c r="AL443" s="518">
        <f t="shared" ref="AL443" si="4728">IF(V441&gt;0,(V443-V441)/V441,)</f>
        <v>0</v>
      </c>
      <c r="AM443" s="518">
        <f t="shared" ref="AM443" si="4729">IF(W441&gt;0,(W443-W441)/W441,)</f>
        <v>-1.0350603648263706E-2</v>
      </c>
      <c r="AN443" s="518">
        <f t="shared" ref="AN443" si="4730">IF(X441&gt;0,(X443-X441)/X441,)</f>
        <v>-1.592705903343046E-2</v>
      </c>
      <c r="AO443" s="525">
        <f t="shared" ref="AO443" si="4731">IF(Y441&gt;0,(Y443-Y441)/Y441,)</f>
        <v>-7.881460386065256E-3</v>
      </c>
      <c r="AP443" s="518">
        <f t="shared" ref="AP443" si="4732">IF(Z441&gt;0,(Z443-Z441)/Z441,)</f>
        <v>1.978695893852829E-2</v>
      </c>
      <c r="AQ443" s="518">
        <f t="shared" ref="AQ443" si="4733">IF(AA441&gt;0,(AA443-AA441)/AA441,)</f>
        <v>0</v>
      </c>
      <c r="AR443" s="518">
        <f t="shared" ref="AR443" si="4734">IF(AB441&gt;0,(AB443-AB441)/AB441,)</f>
        <v>1.2213427878695612E-2</v>
      </c>
      <c r="AS443" s="518">
        <f t="shared" ref="AS443" si="4735">IF(AC441&gt;0,(AC443-AC441)/AC441,)</f>
        <v>-7.9484398078921194E-3</v>
      </c>
      <c r="AT443" s="518">
        <f t="shared" ref="AT443" si="4736">IF(AD441&gt;0,(AD443-AD441)/AD441,)</f>
        <v>0</v>
      </c>
      <c r="AU443" s="525">
        <f t="shared" ref="AU443" si="4737">IF(AE441&gt;0,(AE443-AE441)/AE441,)</f>
        <v>6.7102663088445952E-3</v>
      </c>
      <c r="AV443" s="518">
        <f t="shared" ref="AV443" si="4738">IF(AF441&gt;0,(AF443-AF441)/AF441,)</f>
        <v>0</v>
      </c>
      <c r="AW443" s="518">
        <f t="shared" ref="AW443" si="4739">IF(AG441&gt;0,(AG443-AG441)/AG441,)</f>
        <v>0</v>
      </c>
      <c r="AX443" s="525">
        <f t="shared" ref="AX443" si="4740">IF(AH441&gt;0,(AH443-AH441)/AH441,)</f>
        <v>0</v>
      </c>
    </row>
    <row r="444" spans="1:50" x14ac:dyDescent="0.2">
      <c r="A444" s="696" t="s">
        <v>1075</v>
      </c>
      <c r="B444" s="697">
        <v>262</v>
      </c>
      <c r="C444" s="697"/>
      <c r="D444" s="697">
        <v>118</v>
      </c>
      <c r="E444" s="697"/>
      <c r="F444" s="697">
        <v>77</v>
      </c>
      <c r="G444" s="697">
        <v>149</v>
      </c>
      <c r="H444" s="697">
        <v>606</v>
      </c>
      <c r="I444" s="697">
        <v>11</v>
      </c>
      <c r="J444" s="697"/>
      <c r="K444" s="697">
        <v>20</v>
      </c>
      <c r="L444" s="697">
        <v>37</v>
      </c>
      <c r="M444" s="697"/>
      <c r="N444" s="697">
        <v>68</v>
      </c>
      <c r="O444" s="697"/>
      <c r="P444" s="697"/>
      <c r="Q444" s="697"/>
      <c r="Y444" s="309"/>
      <c r="Z444" s="305"/>
      <c r="AE444" s="309"/>
      <c r="AF444" s="305"/>
      <c r="AH444" s="309"/>
      <c r="AI444" s="516"/>
      <c r="AO444" s="524"/>
      <c r="AU444" s="524"/>
      <c r="AX444" s="524"/>
    </row>
    <row r="445" spans="1:50" x14ac:dyDescent="0.2">
      <c r="A445" s="698" t="s">
        <v>1077</v>
      </c>
      <c r="B445" s="699">
        <v>20834702.365573771</v>
      </c>
      <c r="C445" s="699"/>
      <c r="D445" s="699">
        <v>7305237.9588785041</v>
      </c>
      <c r="E445" s="699"/>
      <c r="F445" s="699">
        <v>4908409.5425219946</v>
      </c>
      <c r="G445" s="699">
        <v>8747311.8625321724</v>
      </c>
      <c r="H445" s="699">
        <v>41795661.72950644</v>
      </c>
      <c r="I445" s="699">
        <v>592588</v>
      </c>
      <c r="J445" s="699"/>
      <c r="K445" s="699">
        <v>1015888.4817813765</v>
      </c>
      <c r="L445" s="699">
        <v>2088146.156626506</v>
      </c>
      <c r="M445" s="699"/>
      <c r="N445" s="699">
        <v>3696622.6384078823</v>
      </c>
      <c r="O445" s="699"/>
      <c r="P445" s="699"/>
      <c r="Q445" s="699"/>
      <c r="S445" s="296">
        <f>IF(B444&gt;0,(B445/B444),)</f>
        <v>79521.76475409836</v>
      </c>
      <c r="T445" s="296">
        <f t="shared" ref="T445" si="4741">IF(C444&gt;0,(C445/C444),)</f>
        <v>0</v>
      </c>
      <c r="U445" s="296">
        <f t="shared" ref="U445" si="4742">IF(D444&gt;0,(D445/D444),)</f>
        <v>61908.796261682241</v>
      </c>
      <c r="V445" s="296">
        <f t="shared" ref="V445" si="4743">IF(E444&gt;0,(E445/E444),)</f>
        <v>0</v>
      </c>
      <c r="W445" s="296">
        <f t="shared" ref="W445" si="4744">IF(F444&gt;0,(F445/F444),)</f>
        <v>63745.578474311616</v>
      </c>
      <c r="X445" s="296">
        <f t="shared" ref="X445" si="4745">IF(G444&gt;0,(G445/G444),)</f>
        <v>58706.791023705853</v>
      </c>
      <c r="Y445" s="311">
        <f t="shared" ref="Y445" si="4746">IF(H444&gt;0,(H445/H444),)</f>
        <v>68969.738827568377</v>
      </c>
      <c r="Z445" s="306">
        <f t="shared" ref="Z445" si="4747">IF(I444&gt;0,(I445/I444),)</f>
        <v>53871.63636363636</v>
      </c>
      <c r="AA445" s="296">
        <f t="shared" ref="AA445" si="4748">IF(J444&gt;0,(J445/J444),)</f>
        <v>0</v>
      </c>
      <c r="AB445" s="296">
        <f t="shared" ref="AB445" si="4749">IF(K444&gt;0,(K445/K444),)</f>
        <v>50794.424089068823</v>
      </c>
      <c r="AC445" s="296">
        <f t="shared" ref="AC445" si="4750">IF(L444&gt;0,(L445/L444),)</f>
        <v>56436.382611527188</v>
      </c>
      <c r="AD445" s="296">
        <f t="shared" ref="AD445" si="4751">IF(M444&gt;0,(M445/M444),)</f>
        <v>0</v>
      </c>
      <c r="AE445" s="311">
        <f t="shared" ref="AE445" si="4752">IF(N444&gt;0,(N445/N444),)</f>
        <v>54362.097623645328</v>
      </c>
      <c r="AF445" s="306">
        <f t="shared" ref="AF445" si="4753">IF(O444&gt;0,(O445/O444),)</f>
        <v>0</v>
      </c>
      <c r="AG445" s="296">
        <f t="shared" ref="AG445" si="4754">IF(P444&gt;0,(P445/P444),)</f>
        <v>0</v>
      </c>
      <c r="AH445" s="311">
        <f t="shared" ref="AH445" si="4755">IF(Q444&gt;0,(Q445/Q444),)</f>
        <v>0</v>
      </c>
      <c r="AI445" s="516"/>
      <c r="AO445" s="524"/>
      <c r="AU445" s="524"/>
      <c r="AX445" s="524"/>
    </row>
    <row r="446" spans="1:50" x14ac:dyDescent="0.2">
      <c r="A446" s="696" t="s">
        <v>1079</v>
      </c>
      <c r="B446" s="697">
        <v>293</v>
      </c>
      <c r="C446" s="697"/>
      <c r="D446" s="697">
        <v>126</v>
      </c>
      <c r="E446" s="697"/>
      <c r="F446" s="697">
        <v>86</v>
      </c>
      <c r="G446" s="697">
        <v>161</v>
      </c>
      <c r="H446" s="697">
        <v>666</v>
      </c>
      <c r="I446" s="697">
        <v>14</v>
      </c>
      <c r="J446" s="697"/>
      <c r="K446" s="697">
        <v>26</v>
      </c>
      <c r="L446" s="697">
        <v>40</v>
      </c>
      <c r="M446" s="697"/>
      <c r="N446" s="697">
        <v>80</v>
      </c>
      <c r="O446" s="697"/>
      <c r="P446" s="697"/>
      <c r="Q446" s="697"/>
      <c r="Y446" s="309"/>
      <c r="Z446" s="305"/>
      <c r="AE446" s="309"/>
      <c r="AF446" s="305"/>
      <c r="AH446" s="309"/>
      <c r="AI446" s="516"/>
      <c r="AO446" s="524"/>
      <c r="AU446" s="524"/>
      <c r="AX446" s="524"/>
    </row>
    <row r="447" spans="1:50" x14ac:dyDescent="0.2">
      <c r="A447" s="696" t="s">
        <v>1081</v>
      </c>
      <c r="B447" s="697">
        <v>24001357.682344429</v>
      </c>
      <c r="C447" s="697"/>
      <c r="D447" s="697">
        <v>7863049.4099216703</v>
      </c>
      <c r="E447" s="697"/>
      <c r="F447" s="697">
        <v>5388958.4647674784</v>
      </c>
      <c r="G447" s="697">
        <v>9511071.7228522394</v>
      </c>
      <c r="H447" s="697">
        <v>46764437.279885814</v>
      </c>
      <c r="I447" s="697">
        <v>728759.03571428568</v>
      </c>
      <c r="J447" s="697"/>
      <c r="K447" s="697">
        <v>1371580</v>
      </c>
      <c r="L447" s="697">
        <v>2258295.4835153427</v>
      </c>
      <c r="M447" s="697"/>
      <c r="N447" s="697">
        <v>4358634.5192296281</v>
      </c>
      <c r="O447" s="697"/>
      <c r="P447" s="697"/>
      <c r="Q447" s="697"/>
      <c r="R447" s="294"/>
      <c r="S447" s="296">
        <f>IF(B446&gt;0,(B447/B446),)</f>
        <v>81915.896526772791</v>
      </c>
      <c r="T447" s="296">
        <f t="shared" ref="T447" si="4756">IF(C446&gt;0,(C447/C446),)</f>
        <v>0</v>
      </c>
      <c r="U447" s="296">
        <f t="shared" ref="U447" si="4757">IF(D446&gt;0,(D447/D446),)</f>
        <v>62405.154046997384</v>
      </c>
      <c r="V447" s="296">
        <f t="shared" ref="V447" si="4758">IF(E446&gt;0,(E447/E446),)</f>
        <v>0</v>
      </c>
      <c r="W447" s="296">
        <f t="shared" ref="W447" si="4759">IF(F446&gt;0,(F447/F446),)</f>
        <v>62662.307729854401</v>
      </c>
      <c r="X447" s="296">
        <f t="shared" ref="X447" si="4760">IF(G446&gt;0,(G447/G446),)</f>
        <v>59074.979645044965</v>
      </c>
      <c r="Y447" s="311">
        <f t="shared" ref="Y447" si="4761">IF(H446&gt;0,(H447/H446),)</f>
        <v>70216.872792621347</v>
      </c>
      <c r="Z447" s="306">
        <f t="shared" ref="Z447" si="4762">IF(I446&gt;0,(I447/I446),)</f>
        <v>52054.216836734689</v>
      </c>
      <c r="AA447" s="296">
        <f t="shared" ref="AA447" si="4763">IF(J446&gt;0,(J447/J446),)</f>
        <v>0</v>
      </c>
      <c r="AB447" s="296">
        <f t="shared" ref="AB447" si="4764">IF(K446&gt;0,(K447/K446),)</f>
        <v>52753.076923076922</v>
      </c>
      <c r="AC447" s="296">
        <f t="shared" ref="AC447" si="4765">IF(L446&gt;0,(L447/L446),)</f>
        <v>56457.387087883566</v>
      </c>
      <c r="AD447" s="296">
        <f t="shared" ref="AD447" si="4766">IF(M446&gt;0,(M447/M446),)</f>
        <v>0</v>
      </c>
      <c r="AE447" s="311">
        <f t="shared" ref="AE447" si="4767">IF(N446&gt;0,(N447/N446),)</f>
        <v>54482.931490370349</v>
      </c>
      <c r="AF447" s="306">
        <f t="shared" ref="AF447" si="4768">IF(O446&gt;0,(O447/O446),)</f>
        <v>0</v>
      </c>
      <c r="AG447" s="296">
        <f t="shared" ref="AG447" si="4769">IF(P446&gt;0,(P447/P446),)</f>
        <v>0</v>
      </c>
      <c r="AH447" s="311">
        <f t="shared" ref="AH447" si="4770">IF(Q446&gt;0,(Q447/Q446),)</f>
        <v>0</v>
      </c>
      <c r="AI447" s="517">
        <f>IF(S445&gt;0,(S447-S445)/S445,)</f>
        <v>3.0106622760167595E-2</v>
      </c>
      <c r="AJ447" s="518">
        <f t="shared" ref="AJ447" si="4771">IF(T445&gt;0,(T447-T445)/T445,)</f>
        <v>0</v>
      </c>
      <c r="AK447" s="518">
        <f t="shared" ref="AK447" si="4772">IF(U445&gt;0,(U447-U445)/U445,)</f>
        <v>8.0175647934921778E-3</v>
      </c>
      <c r="AL447" s="518">
        <f t="shared" ref="AL447" si="4773">IF(V445&gt;0,(V447-V445)/V445,)</f>
        <v>0</v>
      </c>
      <c r="AM447" s="518">
        <f t="shared" ref="AM447" si="4774">IF(W445&gt;0,(W447-W445)/W445,)</f>
        <v>-1.6993660899849782E-2</v>
      </c>
      <c r="AN447" s="518">
        <f t="shared" ref="AN447" si="4775">IF(X445&gt;0,(X447-X445)/X445,)</f>
        <v>6.2716529879896996E-3</v>
      </c>
      <c r="AO447" s="525">
        <f t="shared" ref="AO447" si="4776">IF(Y445&gt;0,(Y447-Y445)/Y445,)</f>
        <v>1.8082335619262476E-2</v>
      </c>
      <c r="AP447" s="527">
        <f t="shared" ref="AP447" si="4777">IF(Z445&gt;0,(Z447-Z445)/Z445,)</f>
        <v>-3.3736111422975799E-2</v>
      </c>
      <c r="AQ447" s="518">
        <f t="shared" ref="AQ447" si="4778">IF(AA445&gt;0,(AA447-AA445)/AA445,)</f>
        <v>0</v>
      </c>
      <c r="AR447" s="527">
        <f t="shared" ref="AR447" si="4779">IF(AB445&gt;0,(AB447-AB445)/AB445,)</f>
        <v>3.8560390616371003E-2</v>
      </c>
      <c r="AS447" s="518">
        <f t="shared" ref="AS447" si="4780">IF(AC445&gt;0,(AC447-AC445)/AC445,)</f>
        <v>3.7217970721050618E-4</v>
      </c>
      <c r="AT447" s="518">
        <f t="shared" ref="AT447" si="4781">IF(AD445&gt;0,(AD447-AD445)/AD445,)</f>
        <v>0</v>
      </c>
      <c r="AU447" s="525">
        <f t="shared" ref="AU447" si="4782">IF(AE445&gt;0,(AE447-AE445)/AE445,)</f>
        <v>2.2227594593859645E-3</v>
      </c>
      <c r="AV447" s="518">
        <f t="shared" ref="AV447" si="4783">IF(AF445&gt;0,(AF447-AF445)/AF445,)</f>
        <v>0</v>
      </c>
      <c r="AW447" s="518">
        <f t="shared" ref="AW447" si="4784">IF(AG445&gt;0,(AG447-AG445)/AG445,)</f>
        <v>0</v>
      </c>
      <c r="AX447" s="525">
        <f t="shared" ref="AX447" si="4785">IF(AH445&gt;0,(AH447-AH445)/AH445,)</f>
        <v>0</v>
      </c>
    </row>
    <row r="448" spans="1:50" x14ac:dyDescent="0.2">
      <c r="A448" s="696" t="s">
        <v>1083</v>
      </c>
      <c r="B448" s="697">
        <v>360</v>
      </c>
      <c r="C448" s="697"/>
      <c r="D448" s="697">
        <v>117</v>
      </c>
      <c r="E448" s="697"/>
      <c r="F448" s="697">
        <v>109</v>
      </c>
      <c r="G448" s="697">
        <v>213</v>
      </c>
      <c r="H448" s="697">
        <v>799</v>
      </c>
      <c r="I448" s="697">
        <v>31</v>
      </c>
      <c r="J448" s="697"/>
      <c r="K448" s="697">
        <v>45</v>
      </c>
      <c r="L448" s="697">
        <v>79</v>
      </c>
      <c r="M448" s="697"/>
      <c r="N448" s="697">
        <v>155</v>
      </c>
      <c r="O448" s="697"/>
      <c r="P448" s="697"/>
      <c r="Q448" s="697"/>
      <c r="Y448" s="309"/>
      <c r="Z448" s="305"/>
      <c r="AE448" s="309"/>
      <c r="AF448" s="305"/>
      <c r="AH448" s="309"/>
      <c r="AI448" s="516"/>
      <c r="AO448" s="524"/>
      <c r="AU448" s="524"/>
      <c r="AX448" s="524"/>
    </row>
    <row r="449" spans="1:50" x14ac:dyDescent="0.2">
      <c r="A449" s="696" t="s">
        <v>1085</v>
      </c>
      <c r="B449" s="697">
        <v>23151118.264014468</v>
      </c>
      <c r="C449" s="697"/>
      <c r="D449" s="697">
        <v>6074323.2950047124</v>
      </c>
      <c r="E449" s="697"/>
      <c r="F449" s="697">
        <v>5786316.0578034678</v>
      </c>
      <c r="G449" s="697">
        <v>10979010.98648308</v>
      </c>
      <c r="H449" s="697">
        <v>45990768.603305727</v>
      </c>
      <c r="I449" s="697">
        <v>1389586.2173913042</v>
      </c>
      <c r="J449" s="697"/>
      <c r="K449" s="697">
        <v>2160861.4079002077</v>
      </c>
      <c r="L449" s="697">
        <v>3534414.5043786732</v>
      </c>
      <c r="M449" s="697"/>
      <c r="N449" s="697">
        <v>7084862.129670185</v>
      </c>
      <c r="O449" s="697"/>
      <c r="P449" s="697"/>
      <c r="Q449" s="697"/>
      <c r="R449" s="294"/>
      <c r="S449" s="296">
        <f>IF(B448&gt;0,(B449/B448),)</f>
        <v>64308.661844484632</v>
      </c>
      <c r="T449" s="296">
        <f t="shared" ref="T449" si="4786">IF(C448&gt;0,(C449/C448),)</f>
        <v>0</v>
      </c>
      <c r="U449" s="296">
        <f t="shared" ref="U449" si="4787">IF(D448&gt;0,(D449/D448),)</f>
        <v>51917.293119698399</v>
      </c>
      <c r="V449" s="296">
        <f t="shared" ref="V449" si="4788">IF(E448&gt;0,(E449/E448),)</f>
        <v>0</v>
      </c>
      <c r="W449" s="296">
        <f t="shared" ref="W449" si="4789">IF(F448&gt;0,(F449/F448),)</f>
        <v>53085.4684202153</v>
      </c>
      <c r="X449" s="296">
        <f t="shared" ref="X449" si="4790">IF(G448&gt;0,(G449/G448),)</f>
        <v>51544.652518699906</v>
      </c>
      <c r="Y449" s="311">
        <f t="shared" ref="Y449" si="4791">IF(H448&gt;0,(H449/H448),)</f>
        <v>57560.411268217431</v>
      </c>
      <c r="Z449" s="306">
        <f t="shared" ref="Z449" si="4792">IF(I448&gt;0,(I449/I448),)</f>
        <v>44825.361851332396</v>
      </c>
      <c r="AA449" s="296">
        <f t="shared" ref="AA449" si="4793">IF(J448&gt;0,(J449/J448),)</f>
        <v>0</v>
      </c>
      <c r="AB449" s="296">
        <f t="shared" ref="AB449" si="4794">IF(K448&gt;0,(K449/K448),)</f>
        <v>48019.142397782394</v>
      </c>
      <c r="AC449" s="296">
        <f t="shared" ref="AC449" si="4795">IF(L448&gt;0,(L449/L448),)</f>
        <v>44739.424106059152</v>
      </c>
      <c r="AD449" s="296">
        <f t="shared" ref="AD449" si="4796">IF(M448&gt;0,(M449/M448),)</f>
        <v>0</v>
      </c>
      <c r="AE449" s="311">
        <f t="shared" ref="AE449" si="4797">IF(N448&gt;0,(N449/N448),)</f>
        <v>45708.787933356034</v>
      </c>
      <c r="AF449" s="306">
        <f t="shared" ref="AF449" si="4798">IF(O448&gt;0,(O449/O448),)</f>
        <v>0</v>
      </c>
      <c r="AG449" s="296">
        <f t="shared" ref="AG449" si="4799">IF(P448&gt;0,(P449/P448),)</f>
        <v>0</v>
      </c>
      <c r="AH449" s="311">
        <f t="shared" ref="AH449" si="4800">IF(Q448&gt;0,(Q449/Q448),)</f>
        <v>0</v>
      </c>
      <c r="AI449" s="516"/>
      <c r="AO449" s="524"/>
      <c r="AU449" s="524"/>
      <c r="AX449" s="524"/>
    </row>
    <row r="450" spans="1:50" x14ac:dyDescent="0.2">
      <c r="A450" s="696" t="s">
        <v>1087</v>
      </c>
      <c r="B450" s="697">
        <v>364</v>
      </c>
      <c r="C450" s="697"/>
      <c r="D450" s="697">
        <v>125</v>
      </c>
      <c r="E450" s="697"/>
      <c r="F450" s="697">
        <v>107</v>
      </c>
      <c r="G450" s="697">
        <v>216</v>
      </c>
      <c r="H450" s="697">
        <v>812</v>
      </c>
      <c r="I450" s="697">
        <v>39</v>
      </c>
      <c r="J450" s="697"/>
      <c r="K450" s="697">
        <v>39</v>
      </c>
      <c r="L450" s="697">
        <v>94</v>
      </c>
      <c r="M450" s="697"/>
      <c r="N450" s="697">
        <v>172</v>
      </c>
      <c r="O450" s="697"/>
      <c r="P450" s="697"/>
      <c r="Q450" s="697"/>
      <c r="Y450" s="309"/>
      <c r="Z450" s="305"/>
      <c r="AE450" s="309"/>
      <c r="AF450" s="305"/>
      <c r="AH450" s="309"/>
      <c r="AI450" s="516"/>
      <c r="AO450" s="524"/>
      <c r="AU450" s="524"/>
      <c r="AX450" s="524"/>
    </row>
    <row r="451" spans="1:50" x14ac:dyDescent="0.2">
      <c r="A451" s="696" t="s">
        <v>1089</v>
      </c>
      <c r="B451" s="697">
        <v>23738774.879716985</v>
      </c>
      <c r="C451" s="697"/>
      <c r="D451" s="697">
        <v>6651575.7180156652</v>
      </c>
      <c r="E451" s="697"/>
      <c r="F451" s="697">
        <v>5685842.76391753</v>
      </c>
      <c r="G451" s="697">
        <v>11343553.28951947</v>
      </c>
      <c r="H451" s="697">
        <v>47419746.651169643</v>
      </c>
      <c r="I451" s="697">
        <v>1743701.0746268658</v>
      </c>
      <c r="J451" s="697"/>
      <c r="K451" s="697">
        <v>1803568.7477313974</v>
      </c>
      <c r="L451" s="697">
        <v>4187903.3761750599</v>
      </c>
      <c r="M451" s="697"/>
      <c r="N451" s="697">
        <v>7735173.1985333227</v>
      </c>
      <c r="O451" s="697"/>
      <c r="P451" s="697"/>
      <c r="Q451" s="697"/>
      <c r="R451" s="294"/>
      <c r="S451" s="296">
        <f>IF(B450&gt;0,(B451/B450),)</f>
        <v>65216.414504716995</v>
      </c>
      <c r="T451" s="296">
        <f t="shared" ref="T451" si="4801">IF(C450&gt;0,(C451/C450),)</f>
        <v>0</v>
      </c>
      <c r="U451" s="296">
        <f t="shared" ref="U451" si="4802">IF(D450&gt;0,(D451/D450),)</f>
        <v>53212.605744125322</v>
      </c>
      <c r="V451" s="296">
        <f t="shared" ref="V451" si="4803">IF(E450&gt;0,(E451/E450),)</f>
        <v>0</v>
      </c>
      <c r="W451" s="296">
        <f t="shared" ref="W451" si="4804">IF(F450&gt;0,(F451/F450),)</f>
        <v>53138.717419790002</v>
      </c>
      <c r="X451" s="296">
        <f t="shared" ref="X451" si="4805">IF(G450&gt;0,(G451/G450),)</f>
        <v>52516.450414441992</v>
      </c>
      <c r="Y451" s="311">
        <f t="shared" ref="Y451" si="4806">IF(H450&gt;0,(H451/H450),)</f>
        <v>58398.702772376404</v>
      </c>
      <c r="Z451" s="306">
        <f t="shared" ref="Z451" si="4807">IF(I450&gt;0,(I451/I450),)</f>
        <v>44710.28396479143</v>
      </c>
      <c r="AA451" s="296">
        <f t="shared" ref="AA451" si="4808">IF(J450&gt;0,(J451/J450),)</f>
        <v>0</v>
      </c>
      <c r="AB451" s="296">
        <f t="shared" ref="AB451" si="4809">IF(K450&gt;0,(K451/K450),)</f>
        <v>46245.352505933268</v>
      </c>
      <c r="AC451" s="296">
        <f t="shared" ref="AC451" si="4810">IF(L450&gt;0,(L451/L450),)</f>
        <v>44552.163576330422</v>
      </c>
      <c r="AD451" s="296">
        <f t="shared" ref="AD451" si="4811">IF(M450&gt;0,(M451/M450),)</f>
        <v>0</v>
      </c>
      <c r="AE451" s="311">
        <f t="shared" ref="AE451" si="4812">IF(N450&gt;0,(N451/N450),)</f>
        <v>44971.93720077513</v>
      </c>
      <c r="AF451" s="306">
        <f t="shared" ref="AF451" si="4813">IF(O450&gt;0,(O451/O450),)</f>
        <v>0</v>
      </c>
      <c r="AG451" s="296">
        <f t="shared" ref="AG451" si="4814">IF(P450&gt;0,(P451/P450),)</f>
        <v>0</v>
      </c>
      <c r="AH451" s="311">
        <f t="shared" ref="AH451" si="4815">IF(Q450&gt;0,(Q451/Q450),)</f>
        <v>0</v>
      </c>
      <c r="AI451" s="517">
        <f>IF(S449&gt;0,(S451-S449)/S449,)</f>
        <v>1.4115558218697654E-2</v>
      </c>
      <c r="AJ451" s="518">
        <f t="shared" ref="AJ451" si="4816">IF(T449&gt;0,(T451-T449)/T449,)</f>
        <v>0</v>
      </c>
      <c r="AK451" s="518">
        <f t="shared" ref="AK451" si="4817">IF(U449&gt;0,(U451-U449)/U449,)</f>
        <v>2.4949540829112611E-2</v>
      </c>
      <c r="AL451" s="518">
        <f t="shared" ref="AL451" si="4818">IF(V449&gt;0,(V451-V449)/V449,)</f>
        <v>0</v>
      </c>
      <c r="AM451" s="518">
        <f t="shared" ref="AM451" si="4819">IF(W449&gt;0,(W451-W449)/W449,)</f>
        <v>1.0030805257889429E-3</v>
      </c>
      <c r="AN451" s="518">
        <f t="shared" ref="AN451" si="4820">IF(X449&gt;0,(X451-X449)/X449,)</f>
        <v>1.8853515316443865E-2</v>
      </c>
      <c r="AO451" s="525">
        <f t="shared" ref="AO451" si="4821">IF(Y449&gt;0,(Y451-Y449)/Y449,)</f>
        <v>1.4563681629249309E-2</v>
      </c>
      <c r="AP451" s="518">
        <f t="shared" ref="AP451" si="4822">IF(Z449&gt;0,(Z451-Z449)/Z449,)</f>
        <v>-2.5672494719090814E-3</v>
      </c>
      <c r="AQ451" s="518">
        <f t="shared" ref="AQ451" si="4823">IF(AA449&gt;0,(AA451-AA449)/AA449,)</f>
        <v>0</v>
      </c>
      <c r="AR451" s="527">
        <f t="shared" ref="AR451" si="4824">IF(AB449&gt;0,(AB451-AB449)/AB449,)</f>
        <v>-3.6939224719078761E-2</v>
      </c>
      <c r="AS451" s="518">
        <f t="shared" ref="AS451" si="4825">IF(AC449&gt;0,(AC451-AC449)/AC449,)</f>
        <v>-4.1855820335284328E-3</v>
      </c>
      <c r="AT451" s="518">
        <f t="shared" ref="AT451" si="4826">IF(AD449&gt;0,(AD451-AD449)/AD449,)</f>
        <v>0</v>
      </c>
      <c r="AU451" s="525">
        <f t="shared" ref="AU451" si="4827">IF(AE449&gt;0,(AE451-AE449)/AE449,)</f>
        <v>-1.6120548496171928E-2</v>
      </c>
      <c r="AV451" s="518">
        <f t="shared" ref="AV451" si="4828">IF(AF449&gt;0,(AF451-AF449)/AF449,)</f>
        <v>0</v>
      </c>
      <c r="AW451" s="518">
        <f t="shared" ref="AW451" si="4829">IF(AG449&gt;0,(AG451-AG449)/AG449,)</f>
        <v>0</v>
      </c>
      <c r="AX451" s="525">
        <f t="shared" ref="AX451" si="4830">IF(AH449&gt;0,(AH451-AH449)/AH449,)</f>
        <v>0</v>
      </c>
    </row>
    <row r="452" spans="1:50" x14ac:dyDescent="0.2">
      <c r="A452" s="696" t="s">
        <v>1091</v>
      </c>
      <c r="B452" s="697">
        <v>51</v>
      </c>
      <c r="C452" s="697"/>
      <c r="D452" s="697">
        <v>62</v>
      </c>
      <c r="E452" s="697"/>
      <c r="F452" s="697">
        <v>15</v>
      </c>
      <c r="G452" s="697">
        <v>79</v>
      </c>
      <c r="H452" s="697">
        <v>207</v>
      </c>
      <c r="I452" s="697">
        <v>37</v>
      </c>
      <c r="J452" s="697"/>
      <c r="K452" s="697">
        <v>72</v>
      </c>
      <c r="L452" s="697">
        <v>77</v>
      </c>
      <c r="M452" s="697"/>
      <c r="N452" s="697">
        <v>186</v>
      </c>
      <c r="O452" s="697"/>
      <c r="P452" s="697"/>
      <c r="Q452" s="697"/>
      <c r="Y452" s="309"/>
      <c r="Z452" s="305"/>
      <c r="AE452" s="309"/>
      <c r="AF452" s="305"/>
      <c r="AH452" s="309"/>
      <c r="AI452" s="516"/>
      <c r="AO452" s="524"/>
      <c r="AU452" s="524"/>
      <c r="AX452" s="524"/>
    </row>
    <row r="453" spans="1:50" x14ac:dyDescent="0.2">
      <c r="A453" s="696" t="s">
        <v>1093</v>
      </c>
      <c r="B453" s="697">
        <v>2146918.9336188436</v>
      </c>
      <c r="C453" s="697"/>
      <c r="D453" s="697">
        <v>2256862</v>
      </c>
      <c r="E453" s="697"/>
      <c r="F453" s="697">
        <v>645776.6326530613</v>
      </c>
      <c r="G453" s="697">
        <v>3475632.1124660904</v>
      </c>
      <c r="H453" s="697">
        <v>8525189.6787379943</v>
      </c>
      <c r="I453" s="697">
        <v>1452493.4273127753</v>
      </c>
      <c r="J453" s="697"/>
      <c r="K453" s="697">
        <v>2825511.2043189369</v>
      </c>
      <c r="L453" s="697">
        <v>3042168.2572582043</v>
      </c>
      <c r="M453" s="697"/>
      <c r="N453" s="697">
        <v>7320172.8888899162</v>
      </c>
      <c r="O453" s="697"/>
      <c r="P453" s="697"/>
      <c r="Q453" s="697"/>
      <c r="R453" s="294"/>
      <c r="S453" s="296">
        <f>IF(B452&gt;0,(B453/B452),)</f>
        <v>42096.449678800855</v>
      </c>
      <c r="T453" s="296">
        <f t="shared" ref="T453" si="4831">IF(C452&gt;0,(C453/C452),)</f>
        <v>0</v>
      </c>
      <c r="U453" s="296">
        <f t="shared" ref="U453" si="4832">IF(D452&gt;0,(D453/D452),)</f>
        <v>36401</v>
      </c>
      <c r="V453" s="296">
        <f t="shared" ref="V453" si="4833">IF(E452&gt;0,(E453/E452),)</f>
        <v>0</v>
      </c>
      <c r="W453" s="296">
        <f t="shared" ref="W453" si="4834">IF(F452&gt;0,(F453/F452),)</f>
        <v>43051.77551020409</v>
      </c>
      <c r="X453" s="296">
        <f t="shared" ref="X453" si="4835">IF(G452&gt;0,(G453/G452),)</f>
        <v>43995.343195773297</v>
      </c>
      <c r="Y453" s="311">
        <f t="shared" ref="Y453" si="4836">IF(H452&gt;0,(H453/H452),)</f>
        <v>41184.491201632824</v>
      </c>
      <c r="Z453" s="306">
        <f t="shared" ref="Z453" si="4837">IF(I452&gt;0,(I453/I452),)</f>
        <v>39256.579116561494</v>
      </c>
      <c r="AA453" s="296">
        <f t="shared" ref="AA453" si="4838">IF(J452&gt;0,(J453/J452),)</f>
        <v>0</v>
      </c>
      <c r="AB453" s="296">
        <f t="shared" ref="AB453" si="4839">IF(K452&gt;0,(K453/K452),)</f>
        <v>39243.211171096344</v>
      </c>
      <c r="AC453" s="296">
        <f t="shared" ref="AC453" si="4840">IF(L452&gt;0,(L453/L452),)</f>
        <v>39508.678665690968</v>
      </c>
      <c r="AD453" s="296">
        <f t="shared" ref="AD453" si="4841">IF(M452&gt;0,(M453/M452),)</f>
        <v>0</v>
      </c>
      <c r="AE453" s="311">
        <f t="shared" ref="AE453" si="4842">IF(N452&gt;0,(N453/N452),)</f>
        <v>39355.768219838261</v>
      </c>
      <c r="AF453" s="306">
        <f t="shared" ref="AF453" si="4843">IF(O452&gt;0,(O453/O452),)</f>
        <v>0</v>
      </c>
      <c r="AG453" s="296">
        <f t="shared" ref="AG453" si="4844">IF(P452&gt;0,(P453/P452),)</f>
        <v>0</v>
      </c>
      <c r="AH453" s="311">
        <f t="shared" ref="AH453" si="4845">IF(Q452&gt;0,(Q453/Q452),)</f>
        <v>0</v>
      </c>
      <c r="AI453" s="516"/>
      <c r="AO453" s="524"/>
      <c r="AU453" s="524"/>
      <c r="AX453" s="524"/>
    </row>
    <row r="454" spans="1:50" x14ac:dyDescent="0.2">
      <c r="A454" s="696" t="s">
        <v>1095</v>
      </c>
      <c r="B454" s="697">
        <v>52</v>
      </c>
      <c r="C454" s="697"/>
      <c r="D454" s="697">
        <v>61</v>
      </c>
      <c r="E454" s="697"/>
      <c r="F454" s="697">
        <v>12</v>
      </c>
      <c r="G454" s="697">
        <v>78</v>
      </c>
      <c r="H454" s="697">
        <v>203</v>
      </c>
      <c r="I454" s="697">
        <v>28</v>
      </c>
      <c r="J454" s="697"/>
      <c r="K454" s="697">
        <v>76</v>
      </c>
      <c r="L454" s="697">
        <v>89</v>
      </c>
      <c r="M454" s="697"/>
      <c r="N454" s="697">
        <v>193</v>
      </c>
      <c r="O454" s="697"/>
      <c r="P454" s="697"/>
      <c r="Q454" s="697"/>
      <c r="Y454" s="309"/>
      <c r="Z454" s="305"/>
      <c r="AE454" s="309"/>
      <c r="AF454" s="305"/>
      <c r="AH454" s="309"/>
      <c r="AI454" s="516"/>
      <c r="AO454" s="524"/>
      <c r="AU454" s="524"/>
      <c r="AX454" s="524"/>
    </row>
    <row r="455" spans="1:50" x14ac:dyDescent="0.2">
      <c r="A455" s="696" t="s">
        <v>1097</v>
      </c>
      <c r="B455" s="697">
        <v>2187066.8033472802</v>
      </c>
      <c r="C455" s="697"/>
      <c r="D455" s="697">
        <v>2131160</v>
      </c>
      <c r="E455" s="697"/>
      <c r="F455" s="697">
        <v>443826.84375</v>
      </c>
      <c r="G455" s="697">
        <v>3332502.5937254615</v>
      </c>
      <c r="H455" s="697">
        <v>8094556.2408227418</v>
      </c>
      <c r="I455" s="697">
        <v>1066576.4350649351</v>
      </c>
      <c r="J455" s="697"/>
      <c r="K455" s="697">
        <v>2934775.3789970889</v>
      </c>
      <c r="L455" s="697">
        <v>3368725.1262517772</v>
      </c>
      <c r="M455" s="697"/>
      <c r="N455" s="697">
        <v>7370076.9403138012</v>
      </c>
      <c r="O455" s="697"/>
      <c r="P455" s="697"/>
      <c r="Q455" s="697"/>
      <c r="R455" s="294"/>
      <c r="S455" s="296">
        <f>IF(B454&gt;0,(B455/B454),)</f>
        <v>42058.976987447699</v>
      </c>
      <c r="T455" s="296">
        <f t="shared" ref="T455" si="4846">IF(C454&gt;0,(C455/C454),)</f>
        <v>0</v>
      </c>
      <c r="U455" s="296">
        <f t="shared" ref="U455" si="4847">IF(D454&gt;0,(D455/D454),)</f>
        <v>34937.049180327871</v>
      </c>
      <c r="V455" s="296">
        <f t="shared" ref="V455" si="4848">IF(E454&gt;0,(E455/E454),)</f>
        <v>0</v>
      </c>
      <c r="W455" s="296">
        <f t="shared" ref="W455" si="4849">IF(F454&gt;0,(F455/F454),)</f>
        <v>36985.5703125</v>
      </c>
      <c r="X455" s="296">
        <f t="shared" ref="X455" si="4850">IF(G454&gt;0,(G455/G454),)</f>
        <v>42724.392227249504</v>
      </c>
      <c r="Y455" s="311">
        <f t="shared" ref="Y455" si="4851">IF(H454&gt;0,(H455/H454),)</f>
        <v>39874.661284841095</v>
      </c>
      <c r="Z455" s="306">
        <f t="shared" ref="Z455" si="4852">IF(I454&gt;0,(I455/I454),)</f>
        <v>38092.015538033396</v>
      </c>
      <c r="AA455" s="296">
        <f t="shared" ref="AA455" si="4853">IF(J454&gt;0,(J455/J454),)</f>
        <v>0</v>
      </c>
      <c r="AB455" s="296">
        <f t="shared" ref="AB455" si="4854">IF(K454&gt;0,(K455/K454),)</f>
        <v>38615.46551311959</v>
      </c>
      <c r="AC455" s="296">
        <f t="shared" ref="AC455" si="4855">IF(L454&gt;0,(L455/L454),)</f>
        <v>37850.844115188505</v>
      </c>
      <c r="AD455" s="296">
        <f t="shared" ref="AD455" si="4856">IF(M454&gt;0,(M455/M454),)</f>
        <v>0</v>
      </c>
      <c r="AE455" s="311">
        <f t="shared" ref="AE455" si="4857">IF(N454&gt;0,(N455/N454),)</f>
        <v>38186.927151884978</v>
      </c>
      <c r="AF455" s="306">
        <f t="shared" ref="AF455" si="4858">IF(O454&gt;0,(O455/O454),)</f>
        <v>0</v>
      </c>
      <c r="AG455" s="296">
        <f t="shared" ref="AG455" si="4859">IF(P454&gt;0,(P455/P454),)</f>
        <v>0</v>
      </c>
      <c r="AH455" s="311">
        <f t="shared" ref="AH455" si="4860">IF(Q454&gt;0,(Q455/Q454),)</f>
        <v>0</v>
      </c>
      <c r="AI455" s="517">
        <f>IF(S453&gt;0,(S455-S453)/S453,)</f>
        <v>-8.9016274861835947E-4</v>
      </c>
      <c r="AJ455" s="518">
        <f t="shared" ref="AJ455" si="4861">IF(T453&gt;0,(T455-T453)/T453,)</f>
        <v>0</v>
      </c>
      <c r="AK455" s="518">
        <f t="shared" ref="AK455" si="4862">IF(U453&gt;0,(U455-U453)/U453,)</f>
        <v>-4.0217324240326612E-2</v>
      </c>
      <c r="AL455" s="518">
        <f t="shared" ref="AL455" si="4863">IF(V453&gt;0,(V455-V453)/V453,)</f>
        <v>0</v>
      </c>
      <c r="AM455" s="527">
        <f t="shared" ref="AM455" si="4864">IF(W453&gt;0,(W455-W453)/W453,)</f>
        <v>-0.14090487850533095</v>
      </c>
      <c r="AN455" s="518">
        <f t="shared" ref="AN455" si="4865">IF(X453&gt;0,(X455-X453)/X453,)</f>
        <v>-2.888830672074166E-2</v>
      </c>
      <c r="AO455" s="525">
        <f t="shared" ref="AO455" si="4866">IF(Y453&gt;0,(Y455-Y453)/Y453,)</f>
        <v>-3.1803960145555914E-2</v>
      </c>
      <c r="AP455" s="518">
        <f t="shared" ref="AP455" si="4867">IF(Z453&gt;0,(Z455-Z453)/Z453,)</f>
        <v>-2.9665437099606916E-2</v>
      </c>
      <c r="AQ455" s="518">
        <f t="shared" ref="AQ455" si="4868">IF(AA453&gt;0,(AA455-AA453)/AA453,)</f>
        <v>0</v>
      </c>
      <c r="AR455" s="518">
        <f t="shared" ref="AR455" si="4869">IF(AB453&gt;0,(AB455-AB453)/AB453,)</f>
        <v>-1.5996286726890085E-2</v>
      </c>
      <c r="AS455" s="518">
        <f t="shared" ref="AS455" si="4870">IF(AC453&gt;0,(AC455-AC453)/AC453,)</f>
        <v>-4.1961275509375957E-2</v>
      </c>
      <c r="AT455" s="518">
        <f t="shared" ref="AT455" si="4871">IF(AD453&gt;0,(AD455-AD453)/AD453,)</f>
        <v>0</v>
      </c>
      <c r="AU455" s="525">
        <f t="shared" ref="AU455" si="4872">IF(AE453&gt;0,(AE455-AE453)/AE453,)</f>
        <v>-2.9699358463141343E-2</v>
      </c>
      <c r="AV455" s="518">
        <f t="shared" ref="AV455" si="4873">IF(AF453&gt;0,(AF455-AF453)/AF453,)</f>
        <v>0</v>
      </c>
      <c r="AW455" s="518">
        <f t="shared" ref="AW455" si="4874">IF(AG453&gt;0,(AG455-AG453)/AG453,)</f>
        <v>0</v>
      </c>
      <c r="AX455" s="525">
        <f t="shared" ref="AX455" si="4875">IF(AH453&gt;0,(AH455-AH453)/AH453,)</f>
        <v>0</v>
      </c>
    </row>
    <row r="456" spans="1:50" x14ac:dyDescent="0.2">
      <c r="A456" s="696" t="s">
        <v>1099</v>
      </c>
      <c r="B456" s="697">
        <v>25</v>
      </c>
      <c r="C456" s="697"/>
      <c r="D456" s="697">
        <v>0</v>
      </c>
      <c r="E456" s="697"/>
      <c r="F456" s="697">
        <v>16</v>
      </c>
      <c r="G456" s="697">
        <v>20</v>
      </c>
      <c r="H456" s="697">
        <v>61</v>
      </c>
      <c r="I456" s="697">
        <v>12</v>
      </c>
      <c r="J456" s="697"/>
      <c r="K456" s="697">
        <v>2</v>
      </c>
      <c r="L456" s="697">
        <v>33</v>
      </c>
      <c r="M456" s="697"/>
      <c r="N456" s="697">
        <v>47</v>
      </c>
      <c r="O456" s="697"/>
      <c r="P456" s="697"/>
      <c r="Q456" s="697"/>
      <c r="Y456" s="309"/>
      <c r="Z456" s="305"/>
      <c r="AE456" s="309"/>
      <c r="AF456" s="305"/>
      <c r="AH456" s="309"/>
      <c r="AI456" s="516"/>
      <c r="AO456" s="524"/>
      <c r="AU456" s="524"/>
      <c r="AX456" s="524"/>
    </row>
    <row r="457" spans="1:50" x14ac:dyDescent="0.2">
      <c r="A457" s="696" t="s">
        <v>1101</v>
      </c>
      <c r="B457" s="697">
        <v>1372364.2405063291</v>
      </c>
      <c r="C457" s="697"/>
      <c r="D457" s="697">
        <v>0</v>
      </c>
      <c r="E457" s="697"/>
      <c r="F457" s="697">
        <v>833175.71483253594</v>
      </c>
      <c r="G457" s="697">
        <v>871159.54545454541</v>
      </c>
      <c r="H457" s="697">
        <v>3076699.5007934105</v>
      </c>
      <c r="I457" s="697">
        <v>436266.30434782605</v>
      </c>
      <c r="J457" s="697"/>
      <c r="K457" s="697">
        <v>83340</v>
      </c>
      <c r="L457" s="697">
        <v>1344322.3148462479</v>
      </c>
      <c r="M457" s="697"/>
      <c r="N457" s="697">
        <v>1863928.6191940741</v>
      </c>
      <c r="O457" s="697"/>
      <c r="P457" s="697"/>
      <c r="Q457" s="697"/>
      <c r="R457" s="294"/>
      <c r="S457" s="296">
        <f>IF(B456&gt;0,(B457/B456),)</f>
        <v>54894.569620253162</v>
      </c>
      <c r="T457" s="296">
        <f t="shared" ref="T457" si="4876">IF(C456&gt;0,(C457/C456),)</f>
        <v>0</v>
      </c>
      <c r="U457" s="296">
        <f t="shared" ref="U457" si="4877">IF(D456&gt;0,(D457/D456),)</f>
        <v>0</v>
      </c>
      <c r="V457" s="296">
        <f t="shared" ref="V457" si="4878">IF(E456&gt;0,(E457/E456),)</f>
        <v>0</v>
      </c>
      <c r="W457" s="296">
        <f t="shared" ref="W457" si="4879">IF(F456&gt;0,(F457/F456),)</f>
        <v>52073.482177033497</v>
      </c>
      <c r="X457" s="296">
        <f t="shared" ref="X457" si="4880">IF(G456&gt;0,(G457/G456),)</f>
        <v>43557.977272727272</v>
      </c>
      <c r="Y457" s="311">
        <f t="shared" ref="Y457" si="4881">IF(H456&gt;0,(H457/H456),)</f>
        <v>50437.696734318204</v>
      </c>
      <c r="Z457" s="306">
        <f t="shared" ref="Z457" si="4882">IF(I456&gt;0,(I457/I456),)</f>
        <v>36355.52536231884</v>
      </c>
      <c r="AA457" s="296">
        <f t="shared" ref="AA457" si="4883">IF(J456&gt;0,(J457/J456),)</f>
        <v>0</v>
      </c>
      <c r="AB457" s="296">
        <f t="shared" ref="AB457" si="4884">IF(K456&gt;0,(K457/K456),)</f>
        <v>41670</v>
      </c>
      <c r="AC457" s="296">
        <f t="shared" ref="AC457" si="4885">IF(L456&gt;0,(L457/L456),)</f>
        <v>40737.039843825696</v>
      </c>
      <c r="AD457" s="296">
        <f t="shared" ref="AD457" si="4886">IF(M456&gt;0,(M457/M456),)</f>
        <v>0</v>
      </c>
      <c r="AE457" s="311">
        <f t="shared" ref="AE457" si="4887">IF(N456&gt;0,(N457/N456),)</f>
        <v>39658.055727533494</v>
      </c>
      <c r="AF457" s="306">
        <f t="shared" ref="AF457" si="4888">IF(O456&gt;0,(O457/O456),)</f>
        <v>0</v>
      </c>
      <c r="AG457" s="296">
        <f t="shared" ref="AG457" si="4889">IF(P456&gt;0,(P457/P456),)</f>
        <v>0</v>
      </c>
      <c r="AH457" s="311">
        <f t="shared" ref="AH457" si="4890">IF(Q456&gt;0,(Q457/Q456),)</f>
        <v>0</v>
      </c>
      <c r="AI457" s="516"/>
      <c r="AO457" s="524"/>
      <c r="AU457" s="524"/>
      <c r="AX457" s="524"/>
    </row>
    <row r="458" spans="1:50" x14ac:dyDescent="0.2">
      <c r="A458" s="696" t="s">
        <v>1103</v>
      </c>
      <c r="B458" s="697">
        <v>22</v>
      </c>
      <c r="C458" s="697"/>
      <c r="D458" s="697">
        <v>0</v>
      </c>
      <c r="E458" s="697"/>
      <c r="F458" s="697">
        <v>20</v>
      </c>
      <c r="G458" s="697">
        <v>21</v>
      </c>
      <c r="H458" s="697">
        <v>63</v>
      </c>
      <c r="I458" s="697">
        <v>12</v>
      </c>
      <c r="J458" s="697"/>
      <c r="K458" s="697">
        <v>2</v>
      </c>
      <c r="L458" s="697">
        <v>25</v>
      </c>
      <c r="M458" s="697"/>
      <c r="N458" s="697">
        <v>39</v>
      </c>
      <c r="O458" s="697"/>
      <c r="P458" s="697"/>
      <c r="Q458" s="697"/>
      <c r="Y458" s="309"/>
      <c r="Z458" s="305"/>
      <c r="AE458" s="309"/>
      <c r="AF458" s="305"/>
      <c r="AH458" s="309"/>
      <c r="AI458" s="516"/>
      <c r="AO458" s="524"/>
      <c r="AU458" s="524"/>
      <c r="AX458" s="524"/>
    </row>
    <row r="459" spans="1:50" x14ac:dyDescent="0.2">
      <c r="A459" s="696" t="s">
        <v>1105</v>
      </c>
      <c r="B459" s="697">
        <v>1214064.3428571427</v>
      </c>
      <c r="C459" s="697"/>
      <c r="D459" s="697">
        <v>0</v>
      </c>
      <c r="E459" s="697"/>
      <c r="F459" s="697">
        <v>944118.07654292614</v>
      </c>
      <c r="G459" s="697">
        <v>960195.63157894742</v>
      </c>
      <c r="H459" s="697">
        <v>3118378.0509790163</v>
      </c>
      <c r="I459" s="697">
        <v>406091.36842105264</v>
      </c>
      <c r="J459" s="697"/>
      <c r="K459" s="697">
        <v>87646.736842105252</v>
      </c>
      <c r="L459" s="697">
        <v>976784.54503105592</v>
      </c>
      <c r="M459" s="697"/>
      <c r="N459" s="697">
        <v>1470522.6502942138</v>
      </c>
      <c r="O459" s="697"/>
      <c r="P459" s="697"/>
      <c r="Q459" s="697"/>
      <c r="R459" s="294"/>
      <c r="S459" s="296">
        <f>IF(B458&gt;0,(B459/B458),)</f>
        <v>55184.742857142846</v>
      </c>
      <c r="T459" s="296">
        <f t="shared" ref="T459" si="4891">IF(C458&gt;0,(C459/C458),)</f>
        <v>0</v>
      </c>
      <c r="U459" s="296">
        <f t="shared" ref="U459" si="4892">IF(D458&gt;0,(D459/D458),)</f>
        <v>0</v>
      </c>
      <c r="V459" s="296">
        <f t="shared" ref="V459" si="4893">IF(E458&gt;0,(E459/E458),)</f>
        <v>0</v>
      </c>
      <c r="W459" s="296">
        <f t="shared" ref="W459" si="4894">IF(F458&gt;0,(F459/F458),)</f>
        <v>47205.903827146307</v>
      </c>
      <c r="X459" s="296">
        <f t="shared" ref="X459" si="4895">IF(G458&gt;0,(G459/G458),)</f>
        <v>45723.601503759404</v>
      </c>
      <c r="Y459" s="311">
        <f t="shared" ref="Y459" si="4896">IF(H458&gt;0,(H459/H458),)</f>
        <v>49498.064301254228</v>
      </c>
      <c r="Z459" s="306">
        <f t="shared" ref="Z459" si="4897">IF(I458&gt;0,(I459/I458),)</f>
        <v>33840.947368421053</v>
      </c>
      <c r="AA459" s="296">
        <f t="shared" ref="AA459" si="4898">IF(J458&gt;0,(J459/J458),)</f>
        <v>0</v>
      </c>
      <c r="AB459" s="296">
        <f t="shared" ref="AB459" si="4899">IF(K458&gt;0,(K459/K458),)</f>
        <v>43823.368421052626</v>
      </c>
      <c r="AC459" s="296">
        <f t="shared" ref="AC459" si="4900">IF(L458&gt;0,(L459/L458),)</f>
        <v>39071.381801242234</v>
      </c>
      <c r="AD459" s="296">
        <f t="shared" ref="AD459" si="4901">IF(M458&gt;0,(M459/M458),)</f>
        <v>0</v>
      </c>
      <c r="AE459" s="311">
        <f t="shared" ref="AE459" si="4902">IF(N458&gt;0,(N459/N458),)</f>
        <v>37705.708981902921</v>
      </c>
      <c r="AF459" s="306">
        <f t="shared" ref="AF459" si="4903">IF(O458&gt;0,(O459/O458),)</f>
        <v>0</v>
      </c>
      <c r="AG459" s="296">
        <f t="shared" ref="AG459" si="4904">IF(P458&gt;0,(P459/P458),)</f>
        <v>0</v>
      </c>
      <c r="AH459" s="311">
        <f t="shared" ref="AH459" si="4905">IF(Q458&gt;0,(Q459/Q458),)</f>
        <v>0</v>
      </c>
      <c r="AI459" s="517">
        <f>IF(S457&gt;0,(S459-S457)/S457,)</f>
        <v>5.2860098712318934E-3</v>
      </c>
      <c r="AJ459" s="518">
        <f t="shared" ref="AJ459" si="4906">IF(T457&gt;0,(T459-T457)/T457,)</f>
        <v>0</v>
      </c>
      <c r="AK459" s="518">
        <f t="shared" ref="AK459" si="4907">IF(U457&gt;0,(U459-U457)/U457,)</f>
        <v>0</v>
      </c>
      <c r="AL459" s="518">
        <f t="shared" ref="AL459" si="4908">IF(V457&gt;0,(V459-V457)/V457,)</f>
        <v>0</v>
      </c>
      <c r="AM459" s="527">
        <f t="shared" ref="AM459" si="4909">IF(W457&gt;0,(W459-W457)/W457,)</f>
        <v>-9.3475184419950078E-2</v>
      </c>
      <c r="AN459" s="518">
        <f t="shared" ref="AN459" si="4910">IF(X457&gt;0,(X459-X457)/X457,)</f>
        <v>4.9718200123771199E-2</v>
      </c>
      <c r="AO459" s="525">
        <f t="shared" ref="AO459" si="4911">IF(Y457&gt;0,(Y459-Y457)/Y457,)</f>
        <v>-1.8629566651576362E-2</v>
      </c>
      <c r="AP459" s="518">
        <f t="shared" ref="AP459" si="4912">IF(Z457&gt;0,(Z459-Z457)/Z457,)</f>
        <v>-6.9166322555857057E-2</v>
      </c>
      <c r="AQ459" s="518">
        <f t="shared" ref="AQ459" si="4913">IF(AA457&gt;0,(AA459-AA457)/AA457,)</f>
        <v>0</v>
      </c>
      <c r="AR459" s="518">
        <f t="shared" ref="AR459" si="4914">IF(AB457&gt;0,(AB459-AB457)/AB457,)</f>
        <v>5.1676707968625536E-2</v>
      </c>
      <c r="AS459" s="518">
        <f t="shared" ref="AS459" si="4915">IF(AC457&gt;0,(AC459-AC457)/AC457,)</f>
        <v>-4.088804805084327E-2</v>
      </c>
      <c r="AT459" s="518">
        <f t="shared" ref="AT459" si="4916">IF(AD457&gt;0,(AD459-AD457)/AD457,)</f>
        <v>0</v>
      </c>
      <c r="AU459" s="525">
        <f t="shared" ref="AU459" si="4917">IF(AE457&gt;0,(AE459-AE457)/AE457,)</f>
        <v>-4.9229512385679387E-2</v>
      </c>
      <c r="AV459" s="518">
        <f t="shared" ref="AV459" si="4918">IF(AF457&gt;0,(AF459-AF457)/AF457,)</f>
        <v>0</v>
      </c>
      <c r="AW459" s="518">
        <f t="shared" ref="AW459" si="4919">IF(AG457&gt;0,(AG459-AG457)/AG457,)</f>
        <v>0</v>
      </c>
      <c r="AX459" s="525">
        <f t="shared" ref="AX459" si="4920">IF(AH457&gt;0,(AH459-AH457)/AH457,)</f>
        <v>0</v>
      </c>
    </row>
    <row r="460" spans="1:50" x14ac:dyDescent="0.2">
      <c r="A460" s="696" t="s">
        <v>1107</v>
      </c>
      <c r="B460" s="697">
        <v>0</v>
      </c>
      <c r="C460" s="697"/>
      <c r="D460" s="697">
        <v>0</v>
      </c>
      <c r="E460" s="697"/>
      <c r="F460" s="697">
        <v>0</v>
      </c>
      <c r="G460" s="697">
        <v>0</v>
      </c>
      <c r="H460" s="697">
        <v>0</v>
      </c>
      <c r="I460" s="697">
        <v>0</v>
      </c>
      <c r="J460" s="697"/>
      <c r="K460" s="697">
        <v>0</v>
      </c>
      <c r="L460" s="697">
        <v>0</v>
      </c>
      <c r="M460" s="697"/>
      <c r="N460" s="697">
        <v>0</v>
      </c>
      <c r="O460" s="697"/>
      <c r="P460" s="697"/>
      <c r="Q460" s="697"/>
      <c r="Y460" s="309"/>
      <c r="Z460" s="305"/>
      <c r="AE460" s="309"/>
      <c r="AF460" s="305"/>
      <c r="AH460" s="309"/>
      <c r="AI460" s="516"/>
      <c r="AO460" s="524"/>
      <c r="AU460" s="524"/>
      <c r="AX460" s="524"/>
    </row>
    <row r="461" spans="1:50" x14ac:dyDescent="0.2">
      <c r="A461" s="696" t="s">
        <v>1109</v>
      </c>
      <c r="B461" s="697">
        <v>0</v>
      </c>
      <c r="C461" s="697"/>
      <c r="D461" s="697">
        <v>0</v>
      </c>
      <c r="E461" s="697"/>
      <c r="F461" s="697">
        <v>0</v>
      </c>
      <c r="G461" s="697">
        <v>0</v>
      </c>
      <c r="H461" s="697">
        <v>0</v>
      </c>
      <c r="I461" s="697">
        <v>0</v>
      </c>
      <c r="J461" s="697"/>
      <c r="K461" s="697">
        <v>0</v>
      </c>
      <c r="L461" s="697">
        <v>0</v>
      </c>
      <c r="M461" s="697"/>
      <c r="N461" s="697">
        <v>0</v>
      </c>
      <c r="O461" s="697"/>
      <c r="P461" s="697"/>
      <c r="Q461" s="697"/>
      <c r="R461" s="294"/>
      <c r="S461" s="296">
        <f>IF(B460&gt;0,(B461/B460),)</f>
        <v>0</v>
      </c>
      <c r="T461" s="296">
        <f t="shared" ref="T461" si="4921">IF(C460&gt;0,(C461/C460),)</f>
        <v>0</v>
      </c>
      <c r="U461" s="296">
        <f t="shared" ref="U461" si="4922">IF(D460&gt;0,(D461/D460),)</f>
        <v>0</v>
      </c>
      <c r="V461" s="296">
        <f t="shared" ref="V461" si="4923">IF(E460&gt;0,(E461/E460),)</f>
        <v>0</v>
      </c>
      <c r="W461" s="296">
        <f t="shared" ref="W461" si="4924">IF(F460&gt;0,(F461/F460),)</f>
        <v>0</v>
      </c>
      <c r="X461" s="296">
        <f t="shared" ref="X461" si="4925">IF(G460&gt;0,(G461/G460),)</f>
        <v>0</v>
      </c>
      <c r="Y461" s="311">
        <f t="shared" ref="Y461" si="4926">IF(H460&gt;0,(H461/H460),)</f>
        <v>0</v>
      </c>
      <c r="Z461" s="306">
        <f t="shared" ref="Z461" si="4927">IF(I460&gt;0,(I461/I460),)</f>
        <v>0</v>
      </c>
      <c r="AA461" s="296">
        <f t="shared" ref="AA461" si="4928">IF(J460&gt;0,(J461/J460),)</f>
        <v>0</v>
      </c>
      <c r="AB461" s="296">
        <f t="shared" ref="AB461" si="4929">IF(K460&gt;0,(K461/K460),)</f>
        <v>0</v>
      </c>
      <c r="AC461" s="296">
        <f t="shared" ref="AC461" si="4930">IF(L460&gt;0,(L461/L460),)</f>
        <v>0</v>
      </c>
      <c r="AD461" s="296">
        <f t="shared" ref="AD461" si="4931">IF(M460&gt;0,(M461/M460),)</f>
        <v>0</v>
      </c>
      <c r="AE461" s="311">
        <f t="shared" ref="AE461" si="4932">IF(N460&gt;0,(N461/N460),)</f>
        <v>0</v>
      </c>
      <c r="AF461" s="306">
        <f t="shared" ref="AF461" si="4933">IF(O460&gt;0,(O461/O460),)</f>
        <v>0</v>
      </c>
      <c r="AG461" s="296">
        <f t="shared" ref="AG461" si="4934">IF(P460&gt;0,(P461/P460),)</f>
        <v>0</v>
      </c>
      <c r="AH461" s="311">
        <f t="shared" ref="AH461" si="4935">IF(Q460&gt;0,(Q461/Q460),)</f>
        <v>0</v>
      </c>
      <c r="AI461" s="516"/>
      <c r="AO461" s="524"/>
      <c r="AU461" s="524"/>
      <c r="AX461" s="524"/>
    </row>
    <row r="462" spans="1:50" x14ac:dyDescent="0.2">
      <c r="A462" s="696" t="s">
        <v>1111</v>
      </c>
      <c r="B462" s="697">
        <v>0</v>
      </c>
      <c r="C462" s="697"/>
      <c r="D462" s="697">
        <v>0</v>
      </c>
      <c r="E462" s="697"/>
      <c r="F462" s="697">
        <v>0</v>
      </c>
      <c r="G462" s="697">
        <v>0</v>
      </c>
      <c r="H462" s="697">
        <v>0</v>
      </c>
      <c r="I462" s="697">
        <v>0</v>
      </c>
      <c r="J462" s="697"/>
      <c r="K462" s="697">
        <v>0</v>
      </c>
      <c r="L462" s="697">
        <v>0</v>
      </c>
      <c r="M462" s="697"/>
      <c r="N462" s="697">
        <v>0</v>
      </c>
      <c r="O462" s="697"/>
      <c r="P462" s="697"/>
      <c r="Q462" s="697"/>
      <c r="Y462" s="309"/>
      <c r="Z462" s="305"/>
      <c r="AE462" s="309"/>
      <c r="AF462" s="305"/>
      <c r="AH462" s="309"/>
      <c r="AI462" s="516"/>
      <c r="AO462" s="524"/>
      <c r="AU462" s="524"/>
      <c r="AX462" s="524"/>
    </row>
    <row r="463" spans="1:50" x14ac:dyDescent="0.2">
      <c r="A463" s="696" t="s">
        <v>1113</v>
      </c>
      <c r="B463" s="697">
        <v>0</v>
      </c>
      <c r="C463" s="697"/>
      <c r="D463" s="697">
        <v>0</v>
      </c>
      <c r="E463" s="697"/>
      <c r="F463" s="697">
        <v>0</v>
      </c>
      <c r="G463" s="697">
        <v>0</v>
      </c>
      <c r="H463" s="697">
        <v>0</v>
      </c>
      <c r="I463" s="697">
        <v>0</v>
      </c>
      <c r="J463" s="697"/>
      <c r="K463" s="697">
        <v>0</v>
      </c>
      <c r="L463" s="697">
        <v>0</v>
      </c>
      <c r="M463" s="697"/>
      <c r="N463" s="697">
        <v>0</v>
      </c>
      <c r="O463" s="697"/>
      <c r="P463" s="697"/>
      <c r="Q463" s="697"/>
      <c r="R463" s="294"/>
      <c r="S463" s="296">
        <f>IF(B462&gt;0,(B463/B462),)</f>
        <v>0</v>
      </c>
      <c r="T463" s="296">
        <f t="shared" ref="T463" si="4936">IF(C462&gt;0,(C463/C462),)</f>
        <v>0</v>
      </c>
      <c r="U463" s="296">
        <f t="shared" ref="U463" si="4937">IF(D462&gt;0,(D463/D462),)</f>
        <v>0</v>
      </c>
      <c r="V463" s="296">
        <f t="shared" ref="V463" si="4938">IF(E462&gt;0,(E463/E462),)</f>
        <v>0</v>
      </c>
      <c r="W463" s="296">
        <f t="shared" ref="W463" si="4939">IF(F462&gt;0,(F463/F462),)</f>
        <v>0</v>
      </c>
      <c r="X463" s="296">
        <f t="shared" ref="X463" si="4940">IF(G462&gt;0,(G463/G462),)</f>
        <v>0</v>
      </c>
      <c r="Y463" s="311">
        <f t="shared" ref="Y463" si="4941">IF(H462&gt;0,(H463/H462),)</f>
        <v>0</v>
      </c>
      <c r="Z463" s="306">
        <f t="shared" ref="Z463" si="4942">IF(I462&gt;0,(I463/I462),)</f>
        <v>0</v>
      </c>
      <c r="AA463" s="296">
        <f t="shared" ref="AA463" si="4943">IF(J462&gt;0,(J463/J462),)</f>
        <v>0</v>
      </c>
      <c r="AB463" s="296">
        <f t="shared" ref="AB463" si="4944">IF(K462&gt;0,(K463/K462),)</f>
        <v>0</v>
      </c>
      <c r="AC463" s="296">
        <f t="shared" ref="AC463" si="4945">IF(L462&gt;0,(L463/L462),)</f>
        <v>0</v>
      </c>
      <c r="AD463" s="296">
        <f t="shared" ref="AD463" si="4946">IF(M462&gt;0,(M463/M462),)</f>
        <v>0</v>
      </c>
      <c r="AE463" s="311">
        <f t="shared" ref="AE463" si="4947">IF(N462&gt;0,(N463/N462),)</f>
        <v>0</v>
      </c>
      <c r="AF463" s="306">
        <f t="shared" ref="AF463" si="4948">IF(O462&gt;0,(O463/O462),)</f>
        <v>0</v>
      </c>
      <c r="AG463" s="296">
        <f t="shared" ref="AG463" si="4949">IF(P462&gt;0,(P463/P462),)</f>
        <v>0</v>
      </c>
      <c r="AH463" s="311">
        <f t="shared" ref="AH463" si="4950">IF(Q462&gt;0,(Q463/Q462),)</f>
        <v>0</v>
      </c>
      <c r="AI463" s="517">
        <f>IF(S461&gt;0,(S463-S461)/S461,)</f>
        <v>0</v>
      </c>
      <c r="AJ463" s="518">
        <f t="shared" ref="AJ463" si="4951">IF(T461&gt;0,(T463-T461)/T461,)</f>
        <v>0</v>
      </c>
      <c r="AK463" s="518">
        <f t="shared" ref="AK463" si="4952">IF(U461&gt;0,(U463-U461)/U461,)</f>
        <v>0</v>
      </c>
      <c r="AL463" s="518">
        <f t="shared" ref="AL463" si="4953">IF(V461&gt;0,(V463-V461)/V461,)</f>
        <v>0</v>
      </c>
      <c r="AM463" s="518">
        <f t="shared" ref="AM463" si="4954">IF(W461&gt;0,(W463-W461)/W461,)</f>
        <v>0</v>
      </c>
      <c r="AN463" s="518">
        <f t="shared" ref="AN463" si="4955">IF(X461&gt;0,(X463-X461)/X461,)</f>
        <v>0</v>
      </c>
      <c r="AO463" s="525">
        <f t="shared" ref="AO463" si="4956">IF(Y461&gt;0,(Y463-Y461)/Y461,)</f>
        <v>0</v>
      </c>
      <c r="AP463" s="518">
        <f t="shared" ref="AP463" si="4957">IF(Z461&gt;0,(Z463-Z461)/Z461,)</f>
        <v>0</v>
      </c>
      <c r="AQ463" s="518">
        <f t="shared" ref="AQ463" si="4958">IF(AA461&gt;0,(AA463-AA461)/AA461,)</f>
        <v>0</v>
      </c>
      <c r="AR463" s="518">
        <f t="shared" ref="AR463" si="4959">IF(AB461&gt;0,(AB463-AB461)/AB461,)</f>
        <v>0</v>
      </c>
      <c r="AS463" s="518">
        <f t="shared" ref="AS463" si="4960">IF(AC461&gt;0,(AC463-AC461)/AC461,)</f>
        <v>0</v>
      </c>
      <c r="AT463" s="518">
        <f t="shared" ref="AT463" si="4961">IF(AD461&gt;0,(AD463-AD461)/AD461,)</f>
        <v>0</v>
      </c>
      <c r="AU463" s="525">
        <f t="shared" ref="AU463" si="4962">IF(AE461&gt;0,(AE463-AE461)/AE461,)</f>
        <v>0</v>
      </c>
      <c r="AV463" s="518">
        <f t="shared" ref="AV463" si="4963">IF(AF461&gt;0,(AF463-AF461)/AF461,)</f>
        <v>0</v>
      </c>
      <c r="AW463" s="518">
        <f t="shared" ref="AW463" si="4964">IF(AG461&gt;0,(AG463-AG461)/AG461,)</f>
        <v>0</v>
      </c>
      <c r="AX463" s="525">
        <f t="shared" ref="AX463" si="4965">IF(AH461&gt;0,(AH463-AH461)/AH461,)</f>
        <v>0</v>
      </c>
    </row>
    <row r="464" spans="1:50" x14ac:dyDescent="0.2">
      <c r="A464" s="696" t="s">
        <v>1115</v>
      </c>
      <c r="B464" s="697">
        <v>990</v>
      </c>
      <c r="C464" s="697"/>
      <c r="D464" s="697">
        <v>500</v>
      </c>
      <c r="E464" s="697"/>
      <c r="F464" s="697">
        <v>303</v>
      </c>
      <c r="G464" s="697">
        <v>594</v>
      </c>
      <c r="H464" s="697">
        <v>2387</v>
      </c>
      <c r="I464" s="697">
        <v>132</v>
      </c>
      <c r="J464" s="697"/>
      <c r="K464" s="697">
        <v>175</v>
      </c>
      <c r="L464" s="697">
        <v>266</v>
      </c>
      <c r="M464" s="697"/>
      <c r="N464" s="697">
        <v>573</v>
      </c>
      <c r="O464" s="697"/>
      <c r="P464" s="697"/>
      <c r="Q464" s="697"/>
      <c r="Y464" s="309"/>
      <c r="Z464" s="305"/>
      <c r="AE464" s="309"/>
      <c r="AF464" s="305"/>
      <c r="AH464" s="309"/>
      <c r="AI464" s="516"/>
      <c r="AO464" s="524"/>
      <c r="AU464" s="524"/>
      <c r="AX464" s="524"/>
    </row>
    <row r="465" spans="1:50" x14ac:dyDescent="0.2">
      <c r="A465" s="696" t="s">
        <v>1117</v>
      </c>
      <c r="B465" s="697">
        <v>79045581.765003741</v>
      </c>
      <c r="C465" s="697"/>
      <c r="D465" s="697">
        <v>30968294.779270709</v>
      </c>
      <c r="E465" s="697"/>
      <c r="F465" s="697">
        <v>18704112.198023252</v>
      </c>
      <c r="G465" s="697">
        <v>33243055.843339555</v>
      </c>
      <c r="H465" s="697">
        <v>161961044.58563727</v>
      </c>
      <c r="I465" s="697">
        <v>6386915.0132028488</v>
      </c>
      <c r="J465" s="697"/>
      <c r="K465" s="697">
        <v>8407673.5024512261</v>
      </c>
      <c r="L465" s="697">
        <v>12611991.099138338</v>
      </c>
      <c r="M465" s="697"/>
      <c r="N465" s="697">
        <v>27406579.614792414</v>
      </c>
      <c r="O465" s="697"/>
      <c r="P465" s="697"/>
      <c r="Q465" s="697"/>
      <c r="R465" s="294"/>
      <c r="S465" s="296">
        <f>IF(B464&gt;0,(B465/B464),)</f>
        <v>79844.021984852268</v>
      </c>
      <c r="T465" s="296">
        <f t="shared" ref="T465" si="4966">IF(C464&gt;0,(C465/C464),)</f>
        <v>0</v>
      </c>
      <c r="U465" s="296">
        <f t="shared" ref="U465" si="4967">IF(D464&gt;0,(D465/D464),)</f>
        <v>61936.589558541418</v>
      </c>
      <c r="V465" s="296">
        <f t="shared" ref="V465" si="4968">IF(E464&gt;0,(E465/E464),)</f>
        <v>0</v>
      </c>
      <c r="W465" s="296">
        <f t="shared" ref="W465" si="4969">IF(F464&gt;0,(F465/F464),)</f>
        <v>61729.74322779951</v>
      </c>
      <c r="X465" s="296">
        <f t="shared" ref="X465" si="4970">IF(G464&gt;0,(G465/G464),)</f>
        <v>55964.740477002619</v>
      </c>
      <c r="Y465" s="311">
        <f t="shared" ref="Y465" si="4971">IF(H464&gt;0,(H465/H464),)</f>
        <v>67851.296433027761</v>
      </c>
      <c r="Z465" s="306">
        <f t="shared" ref="Z465" si="4972">IF(I464&gt;0,(I465/I464),)</f>
        <v>48385.719796991281</v>
      </c>
      <c r="AA465" s="296">
        <f t="shared" ref="AA465" si="4973">IF(J464&gt;0,(J465/J464),)</f>
        <v>0</v>
      </c>
      <c r="AB465" s="296">
        <f t="shared" ref="AB465" si="4974">IF(K464&gt;0,(K465/K464),)</f>
        <v>48043.848585435575</v>
      </c>
      <c r="AC465" s="296">
        <f t="shared" ref="AC465" si="4975">IF(L464&gt;0,(L465/L464),)</f>
        <v>47413.500372700517</v>
      </c>
      <c r="AD465" s="296">
        <f t="shared" ref="AD465" si="4976">IF(M464&gt;0,(M465/M464),)</f>
        <v>0</v>
      </c>
      <c r="AE465" s="311">
        <f t="shared" ref="AE465" si="4977">IF(N464&gt;0,(N465/N464),)</f>
        <v>47829.981875728474</v>
      </c>
      <c r="AF465" s="306">
        <f t="shared" ref="AF465" si="4978">IF(O464&gt;0,(O465/O464),)</f>
        <v>0</v>
      </c>
      <c r="AG465" s="296">
        <f t="shared" ref="AG465" si="4979">IF(P464&gt;0,(P465/P464),)</f>
        <v>0</v>
      </c>
      <c r="AH465" s="311">
        <f t="shared" ref="AH465" si="4980">IF(Q464&gt;0,(Q465/Q464),)</f>
        <v>0</v>
      </c>
      <c r="AI465" s="516"/>
      <c r="AO465" s="524"/>
      <c r="AU465" s="524"/>
      <c r="AX465" s="524"/>
    </row>
    <row r="466" spans="1:50" x14ac:dyDescent="0.2">
      <c r="A466" s="696" t="s">
        <v>1119</v>
      </c>
      <c r="B466" s="697">
        <v>1021</v>
      </c>
      <c r="C466" s="697"/>
      <c r="D466" s="697">
        <v>508</v>
      </c>
      <c r="E466" s="697"/>
      <c r="F466" s="697">
        <v>307</v>
      </c>
      <c r="G466" s="697">
        <v>609</v>
      </c>
      <c r="H466" s="697">
        <v>2445</v>
      </c>
      <c r="I466" s="697">
        <v>137</v>
      </c>
      <c r="J466" s="697"/>
      <c r="K466" s="697">
        <v>179</v>
      </c>
      <c r="L466" s="697">
        <v>282</v>
      </c>
      <c r="M466" s="697"/>
      <c r="N466" s="697">
        <v>598</v>
      </c>
      <c r="O466" s="697"/>
      <c r="P466" s="697"/>
      <c r="Q466" s="697"/>
      <c r="Y466" s="309"/>
      <c r="Z466" s="305"/>
      <c r="AE466" s="309"/>
      <c r="AF466" s="305"/>
      <c r="AH466" s="309"/>
      <c r="AI466" s="516"/>
      <c r="AO466" s="524"/>
      <c r="AU466" s="524"/>
      <c r="AX466" s="524"/>
    </row>
    <row r="467" spans="1:50" ht="13.5" thickBot="1" x14ac:dyDescent="0.25">
      <c r="A467" s="701" t="s">
        <v>1121</v>
      </c>
      <c r="B467" s="702">
        <v>82343330.104062676</v>
      </c>
      <c r="C467" s="702"/>
      <c r="D467" s="702">
        <v>31206844.99904602</v>
      </c>
      <c r="E467" s="702"/>
      <c r="F467" s="702">
        <v>18624989.238725029</v>
      </c>
      <c r="G467" s="702">
        <v>34171214.377081789</v>
      </c>
      <c r="H467" s="702">
        <v>166346378.71891552</v>
      </c>
      <c r="I467" s="702">
        <v>6698631.4708741195</v>
      </c>
      <c r="J467" s="702"/>
      <c r="K467" s="702">
        <v>8548003.7359110154</v>
      </c>
      <c r="L467" s="702">
        <v>12986621.50287625</v>
      </c>
      <c r="M467" s="702"/>
      <c r="N467" s="702">
        <v>28233256.709661387</v>
      </c>
      <c r="O467" s="702"/>
      <c r="P467" s="702"/>
      <c r="Q467" s="702"/>
      <c r="S467" s="302">
        <f>IF(B466&gt;0,(B467/B466),)</f>
        <v>80649.686683704873</v>
      </c>
      <c r="T467" s="302">
        <f t="shared" ref="T467" si="4981">IF(C466&gt;0,(C467/C466),)</f>
        <v>0</v>
      </c>
      <c r="U467" s="302">
        <f t="shared" ref="U467" si="4982">IF(D466&gt;0,(D467/D466),)</f>
        <v>61430.797242216577</v>
      </c>
      <c r="V467" s="302">
        <f t="shared" ref="V467" si="4983">IF(E466&gt;0,(E467/E466),)</f>
        <v>0</v>
      </c>
      <c r="W467" s="302">
        <f t="shared" ref="W467" si="4984">IF(F466&gt;0,(F467/F466),)</f>
        <v>60667.717389983809</v>
      </c>
      <c r="X467" s="302">
        <f t="shared" ref="X467" si="4985">IF(G466&gt;0,(G467/G466),)</f>
        <v>56110.368435273871</v>
      </c>
      <c r="Y467" s="312">
        <f t="shared" ref="Y467" si="4986">IF(H466&gt;0,(H467/H466),)</f>
        <v>68035.328719392855</v>
      </c>
      <c r="Z467" s="307">
        <f t="shared" ref="Z467" si="4987">IF(I466&gt;0,(I467/I466),)</f>
        <v>48895.120225358536</v>
      </c>
      <c r="AA467" s="302">
        <f t="shared" ref="AA467" si="4988">IF(J466&gt;0,(J467/J466),)</f>
        <v>0</v>
      </c>
      <c r="AB467" s="302">
        <f t="shared" ref="AB467" si="4989">IF(K466&gt;0,(K467/K466),)</f>
        <v>47754.210815145336</v>
      </c>
      <c r="AC467" s="302">
        <f t="shared" ref="AC467" si="4990">IF(L466&gt;0,(L467/L466),)</f>
        <v>46051.849300979608</v>
      </c>
      <c r="AD467" s="302">
        <f t="shared" ref="AD467" si="4991">IF(M466&gt;0,(M467/M466),)</f>
        <v>0</v>
      </c>
      <c r="AE467" s="312">
        <f t="shared" ref="AE467" si="4992">IF(N466&gt;0,(N467/N466),)</f>
        <v>47212.803862310015</v>
      </c>
      <c r="AF467" s="307">
        <f t="shared" ref="AF467" si="4993">IF(O466&gt;0,(O467/O466),)</f>
        <v>0</v>
      </c>
      <c r="AG467" s="302">
        <f t="shared" ref="AG467" si="4994">IF(P466&gt;0,(P467/P466),)</f>
        <v>0</v>
      </c>
      <c r="AH467" s="312">
        <f t="shared" ref="AH467" si="4995">IF(Q466&gt;0,(Q467/Q466),)</f>
        <v>0</v>
      </c>
      <c r="AI467" s="519">
        <f>IF(S465&gt;0,(S467-S465)/S465,)</f>
        <v>1.009048240337207E-2</v>
      </c>
      <c r="AJ467" s="520">
        <f t="shared" ref="AJ467" si="4996">IF(T465&gt;0,(T467-T465)/T465,)</f>
        <v>0</v>
      </c>
      <c r="AK467" s="520">
        <f t="shared" ref="AK467" si="4997">IF(U465&gt;0,(U467-U465)/U465,)</f>
        <v>-8.1662926539856576E-3</v>
      </c>
      <c r="AL467" s="520">
        <f t="shared" ref="AL467" si="4998">IF(V465&gt;0,(V467-V465)/V465,)</f>
        <v>0</v>
      </c>
      <c r="AM467" s="520">
        <f t="shared" ref="AM467" si="4999">IF(W465&gt;0,(W467-W465)/W465,)</f>
        <v>-1.7204442822587773E-2</v>
      </c>
      <c r="AN467" s="520">
        <f t="shared" ref="AN467" si="5000">IF(X465&gt;0,(X467-X465)/X465,)</f>
        <v>2.6021376500636973E-3</v>
      </c>
      <c r="AO467" s="526">
        <f t="shared" ref="AO467" si="5001">IF(Y465&gt;0,(Y467-Y465)/Y465,)</f>
        <v>2.7122884313160105E-3</v>
      </c>
      <c r="AP467" s="520">
        <f t="shared" ref="AP467" si="5002">IF(Z465&gt;0,(Z467-Z465)/Z465,)</f>
        <v>1.0527908451181713E-2</v>
      </c>
      <c r="AQ467" s="520">
        <f t="shared" ref="AQ467" si="5003">IF(AA465&gt;0,(AA467-AA465)/AA465,)</f>
        <v>0</v>
      </c>
      <c r="AR467" s="520">
        <f t="shared" ref="AR467" si="5004">IF(AB465&gt;0,(AB467-AB465)/AB465,)</f>
        <v>-6.0286130028734293E-3</v>
      </c>
      <c r="AS467" s="520">
        <f t="shared" ref="AS467" si="5005">IF(AC465&gt;0,(AC467-AC465)/AC465,)</f>
        <v>-2.8718636274847012E-2</v>
      </c>
      <c r="AT467" s="520">
        <f t="shared" ref="AT467" si="5006">IF(AD465&gt;0,(AD467-AD465)/AD465,)</f>
        <v>0</v>
      </c>
      <c r="AU467" s="526">
        <f t="shared" ref="AU467" si="5007">IF(AE465&gt;0,(AE467-AE465)/AE465,)</f>
        <v>-1.2903580332144109E-2</v>
      </c>
      <c r="AV467" s="520">
        <f t="shared" ref="AV467" si="5008">IF(AF465&gt;0,(AF467-AF465)/AF465,)</f>
        <v>0</v>
      </c>
      <c r="AW467" s="520">
        <f t="shared" ref="AW467" si="5009">IF(AG465&gt;0,(AG467-AG465)/AG465,)</f>
        <v>0</v>
      </c>
      <c r="AX467" s="526">
        <f t="shared" ref="AX467" si="5010">IF(AH465&gt;0,(AH467-AH465)/AH465,)</f>
        <v>0</v>
      </c>
    </row>
    <row r="468" spans="1:50" x14ac:dyDescent="0.2">
      <c r="A468" s="698" t="s">
        <v>1068</v>
      </c>
      <c r="B468" s="697">
        <v>15271</v>
      </c>
      <c r="C468" s="697">
        <v>3057</v>
      </c>
      <c r="D468" s="697">
        <v>6496</v>
      </c>
      <c r="E468" s="697">
        <v>1912</v>
      </c>
      <c r="F468" s="697">
        <v>990</v>
      </c>
      <c r="G468" s="697">
        <v>590</v>
      </c>
      <c r="H468" s="697">
        <v>28316</v>
      </c>
      <c r="I468" s="697">
        <v>185</v>
      </c>
      <c r="J468" s="697">
        <v>2733</v>
      </c>
      <c r="K468" s="697">
        <v>1163</v>
      </c>
      <c r="L468" s="697">
        <v>219</v>
      </c>
      <c r="M468" s="697">
        <v>443</v>
      </c>
      <c r="N468" s="697">
        <v>4743</v>
      </c>
      <c r="O468" s="697">
        <v>97</v>
      </c>
      <c r="P468" s="697">
        <v>0</v>
      </c>
      <c r="Q468" s="697">
        <v>97</v>
      </c>
      <c r="Y468" s="309"/>
      <c r="Z468" s="305"/>
      <c r="AE468" s="309"/>
      <c r="AF468" s="305"/>
      <c r="AH468" s="309"/>
      <c r="AI468" s="516"/>
      <c r="AO468" s="524"/>
      <c r="AU468" s="524"/>
      <c r="AX468" s="524"/>
    </row>
    <row r="469" spans="1:50" x14ac:dyDescent="0.2">
      <c r="A469" s="698" t="s">
        <v>1070</v>
      </c>
      <c r="B469" s="699">
        <v>1824900564.736634</v>
      </c>
      <c r="C469" s="699">
        <v>336703826.84206581</v>
      </c>
      <c r="D469" s="699">
        <v>543247430.04672408</v>
      </c>
      <c r="E469" s="699">
        <v>154217267.42574918</v>
      </c>
      <c r="F469" s="699">
        <v>76817597.2906183</v>
      </c>
      <c r="G469" s="699">
        <v>45210495.763735719</v>
      </c>
      <c r="H469" s="699">
        <v>2981097182.1055269</v>
      </c>
      <c r="I469" s="699">
        <v>12007758.083367739</v>
      </c>
      <c r="J469" s="699">
        <v>188804522.96051824</v>
      </c>
      <c r="K469" s="699">
        <v>67153220.450908154</v>
      </c>
      <c r="L469" s="699">
        <v>13413846.656161726</v>
      </c>
      <c r="M469" s="699">
        <v>30298138.606322546</v>
      </c>
      <c r="N469" s="699">
        <v>311677486.75727838</v>
      </c>
      <c r="O469" s="699">
        <v>4388997.055604646</v>
      </c>
      <c r="P469" s="699">
        <v>0</v>
      </c>
      <c r="Q469" s="699">
        <v>4388997.055604646</v>
      </c>
      <c r="S469" s="296">
        <f>IF(B468&gt;0,(B469/B468),)</f>
        <v>119501.05197672936</v>
      </c>
      <c r="T469" s="296">
        <f t="shared" ref="T469" si="5011">IF(C468&gt;0,(C469/C468),)</f>
        <v>110141.91260780694</v>
      </c>
      <c r="U469" s="296">
        <f t="shared" ref="U469" si="5012">IF(D468&gt;0,(D469/D468),)</f>
        <v>83627.991078621315</v>
      </c>
      <c r="V469" s="296">
        <f t="shared" ref="V469" si="5013">IF(E468&gt;0,(E469/E468),)</f>
        <v>80657.566645266314</v>
      </c>
      <c r="W469" s="296">
        <f t="shared" ref="W469" si="5014">IF(F468&gt;0,(F469/F468),)</f>
        <v>77593.532616786164</v>
      </c>
      <c r="X469" s="296">
        <f t="shared" ref="X469" si="5015">IF(G468&gt;0,(G469/G468),)</f>
        <v>76627.95892158596</v>
      </c>
      <c r="Y469" s="311">
        <f t="shared" ref="Y469" si="5016">IF(H468&gt;0,(H469/H468),)</f>
        <v>105279.60100669328</v>
      </c>
      <c r="Z469" s="306">
        <f t="shared" ref="Z469" si="5017">IF(I468&gt;0,(I469/I468),)</f>
        <v>64906.800450636423</v>
      </c>
      <c r="AA469" s="296">
        <f t="shared" ref="AA469" si="5018">IF(J468&gt;0,(J469/J468),)</f>
        <v>69083.250259977402</v>
      </c>
      <c r="AB469" s="296">
        <f t="shared" ref="AB469" si="5019">IF(K468&gt;0,(K469/K468),)</f>
        <v>57741.376140075801</v>
      </c>
      <c r="AC469" s="296">
        <f t="shared" ref="AC469" si="5020">IF(L468&gt;0,(L469/L468),)</f>
        <v>61250.441352336646</v>
      </c>
      <c r="AD469" s="296">
        <f t="shared" ref="AD469" si="5021">IF(M468&gt;0,(M469/M468),)</f>
        <v>68393.089404791303</v>
      </c>
      <c r="AE469" s="311">
        <f t="shared" ref="AE469" si="5022">IF(N468&gt;0,(N469/N468),)</f>
        <v>65713.153438178022</v>
      </c>
      <c r="AF469" s="306">
        <f t="shared" ref="AF469" si="5023">IF(O468&gt;0,(O469/O468),)</f>
        <v>45247.392325821093</v>
      </c>
      <c r="AG469" s="296">
        <f t="shared" ref="AG469" si="5024">IF(P468&gt;0,(P469/P468),)</f>
        <v>0</v>
      </c>
      <c r="AH469" s="311">
        <f t="shared" ref="AH469" si="5025">IF(Q468&gt;0,(Q469/Q468),)</f>
        <v>45247.392325821093</v>
      </c>
      <c r="AI469" s="516"/>
      <c r="AO469" s="524"/>
      <c r="AU469" s="524"/>
      <c r="AX469" s="524"/>
    </row>
    <row r="470" spans="1:50" x14ac:dyDescent="0.2">
      <c r="A470" s="698" t="s">
        <v>1072</v>
      </c>
      <c r="B470" s="697">
        <v>15212</v>
      </c>
      <c r="C470" s="697">
        <v>3058</v>
      </c>
      <c r="D470" s="697">
        <v>6526</v>
      </c>
      <c r="E470" s="697">
        <v>1967</v>
      </c>
      <c r="F470" s="697">
        <v>979</v>
      </c>
      <c r="G470" s="697">
        <v>575</v>
      </c>
      <c r="H470" s="697">
        <v>28317</v>
      </c>
      <c r="I470" s="697">
        <v>180</v>
      </c>
      <c r="J470" s="697">
        <v>3477</v>
      </c>
      <c r="K470" s="697">
        <v>1257</v>
      </c>
      <c r="L470" s="697">
        <v>213</v>
      </c>
      <c r="M470" s="697">
        <v>447</v>
      </c>
      <c r="N470" s="697">
        <v>5574</v>
      </c>
      <c r="O470" s="697">
        <v>50</v>
      </c>
      <c r="P470" s="697">
        <v>0</v>
      </c>
      <c r="Q470" s="697">
        <v>50</v>
      </c>
      <c r="Y470" s="309"/>
      <c r="Z470" s="305"/>
      <c r="AE470" s="309"/>
      <c r="AF470" s="305"/>
      <c r="AH470" s="309"/>
      <c r="AI470" s="516"/>
      <c r="AO470" s="524"/>
      <c r="AU470" s="524"/>
      <c r="AX470" s="524"/>
    </row>
    <row r="471" spans="1:50" x14ac:dyDescent="0.2">
      <c r="A471" s="698" t="s">
        <v>1074</v>
      </c>
      <c r="B471" s="699">
        <v>1822498186.6817741</v>
      </c>
      <c r="C471" s="699">
        <v>333265874.81773114</v>
      </c>
      <c r="D471" s="699">
        <v>542088316.1053108</v>
      </c>
      <c r="E471" s="699">
        <v>154634232.92220792</v>
      </c>
      <c r="F471" s="699">
        <v>73903493.561219484</v>
      </c>
      <c r="G471" s="699">
        <v>43604806.998171166</v>
      </c>
      <c r="H471" s="699">
        <v>2969994911.0864153</v>
      </c>
      <c r="I471" s="699">
        <v>11667849.384385109</v>
      </c>
      <c r="J471" s="699">
        <v>219921211.6990082</v>
      </c>
      <c r="K471" s="699">
        <v>69014514.956656963</v>
      </c>
      <c r="L471" s="699">
        <v>12337768.658864614</v>
      </c>
      <c r="M471" s="699">
        <v>30878516.808370043</v>
      </c>
      <c r="N471" s="699">
        <v>343819861.50728494</v>
      </c>
      <c r="O471" s="699">
        <v>2353365.5043822275</v>
      </c>
      <c r="P471" s="699">
        <v>0</v>
      </c>
      <c r="Q471" s="699">
        <v>2353365.5043822275</v>
      </c>
      <c r="S471" s="296">
        <f>IF(B470&gt;0,(B471/B470),)</f>
        <v>119806.6123245973</v>
      </c>
      <c r="T471" s="296">
        <f t="shared" ref="T471" si="5026">IF(C470&gt;0,(C471/C470),)</f>
        <v>108981.64644137709</v>
      </c>
      <c r="U471" s="296">
        <f t="shared" ref="U471" si="5027">IF(D470&gt;0,(D471/D470),)</f>
        <v>83065.938722848732</v>
      </c>
      <c r="V471" s="296">
        <f t="shared" ref="V471" si="5028">IF(E470&gt;0,(E471/E470),)</f>
        <v>78614.251612713735</v>
      </c>
      <c r="W471" s="296">
        <f t="shared" ref="W471" si="5029">IF(F470&gt;0,(F471/F470),)</f>
        <v>75488.757468048498</v>
      </c>
      <c r="X471" s="296">
        <f t="shared" ref="X471" si="5030">IF(G470&gt;0,(G471/G470),)</f>
        <v>75834.446953341161</v>
      </c>
      <c r="Y471" s="311">
        <f t="shared" ref="Y471" si="5031">IF(H470&gt;0,(H471/H470),)</f>
        <v>104883.81223598598</v>
      </c>
      <c r="Z471" s="306">
        <f t="shared" ref="Z471" si="5032">IF(I470&gt;0,(I471/I470),)</f>
        <v>64821.385468806162</v>
      </c>
      <c r="AA471" s="296">
        <f t="shared" ref="AA471" si="5033">IF(J470&gt;0,(J471/J470),)</f>
        <v>63250.276588728273</v>
      </c>
      <c r="AB471" s="296">
        <f t="shared" ref="AB471" si="5034">IF(K470&gt;0,(K471/K470),)</f>
        <v>54904.148732423993</v>
      </c>
      <c r="AC471" s="296">
        <f t="shared" ref="AC471" si="5035">IF(L470&gt;0,(L471/L470),)</f>
        <v>57923.796520491145</v>
      </c>
      <c r="AD471" s="296">
        <f t="shared" ref="AD471" si="5036">IF(M470&gt;0,(M471/M470),)</f>
        <v>69079.455947136565</v>
      </c>
      <c r="AE471" s="311">
        <f t="shared" ref="AE471" si="5037">IF(N470&gt;0,(N471/N470),)</f>
        <v>61682.788214439352</v>
      </c>
      <c r="AF471" s="306">
        <f t="shared" ref="AF471" si="5038">IF(O470&gt;0,(O471/O470),)</f>
        <v>47067.310087644553</v>
      </c>
      <c r="AG471" s="296">
        <f t="shared" ref="AG471" si="5039">IF(P470&gt;0,(P471/P470),)</f>
        <v>0</v>
      </c>
      <c r="AH471" s="311">
        <f t="shared" ref="AH471" si="5040">IF(Q470&gt;0,(Q471/Q470),)</f>
        <v>47067.310087644553</v>
      </c>
      <c r="AI471" s="517">
        <f>IF(S469&gt;0,(S471-S469)/S469,)</f>
        <v>2.5569678493494994E-3</v>
      </c>
      <c r="AJ471" s="518">
        <f t="shared" ref="AJ471" si="5041">IF(T469&gt;0,(T471-T469)/T469,)</f>
        <v>-1.0534283806758679E-2</v>
      </c>
      <c r="AK471" s="518">
        <f t="shared" ref="AK471" si="5042">IF(U469&gt;0,(U471-U469)/U469,)</f>
        <v>-6.7208640136312689E-3</v>
      </c>
      <c r="AL471" s="518">
        <f t="shared" ref="AL471" si="5043">IF(V469&gt;0,(V471-V469)/V469,)</f>
        <v>-2.533320948720312E-2</v>
      </c>
      <c r="AM471" s="518">
        <f t="shared" ref="AM471" si="5044">IF(W469&gt;0,(W471-W469)/W469,)</f>
        <v>-2.7125651813439032E-2</v>
      </c>
      <c r="AN471" s="518">
        <f t="shared" ref="AN471" si="5045">IF(X469&gt;0,(X471-X469)/X469,)</f>
        <v>-1.0355384371607835E-2</v>
      </c>
      <c r="AO471" s="525">
        <f t="shared" ref="AO471" si="5046">IF(Y469&gt;0,(Y471-Y469)/Y469,)</f>
        <v>-3.759406066538306E-3</v>
      </c>
      <c r="AP471" s="518">
        <f t="shared" ref="AP471" si="5047">IF(Z469&gt;0,(Z471-Z469)/Z469,)</f>
        <v>-1.3159635236560752E-3</v>
      </c>
      <c r="AQ471" s="518">
        <f t="shared" ref="AQ471" si="5048">IF(AA469&gt;0,(AA471-AA469)/AA469,)</f>
        <v>-8.4433978559176101E-2</v>
      </c>
      <c r="AR471" s="518">
        <f t="shared" ref="AR471" si="5049">IF(AB469&gt;0,(AB471-AB469)/AB469,)</f>
        <v>-4.9136816565800732E-2</v>
      </c>
      <c r="AS471" s="518">
        <f t="shared" ref="AS471" si="5050">IF(AC469&gt;0,(AC471-AC469)/AC469,)</f>
        <v>-5.4312177323087844E-2</v>
      </c>
      <c r="AT471" s="518">
        <f t="shared" ref="AT471" si="5051">IF(AD469&gt;0,(AD471-AD469)/AD469,)</f>
        <v>1.003561249124065E-2</v>
      </c>
      <c r="AU471" s="525">
        <f t="shared" ref="AU471" si="5052">IF(AE469&gt;0,(AE471-AE469)/AE469,)</f>
        <v>-6.1332701489213715E-2</v>
      </c>
      <c r="AV471" s="518">
        <f t="shared" ref="AV471" si="5053">IF(AF469&gt;0,(AF471-AF469)/AF469,)</f>
        <v>4.0221494947564038E-2</v>
      </c>
      <c r="AW471" s="518">
        <f t="shared" ref="AW471" si="5054">IF(AG469&gt;0,(AG471-AG469)/AG469,)</f>
        <v>0</v>
      </c>
      <c r="AX471" s="525">
        <f t="shared" ref="AX471" si="5055">IF(AH469&gt;0,(AH471-AH469)/AH469,)</f>
        <v>4.0221494947564038E-2</v>
      </c>
    </row>
    <row r="472" spans="1:50" x14ac:dyDescent="0.2">
      <c r="A472" s="698" t="s">
        <v>1076</v>
      </c>
      <c r="B472" s="697">
        <v>12549</v>
      </c>
      <c r="C472" s="697">
        <v>3578</v>
      </c>
      <c r="D472" s="697">
        <v>6813</v>
      </c>
      <c r="E472" s="697">
        <v>2301</v>
      </c>
      <c r="F472" s="697">
        <v>1278</v>
      </c>
      <c r="G472" s="697">
        <v>810</v>
      </c>
      <c r="H472" s="697">
        <v>27329</v>
      </c>
      <c r="I472" s="697">
        <v>218</v>
      </c>
      <c r="J472" s="697">
        <v>2310</v>
      </c>
      <c r="K472" s="697">
        <v>1203</v>
      </c>
      <c r="L472" s="697">
        <v>208</v>
      </c>
      <c r="M472" s="697">
        <v>699</v>
      </c>
      <c r="N472" s="697">
        <v>4638</v>
      </c>
      <c r="O472" s="697">
        <v>60</v>
      </c>
      <c r="P472" s="697">
        <v>0</v>
      </c>
      <c r="Q472" s="697">
        <v>60</v>
      </c>
      <c r="R472" s="294"/>
      <c r="Y472" s="309"/>
      <c r="Z472" s="305"/>
      <c r="AE472" s="309"/>
      <c r="AF472" s="305"/>
      <c r="AH472" s="309"/>
      <c r="AI472" s="516"/>
      <c r="AO472" s="524"/>
      <c r="AU472" s="524"/>
      <c r="AX472" s="524"/>
    </row>
    <row r="473" spans="1:50" x14ac:dyDescent="0.2">
      <c r="A473" s="698" t="s">
        <v>1078</v>
      </c>
      <c r="B473" s="699">
        <v>1026972534.4730715</v>
      </c>
      <c r="C473" s="699">
        <v>279339064.7957015</v>
      </c>
      <c r="D473" s="699">
        <v>463540050.5357936</v>
      </c>
      <c r="E473" s="699">
        <v>151301090.23086947</v>
      </c>
      <c r="F473" s="699">
        <v>82731000.331602663</v>
      </c>
      <c r="G473" s="699">
        <v>49949787.538822368</v>
      </c>
      <c r="H473" s="699">
        <v>2053833527.9058611</v>
      </c>
      <c r="I473" s="699">
        <v>11547408.179337155</v>
      </c>
      <c r="J473" s="699">
        <v>128012113.09441388</v>
      </c>
      <c r="K473" s="699">
        <v>61465946.088379122</v>
      </c>
      <c r="L473" s="699">
        <v>11075459.852601139</v>
      </c>
      <c r="M473" s="699">
        <v>42977949.806592718</v>
      </c>
      <c r="N473" s="699">
        <v>255078877.02132398</v>
      </c>
      <c r="O473" s="699">
        <v>2783868.5108747706</v>
      </c>
      <c r="P473" s="699">
        <v>0</v>
      </c>
      <c r="Q473" s="699">
        <v>2783868.5108747706</v>
      </c>
      <c r="S473" s="296">
        <f>IF(B472&gt;0,(B473/B472),)</f>
        <v>81837.001711138058</v>
      </c>
      <c r="T473" s="296">
        <f t="shared" ref="T473" si="5056">IF(C472&gt;0,(C473/C472),)</f>
        <v>78071.286974762857</v>
      </c>
      <c r="U473" s="296">
        <f t="shared" ref="U473" si="5057">IF(D472&gt;0,(D473/D472),)</f>
        <v>68037.582641390516</v>
      </c>
      <c r="V473" s="296">
        <f t="shared" ref="V473" si="5058">IF(E472&gt;0,(E473/E472),)</f>
        <v>65754.493798726413</v>
      </c>
      <c r="W473" s="296">
        <f t="shared" ref="W473" si="5059">IF(F472&gt;0,(F473/F472),)</f>
        <v>64734.742043507562</v>
      </c>
      <c r="X473" s="296">
        <f t="shared" ref="X473" si="5060">IF(G472&gt;0,(G473/G472),)</f>
        <v>61666.404368916505</v>
      </c>
      <c r="Y473" s="311">
        <f t="shared" ref="Y473" si="5061">IF(H472&gt;0,(H473/H472),)</f>
        <v>75152.165388629699</v>
      </c>
      <c r="Z473" s="306">
        <f t="shared" ref="Z473" si="5062">IF(I472&gt;0,(I473/I472),)</f>
        <v>52969.762290537408</v>
      </c>
      <c r="AA473" s="296">
        <f t="shared" ref="AA473" si="5063">IF(J472&gt;0,(J473/J472),)</f>
        <v>55416.499175070945</v>
      </c>
      <c r="AB473" s="296">
        <f t="shared" ref="AB473" si="5064">IF(K472&gt;0,(K473/K472),)</f>
        <v>51093.887022759038</v>
      </c>
      <c r="AC473" s="296">
        <f t="shared" ref="AC473" si="5065">IF(L472&gt;0,(L473/L472),)</f>
        <v>53247.403137505476</v>
      </c>
      <c r="AD473" s="296">
        <f t="shared" ref="AD473" si="5066">IF(M472&gt;0,(M473/M472),)</f>
        <v>61484.906733322918</v>
      </c>
      <c r="AE473" s="311">
        <f t="shared" ref="AE473" si="5067">IF(N472&gt;0,(N473/N472),)</f>
        <v>54997.60177260112</v>
      </c>
      <c r="AF473" s="306">
        <f t="shared" ref="AF473" si="5068">IF(O472&gt;0,(O473/O472),)</f>
        <v>46397.808514579512</v>
      </c>
      <c r="AG473" s="296">
        <f t="shared" ref="AG473" si="5069">IF(P472&gt;0,(P473/P472),)</f>
        <v>0</v>
      </c>
      <c r="AH473" s="311">
        <f t="shared" ref="AH473" si="5070">IF(Q472&gt;0,(Q473/Q472),)</f>
        <v>46397.808514579512</v>
      </c>
      <c r="AI473" s="516"/>
      <c r="AO473" s="524"/>
      <c r="AU473" s="524"/>
      <c r="AX473" s="524"/>
    </row>
    <row r="474" spans="1:50" x14ac:dyDescent="0.2">
      <c r="A474" s="698" t="s">
        <v>1080</v>
      </c>
      <c r="B474" s="704">
        <v>12956</v>
      </c>
      <c r="C474" s="704">
        <v>3586</v>
      </c>
      <c r="D474" s="704">
        <v>7071</v>
      </c>
      <c r="E474" s="704">
        <v>2359</v>
      </c>
      <c r="F474" s="704">
        <v>1283</v>
      </c>
      <c r="G474" s="704">
        <v>842</v>
      </c>
      <c r="H474" s="704">
        <v>28097</v>
      </c>
      <c r="I474" s="704">
        <v>208</v>
      </c>
      <c r="J474" s="704">
        <v>2155</v>
      </c>
      <c r="K474" s="704">
        <v>1223</v>
      </c>
      <c r="L474" s="704">
        <v>212</v>
      </c>
      <c r="M474" s="704">
        <v>720</v>
      </c>
      <c r="N474" s="704">
        <v>4518</v>
      </c>
      <c r="O474" s="704">
        <v>51</v>
      </c>
      <c r="P474" s="704">
        <v>0</v>
      </c>
      <c r="Q474" s="704">
        <v>51</v>
      </c>
      <c r="Y474" s="309"/>
      <c r="Z474" s="305"/>
      <c r="AE474" s="309"/>
      <c r="AF474" s="305"/>
      <c r="AH474" s="309"/>
      <c r="AI474" s="516"/>
      <c r="AO474" s="524"/>
      <c r="AU474" s="524"/>
      <c r="AX474" s="524"/>
    </row>
    <row r="475" spans="1:50" x14ac:dyDescent="0.2">
      <c r="A475" s="698" t="s">
        <v>1082</v>
      </c>
      <c r="B475" s="699">
        <v>1069668522.7851053</v>
      </c>
      <c r="C475" s="699">
        <v>274545238.30489165</v>
      </c>
      <c r="D475" s="699">
        <v>472489088.86786467</v>
      </c>
      <c r="E475" s="699">
        <v>152733736.43004444</v>
      </c>
      <c r="F475" s="699">
        <v>81380908.537904292</v>
      </c>
      <c r="G475" s="699">
        <v>51461063.436071523</v>
      </c>
      <c r="H475" s="699">
        <v>2102278558.361882</v>
      </c>
      <c r="I475" s="699">
        <v>11029894.545674445</v>
      </c>
      <c r="J475" s="699">
        <v>117060758.5632742</v>
      </c>
      <c r="K475" s="699">
        <v>59858832.48778823</v>
      </c>
      <c r="L475" s="699">
        <v>11087350.761254074</v>
      </c>
      <c r="M475" s="699">
        <v>44634468.809416026</v>
      </c>
      <c r="N475" s="699">
        <v>243671305.16740698</v>
      </c>
      <c r="O475" s="699">
        <v>2236978.7302807486</v>
      </c>
      <c r="P475" s="699">
        <v>0</v>
      </c>
      <c r="Q475" s="699">
        <v>2236978.7302807486</v>
      </c>
      <c r="S475" s="296">
        <f>IF(B474&gt;0,(B475/B474),)</f>
        <v>82561.633435096126</v>
      </c>
      <c r="T475" s="296">
        <f t="shared" ref="T475" si="5071">IF(C474&gt;0,(C475/C474),)</f>
        <v>76560.300698519699</v>
      </c>
      <c r="U475" s="296">
        <f t="shared" ref="U475" si="5072">IF(D474&gt;0,(D475/D474),)</f>
        <v>66820.688568500162</v>
      </c>
      <c r="V475" s="296">
        <f t="shared" ref="V475" si="5073">IF(E474&gt;0,(E475/E474),)</f>
        <v>64745.119300569917</v>
      </c>
      <c r="W475" s="296">
        <f t="shared" ref="W475" si="5074">IF(F474&gt;0,(F475/F474),)</f>
        <v>63430.170333518545</v>
      </c>
      <c r="X475" s="296">
        <f t="shared" ref="X475" si="5075">IF(G474&gt;0,(G475/G474),)</f>
        <v>61117.652536902046</v>
      </c>
      <c r="Y475" s="311">
        <f t="shared" ref="Y475" si="5076">IF(H474&gt;0,(H475/H474),)</f>
        <v>74822.171703807588</v>
      </c>
      <c r="Z475" s="306">
        <f t="shared" ref="Z475" si="5077">IF(I474&gt;0,(I475/I474),)</f>
        <v>53028.339161896372</v>
      </c>
      <c r="AA475" s="296">
        <f t="shared" ref="AA475" si="5078">IF(J474&gt;0,(J475/J474),)</f>
        <v>54320.537616368543</v>
      </c>
      <c r="AB475" s="296">
        <f t="shared" ref="AB475" si="5079">IF(K474&gt;0,(K475/K474),)</f>
        <v>48944.262050521858</v>
      </c>
      <c r="AC475" s="296">
        <f t="shared" ref="AC475" si="5080">IF(L474&gt;0,(L475/L474),)</f>
        <v>52298.824345538087</v>
      </c>
      <c r="AD475" s="296">
        <f t="shared" ref="AD475" si="5081">IF(M474&gt;0,(M475/M474),)</f>
        <v>61992.317790855588</v>
      </c>
      <c r="AE475" s="311">
        <f t="shared" ref="AE475" si="5082">IF(N474&gt;0,(N475/N474),)</f>
        <v>53933.445145508405</v>
      </c>
      <c r="AF475" s="306">
        <f t="shared" ref="AF475" si="5083">IF(O474&gt;0,(O475/O474),)</f>
        <v>43862.328044720562</v>
      </c>
      <c r="AG475" s="296">
        <f t="shared" ref="AG475" si="5084">IF(P474&gt;0,(P475/P474),)</f>
        <v>0</v>
      </c>
      <c r="AH475" s="311">
        <f t="shared" ref="AH475" si="5085">IF(Q474&gt;0,(Q475/Q474),)</f>
        <v>43862.328044720562</v>
      </c>
      <c r="AI475" s="517">
        <f>IF(S473&gt;0,(S475-S473)/S473,)</f>
        <v>8.8545732224625823E-3</v>
      </c>
      <c r="AJ475" s="518">
        <f t="shared" ref="AJ475" si="5086">IF(T473&gt;0,(T475-T473)/T473,)</f>
        <v>-1.9353930680451013E-2</v>
      </c>
      <c r="AK475" s="518">
        <f t="shared" ref="AK475" si="5087">IF(U473&gt;0,(U475-U473)/U473,)</f>
        <v>-1.7885615944121736E-2</v>
      </c>
      <c r="AL475" s="518">
        <f t="shared" ref="AL475" si="5088">IF(V473&gt;0,(V475-V473)/V473,)</f>
        <v>-1.5350654226708477E-2</v>
      </c>
      <c r="AM475" s="518">
        <f t="shared" ref="AM475" si="5089">IF(W473&gt;0,(W475-W473)/W473,)</f>
        <v>-2.0152574472486934E-2</v>
      </c>
      <c r="AN475" s="518">
        <f t="shared" ref="AN475" si="5090">IF(X473&gt;0,(X475-X473)/X473,)</f>
        <v>-8.8987162074762108E-3</v>
      </c>
      <c r="AO475" s="525">
        <f t="shared" ref="AO475" si="5091">IF(Y473&gt;0,(Y475-Y473)/Y473,)</f>
        <v>-4.3910070071252862E-3</v>
      </c>
      <c r="AP475" s="518">
        <f t="shared" ref="AP475" si="5092">IF(Z473&gt;0,(Z475-Z473)/Z473,)</f>
        <v>1.1058549033630151E-3</v>
      </c>
      <c r="AQ475" s="518">
        <f t="shared" ref="AQ475" si="5093">IF(AA473&gt;0,(AA475-AA473)/AA473,)</f>
        <v>-1.9776809704995204E-2</v>
      </c>
      <c r="AR475" s="518">
        <f t="shared" ref="AR475" si="5094">IF(AB473&gt;0,(AB475-AB473)/AB473,)</f>
        <v>-4.2072057881986154E-2</v>
      </c>
      <c r="AS475" s="518">
        <f t="shared" ref="AS475" si="5095">IF(AC473&gt;0,(AC475-AC473)/AC473,)</f>
        <v>-1.7814555003138662E-2</v>
      </c>
      <c r="AT475" s="518">
        <f t="shared" ref="AT475" si="5096">IF(AD473&gt;0,(AD475-AD473)/AD473,)</f>
        <v>8.2526116487978557E-3</v>
      </c>
      <c r="AU475" s="525">
        <f t="shared" ref="AU475" si="5097">IF(AE473&gt;0,(AE475-AE473)/AE473,)</f>
        <v>-1.9349146013542342E-2</v>
      </c>
      <c r="AV475" s="518">
        <f t="shared" ref="AV475" si="5098">IF(AF473&gt;0,(AF475-AF473)/AF473,)</f>
        <v>-5.4646556616186524E-2</v>
      </c>
      <c r="AW475" s="518">
        <f t="shared" ref="AW475" si="5099">IF(AG473&gt;0,(AG475-AG473)/AG473,)</f>
        <v>0</v>
      </c>
      <c r="AX475" s="525">
        <f t="shared" ref="AX475" si="5100">IF(AH473&gt;0,(AH475-AH473)/AH473,)</f>
        <v>-5.4646556616186524E-2</v>
      </c>
    </row>
    <row r="476" spans="1:50" x14ac:dyDescent="0.2">
      <c r="A476" s="698" t="s">
        <v>1084</v>
      </c>
      <c r="B476" s="704">
        <v>10755</v>
      </c>
      <c r="C476" s="704">
        <v>3150</v>
      </c>
      <c r="D476" s="704">
        <v>7736</v>
      </c>
      <c r="E476" s="704">
        <v>3029</v>
      </c>
      <c r="F476" s="704">
        <v>1573</v>
      </c>
      <c r="G476" s="704">
        <v>1154</v>
      </c>
      <c r="H476" s="704">
        <v>27397</v>
      </c>
      <c r="I476" s="704">
        <v>295</v>
      </c>
      <c r="J476" s="704">
        <v>1768</v>
      </c>
      <c r="K476" s="704">
        <v>1162</v>
      </c>
      <c r="L476" s="704">
        <v>337</v>
      </c>
      <c r="M476" s="704">
        <v>678</v>
      </c>
      <c r="N476" s="704">
        <v>4240</v>
      </c>
      <c r="O476" s="704">
        <v>76</v>
      </c>
      <c r="P476" s="704">
        <v>0</v>
      </c>
      <c r="Q476" s="704">
        <v>76</v>
      </c>
      <c r="R476" s="294"/>
      <c r="Y476" s="309"/>
      <c r="Z476" s="305"/>
      <c r="AE476" s="309"/>
      <c r="AF476" s="305"/>
      <c r="AH476" s="309"/>
      <c r="AI476" s="516"/>
      <c r="AO476" s="524"/>
      <c r="AU476" s="524"/>
      <c r="AX476" s="524"/>
    </row>
    <row r="477" spans="1:50" x14ac:dyDescent="0.2">
      <c r="A477" s="698" t="s">
        <v>1086</v>
      </c>
      <c r="B477" s="699">
        <v>765462072.42993617</v>
      </c>
      <c r="C477" s="699">
        <v>209742141.6121223</v>
      </c>
      <c r="D477" s="699">
        <v>446211460.95233232</v>
      </c>
      <c r="E477" s="699">
        <v>171323500.45222855</v>
      </c>
      <c r="F477" s="699">
        <v>86569283.486773476</v>
      </c>
      <c r="G477" s="699">
        <v>62751813.616082191</v>
      </c>
      <c r="H477" s="699">
        <v>1742060272.549475</v>
      </c>
      <c r="I477" s="699">
        <v>13700006.905564064</v>
      </c>
      <c r="J477" s="699">
        <v>90039252.974015027</v>
      </c>
      <c r="K477" s="699">
        <v>53777123.684581965</v>
      </c>
      <c r="L477" s="699">
        <v>15161284.483665986</v>
      </c>
      <c r="M477" s="699">
        <v>37393404.06767644</v>
      </c>
      <c r="N477" s="699">
        <v>210071072.11550346</v>
      </c>
      <c r="O477" s="699">
        <v>3266439.6082904306</v>
      </c>
      <c r="P477" s="699">
        <v>0</v>
      </c>
      <c r="Q477" s="699">
        <v>3266439.6082904306</v>
      </c>
      <c r="S477" s="296">
        <f>IF(B476&gt;0,(B477/B476),)</f>
        <v>71172.670611802532</v>
      </c>
      <c r="T477" s="296">
        <f t="shared" ref="T477" si="5101">IF(C476&gt;0,(C477/C476),)</f>
        <v>66584.806860991201</v>
      </c>
      <c r="U477" s="296">
        <f t="shared" ref="U477" si="5102">IF(D476&gt;0,(D477/D476),)</f>
        <v>57679.868272018139</v>
      </c>
      <c r="V477" s="296">
        <f t="shared" ref="V477" si="5103">IF(E476&gt;0,(E477/E476),)</f>
        <v>56561.076412092618</v>
      </c>
      <c r="W477" s="296">
        <f t="shared" ref="W477" si="5104">IF(F476&gt;0,(F477/F476),)</f>
        <v>55034.509527510156</v>
      </c>
      <c r="X477" s="296">
        <f t="shared" ref="X477" si="5105">IF(G476&gt;0,(G477/G476),)</f>
        <v>54377.654779967233</v>
      </c>
      <c r="Y477" s="311">
        <f t="shared" ref="Y477" si="5106">IF(H476&gt;0,(H477/H476),)</f>
        <v>63585.804013193963</v>
      </c>
      <c r="Z477" s="306">
        <f t="shared" ref="Z477" si="5107">IF(I476&gt;0,(I477/I476),)</f>
        <v>46440.70137479344</v>
      </c>
      <c r="AA477" s="296">
        <f t="shared" ref="AA477" si="5108">IF(J476&gt;0,(J477/J476),)</f>
        <v>50927.179283945152</v>
      </c>
      <c r="AB477" s="296">
        <f t="shared" ref="AB477" si="5109">IF(K476&gt;0,(K477/K476),)</f>
        <v>46279.796630449193</v>
      </c>
      <c r="AC477" s="296">
        <f t="shared" ref="AC477" si="5110">IF(L476&gt;0,(L477/L476),)</f>
        <v>44988.974728979185</v>
      </c>
      <c r="AD477" s="296">
        <f t="shared" ref="AD477" si="5111">IF(M476&gt;0,(M477/M476),)</f>
        <v>55152.513374154041</v>
      </c>
      <c r="AE477" s="311">
        <f t="shared" ref="AE477" si="5112">IF(N476&gt;0,(N477/N476),)</f>
        <v>49545.064178184781</v>
      </c>
      <c r="AF477" s="306">
        <f t="shared" ref="AF477" si="5113">IF(O476&gt;0,(O477/O476),)</f>
        <v>42979.468530137245</v>
      </c>
      <c r="AG477" s="296">
        <f t="shared" ref="AG477" si="5114">IF(P476&gt;0,(P477/P476),)</f>
        <v>0</v>
      </c>
      <c r="AH477" s="311">
        <f t="shared" ref="AH477" si="5115">IF(Q476&gt;0,(Q477/Q476),)</f>
        <v>42979.468530137245</v>
      </c>
      <c r="AI477" s="516"/>
      <c r="AO477" s="524"/>
      <c r="AU477" s="524"/>
      <c r="AX477" s="524"/>
    </row>
    <row r="478" spans="1:50" x14ac:dyDescent="0.2">
      <c r="A478" s="698" t="s">
        <v>1088</v>
      </c>
      <c r="B478" s="704">
        <v>10567</v>
      </c>
      <c r="C478" s="704">
        <v>3122</v>
      </c>
      <c r="D478" s="704">
        <v>7432</v>
      </c>
      <c r="E478" s="704">
        <v>2888</v>
      </c>
      <c r="F478" s="704">
        <v>1509</v>
      </c>
      <c r="G478" s="704">
        <v>1185</v>
      </c>
      <c r="H478" s="704">
        <v>26703</v>
      </c>
      <c r="I478" s="704">
        <v>296</v>
      </c>
      <c r="J478" s="704">
        <v>1767</v>
      </c>
      <c r="K478" s="704">
        <v>1172</v>
      </c>
      <c r="L478" s="704">
        <v>339</v>
      </c>
      <c r="M478" s="704">
        <v>741</v>
      </c>
      <c r="N478" s="704">
        <v>4315</v>
      </c>
      <c r="O478" s="704">
        <v>109</v>
      </c>
      <c r="P478" s="704">
        <v>0</v>
      </c>
      <c r="Q478" s="704">
        <v>109</v>
      </c>
      <c r="R478" s="294"/>
      <c r="Y478" s="309"/>
      <c r="Z478" s="305"/>
      <c r="AE478" s="309"/>
      <c r="AF478" s="305"/>
      <c r="AH478" s="309"/>
      <c r="AI478" s="516"/>
      <c r="AO478" s="524"/>
      <c r="AU478" s="524"/>
      <c r="AX478" s="524"/>
    </row>
    <row r="479" spans="1:50" x14ac:dyDescent="0.2">
      <c r="A479" s="698" t="s">
        <v>1090</v>
      </c>
      <c r="B479" s="699">
        <v>764249355.66873014</v>
      </c>
      <c r="C479" s="699">
        <v>208284938.39513236</v>
      </c>
      <c r="D479" s="699">
        <v>430378654.30015421</v>
      </c>
      <c r="E479" s="699">
        <v>160143167.24422625</v>
      </c>
      <c r="F479" s="699">
        <v>82923837.59527491</v>
      </c>
      <c r="G479" s="699">
        <v>63584103.009254381</v>
      </c>
      <c r="H479" s="699">
        <v>1709564056.2127721</v>
      </c>
      <c r="I479" s="699">
        <v>13983466.363223515</v>
      </c>
      <c r="J479" s="699">
        <v>87817686.310374469</v>
      </c>
      <c r="K479" s="699">
        <v>52676000.03060516</v>
      </c>
      <c r="L479" s="699">
        <v>17064763.103069138</v>
      </c>
      <c r="M479" s="699">
        <v>41347086.517241381</v>
      </c>
      <c r="N479" s="699">
        <v>212889002.32451367</v>
      </c>
      <c r="O479" s="699">
        <v>2889630.0738827093</v>
      </c>
      <c r="P479" s="699">
        <v>0</v>
      </c>
      <c r="Q479" s="699">
        <v>2889630.0738827093</v>
      </c>
      <c r="S479" s="296">
        <f>IF(B478&gt;0,(B479/B478),)</f>
        <v>72324.15592587585</v>
      </c>
      <c r="T479" s="296">
        <f t="shared" ref="T479" si="5116">IF(C478&gt;0,(C479/C478),)</f>
        <v>66715.226904270457</v>
      </c>
      <c r="U479" s="296">
        <f t="shared" ref="U479" si="5117">IF(D478&gt;0,(D479/D478),)</f>
        <v>57908.86091229201</v>
      </c>
      <c r="V479" s="296">
        <f t="shared" ref="V479" si="5118">IF(E478&gt;0,(E479/E478),)</f>
        <v>55451.235195369198</v>
      </c>
      <c r="W479" s="296">
        <f t="shared" ref="W479" si="5119">IF(F478&gt;0,(F479/F478),)</f>
        <v>54952.841348757393</v>
      </c>
      <c r="X479" s="296">
        <f t="shared" ref="X479" si="5120">IF(G478&gt;0,(G479/G478),)</f>
        <v>53657.470893885555</v>
      </c>
      <c r="Y479" s="311">
        <f t="shared" ref="Y479" si="5121">IF(H478&gt;0,(H479/H478),)</f>
        <v>64021.422919251476</v>
      </c>
      <c r="Z479" s="306">
        <f t="shared" ref="Z479" si="5122">IF(I478&gt;0,(I479/I478),)</f>
        <v>47241.440416295663</v>
      </c>
      <c r="AA479" s="296">
        <f t="shared" ref="AA479" si="5123">IF(J478&gt;0,(J479/J478),)</f>
        <v>49698.747204512998</v>
      </c>
      <c r="AB479" s="296">
        <f t="shared" ref="AB479" si="5124">IF(K478&gt;0,(K479/K478),)</f>
        <v>44945.392517581196</v>
      </c>
      <c r="AC479" s="296">
        <f t="shared" ref="AC479" si="5125">IF(L478&gt;0,(L479/L478),)</f>
        <v>50338.534227342592</v>
      </c>
      <c r="AD479" s="296">
        <f t="shared" ref="AD479" si="5126">IF(M478&gt;0,(M479/M478),)</f>
        <v>55799.037135278515</v>
      </c>
      <c r="AE479" s="311">
        <f t="shared" ref="AE479" si="5127">IF(N478&gt;0,(N479/N478),)</f>
        <v>49336.964617500271</v>
      </c>
      <c r="AF479" s="306">
        <f t="shared" ref="AF479" si="5128">IF(O478&gt;0,(O479/O478),)</f>
        <v>26510.367650300086</v>
      </c>
      <c r="AG479" s="296">
        <f t="shared" ref="AG479" si="5129">IF(P478&gt;0,(P479/P478),)</f>
        <v>0</v>
      </c>
      <c r="AH479" s="311">
        <f t="shared" ref="AH479" si="5130">IF(Q478&gt;0,(Q479/Q478),)</f>
        <v>26510.367650300086</v>
      </c>
      <c r="AI479" s="517">
        <f>IF(S477&gt;0,(S479-S477)/S477,)</f>
        <v>1.6178756595405418E-2</v>
      </c>
      <c r="AJ479" s="518">
        <f t="shared" ref="AJ479" si="5131">IF(T477&gt;0,(T479-T477)/T477,)</f>
        <v>1.9587057382554869E-3</v>
      </c>
      <c r="AK479" s="518">
        <f t="shared" ref="AK479" si="5132">IF(U477&gt;0,(U479-U477)/U477,)</f>
        <v>3.9700617760418987E-3</v>
      </c>
      <c r="AL479" s="518">
        <f t="shared" ref="AL479" si="5133">IF(V477&gt;0,(V479-V477)/V477,)</f>
        <v>-1.9621996028458516E-2</v>
      </c>
      <c r="AM479" s="518">
        <f t="shared" ref="AM479" si="5134">IF(W477&gt;0,(W479-W477)/W477,)</f>
        <v>-1.4839448821096452E-3</v>
      </c>
      <c r="AN479" s="518">
        <f t="shared" ref="AN479" si="5135">IF(X477&gt;0,(X479-X477)/X477,)</f>
        <v>-1.324411449879216E-2</v>
      </c>
      <c r="AO479" s="525">
        <f t="shared" ref="AO479" si="5136">IF(Y477&gt;0,(Y479-Y477)/Y477,)</f>
        <v>6.8508830362060402E-3</v>
      </c>
      <c r="AP479" s="518">
        <f t="shared" ref="AP479" si="5137">IF(Z477&gt;0,(Z479-Z477)/Z477,)</f>
        <v>1.7242182348624902E-2</v>
      </c>
      <c r="AQ479" s="518">
        <f t="shared" ref="AQ479" si="5138">IF(AA477&gt;0,(AA479-AA477)/AA477,)</f>
        <v>-2.4121345354373835E-2</v>
      </c>
      <c r="AR479" s="518">
        <f t="shared" ref="AR479" si="5139">IF(AB477&gt;0,(AB479-AB477)/AB477,)</f>
        <v>-2.8833404855328221E-2</v>
      </c>
      <c r="AS479" s="518">
        <f t="shared" ref="AS479" si="5140">IF(AC477&gt;0,(AC479-AC477)/AC477,)</f>
        <v>0.11890823319691132</v>
      </c>
      <c r="AT479" s="518">
        <f t="shared" ref="AT479" si="5141">IF(AD477&gt;0,(AD479-AD477)/AD477,)</f>
        <v>1.1722471408301264E-2</v>
      </c>
      <c r="AU479" s="525">
        <f t="shared" ref="AU479" si="5142">IF(AE477&gt;0,(AE479-AE477)/AE477,)</f>
        <v>-4.2002077126410981E-3</v>
      </c>
      <c r="AV479" s="518">
        <f t="shared" ref="AV479" si="5143">IF(AF477&gt;0,(AF479-AF477)/AF477,)</f>
        <v>-0.38318530784737392</v>
      </c>
      <c r="AW479" s="518">
        <f t="shared" ref="AW479" si="5144">IF(AG477&gt;0,(AG479-AG477)/AG477,)</f>
        <v>0</v>
      </c>
      <c r="AX479" s="525">
        <f t="shared" ref="AX479" si="5145">IF(AH477&gt;0,(AH479-AH477)/AH477,)</f>
        <v>-0.38318530784737392</v>
      </c>
    </row>
    <row r="480" spans="1:50" x14ac:dyDescent="0.2">
      <c r="A480" s="698" t="s">
        <v>1092</v>
      </c>
      <c r="B480" s="704">
        <v>3326</v>
      </c>
      <c r="C480" s="704">
        <v>1133</v>
      </c>
      <c r="D480" s="704">
        <v>2925</v>
      </c>
      <c r="E480" s="704">
        <v>1010</v>
      </c>
      <c r="F480" s="704">
        <v>586</v>
      </c>
      <c r="G480" s="704">
        <v>477</v>
      </c>
      <c r="H480" s="704">
        <v>9457</v>
      </c>
      <c r="I480" s="704">
        <v>569</v>
      </c>
      <c r="J480" s="704">
        <v>3479</v>
      </c>
      <c r="K480" s="704">
        <v>2078</v>
      </c>
      <c r="L480" s="704">
        <v>685</v>
      </c>
      <c r="M480" s="704">
        <v>520</v>
      </c>
      <c r="N480" s="704">
        <v>7331</v>
      </c>
      <c r="O480" s="704">
        <v>536</v>
      </c>
      <c r="P480" s="704">
        <v>0</v>
      </c>
      <c r="Q480" s="704">
        <v>536</v>
      </c>
      <c r="R480" s="294"/>
      <c r="Y480" s="309"/>
      <c r="Z480" s="305"/>
      <c r="AE480" s="309"/>
      <c r="AF480" s="305"/>
      <c r="AH480" s="309"/>
      <c r="AI480" s="516"/>
      <c r="AO480" s="524"/>
      <c r="AU480" s="524"/>
      <c r="AX480" s="524"/>
    </row>
    <row r="481" spans="1:50" x14ac:dyDescent="0.2">
      <c r="A481" s="698" t="s">
        <v>1094</v>
      </c>
      <c r="B481" s="699">
        <v>155404309.13306537</v>
      </c>
      <c r="C481" s="699">
        <v>52043272.30750522</v>
      </c>
      <c r="D481" s="699">
        <v>128091160.67789201</v>
      </c>
      <c r="E481" s="699">
        <v>44770104.335170418</v>
      </c>
      <c r="F481" s="699">
        <v>26821154.865942083</v>
      </c>
      <c r="G481" s="699">
        <v>20624568.816092554</v>
      </c>
      <c r="H481" s="699">
        <v>427754570.13566774</v>
      </c>
      <c r="I481" s="699">
        <v>28211243.19223512</v>
      </c>
      <c r="J481" s="699">
        <v>168584754.23933041</v>
      </c>
      <c r="K481" s="699">
        <v>90503052.142151207</v>
      </c>
      <c r="L481" s="699">
        <v>27391389.638030365</v>
      </c>
      <c r="M481" s="699">
        <v>25931500.199252803</v>
      </c>
      <c r="N481" s="699">
        <v>340621939.41099989</v>
      </c>
      <c r="O481" s="699">
        <v>19837196.249969874</v>
      </c>
      <c r="P481" s="699">
        <v>0</v>
      </c>
      <c r="Q481" s="699">
        <v>19837196.249969874</v>
      </c>
      <c r="S481" s="296">
        <f>IF(B480&gt;0,(B481/B480),)</f>
        <v>46724.085728522361</v>
      </c>
      <c r="T481" s="296">
        <f t="shared" ref="T481" si="5146">IF(C480&gt;0,(C481/C480),)</f>
        <v>45934.044402034619</v>
      </c>
      <c r="U481" s="296">
        <f t="shared" ref="U481" si="5147">IF(D480&gt;0,(D481/D480),)</f>
        <v>43791.849804407524</v>
      </c>
      <c r="V481" s="296">
        <f t="shared" ref="V481" si="5148">IF(E480&gt;0,(E481/E480),)</f>
        <v>44326.835975416252</v>
      </c>
      <c r="W481" s="296">
        <f t="shared" ref="W481" si="5149">IF(F480&gt;0,(F481/F480),)</f>
        <v>45769.888849730516</v>
      </c>
      <c r="X481" s="296">
        <f t="shared" ref="X481" si="5150">IF(G480&gt;0,(G481/G480),)</f>
        <v>43238.089761200325</v>
      </c>
      <c r="Y481" s="311">
        <f t="shared" ref="Y481" si="5151">IF(H480&gt;0,(H481/H480),)</f>
        <v>45231.529040463967</v>
      </c>
      <c r="Z481" s="306">
        <f t="shared" ref="Z481" si="5152">IF(I480&gt;0,(I481/I480),)</f>
        <v>49580.39225348879</v>
      </c>
      <c r="AA481" s="296">
        <f t="shared" ref="AA481" si="5153">IF(J480&gt;0,(J481/J480),)</f>
        <v>48457.819557151597</v>
      </c>
      <c r="AB481" s="296">
        <f t="shared" ref="AB481" si="5154">IF(K480&gt;0,(K481/K480),)</f>
        <v>43552.960607387489</v>
      </c>
      <c r="AC481" s="296">
        <f t="shared" ref="AC481" si="5155">IF(L480&gt;0,(L481/L480),)</f>
        <v>39987.430128511485</v>
      </c>
      <c r="AD481" s="296">
        <f t="shared" ref="AD481" si="5156">IF(M480&gt;0,(M481/M480),)</f>
        <v>49868.269613947698</v>
      </c>
      <c r="AE481" s="311">
        <f t="shared" ref="AE481" si="5157">IF(N480&gt;0,(N481/N480),)</f>
        <v>46463.230038330366</v>
      </c>
      <c r="AF481" s="306">
        <f t="shared" ref="AF481" si="5158">IF(O480&gt;0,(O481/O480),)</f>
        <v>37009.694496212447</v>
      </c>
      <c r="AG481" s="296">
        <f t="shared" ref="AG481" si="5159">IF(P480&gt;0,(P481/P480),)</f>
        <v>0</v>
      </c>
      <c r="AH481" s="311">
        <f t="shared" ref="AH481" si="5160">IF(Q480&gt;0,(Q481/Q480),)</f>
        <v>37009.694496212447</v>
      </c>
      <c r="AI481" s="516"/>
      <c r="AO481" s="524"/>
      <c r="AU481" s="524"/>
      <c r="AX481" s="524"/>
    </row>
    <row r="482" spans="1:50" x14ac:dyDescent="0.2">
      <c r="A482" s="698" t="s">
        <v>1096</v>
      </c>
      <c r="B482" s="697">
        <v>3550</v>
      </c>
      <c r="C482" s="697">
        <v>1138</v>
      </c>
      <c r="D482" s="697">
        <v>2829</v>
      </c>
      <c r="E482" s="697">
        <v>1012</v>
      </c>
      <c r="F482" s="697">
        <v>631</v>
      </c>
      <c r="G482" s="697">
        <v>476</v>
      </c>
      <c r="H482" s="697">
        <v>9636</v>
      </c>
      <c r="I482" s="697">
        <v>594</v>
      </c>
      <c r="J482" s="697">
        <v>3546</v>
      </c>
      <c r="K482" s="697">
        <v>2719</v>
      </c>
      <c r="L482" s="697">
        <v>1019</v>
      </c>
      <c r="M482" s="697">
        <v>558</v>
      </c>
      <c r="N482" s="697">
        <v>8436</v>
      </c>
      <c r="O482" s="697">
        <v>319</v>
      </c>
      <c r="P482" s="697">
        <v>0</v>
      </c>
      <c r="Q482" s="697">
        <v>319</v>
      </c>
      <c r="R482" s="294"/>
      <c r="Y482" s="309"/>
      <c r="Z482" s="305"/>
      <c r="AE482" s="309"/>
      <c r="AF482" s="305"/>
      <c r="AH482" s="309"/>
      <c r="AI482" s="516"/>
      <c r="AO482" s="524"/>
      <c r="AU482" s="524"/>
      <c r="AX482" s="524"/>
    </row>
    <row r="483" spans="1:50" x14ac:dyDescent="0.2">
      <c r="A483" s="698" t="s">
        <v>1098</v>
      </c>
      <c r="B483" s="699">
        <v>165975800.61987156</v>
      </c>
      <c r="C483" s="699">
        <v>50777579.752467528</v>
      </c>
      <c r="D483" s="699">
        <v>125009854.98595425</v>
      </c>
      <c r="E483" s="699">
        <v>43946075.57881818</v>
      </c>
      <c r="F483" s="699">
        <v>26896855.21411474</v>
      </c>
      <c r="G483" s="699">
        <v>21314681.553301141</v>
      </c>
      <c r="H483" s="699">
        <v>433920847.70452738</v>
      </c>
      <c r="I483" s="699">
        <v>28755406.001379389</v>
      </c>
      <c r="J483" s="699">
        <v>166121801.92309898</v>
      </c>
      <c r="K483" s="699">
        <v>118495399.79493032</v>
      </c>
      <c r="L483" s="699">
        <v>42435407.910310268</v>
      </c>
      <c r="M483" s="699">
        <v>27730284.188463736</v>
      </c>
      <c r="N483" s="699">
        <v>383538299.81818277</v>
      </c>
      <c r="O483" s="699">
        <v>11441362.631072564</v>
      </c>
      <c r="P483" s="699">
        <v>0</v>
      </c>
      <c r="Q483" s="699">
        <v>11441362.631072564</v>
      </c>
      <c r="S483" s="296">
        <f>IF(B482&gt;0,(B483/B482),)</f>
        <v>46753.746653484945</v>
      </c>
      <c r="T483" s="296">
        <f t="shared" ref="T483" si="5161">IF(C482&gt;0,(C483/C482),)</f>
        <v>44620.017357177087</v>
      </c>
      <c r="U483" s="296">
        <f t="shared" ref="U483" si="5162">IF(D482&gt;0,(D483/D482),)</f>
        <v>44188.708019071848</v>
      </c>
      <c r="V483" s="296">
        <f t="shared" ref="V483" si="5163">IF(E482&gt;0,(E483/E482),)</f>
        <v>43424.975868397414</v>
      </c>
      <c r="W483" s="296">
        <f t="shared" ref="W483" si="5164">IF(F482&gt;0,(F483/F482),)</f>
        <v>42625.76103663192</v>
      </c>
      <c r="X483" s="296">
        <f t="shared" ref="X483" si="5165">IF(G482&gt;0,(G483/G482),)</f>
        <v>44778.742759036009</v>
      </c>
      <c r="Y483" s="311">
        <f t="shared" ref="Y483" si="5166">IF(H482&gt;0,(H483/H482),)</f>
        <v>45031.221222968801</v>
      </c>
      <c r="Z483" s="306">
        <f t="shared" ref="Z483" si="5167">IF(I482&gt;0,(I483/I482),)</f>
        <v>48409.774413096617</v>
      </c>
      <c r="AA483" s="296">
        <f t="shared" ref="AA483" si="5168">IF(J482&gt;0,(J483/J482),)</f>
        <v>46847.659876790465</v>
      </c>
      <c r="AB483" s="296">
        <f t="shared" ref="AB483" si="5169">IF(K482&gt;0,(K483/K482),)</f>
        <v>43580.507464115602</v>
      </c>
      <c r="AC483" s="296">
        <f t="shared" ref="AC483" si="5170">IF(L482&gt;0,(L483/L482),)</f>
        <v>41644.168704916847</v>
      </c>
      <c r="AD483" s="296">
        <f t="shared" ref="AD483" si="5171">IF(M482&gt;0,(M483/M482),)</f>
        <v>49695.849800114222</v>
      </c>
      <c r="AE483" s="311">
        <f t="shared" ref="AE483" si="5172">IF(N482&gt;0,(N483/N482),)</f>
        <v>45464.473662657983</v>
      </c>
      <c r="AF483" s="306">
        <f t="shared" ref="AF483" si="5173">IF(O482&gt;0,(O483/O482),)</f>
        <v>35866.340536277632</v>
      </c>
      <c r="AG483" s="296">
        <f t="shared" ref="AG483" si="5174">IF(P482&gt;0,(P483/P482),)</f>
        <v>0</v>
      </c>
      <c r="AH483" s="311">
        <f t="shared" ref="AH483" si="5175">IF(Q482&gt;0,(Q483/Q482),)</f>
        <v>35866.340536277632</v>
      </c>
      <c r="AI483" s="517">
        <f>IF(S481&gt;0,(S483-S481)/S481,)</f>
        <v>6.3481017338509922E-4</v>
      </c>
      <c r="AJ483" s="518">
        <f t="shared" ref="AJ483" si="5176">IF(T481&gt;0,(T483-T481)/T481,)</f>
        <v>-2.8606822281021002E-2</v>
      </c>
      <c r="AK483" s="518">
        <f t="shared" ref="AK483" si="5177">IF(U481&gt;0,(U483-U481)/U481,)</f>
        <v>9.0623761370404871E-3</v>
      </c>
      <c r="AL483" s="518">
        <f t="shared" ref="AL483" si="5178">IF(V481&gt;0,(V483-V481)/V481,)</f>
        <v>-2.0345690983200587E-2</v>
      </c>
      <c r="AM483" s="518">
        <f t="shared" ref="AM483" si="5179">IF(W481&gt;0,(W483-W481)/W481,)</f>
        <v>-6.869424182831739E-2</v>
      </c>
      <c r="AN483" s="518">
        <f t="shared" ref="AN483" si="5180">IF(X481&gt;0,(X483-X481)/X481,)</f>
        <v>3.5631846974382042E-2</v>
      </c>
      <c r="AO483" s="525">
        <f t="shared" ref="AO483" si="5181">IF(Y481&gt;0,(Y483-Y481)/Y481,)</f>
        <v>-4.4284998041072502E-3</v>
      </c>
      <c r="AP483" s="518">
        <f t="shared" ref="AP483" si="5182">IF(Z481&gt;0,(Z483-Z481)/Z481,)</f>
        <v>-2.3610499779977055E-2</v>
      </c>
      <c r="AQ483" s="518">
        <f t="shared" ref="AQ483" si="5183">IF(AA481&gt;0,(AA483-AA481)/AA481,)</f>
        <v>-3.322806711230774E-2</v>
      </c>
      <c r="AR483" s="518">
        <f t="shared" ref="AR483" si="5184">IF(AB481&gt;0,(AB483-AB481)/AB481,)</f>
        <v>6.324910257292745E-4</v>
      </c>
      <c r="AS483" s="518">
        <f t="shared" ref="AS483" si="5185">IF(AC481&gt;0,(AC483-AC481)/AC481,)</f>
        <v>4.1431484120908496E-2</v>
      </c>
      <c r="AT483" s="518">
        <f t="shared" ref="AT483" si="5186">IF(AD481&gt;0,(AD483-AD481)/AD481,)</f>
        <v>-3.4575054472163135E-3</v>
      </c>
      <c r="AU483" s="525">
        <f t="shared" ref="AU483" si="5187">IF(AE481&gt;0,(AE483-AE481)/AE481,)</f>
        <v>-2.149562944393766E-2</v>
      </c>
      <c r="AV483" s="518">
        <f t="shared" ref="AV483" si="5188">IF(AF481&gt;0,(AF483-AF481)/AF481,)</f>
        <v>-3.089336390095912E-2</v>
      </c>
      <c r="AW483" s="518">
        <f t="shared" ref="AW483" si="5189">IF(AG481&gt;0,(AG483-AG481)/AG481,)</f>
        <v>0</v>
      </c>
      <c r="AX483" s="525">
        <f t="shared" ref="AX483" si="5190">IF(AH481&gt;0,(AH483-AH481)/AH481,)</f>
        <v>-3.089336390095912E-2</v>
      </c>
    </row>
    <row r="484" spans="1:50" x14ac:dyDescent="0.2">
      <c r="A484" s="698" t="s">
        <v>1100</v>
      </c>
      <c r="B484" s="697">
        <v>4883</v>
      </c>
      <c r="C484" s="697">
        <v>1700</v>
      </c>
      <c r="D484" s="697">
        <v>2659</v>
      </c>
      <c r="E484" s="697">
        <v>656</v>
      </c>
      <c r="F484" s="697">
        <v>488</v>
      </c>
      <c r="G484" s="697">
        <v>167</v>
      </c>
      <c r="H484" s="697">
        <v>10553</v>
      </c>
      <c r="I484" s="697">
        <v>46</v>
      </c>
      <c r="J484" s="697">
        <v>1578</v>
      </c>
      <c r="K484" s="697">
        <v>515</v>
      </c>
      <c r="L484" s="697">
        <v>170</v>
      </c>
      <c r="M484" s="697">
        <v>2</v>
      </c>
      <c r="N484" s="697">
        <v>2311</v>
      </c>
      <c r="O484" s="697">
        <v>80</v>
      </c>
      <c r="P484" s="697">
        <v>0</v>
      </c>
      <c r="Q484" s="697">
        <v>80</v>
      </c>
      <c r="R484" s="294"/>
      <c r="Y484" s="309"/>
      <c r="Z484" s="305"/>
      <c r="AE484" s="309"/>
      <c r="AF484" s="305"/>
      <c r="AH484" s="309"/>
      <c r="AI484" s="516"/>
      <c r="AO484" s="524"/>
      <c r="AU484" s="524"/>
      <c r="AX484" s="524"/>
    </row>
    <row r="485" spans="1:50" x14ac:dyDescent="0.2">
      <c r="A485" s="698" t="s">
        <v>1102</v>
      </c>
      <c r="B485" s="699">
        <v>262568646.17731223</v>
      </c>
      <c r="C485" s="699">
        <v>81814749.58115299</v>
      </c>
      <c r="D485" s="699">
        <v>116555318.19899121</v>
      </c>
      <c r="E485" s="699">
        <v>30482762.341264002</v>
      </c>
      <c r="F485" s="699">
        <v>22787584.45332849</v>
      </c>
      <c r="G485" s="699">
        <v>7687179.8926703744</v>
      </c>
      <c r="H485" s="699">
        <v>521896240.64471936</v>
      </c>
      <c r="I485" s="699">
        <v>1637417.3043478262</v>
      </c>
      <c r="J485" s="699">
        <v>67708698.617414534</v>
      </c>
      <c r="K485" s="699">
        <v>23045030.09090909</v>
      </c>
      <c r="L485" s="699">
        <v>7014965.5875735208</v>
      </c>
      <c r="M485" s="699">
        <v>108743.40000000001</v>
      </c>
      <c r="N485" s="699">
        <v>99514855.00024499</v>
      </c>
      <c r="O485" s="699">
        <v>157998</v>
      </c>
      <c r="P485" s="699">
        <v>0</v>
      </c>
      <c r="Q485" s="699">
        <v>157998</v>
      </c>
      <c r="S485" s="296">
        <f>IF(B484&gt;0,(B485/B484),)</f>
        <v>53771.993892548067</v>
      </c>
      <c r="T485" s="296">
        <f t="shared" ref="T485" si="5191">IF(C484&gt;0,(C485/C484),)</f>
        <v>48126.323283031168</v>
      </c>
      <c r="U485" s="296">
        <f t="shared" ref="U485" si="5192">IF(D484&gt;0,(D485/D484),)</f>
        <v>43834.267844675145</v>
      </c>
      <c r="V485" s="296">
        <f t="shared" ref="V485" si="5193">IF(E484&gt;0,(E485/E484),)</f>
        <v>46467.625520219517</v>
      </c>
      <c r="W485" s="296">
        <f t="shared" ref="W485" si="5194">IF(F484&gt;0,(F485/F484),)</f>
        <v>46695.869781410838</v>
      </c>
      <c r="X485" s="296">
        <f t="shared" ref="X485" si="5195">IF(G484&gt;0,(G485/G484),)</f>
        <v>46031.017321379484</v>
      </c>
      <c r="Y485" s="311">
        <f t="shared" ref="Y485" si="5196">IF(H484&gt;0,(H485/H484),)</f>
        <v>49454.775006606593</v>
      </c>
      <c r="Z485" s="306">
        <f t="shared" ref="Z485" si="5197">IF(I484&gt;0,(I485/I484),)</f>
        <v>35596.028355387527</v>
      </c>
      <c r="AA485" s="296">
        <f t="shared" ref="AA485" si="5198">IF(J484&gt;0,(J485/J484),)</f>
        <v>42907.92054335522</v>
      </c>
      <c r="AB485" s="296">
        <f t="shared" ref="AB485" si="5199">IF(K484&gt;0,(K485/K484),)</f>
        <v>44747.631244483673</v>
      </c>
      <c r="AC485" s="296">
        <f t="shared" ref="AC485" si="5200">IF(L484&gt;0,(L485/L484),)</f>
        <v>41264.503456314829</v>
      </c>
      <c r="AD485" s="296">
        <f t="shared" ref="AD485" si="5201">IF(M484&gt;0,(M485/M484),)</f>
        <v>54371.700000000004</v>
      </c>
      <c r="AE485" s="311">
        <f t="shared" ref="AE485" si="5202">IF(N484&gt;0,(N485/N484),)</f>
        <v>43061.382518496321</v>
      </c>
      <c r="AF485" s="306">
        <f t="shared" ref="AF485" si="5203">IF(O484&gt;0,(O485/O484),)</f>
        <v>1974.9749999999999</v>
      </c>
      <c r="AG485" s="296">
        <f t="shared" ref="AG485" si="5204">IF(P484&gt;0,(P485/P484),)</f>
        <v>0</v>
      </c>
      <c r="AH485" s="311">
        <f t="shared" ref="AH485" si="5205">IF(Q484&gt;0,(Q485/Q484),)</f>
        <v>1974.9749999999999</v>
      </c>
      <c r="AI485" s="516"/>
      <c r="AO485" s="524"/>
      <c r="AU485" s="524"/>
      <c r="AX485" s="524"/>
    </row>
    <row r="486" spans="1:50" x14ac:dyDescent="0.2">
      <c r="A486" s="698" t="s">
        <v>1104</v>
      </c>
      <c r="B486" s="697">
        <v>5268</v>
      </c>
      <c r="C486" s="697">
        <v>1537</v>
      </c>
      <c r="D486" s="697">
        <v>3267</v>
      </c>
      <c r="E486" s="697">
        <v>775</v>
      </c>
      <c r="F486" s="697">
        <v>483</v>
      </c>
      <c r="G486" s="697">
        <v>154</v>
      </c>
      <c r="H486" s="697">
        <v>11484</v>
      </c>
      <c r="I486" s="697">
        <v>22</v>
      </c>
      <c r="J486" s="697">
        <v>3650</v>
      </c>
      <c r="K486" s="697">
        <v>2237</v>
      </c>
      <c r="L486" s="697">
        <v>1026</v>
      </c>
      <c r="M486" s="697">
        <v>25</v>
      </c>
      <c r="N486" s="697">
        <v>6960</v>
      </c>
      <c r="O486" s="697">
        <v>132</v>
      </c>
      <c r="P486" s="697">
        <v>0</v>
      </c>
      <c r="Q486" s="697">
        <v>132</v>
      </c>
      <c r="R486" s="294"/>
      <c r="Y486" s="309"/>
      <c r="Z486" s="305"/>
      <c r="AE486" s="309"/>
      <c r="AF486" s="305"/>
      <c r="AH486" s="309"/>
      <c r="AI486" s="516"/>
      <c r="AO486" s="524"/>
      <c r="AU486" s="524"/>
      <c r="AX486" s="524"/>
    </row>
    <row r="487" spans="1:50" x14ac:dyDescent="0.2">
      <c r="A487" s="698" t="s">
        <v>1106</v>
      </c>
      <c r="B487" s="699">
        <v>288146892.70243222</v>
      </c>
      <c r="C487" s="699">
        <v>77916454.867197409</v>
      </c>
      <c r="D487" s="699">
        <v>138645801.09328634</v>
      </c>
      <c r="E487" s="699">
        <v>34510198.499068908</v>
      </c>
      <c r="F487" s="699">
        <v>22212590.227643251</v>
      </c>
      <c r="G487" s="699">
        <v>7465873.351845962</v>
      </c>
      <c r="H487" s="699">
        <v>568897810.74147403</v>
      </c>
      <c r="I487" s="699">
        <v>728591.36842105258</v>
      </c>
      <c r="J487" s="699">
        <v>179892259.90165263</v>
      </c>
      <c r="K487" s="699">
        <v>103928706.99658421</v>
      </c>
      <c r="L487" s="699">
        <v>45845988.462784871</v>
      </c>
      <c r="M487" s="699">
        <v>974515.44943820231</v>
      </c>
      <c r="N487" s="699">
        <v>331370062.17888099</v>
      </c>
      <c r="O487" s="699">
        <v>4501500.9327059723</v>
      </c>
      <c r="P487" s="699">
        <v>0</v>
      </c>
      <c r="Q487" s="699">
        <v>4501500.9327059723</v>
      </c>
      <c r="S487" s="296">
        <f>IF(B486&gt;0,(B487/B486),)</f>
        <v>54697.587832656078</v>
      </c>
      <c r="T487" s="296">
        <f t="shared" ref="T487" si="5206">IF(C486&gt;0,(C487/C486),)</f>
        <v>50693.854825762792</v>
      </c>
      <c r="U487" s="296">
        <f t="shared" ref="U487" si="5207">IF(D486&gt;0,(D487/D486),)</f>
        <v>42438.261736543107</v>
      </c>
      <c r="V487" s="296">
        <f t="shared" ref="V487" si="5208">IF(E486&gt;0,(E487/E486),)</f>
        <v>44529.288385895365</v>
      </c>
      <c r="W487" s="296">
        <f t="shared" ref="W487" si="5209">IF(F486&gt;0,(F487/F486),)</f>
        <v>45988.799643153732</v>
      </c>
      <c r="X487" s="296">
        <f t="shared" ref="X487" si="5210">IF(G486&gt;0,(G487/G486),)</f>
        <v>48479.697089908841</v>
      </c>
      <c r="Y487" s="311">
        <f t="shared" ref="Y487" si="5211">IF(H486&gt;0,(H487/H486),)</f>
        <v>49538.297696053123</v>
      </c>
      <c r="Z487" s="306">
        <f t="shared" ref="Z487" si="5212">IF(I486&gt;0,(I487/I486),)</f>
        <v>33117.789473684206</v>
      </c>
      <c r="AA487" s="296">
        <f t="shared" ref="AA487" si="5213">IF(J486&gt;0,(J487/J486),)</f>
        <v>49285.55065798702</v>
      </c>
      <c r="AB487" s="296">
        <f t="shared" ref="AB487" si="5214">IF(K486&gt;0,(K487/K486),)</f>
        <v>46458.96602440063</v>
      </c>
      <c r="AC487" s="296">
        <f t="shared" ref="AC487" si="5215">IF(L486&gt;0,(L487/L486),)</f>
        <v>44684.199281466739</v>
      </c>
      <c r="AD487" s="296">
        <f t="shared" ref="AD487" si="5216">IF(M486&gt;0,(M487/M486),)</f>
        <v>38980.617977528091</v>
      </c>
      <c r="AE487" s="311">
        <f t="shared" ref="AE487" si="5217">IF(N486&gt;0,(N487/N486),)</f>
        <v>47610.641117655316</v>
      </c>
      <c r="AF487" s="306">
        <f t="shared" ref="AF487" si="5218">IF(O486&gt;0,(O487/O486),)</f>
        <v>34102.279793227062</v>
      </c>
      <c r="AG487" s="296">
        <f t="shared" ref="AG487" si="5219">IF(P486&gt;0,(P487/P486),)</f>
        <v>0</v>
      </c>
      <c r="AH487" s="311">
        <f t="shared" ref="AH487" si="5220">IF(Q486&gt;0,(Q487/Q486),)</f>
        <v>34102.279793227062</v>
      </c>
      <c r="AI487" s="517">
        <f>IF(S485&gt;0,(S487-S485)/S485,)</f>
        <v>1.7213308882642771E-2</v>
      </c>
      <c r="AJ487" s="518">
        <f t="shared" ref="AJ487" si="5221">IF(T485&gt;0,(T487-T485)/T485,)</f>
        <v>5.3349837834732496E-2</v>
      </c>
      <c r="AK487" s="518">
        <f t="shared" ref="AK487" si="5222">IF(U485&gt;0,(U487-U485)/U485,)</f>
        <v>-3.1847369119491771E-2</v>
      </c>
      <c r="AL487" s="518">
        <f t="shared" ref="AL487" si="5223">IF(V485&gt;0,(V487-V485)/V485,)</f>
        <v>-4.1713711699788089E-2</v>
      </c>
      <c r="AM487" s="518">
        <f t="shared" ref="AM487" si="5224">IF(W485&gt;0,(W487-W485)/W485,)</f>
        <v>-1.514202736916539E-2</v>
      </c>
      <c r="AN487" s="518">
        <f t="shared" ref="AN487" si="5225">IF(X485&gt;0,(X487-X485)/X485,)</f>
        <v>5.3196299170039145E-2</v>
      </c>
      <c r="AO487" s="525">
        <f t="shared" ref="AO487" si="5226">IF(Y485&gt;0,(Y487-Y485)/Y485,)</f>
        <v>1.6888700724120723E-3</v>
      </c>
      <c r="AP487" s="518">
        <f t="shared" ref="AP487" si="5227">IF(Z485&gt;0,(Z487-Z485)/Z485,)</f>
        <v>-6.9621218888826802E-2</v>
      </c>
      <c r="AQ487" s="518">
        <f t="shared" ref="AQ487" si="5228">IF(AA485&gt;0,(AA487-AA485)/AA485,)</f>
        <v>0.14863526439571187</v>
      </c>
      <c r="AR487" s="518">
        <f t="shared" ref="AR487" si="5229">IF(AB485&gt;0,(AB487-AB485)/AB485,)</f>
        <v>3.8244142367377804E-2</v>
      </c>
      <c r="AS487" s="518">
        <f t="shared" ref="AS487" si="5230">IF(AC485&gt;0,(AC487-AC485)/AC485,)</f>
        <v>8.2872579062346227E-2</v>
      </c>
      <c r="AT487" s="518">
        <f t="shared" ref="AT487" si="5231">IF(AD485&gt;0,(AD487-AD485)/AD485,)</f>
        <v>-0.28307156153793078</v>
      </c>
      <c r="AU487" s="525">
        <f t="shared" ref="AU487" si="5232">IF(AE485&gt;0,(AE487-AE485)/AE485,)</f>
        <v>0.10564590203774657</v>
      </c>
      <c r="AV487" s="518">
        <f t="shared" ref="AV487" si="5233">IF(AF485&gt;0,(AF487-AF485)/AF485,)</f>
        <v>16.267195682591964</v>
      </c>
      <c r="AW487" s="518">
        <f t="shared" ref="AW487" si="5234">IF(AG485&gt;0,(AG487-AG485)/AG485,)</f>
        <v>0</v>
      </c>
      <c r="AX487" s="525">
        <f t="shared" ref="AX487" si="5235">IF(AH485&gt;0,(AH487-AH485)/AH485,)</f>
        <v>16.267195682591964</v>
      </c>
    </row>
    <row r="488" spans="1:50" x14ac:dyDescent="0.2">
      <c r="A488" s="698" t="s">
        <v>1108</v>
      </c>
      <c r="B488" s="697">
        <v>0</v>
      </c>
      <c r="C488" s="697">
        <v>0</v>
      </c>
      <c r="D488" s="697">
        <v>0</v>
      </c>
      <c r="E488" s="697">
        <v>0</v>
      </c>
      <c r="F488" s="697">
        <v>0</v>
      </c>
      <c r="G488" s="697">
        <v>0</v>
      </c>
      <c r="H488" s="697">
        <v>0</v>
      </c>
      <c r="I488" s="697">
        <v>2452</v>
      </c>
      <c r="J488" s="697">
        <v>10808.9</v>
      </c>
      <c r="K488" s="697">
        <v>6199</v>
      </c>
      <c r="L488" s="697">
        <v>2710</v>
      </c>
      <c r="M488" s="697">
        <v>0</v>
      </c>
      <c r="N488" s="697">
        <v>22169.9</v>
      </c>
      <c r="O488" s="697">
        <v>2600</v>
      </c>
      <c r="P488" s="697">
        <v>1426</v>
      </c>
      <c r="Q488" s="697">
        <v>4026</v>
      </c>
      <c r="R488" s="294"/>
      <c r="Y488" s="309"/>
      <c r="Z488" s="305"/>
      <c r="AE488" s="309"/>
      <c r="AF488" s="305"/>
      <c r="AH488" s="309"/>
      <c r="AI488" s="516"/>
      <c r="AO488" s="524"/>
      <c r="AU488" s="524"/>
      <c r="AX488" s="524"/>
    </row>
    <row r="489" spans="1:50" x14ac:dyDescent="0.2">
      <c r="A489" s="698" t="s">
        <v>1110</v>
      </c>
      <c r="B489" s="699">
        <v>0</v>
      </c>
      <c r="C489" s="699">
        <v>0</v>
      </c>
      <c r="D489" s="699">
        <v>0</v>
      </c>
      <c r="E489" s="699">
        <v>0</v>
      </c>
      <c r="F489" s="699">
        <v>0</v>
      </c>
      <c r="G489" s="699">
        <v>0</v>
      </c>
      <c r="H489" s="699">
        <v>0</v>
      </c>
      <c r="I489" s="699">
        <v>142161876</v>
      </c>
      <c r="J489" s="699">
        <v>558796848.0556612</v>
      </c>
      <c r="K489" s="699">
        <v>308652368.61878455</v>
      </c>
      <c r="L489" s="699">
        <v>123343759.88893031</v>
      </c>
      <c r="M489" s="699">
        <v>0</v>
      </c>
      <c r="N489" s="699">
        <v>1132954852.5633759</v>
      </c>
      <c r="O489" s="699">
        <v>117785207.43332955</v>
      </c>
      <c r="P489" s="699">
        <v>60369550.098944947</v>
      </c>
      <c r="Q489" s="699">
        <v>178154757.53227448</v>
      </c>
      <c r="S489" s="296">
        <f>IF(B488&gt;0,(B489/B488),)</f>
        <v>0</v>
      </c>
      <c r="T489" s="296">
        <f t="shared" ref="T489" si="5236">IF(C488&gt;0,(C489/C488),)</f>
        <v>0</v>
      </c>
      <c r="U489" s="296">
        <f t="shared" ref="U489" si="5237">IF(D488&gt;0,(D489/D488),)</f>
        <v>0</v>
      </c>
      <c r="V489" s="296">
        <f t="shared" ref="V489" si="5238">IF(E488&gt;0,(E489/E488),)</f>
        <v>0</v>
      </c>
      <c r="W489" s="296">
        <f t="shared" ref="W489" si="5239">IF(F488&gt;0,(F489/F488),)</f>
        <v>0</v>
      </c>
      <c r="X489" s="296">
        <f t="shared" ref="X489" si="5240">IF(G488&gt;0,(G489/G488),)</f>
        <v>0</v>
      </c>
      <c r="Y489" s="311">
        <f t="shared" ref="Y489" si="5241">IF(H488&gt;0,(H489/H488),)</f>
        <v>0</v>
      </c>
      <c r="Z489" s="306">
        <f t="shared" ref="Z489" si="5242">IF(I488&gt;0,(I489/I488),)</f>
        <v>57977.926590538336</v>
      </c>
      <c r="AA489" s="296">
        <f t="shared" ref="AA489" si="5243">IF(J488&gt;0,(J489/J488),)</f>
        <v>51697.846039436132</v>
      </c>
      <c r="AB489" s="296">
        <f t="shared" ref="AB489" si="5244">IF(K488&gt;0,(K489/K488),)</f>
        <v>49790.670853167372</v>
      </c>
      <c r="AC489" s="296">
        <f t="shared" ref="AC489" si="5245">IF(L488&gt;0,(L489/L488),)</f>
        <v>45514.302542040707</v>
      </c>
      <c r="AD489" s="296">
        <f t="shared" ref="AD489" si="5246">IF(M488&gt;0,(M489/M488),)</f>
        <v>0</v>
      </c>
      <c r="AE489" s="311">
        <f t="shared" ref="AE489" si="5247">IF(N488&gt;0,(N489/N488),)</f>
        <v>51103.291064162484</v>
      </c>
      <c r="AF489" s="306">
        <f t="shared" ref="AF489" si="5248">IF(O488&gt;0,(O489/O488),)</f>
        <v>45302.002858972905</v>
      </c>
      <c r="AG489" s="296">
        <f t="shared" ref="AG489" si="5249">IF(P488&gt;0,(P489/P488),)</f>
        <v>42334.887867422825</v>
      </c>
      <c r="AH489" s="311">
        <f t="shared" ref="AH489" si="5250">IF(Q488&gt;0,(Q489/Q488),)</f>
        <v>44251.05750925844</v>
      </c>
      <c r="AI489" s="516"/>
      <c r="AO489" s="524"/>
      <c r="AU489" s="524"/>
      <c r="AX489" s="524"/>
    </row>
    <row r="490" spans="1:50" x14ac:dyDescent="0.2">
      <c r="A490" s="698" t="s">
        <v>1112</v>
      </c>
      <c r="B490" s="697">
        <v>0</v>
      </c>
      <c r="C490" s="697">
        <v>0</v>
      </c>
      <c r="D490" s="697">
        <v>0</v>
      </c>
      <c r="E490" s="697">
        <v>0</v>
      </c>
      <c r="F490" s="697">
        <v>0</v>
      </c>
      <c r="G490" s="697">
        <v>0</v>
      </c>
      <c r="H490" s="697">
        <v>0</v>
      </c>
      <c r="I490" s="697">
        <v>2463</v>
      </c>
      <c r="J490" s="697">
        <v>7383</v>
      </c>
      <c r="K490" s="697">
        <v>3699.1</v>
      </c>
      <c r="L490" s="697">
        <v>1507</v>
      </c>
      <c r="M490" s="697">
        <v>0</v>
      </c>
      <c r="N490" s="697">
        <v>15052.1</v>
      </c>
      <c r="O490" s="697">
        <v>2479</v>
      </c>
      <c r="P490" s="697">
        <v>1399</v>
      </c>
      <c r="Q490" s="697">
        <v>3878</v>
      </c>
      <c r="R490" s="294"/>
      <c r="Y490" s="309"/>
      <c r="Z490" s="305"/>
      <c r="AE490" s="309"/>
      <c r="AF490" s="305"/>
      <c r="AH490" s="309"/>
      <c r="AI490" s="516"/>
      <c r="AO490" s="524"/>
      <c r="AU490" s="524"/>
      <c r="AX490" s="524"/>
    </row>
    <row r="491" spans="1:50" x14ac:dyDescent="0.2">
      <c r="A491" s="698" t="s">
        <v>1114</v>
      </c>
      <c r="B491" s="699">
        <v>0</v>
      </c>
      <c r="C491" s="699">
        <v>0</v>
      </c>
      <c r="D491" s="699">
        <v>0</v>
      </c>
      <c r="E491" s="699">
        <v>0</v>
      </c>
      <c r="F491" s="699">
        <v>0</v>
      </c>
      <c r="G491" s="699">
        <v>0</v>
      </c>
      <c r="H491" s="699">
        <v>0</v>
      </c>
      <c r="I491" s="699">
        <v>144807808.63636363</v>
      </c>
      <c r="J491" s="699">
        <v>371134175.63145876</v>
      </c>
      <c r="K491" s="699">
        <v>184396787.57397169</v>
      </c>
      <c r="L491" s="699">
        <v>67201221.88639237</v>
      </c>
      <c r="M491" s="699">
        <v>0</v>
      </c>
      <c r="N491" s="699">
        <v>767539993.72818649</v>
      </c>
      <c r="O491" s="699">
        <v>105769954.45896207</v>
      </c>
      <c r="P491" s="699">
        <v>59710955.752471</v>
      </c>
      <c r="Q491" s="699">
        <v>165480910.21143305</v>
      </c>
      <c r="S491" s="296">
        <f>IF(B490&gt;0,(B491/B490),)</f>
        <v>0</v>
      </c>
      <c r="T491" s="296">
        <f t="shared" ref="T491" si="5251">IF(C490&gt;0,(C491/C490),)</f>
        <v>0</v>
      </c>
      <c r="U491" s="296">
        <f t="shared" ref="U491" si="5252">IF(D490&gt;0,(D491/D490),)</f>
        <v>0</v>
      </c>
      <c r="V491" s="296">
        <f t="shared" ref="V491" si="5253">IF(E490&gt;0,(E491/E490),)</f>
        <v>0</v>
      </c>
      <c r="W491" s="296">
        <f t="shared" ref="W491" si="5254">IF(F490&gt;0,(F491/F490),)</f>
        <v>0</v>
      </c>
      <c r="X491" s="296">
        <f t="shared" ref="X491" si="5255">IF(G490&gt;0,(G491/G490),)</f>
        <v>0</v>
      </c>
      <c r="Y491" s="311">
        <f t="shared" ref="Y491" si="5256">IF(H490&gt;0,(H491/H490),)</f>
        <v>0</v>
      </c>
      <c r="Z491" s="306">
        <f t="shared" ref="Z491" si="5257">IF(I490&gt;0,(I491/I490),)</f>
        <v>58793.263758166315</v>
      </c>
      <c r="AA491" s="296">
        <f t="shared" ref="AA491" si="5258">IF(J490&gt;0,(J491/J490),)</f>
        <v>50268.749238989403</v>
      </c>
      <c r="AB491" s="296">
        <f t="shared" ref="AB491" si="5259">IF(K490&gt;0,(K491/K490),)</f>
        <v>49849.095070144547</v>
      </c>
      <c r="AC491" s="296">
        <f t="shared" ref="AC491" si="5260">IF(L490&gt;0,(L491/L490),)</f>
        <v>44592.71525308054</v>
      </c>
      <c r="AD491" s="296">
        <f t="shared" ref="AD491" si="5261">IF(M490&gt;0,(M491/M490),)</f>
        <v>0</v>
      </c>
      <c r="AE491" s="311">
        <f t="shared" ref="AE491" si="5262">IF(N490&gt;0,(N491/N490),)</f>
        <v>50992.219937961243</v>
      </c>
      <c r="AF491" s="306">
        <f t="shared" ref="AF491" si="5263">IF(O490&gt;0,(O491/O490),)</f>
        <v>42666.379370295304</v>
      </c>
      <c r="AG491" s="296">
        <f t="shared" ref="AG491" si="5264">IF(P490&gt;0,(P491/P490),)</f>
        <v>42681.169229786276</v>
      </c>
      <c r="AH491" s="311">
        <f t="shared" ref="AH491" si="5265">IF(Q490&gt;0,(Q491/Q490),)</f>
        <v>42671.714855965205</v>
      </c>
      <c r="AI491" s="517">
        <f>IF(S489&gt;0,(S491-S489)/S489,)</f>
        <v>0</v>
      </c>
      <c r="AJ491" s="518">
        <f t="shared" ref="AJ491" si="5266">IF(T489&gt;0,(T491-T489)/T489,)</f>
        <v>0</v>
      </c>
      <c r="AK491" s="518">
        <f t="shared" ref="AK491" si="5267">IF(U489&gt;0,(U491-U489)/U489,)</f>
        <v>0</v>
      </c>
      <c r="AL491" s="518">
        <f t="shared" ref="AL491" si="5268">IF(V489&gt;0,(V491-V489)/V489,)</f>
        <v>0</v>
      </c>
      <c r="AM491" s="518">
        <f t="shared" ref="AM491" si="5269">IF(W489&gt;0,(W491-W489)/W489,)</f>
        <v>0</v>
      </c>
      <c r="AN491" s="518">
        <f t="shared" ref="AN491" si="5270">IF(X489&gt;0,(X491-X489)/X489,)</f>
        <v>0</v>
      </c>
      <c r="AO491" s="525">
        <f t="shared" ref="AO491" si="5271">IF(Y489&gt;0,(Y491-Y489)/Y489,)</f>
        <v>0</v>
      </c>
      <c r="AP491" s="518">
        <f t="shared" ref="AP491" si="5272">IF(Z489&gt;0,(Z491-Z489)/Z489,)</f>
        <v>1.4062889371436006E-2</v>
      </c>
      <c r="AQ491" s="518">
        <f t="shared" ref="AQ491" si="5273">IF(AA489&gt;0,(AA491-AA489)/AA489,)</f>
        <v>-2.7643256149522854E-2</v>
      </c>
      <c r="AR491" s="518">
        <f t="shared" ref="AR491" si="5274">IF(AB489&gt;0,(AB491-AB489)/AB489,)</f>
        <v>1.1733968628273364E-3</v>
      </c>
      <c r="AS491" s="518">
        <f t="shared" ref="AS491" si="5275">IF(AC489&gt;0,(AC491-AC489)/AC489,)</f>
        <v>-2.0248300808496714E-2</v>
      </c>
      <c r="AT491" s="518">
        <f t="shared" ref="AT491" si="5276">IF(AD489&gt;0,(AD491-AD489)/AD489,)</f>
        <v>0</v>
      </c>
      <c r="AU491" s="525">
        <f t="shared" ref="AU491" si="5277">IF(AE489&gt;0,(AE491-AE489)/AE489,)</f>
        <v>-2.1734632719013379E-3</v>
      </c>
      <c r="AV491" s="518">
        <f t="shared" ref="AV491" si="5278">IF(AF489&gt;0,(AF491-AF489)/AF489,)</f>
        <v>-5.8178961687023203E-2</v>
      </c>
      <c r="AW491" s="518">
        <f t="shared" ref="AW491" si="5279">IF(AG489&gt;0,(AG491-AG489)/AG489,)</f>
        <v>8.1795743370780861E-3</v>
      </c>
      <c r="AX491" s="525">
        <f t="shared" ref="AX491" si="5280">IF(AH489&gt;0,(AH491-AH489)/AH489,)</f>
        <v>-3.5690506446378077E-2</v>
      </c>
    </row>
    <row r="492" spans="1:50" x14ac:dyDescent="0.2">
      <c r="A492" s="698" t="s">
        <v>1116</v>
      </c>
      <c r="B492" s="697">
        <v>46784</v>
      </c>
      <c r="C492" s="697">
        <v>12618</v>
      </c>
      <c r="D492" s="697">
        <v>26629</v>
      </c>
      <c r="E492" s="697">
        <v>8908</v>
      </c>
      <c r="F492" s="697">
        <v>4915</v>
      </c>
      <c r="G492" s="697">
        <v>3198</v>
      </c>
      <c r="H492" s="697">
        <v>103052</v>
      </c>
      <c r="I492" s="697">
        <v>3765</v>
      </c>
      <c r="J492" s="697">
        <v>22676.9</v>
      </c>
      <c r="K492" s="697">
        <v>12320</v>
      </c>
      <c r="L492" s="697">
        <v>4329</v>
      </c>
      <c r="M492" s="697">
        <v>2342</v>
      </c>
      <c r="N492" s="697">
        <v>45432.9</v>
      </c>
      <c r="O492" s="697">
        <v>3449</v>
      </c>
      <c r="P492" s="697">
        <v>1426</v>
      </c>
      <c r="Q492" s="697">
        <v>4875</v>
      </c>
      <c r="R492" s="294"/>
      <c r="Y492" s="309"/>
      <c r="Z492" s="305"/>
      <c r="AE492" s="309"/>
      <c r="AF492" s="305"/>
      <c r="AH492" s="309"/>
      <c r="AI492" s="516"/>
      <c r="AO492" s="524"/>
      <c r="AU492" s="524"/>
      <c r="AX492" s="524"/>
    </row>
    <row r="493" spans="1:50" x14ac:dyDescent="0.2">
      <c r="A493" s="698" t="s">
        <v>1118</v>
      </c>
      <c r="B493" s="699">
        <v>4035308126.9500194</v>
      </c>
      <c r="C493" s="699">
        <v>959643055.13854778</v>
      </c>
      <c r="D493" s="699">
        <v>1697645420.4117329</v>
      </c>
      <c r="E493" s="699">
        <v>552094724.78528166</v>
      </c>
      <c r="F493" s="699">
        <v>295726620.42826504</v>
      </c>
      <c r="G493" s="699">
        <v>186223845.6274032</v>
      </c>
      <c r="H493" s="699">
        <v>7726641793.3412495</v>
      </c>
      <c r="I493" s="699">
        <v>209265709.6648519</v>
      </c>
      <c r="J493" s="699">
        <v>1201946189.9413533</v>
      </c>
      <c r="K493" s="699">
        <v>604596741.07571411</v>
      </c>
      <c r="L493" s="699">
        <v>197400706.10696307</v>
      </c>
      <c r="M493" s="699">
        <v>136709736.0798445</v>
      </c>
      <c r="N493" s="699">
        <v>2349919082.8687267</v>
      </c>
      <c r="O493" s="699">
        <v>148219706.85806927</v>
      </c>
      <c r="P493" s="699">
        <v>60369550.098944947</v>
      </c>
      <c r="Q493" s="699">
        <v>208589256.9570142</v>
      </c>
      <c r="S493" s="296">
        <f>IF(B492&gt;0,(B493/B492),)</f>
        <v>86254.021181387216</v>
      </c>
      <c r="T493" s="296">
        <f t="shared" ref="T493" si="5281">IF(C492&gt;0,(C493/C492),)</f>
        <v>76053.499376965265</v>
      </c>
      <c r="U493" s="296">
        <f t="shared" ref="U493" si="5282">IF(D492&gt;0,(D493/D492),)</f>
        <v>63751.752616010097</v>
      </c>
      <c r="V493" s="296">
        <f t="shared" ref="V493" si="5283">IF(E492&gt;0,(E493/E492),)</f>
        <v>61977.405117341899</v>
      </c>
      <c r="W493" s="296">
        <f t="shared" ref="W493" si="5284">IF(F492&gt;0,(F493/F492),)</f>
        <v>60168.183200053922</v>
      </c>
      <c r="X493" s="296">
        <f t="shared" ref="X493" si="5285">IF(G492&gt;0,(G493/G492),)</f>
        <v>58231.346350032269</v>
      </c>
      <c r="Y493" s="311">
        <f t="shared" ref="Y493" si="5286">IF(H492&gt;0,(H493/H492),)</f>
        <v>74978.086726519134</v>
      </c>
      <c r="Z493" s="306">
        <f t="shared" ref="Z493" si="5287">IF(I492&gt;0,(I493/I492),)</f>
        <v>55581.861796773417</v>
      </c>
      <c r="AA493" s="296">
        <f t="shared" ref="AA493" si="5288">IF(J492&gt;0,(J493/J492),)</f>
        <v>53003.10844698143</v>
      </c>
      <c r="AB493" s="296">
        <f t="shared" ref="AB493" si="5289">IF(K492&gt;0,(K493/K492),)</f>
        <v>49074.41080160017</v>
      </c>
      <c r="AC493" s="296">
        <f t="shared" ref="AC493" si="5290">IF(L492&gt;0,(L493/L492),)</f>
        <v>45599.608710317181</v>
      </c>
      <c r="AD493" s="296">
        <f t="shared" ref="AD493" si="5291">IF(M492&gt;0,(M493/M492),)</f>
        <v>58373.072621624466</v>
      </c>
      <c r="AE493" s="311">
        <f t="shared" ref="AE493" si="5292">IF(N492&gt;0,(N493/N492),)</f>
        <v>51722.850244398367</v>
      </c>
      <c r="AF493" s="306">
        <f t="shared" ref="AF493" si="5293">IF(O492&gt;0,(O493/O492),)</f>
        <v>42974.690303876276</v>
      </c>
      <c r="AG493" s="296">
        <f t="shared" ref="AG493" si="5294">IF(P492&gt;0,(P493/P492),)</f>
        <v>42334.887867422825</v>
      </c>
      <c r="AH493" s="311">
        <f t="shared" ref="AH493" si="5295">IF(Q492&gt;0,(Q493/Q492),)</f>
        <v>42787.539888618296</v>
      </c>
      <c r="AI493" s="516"/>
      <c r="AO493" s="524"/>
      <c r="AU493" s="524"/>
      <c r="AX493" s="524"/>
    </row>
    <row r="494" spans="1:50" x14ac:dyDescent="0.2">
      <c r="A494" s="698" t="s">
        <v>1120</v>
      </c>
      <c r="B494" s="697">
        <v>47553</v>
      </c>
      <c r="C494" s="697">
        <v>12441</v>
      </c>
      <c r="D494" s="697">
        <v>27125</v>
      </c>
      <c r="E494" s="697">
        <v>9001</v>
      </c>
      <c r="F494" s="697">
        <v>4885</v>
      </c>
      <c r="G494" s="697">
        <v>3232</v>
      </c>
      <c r="H494" s="697">
        <v>104237</v>
      </c>
      <c r="I494" s="697">
        <v>3763</v>
      </c>
      <c r="J494" s="697">
        <v>21978</v>
      </c>
      <c r="K494" s="697">
        <v>12307.1</v>
      </c>
      <c r="L494" s="697">
        <v>4316</v>
      </c>
      <c r="M494" s="697">
        <v>2491</v>
      </c>
      <c r="N494" s="697">
        <v>44855.1</v>
      </c>
      <c r="O494" s="697">
        <v>3140</v>
      </c>
      <c r="P494" s="697">
        <v>1399</v>
      </c>
      <c r="Q494" s="697">
        <v>4539</v>
      </c>
      <c r="R494" s="294"/>
      <c r="Y494" s="309"/>
      <c r="Z494" s="305"/>
      <c r="AE494" s="309"/>
      <c r="AF494" s="305"/>
      <c r="AH494" s="309"/>
      <c r="AI494" s="516"/>
      <c r="AO494" s="524"/>
      <c r="AU494" s="524"/>
      <c r="AX494" s="524"/>
    </row>
    <row r="495" spans="1:50" ht="13.5" thickBot="1" x14ac:dyDescent="0.25">
      <c r="A495" s="701" t="s">
        <v>1122</v>
      </c>
      <c r="B495" s="702">
        <v>4110538758.4579139</v>
      </c>
      <c r="C495" s="702">
        <v>944790086.13742018</v>
      </c>
      <c r="D495" s="702">
        <v>1708611715.3525703</v>
      </c>
      <c r="E495" s="702">
        <v>545967410.67436576</v>
      </c>
      <c r="F495" s="702">
        <v>287317685.13615662</v>
      </c>
      <c r="G495" s="702">
        <v>187430528.34864417</v>
      </c>
      <c r="H495" s="702">
        <v>7784656184.1070709</v>
      </c>
      <c r="I495" s="702">
        <v>210973016.29944718</v>
      </c>
      <c r="J495" s="702">
        <v>1141947894.0288672</v>
      </c>
      <c r="K495" s="702">
        <v>588370241.84053659</v>
      </c>
      <c r="L495" s="702">
        <v>195972500.7826753</v>
      </c>
      <c r="M495" s="702">
        <v>145564871.7729294</v>
      </c>
      <c r="N495" s="702">
        <v>2282828524.7244554</v>
      </c>
      <c r="O495" s="702">
        <v>129192792.3312863</v>
      </c>
      <c r="P495" s="702">
        <v>59710955.752471</v>
      </c>
      <c r="Q495" s="702">
        <v>188903748.08375728</v>
      </c>
      <c r="S495" s="302">
        <f>IF(B494&gt;0,(B495/B494),)</f>
        <v>86441.20788294985</v>
      </c>
      <c r="T495" s="302">
        <f t="shared" ref="T495" si="5296">IF(C494&gt;0,(C495/C494),)</f>
        <v>75941.651486007569</v>
      </c>
      <c r="U495" s="302">
        <f t="shared" ref="U495" si="5297">IF(D494&gt;0,(D495/D494),)</f>
        <v>62990.29365355098</v>
      </c>
      <c r="V495" s="302">
        <f t="shared" ref="V495" si="5298">IF(E494&gt;0,(E495/E494),)</f>
        <v>60656.306040924981</v>
      </c>
      <c r="W495" s="302">
        <f t="shared" ref="W495" si="5299">IF(F494&gt;0,(F495/F494),)</f>
        <v>58816.312208015683</v>
      </c>
      <c r="X495" s="302">
        <f t="shared" ref="X495" si="5300">IF(G494&gt;0,(G495/G494),)</f>
        <v>57992.118919753768</v>
      </c>
      <c r="Y495" s="312">
        <f t="shared" ref="Y495" si="5301">IF(H494&gt;0,(H495/H494),)</f>
        <v>74682.273896093233</v>
      </c>
      <c r="Z495" s="307">
        <f t="shared" ref="Z495" si="5302">IF(I494&gt;0,(I495/I494),)</f>
        <v>56065.111958396803</v>
      </c>
      <c r="AA495" s="302">
        <f t="shared" ref="AA495" si="5303">IF(J494&gt;0,(J495/J494),)</f>
        <v>51958.681136994594</v>
      </c>
      <c r="AB495" s="302">
        <f t="shared" ref="AB495" si="5304">IF(K494&gt;0,(K495/K494),)</f>
        <v>47807.382879844692</v>
      </c>
      <c r="AC495" s="302">
        <f t="shared" ref="AC495" si="5305">IF(L494&gt;0,(L495/L494),)</f>
        <v>45406.047447329773</v>
      </c>
      <c r="AD495" s="302">
        <f t="shared" ref="AD495" si="5306">IF(M494&gt;0,(M495/M494),)</f>
        <v>58436.319459224971</v>
      </c>
      <c r="AE495" s="312">
        <f t="shared" ref="AE495" si="5307">IF(N494&gt;0,(N495/N494),)</f>
        <v>50893.399518102859</v>
      </c>
      <c r="AF495" s="307">
        <f t="shared" ref="AF495" si="5308">IF(O494&gt;0,(O495/O494),)</f>
        <v>41144.201379390543</v>
      </c>
      <c r="AG495" s="302">
        <f t="shared" ref="AG495" si="5309">IF(P494&gt;0,(P495/P494),)</f>
        <v>42681.169229786276</v>
      </c>
      <c r="AH495" s="312">
        <f t="shared" ref="AH495" si="5310">IF(Q494&gt;0,(Q495/Q494),)</f>
        <v>41617.922027705943</v>
      </c>
      <c r="AI495" s="519">
        <f>IF(S493&gt;0,(S495-S493)/S493,)</f>
        <v>2.1701794188701204E-3</v>
      </c>
      <c r="AJ495" s="520">
        <f t="shared" ref="AJ495" si="5311">IF(T493&gt;0,(T495-T493)/T493,)</f>
        <v>-1.4706475293570934E-3</v>
      </c>
      <c r="AK495" s="520">
        <f t="shared" ref="AK495" si="5312">IF(U493&gt;0,(U495-U493)/U493,)</f>
        <v>-1.194412594498446E-2</v>
      </c>
      <c r="AL495" s="520">
        <f t="shared" ref="AL495" si="5313">IF(V493&gt;0,(V495-V493)/V493,)</f>
        <v>-2.131581781966637E-2</v>
      </c>
      <c r="AM495" s="520">
        <f t="shared" ref="AM495" si="5314">IF(W493&gt;0,(W495-W493)/W493,)</f>
        <v>-2.2468203627544921E-2</v>
      </c>
      <c r="AN495" s="520">
        <f t="shared" ref="AN495" si="5315">IF(X493&gt;0,(X495-X493)/X493,)</f>
        <v>-4.1082242687725231E-3</v>
      </c>
      <c r="AO495" s="526">
        <f t="shared" ref="AO495" si="5316">IF(Y493&gt;0,(Y495-Y493)/Y493,)</f>
        <v>-3.9453238051388442E-3</v>
      </c>
      <c r="AP495" s="520">
        <f t="shared" ref="AP495" si="5317">IF(Z493&gt;0,(Z495-Z493)/Z493,)</f>
        <v>8.6943860101397138E-3</v>
      </c>
      <c r="AQ495" s="520">
        <f t="shared" ref="AQ495" si="5318">IF(AA493&gt;0,(AA495-AA493)/AA493,)</f>
        <v>-1.9705019961830519E-2</v>
      </c>
      <c r="AR495" s="520">
        <f t="shared" ref="AR495" si="5319">IF(AB493&gt;0,(AB495-AB493)/AB493,)</f>
        <v>-2.5818505022462013E-2</v>
      </c>
      <c r="AS495" s="520">
        <f t="shared" ref="AS495" si="5320">IF(AC493&gt;0,(AC495-AC493)/AC493,)</f>
        <v>-4.2448009634699817E-3</v>
      </c>
      <c r="AT495" s="520">
        <f t="shared" ref="AT495" si="5321">IF(AD493&gt;0,(AD495-AD493)/AD493,)</f>
        <v>1.0834933773398014E-3</v>
      </c>
      <c r="AU495" s="526">
        <f t="shared" ref="AU495" si="5322">IF(AE493&gt;0,(AE495-AE493)/AE493,)</f>
        <v>-1.6036446606794232E-2</v>
      </c>
      <c r="AV495" s="520">
        <f t="shared" ref="AV495" si="5323">IF(AF493&gt;0,(AF495-AF493)/AF493,)</f>
        <v>-4.2594580939205158E-2</v>
      </c>
      <c r="AW495" s="520">
        <f t="shared" ref="AW495" si="5324">IF(AG493&gt;0,(AG495-AG493)/AG493,)</f>
        <v>8.1795743370780861E-3</v>
      </c>
      <c r="AX495" s="526">
        <f t="shared" ref="AX495" si="5325">IF(AH493&gt;0,(AH495-AH493)/AH493,)</f>
        <v>-2.7335478131180823E-2</v>
      </c>
    </row>
    <row r="496" spans="1:50" x14ac:dyDescent="0.2">
      <c r="A496" s="298"/>
      <c r="B496" s="295"/>
      <c r="C496" s="295"/>
      <c r="D496" s="295"/>
      <c r="E496" s="295"/>
      <c r="F496" s="295"/>
      <c r="G496" s="295"/>
      <c r="H496" s="295"/>
      <c r="I496" s="295"/>
      <c r="J496" s="295"/>
      <c r="K496" s="295"/>
      <c r="L496" s="295"/>
      <c r="M496" s="295"/>
      <c r="N496" s="295"/>
      <c r="O496" s="295"/>
      <c r="P496" s="295"/>
      <c r="Q496" s="295"/>
      <c r="S496" s="295"/>
      <c r="T496" s="295"/>
      <c r="U496" s="295"/>
      <c r="V496" s="295"/>
      <c r="W496" s="295"/>
      <c r="X496" s="295"/>
      <c r="Y496" s="295"/>
      <c r="Z496" s="295"/>
      <c r="AA496" s="295"/>
      <c r="AB496" s="295"/>
      <c r="AC496" s="295"/>
      <c r="AD496" s="295"/>
      <c r="AE496" s="295"/>
      <c r="AF496" s="295"/>
      <c r="AG496" s="295"/>
      <c r="AH496" s="295"/>
    </row>
    <row r="497" spans="1:34" x14ac:dyDescent="0.2">
      <c r="A497" s="298"/>
      <c r="B497" s="295"/>
      <c r="C497" s="295"/>
      <c r="D497" s="295"/>
      <c r="E497" s="295"/>
      <c r="F497" s="295"/>
      <c r="G497" s="295"/>
      <c r="H497" s="295"/>
      <c r="I497" s="295"/>
      <c r="J497" s="295"/>
      <c r="K497" s="295"/>
      <c r="L497" s="295"/>
      <c r="M497" s="295"/>
      <c r="N497" s="295"/>
      <c r="O497" s="295"/>
      <c r="P497" s="295"/>
      <c r="Q497" s="295"/>
      <c r="S497" s="295"/>
      <c r="T497" s="295"/>
      <c r="U497" s="295"/>
      <c r="V497" s="295"/>
      <c r="W497" s="295"/>
      <c r="X497" s="295"/>
      <c r="Y497" s="295"/>
      <c r="Z497" s="295"/>
      <c r="AA497" s="295"/>
      <c r="AB497" s="295"/>
      <c r="AC497" s="295"/>
      <c r="AD497" s="295"/>
      <c r="AE497" s="295"/>
      <c r="AF497" s="295"/>
      <c r="AG497" s="295"/>
      <c r="AH497" s="29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Q499"/>
  <sheetViews>
    <sheetView workbookViewId="0">
      <pane xSplit="1" ySplit="3" topLeftCell="B4" activePane="bottomRight" state="frozen"/>
      <selection pane="topRight" activeCell="B1" sqref="B1"/>
      <selection pane="bottomLeft" activeCell="A4" sqref="A4"/>
      <selection pane="bottomRight" activeCell="E6" sqref="E6"/>
    </sheetView>
  </sheetViews>
  <sheetFormatPr defaultColWidth="9" defaultRowHeight="12.75" x14ac:dyDescent="0.2"/>
  <cols>
    <col min="1" max="1" width="20.75" style="292" customWidth="1"/>
    <col min="2" max="2" width="13.125" style="293" customWidth="1"/>
    <col min="3" max="4" width="5.125" style="293" customWidth="1"/>
    <col min="5" max="7" width="4.375" style="293" customWidth="1"/>
    <col min="8" max="8" width="11.625" style="293" customWidth="1"/>
    <col min="9" max="9" width="9" style="293" customWidth="1"/>
    <col min="10" max="11" width="5.125" style="293" customWidth="1"/>
    <col min="12" max="13" width="4.375" style="293" customWidth="1"/>
    <col min="14" max="14" width="11.5" style="293" customWidth="1"/>
    <col min="15" max="15" width="9.25" style="293" customWidth="1"/>
    <col min="16" max="16" width="4.375" style="293" customWidth="1"/>
    <col min="17" max="17" width="11.625" style="293" customWidth="1"/>
    <col min="18" max="18" width="19.375" style="298" customWidth="1"/>
    <col min="19" max="19" width="18.625" style="298" customWidth="1"/>
    <col min="20" max="21" width="19.25" style="298" customWidth="1"/>
    <col min="22" max="22" width="19.875" style="298" customWidth="1"/>
    <col min="23" max="23" width="19.25" style="298" customWidth="1"/>
    <col min="24" max="24" width="19.875" style="298" customWidth="1"/>
    <col min="25" max="25" width="18.25" style="298" customWidth="1"/>
    <col min="26" max="26" width="18.875" style="298" customWidth="1"/>
    <col min="27" max="27" width="18.5" style="298" customWidth="1"/>
    <col min="28" max="28" width="19.125" style="298" customWidth="1"/>
    <col min="29" max="29" width="19.5" style="298" customWidth="1"/>
    <col min="30" max="30" width="26.875" style="298" customWidth="1"/>
    <col min="31" max="31" width="27.5" style="298" customWidth="1"/>
    <col min="32" max="32" width="26.125" style="298" customWidth="1"/>
    <col min="33" max="33" width="26.75" style="298" customWidth="1"/>
    <col min="34" max="34" width="26" style="298" customWidth="1"/>
    <col min="35" max="36" width="26.625" style="298" customWidth="1"/>
    <col min="37" max="37" width="27.25" style="298" customWidth="1"/>
    <col min="38" max="38" width="26.625" style="298" customWidth="1"/>
    <col min="39" max="39" width="27.25" style="298" customWidth="1"/>
    <col min="40" max="40" width="25.625" style="298" customWidth="1"/>
    <col min="41" max="41" width="26.25" style="298" customWidth="1"/>
    <col min="42" max="42" width="25.875" style="298" customWidth="1"/>
    <col min="43" max="43" width="26.5" style="298" customWidth="1"/>
    <col min="44" max="44" width="20.125" style="298" customWidth="1"/>
    <col min="45" max="45" width="18.75" style="298" customWidth="1"/>
    <col min="46" max="46" width="19.375" style="298" customWidth="1"/>
    <col min="47" max="47" width="18.625" style="298" customWidth="1"/>
    <col min="48" max="49" width="19.25" style="298" customWidth="1"/>
    <col min="50" max="50" width="19.875" style="298" customWidth="1"/>
    <col min="51" max="51" width="19.25" style="298" customWidth="1"/>
    <col min="52" max="52" width="19.875" style="298" customWidth="1"/>
    <col min="53" max="53" width="18.25" style="298" customWidth="1"/>
    <col min="54" max="54" width="18.875" style="298" customWidth="1"/>
    <col min="55" max="55" width="18.5" style="298" customWidth="1"/>
    <col min="56" max="56" width="19.125" style="298" customWidth="1"/>
    <col min="57" max="57" width="19.5" style="298" customWidth="1"/>
    <col min="58" max="58" width="26.875" style="298" customWidth="1"/>
    <col min="59" max="59" width="27.5" style="298" customWidth="1"/>
    <col min="60" max="60" width="26.125" style="298" customWidth="1"/>
    <col min="61" max="61" width="26.75" style="298" customWidth="1"/>
    <col min="62" max="62" width="26" style="298" customWidth="1"/>
    <col min="63" max="64" width="26.625" style="298" customWidth="1"/>
    <col min="65" max="65" width="27.25" style="298" customWidth="1"/>
    <col min="66" max="66" width="26.625" style="298" customWidth="1"/>
    <col min="67" max="67" width="27.25" style="298" customWidth="1"/>
    <col min="68" max="68" width="25.625" style="298" customWidth="1"/>
    <col min="69" max="69" width="26.25" style="298" customWidth="1"/>
    <col min="70" max="70" width="25.875" style="298" customWidth="1"/>
    <col min="71" max="71" width="26.5" style="298" customWidth="1"/>
    <col min="72" max="72" width="20.125" style="298" customWidth="1"/>
    <col min="73" max="73" width="18.75" style="298" customWidth="1"/>
    <col min="74" max="74" width="19.375" style="298" customWidth="1"/>
    <col min="75" max="75" width="18.625" style="298" customWidth="1"/>
    <col min="76" max="77" width="19.25" style="298" customWidth="1"/>
    <col min="78" max="78" width="19.875" style="298" customWidth="1"/>
    <col min="79" max="79" width="19.25" style="298" customWidth="1"/>
    <col min="80" max="80" width="19.875" style="298" customWidth="1"/>
    <col min="81" max="81" width="18.25" style="298" customWidth="1"/>
    <col min="82" max="82" width="18.875" style="298" customWidth="1"/>
    <col min="83" max="83" width="18.5" style="298" customWidth="1"/>
    <col min="84" max="84" width="19.125" style="298" customWidth="1"/>
    <col min="85" max="85" width="19.5" style="298" customWidth="1"/>
    <col min="86" max="86" width="26.875" style="298" customWidth="1"/>
    <col min="87" max="87" width="27.5" style="298" customWidth="1"/>
    <col min="88" max="88" width="26.125" style="298" customWidth="1"/>
    <col min="89" max="89" width="26.75" style="298" customWidth="1"/>
    <col min="90" max="90" width="26" style="298" customWidth="1"/>
    <col min="91" max="92" width="26.625" style="298" customWidth="1"/>
    <col min="93" max="93" width="27.25" style="298" customWidth="1"/>
    <col min="94" max="94" width="26.625" style="298" customWidth="1"/>
    <col min="95" max="95" width="27.25" style="298" customWidth="1"/>
    <col min="96" max="96" width="25.625" style="298" customWidth="1"/>
    <col min="97" max="97" width="26.25" style="298" customWidth="1"/>
    <col min="98" max="98" width="25.875" style="298" customWidth="1"/>
    <col min="99" max="99" width="26.5" style="298" customWidth="1"/>
    <col min="100" max="100" width="20.125" style="298" customWidth="1"/>
    <col min="101" max="101" width="18.75" style="298" customWidth="1"/>
    <col min="102" max="102" width="19.375" style="298" customWidth="1"/>
    <col min="103" max="103" width="18.625" style="298" customWidth="1"/>
    <col min="104" max="105" width="19.25" style="298" customWidth="1"/>
    <col min="106" max="106" width="19.875" style="298" customWidth="1"/>
    <col min="107" max="107" width="19.25" style="298" customWidth="1"/>
    <col min="108" max="108" width="19.875" style="298" customWidth="1"/>
    <col min="109" max="109" width="18.25" style="298" customWidth="1"/>
    <col min="110" max="110" width="18.875" style="298" customWidth="1"/>
    <col min="111" max="111" width="18.5" style="298" customWidth="1"/>
    <col min="112" max="112" width="19.125" style="298" customWidth="1"/>
    <col min="113" max="113" width="19.5" style="298" customWidth="1"/>
    <col min="114" max="114" width="26.875" style="298" customWidth="1"/>
    <col min="115" max="115" width="27.5" style="298" customWidth="1"/>
    <col min="116" max="116" width="26.125" style="298" customWidth="1"/>
    <col min="117" max="117" width="26.75" style="298" customWidth="1"/>
    <col min="118" max="118" width="26" style="298" customWidth="1"/>
    <col min="119" max="120" width="26.625" style="298" customWidth="1"/>
    <col min="121" max="121" width="27.25" style="298" customWidth="1"/>
    <col min="122" max="122" width="26.625" style="298" customWidth="1"/>
    <col min="123" max="123" width="27.25" style="298" customWidth="1"/>
    <col min="124" max="124" width="25.625" style="298" customWidth="1"/>
    <col min="125" max="125" width="26.25" style="298" customWidth="1"/>
    <col min="126" max="126" width="25.875" style="298" customWidth="1"/>
    <col min="127" max="127" width="26.5" style="298" customWidth="1"/>
    <col min="128" max="128" width="20.125" style="298" customWidth="1"/>
    <col min="129" max="129" width="18.75" style="298" customWidth="1"/>
    <col min="130" max="130" width="19.375" style="298" customWidth="1"/>
    <col min="131" max="131" width="18.625" style="298" customWidth="1"/>
    <col min="132" max="133" width="19.25" style="298" customWidth="1"/>
    <col min="134" max="134" width="19.875" style="298" customWidth="1"/>
    <col min="135" max="135" width="19.25" style="298" customWidth="1"/>
    <col min="136" max="136" width="19.875" style="298" customWidth="1"/>
    <col min="137" max="137" width="18.25" style="298" customWidth="1"/>
    <col min="138" max="138" width="18.875" style="298" customWidth="1"/>
    <col min="139" max="139" width="18.5" style="298" customWidth="1"/>
    <col min="140" max="140" width="19.125" style="298" customWidth="1"/>
    <col min="141" max="141" width="19.5" style="298" customWidth="1"/>
    <col min="142" max="142" width="26.875" style="298" customWidth="1"/>
    <col min="143" max="143" width="27.5" style="298" customWidth="1"/>
    <col min="144" max="144" width="26.125" style="298" customWidth="1"/>
    <col min="145" max="145" width="26.75" style="298" customWidth="1"/>
    <col min="146" max="146" width="26" style="298" customWidth="1"/>
    <col min="147" max="148" width="26.625" style="298" customWidth="1"/>
    <col min="149" max="149" width="27.25" style="298" customWidth="1"/>
    <col min="150" max="150" width="26.625" style="298" customWidth="1"/>
    <col min="151" max="151" width="27.25" style="298" customWidth="1"/>
    <col min="152" max="152" width="25.625" style="298" customWidth="1"/>
    <col min="153" max="153" width="26.25" style="298" customWidth="1"/>
    <col min="154" max="154" width="25.875" style="298" customWidth="1"/>
    <col min="155" max="155" width="26.5" style="298" customWidth="1"/>
    <col min="156" max="156" width="20.125" style="298" customWidth="1"/>
    <col min="157" max="157" width="18.75" style="298" customWidth="1"/>
    <col min="158" max="158" width="19.375" style="298" customWidth="1"/>
    <col min="159" max="159" width="18.625" style="298" customWidth="1"/>
    <col min="160" max="161" width="19.25" style="298" customWidth="1"/>
    <col min="162" max="162" width="19.875" style="298" customWidth="1"/>
    <col min="163" max="163" width="19.25" style="298" customWidth="1"/>
    <col min="164" max="164" width="19.875" style="298" customWidth="1"/>
    <col min="165" max="165" width="18.25" style="298" customWidth="1"/>
    <col min="166" max="166" width="18.875" style="298" customWidth="1"/>
    <col min="167" max="167" width="18.5" style="298" customWidth="1"/>
    <col min="168" max="168" width="19.125" style="298" customWidth="1"/>
    <col min="169" max="169" width="19.5" style="298" customWidth="1"/>
    <col min="170" max="170" width="26.875" style="298" customWidth="1"/>
    <col min="171" max="171" width="27.5" style="298" customWidth="1"/>
    <col min="172" max="172" width="26.125" style="298" customWidth="1"/>
    <col min="173" max="173" width="26.75" style="298" customWidth="1"/>
    <col min="174" max="174" width="26" style="298" customWidth="1"/>
    <col min="175" max="176" width="26.625" style="298" customWidth="1"/>
    <col min="177" max="177" width="27.25" style="298" customWidth="1"/>
    <col min="178" max="178" width="26.625" style="298" customWidth="1"/>
    <col min="179" max="179" width="27.25" style="298" customWidth="1"/>
    <col min="180" max="180" width="25.625" style="298" customWidth="1"/>
    <col min="181" max="181" width="26.25" style="298" customWidth="1"/>
    <col min="182" max="182" width="25.875" style="298" customWidth="1"/>
    <col min="183" max="183" width="26.5" style="298" customWidth="1"/>
    <col min="184" max="184" width="20.125" style="298" customWidth="1"/>
    <col min="185" max="185" width="18.75" style="298" customWidth="1"/>
    <col min="186" max="186" width="19.375" style="298" customWidth="1"/>
    <col min="187" max="187" width="18.625" style="298" customWidth="1"/>
    <col min="188" max="189" width="19.25" style="298" customWidth="1"/>
    <col min="190" max="190" width="19.875" style="298" customWidth="1"/>
    <col min="191" max="191" width="19.25" style="298" customWidth="1"/>
    <col min="192" max="192" width="19.875" style="298" customWidth="1"/>
    <col min="193" max="193" width="18.25" style="298" customWidth="1"/>
    <col min="194" max="194" width="18.875" style="298" customWidth="1"/>
    <col min="195" max="195" width="18.5" style="298" customWidth="1"/>
    <col min="196" max="196" width="19.125" style="298" customWidth="1"/>
    <col min="197" max="197" width="19.5" style="298" customWidth="1"/>
    <col min="198" max="198" width="26.875" style="298" customWidth="1"/>
    <col min="199" max="199" width="27.5" style="298" customWidth="1"/>
    <col min="200" max="200" width="26.125" style="298" customWidth="1"/>
    <col min="201" max="201" width="26.75" style="298" customWidth="1"/>
    <col min="202" max="202" width="26" style="298" customWidth="1"/>
    <col min="203" max="204" width="26.625" style="298" customWidth="1"/>
    <col min="205" max="205" width="27.25" style="298" customWidth="1"/>
    <col min="206" max="206" width="26.625" style="298" customWidth="1"/>
    <col min="207" max="207" width="27.25" style="298" customWidth="1"/>
    <col min="208" max="208" width="25.625" style="298" customWidth="1"/>
    <col min="209" max="209" width="26.25" style="298" customWidth="1"/>
    <col min="210" max="210" width="25.875" style="298" customWidth="1"/>
    <col min="211" max="211" width="26.5" style="298" customWidth="1"/>
    <col min="212" max="212" width="20.125" style="298" customWidth="1"/>
    <col min="213" max="213" width="18.75" style="298" customWidth="1"/>
    <col min="214" max="214" width="19.375" style="298" customWidth="1"/>
    <col min="215" max="215" width="18.625" style="298" customWidth="1"/>
    <col min="216" max="217" width="19.25" style="298" customWidth="1"/>
    <col min="218" max="218" width="19.875" style="298" customWidth="1"/>
    <col min="219" max="219" width="19.25" style="298" customWidth="1"/>
    <col min="220" max="220" width="19.875" style="298" customWidth="1"/>
    <col min="221" max="221" width="18.25" style="298" customWidth="1"/>
    <col min="222" max="222" width="18.875" style="298" customWidth="1"/>
    <col min="223" max="223" width="18.5" style="298" customWidth="1"/>
    <col min="224" max="224" width="19.125" style="298" customWidth="1"/>
    <col min="225" max="225" width="19.5" style="298" customWidth="1"/>
    <col min="226" max="226" width="26.875" style="298" customWidth="1"/>
    <col min="227" max="227" width="27.5" style="298" customWidth="1"/>
    <col min="228" max="228" width="26.125" style="298" customWidth="1"/>
    <col min="229" max="229" width="26.75" style="298" customWidth="1"/>
    <col min="230" max="230" width="26" style="298" customWidth="1"/>
    <col min="231" max="232" width="26.625" style="298" customWidth="1"/>
    <col min="233" max="233" width="27.25" style="298" customWidth="1"/>
    <col min="234" max="234" width="26.625" style="298" customWidth="1"/>
    <col min="235" max="235" width="27.25" style="298" customWidth="1"/>
    <col min="236" max="236" width="25.625" style="298" customWidth="1"/>
    <col min="237" max="237" width="26.25" style="298" customWidth="1"/>
    <col min="238" max="238" width="25.875" style="298" customWidth="1"/>
    <col min="239" max="239" width="26.5" style="298" customWidth="1"/>
    <col min="240" max="240" width="20.125" style="298" customWidth="1"/>
    <col min="241" max="241" width="18.75" style="298" customWidth="1"/>
    <col min="242" max="242" width="19.375" style="298" customWidth="1"/>
    <col min="243" max="243" width="18.625" style="298" customWidth="1"/>
    <col min="244" max="245" width="19.25" style="298" customWidth="1"/>
    <col min="246" max="246" width="19.875" style="298" customWidth="1"/>
    <col min="247" max="247" width="19.25" style="298" customWidth="1"/>
    <col min="248" max="248" width="19.875" style="298" customWidth="1"/>
    <col min="249" max="249" width="18.25" style="298" customWidth="1"/>
    <col min="250" max="250" width="18.875" style="298" customWidth="1"/>
    <col min="251" max="251" width="18.5" style="298" customWidth="1"/>
    <col min="252" max="252" width="19.125" style="298" customWidth="1"/>
    <col min="253" max="253" width="19.5" style="298" customWidth="1"/>
    <col min="254" max="254" width="26.875" style="298" customWidth="1"/>
    <col min="255" max="255" width="27.5" style="298" customWidth="1"/>
    <col min="256" max="256" width="26.125" style="298" customWidth="1"/>
    <col min="257" max="257" width="26.75" style="298" customWidth="1"/>
    <col min="258" max="258" width="26" style="298" customWidth="1"/>
    <col min="259" max="260" width="26.625" style="298" customWidth="1"/>
    <col min="261" max="261" width="27.25" style="298" customWidth="1"/>
    <col min="262" max="262" width="26.625" style="298" customWidth="1"/>
    <col min="263" max="263" width="27.25" style="298" customWidth="1"/>
    <col min="264" max="264" width="25.625" style="298" customWidth="1"/>
    <col min="265" max="265" width="26.25" style="298" customWidth="1"/>
    <col min="266" max="266" width="25.875" style="298" customWidth="1"/>
    <col min="267" max="267" width="26.5" style="298" customWidth="1"/>
    <col min="268" max="268" width="20.125" style="298" customWidth="1"/>
    <col min="269" max="269" width="18.75" style="298" customWidth="1"/>
    <col min="270" max="270" width="19.375" style="298" customWidth="1"/>
    <col min="271" max="271" width="18.625" style="298" customWidth="1"/>
    <col min="272" max="273" width="19.25" style="298" customWidth="1"/>
    <col min="274" max="274" width="19.875" style="298" customWidth="1"/>
    <col min="275" max="275" width="19.25" style="298" customWidth="1"/>
    <col min="276" max="276" width="19.875" style="298" customWidth="1"/>
    <col min="277" max="277" width="18.25" style="298" customWidth="1"/>
    <col min="278" max="278" width="18.875" style="298" customWidth="1"/>
    <col min="279" max="279" width="18.5" style="298" customWidth="1"/>
    <col min="280" max="280" width="19.125" style="298" customWidth="1"/>
    <col min="281" max="281" width="19.5" style="298" customWidth="1"/>
    <col min="282" max="282" width="26.875" style="298" customWidth="1"/>
    <col min="283" max="283" width="27.5" style="298" customWidth="1"/>
    <col min="284" max="284" width="26.125" style="298" customWidth="1"/>
    <col min="285" max="285" width="26.75" style="298" customWidth="1"/>
    <col min="286" max="286" width="26" style="298" customWidth="1"/>
    <col min="287" max="288" width="26.625" style="298" customWidth="1"/>
    <col min="289" max="289" width="27.25" style="298" customWidth="1"/>
    <col min="290" max="290" width="26.625" style="298" customWidth="1"/>
    <col min="291" max="291" width="27.25" style="298" customWidth="1"/>
    <col min="292" max="292" width="25.625" style="298" customWidth="1"/>
    <col min="293" max="293" width="26.25" style="298" customWidth="1"/>
    <col min="294" max="294" width="25.875" style="298" customWidth="1"/>
    <col min="295" max="295" width="26.5" style="298" customWidth="1"/>
    <col min="296" max="296" width="20.125" style="298" customWidth="1"/>
    <col min="297" max="297" width="18.75" style="298" customWidth="1"/>
    <col min="298" max="298" width="19.375" style="298" customWidth="1"/>
    <col min="299" max="299" width="18.625" style="298" customWidth="1"/>
    <col min="300" max="301" width="19.25" style="298" customWidth="1"/>
    <col min="302" max="302" width="19.875" style="298" customWidth="1"/>
    <col min="303" max="303" width="19.25" style="298" customWidth="1"/>
    <col min="304" max="304" width="19.875" style="298" customWidth="1"/>
    <col min="305" max="305" width="18.25" style="298" customWidth="1"/>
    <col min="306" max="306" width="18.875" style="298" customWidth="1"/>
    <col min="307" max="307" width="18.5" style="298" customWidth="1"/>
    <col min="308" max="308" width="19.125" style="298" customWidth="1"/>
    <col min="309" max="309" width="19.5" style="298" customWidth="1"/>
    <col min="310" max="310" width="26.875" style="298" customWidth="1"/>
    <col min="311" max="311" width="27.5" style="298" customWidth="1"/>
    <col min="312" max="312" width="26.125" style="298" customWidth="1"/>
    <col min="313" max="313" width="26.75" style="298" customWidth="1"/>
    <col min="314" max="314" width="26" style="298" customWidth="1"/>
    <col min="315" max="316" width="26.625" style="298" customWidth="1"/>
    <col min="317" max="317" width="27.25" style="298" customWidth="1"/>
    <col min="318" max="318" width="26.625" style="298" customWidth="1"/>
    <col min="319" max="319" width="27.25" style="298" customWidth="1"/>
    <col min="320" max="320" width="25.625" style="298" customWidth="1"/>
    <col min="321" max="321" width="26.25" style="298" customWidth="1"/>
    <col min="322" max="322" width="25.875" style="298" customWidth="1"/>
    <col min="323" max="323" width="26.5" style="298" customWidth="1"/>
    <col min="324" max="324" width="20.125" style="298" customWidth="1"/>
    <col min="325" max="325" width="18.75" style="298" customWidth="1"/>
    <col min="326" max="326" width="19.375" style="298" customWidth="1"/>
    <col min="327" max="327" width="18.625" style="298" customWidth="1"/>
    <col min="328" max="329" width="19.25" style="298" customWidth="1"/>
    <col min="330" max="330" width="19.875" style="298" customWidth="1"/>
    <col min="331" max="331" width="19.25" style="298" customWidth="1"/>
    <col min="332" max="332" width="19.875" style="298" customWidth="1"/>
    <col min="333" max="333" width="18.25" style="298" customWidth="1"/>
    <col min="334" max="334" width="18.875" style="298" customWidth="1"/>
    <col min="335" max="335" width="18.5" style="298" customWidth="1"/>
    <col min="336" max="336" width="19.125" style="298" customWidth="1"/>
    <col min="337" max="337" width="19.5" style="298" customWidth="1"/>
    <col min="338" max="338" width="26.875" style="298" customWidth="1"/>
    <col min="339" max="339" width="27.5" style="298" customWidth="1"/>
    <col min="340" max="340" width="26.125" style="298" customWidth="1"/>
    <col min="341" max="341" width="26.75" style="298" customWidth="1"/>
    <col min="342" max="342" width="26" style="298" customWidth="1"/>
    <col min="343" max="344" width="26.625" style="298" customWidth="1"/>
    <col min="345" max="345" width="27.25" style="298" customWidth="1"/>
    <col min="346" max="346" width="26.625" style="298" customWidth="1"/>
    <col min="347" max="347" width="27.25" style="298" customWidth="1"/>
    <col min="348" max="348" width="25.625" style="298" customWidth="1"/>
    <col min="349" max="349" width="26.25" style="298" customWidth="1"/>
    <col min="350" max="350" width="25.875" style="298" customWidth="1"/>
    <col min="351" max="351" width="26.5" style="298" customWidth="1"/>
    <col min="352" max="352" width="20.125" style="298" customWidth="1"/>
    <col min="353" max="353" width="18.75" style="298" customWidth="1"/>
    <col min="354" max="354" width="19.375" style="298" customWidth="1"/>
    <col min="355" max="355" width="18.625" style="298" customWidth="1"/>
    <col min="356" max="357" width="19.25" style="298" customWidth="1"/>
    <col min="358" max="358" width="19.875" style="298" customWidth="1"/>
    <col min="359" max="359" width="19.25" style="298" customWidth="1"/>
    <col min="360" max="360" width="19.875" style="298" customWidth="1"/>
    <col min="361" max="361" width="18.25" style="298" customWidth="1"/>
    <col min="362" max="362" width="18.875" style="298" customWidth="1"/>
    <col min="363" max="363" width="18.5" style="298" customWidth="1"/>
    <col min="364" max="364" width="19.125" style="298" customWidth="1"/>
    <col min="365" max="365" width="24.5" style="298" customWidth="1"/>
    <col min="366" max="366" width="31.875" style="298" bestFit="1" customWidth="1"/>
    <col min="367" max="367" width="32.5" style="298" bestFit="1" customWidth="1"/>
    <col min="368" max="368" width="31.125" style="298" bestFit="1" customWidth="1"/>
    <col min="369" max="369" width="31.75" style="298" bestFit="1" customWidth="1"/>
    <col min="370" max="370" width="31" style="298" bestFit="1" customWidth="1"/>
    <col min="371" max="372" width="31.625" style="298" bestFit="1" customWidth="1"/>
    <col min="373" max="373" width="32.25" style="298" bestFit="1" customWidth="1"/>
    <col min="374" max="374" width="31.625" style="298" bestFit="1" customWidth="1"/>
    <col min="375" max="375" width="32.25" style="298" bestFit="1" customWidth="1"/>
    <col min="376" max="376" width="30.625" style="298" bestFit="1" customWidth="1"/>
    <col min="377" max="377" width="31.25" style="298" bestFit="1" customWidth="1"/>
    <col min="378" max="378" width="30.875" style="298" bestFit="1" customWidth="1"/>
    <col min="379" max="379" width="31.5" style="298" bestFit="1" customWidth="1"/>
    <col min="380" max="380" width="25.125" style="298" bestFit="1" customWidth="1"/>
    <col min="381" max="381" width="23.75" style="298" bestFit="1" customWidth="1"/>
    <col min="382" max="382" width="24.375" style="298" bestFit="1" customWidth="1"/>
    <col min="383" max="383" width="23.625" style="298" bestFit="1" customWidth="1"/>
    <col min="384" max="385" width="24.25" style="298" bestFit="1" customWidth="1"/>
    <col min="386" max="386" width="24.875" style="298" bestFit="1" customWidth="1"/>
    <col min="387" max="387" width="24.25" style="298" bestFit="1" customWidth="1"/>
    <col min="388" max="388" width="24.875" style="298" bestFit="1" customWidth="1"/>
    <col min="389" max="389" width="23.25" style="298" bestFit="1" customWidth="1"/>
    <col min="390" max="390" width="23.875" style="298" bestFit="1" customWidth="1"/>
    <col min="391" max="391" width="23.5" style="298" bestFit="1" customWidth="1"/>
    <col min="392" max="392" width="24.125" style="298" bestFit="1" customWidth="1"/>
    <col min="393" max="16384" width="9" style="298"/>
  </cols>
  <sheetData>
    <row r="1" spans="1:17" x14ac:dyDescent="0.2">
      <c r="A1" s="693"/>
      <c r="B1" s="700" t="s">
        <v>292</v>
      </c>
      <c r="C1" s="697"/>
      <c r="D1" s="697"/>
      <c r="E1" s="697"/>
      <c r="F1" s="697"/>
      <c r="G1" s="697"/>
      <c r="H1" s="697"/>
      <c r="I1" s="697"/>
      <c r="J1" s="697"/>
      <c r="K1" s="697"/>
      <c r="L1" s="697"/>
      <c r="M1" s="697"/>
      <c r="N1" s="697"/>
      <c r="O1" s="697"/>
      <c r="P1" s="697"/>
      <c r="Q1" s="697"/>
    </row>
    <row r="2" spans="1:17" s="300" customFormat="1" x14ac:dyDescent="0.2">
      <c r="A2" s="693"/>
      <c r="B2" s="697" t="s">
        <v>261</v>
      </c>
      <c r="C2" s="697"/>
      <c r="D2" s="697"/>
      <c r="E2" s="697"/>
      <c r="F2" s="697"/>
      <c r="G2" s="697"/>
      <c r="H2" s="697" t="s">
        <v>337</v>
      </c>
      <c r="I2" s="697" t="s">
        <v>262</v>
      </c>
      <c r="J2" s="697"/>
      <c r="K2" s="697"/>
      <c r="L2" s="697"/>
      <c r="M2" s="697"/>
      <c r="N2" s="697" t="s">
        <v>338</v>
      </c>
      <c r="O2" s="697" t="s">
        <v>336</v>
      </c>
      <c r="P2" s="697"/>
      <c r="Q2" s="697" t="s">
        <v>339</v>
      </c>
    </row>
    <row r="3" spans="1:17" x14ac:dyDescent="0.2">
      <c r="A3" s="694" t="s">
        <v>291</v>
      </c>
      <c r="B3" s="697">
        <v>1</v>
      </c>
      <c r="C3" s="697">
        <v>2</v>
      </c>
      <c r="D3" s="697">
        <v>3</v>
      </c>
      <c r="E3" s="697">
        <v>4</v>
      </c>
      <c r="F3" s="697">
        <v>5</v>
      </c>
      <c r="G3" s="697">
        <v>6</v>
      </c>
      <c r="H3" s="697"/>
      <c r="I3" s="697">
        <v>7</v>
      </c>
      <c r="J3" s="697">
        <v>8</v>
      </c>
      <c r="K3" s="697">
        <v>9</v>
      </c>
      <c r="L3" s="697">
        <v>10</v>
      </c>
      <c r="M3" s="697">
        <v>11</v>
      </c>
      <c r="N3" s="697"/>
      <c r="O3" s="697">
        <v>12</v>
      </c>
      <c r="P3" s="697">
        <v>13</v>
      </c>
      <c r="Q3" s="697"/>
    </row>
    <row r="4" spans="1:17" x14ac:dyDescent="0.2">
      <c r="A4" s="695" t="s">
        <v>31</v>
      </c>
      <c r="B4" s="697"/>
      <c r="C4" s="697"/>
      <c r="D4" s="697"/>
      <c r="E4" s="697"/>
      <c r="F4" s="697"/>
      <c r="G4" s="697"/>
      <c r="H4" s="697"/>
      <c r="I4" s="697"/>
      <c r="J4" s="697"/>
      <c r="K4" s="697"/>
      <c r="L4" s="697"/>
      <c r="M4" s="697"/>
      <c r="N4" s="697"/>
      <c r="O4" s="697"/>
      <c r="P4" s="697"/>
      <c r="Q4" s="697"/>
    </row>
    <row r="5" spans="1:17" x14ac:dyDescent="0.2">
      <c r="A5" s="696" t="s">
        <v>296</v>
      </c>
      <c r="B5" s="697">
        <v>781</v>
      </c>
      <c r="C5" s="697">
        <v>301</v>
      </c>
      <c r="D5" s="697">
        <v>350</v>
      </c>
      <c r="E5" s="697">
        <v>188</v>
      </c>
      <c r="F5" s="697">
        <v>60</v>
      </c>
      <c r="G5" s="697">
        <v>20</v>
      </c>
      <c r="H5" s="697">
        <v>1700</v>
      </c>
      <c r="I5" s="697"/>
      <c r="J5" s="697">
        <v>0</v>
      </c>
      <c r="K5" s="697">
        <v>0</v>
      </c>
      <c r="L5" s="697">
        <v>0</v>
      </c>
      <c r="M5" s="697"/>
      <c r="N5" s="697">
        <v>0</v>
      </c>
      <c r="O5" s="697">
        <v>0</v>
      </c>
      <c r="P5" s="697">
        <v>0</v>
      </c>
      <c r="Q5" s="697">
        <v>0</v>
      </c>
    </row>
    <row r="6" spans="1:17" x14ac:dyDescent="0.2">
      <c r="A6" s="696" t="s">
        <v>300</v>
      </c>
      <c r="B6" s="697">
        <v>706</v>
      </c>
      <c r="C6" s="697">
        <v>345</v>
      </c>
      <c r="D6" s="697">
        <v>373</v>
      </c>
      <c r="E6" s="697">
        <v>184</v>
      </c>
      <c r="F6" s="697">
        <v>68</v>
      </c>
      <c r="G6" s="697">
        <v>26</v>
      </c>
      <c r="H6" s="697">
        <v>1702</v>
      </c>
      <c r="I6" s="697"/>
      <c r="J6" s="697">
        <v>0</v>
      </c>
      <c r="K6" s="697">
        <v>0</v>
      </c>
      <c r="L6" s="697">
        <v>0</v>
      </c>
      <c r="M6" s="697"/>
      <c r="N6" s="697">
        <v>0</v>
      </c>
      <c r="O6" s="697">
        <v>0</v>
      </c>
      <c r="P6" s="697">
        <v>0</v>
      </c>
      <c r="Q6" s="697">
        <v>0</v>
      </c>
    </row>
    <row r="7" spans="1:17" x14ac:dyDescent="0.2">
      <c r="A7" s="696" t="s">
        <v>304</v>
      </c>
      <c r="B7" s="697">
        <v>576</v>
      </c>
      <c r="C7" s="697">
        <v>370</v>
      </c>
      <c r="D7" s="697">
        <v>472</v>
      </c>
      <c r="E7" s="697">
        <v>228</v>
      </c>
      <c r="F7" s="697">
        <v>111</v>
      </c>
      <c r="G7" s="697">
        <v>39</v>
      </c>
      <c r="H7" s="697">
        <v>1796</v>
      </c>
      <c r="I7" s="697"/>
      <c r="J7" s="697">
        <v>0</v>
      </c>
      <c r="K7" s="697">
        <v>0</v>
      </c>
      <c r="L7" s="697">
        <v>0</v>
      </c>
      <c r="M7" s="697"/>
      <c r="N7" s="697">
        <v>0</v>
      </c>
      <c r="O7" s="697">
        <v>0</v>
      </c>
      <c r="P7" s="697">
        <v>0</v>
      </c>
      <c r="Q7" s="697">
        <v>0</v>
      </c>
    </row>
    <row r="8" spans="1:17" x14ac:dyDescent="0.2">
      <c r="A8" s="696" t="s">
        <v>308</v>
      </c>
      <c r="B8" s="697">
        <v>349</v>
      </c>
      <c r="C8" s="697">
        <v>110</v>
      </c>
      <c r="D8" s="697">
        <v>256</v>
      </c>
      <c r="E8" s="697">
        <v>104</v>
      </c>
      <c r="F8" s="697">
        <v>20</v>
      </c>
      <c r="G8" s="697">
        <v>3</v>
      </c>
      <c r="H8" s="697">
        <v>842</v>
      </c>
      <c r="I8" s="697"/>
      <c r="J8" s="697">
        <v>0</v>
      </c>
      <c r="K8" s="697">
        <v>0</v>
      </c>
      <c r="L8" s="697">
        <v>0</v>
      </c>
      <c r="M8" s="697"/>
      <c r="N8" s="697">
        <v>0</v>
      </c>
      <c r="O8" s="697">
        <v>0</v>
      </c>
      <c r="P8" s="697">
        <v>0</v>
      </c>
      <c r="Q8" s="697">
        <v>0</v>
      </c>
    </row>
    <row r="9" spans="1:17" x14ac:dyDescent="0.2">
      <c r="A9" s="696" t="s">
        <v>312</v>
      </c>
      <c r="B9" s="697">
        <v>19</v>
      </c>
      <c r="C9" s="697">
        <v>41</v>
      </c>
      <c r="D9" s="697">
        <v>77</v>
      </c>
      <c r="E9" s="697">
        <v>4</v>
      </c>
      <c r="F9" s="697">
        <v>4</v>
      </c>
      <c r="G9" s="697">
        <v>0</v>
      </c>
      <c r="H9" s="697">
        <v>145</v>
      </c>
      <c r="I9" s="697"/>
      <c r="J9" s="697">
        <v>0</v>
      </c>
      <c r="K9" s="697">
        <v>0</v>
      </c>
      <c r="L9" s="697">
        <v>0</v>
      </c>
      <c r="M9" s="697"/>
      <c r="N9" s="697">
        <v>0</v>
      </c>
      <c r="O9" s="697">
        <v>0</v>
      </c>
      <c r="P9" s="697">
        <v>0</v>
      </c>
      <c r="Q9" s="697">
        <v>0</v>
      </c>
    </row>
    <row r="10" spans="1:17" x14ac:dyDescent="0.2">
      <c r="A10" s="696" t="s">
        <v>316</v>
      </c>
      <c r="B10" s="697">
        <v>0</v>
      </c>
      <c r="C10" s="697">
        <v>0</v>
      </c>
      <c r="D10" s="697">
        <v>0</v>
      </c>
      <c r="E10" s="697">
        <v>0</v>
      </c>
      <c r="F10" s="697">
        <v>0</v>
      </c>
      <c r="G10" s="697">
        <v>0</v>
      </c>
      <c r="H10" s="697">
        <v>0</v>
      </c>
      <c r="I10" s="697"/>
      <c r="J10" s="697">
        <v>517</v>
      </c>
      <c r="K10" s="697">
        <v>933</v>
      </c>
      <c r="L10" s="697">
        <v>258</v>
      </c>
      <c r="M10" s="697"/>
      <c r="N10" s="697">
        <v>1708</v>
      </c>
      <c r="O10" s="697">
        <v>64</v>
      </c>
      <c r="P10" s="697">
        <v>89</v>
      </c>
      <c r="Q10" s="697">
        <v>153</v>
      </c>
    </row>
    <row r="11" spans="1:17" x14ac:dyDescent="0.2">
      <c r="A11" s="696" t="s">
        <v>320</v>
      </c>
      <c r="B11" s="697">
        <v>2431</v>
      </c>
      <c r="C11" s="697">
        <v>1167</v>
      </c>
      <c r="D11" s="697">
        <v>1528</v>
      </c>
      <c r="E11" s="697">
        <v>708</v>
      </c>
      <c r="F11" s="697">
        <v>263</v>
      </c>
      <c r="G11" s="697">
        <v>88</v>
      </c>
      <c r="H11" s="697">
        <v>6185</v>
      </c>
      <c r="I11" s="697"/>
      <c r="J11" s="697">
        <v>517</v>
      </c>
      <c r="K11" s="697">
        <v>933</v>
      </c>
      <c r="L11" s="697">
        <v>258</v>
      </c>
      <c r="M11" s="697"/>
      <c r="N11" s="697">
        <v>1708</v>
      </c>
      <c r="O11" s="697">
        <v>64</v>
      </c>
      <c r="P11" s="697">
        <v>89</v>
      </c>
      <c r="Q11" s="697">
        <v>153</v>
      </c>
    </row>
    <row r="12" spans="1:17" x14ac:dyDescent="0.2">
      <c r="A12" s="695" t="s">
        <v>32</v>
      </c>
      <c r="B12" s="697"/>
      <c r="C12" s="697"/>
      <c r="D12" s="697"/>
      <c r="E12" s="697"/>
      <c r="F12" s="697"/>
      <c r="G12" s="697"/>
      <c r="H12" s="697"/>
      <c r="I12" s="697"/>
      <c r="J12" s="697"/>
      <c r="K12" s="697"/>
      <c r="L12" s="697"/>
      <c r="M12" s="697"/>
      <c r="N12" s="697"/>
      <c r="O12" s="697"/>
      <c r="P12" s="697"/>
      <c r="Q12" s="697"/>
    </row>
    <row r="13" spans="1:17" x14ac:dyDescent="0.2">
      <c r="A13" s="696" t="s">
        <v>296</v>
      </c>
      <c r="B13" s="697">
        <v>367</v>
      </c>
      <c r="C13" s="697"/>
      <c r="D13" s="697">
        <v>408</v>
      </c>
      <c r="E13" s="697">
        <v>88</v>
      </c>
      <c r="F13" s="697">
        <v>19</v>
      </c>
      <c r="G13" s="697">
        <v>42</v>
      </c>
      <c r="H13" s="697">
        <v>924</v>
      </c>
      <c r="I13" s="697"/>
      <c r="J13" s="697">
        <v>0</v>
      </c>
      <c r="K13" s="697">
        <v>1</v>
      </c>
      <c r="L13" s="697">
        <v>15</v>
      </c>
      <c r="M13" s="697"/>
      <c r="N13" s="697">
        <v>16</v>
      </c>
      <c r="O13" s="697"/>
      <c r="P13" s="697"/>
      <c r="Q13" s="697"/>
    </row>
    <row r="14" spans="1:17" x14ac:dyDescent="0.2">
      <c r="A14" s="696" t="s">
        <v>300</v>
      </c>
      <c r="B14" s="697">
        <v>218</v>
      </c>
      <c r="C14" s="697"/>
      <c r="D14" s="697">
        <v>474</v>
      </c>
      <c r="E14" s="697">
        <v>73</v>
      </c>
      <c r="F14" s="697">
        <v>49</v>
      </c>
      <c r="G14" s="697">
        <v>94</v>
      </c>
      <c r="H14" s="697">
        <v>908</v>
      </c>
      <c r="I14" s="697"/>
      <c r="J14" s="697">
        <v>0</v>
      </c>
      <c r="K14" s="697">
        <v>10</v>
      </c>
      <c r="L14" s="697">
        <v>3</v>
      </c>
      <c r="M14" s="697"/>
      <c r="N14" s="697">
        <v>13</v>
      </c>
      <c r="O14" s="697"/>
      <c r="P14" s="697"/>
      <c r="Q14" s="697"/>
    </row>
    <row r="15" spans="1:17" x14ac:dyDescent="0.2">
      <c r="A15" s="696" t="s">
        <v>304</v>
      </c>
      <c r="B15" s="697">
        <v>195</v>
      </c>
      <c r="C15" s="697"/>
      <c r="D15" s="697">
        <v>521</v>
      </c>
      <c r="E15" s="697">
        <v>100</v>
      </c>
      <c r="F15" s="697">
        <v>21</v>
      </c>
      <c r="G15" s="697">
        <v>149</v>
      </c>
      <c r="H15" s="697">
        <v>986</v>
      </c>
      <c r="I15" s="697"/>
      <c r="J15" s="697">
        <v>0</v>
      </c>
      <c r="K15" s="697">
        <v>36</v>
      </c>
      <c r="L15" s="697">
        <v>50</v>
      </c>
      <c r="M15" s="697"/>
      <c r="N15" s="697">
        <v>86</v>
      </c>
      <c r="O15" s="697"/>
      <c r="P15" s="697"/>
      <c r="Q15" s="697"/>
    </row>
    <row r="16" spans="1:17" x14ac:dyDescent="0.2">
      <c r="A16" s="696" t="s">
        <v>308</v>
      </c>
      <c r="B16" s="697">
        <v>182</v>
      </c>
      <c r="C16" s="697"/>
      <c r="D16" s="697">
        <v>318</v>
      </c>
      <c r="E16" s="697">
        <v>73</v>
      </c>
      <c r="F16" s="697">
        <v>62</v>
      </c>
      <c r="G16" s="697">
        <v>116</v>
      </c>
      <c r="H16" s="697">
        <v>751</v>
      </c>
      <c r="I16" s="697"/>
      <c r="J16" s="697">
        <v>0</v>
      </c>
      <c r="K16" s="697">
        <v>82</v>
      </c>
      <c r="L16" s="697">
        <v>100</v>
      </c>
      <c r="M16" s="697"/>
      <c r="N16" s="697">
        <v>182</v>
      </c>
      <c r="O16" s="697"/>
      <c r="P16" s="697"/>
      <c r="Q16" s="697"/>
    </row>
    <row r="17" spans="1:17" x14ac:dyDescent="0.2">
      <c r="A17" s="696" t="s">
        <v>312</v>
      </c>
      <c r="B17" s="697">
        <v>86</v>
      </c>
      <c r="C17" s="697"/>
      <c r="D17" s="697">
        <v>161</v>
      </c>
      <c r="E17" s="697">
        <v>2</v>
      </c>
      <c r="F17" s="697">
        <v>0</v>
      </c>
      <c r="G17" s="697">
        <v>11</v>
      </c>
      <c r="H17" s="697">
        <v>260</v>
      </c>
      <c r="I17" s="697"/>
      <c r="J17" s="697">
        <v>0</v>
      </c>
      <c r="K17" s="697">
        <v>0</v>
      </c>
      <c r="L17" s="697">
        <v>0</v>
      </c>
      <c r="M17" s="697"/>
      <c r="N17" s="697">
        <v>0</v>
      </c>
      <c r="O17" s="697"/>
      <c r="P17" s="697"/>
      <c r="Q17" s="697"/>
    </row>
    <row r="18" spans="1:17" x14ac:dyDescent="0.2">
      <c r="A18" s="696" t="s">
        <v>316</v>
      </c>
      <c r="B18" s="697">
        <v>0</v>
      </c>
      <c r="C18" s="697"/>
      <c r="D18" s="697">
        <v>0</v>
      </c>
      <c r="E18" s="697">
        <v>0</v>
      </c>
      <c r="F18" s="697">
        <v>0</v>
      </c>
      <c r="G18" s="697">
        <v>0</v>
      </c>
      <c r="H18" s="697">
        <v>0</v>
      </c>
      <c r="I18" s="697"/>
      <c r="J18" s="697">
        <v>320</v>
      </c>
      <c r="K18" s="697">
        <v>98</v>
      </c>
      <c r="L18" s="697">
        <v>715</v>
      </c>
      <c r="M18" s="697"/>
      <c r="N18" s="697">
        <v>1133</v>
      </c>
      <c r="O18" s="697"/>
      <c r="P18" s="697"/>
      <c r="Q18" s="697"/>
    </row>
    <row r="19" spans="1:17" x14ac:dyDescent="0.2">
      <c r="A19" s="696" t="s">
        <v>320</v>
      </c>
      <c r="B19" s="697">
        <v>1048</v>
      </c>
      <c r="C19" s="697"/>
      <c r="D19" s="697">
        <v>1882</v>
      </c>
      <c r="E19" s="697">
        <v>336</v>
      </c>
      <c r="F19" s="697">
        <v>151</v>
      </c>
      <c r="G19" s="697">
        <v>412</v>
      </c>
      <c r="H19" s="697">
        <v>3829</v>
      </c>
      <c r="I19" s="697"/>
      <c r="J19" s="697">
        <v>320</v>
      </c>
      <c r="K19" s="697">
        <v>227</v>
      </c>
      <c r="L19" s="697">
        <v>883</v>
      </c>
      <c r="M19" s="697"/>
      <c r="N19" s="697">
        <v>1430</v>
      </c>
      <c r="O19" s="697"/>
      <c r="P19" s="697"/>
      <c r="Q19" s="697"/>
    </row>
    <row r="20" spans="1:17" x14ac:dyDescent="0.2">
      <c r="A20" s="695" t="s">
        <v>33</v>
      </c>
      <c r="B20" s="697"/>
      <c r="C20" s="697"/>
      <c r="D20" s="697"/>
      <c r="E20" s="697"/>
      <c r="F20" s="697"/>
      <c r="G20" s="697"/>
      <c r="H20" s="697"/>
      <c r="I20" s="697"/>
      <c r="J20" s="697"/>
      <c r="K20" s="697"/>
      <c r="L20" s="697"/>
      <c r="M20" s="697"/>
      <c r="N20" s="697"/>
      <c r="O20" s="697"/>
      <c r="P20" s="697"/>
      <c r="Q20" s="697"/>
    </row>
    <row r="21" spans="1:17" x14ac:dyDescent="0.2">
      <c r="A21" s="696" t="s">
        <v>296</v>
      </c>
      <c r="B21" s="697">
        <v>385</v>
      </c>
      <c r="C21" s="697"/>
      <c r="D21" s="697">
        <v>37</v>
      </c>
      <c r="E21" s="697"/>
      <c r="F21" s="697"/>
      <c r="G21" s="697"/>
      <c r="H21" s="697">
        <v>422</v>
      </c>
      <c r="I21" s="697"/>
      <c r="J21" s="697">
        <v>0</v>
      </c>
      <c r="K21" s="697">
        <v>0</v>
      </c>
      <c r="L21" s="697"/>
      <c r="M21" s="697"/>
      <c r="N21" s="697">
        <v>0</v>
      </c>
      <c r="O21" s="697"/>
      <c r="P21" s="697"/>
      <c r="Q21" s="697"/>
    </row>
    <row r="22" spans="1:17" x14ac:dyDescent="0.2">
      <c r="A22" s="696" t="s">
        <v>300</v>
      </c>
      <c r="B22" s="697">
        <v>339</v>
      </c>
      <c r="C22" s="697"/>
      <c r="D22" s="697">
        <v>84</v>
      </c>
      <c r="E22" s="697"/>
      <c r="F22" s="697"/>
      <c r="G22" s="697"/>
      <c r="H22" s="697">
        <v>423</v>
      </c>
      <c r="I22" s="697"/>
      <c r="J22" s="697">
        <v>0</v>
      </c>
      <c r="K22" s="697">
        <v>0</v>
      </c>
      <c r="L22" s="697"/>
      <c r="M22" s="697"/>
      <c r="N22" s="697">
        <v>0</v>
      </c>
      <c r="O22" s="697"/>
      <c r="P22" s="697"/>
      <c r="Q22" s="697"/>
    </row>
    <row r="23" spans="1:17" x14ac:dyDescent="0.2">
      <c r="A23" s="696" t="s">
        <v>304</v>
      </c>
      <c r="B23" s="697">
        <v>297</v>
      </c>
      <c r="C23" s="697"/>
      <c r="D23" s="697">
        <v>62</v>
      </c>
      <c r="E23" s="697"/>
      <c r="F23" s="697"/>
      <c r="G23" s="697"/>
      <c r="H23" s="697">
        <v>359</v>
      </c>
      <c r="I23" s="697"/>
      <c r="J23" s="697">
        <v>0</v>
      </c>
      <c r="K23" s="697">
        <v>0</v>
      </c>
      <c r="L23" s="697"/>
      <c r="M23" s="697"/>
      <c r="N23" s="697">
        <v>0</v>
      </c>
      <c r="O23" s="697"/>
      <c r="P23" s="697"/>
      <c r="Q23" s="697"/>
    </row>
    <row r="24" spans="1:17" x14ac:dyDescent="0.2">
      <c r="A24" s="696" t="s">
        <v>308</v>
      </c>
      <c r="B24" s="697">
        <v>97</v>
      </c>
      <c r="C24" s="697"/>
      <c r="D24" s="697">
        <v>0</v>
      </c>
      <c r="E24" s="697"/>
      <c r="F24" s="697"/>
      <c r="G24" s="697"/>
      <c r="H24" s="697">
        <v>97</v>
      </c>
      <c r="I24" s="697"/>
      <c r="J24" s="697">
        <v>0</v>
      </c>
      <c r="K24" s="697">
        <v>0</v>
      </c>
      <c r="L24" s="697"/>
      <c r="M24" s="697"/>
      <c r="N24" s="697">
        <v>0</v>
      </c>
      <c r="O24" s="697"/>
      <c r="P24" s="697"/>
      <c r="Q24" s="697"/>
    </row>
    <row r="25" spans="1:17" x14ac:dyDescent="0.2">
      <c r="A25" s="696" t="s">
        <v>312</v>
      </c>
      <c r="B25" s="697">
        <v>0</v>
      </c>
      <c r="C25" s="697"/>
      <c r="D25" s="697">
        <v>0</v>
      </c>
      <c r="E25" s="697"/>
      <c r="F25" s="697"/>
      <c r="G25" s="697"/>
      <c r="H25" s="697">
        <v>0</v>
      </c>
      <c r="I25" s="697"/>
      <c r="J25" s="697">
        <v>0</v>
      </c>
      <c r="K25" s="697">
        <v>0</v>
      </c>
      <c r="L25" s="697"/>
      <c r="M25" s="697"/>
      <c r="N25" s="697">
        <v>0</v>
      </c>
      <c r="O25" s="697"/>
      <c r="P25" s="697"/>
      <c r="Q25" s="697"/>
    </row>
    <row r="26" spans="1:17" x14ac:dyDescent="0.2">
      <c r="A26" s="696" t="s">
        <v>316</v>
      </c>
      <c r="B26" s="697">
        <v>0</v>
      </c>
      <c r="C26" s="697"/>
      <c r="D26" s="697">
        <v>0</v>
      </c>
      <c r="E26" s="697"/>
      <c r="F26" s="697"/>
      <c r="G26" s="697"/>
      <c r="H26" s="697">
        <v>0</v>
      </c>
      <c r="I26" s="697"/>
      <c r="J26" s="697">
        <v>109</v>
      </c>
      <c r="K26" s="697">
        <v>207</v>
      </c>
      <c r="L26" s="697"/>
      <c r="M26" s="697"/>
      <c r="N26" s="697">
        <v>316</v>
      </c>
      <c r="O26" s="697"/>
      <c r="P26" s="697"/>
      <c r="Q26" s="697"/>
    </row>
    <row r="27" spans="1:17" x14ac:dyDescent="0.2">
      <c r="A27" s="696" t="s">
        <v>320</v>
      </c>
      <c r="B27" s="697">
        <v>1118</v>
      </c>
      <c r="C27" s="697"/>
      <c r="D27" s="697">
        <v>183</v>
      </c>
      <c r="E27" s="697"/>
      <c r="F27" s="697"/>
      <c r="G27" s="697"/>
      <c r="H27" s="697">
        <v>1301</v>
      </c>
      <c r="I27" s="697"/>
      <c r="J27" s="697">
        <v>109</v>
      </c>
      <c r="K27" s="697">
        <v>207</v>
      </c>
      <c r="L27" s="697"/>
      <c r="M27" s="697"/>
      <c r="N27" s="697">
        <v>316</v>
      </c>
      <c r="O27" s="697"/>
      <c r="P27" s="697"/>
      <c r="Q27" s="697"/>
    </row>
    <row r="28" spans="1:17" x14ac:dyDescent="0.2">
      <c r="A28" s="695" t="s">
        <v>34</v>
      </c>
      <c r="B28" s="697"/>
      <c r="C28" s="697"/>
      <c r="D28" s="697"/>
      <c r="E28" s="697"/>
      <c r="F28" s="697"/>
      <c r="G28" s="697"/>
      <c r="H28" s="697"/>
      <c r="I28" s="697"/>
      <c r="J28" s="697"/>
      <c r="K28" s="697"/>
      <c r="L28" s="697"/>
      <c r="M28" s="697"/>
      <c r="N28" s="697"/>
      <c r="O28" s="697"/>
      <c r="P28" s="697"/>
      <c r="Q28" s="697"/>
    </row>
    <row r="29" spans="1:17" x14ac:dyDescent="0.2">
      <c r="A29" s="696" t="s">
        <v>296</v>
      </c>
      <c r="B29" s="697">
        <v>1953</v>
      </c>
      <c r="C29" s="697">
        <v>195</v>
      </c>
      <c r="D29" s="697">
        <v>284</v>
      </c>
      <c r="E29" s="697">
        <v>76</v>
      </c>
      <c r="F29" s="697"/>
      <c r="G29" s="697">
        <v>29</v>
      </c>
      <c r="H29" s="697">
        <v>2537</v>
      </c>
      <c r="I29" s="697">
        <v>0</v>
      </c>
      <c r="J29" s="697">
        <v>0</v>
      </c>
      <c r="K29" s="697">
        <v>0</v>
      </c>
      <c r="L29" s="697">
        <v>0</v>
      </c>
      <c r="M29" s="697"/>
      <c r="N29" s="697">
        <v>0</v>
      </c>
      <c r="O29" s="697"/>
      <c r="P29" s="697"/>
      <c r="Q29" s="697"/>
    </row>
    <row r="30" spans="1:17" x14ac:dyDescent="0.2">
      <c r="A30" s="696" t="s">
        <v>300</v>
      </c>
      <c r="B30" s="697">
        <v>1931</v>
      </c>
      <c r="C30" s="697">
        <v>232</v>
      </c>
      <c r="D30" s="697">
        <v>398</v>
      </c>
      <c r="E30" s="697">
        <v>101</v>
      </c>
      <c r="F30" s="697"/>
      <c r="G30" s="697">
        <v>20</v>
      </c>
      <c r="H30" s="697">
        <v>2682</v>
      </c>
      <c r="I30" s="697">
        <v>0</v>
      </c>
      <c r="J30" s="697">
        <v>0</v>
      </c>
      <c r="K30" s="697">
        <v>0</v>
      </c>
      <c r="L30" s="697">
        <v>0</v>
      </c>
      <c r="M30" s="697"/>
      <c r="N30" s="697">
        <v>0</v>
      </c>
      <c r="O30" s="697"/>
      <c r="P30" s="697"/>
      <c r="Q30" s="697"/>
    </row>
    <row r="31" spans="1:17" x14ac:dyDescent="0.2">
      <c r="A31" s="696" t="s">
        <v>304</v>
      </c>
      <c r="B31" s="697">
        <v>1505</v>
      </c>
      <c r="C31" s="697">
        <v>128</v>
      </c>
      <c r="D31" s="697">
        <v>379</v>
      </c>
      <c r="E31" s="697">
        <v>141</v>
      </c>
      <c r="F31" s="697"/>
      <c r="G31" s="697">
        <v>18</v>
      </c>
      <c r="H31" s="697">
        <v>2171</v>
      </c>
      <c r="I31" s="697">
        <v>0</v>
      </c>
      <c r="J31" s="697">
        <v>0</v>
      </c>
      <c r="K31" s="697">
        <v>0</v>
      </c>
      <c r="L31" s="697">
        <v>0</v>
      </c>
      <c r="M31" s="697"/>
      <c r="N31" s="697">
        <v>0</v>
      </c>
      <c r="O31" s="697"/>
      <c r="P31" s="697"/>
      <c r="Q31" s="697"/>
    </row>
    <row r="32" spans="1:17" x14ac:dyDescent="0.2">
      <c r="A32" s="696" t="s">
        <v>308</v>
      </c>
      <c r="B32" s="697">
        <v>765</v>
      </c>
      <c r="C32" s="697">
        <v>173</v>
      </c>
      <c r="D32" s="697">
        <v>196</v>
      </c>
      <c r="E32" s="697">
        <v>107</v>
      </c>
      <c r="F32" s="697"/>
      <c r="G32" s="697">
        <v>1</v>
      </c>
      <c r="H32" s="697">
        <v>1242</v>
      </c>
      <c r="I32" s="697">
        <v>0</v>
      </c>
      <c r="J32" s="697">
        <v>0</v>
      </c>
      <c r="K32" s="697">
        <v>0</v>
      </c>
      <c r="L32" s="697">
        <v>0</v>
      </c>
      <c r="M32" s="697"/>
      <c r="N32" s="697">
        <v>0</v>
      </c>
      <c r="O32" s="697"/>
      <c r="P32" s="697"/>
      <c r="Q32" s="697"/>
    </row>
    <row r="33" spans="1:17" x14ac:dyDescent="0.2">
      <c r="A33" s="696" t="s">
        <v>312</v>
      </c>
      <c r="B33" s="697">
        <v>610</v>
      </c>
      <c r="C33" s="697">
        <v>2</v>
      </c>
      <c r="D33" s="697">
        <v>31</v>
      </c>
      <c r="E33" s="697">
        <v>1</v>
      </c>
      <c r="F33" s="697"/>
      <c r="G33" s="697">
        <v>0</v>
      </c>
      <c r="H33" s="697">
        <v>644</v>
      </c>
      <c r="I33" s="697">
        <v>0</v>
      </c>
      <c r="J33" s="697">
        <v>0</v>
      </c>
      <c r="K33" s="697">
        <v>0</v>
      </c>
      <c r="L33" s="697">
        <v>0</v>
      </c>
      <c r="M33" s="697"/>
      <c r="N33" s="697">
        <v>0</v>
      </c>
      <c r="O33" s="697"/>
      <c r="P33" s="697"/>
      <c r="Q33" s="697"/>
    </row>
    <row r="34" spans="1:17" x14ac:dyDescent="0.2">
      <c r="A34" s="696" t="s">
        <v>316</v>
      </c>
      <c r="B34" s="697">
        <v>0</v>
      </c>
      <c r="C34" s="697">
        <v>0</v>
      </c>
      <c r="D34" s="697">
        <v>0</v>
      </c>
      <c r="E34" s="697">
        <v>0</v>
      </c>
      <c r="F34" s="697"/>
      <c r="G34" s="697">
        <v>0</v>
      </c>
      <c r="H34" s="697">
        <v>0</v>
      </c>
      <c r="I34" s="697">
        <v>2252</v>
      </c>
      <c r="J34" s="697">
        <v>2980</v>
      </c>
      <c r="K34" s="697">
        <v>434</v>
      </c>
      <c r="L34" s="697">
        <v>59</v>
      </c>
      <c r="M34" s="697"/>
      <c r="N34" s="697">
        <v>5725</v>
      </c>
      <c r="O34" s="697"/>
      <c r="P34" s="697"/>
      <c r="Q34" s="697"/>
    </row>
    <row r="35" spans="1:17" x14ac:dyDescent="0.2">
      <c r="A35" s="696" t="s">
        <v>320</v>
      </c>
      <c r="B35" s="697">
        <v>6764</v>
      </c>
      <c r="C35" s="697">
        <v>730</v>
      </c>
      <c r="D35" s="697">
        <v>1288</v>
      </c>
      <c r="E35" s="697">
        <v>426</v>
      </c>
      <c r="F35" s="697"/>
      <c r="G35" s="697">
        <v>68</v>
      </c>
      <c r="H35" s="697">
        <v>9276</v>
      </c>
      <c r="I35" s="697">
        <v>2252</v>
      </c>
      <c r="J35" s="697">
        <v>2980</v>
      </c>
      <c r="K35" s="697">
        <v>434</v>
      </c>
      <c r="L35" s="697">
        <v>59</v>
      </c>
      <c r="M35" s="697"/>
      <c r="N35" s="697">
        <v>5725</v>
      </c>
      <c r="O35" s="697"/>
      <c r="P35" s="697"/>
      <c r="Q35" s="697"/>
    </row>
    <row r="36" spans="1:17" x14ac:dyDescent="0.2">
      <c r="A36" s="695" t="s">
        <v>35</v>
      </c>
      <c r="B36" s="697"/>
      <c r="C36" s="697"/>
      <c r="D36" s="697"/>
      <c r="E36" s="697"/>
      <c r="F36" s="697"/>
      <c r="G36" s="697"/>
      <c r="H36" s="697"/>
      <c r="I36" s="697"/>
      <c r="J36" s="697"/>
      <c r="K36" s="697"/>
      <c r="L36" s="697"/>
      <c r="M36" s="697"/>
      <c r="N36" s="697"/>
      <c r="O36" s="697"/>
      <c r="P36" s="697"/>
      <c r="Q36" s="697"/>
    </row>
    <row r="37" spans="1:17" x14ac:dyDescent="0.2">
      <c r="A37" s="696" t="s">
        <v>296</v>
      </c>
      <c r="B37" s="697">
        <v>951</v>
      </c>
      <c r="C37" s="697">
        <v>429</v>
      </c>
      <c r="D37" s="697">
        <v>380</v>
      </c>
      <c r="E37" s="697">
        <v>435</v>
      </c>
      <c r="F37" s="697">
        <v>79</v>
      </c>
      <c r="G37" s="697">
        <v>32</v>
      </c>
      <c r="H37" s="697">
        <v>2306</v>
      </c>
      <c r="I37" s="697">
        <v>68</v>
      </c>
      <c r="J37" s="697">
        <v>38</v>
      </c>
      <c r="K37" s="697">
        <v>55</v>
      </c>
      <c r="L37" s="697">
        <v>4</v>
      </c>
      <c r="M37" s="697"/>
      <c r="N37" s="697">
        <v>165</v>
      </c>
      <c r="O37" s="697">
        <v>0</v>
      </c>
      <c r="P37" s="697"/>
      <c r="Q37" s="697">
        <v>0</v>
      </c>
    </row>
    <row r="38" spans="1:17" x14ac:dyDescent="0.2">
      <c r="A38" s="696" t="s">
        <v>300</v>
      </c>
      <c r="B38" s="697">
        <v>839</v>
      </c>
      <c r="C38" s="697">
        <v>263</v>
      </c>
      <c r="D38" s="697">
        <v>402</v>
      </c>
      <c r="E38" s="697">
        <v>518</v>
      </c>
      <c r="F38" s="697">
        <v>144</v>
      </c>
      <c r="G38" s="697">
        <v>126</v>
      </c>
      <c r="H38" s="697">
        <v>2292</v>
      </c>
      <c r="I38" s="697">
        <v>123</v>
      </c>
      <c r="J38" s="697">
        <v>117</v>
      </c>
      <c r="K38" s="697">
        <v>155</v>
      </c>
      <c r="L38" s="697">
        <v>19</v>
      </c>
      <c r="M38" s="697"/>
      <c r="N38" s="697">
        <v>414</v>
      </c>
      <c r="O38" s="697">
        <v>0</v>
      </c>
      <c r="P38" s="697"/>
      <c r="Q38" s="697">
        <v>0</v>
      </c>
    </row>
    <row r="39" spans="1:17" x14ac:dyDescent="0.2">
      <c r="A39" s="696" t="s">
        <v>304</v>
      </c>
      <c r="B39" s="697">
        <v>755</v>
      </c>
      <c r="C39" s="697">
        <v>216</v>
      </c>
      <c r="D39" s="697">
        <v>548</v>
      </c>
      <c r="E39" s="697">
        <v>771</v>
      </c>
      <c r="F39" s="697">
        <v>196</v>
      </c>
      <c r="G39" s="697">
        <v>337</v>
      </c>
      <c r="H39" s="697">
        <v>2823</v>
      </c>
      <c r="I39" s="697">
        <v>184</v>
      </c>
      <c r="J39" s="697">
        <v>123</v>
      </c>
      <c r="K39" s="697">
        <v>306</v>
      </c>
      <c r="L39" s="697">
        <v>16</v>
      </c>
      <c r="M39" s="697"/>
      <c r="N39" s="697">
        <v>629</v>
      </c>
      <c r="O39" s="697">
        <v>0</v>
      </c>
      <c r="P39" s="697"/>
      <c r="Q39" s="697">
        <v>0</v>
      </c>
    </row>
    <row r="40" spans="1:17" x14ac:dyDescent="0.2">
      <c r="A40" s="696" t="s">
        <v>308</v>
      </c>
      <c r="B40" s="697">
        <v>102</v>
      </c>
      <c r="C40" s="697">
        <v>48</v>
      </c>
      <c r="D40" s="697">
        <v>237</v>
      </c>
      <c r="E40" s="697">
        <v>207</v>
      </c>
      <c r="F40" s="697">
        <v>66</v>
      </c>
      <c r="G40" s="697">
        <v>4</v>
      </c>
      <c r="H40" s="697">
        <v>664</v>
      </c>
      <c r="I40" s="697">
        <v>54</v>
      </c>
      <c r="J40" s="697">
        <v>197</v>
      </c>
      <c r="K40" s="697">
        <v>153</v>
      </c>
      <c r="L40" s="697">
        <v>17</v>
      </c>
      <c r="M40" s="697"/>
      <c r="N40" s="697">
        <v>421</v>
      </c>
      <c r="O40" s="697">
        <v>0</v>
      </c>
      <c r="P40" s="697"/>
      <c r="Q40" s="697">
        <v>0</v>
      </c>
    </row>
    <row r="41" spans="1:17" x14ac:dyDescent="0.2">
      <c r="A41" s="696" t="s">
        <v>312</v>
      </c>
      <c r="B41" s="697">
        <v>332</v>
      </c>
      <c r="C41" s="697">
        <v>87</v>
      </c>
      <c r="D41" s="697">
        <v>121</v>
      </c>
      <c r="E41" s="697">
        <v>223</v>
      </c>
      <c r="F41" s="697">
        <v>50</v>
      </c>
      <c r="G41" s="697">
        <v>19</v>
      </c>
      <c r="H41" s="697">
        <v>832</v>
      </c>
      <c r="I41" s="697">
        <v>10</v>
      </c>
      <c r="J41" s="697">
        <v>13</v>
      </c>
      <c r="K41" s="697">
        <v>43</v>
      </c>
      <c r="L41" s="697">
        <v>5</v>
      </c>
      <c r="M41" s="697"/>
      <c r="N41" s="697">
        <v>71</v>
      </c>
      <c r="O41" s="697">
        <v>0</v>
      </c>
      <c r="P41" s="697"/>
      <c r="Q41" s="697">
        <v>0</v>
      </c>
    </row>
    <row r="42" spans="1:17" x14ac:dyDescent="0.2">
      <c r="A42" s="696" t="s">
        <v>316</v>
      </c>
      <c r="B42" s="697">
        <v>0</v>
      </c>
      <c r="C42" s="697">
        <v>0</v>
      </c>
      <c r="D42" s="697">
        <v>0</v>
      </c>
      <c r="E42" s="697">
        <v>0</v>
      </c>
      <c r="F42" s="697">
        <v>0</v>
      </c>
      <c r="G42" s="697">
        <v>0</v>
      </c>
      <c r="H42" s="697">
        <v>0</v>
      </c>
      <c r="I42" s="697">
        <v>0</v>
      </c>
      <c r="J42" s="697">
        <v>0</v>
      </c>
      <c r="K42" s="697">
        <v>0</v>
      </c>
      <c r="L42" s="697">
        <v>0</v>
      </c>
      <c r="M42" s="697"/>
      <c r="N42" s="697">
        <v>0</v>
      </c>
      <c r="O42" s="697">
        <v>2167</v>
      </c>
      <c r="P42" s="697"/>
      <c r="Q42" s="697">
        <v>2167</v>
      </c>
    </row>
    <row r="43" spans="1:17" x14ac:dyDescent="0.2">
      <c r="A43" s="696" t="s">
        <v>320</v>
      </c>
      <c r="B43" s="697">
        <v>2979</v>
      </c>
      <c r="C43" s="697">
        <v>1043</v>
      </c>
      <c r="D43" s="697">
        <v>1688</v>
      </c>
      <c r="E43" s="697">
        <v>2154</v>
      </c>
      <c r="F43" s="697">
        <v>535</v>
      </c>
      <c r="G43" s="697">
        <v>518</v>
      </c>
      <c r="H43" s="697">
        <v>8917</v>
      </c>
      <c r="I43" s="697">
        <v>439</v>
      </c>
      <c r="J43" s="697">
        <v>488</v>
      </c>
      <c r="K43" s="697">
        <v>712</v>
      </c>
      <c r="L43" s="697">
        <v>61</v>
      </c>
      <c r="M43" s="697"/>
      <c r="N43" s="697">
        <v>1700</v>
      </c>
      <c r="O43" s="697">
        <v>2167</v>
      </c>
      <c r="P43" s="697"/>
      <c r="Q43" s="697">
        <v>2167</v>
      </c>
    </row>
    <row r="44" spans="1:17" x14ac:dyDescent="0.2">
      <c r="A44" s="695" t="s">
        <v>36</v>
      </c>
      <c r="B44" s="697"/>
      <c r="C44" s="697"/>
      <c r="D44" s="697"/>
      <c r="E44" s="697"/>
      <c r="F44" s="697"/>
      <c r="G44" s="697"/>
      <c r="H44" s="697"/>
      <c r="I44" s="697"/>
      <c r="J44" s="697"/>
      <c r="K44" s="697"/>
      <c r="L44" s="697"/>
      <c r="M44" s="697"/>
      <c r="N44" s="697"/>
      <c r="O44" s="697"/>
      <c r="P44" s="697"/>
      <c r="Q44" s="697"/>
    </row>
    <row r="45" spans="1:17" x14ac:dyDescent="0.2">
      <c r="A45" s="696" t="s">
        <v>296</v>
      </c>
      <c r="B45" s="697">
        <v>791</v>
      </c>
      <c r="C45" s="697"/>
      <c r="D45" s="697">
        <v>496</v>
      </c>
      <c r="E45" s="697">
        <v>113</v>
      </c>
      <c r="F45" s="697"/>
      <c r="G45" s="697"/>
      <c r="H45" s="697">
        <v>1400</v>
      </c>
      <c r="I45" s="697"/>
      <c r="J45" s="697">
        <v>162</v>
      </c>
      <c r="K45" s="697">
        <v>426</v>
      </c>
      <c r="L45" s="697">
        <v>25</v>
      </c>
      <c r="M45" s="697"/>
      <c r="N45" s="697">
        <v>613</v>
      </c>
      <c r="O45" s="697">
        <v>15</v>
      </c>
      <c r="P45" s="697"/>
      <c r="Q45" s="697">
        <v>15</v>
      </c>
    </row>
    <row r="46" spans="1:17" x14ac:dyDescent="0.2">
      <c r="A46" s="696" t="s">
        <v>300</v>
      </c>
      <c r="B46" s="697">
        <v>626</v>
      </c>
      <c r="C46" s="697"/>
      <c r="D46" s="697">
        <v>657</v>
      </c>
      <c r="E46" s="697">
        <v>205</v>
      </c>
      <c r="F46" s="697"/>
      <c r="G46" s="697"/>
      <c r="H46" s="697">
        <v>1488</v>
      </c>
      <c r="I46" s="697"/>
      <c r="J46" s="697">
        <v>211</v>
      </c>
      <c r="K46" s="697">
        <v>339</v>
      </c>
      <c r="L46" s="697">
        <v>11</v>
      </c>
      <c r="M46" s="697"/>
      <c r="N46" s="697">
        <v>561</v>
      </c>
      <c r="O46" s="697">
        <v>40</v>
      </c>
      <c r="P46" s="697"/>
      <c r="Q46" s="697">
        <v>40</v>
      </c>
    </row>
    <row r="47" spans="1:17" x14ac:dyDescent="0.2">
      <c r="A47" s="696" t="s">
        <v>304</v>
      </c>
      <c r="B47" s="697">
        <v>579</v>
      </c>
      <c r="C47" s="697"/>
      <c r="D47" s="697">
        <v>637</v>
      </c>
      <c r="E47" s="697">
        <v>175</v>
      </c>
      <c r="F47" s="697"/>
      <c r="G47" s="697"/>
      <c r="H47" s="697">
        <v>1391</v>
      </c>
      <c r="I47" s="697"/>
      <c r="J47" s="697">
        <v>57</v>
      </c>
      <c r="K47" s="697">
        <v>192</v>
      </c>
      <c r="L47" s="697">
        <v>5</v>
      </c>
      <c r="M47" s="697"/>
      <c r="N47" s="697">
        <v>254</v>
      </c>
      <c r="O47" s="697">
        <v>57</v>
      </c>
      <c r="P47" s="697"/>
      <c r="Q47" s="697">
        <v>57</v>
      </c>
    </row>
    <row r="48" spans="1:17" x14ac:dyDescent="0.2">
      <c r="A48" s="696" t="s">
        <v>308</v>
      </c>
      <c r="B48" s="697">
        <v>88</v>
      </c>
      <c r="C48" s="697"/>
      <c r="D48" s="697">
        <v>256</v>
      </c>
      <c r="E48" s="697">
        <v>21</v>
      </c>
      <c r="F48" s="697"/>
      <c r="G48" s="697"/>
      <c r="H48" s="697">
        <v>365</v>
      </c>
      <c r="I48" s="697"/>
      <c r="J48" s="697">
        <v>119</v>
      </c>
      <c r="K48" s="697">
        <v>289</v>
      </c>
      <c r="L48" s="697">
        <v>9</v>
      </c>
      <c r="M48" s="697"/>
      <c r="N48" s="697">
        <v>417</v>
      </c>
      <c r="O48" s="697">
        <v>64</v>
      </c>
      <c r="P48" s="697"/>
      <c r="Q48" s="697">
        <v>64</v>
      </c>
    </row>
    <row r="49" spans="1:17" x14ac:dyDescent="0.2">
      <c r="A49" s="696" t="s">
        <v>312</v>
      </c>
      <c r="B49" s="697">
        <v>190</v>
      </c>
      <c r="C49" s="697"/>
      <c r="D49" s="697">
        <v>182</v>
      </c>
      <c r="E49" s="697">
        <v>160</v>
      </c>
      <c r="F49" s="697"/>
      <c r="G49" s="697"/>
      <c r="H49" s="697">
        <v>532</v>
      </c>
      <c r="I49" s="697"/>
      <c r="J49" s="697">
        <v>21</v>
      </c>
      <c r="K49" s="697">
        <v>25</v>
      </c>
      <c r="L49" s="697">
        <v>1</v>
      </c>
      <c r="M49" s="697"/>
      <c r="N49" s="697">
        <v>47</v>
      </c>
      <c r="O49" s="697">
        <v>0</v>
      </c>
      <c r="P49" s="697"/>
      <c r="Q49" s="697">
        <v>0</v>
      </c>
    </row>
    <row r="50" spans="1:17" x14ac:dyDescent="0.2">
      <c r="A50" s="696" t="s">
        <v>316</v>
      </c>
      <c r="B50" s="697">
        <v>0</v>
      </c>
      <c r="C50" s="697"/>
      <c r="D50" s="697">
        <v>0</v>
      </c>
      <c r="E50" s="697">
        <v>0</v>
      </c>
      <c r="F50" s="697"/>
      <c r="G50" s="697"/>
      <c r="H50" s="697">
        <v>0</v>
      </c>
      <c r="I50" s="697"/>
      <c r="J50" s="697">
        <v>0</v>
      </c>
      <c r="K50" s="697">
        <v>0</v>
      </c>
      <c r="L50" s="697">
        <v>0</v>
      </c>
      <c r="M50" s="697"/>
      <c r="N50" s="697">
        <v>0</v>
      </c>
      <c r="O50" s="697">
        <v>0</v>
      </c>
      <c r="P50" s="697"/>
      <c r="Q50" s="697">
        <v>0</v>
      </c>
    </row>
    <row r="51" spans="1:17" x14ac:dyDescent="0.2">
      <c r="A51" s="696" t="s">
        <v>320</v>
      </c>
      <c r="B51" s="697">
        <v>2274</v>
      </c>
      <c r="C51" s="697"/>
      <c r="D51" s="697">
        <v>2228</v>
      </c>
      <c r="E51" s="697">
        <v>674</v>
      </c>
      <c r="F51" s="697"/>
      <c r="G51" s="697"/>
      <c r="H51" s="697">
        <v>5176</v>
      </c>
      <c r="I51" s="697"/>
      <c r="J51" s="697">
        <v>570</v>
      </c>
      <c r="K51" s="697">
        <v>1271</v>
      </c>
      <c r="L51" s="697">
        <v>51</v>
      </c>
      <c r="M51" s="697"/>
      <c r="N51" s="697">
        <v>1892</v>
      </c>
      <c r="O51" s="697">
        <v>176</v>
      </c>
      <c r="P51" s="697"/>
      <c r="Q51" s="697">
        <v>176</v>
      </c>
    </row>
    <row r="52" spans="1:17" x14ac:dyDescent="0.2">
      <c r="A52" s="695" t="s">
        <v>37</v>
      </c>
      <c r="B52" s="697"/>
      <c r="C52" s="697"/>
      <c r="D52" s="697"/>
      <c r="E52" s="697"/>
      <c r="F52" s="697"/>
      <c r="G52" s="697"/>
      <c r="H52" s="697"/>
      <c r="I52" s="697"/>
      <c r="J52" s="697"/>
      <c r="K52" s="697"/>
      <c r="L52" s="697"/>
      <c r="M52" s="697"/>
      <c r="N52" s="697"/>
      <c r="O52" s="697"/>
      <c r="P52" s="697"/>
      <c r="Q52" s="697"/>
    </row>
    <row r="53" spans="1:17" x14ac:dyDescent="0.2">
      <c r="A53" s="696" t="s">
        <v>296</v>
      </c>
      <c r="B53" s="697">
        <v>418</v>
      </c>
      <c r="C53" s="697">
        <v>329</v>
      </c>
      <c r="D53" s="697">
        <v>244</v>
      </c>
      <c r="E53" s="697">
        <v>245</v>
      </c>
      <c r="F53" s="697"/>
      <c r="G53" s="697">
        <v>16</v>
      </c>
      <c r="H53" s="697">
        <v>1252</v>
      </c>
      <c r="I53" s="697"/>
      <c r="J53" s="697">
        <v>105</v>
      </c>
      <c r="K53" s="697">
        <v>29</v>
      </c>
      <c r="L53" s="697">
        <v>20</v>
      </c>
      <c r="M53" s="697"/>
      <c r="N53" s="697">
        <v>154</v>
      </c>
      <c r="O53" s="697">
        <v>35</v>
      </c>
      <c r="P53" s="697"/>
      <c r="Q53" s="697">
        <v>35</v>
      </c>
    </row>
    <row r="54" spans="1:17" x14ac:dyDescent="0.2">
      <c r="A54" s="696" t="s">
        <v>300</v>
      </c>
      <c r="B54" s="697">
        <v>312</v>
      </c>
      <c r="C54" s="697">
        <v>316</v>
      </c>
      <c r="D54" s="697">
        <v>257</v>
      </c>
      <c r="E54" s="697">
        <v>296</v>
      </c>
      <c r="F54" s="697"/>
      <c r="G54" s="697">
        <v>32</v>
      </c>
      <c r="H54" s="697">
        <v>1213</v>
      </c>
      <c r="I54" s="697"/>
      <c r="J54" s="697">
        <v>116</v>
      </c>
      <c r="K54" s="697">
        <v>20</v>
      </c>
      <c r="L54" s="697">
        <v>38</v>
      </c>
      <c r="M54" s="697"/>
      <c r="N54" s="697">
        <v>174</v>
      </c>
      <c r="O54" s="697">
        <v>11</v>
      </c>
      <c r="P54" s="697"/>
      <c r="Q54" s="697">
        <v>11</v>
      </c>
    </row>
    <row r="55" spans="1:17" x14ac:dyDescent="0.2">
      <c r="A55" s="696" t="s">
        <v>304</v>
      </c>
      <c r="B55" s="697">
        <v>264</v>
      </c>
      <c r="C55" s="697">
        <v>346</v>
      </c>
      <c r="D55" s="697">
        <v>258</v>
      </c>
      <c r="E55" s="697">
        <v>442</v>
      </c>
      <c r="F55" s="697"/>
      <c r="G55" s="697">
        <v>27</v>
      </c>
      <c r="H55" s="697">
        <v>1337</v>
      </c>
      <c r="I55" s="697"/>
      <c r="J55" s="697">
        <v>160</v>
      </c>
      <c r="K55" s="697">
        <v>16</v>
      </c>
      <c r="L55" s="697">
        <v>60</v>
      </c>
      <c r="M55" s="697"/>
      <c r="N55" s="697">
        <v>236</v>
      </c>
      <c r="O55" s="697">
        <v>52</v>
      </c>
      <c r="P55" s="697"/>
      <c r="Q55" s="697">
        <v>52</v>
      </c>
    </row>
    <row r="56" spans="1:17" x14ac:dyDescent="0.2">
      <c r="A56" s="696" t="s">
        <v>308</v>
      </c>
      <c r="B56" s="697">
        <v>215</v>
      </c>
      <c r="C56" s="697">
        <v>290</v>
      </c>
      <c r="D56" s="697">
        <v>266</v>
      </c>
      <c r="E56" s="697">
        <v>222</v>
      </c>
      <c r="F56" s="697"/>
      <c r="G56" s="697">
        <v>11</v>
      </c>
      <c r="H56" s="697">
        <v>1004</v>
      </c>
      <c r="I56" s="697"/>
      <c r="J56" s="697">
        <v>400</v>
      </c>
      <c r="K56" s="697">
        <v>141</v>
      </c>
      <c r="L56" s="697">
        <v>153</v>
      </c>
      <c r="M56" s="697"/>
      <c r="N56" s="697">
        <v>694</v>
      </c>
      <c r="O56" s="697">
        <v>255</v>
      </c>
      <c r="P56" s="697"/>
      <c r="Q56" s="697">
        <v>255</v>
      </c>
    </row>
    <row r="57" spans="1:17" x14ac:dyDescent="0.2">
      <c r="A57" s="696" t="s">
        <v>312</v>
      </c>
      <c r="B57" s="697">
        <v>21</v>
      </c>
      <c r="C57" s="697">
        <v>17</v>
      </c>
      <c r="D57" s="697">
        <v>95</v>
      </c>
      <c r="E57" s="697">
        <v>46</v>
      </c>
      <c r="F57" s="697"/>
      <c r="G57" s="697">
        <v>0</v>
      </c>
      <c r="H57" s="697">
        <v>179</v>
      </c>
      <c r="I57" s="697"/>
      <c r="J57" s="697">
        <v>3</v>
      </c>
      <c r="K57" s="697">
        <v>2</v>
      </c>
      <c r="L57" s="697">
        <v>4</v>
      </c>
      <c r="M57" s="697"/>
      <c r="N57" s="697">
        <v>9</v>
      </c>
      <c r="O57" s="697">
        <v>132</v>
      </c>
      <c r="P57" s="697"/>
      <c r="Q57" s="697">
        <v>132</v>
      </c>
    </row>
    <row r="58" spans="1:17" x14ac:dyDescent="0.2">
      <c r="A58" s="696" t="s">
        <v>316</v>
      </c>
      <c r="B58" s="697">
        <v>0</v>
      </c>
      <c r="C58" s="697">
        <v>0</v>
      </c>
      <c r="D58" s="697">
        <v>0</v>
      </c>
      <c r="E58" s="697">
        <v>0</v>
      </c>
      <c r="F58" s="697"/>
      <c r="G58" s="697">
        <v>0</v>
      </c>
      <c r="H58" s="697">
        <v>0</v>
      </c>
      <c r="I58" s="697"/>
      <c r="J58" s="697">
        <v>0</v>
      </c>
      <c r="K58" s="697">
        <v>0</v>
      </c>
      <c r="L58" s="697">
        <v>0</v>
      </c>
      <c r="M58" s="697"/>
      <c r="N58" s="697">
        <v>0</v>
      </c>
      <c r="O58" s="697">
        <v>0</v>
      </c>
      <c r="P58" s="697"/>
      <c r="Q58" s="697">
        <v>0</v>
      </c>
    </row>
    <row r="59" spans="1:17" x14ac:dyDescent="0.2">
      <c r="A59" s="696" t="s">
        <v>320</v>
      </c>
      <c r="B59" s="697">
        <v>1230</v>
      </c>
      <c r="C59" s="697">
        <v>1298</v>
      </c>
      <c r="D59" s="697">
        <v>1120</v>
      </c>
      <c r="E59" s="697">
        <v>1251</v>
      </c>
      <c r="F59" s="697"/>
      <c r="G59" s="697">
        <v>86</v>
      </c>
      <c r="H59" s="697">
        <v>4985</v>
      </c>
      <c r="I59" s="697"/>
      <c r="J59" s="697">
        <v>784</v>
      </c>
      <c r="K59" s="697">
        <v>208</v>
      </c>
      <c r="L59" s="697">
        <v>275</v>
      </c>
      <c r="M59" s="697"/>
      <c r="N59" s="697">
        <v>1267</v>
      </c>
      <c r="O59" s="697">
        <v>485</v>
      </c>
      <c r="P59" s="697"/>
      <c r="Q59" s="697">
        <v>485</v>
      </c>
    </row>
    <row r="60" spans="1:17" x14ac:dyDescent="0.2">
      <c r="A60" s="695" t="s">
        <v>38</v>
      </c>
      <c r="B60" s="697"/>
      <c r="C60" s="697"/>
      <c r="D60" s="697"/>
      <c r="E60" s="697"/>
      <c r="F60" s="697"/>
      <c r="G60" s="697"/>
      <c r="H60" s="697"/>
      <c r="I60" s="697"/>
      <c r="J60" s="697"/>
      <c r="K60" s="697"/>
      <c r="L60" s="697"/>
      <c r="M60" s="697"/>
      <c r="N60" s="697"/>
      <c r="O60" s="697"/>
      <c r="P60" s="697"/>
      <c r="Q60" s="697"/>
    </row>
    <row r="61" spans="1:17" x14ac:dyDescent="0.2">
      <c r="A61" s="696" t="s">
        <v>296</v>
      </c>
      <c r="B61" s="697">
        <v>653</v>
      </c>
      <c r="C61" s="697">
        <v>205</v>
      </c>
      <c r="D61" s="697">
        <v>197</v>
      </c>
      <c r="E61" s="697">
        <v>312</v>
      </c>
      <c r="F61" s="697">
        <v>24</v>
      </c>
      <c r="G61" s="697">
        <v>44</v>
      </c>
      <c r="H61" s="697">
        <v>1435</v>
      </c>
      <c r="I61" s="697"/>
      <c r="J61" s="697">
        <v>683</v>
      </c>
      <c r="K61" s="697">
        <v>128</v>
      </c>
      <c r="L61" s="697">
        <v>32</v>
      </c>
      <c r="M61" s="697"/>
      <c r="N61" s="697">
        <v>843</v>
      </c>
      <c r="O61" s="697"/>
      <c r="P61" s="697"/>
      <c r="Q61" s="697"/>
    </row>
    <row r="62" spans="1:17" x14ac:dyDescent="0.2">
      <c r="A62" s="696" t="s">
        <v>300</v>
      </c>
      <c r="B62" s="697">
        <v>431</v>
      </c>
      <c r="C62" s="697">
        <v>289</v>
      </c>
      <c r="D62" s="697">
        <v>178</v>
      </c>
      <c r="E62" s="697">
        <v>326</v>
      </c>
      <c r="F62" s="697">
        <v>33</v>
      </c>
      <c r="G62" s="697">
        <v>54</v>
      </c>
      <c r="H62" s="697">
        <v>1311</v>
      </c>
      <c r="I62" s="697"/>
      <c r="J62" s="697">
        <v>497</v>
      </c>
      <c r="K62" s="697">
        <v>146</v>
      </c>
      <c r="L62" s="697">
        <v>40</v>
      </c>
      <c r="M62" s="697"/>
      <c r="N62" s="697">
        <v>683</v>
      </c>
      <c r="O62" s="697"/>
      <c r="P62" s="697"/>
      <c r="Q62" s="697"/>
    </row>
    <row r="63" spans="1:17" x14ac:dyDescent="0.2">
      <c r="A63" s="696" t="s">
        <v>304</v>
      </c>
      <c r="B63" s="697">
        <v>317</v>
      </c>
      <c r="C63" s="697">
        <v>188</v>
      </c>
      <c r="D63" s="697">
        <v>274</v>
      </c>
      <c r="E63" s="697">
        <v>364</v>
      </c>
      <c r="F63" s="697">
        <v>76</v>
      </c>
      <c r="G63" s="697">
        <v>48</v>
      </c>
      <c r="H63" s="697">
        <v>1267</v>
      </c>
      <c r="I63" s="697"/>
      <c r="J63" s="697">
        <v>473</v>
      </c>
      <c r="K63" s="697">
        <v>259</v>
      </c>
      <c r="L63" s="697">
        <v>38</v>
      </c>
      <c r="M63" s="697"/>
      <c r="N63" s="697">
        <v>770</v>
      </c>
      <c r="O63" s="697"/>
      <c r="P63" s="697"/>
      <c r="Q63" s="697"/>
    </row>
    <row r="64" spans="1:17" x14ac:dyDescent="0.2">
      <c r="A64" s="696" t="s">
        <v>308</v>
      </c>
      <c r="B64" s="697">
        <v>12</v>
      </c>
      <c r="C64" s="697">
        <v>16</v>
      </c>
      <c r="D64" s="697">
        <v>25</v>
      </c>
      <c r="E64" s="697">
        <v>22</v>
      </c>
      <c r="F64" s="697">
        <v>3</v>
      </c>
      <c r="G64" s="697">
        <v>3</v>
      </c>
      <c r="H64" s="697">
        <v>81</v>
      </c>
      <c r="I64" s="697"/>
      <c r="J64" s="697">
        <v>105</v>
      </c>
      <c r="K64" s="697">
        <v>70</v>
      </c>
      <c r="L64" s="697">
        <v>13</v>
      </c>
      <c r="M64" s="697"/>
      <c r="N64" s="697">
        <v>188</v>
      </c>
      <c r="O64" s="697"/>
      <c r="P64" s="697"/>
      <c r="Q64" s="697"/>
    </row>
    <row r="65" spans="1:17" x14ac:dyDescent="0.2">
      <c r="A65" s="696" t="s">
        <v>312</v>
      </c>
      <c r="B65" s="697">
        <v>263</v>
      </c>
      <c r="C65" s="697">
        <v>244</v>
      </c>
      <c r="D65" s="697">
        <v>174</v>
      </c>
      <c r="E65" s="697">
        <v>252</v>
      </c>
      <c r="F65" s="697">
        <v>18</v>
      </c>
      <c r="G65" s="697">
        <v>1</v>
      </c>
      <c r="H65" s="697">
        <v>952</v>
      </c>
      <c r="I65" s="697"/>
      <c r="J65" s="697">
        <v>13</v>
      </c>
      <c r="K65" s="697">
        <v>45</v>
      </c>
      <c r="L65" s="697">
        <v>2</v>
      </c>
      <c r="M65" s="697"/>
      <c r="N65" s="697">
        <v>60</v>
      </c>
      <c r="O65" s="697"/>
      <c r="P65" s="697"/>
      <c r="Q65" s="697"/>
    </row>
    <row r="66" spans="1:17" x14ac:dyDescent="0.2">
      <c r="A66" s="696" t="s">
        <v>316</v>
      </c>
      <c r="B66" s="697">
        <v>0</v>
      </c>
      <c r="C66" s="697">
        <v>0</v>
      </c>
      <c r="D66" s="697">
        <v>0</v>
      </c>
      <c r="E66" s="697">
        <v>0</v>
      </c>
      <c r="F66" s="697">
        <v>0</v>
      </c>
      <c r="G66" s="697">
        <v>0</v>
      </c>
      <c r="H66" s="697">
        <v>0</v>
      </c>
      <c r="I66" s="697"/>
      <c r="J66" s="697">
        <v>0</v>
      </c>
      <c r="K66" s="697">
        <v>0</v>
      </c>
      <c r="L66" s="697">
        <v>0</v>
      </c>
      <c r="M66" s="697"/>
      <c r="N66" s="697">
        <v>0</v>
      </c>
      <c r="O66" s="697"/>
      <c r="P66" s="697"/>
      <c r="Q66" s="697"/>
    </row>
    <row r="67" spans="1:17" x14ac:dyDescent="0.2">
      <c r="A67" s="696" t="s">
        <v>320</v>
      </c>
      <c r="B67" s="697">
        <v>1676</v>
      </c>
      <c r="C67" s="697">
        <v>942</v>
      </c>
      <c r="D67" s="697">
        <v>848</v>
      </c>
      <c r="E67" s="697">
        <v>1276</v>
      </c>
      <c r="F67" s="697">
        <v>154</v>
      </c>
      <c r="G67" s="697">
        <v>150</v>
      </c>
      <c r="H67" s="697">
        <v>5046</v>
      </c>
      <c r="I67" s="697"/>
      <c r="J67" s="697">
        <v>1771</v>
      </c>
      <c r="K67" s="697">
        <v>648</v>
      </c>
      <c r="L67" s="697">
        <v>125</v>
      </c>
      <c r="M67" s="697"/>
      <c r="N67" s="697">
        <v>2544</v>
      </c>
      <c r="O67" s="697"/>
      <c r="P67" s="697"/>
      <c r="Q67" s="697"/>
    </row>
    <row r="68" spans="1:17" x14ac:dyDescent="0.2">
      <c r="A68" s="695" t="s">
        <v>39</v>
      </c>
      <c r="B68" s="697"/>
      <c r="C68" s="697"/>
      <c r="D68" s="697"/>
      <c r="E68" s="697"/>
      <c r="F68" s="697"/>
      <c r="G68" s="697"/>
      <c r="H68" s="697"/>
      <c r="I68" s="697"/>
      <c r="J68" s="697"/>
      <c r="K68" s="697"/>
      <c r="L68" s="697"/>
      <c r="M68" s="697"/>
      <c r="N68" s="697"/>
      <c r="O68" s="697"/>
      <c r="P68" s="697"/>
      <c r="Q68" s="697"/>
    </row>
    <row r="69" spans="1:17" x14ac:dyDescent="0.2">
      <c r="A69" s="696" t="s">
        <v>296</v>
      </c>
      <c r="B69" s="697">
        <v>364</v>
      </c>
      <c r="C69" s="697">
        <v>247</v>
      </c>
      <c r="D69" s="697"/>
      <c r="E69" s="697">
        <v>82</v>
      </c>
      <c r="F69" s="697">
        <v>33</v>
      </c>
      <c r="G69" s="697"/>
      <c r="H69" s="697">
        <v>726</v>
      </c>
      <c r="I69" s="697"/>
      <c r="J69" s="697">
        <v>0</v>
      </c>
      <c r="K69" s="697">
        <v>0</v>
      </c>
      <c r="L69" s="697">
        <v>0</v>
      </c>
      <c r="M69" s="697"/>
      <c r="N69" s="697">
        <v>0</v>
      </c>
      <c r="O69" s="697"/>
      <c r="P69" s="697"/>
      <c r="Q69" s="697"/>
    </row>
    <row r="70" spans="1:17" x14ac:dyDescent="0.2">
      <c r="A70" s="696" t="s">
        <v>300</v>
      </c>
      <c r="B70" s="697">
        <v>432</v>
      </c>
      <c r="C70" s="697">
        <v>325</v>
      </c>
      <c r="D70" s="697"/>
      <c r="E70" s="697">
        <v>115</v>
      </c>
      <c r="F70" s="697">
        <v>18</v>
      </c>
      <c r="G70" s="697"/>
      <c r="H70" s="697">
        <v>890</v>
      </c>
      <c r="I70" s="697"/>
      <c r="J70" s="697">
        <v>0</v>
      </c>
      <c r="K70" s="697">
        <v>0</v>
      </c>
      <c r="L70" s="697">
        <v>0</v>
      </c>
      <c r="M70" s="697"/>
      <c r="N70" s="697">
        <v>0</v>
      </c>
      <c r="O70" s="697"/>
      <c r="P70" s="697"/>
      <c r="Q70" s="697"/>
    </row>
    <row r="71" spans="1:17" x14ac:dyDescent="0.2">
      <c r="A71" s="696" t="s">
        <v>304</v>
      </c>
      <c r="B71" s="697">
        <v>470</v>
      </c>
      <c r="C71" s="697">
        <v>365</v>
      </c>
      <c r="D71" s="697"/>
      <c r="E71" s="697">
        <v>169</v>
      </c>
      <c r="F71" s="697">
        <v>31</v>
      </c>
      <c r="G71" s="697"/>
      <c r="H71" s="697">
        <v>1035</v>
      </c>
      <c r="I71" s="697"/>
      <c r="J71" s="697">
        <v>0</v>
      </c>
      <c r="K71" s="697">
        <v>0</v>
      </c>
      <c r="L71" s="697">
        <v>0</v>
      </c>
      <c r="M71" s="697"/>
      <c r="N71" s="697">
        <v>0</v>
      </c>
      <c r="O71" s="697"/>
      <c r="P71" s="697"/>
      <c r="Q71" s="697"/>
    </row>
    <row r="72" spans="1:17" x14ac:dyDescent="0.2">
      <c r="A72" s="696" t="s">
        <v>308</v>
      </c>
      <c r="B72" s="697">
        <v>295</v>
      </c>
      <c r="C72" s="697">
        <v>215</v>
      </c>
      <c r="D72" s="697"/>
      <c r="E72" s="697">
        <v>119</v>
      </c>
      <c r="F72" s="697">
        <v>48</v>
      </c>
      <c r="G72" s="697"/>
      <c r="H72" s="697">
        <v>677</v>
      </c>
      <c r="I72" s="697"/>
      <c r="J72" s="697">
        <v>0</v>
      </c>
      <c r="K72" s="697">
        <v>0</v>
      </c>
      <c r="L72" s="697">
        <v>0</v>
      </c>
      <c r="M72" s="697"/>
      <c r="N72" s="697">
        <v>0</v>
      </c>
      <c r="O72" s="697"/>
      <c r="P72" s="697"/>
      <c r="Q72" s="697"/>
    </row>
    <row r="73" spans="1:17" x14ac:dyDescent="0.2">
      <c r="A73" s="696" t="s">
        <v>312</v>
      </c>
      <c r="B73" s="697">
        <v>57</v>
      </c>
      <c r="C73" s="697">
        <v>23</v>
      </c>
      <c r="D73" s="697"/>
      <c r="E73" s="697">
        <v>0</v>
      </c>
      <c r="F73" s="697">
        <v>0</v>
      </c>
      <c r="G73" s="697"/>
      <c r="H73" s="697">
        <v>80</v>
      </c>
      <c r="I73" s="697"/>
      <c r="J73" s="697">
        <v>0</v>
      </c>
      <c r="K73" s="697">
        <v>0</v>
      </c>
      <c r="L73" s="697">
        <v>0</v>
      </c>
      <c r="M73" s="697"/>
      <c r="N73" s="697">
        <v>0</v>
      </c>
      <c r="O73" s="697"/>
      <c r="P73" s="697"/>
      <c r="Q73" s="697"/>
    </row>
    <row r="74" spans="1:17" x14ac:dyDescent="0.2">
      <c r="A74" s="696" t="s">
        <v>316</v>
      </c>
      <c r="B74" s="697">
        <v>0</v>
      </c>
      <c r="C74" s="697">
        <v>0</v>
      </c>
      <c r="D74" s="697"/>
      <c r="E74" s="697">
        <v>0</v>
      </c>
      <c r="F74" s="697">
        <v>0</v>
      </c>
      <c r="G74" s="697"/>
      <c r="H74" s="697">
        <v>0</v>
      </c>
      <c r="I74" s="697"/>
      <c r="J74" s="697">
        <v>1157</v>
      </c>
      <c r="K74" s="697">
        <v>1199.0999999999999</v>
      </c>
      <c r="L74" s="697">
        <v>149</v>
      </c>
      <c r="M74" s="697"/>
      <c r="N74" s="697">
        <v>2505.1</v>
      </c>
      <c r="O74" s="697"/>
      <c r="P74" s="697"/>
      <c r="Q74" s="697"/>
    </row>
    <row r="75" spans="1:17" x14ac:dyDescent="0.2">
      <c r="A75" s="696" t="s">
        <v>320</v>
      </c>
      <c r="B75" s="697">
        <v>1618</v>
      </c>
      <c r="C75" s="697">
        <v>1175</v>
      </c>
      <c r="D75" s="697"/>
      <c r="E75" s="697">
        <v>485</v>
      </c>
      <c r="F75" s="697">
        <v>130</v>
      </c>
      <c r="G75" s="697"/>
      <c r="H75" s="697">
        <v>3408</v>
      </c>
      <c r="I75" s="697"/>
      <c r="J75" s="697">
        <v>1157</v>
      </c>
      <c r="K75" s="697">
        <v>1199.0999999999999</v>
      </c>
      <c r="L75" s="697">
        <v>149</v>
      </c>
      <c r="M75" s="697"/>
      <c r="N75" s="697">
        <v>2505.1</v>
      </c>
      <c r="O75" s="697"/>
      <c r="P75" s="697"/>
      <c r="Q75" s="697"/>
    </row>
    <row r="76" spans="1:17" x14ac:dyDescent="0.2">
      <c r="A76" s="695" t="s">
        <v>40</v>
      </c>
      <c r="B76" s="697"/>
      <c r="C76" s="697"/>
      <c r="D76" s="697"/>
      <c r="E76" s="697"/>
      <c r="F76" s="697"/>
      <c r="G76" s="697"/>
      <c r="H76" s="697"/>
      <c r="I76" s="697"/>
      <c r="J76" s="697"/>
      <c r="K76" s="697"/>
      <c r="L76" s="697"/>
      <c r="M76" s="697"/>
      <c r="N76" s="697"/>
      <c r="O76" s="697"/>
      <c r="P76" s="697"/>
      <c r="Q76" s="697"/>
    </row>
    <row r="77" spans="1:17" x14ac:dyDescent="0.2">
      <c r="A77" s="696" t="s">
        <v>296</v>
      </c>
      <c r="B77" s="697">
        <v>1206</v>
      </c>
      <c r="C77" s="697">
        <v>405</v>
      </c>
      <c r="D77" s="697">
        <v>663</v>
      </c>
      <c r="E77" s="697">
        <v>56</v>
      </c>
      <c r="F77" s="697">
        <v>118</v>
      </c>
      <c r="G77" s="697">
        <v>110</v>
      </c>
      <c r="H77" s="697">
        <v>2558</v>
      </c>
      <c r="I77" s="697"/>
      <c r="J77" s="697">
        <v>0</v>
      </c>
      <c r="K77" s="697">
        <v>0</v>
      </c>
      <c r="L77" s="697">
        <v>0</v>
      </c>
      <c r="M77" s="697"/>
      <c r="N77" s="697">
        <v>0</v>
      </c>
      <c r="O77" s="697"/>
      <c r="P77" s="697"/>
      <c r="Q77" s="697"/>
    </row>
    <row r="78" spans="1:17" x14ac:dyDescent="0.2">
      <c r="A78" s="696" t="s">
        <v>300</v>
      </c>
      <c r="B78" s="697">
        <v>957</v>
      </c>
      <c r="C78" s="697">
        <v>716</v>
      </c>
      <c r="D78" s="697">
        <v>835</v>
      </c>
      <c r="E78" s="697">
        <v>100</v>
      </c>
      <c r="F78" s="697">
        <v>175</v>
      </c>
      <c r="G78" s="697">
        <v>102</v>
      </c>
      <c r="H78" s="697">
        <v>2885</v>
      </c>
      <c r="I78" s="697"/>
      <c r="J78" s="697">
        <v>0</v>
      </c>
      <c r="K78" s="697">
        <v>0</v>
      </c>
      <c r="L78" s="697">
        <v>0</v>
      </c>
      <c r="M78" s="697"/>
      <c r="N78" s="697">
        <v>0</v>
      </c>
      <c r="O78" s="697"/>
      <c r="P78" s="697"/>
      <c r="Q78" s="697"/>
    </row>
    <row r="79" spans="1:17" x14ac:dyDescent="0.2">
      <c r="A79" s="696" t="s">
        <v>304</v>
      </c>
      <c r="B79" s="697">
        <v>677</v>
      </c>
      <c r="C79" s="697">
        <v>453</v>
      </c>
      <c r="D79" s="697">
        <v>662</v>
      </c>
      <c r="E79" s="697">
        <v>87</v>
      </c>
      <c r="F79" s="697">
        <v>213</v>
      </c>
      <c r="G79" s="697">
        <v>73</v>
      </c>
      <c r="H79" s="697">
        <v>2165</v>
      </c>
      <c r="I79" s="697"/>
      <c r="J79" s="697">
        <v>0</v>
      </c>
      <c r="K79" s="697">
        <v>0</v>
      </c>
      <c r="L79" s="697">
        <v>0</v>
      </c>
      <c r="M79" s="697"/>
      <c r="N79" s="697">
        <v>0</v>
      </c>
      <c r="O79" s="697"/>
      <c r="P79" s="697"/>
      <c r="Q79" s="697"/>
    </row>
    <row r="80" spans="1:17" x14ac:dyDescent="0.2">
      <c r="A80" s="696" t="s">
        <v>308</v>
      </c>
      <c r="B80" s="697">
        <v>69</v>
      </c>
      <c r="C80" s="697">
        <v>8</v>
      </c>
      <c r="D80" s="697">
        <v>32</v>
      </c>
      <c r="E80" s="697">
        <v>4</v>
      </c>
      <c r="F80" s="697">
        <v>56</v>
      </c>
      <c r="G80" s="697">
        <v>1</v>
      </c>
      <c r="H80" s="697">
        <v>170</v>
      </c>
      <c r="I80" s="697"/>
      <c r="J80" s="697">
        <v>0</v>
      </c>
      <c r="K80" s="697">
        <v>794</v>
      </c>
      <c r="L80" s="697">
        <v>311</v>
      </c>
      <c r="M80" s="697"/>
      <c r="N80" s="697">
        <v>1105</v>
      </c>
      <c r="O80" s="697"/>
      <c r="P80" s="697"/>
      <c r="Q80" s="697"/>
    </row>
    <row r="81" spans="1:17" x14ac:dyDescent="0.2">
      <c r="A81" s="696" t="s">
        <v>312</v>
      </c>
      <c r="B81" s="697">
        <v>882</v>
      </c>
      <c r="C81" s="697">
        <v>568</v>
      </c>
      <c r="D81" s="697">
        <v>616</v>
      </c>
      <c r="E81" s="697">
        <v>30</v>
      </c>
      <c r="F81" s="697">
        <v>113</v>
      </c>
      <c r="G81" s="697">
        <v>80</v>
      </c>
      <c r="H81" s="697">
        <v>2289</v>
      </c>
      <c r="I81" s="697"/>
      <c r="J81" s="697">
        <v>2144</v>
      </c>
      <c r="K81" s="697">
        <v>1649</v>
      </c>
      <c r="L81" s="697">
        <v>861</v>
      </c>
      <c r="M81" s="697"/>
      <c r="N81" s="697">
        <v>4654</v>
      </c>
      <c r="O81" s="697"/>
      <c r="P81" s="697"/>
      <c r="Q81" s="697"/>
    </row>
    <row r="82" spans="1:17" x14ac:dyDescent="0.2">
      <c r="A82" s="696" t="s">
        <v>316</v>
      </c>
      <c r="B82" s="697">
        <v>0</v>
      </c>
      <c r="C82" s="697">
        <v>0</v>
      </c>
      <c r="D82" s="697">
        <v>0</v>
      </c>
      <c r="E82" s="697">
        <v>0</v>
      </c>
      <c r="F82" s="697">
        <v>0</v>
      </c>
      <c r="G82" s="697">
        <v>0</v>
      </c>
      <c r="H82" s="697">
        <v>0</v>
      </c>
      <c r="I82" s="697"/>
      <c r="J82" s="697">
        <v>538</v>
      </c>
      <c r="K82" s="697">
        <v>0</v>
      </c>
      <c r="L82" s="697">
        <v>0</v>
      </c>
      <c r="M82" s="697"/>
      <c r="N82" s="697">
        <v>538</v>
      </c>
      <c r="O82" s="697"/>
      <c r="P82" s="697"/>
      <c r="Q82" s="697"/>
    </row>
    <row r="83" spans="1:17" x14ac:dyDescent="0.2">
      <c r="A83" s="696" t="s">
        <v>320</v>
      </c>
      <c r="B83" s="697">
        <v>3791</v>
      </c>
      <c r="C83" s="697">
        <v>2150</v>
      </c>
      <c r="D83" s="697">
        <v>2808</v>
      </c>
      <c r="E83" s="697">
        <v>277</v>
      </c>
      <c r="F83" s="697">
        <v>675</v>
      </c>
      <c r="G83" s="697">
        <v>366</v>
      </c>
      <c r="H83" s="697">
        <v>10067</v>
      </c>
      <c r="I83" s="697"/>
      <c r="J83" s="697">
        <v>2682</v>
      </c>
      <c r="K83" s="697">
        <v>2443</v>
      </c>
      <c r="L83" s="697">
        <v>1172</v>
      </c>
      <c r="M83" s="697"/>
      <c r="N83" s="697">
        <v>6297</v>
      </c>
      <c r="O83" s="697"/>
      <c r="P83" s="697"/>
      <c r="Q83" s="697"/>
    </row>
    <row r="84" spans="1:17" x14ac:dyDescent="0.2">
      <c r="A84" s="695" t="s">
        <v>41</v>
      </c>
      <c r="B84" s="697"/>
      <c r="C84" s="697"/>
      <c r="D84" s="697"/>
      <c r="E84" s="697"/>
      <c r="F84" s="697"/>
      <c r="G84" s="697"/>
      <c r="H84" s="697"/>
      <c r="I84" s="697"/>
      <c r="J84" s="697"/>
      <c r="K84" s="697"/>
      <c r="L84" s="697"/>
      <c r="M84" s="697"/>
      <c r="N84" s="697"/>
      <c r="O84" s="697"/>
      <c r="P84" s="697"/>
      <c r="Q84" s="697"/>
    </row>
    <row r="85" spans="1:17" x14ac:dyDescent="0.2">
      <c r="A85" s="696" t="s">
        <v>296</v>
      </c>
      <c r="B85" s="697">
        <v>720</v>
      </c>
      <c r="C85" s="697"/>
      <c r="D85" s="697">
        <v>228</v>
      </c>
      <c r="E85" s="697">
        <v>53</v>
      </c>
      <c r="F85" s="697">
        <v>148</v>
      </c>
      <c r="G85" s="697">
        <v>40</v>
      </c>
      <c r="H85" s="697">
        <v>1189</v>
      </c>
      <c r="I85" s="697">
        <v>0</v>
      </c>
      <c r="J85" s="697">
        <v>0</v>
      </c>
      <c r="K85" s="697">
        <v>0</v>
      </c>
      <c r="L85" s="697">
        <v>0</v>
      </c>
      <c r="M85" s="697"/>
      <c r="N85" s="697">
        <v>0</v>
      </c>
      <c r="O85" s="697">
        <v>0</v>
      </c>
      <c r="P85" s="697">
        <v>0</v>
      </c>
      <c r="Q85" s="697">
        <v>0</v>
      </c>
    </row>
    <row r="86" spans="1:17" x14ac:dyDescent="0.2">
      <c r="A86" s="696" t="s">
        <v>300</v>
      </c>
      <c r="B86" s="697">
        <v>588</v>
      </c>
      <c r="C86" s="697"/>
      <c r="D86" s="697">
        <v>164</v>
      </c>
      <c r="E86" s="697">
        <v>25</v>
      </c>
      <c r="F86" s="697">
        <v>152</v>
      </c>
      <c r="G86" s="697">
        <v>51</v>
      </c>
      <c r="H86" s="697">
        <v>980</v>
      </c>
      <c r="I86" s="697">
        <v>0</v>
      </c>
      <c r="J86" s="697">
        <v>0</v>
      </c>
      <c r="K86" s="697">
        <v>0</v>
      </c>
      <c r="L86" s="697">
        <v>0</v>
      </c>
      <c r="M86" s="697"/>
      <c r="N86" s="697">
        <v>0</v>
      </c>
      <c r="O86" s="697">
        <v>0</v>
      </c>
      <c r="P86" s="697">
        <v>0</v>
      </c>
      <c r="Q86" s="697">
        <v>0</v>
      </c>
    </row>
    <row r="87" spans="1:17" x14ac:dyDescent="0.2">
      <c r="A87" s="696" t="s">
        <v>304</v>
      </c>
      <c r="B87" s="697">
        <v>456</v>
      </c>
      <c r="C87" s="697"/>
      <c r="D87" s="697">
        <v>224</v>
      </c>
      <c r="E87" s="697">
        <v>33</v>
      </c>
      <c r="F87" s="697">
        <v>236</v>
      </c>
      <c r="G87" s="697">
        <v>64</v>
      </c>
      <c r="H87" s="697">
        <v>1013</v>
      </c>
      <c r="I87" s="697">
        <v>0</v>
      </c>
      <c r="J87" s="697">
        <v>0</v>
      </c>
      <c r="K87" s="697">
        <v>0</v>
      </c>
      <c r="L87" s="697">
        <v>0</v>
      </c>
      <c r="M87" s="697"/>
      <c r="N87" s="697">
        <v>0</v>
      </c>
      <c r="O87" s="697">
        <v>0</v>
      </c>
      <c r="P87" s="697">
        <v>0</v>
      </c>
      <c r="Q87" s="697">
        <v>0</v>
      </c>
    </row>
    <row r="88" spans="1:17" x14ac:dyDescent="0.2">
      <c r="A88" s="696" t="s">
        <v>308</v>
      </c>
      <c r="B88" s="697">
        <v>317</v>
      </c>
      <c r="C88" s="697"/>
      <c r="D88" s="697">
        <v>166</v>
      </c>
      <c r="E88" s="697">
        <v>14</v>
      </c>
      <c r="F88" s="697">
        <v>246</v>
      </c>
      <c r="G88" s="697">
        <v>51</v>
      </c>
      <c r="H88" s="697">
        <v>794</v>
      </c>
      <c r="I88" s="697">
        <v>0</v>
      </c>
      <c r="J88" s="697">
        <v>0</v>
      </c>
      <c r="K88" s="697">
        <v>0</v>
      </c>
      <c r="L88" s="697">
        <v>0</v>
      </c>
      <c r="M88" s="697"/>
      <c r="N88" s="697">
        <v>0</v>
      </c>
      <c r="O88" s="697">
        <v>0</v>
      </c>
      <c r="P88" s="697">
        <v>0</v>
      </c>
      <c r="Q88" s="697">
        <v>0</v>
      </c>
    </row>
    <row r="89" spans="1:17" x14ac:dyDescent="0.2">
      <c r="A89" s="696" t="s">
        <v>312</v>
      </c>
      <c r="B89" s="697">
        <v>0</v>
      </c>
      <c r="C89" s="697"/>
      <c r="D89" s="697">
        <v>0</v>
      </c>
      <c r="E89" s="697">
        <v>0</v>
      </c>
      <c r="F89" s="697">
        <v>0</v>
      </c>
      <c r="G89" s="697">
        <v>0</v>
      </c>
      <c r="H89" s="697">
        <v>0</v>
      </c>
      <c r="I89" s="697">
        <v>0</v>
      </c>
      <c r="J89" s="697">
        <v>0</v>
      </c>
      <c r="K89" s="697">
        <v>0</v>
      </c>
      <c r="L89" s="697">
        <v>0</v>
      </c>
      <c r="M89" s="697"/>
      <c r="N89" s="697">
        <v>0</v>
      </c>
      <c r="O89" s="697">
        <v>0</v>
      </c>
      <c r="P89" s="697">
        <v>0</v>
      </c>
      <c r="Q89" s="697">
        <v>0</v>
      </c>
    </row>
    <row r="90" spans="1:17" x14ac:dyDescent="0.2">
      <c r="A90" s="696" t="s">
        <v>316</v>
      </c>
      <c r="B90" s="697">
        <v>0</v>
      </c>
      <c r="C90" s="697"/>
      <c r="D90" s="697">
        <v>0</v>
      </c>
      <c r="E90" s="697">
        <v>0</v>
      </c>
      <c r="F90" s="697">
        <v>0</v>
      </c>
      <c r="G90" s="697">
        <v>0</v>
      </c>
      <c r="H90" s="697">
        <v>0</v>
      </c>
      <c r="I90" s="697">
        <v>210</v>
      </c>
      <c r="J90" s="697">
        <v>576</v>
      </c>
      <c r="K90" s="697">
        <v>154</v>
      </c>
      <c r="L90" s="697">
        <v>326</v>
      </c>
      <c r="M90" s="697"/>
      <c r="N90" s="697">
        <v>1266</v>
      </c>
      <c r="O90" s="697">
        <v>209</v>
      </c>
      <c r="P90" s="697">
        <v>876</v>
      </c>
      <c r="Q90" s="697">
        <v>1085</v>
      </c>
    </row>
    <row r="91" spans="1:17" x14ac:dyDescent="0.2">
      <c r="A91" s="696" t="s">
        <v>320</v>
      </c>
      <c r="B91" s="697">
        <v>2081</v>
      </c>
      <c r="C91" s="697"/>
      <c r="D91" s="697">
        <v>782</v>
      </c>
      <c r="E91" s="697">
        <v>125</v>
      </c>
      <c r="F91" s="697">
        <v>782</v>
      </c>
      <c r="G91" s="697">
        <v>206</v>
      </c>
      <c r="H91" s="697">
        <v>3976</v>
      </c>
      <c r="I91" s="697">
        <v>210</v>
      </c>
      <c r="J91" s="697">
        <v>576</v>
      </c>
      <c r="K91" s="697">
        <v>154</v>
      </c>
      <c r="L91" s="697">
        <v>326</v>
      </c>
      <c r="M91" s="697"/>
      <c r="N91" s="697">
        <v>1266</v>
      </c>
      <c r="O91" s="697">
        <v>209</v>
      </c>
      <c r="P91" s="697">
        <v>876</v>
      </c>
      <c r="Q91" s="697">
        <v>1085</v>
      </c>
    </row>
    <row r="92" spans="1:17" x14ac:dyDescent="0.2">
      <c r="A92" s="695" t="s">
        <v>21</v>
      </c>
      <c r="B92" s="697"/>
      <c r="C92" s="697"/>
      <c r="D92" s="697"/>
      <c r="E92" s="697"/>
      <c r="F92" s="697"/>
      <c r="G92" s="697"/>
      <c r="H92" s="697"/>
      <c r="I92" s="697"/>
      <c r="J92" s="697"/>
      <c r="K92" s="697"/>
      <c r="L92" s="697"/>
      <c r="M92" s="697"/>
      <c r="N92" s="697"/>
      <c r="O92" s="697"/>
      <c r="P92" s="697"/>
      <c r="Q92" s="697"/>
    </row>
    <row r="93" spans="1:17" x14ac:dyDescent="0.2">
      <c r="A93" s="696" t="s">
        <v>296</v>
      </c>
      <c r="B93" s="697">
        <v>637</v>
      </c>
      <c r="C93" s="697"/>
      <c r="D93" s="697">
        <v>216</v>
      </c>
      <c r="E93" s="697">
        <v>55</v>
      </c>
      <c r="F93" s="697">
        <v>170</v>
      </c>
      <c r="G93" s="697">
        <v>69</v>
      </c>
      <c r="H93" s="697">
        <v>1147</v>
      </c>
      <c r="I93" s="697"/>
      <c r="J93" s="697">
        <v>0</v>
      </c>
      <c r="K93" s="697">
        <v>0</v>
      </c>
      <c r="L93" s="697">
        <v>15</v>
      </c>
      <c r="M93" s="697"/>
      <c r="N93" s="697">
        <v>15</v>
      </c>
      <c r="O93" s="697"/>
      <c r="P93" s="697"/>
      <c r="Q93" s="697"/>
    </row>
    <row r="94" spans="1:17" x14ac:dyDescent="0.2">
      <c r="A94" s="696" t="s">
        <v>300</v>
      </c>
      <c r="B94" s="697">
        <v>653</v>
      </c>
      <c r="C94" s="697"/>
      <c r="D94" s="697">
        <v>265</v>
      </c>
      <c r="E94" s="697">
        <v>61</v>
      </c>
      <c r="F94" s="697">
        <v>217</v>
      </c>
      <c r="G94" s="697">
        <v>129</v>
      </c>
      <c r="H94" s="697">
        <v>1325</v>
      </c>
      <c r="I94" s="697"/>
      <c r="J94" s="697">
        <v>0</v>
      </c>
      <c r="K94" s="697">
        <v>0</v>
      </c>
      <c r="L94" s="697">
        <v>21</v>
      </c>
      <c r="M94" s="697"/>
      <c r="N94" s="697">
        <v>21</v>
      </c>
      <c r="O94" s="697"/>
      <c r="P94" s="697"/>
      <c r="Q94" s="697"/>
    </row>
    <row r="95" spans="1:17" x14ac:dyDescent="0.2">
      <c r="A95" s="696" t="s">
        <v>304</v>
      </c>
      <c r="B95" s="697">
        <v>571</v>
      </c>
      <c r="C95" s="697"/>
      <c r="D95" s="697">
        <v>235</v>
      </c>
      <c r="E95" s="697">
        <v>50</v>
      </c>
      <c r="F95" s="697">
        <v>254</v>
      </c>
      <c r="G95" s="697">
        <v>175</v>
      </c>
      <c r="H95" s="697">
        <v>1285</v>
      </c>
      <c r="I95" s="697"/>
      <c r="J95" s="697">
        <v>0</v>
      </c>
      <c r="K95" s="697">
        <v>0</v>
      </c>
      <c r="L95" s="697">
        <v>33</v>
      </c>
      <c r="M95" s="697"/>
      <c r="N95" s="697">
        <v>33</v>
      </c>
      <c r="O95" s="697"/>
      <c r="P95" s="697"/>
      <c r="Q95" s="697"/>
    </row>
    <row r="96" spans="1:17" x14ac:dyDescent="0.2">
      <c r="A96" s="696" t="s">
        <v>308</v>
      </c>
      <c r="B96" s="697">
        <v>161</v>
      </c>
      <c r="C96" s="697"/>
      <c r="D96" s="697">
        <v>86</v>
      </c>
      <c r="E96" s="697">
        <v>16</v>
      </c>
      <c r="F96" s="697">
        <v>63</v>
      </c>
      <c r="G96" s="697">
        <v>158</v>
      </c>
      <c r="H96" s="697">
        <v>484</v>
      </c>
      <c r="I96" s="697"/>
      <c r="J96" s="697">
        <v>0</v>
      </c>
      <c r="K96" s="697">
        <v>0</v>
      </c>
      <c r="L96" s="697">
        <v>44</v>
      </c>
      <c r="M96" s="697"/>
      <c r="N96" s="697">
        <v>44</v>
      </c>
      <c r="O96" s="697"/>
      <c r="P96" s="697"/>
      <c r="Q96" s="697"/>
    </row>
    <row r="97" spans="1:17" x14ac:dyDescent="0.2">
      <c r="A97" s="696" t="s">
        <v>312</v>
      </c>
      <c r="B97" s="697">
        <v>254</v>
      </c>
      <c r="C97" s="697"/>
      <c r="D97" s="697">
        <v>1</v>
      </c>
      <c r="E97" s="697">
        <v>0</v>
      </c>
      <c r="F97" s="697">
        <v>91</v>
      </c>
      <c r="G97" s="697">
        <v>9</v>
      </c>
      <c r="H97" s="697">
        <v>355</v>
      </c>
      <c r="I97" s="697"/>
      <c r="J97" s="697">
        <v>1388</v>
      </c>
      <c r="K97" s="697">
        <v>471</v>
      </c>
      <c r="L97" s="697">
        <v>128</v>
      </c>
      <c r="M97" s="697"/>
      <c r="N97" s="697">
        <v>1987</v>
      </c>
      <c r="O97" s="697"/>
      <c r="P97" s="697"/>
      <c r="Q97" s="697"/>
    </row>
    <row r="98" spans="1:17" x14ac:dyDescent="0.2">
      <c r="A98" s="696" t="s">
        <v>316</v>
      </c>
      <c r="B98" s="697">
        <v>0</v>
      </c>
      <c r="C98" s="697"/>
      <c r="D98" s="697">
        <v>0</v>
      </c>
      <c r="E98" s="697">
        <v>0</v>
      </c>
      <c r="F98" s="697">
        <v>0</v>
      </c>
      <c r="G98" s="697">
        <v>0</v>
      </c>
      <c r="H98" s="697">
        <v>0</v>
      </c>
      <c r="I98" s="697"/>
      <c r="J98" s="697">
        <v>0</v>
      </c>
      <c r="K98" s="697">
        <v>0</v>
      </c>
      <c r="L98" s="697">
        <v>0</v>
      </c>
      <c r="M98" s="697"/>
      <c r="N98" s="697">
        <v>0</v>
      </c>
      <c r="O98" s="697"/>
      <c r="P98" s="697"/>
      <c r="Q98" s="697"/>
    </row>
    <row r="99" spans="1:17" x14ac:dyDescent="0.2">
      <c r="A99" s="696" t="s">
        <v>320</v>
      </c>
      <c r="B99" s="697">
        <v>2276</v>
      </c>
      <c r="C99" s="697"/>
      <c r="D99" s="697">
        <v>803</v>
      </c>
      <c r="E99" s="697">
        <v>182</v>
      </c>
      <c r="F99" s="697">
        <v>795</v>
      </c>
      <c r="G99" s="697">
        <v>540</v>
      </c>
      <c r="H99" s="697">
        <v>4596</v>
      </c>
      <c r="I99" s="697"/>
      <c r="J99" s="697">
        <v>1388</v>
      </c>
      <c r="K99" s="697">
        <v>471</v>
      </c>
      <c r="L99" s="697">
        <v>241</v>
      </c>
      <c r="M99" s="697"/>
      <c r="N99" s="697">
        <v>2100</v>
      </c>
      <c r="O99" s="697"/>
      <c r="P99" s="697"/>
      <c r="Q99" s="697"/>
    </row>
    <row r="100" spans="1:17" x14ac:dyDescent="0.2">
      <c r="A100" s="695" t="s">
        <v>42</v>
      </c>
      <c r="B100" s="697"/>
      <c r="C100" s="697"/>
      <c r="D100" s="697"/>
      <c r="E100" s="697"/>
      <c r="F100" s="697"/>
      <c r="G100" s="697"/>
      <c r="H100" s="697"/>
      <c r="I100" s="697"/>
      <c r="J100" s="697"/>
      <c r="K100" s="697"/>
      <c r="L100" s="697"/>
      <c r="M100" s="697"/>
      <c r="N100" s="697"/>
      <c r="O100" s="697"/>
      <c r="P100" s="697"/>
      <c r="Q100" s="697"/>
    </row>
    <row r="101" spans="1:17" x14ac:dyDescent="0.2">
      <c r="A101" s="696" t="s">
        <v>296</v>
      </c>
      <c r="B101" s="697">
        <v>790</v>
      </c>
      <c r="C101" s="697">
        <v>112</v>
      </c>
      <c r="D101" s="697">
        <v>868</v>
      </c>
      <c r="E101" s="697"/>
      <c r="F101" s="697">
        <v>69</v>
      </c>
      <c r="G101" s="697"/>
      <c r="H101" s="697">
        <v>1839</v>
      </c>
      <c r="I101" s="697"/>
      <c r="J101" s="697">
        <v>109</v>
      </c>
      <c r="K101" s="697">
        <v>98</v>
      </c>
      <c r="L101" s="697"/>
      <c r="M101" s="697"/>
      <c r="N101" s="697">
        <v>207</v>
      </c>
      <c r="O101" s="697">
        <v>0</v>
      </c>
      <c r="P101" s="697">
        <v>0</v>
      </c>
      <c r="Q101" s="697">
        <v>0</v>
      </c>
    </row>
    <row r="102" spans="1:17" x14ac:dyDescent="0.2">
      <c r="A102" s="696" t="s">
        <v>300</v>
      </c>
      <c r="B102" s="697">
        <v>708</v>
      </c>
      <c r="C102" s="697">
        <v>110</v>
      </c>
      <c r="D102" s="697">
        <v>651</v>
      </c>
      <c r="E102" s="697"/>
      <c r="F102" s="697">
        <v>61</v>
      </c>
      <c r="G102" s="697"/>
      <c r="H102" s="697">
        <v>1530</v>
      </c>
      <c r="I102" s="697"/>
      <c r="J102" s="697">
        <v>381</v>
      </c>
      <c r="K102" s="697">
        <v>373</v>
      </c>
      <c r="L102" s="697"/>
      <c r="M102" s="697"/>
      <c r="N102" s="697">
        <v>754</v>
      </c>
      <c r="O102" s="697">
        <v>0</v>
      </c>
      <c r="P102" s="697">
        <v>0</v>
      </c>
      <c r="Q102" s="697">
        <v>0</v>
      </c>
    </row>
    <row r="103" spans="1:17" x14ac:dyDescent="0.2">
      <c r="A103" s="696" t="s">
        <v>304</v>
      </c>
      <c r="B103" s="697">
        <v>587</v>
      </c>
      <c r="C103" s="697">
        <v>119</v>
      </c>
      <c r="D103" s="697">
        <v>661</v>
      </c>
      <c r="E103" s="697"/>
      <c r="F103" s="697">
        <v>77</v>
      </c>
      <c r="G103" s="697"/>
      <c r="H103" s="697">
        <v>1444</v>
      </c>
      <c r="I103" s="697"/>
      <c r="J103" s="697">
        <v>182</v>
      </c>
      <c r="K103" s="697">
        <v>181</v>
      </c>
      <c r="L103" s="697"/>
      <c r="M103" s="697"/>
      <c r="N103" s="697">
        <v>363</v>
      </c>
      <c r="O103" s="697">
        <v>0</v>
      </c>
      <c r="P103" s="697">
        <v>0</v>
      </c>
      <c r="Q103" s="697">
        <v>0</v>
      </c>
    </row>
    <row r="104" spans="1:17" x14ac:dyDescent="0.2">
      <c r="A104" s="696" t="s">
        <v>308</v>
      </c>
      <c r="B104" s="697">
        <v>166</v>
      </c>
      <c r="C104" s="697">
        <v>23</v>
      </c>
      <c r="D104" s="697">
        <v>238</v>
      </c>
      <c r="E104" s="697"/>
      <c r="F104" s="697">
        <v>16</v>
      </c>
      <c r="G104" s="697"/>
      <c r="H104" s="697">
        <v>443</v>
      </c>
      <c r="I104" s="697"/>
      <c r="J104" s="697">
        <v>311</v>
      </c>
      <c r="K104" s="697">
        <v>158</v>
      </c>
      <c r="L104" s="697"/>
      <c r="M104" s="697"/>
      <c r="N104" s="697">
        <v>469</v>
      </c>
      <c r="O104" s="697">
        <v>0</v>
      </c>
      <c r="P104" s="697">
        <v>0</v>
      </c>
      <c r="Q104" s="697">
        <v>0</v>
      </c>
    </row>
    <row r="105" spans="1:17" x14ac:dyDescent="0.2">
      <c r="A105" s="696" t="s">
        <v>312</v>
      </c>
      <c r="B105" s="697">
        <v>291</v>
      </c>
      <c r="C105" s="697">
        <v>25</v>
      </c>
      <c r="D105" s="697">
        <v>250</v>
      </c>
      <c r="E105" s="697"/>
      <c r="F105" s="697">
        <v>40</v>
      </c>
      <c r="G105" s="697"/>
      <c r="H105" s="697">
        <v>606</v>
      </c>
      <c r="I105" s="697"/>
      <c r="J105" s="697">
        <v>0</v>
      </c>
      <c r="K105" s="697">
        <v>0</v>
      </c>
      <c r="L105" s="697"/>
      <c r="M105" s="697"/>
      <c r="N105" s="697">
        <v>0</v>
      </c>
      <c r="O105" s="697">
        <v>0</v>
      </c>
      <c r="P105" s="697">
        <v>0</v>
      </c>
      <c r="Q105" s="697">
        <v>0</v>
      </c>
    </row>
    <row r="106" spans="1:17" x14ac:dyDescent="0.2">
      <c r="A106" s="696" t="s">
        <v>316</v>
      </c>
      <c r="B106" s="697">
        <v>0</v>
      </c>
      <c r="C106" s="697">
        <v>0</v>
      </c>
      <c r="D106" s="697">
        <v>0</v>
      </c>
      <c r="E106" s="697"/>
      <c r="F106" s="697">
        <v>0</v>
      </c>
      <c r="G106" s="697"/>
      <c r="H106" s="697">
        <v>0</v>
      </c>
      <c r="I106" s="697"/>
      <c r="J106" s="697">
        <v>0</v>
      </c>
      <c r="K106" s="697">
        <v>0</v>
      </c>
      <c r="L106" s="697"/>
      <c r="M106" s="697"/>
      <c r="N106" s="697">
        <v>0</v>
      </c>
      <c r="O106" s="697">
        <v>39</v>
      </c>
      <c r="P106" s="697">
        <v>434</v>
      </c>
      <c r="Q106" s="697">
        <v>473</v>
      </c>
    </row>
    <row r="107" spans="1:17" x14ac:dyDescent="0.2">
      <c r="A107" s="696" t="s">
        <v>320</v>
      </c>
      <c r="B107" s="697">
        <v>2542</v>
      </c>
      <c r="C107" s="697">
        <v>389</v>
      </c>
      <c r="D107" s="697">
        <v>2668</v>
      </c>
      <c r="E107" s="697"/>
      <c r="F107" s="697">
        <v>263</v>
      </c>
      <c r="G107" s="697"/>
      <c r="H107" s="697">
        <v>5862</v>
      </c>
      <c r="I107" s="697"/>
      <c r="J107" s="697">
        <v>983</v>
      </c>
      <c r="K107" s="697">
        <v>810</v>
      </c>
      <c r="L107" s="697"/>
      <c r="M107" s="697"/>
      <c r="N107" s="697">
        <v>1793</v>
      </c>
      <c r="O107" s="697">
        <v>39</v>
      </c>
      <c r="P107" s="697">
        <v>434</v>
      </c>
      <c r="Q107" s="697">
        <v>473</v>
      </c>
    </row>
    <row r="108" spans="1:17" x14ac:dyDescent="0.2">
      <c r="A108" s="695" t="s">
        <v>43</v>
      </c>
      <c r="B108" s="697"/>
      <c r="C108" s="697"/>
      <c r="D108" s="697"/>
      <c r="E108" s="697"/>
      <c r="F108" s="697"/>
      <c r="G108" s="697"/>
      <c r="H108" s="697"/>
      <c r="I108" s="697"/>
      <c r="J108" s="697"/>
      <c r="K108" s="697"/>
      <c r="L108" s="697"/>
      <c r="M108" s="697"/>
      <c r="N108" s="697"/>
      <c r="O108" s="697"/>
      <c r="P108" s="697"/>
      <c r="Q108" s="697"/>
    </row>
    <row r="109" spans="1:17" x14ac:dyDescent="0.2">
      <c r="A109" s="696" t="s">
        <v>296</v>
      </c>
      <c r="B109" s="697">
        <v>3197</v>
      </c>
      <c r="C109" s="697">
        <v>394</v>
      </c>
      <c r="D109" s="697">
        <v>1618</v>
      </c>
      <c r="E109" s="697">
        <v>41</v>
      </c>
      <c r="F109" s="697">
        <v>56</v>
      </c>
      <c r="G109" s="697">
        <v>23</v>
      </c>
      <c r="H109" s="697">
        <v>5329</v>
      </c>
      <c r="I109" s="697">
        <v>68</v>
      </c>
      <c r="J109" s="697">
        <v>2380</v>
      </c>
      <c r="K109" s="697">
        <v>484</v>
      </c>
      <c r="L109" s="697">
        <v>59</v>
      </c>
      <c r="M109" s="697"/>
      <c r="N109" s="697">
        <v>2991</v>
      </c>
      <c r="O109" s="697"/>
      <c r="P109" s="697"/>
      <c r="Q109" s="697"/>
    </row>
    <row r="110" spans="1:17" x14ac:dyDescent="0.2">
      <c r="A110" s="696" t="s">
        <v>300</v>
      </c>
      <c r="B110" s="697">
        <v>2441</v>
      </c>
      <c r="C110" s="697">
        <v>472</v>
      </c>
      <c r="D110" s="697">
        <v>1889</v>
      </c>
      <c r="E110" s="697">
        <v>53</v>
      </c>
      <c r="F110" s="697">
        <v>109</v>
      </c>
      <c r="G110" s="697">
        <v>15</v>
      </c>
      <c r="H110" s="697">
        <v>4979</v>
      </c>
      <c r="I110" s="697">
        <v>71</v>
      </c>
      <c r="J110" s="697">
        <v>833</v>
      </c>
      <c r="K110" s="697">
        <v>154</v>
      </c>
      <c r="L110" s="697">
        <v>24</v>
      </c>
      <c r="M110" s="697"/>
      <c r="N110" s="697">
        <v>1082</v>
      </c>
      <c r="O110" s="697"/>
      <c r="P110" s="697"/>
      <c r="Q110" s="697"/>
    </row>
    <row r="111" spans="1:17" x14ac:dyDescent="0.2">
      <c r="A111" s="696" t="s">
        <v>304</v>
      </c>
      <c r="B111" s="697">
        <v>1801</v>
      </c>
      <c r="C111" s="697">
        <v>387</v>
      </c>
      <c r="D111" s="697">
        <v>2004</v>
      </c>
      <c r="E111" s="697">
        <v>57</v>
      </c>
      <c r="F111" s="697">
        <v>81</v>
      </c>
      <c r="G111" s="697">
        <v>17</v>
      </c>
      <c r="H111" s="697">
        <v>4347</v>
      </c>
      <c r="I111" s="697">
        <v>73</v>
      </c>
      <c r="J111" s="697">
        <v>772</v>
      </c>
      <c r="K111" s="697">
        <v>143</v>
      </c>
      <c r="L111" s="697">
        <v>35</v>
      </c>
      <c r="M111" s="697"/>
      <c r="N111" s="697">
        <v>1023</v>
      </c>
      <c r="O111" s="697"/>
      <c r="P111" s="697"/>
      <c r="Q111" s="697"/>
    </row>
    <row r="112" spans="1:17" x14ac:dyDescent="0.2">
      <c r="A112" s="696" t="s">
        <v>308</v>
      </c>
      <c r="B112" s="697">
        <v>350</v>
      </c>
      <c r="C112" s="697">
        <v>11</v>
      </c>
      <c r="D112" s="697">
        <v>572</v>
      </c>
      <c r="E112" s="697">
        <v>16</v>
      </c>
      <c r="F112" s="697">
        <v>1</v>
      </c>
      <c r="G112" s="697">
        <v>31</v>
      </c>
      <c r="H112" s="697">
        <v>981</v>
      </c>
      <c r="I112" s="697">
        <v>512</v>
      </c>
      <c r="J112" s="697">
        <v>2414</v>
      </c>
      <c r="K112" s="697">
        <v>956</v>
      </c>
      <c r="L112" s="697">
        <v>283</v>
      </c>
      <c r="M112" s="697"/>
      <c r="N112" s="697">
        <v>4165</v>
      </c>
      <c r="O112" s="697"/>
      <c r="P112" s="697"/>
      <c r="Q112" s="697"/>
    </row>
    <row r="113" spans="1:17" x14ac:dyDescent="0.2">
      <c r="A113" s="696" t="s">
        <v>312</v>
      </c>
      <c r="B113" s="697">
        <v>1974</v>
      </c>
      <c r="C113" s="697">
        <v>519</v>
      </c>
      <c r="D113" s="697">
        <v>1490</v>
      </c>
      <c r="E113" s="697">
        <v>20</v>
      </c>
      <c r="F113" s="697">
        <v>81</v>
      </c>
      <c r="G113" s="697">
        <v>13</v>
      </c>
      <c r="H113" s="697">
        <v>4097</v>
      </c>
      <c r="I113" s="697">
        <v>0</v>
      </c>
      <c r="J113" s="697">
        <v>68</v>
      </c>
      <c r="K113" s="697">
        <v>0</v>
      </c>
      <c r="L113" s="697">
        <v>0</v>
      </c>
      <c r="M113" s="697"/>
      <c r="N113" s="697">
        <v>68</v>
      </c>
      <c r="O113" s="697"/>
      <c r="P113" s="697"/>
      <c r="Q113" s="697"/>
    </row>
    <row r="114" spans="1:17" x14ac:dyDescent="0.2">
      <c r="A114" s="696" t="s">
        <v>316</v>
      </c>
      <c r="B114" s="697">
        <v>0</v>
      </c>
      <c r="C114" s="697">
        <v>0</v>
      </c>
      <c r="D114" s="697">
        <v>0</v>
      </c>
      <c r="E114" s="697">
        <v>0</v>
      </c>
      <c r="F114" s="697">
        <v>0</v>
      </c>
      <c r="G114" s="697">
        <v>0</v>
      </c>
      <c r="H114" s="697">
        <v>0</v>
      </c>
      <c r="I114" s="697">
        <v>1</v>
      </c>
      <c r="J114" s="697">
        <v>1186</v>
      </c>
      <c r="K114" s="697">
        <v>674</v>
      </c>
      <c r="L114" s="697">
        <v>0</v>
      </c>
      <c r="M114" s="697"/>
      <c r="N114" s="697">
        <v>1861</v>
      </c>
      <c r="O114" s="697"/>
      <c r="P114" s="697"/>
      <c r="Q114" s="697"/>
    </row>
    <row r="115" spans="1:17" x14ac:dyDescent="0.2">
      <c r="A115" s="696" t="s">
        <v>320</v>
      </c>
      <c r="B115" s="697">
        <v>9763</v>
      </c>
      <c r="C115" s="697">
        <v>1783</v>
      </c>
      <c r="D115" s="697">
        <v>7573</v>
      </c>
      <c r="E115" s="697">
        <v>187</v>
      </c>
      <c r="F115" s="697">
        <v>328</v>
      </c>
      <c r="G115" s="697">
        <v>99</v>
      </c>
      <c r="H115" s="697">
        <v>19733</v>
      </c>
      <c r="I115" s="697">
        <v>725</v>
      </c>
      <c r="J115" s="697">
        <v>7653</v>
      </c>
      <c r="K115" s="697">
        <v>2411</v>
      </c>
      <c r="L115" s="697">
        <v>401</v>
      </c>
      <c r="M115" s="697"/>
      <c r="N115" s="697">
        <v>11190</v>
      </c>
      <c r="O115" s="697"/>
      <c r="P115" s="697"/>
      <c r="Q115" s="697"/>
    </row>
    <row r="116" spans="1:17" x14ac:dyDescent="0.2">
      <c r="A116" s="695" t="s">
        <v>44</v>
      </c>
      <c r="B116" s="697"/>
      <c r="C116" s="697"/>
      <c r="D116" s="697"/>
      <c r="E116" s="697"/>
      <c r="F116" s="697"/>
      <c r="G116" s="697"/>
      <c r="H116" s="697"/>
      <c r="I116" s="697"/>
      <c r="J116" s="697"/>
      <c r="K116" s="697"/>
      <c r="L116" s="697"/>
      <c r="M116" s="697"/>
      <c r="N116" s="697"/>
      <c r="O116" s="697"/>
      <c r="P116" s="697"/>
      <c r="Q116" s="697"/>
    </row>
    <row r="117" spans="1:17" x14ac:dyDescent="0.2">
      <c r="A117" s="696" t="s">
        <v>296</v>
      </c>
      <c r="B117" s="697">
        <v>1709</v>
      </c>
      <c r="C117" s="697">
        <v>441</v>
      </c>
      <c r="D117" s="697">
        <v>341</v>
      </c>
      <c r="E117" s="697">
        <v>223</v>
      </c>
      <c r="F117" s="697">
        <v>121</v>
      </c>
      <c r="G117" s="697">
        <v>17</v>
      </c>
      <c r="H117" s="697">
        <v>2852</v>
      </c>
      <c r="I117" s="697"/>
      <c r="J117" s="697">
        <v>0</v>
      </c>
      <c r="K117" s="697">
        <v>0</v>
      </c>
      <c r="L117" s="697">
        <v>9</v>
      </c>
      <c r="M117" s="697">
        <v>447</v>
      </c>
      <c r="N117" s="697">
        <v>456</v>
      </c>
      <c r="O117" s="697"/>
      <c r="P117" s="697"/>
      <c r="Q117" s="697"/>
    </row>
    <row r="118" spans="1:17" x14ac:dyDescent="0.2">
      <c r="A118" s="696" t="s">
        <v>300</v>
      </c>
      <c r="B118" s="697">
        <v>1482</v>
      </c>
      <c r="C118" s="697">
        <v>518</v>
      </c>
      <c r="D118" s="697">
        <v>318</v>
      </c>
      <c r="E118" s="697">
        <v>302</v>
      </c>
      <c r="F118" s="697">
        <v>171</v>
      </c>
      <c r="G118" s="697">
        <v>32</v>
      </c>
      <c r="H118" s="697">
        <v>2823</v>
      </c>
      <c r="I118" s="697"/>
      <c r="J118" s="697">
        <v>0</v>
      </c>
      <c r="K118" s="697">
        <v>0</v>
      </c>
      <c r="L118" s="697">
        <v>16</v>
      </c>
      <c r="M118" s="697">
        <v>720</v>
      </c>
      <c r="N118" s="697">
        <v>736</v>
      </c>
      <c r="O118" s="697"/>
      <c r="P118" s="697"/>
      <c r="Q118" s="697"/>
    </row>
    <row r="119" spans="1:17" x14ac:dyDescent="0.2">
      <c r="A119" s="696" t="s">
        <v>304</v>
      </c>
      <c r="B119" s="697">
        <v>1153</v>
      </c>
      <c r="C119" s="697">
        <v>550</v>
      </c>
      <c r="D119" s="697">
        <v>370</v>
      </c>
      <c r="E119" s="697">
        <v>271</v>
      </c>
      <c r="F119" s="697">
        <v>106</v>
      </c>
      <c r="G119" s="697">
        <v>22</v>
      </c>
      <c r="H119" s="697">
        <v>2472</v>
      </c>
      <c r="I119" s="697"/>
      <c r="J119" s="697">
        <v>0</v>
      </c>
      <c r="K119" s="697">
        <v>0</v>
      </c>
      <c r="L119" s="697">
        <v>8</v>
      </c>
      <c r="M119" s="697">
        <v>741</v>
      </c>
      <c r="N119" s="697">
        <v>749</v>
      </c>
      <c r="O119" s="697"/>
      <c r="P119" s="697"/>
      <c r="Q119" s="697"/>
    </row>
    <row r="120" spans="1:17" x14ac:dyDescent="0.2">
      <c r="A120" s="696" t="s">
        <v>308</v>
      </c>
      <c r="B120" s="697">
        <v>330</v>
      </c>
      <c r="C120" s="697">
        <v>244</v>
      </c>
      <c r="D120" s="697">
        <v>120</v>
      </c>
      <c r="E120" s="697">
        <v>87</v>
      </c>
      <c r="F120" s="697">
        <v>38</v>
      </c>
      <c r="G120" s="697">
        <v>19</v>
      </c>
      <c r="H120" s="697">
        <v>838</v>
      </c>
      <c r="I120" s="697"/>
      <c r="J120" s="697">
        <v>0</v>
      </c>
      <c r="K120" s="697">
        <v>0</v>
      </c>
      <c r="L120" s="697">
        <v>0</v>
      </c>
      <c r="M120" s="697">
        <v>558</v>
      </c>
      <c r="N120" s="697">
        <v>558</v>
      </c>
      <c r="O120" s="697"/>
      <c r="P120" s="697"/>
      <c r="Q120" s="697"/>
    </row>
    <row r="121" spans="1:17" x14ac:dyDescent="0.2">
      <c r="A121" s="696" t="s">
        <v>312</v>
      </c>
      <c r="B121" s="697">
        <v>267</v>
      </c>
      <c r="C121" s="697">
        <v>11</v>
      </c>
      <c r="D121" s="697">
        <v>69</v>
      </c>
      <c r="E121" s="697">
        <v>37</v>
      </c>
      <c r="F121" s="697">
        <v>66</v>
      </c>
      <c r="G121" s="697">
        <v>0</v>
      </c>
      <c r="H121" s="697">
        <v>450</v>
      </c>
      <c r="I121" s="697"/>
      <c r="J121" s="697">
        <v>0</v>
      </c>
      <c r="K121" s="697">
        <v>0</v>
      </c>
      <c r="L121" s="697">
        <v>0</v>
      </c>
      <c r="M121" s="697">
        <v>25</v>
      </c>
      <c r="N121" s="697">
        <v>25</v>
      </c>
      <c r="O121" s="697"/>
      <c r="P121" s="697"/>
      <c r="Q121" s="697"/>
    </row>
    <row r="122" spans="1:17" x14ac:dyDescent="0.2">
      <c r="A122" s="696" t="s">
        <v>316</v>
      </c>
      <c r="B122" s="697">
        <v>0</v>
      </c>
      <c r="C122" s="697">
        <v>0</v>
      </c>
      <c r="D122" s="697">
        <v>0</v>
      </c>
      <c r="E122" s="697">
        <v>0</v>
      </c>
      <c r="F122" s="697">
        <v>0</v>
      </c>
      <c r="G122" s="697">
        <v>0</v>
      </c>
      <c r="H122" s="697">
        <v>0</v>
      </c>
      <c r="I122" s="697"/>
      <c r="J122" s="697">
        <v>0</v>
      </c>
      <c r="K122" s="697">
        <v>0</v>
      </c>
      <c r="L122" s="697">
        <v>0</v>
      </c>
      <c r="M122" s="697">
        <v>0</v>
      </c>
      <c r="N122" s="697">
        <v>0</v>
      </c>
      <c r="O122" s="697"/>
      <c r="P122" s="697"/>
      <c r="Q122" s="697"/>
    </row>
    <row r="123" spans="1:17" x14ac:dyDescent="0.2">
      <c r="A123" s="696" t="s">
        <v>320</v>
      </c>
      <c r="B123" s="697">
        <v>4941</v>
      </c>
      <c r="C123" s="697">
        <v>1764</v>
      </c>
      <c r="D123" s="697">
        <v>1218</v>
      </c>
      <c r="E123" s="697">
        <v>920</v>
      </c>
      <c r="F123" s="697">
        <v>502</v>
      </c>
      <c r="G123" s="697">
        <v>90</v>
      </c>
      <c r="H123" s="697">
        <v>9435</v>
      </c>
      <c r="I123" s="697"/>
      <c r="J123" s="697">
        <v>0</v>
      </c>
      <c r="K123" s="697">
        <v>0</v>
      </c>
      <c r="L123" s="697">
        <v>33</v>
      </c>
      <c r="M123" s="697">
        <v>2491</v>
      </c>
      <c r="N123" s="697">
        <v>2524</v>
      </c>
      <c r="O123" s="697"/>
      <c r="P123" s="697"/>
      <c r="Q123" s="697"/>
    </row>
    <row r="124" spans="1:17" x14ac:dyDescent="0.2">
      <c r="A124" s="695" t="s">
        <v>45</v>
      </c>
      <c r="B124" s="697"/>
      <c r="C124" s="697"/>
      <c r="D124" s="697"/>
      <c r="E124" s="697"/>
      <c r="F124" s="697"/>
      <c r="G124" s="697"/>
      <c r="H124" s="697"/>
      <c r="I124" s="697"/>
      <c r="J124" s="697"/>
      <c r="K124" s="697"/>
      <c r="L124" s="697"/>
      <c r="M124" s="697"/>
      <c r="N124" s="697"/>
      <c r="O124" s="697"/>
      <c r="P124" s="697"/>
      <c r="Q124" s="697"/>
    </row>
    <row r="125" spans="1:17" x14ac:dyDescent="0.2">
      <c r="A125" s="696" t="s">
        <v>296</v>
      </c>
      <c r="B125" s="697">
        <v>290</v>
      </c>
      <c r="C125" s="697"/>
      <c r="D125" s="697">
        <v>196</v>
      </c>
      <c r="E125" s="697"/>
      <c r="F125" s="697">
        <v>82</v>
      </c>
      <c r="G125" s="697">
        <v>133</v>
      </c>
      <c r="H125" s="697">
        <v>701</v>
      </c>
      <c r="I125" s="697">
        <v>44</v>
      </c>
      <c r="J125" s="697"/>
      <c r="K125" s="697">
        <v>36</v>
      </c>
      <c r="L125" s="697">
        <v>34</v>
      </c>
      <c r="M125" s="697"/>
      <c r="N125" s="697">
        <v>114</v>
      </c>
      <c r="O125" s="697"/>
      <c r="P125" s="697"/>
      <c r="Q125" s="697"/>
    </row>
    <row r="126" spans="1:17" x14ac:dyDescent="0.2">
      <c r="A126" s="696" t="s">
        <v>300</v>
      </c>
      <c r="B126" s="697">
        <v>293</v>
      </c>
      <c r="C126" s="697"/>
      <c r="D126" s="697">
        <v>126</v>
      </c>
      <c r="E126" s="697"/>
      <c r="F126" s="697">
        <v>86</v>
      </c>
      <c r="G126" s="697">
        <v>161</v>
      </c>
      <c r="H126" s="697">
        <v>666</v>
      </c>
      <c r="I126" s="697">
        <v>14</v>
      </c>
      <c r="J126" s="697"/>
      <c r="K126" s="697">
        <v>26</v>
      </c>
      <c r="L126" s="697">
        <v>40</v>
      </c>
      <c r="M126" s="697"/>
      <c r="N126" s="697">
        <v>80</v>
      </c>
      <c r="O126" s="697"/>
      <c r="P126" s="697"/>
      <c r="Q126" s="697"/>
    </row>
    <row r="127" spans="1:17" x14ac:dyDescent="0.2">
      <c r="A127" s="696" t="s">
        <v>304</v>
      </c>
      <c r="B127" s="697">
        <v>364</v>
      </c>
      <c r="C127" s="697"/>
      <c r="D127" s="697">
        <v>125</v>
      </c>
      <c r="E127" s="697"/>
      <c r="F127" s="697">
        <v>107</v>
      </c>
      <c r="G127" s="697">
        <v>216</v>
      </c>
      <c r="H127" s="697">
        <v>812</v>
      </c>
      <c r="I127" s="697">
        <v>39</v>
      </c>
      <c r="J127" s="697"/>
      <c r="K127" s="697">
        <v>39</v>
      </c>
      <c r="L127" s="697">
        <v>94</v>
      </c>
      <c r="M127" s="697"/>
      <c r="N127" s="697">
        <v>172</v>
      </c>
      <c r="O127" s="697"/>
      <c r="P127" s="697"/>
      <c r="Q127" s="697"/>
    </row>
    <row r="128" spans="1:17" x14ac:dyDescent="0.2">
      <c r="A128" s="696" t="s">
        <v>308</v>
      </c>
      <c r="B128" s="697">
        <v>52</v>
      </c>
      <c r="C128" s="697"/>
      <c r="D128" s="697">
        <v>61</v>
      </c>
      <c r="E128" s="697"/>
      <c r="F128" s="697">
        <v>12</v>
      </c>
      <c r="G128" s="697">
        <v>78</v>
      </c>
      <c r="H128" s="697">
        <v>203</v>
      </c>
      <c r="I128" s="697">
        <v>28</v>
      </c>
      <c r="J128" s="697"/>
      <c r="K128" s="697">
        <v>76</v>
      </c>
      <c r="L128" s="697">
        <v>89</v>
      </c>
      <c r="M128" s="697"/>
      <c r="N128" s="697">
        <v>193</v>
      </c>
      <c r="O128" s="697"/>
      <c r="P128" s="697"/>
      <c r="Q128" s="697"/>
    </row>
    <row r="129" spans="1:17" x14ac:dyDescent="0.2">
      <c r="A129" s="696" t="s">
        <v>312</v>
      </c>
      <c r="B129" s="697">
        <v>22</v>
      </c>
      <c r="C129" s="697"/>
      <c r="D129" s="697">
        <v>0</v>
      </c>
      <c r="E129" s="697"/>
      <c r="F129" s="697">
        <v>20</v>
      </c>
      <c r="G129" s="697">
        <v>21</v>
      </c>
      <c r="H129" s="697">
        <v>63</v>
      </c>
      <c r="I129" s="697">
        <v>12</v>
      </c>
      <c r="J129" s="697"/>
      <c r="K129" s="697">
        <v>2</v>
      </c>
      <c r="L129" s="697">
        <v>25</v>
      </c>
      <c r="M129" s="697"/>
      <c r="N129" s="697">
        <v>39</v>
      </c>
      <c r="O129" s="697"/>
      <c r="P129" s="697"/>
      <c r="Q129" s="697"/>
    </row>
    <row r="130" spans="1:17" x14ac:dyDescent="0.2">
      <c r="A130" s="696" t="s">
        <v>316</v>
      </c>
      <c r="B130" s="697">
        <v>0</v>
      </c>
      <c r="C130" s="697"/>
      <c r="D130" s="697">
        <v>0</v>
      </c>
      <c r="E130" s="697"/>
      <c r="F130" s="697">
        <v>0</v>
      </c>
      <c r="G130" s="697">
        <v>0</v>
      </c>
      <c r="H130" s="697">
        <v>0</v>
      </c>
      <c r="I130" s="697">
        <v>0</v>
      </c>
      <c r="J130" s="697"/>
      <c r="K130" s="697">
        <v>0</v>
      </c>
      <c r="L130" s="697">
        <v>0</v>
      </c>
      <c r="M130" s="697"/>
      <c r="N130" s="697">
        <v>0</v>
      </c>
      <c r="O130" s="697"/>
      <c r="P130" s="697"/>
      <c r="Q130" s="697"/>
    </row>
    <row r="131" spans="1:17" x14ac:dyDescent="0.2">
      <c r="A131" s="696" t="s">
        <v>320</v>
      </c>
      <c r="B131" s="697">
        <v>1021</v>
      </c>
      <c r="C131" s="697"/>
      <c r="D131" s="697">
        <v>508</v>
      </c>
      <c r="E131" s="697"/>
      <c r="F131" s="697">
        <v>307</v>
      </c>
      <c r="G131" s="697">
        <v>609</v>
      </c>
      <c r="H131" s="697">
        <v>2445</v>
      </c>
      <c r="I131" s="697">
        <v>137</v>
      </c>
      <c r="J131" s="697"/>
      <c r="K131" s="697">
        <v>179</v>
      </c>
      <c r="L131" s="697">
        <v>282</v>
      </c>
      <c r="M131" s="697"/>
      <c r="N131" s="697">
        <v>598</v>
      </c>
      <c r="O131" s="697"/>
      <c r="P131" s="697"/>
      <c r="Q131" s="697"/>
    </row>
    <row r="132" spans="1:17" x14ac:dyDescent="0.2">
      <c r="A132" s="703" t="s">
        <v>295</v>
      </c>
      <c r="B132" s="697">
        <v>15212</v>
      </c>
      <c r="C132" s="697">
        <v>3058</v>
      </c>
      <c r="D132" s="697">
        <v>6526</v>
      </c>
      <c r="E132" s="697">
        <v>1967</v>
      </c>
      <c r="F132" s="697">
        <v>979</v>
      </c>
      <c r="G132" s="697">
        <v>575</v>
      </c>
      <c r="H132" s="697">
        <v>28317</v>
      </c>
      <c r="I132" s="697">
        <v>180</v>
      </c>
      <c r="J132" s="697">
        <v>3477</v>
      </c>
      <c r="K132" s="697">
        <v>1257</v>
      </c>
      <c r="L132" s="697">
        <v>213</v>
      </c>
      <c r="M132" s="697">
        <v>447</v>
      </c>
      <c r="N132" s="697">
        <v>5574</v>
      </c>
      <c r="O132" s="697">
        <v>50</v>
      </c>
      <c r="P132" s="697">
        <v>0</v>
      </c>
      <c r="Q132" s="697">
        <v>50</v>
      </c>
    </row>
    <row r="133" spans="1:17" x14ac:dyDescent="0.2">
      <c r="A133" s="703" t="s">
        <v>299</v>
      </c>
      <c r="B133" s="704">
        <v>12956</v>
      </c>
      <c r="C133" s="704">
        <v>3586</v>
      </c>
      <c r="D133" s="704">
        <v>7071</v>
      </c>
      <c r="E133" s="704">
        <v>2359</v>
      </c>
      <c r="F133" s="704">
        <v>1283</v>
      </c>
      <c r="G133" s="704">
        <v>842</v>
      </c>
      <c r="H133" s="704">
        <v>28097</v>
      </c>
      <c r="I133" s="704">
        <v>208</v>
      </c>
      <c r="J133" s="704">
        <v>2155</v>
      </c>
      <c r="K133" s="704">
        <v>1223</v>
      </c>
      <c r="L133" s="704">
        <v>212</v>
      </c>
      <c r="M133" s="704">
        <v>720</v>
      </c>
      <c r="N133" s="704">
        <v>4518</v>
      </c>
      <c r="O133" s="704">
        <v>51</v>
      </c>
      <c r="P133" s="704">
        <v>0</v>
      </c>
      <c r="Q133" s="704">
        <v>51</v>
      </c>
    </row>
    <row r="134" spans="1:17" x14ac:dyDescent="0.2">
      <c r="A134" s="703" t="s">
        <v>303</v>
      </c>
      <c r="B134" s="704">
        <v>10567</v>
      </c>
      <c r="C134" s="704">
        <v>3122</v>
      </c>
      <c r="D134" s="704">
        <v>7432</v>
      </c>
      <c r="E134" s="704">
        <v>2888</v>
      </c>
      <c r="F134" s="704">
        <v>1509</v>
      </c>
      <c r="G134" s="704">
        <v>1185</v>
      </c>
      <c r="H134" s="704">
        <v>26703</v>
      </c>
      <c r="I134" s="704">
        <v>296</v>
      </c>
      <c r="J134" s="704">
        <v>1767</v>
      </c>
      <c r="K134" s="704">
        <v>1172</v>
      </c>
      <c r="L134" s="704">
        <v>339</v>
      </c>
      <c r="M134" s="704">
        <v>741</v>
      </c>
      <c r="N134" s="704">
        <v>4315</v>
      </c>
      <c r="O134" s="704">
        <v>109</v>
      </c>
      <c r="P134" s="704">
        <v>0</v>
      </c>
      <c r="Q134" s="704">
        <v>109</v>
      </c>
    </row>
    <row r="135" spans="1:17" x14ac:dyDescent="0.2">
      <c r="A135" s="703" t="s">
        <v>307</v>
      </c>
      <c r="B135" s="697">
        <v>3550</v>
      </c>
      <c r="C135" s="697">
        <v>1138</v>
      </c>
      <c r="D135" s="697">
        <v>2829</v>
      </c>
      <c r="E135" s="697">
        <v>1012</v>
      </c>
      <c r="F135" s="697">
        <v>631</v>
      </c>
      <c r="G135" s="697">
        <v>476</v>
      </c>
      <c r="H135" s="697">
        <v>9636</v>
      </c>
      <c r="I135" s="697">
        <v>594</v>
      </c>
      <c r="J135" s="697">
        <v>3546</v>
      </c>
      <c r="K135" s="697">
        <v>2719</v>
      </c>
      <c r="L135" s="697">
        <v>1019</v>
      </c>
      <c r="M135" s="697">
        <v>558</v>
      </c>
      <c r="N135" s="697">
        <v>8436</v>
      </c>
      <c r="O135" s="697">
        <v>319</v>
      </c>
      <c r="P135" s="697">
        <v>0</v>
      </c>
      <c r="Q135" s="697">
        <v>319</v>
      </c>
    </row>
    <row r="136" spans="1:17" x14ac:dyDescent="0.2">
      <c r="A136" s="703" t="s">
        <v>311</v>
      </c>
      <c r="B136" s="697">
        <v>5268</v>
      </c>
      <c r="C136" s="697">
        <v>1537</v>
      </c>
      <c r="D136" s="697">
        <v>3267</v>
      </c>
      <c r="E136" s="697">
        <v>775</v>
      </c>
      <c r="F136" s="697">
        <v>483</v>
      </c>
      <c r="G136" s="697">
        <v>154</v>
      </c>
      <c r="H136" s="697">
        <v>11484</v>
      </c>
      <c r="I136" s="697">
        <v>22</v>
      </c>
      <c r="J136" s="697">
        <v>3650</v>
      </c>
      <c r="K136" s="697">
        <v>2237</v>
      </c>
      <c r="L136" s="697">
        <v>1026</v>
      </c>
      <c r="M136" s="697">
        <v>25</v>
      </c>
      <c r="N136" s="697">
        <v>6960</v>
      </c>
      <c r="O136" s="697">
        <v>132</v>
      </c>
      <c r="P136" s="697">
        <v>0</v>
      </c>
      <c r="Q136" s="697">
        <v>132</v>
      </c>
    </row>
    <row r="137" spans="1:17" x14ac:dyDescent="0.2">
      <c r="A137" s="695" t="s">
        <v>315</v>
      </c>
      <c r="B137" s="697">
        <v>0</v>
      </c>
      <c r="C137" s="697">
        <v>0</v>
      </c>
      <c r="D137" s="697">
        <v>0</v>
      </c>
      <c r="E137" s="697">
        <v>0</v>
      </c>
      <c r="F137" s="697">
        <v>0</v>
      </c>
      <c r="G137" s="697">
        <v>0</v>
      </c>
      <c r="H137" s="697">
        <v>0</v>
      </c>
      <c r="I137" s="697">
        <v>2463</v>
      </c>
      <c r="J137" s="697">
        <v>7383</v>
      </c>
      <c r="K137" s="697">
        <v>3699.1</v>
      </c>
      <c r="L137" s="697">
        <v>1507</v>
      </c>
      <c r="M137" s="697">
        <v>0</v>
      </c>
      <c r="N137" s="697">
        <v>15052.1</v>
      </c>
      <c r="O137" s="697">
        <v>2479</v>
      </c>
      <c r="P137" s="697">
        <v>1399</v>
      </c>
      <c r="Q137" s="697">
        <v>3878</v>
      </c>
    </row>
    <row r="138" spans="1:17" x14ac:dyDescent="0.2">
      <c r="A138" s="703" t="s">
        <v>319</v>
      </c>
      <c r="B138" s="697">
        <v>47553</v>
      </c>
      <c r="C138" s="697">
        <v>12441</v>
      </c>
      <c r="D138" s="697">
        <v>27125</v>
      </c>
      <c r="E138" s="697">
        <v>9001</v>
      </c>
      <c r="F138" s="697">
        <v>4885</v>
      </c>
      <c r="G138" s="697">
        <v>3232</v>
      </c>
      <c r="H138" s="697">
        <v>104237</v>
      </c>
      <c r="I138" s="697">
        <v>3763</v>
      </c>
      <c r="J138" s="697">
        <v>21978</v>
      </c>
      <c r="K138" s="697">
        <v>12307.1</v>
      </c>
      <c r="L138" s="697">
        <v>4316</v>
      </c>
      <c r="M138" s="697">
        <v>2491</v>
      </c>
      <c r="N138" s="697">
        <v>44855.1</v>
      </c>
      <c r="O138" s="697">
        <v>3140</v>
      </c>
      <c r="P138" s="697">
        <v>1399</v>
      </c>
      <c r="Q138" s="697">
        <v>4539</v>
      </c>
    </row>
    <row r="139" spans="1:17" ht="15.75" x14ac:dyDescent="0.25">
      <c r="A139"/>
      <c r="B139"/>
      <c r="C139"/>
      <c r="D139"/>
      <c r="E139"/>
      <c r="F139"/>
      <c r="G139"/>
      <c r="H139"/>
      <c r="I139"/>
      <c r="J139"/>
      <c r="K139"/>
      <c r="L139"/>
      <c r="M139"/>
      <c r="N139"/>
      <c r="O139"/>
      <c r="P139"/>
      <c r="Q139"/>
    </row>
    <row r="140" spans="1:17" ht="15.75" x14ac:dyDescent="0.25">
      <c r="A140"/>
      <c r="B140"/>
      <c r="C140"/>
      <c r="D140"/>
      <c r="E140"/>
      <c r="F140"/>
      <c r="G140"/>
      <c r="H140"/>
      <c r="I140"/>
      <c r="J140"/>
      <c r="K140"/>
      <c r="L140"/>
      <c r="M140"/>
      <c r="N140"/>
      <c r="O140"/>
      <c r="P140"/>
      <c r="Q140"/>
    </row>
    <row r="141" spans="1:17" ht="15.75" x14ac:dyDescent="0.25">
      <c r="A141"/>
      <c r="B141"/>
      <c r="C141"/>
      <c r="D141"/>
      <c r="E141"/>
      <c r="F141"/>
      <c r="G141"/>
      <c r="H141"/>
      <c r="I141"/>
      <c r="J141"/>
      <c r="K141"/>
      <c r="L141"/>
      <c r="M141"/>
      <c r="N141"/>
      <c r="O141"/>
      <c r="P141"/>
      <c r="Q141"/>
    </row>
    <row r="142" spans="1:17" ht="15.75" x14ac:dyDescent="0.25">
      <c r="A142"/>
      <c r="B142"/>
      <c r="C142"/>
      <c r="D142"/>
      <c r="E142"/>
      <c r="F142"/>
      <c r="G142"/>
      <c r="H142"/>
      <c r="I142"/>
      <c r="J142"/>
      <c r="K142"/>
      <c r="L142"/>
      <c r="M142"/>
      <c r="N142"/>
      <c r="O142"/>
      <c r="P142"/>
      <c r="Q142"/>
    </row>
    <row r="143" spans="1:17" ht="15.75" x14ac:dyDescent="0.25">
      <c r="A143"/>
      <c r="B143"/>
      <c r="C143"/>
      <c r="D143"/>
      <c r="E143"/>
      <c r="F143"/>
      <c r="G143"/>
      <c r="H143"/>
      <c r="I143"/>
      <c r="J143"/>
      <c r="K143"/>
      <c r="L143"/>
      <c r="M143"/>
      <c r="N143"/>
      <c r="O143"/>
      <c r="P143"/>
      <c r="Q143"/>
    </row>
    <row r="144" spans="1:17" ht="15.75" x14ac:dyDescent="0.25">
      <c r="A144"/>
      <c r="B144"/>
      <c r="C144"/>
      <c r="D144"/>
      <c r="E144"/>
      <c r="F144"/>
      <c r="G144"/>
      <c r="H144"/>
      <c r="I144"/>
      <c r="J144"/>
      <c r="K144"/>
      <c r="L144"/>
      <c r="M144"/>
      <c r="N144"/>
      <c r="O144"/>
      <c r="P144"/>
      <c r="Q144"/>
    </row>
    <row r="145" spans="1:17" ht="15.75" x14ac:dyDescent="0.25">
      <c r="A145"/>
      <c r="B145"/>
      <c r="C145"/>
      <c r="D145"/>
      <c r="E145"/>
      <c r="F145"/>
      <c r="G145"/>
      <c r="H145"/>
      <c r="I145"/>
      <c r="J145"/>
      <c r="K145"/>
      <c r="L145"/>
      <c r="M145"/>
      <c r="N145"/>
      <c r="O145"/>
      <c r="P145"/>
      <c r="Q145"/>
    </row>
    <row r="146" spans="1:17" ht="15.75" x14ac:dyDescent="0.25">
      <c r="A146"/>
      <c r="B146"/>
      <c r="C146"/>
      <c r="D146"/>
      <c r="E146"/>
      <c r="F146"/>
      <c r="G146"/>
      <c r="H146"/>
      <c r="I146"/>
      <c r="J146"/>
      <c r="K146"/>
      <c r="L146"/>
      <c r="M146"/>
      <c r="N146"/>
      <c r="O146"/>
      <c r="P146"/>
      <c r="Q146"/>
    </row>
    <row r="147" spans="1:17" ht="15.75" x14ac:dyDescent="0.25">
      <c r="A147"/>
      <c r="B147"/>
      <c r="C147"/>
      <c r="D147"/>
      <c r="E147"/>
      <c r="F147"/>
      <c r="G147"/>
      <c r="H147"/>
      <c r="I147"/>
      <c r="J147"/>
      <c r="K147"/>
      <c r="L147"/>
      <c r="M147"/>
      <c r="N147"/>
      <c r="O147"/>
      <c r="P147"/>
      <c r="Q147"/>
    </row>
    <row r="148" spans="1:17" ht="15.75" x14ac:dyDescent="0.25">
      <c r="A148"/>
      <c r="B148"/>
      <c r="C148"/>
      <c r="D148"/>
      <c r="E148"/>
      <c r="F148"/>
      <c r="G148"/>
      <c r="H148"/>
      <c r="I148"/>
      <c r="J148"/>
      <c r="K148"/>
      <c r="L148"/>
      <c r="M148"/>
      <c r="N148"/>
      <c r="O148"/>
      <c r="P148"/>
      <c r="Q148"/>
    </row>
    <row r="149" spans="1:17" ht="15.75" x14ac:dyDescent="0.25">
      <c r="A149"/>
      <c r="B149"/>
      <c r="C149"/>
      <c r="D149"/>
      <c r="E149"/>
      <c r="F149"/>
      <c r="G149"/>
      <c r="H149"/>
      <c r="I149"/>
      <c r="J149"/>
      <c r="K149"/>
      <c r="L149"/>
      <c r="M149"/>
      <c r="N149"/>
      <c r="O149"/>
      <c r="P149"/>
      <c r="Q149"/>
    </row>
    <row r="150" spans="1:17" ht="15.75" x14ac:dyDescent="0.25">
      <c r="A150"/>
      <c r="B150"/>
      <c r="C150"/>
      <c r="D150"/>
      <c r="E150"/>
      <c r="F150"/>
      <c r="G150"/>
      <c r="H150"/>
      <c r="I150"/>
      <c r="J150"/>
      <c r="K150"/>
      <c r="L150"/>
      <c r="M150"/>
      <c r="N150"/>
      <c r="O150"/>
      <c r="P150"/>
      <c r="Q150"/>
    </row>
    <row r="151" spans="1:17" ht="15.75" x14ac:dyDescent="0.25">
      <c r="A151"/>
      <c r="B151"/>
      <c r="C151"/>
      <c r="D151"/>
      <c r="E151"/>
      <c r="F151"/>
      <c r="G151"/>
      <c r="H151"/>
      <c r="I151"/>
      <c r="J151"/>
      <c r="K151"/>
      <c r="L151"/>
      <c r="M151"/>
      <c r="N151"/>
      <c r="O151"/>
      <c r="P151"/>
      <c r="Q151"/>
    </row>
    <row r="152" spans="1:17" ht="15.75" x14ac:dyDescent="0.25">
      <c r="A152"/>
      <c r="B152"/>
      <c r="C152"/>
      <c r="D152"/>
      <c r="E152"/>
      <c r="F152"/>
      <c r="G152"/>
      <c r="H152"/>
      <c r="I152"/>
      <c r="J152"/>
      <c r="K152"/>
      <c r="L152"/>
      <c r="M152"/>
      <c r="N152"/>
      <c r="O152"/>
      <c r="P152"/>
      <c r="Q152"/>
    </row>
    <row r="153" spans="1:17" ht="15.75" x14ac:dyDescent="0.25">
      <c r="A153"/>
      <c r="B153"/>
      <c r="C153"/>
      <c r="D153"/>
      <c r="E153"/>
      <c r="F153"/>
      <c r="G153"/>
      <c r="H153"/>
      <c r="I153"/>
      <c r="J153"/>
      <c r="K153"/>
      <c r="L153"/>
      <c r="M153"/>
      <c r="N153"/>
      <c r="O153"/>
      <c r="P153"/>
      <c r="Q153"/>
    </row>
    <row r="154" spans="1:17" ht="15.75" x14ac:dyDescent="0.25">
      <c r="A154"/>
      <c r="B154"/>
      <c r="C154"/>
      <c r="D154"/>
      <c r="E154"/>
      <c r="F154"/>
      <c r="G154"/>
      <c r="H154"/>
      <c r="I154"/>
      <c r="J154"/>
      <c r="K154"/>
      <c r="L154"/>
      <c r="M154"/>
      <c r="N154"/>
      <c r="O154"/>
      <c r="P154"/>
      <c r="Q154"/>
    </row>
    <row r="155" spans="1:17" ht="15.75" x14ac:dyDescent="0.25">
      <c r="A155"/>
      <c r="B155"/>
      <c r="C155"/>
      <c r="D155"/>
      <c r="E155"/>
      <c r="F155"/>
      <c r="G155"/>
      <c r="H155"/>
      <c r="I155"/>
      <c r="J155"/>
      <c r="K155"/>
      <c r="L155"/>
      <c r="M155"/>
      <c r="N155"/>
      <c r="O155"/>
      <c r="P155"/>
      <c r="Q155"/>
    </row>
    <row r="156" spans="1:17" ht="15.75" x14ac:dyDescent="0.25">
      <c r="A156"/>
      <c r="B156"/>
      <c r="C156"/>
      <c r="D156"/>
      <c r="E156"/>
      <c r="F156"/>
      <c r="G156"/>
      <c r="H156"/>
      <c r="I156"/>
      <c r="J156"/>
      <c r="K156"/>
      <c r="L156"/>
      <c r="M156"/>
      <c r="N156"/>
      <c r="O156"/>
      <c r="P156"/>
      <c r="Q156"/>
    </row>
    <row r="157" spans="1:17" ht="15.75" x14ac:dyDescent="0.25">
      <c r="A157"/>
      <c r="B157"/>
      <c r="C157"/>
      <c r="D157"/>
      <c r="E157"/>
      <c r="F157"/>
      <c r="G157"/>
      <c r="H157"/>
      <c r="I157"/>
      <c r="J157"/>
      <c r="K157"/>
      <c r="L157"/>
      <c r="M157"/>
      <c r="N157"/>
      <c r="O157"/>
      <c r="P157"/>
      <c r="Q157"/>
    </row>
    <row r="158" spans="1:17" ht="15.75" x14ac:dyDescent="0.25">
      <c r="A158"/>
      <c r="B158"/>
      <c r="C158"/>
      <c r="D158"/>
      <c r="E158"/>
      <c r="F158"/>
      <c r="G158"/>
      <c r="H158"/>
      <c r="I158"/>
      <c r="J158"/>
      <c r="K158"/>
      <c r="L158"/>
      <c r="M158"/>
      <c r="N158"/>
      <c r="O158"/>
      <c r="P158"/>
      <c r="Q158"/>
    </row>
    <row r="159" spans="1:17" ht="15.75" x14ac:dyDescent="0.25">
      <c r="A159"/>
      <c r="B159"/>
      <c r="C159"/>
      <c r="D159"/>
      <c r="E159"/>
      <c r="F159"/>
      <c r="G159"/>
      <c r="H159"/>
      <c r="I159"/>
      <c r="J159"/>
      <c r="K159"/>
      <c r="L159"/>
      <c r="M159"/>
      <c r="N159"/>
      <c r="O159"/>
      <c r="P159"/>
      <c r="Q159"/>
    </row>
    <row r="160" spans="1:17" ht="15.75" x14ac:dyDescent="0.25">
      <c r="A160"/>
      <c r="B160"/>
      <c r="C160"/>
      <c r="D160"/>
      <c r="E160"/>
      <c r="F160"/>
      <c r="G160"/>
      <c r="H160"/>
      <c r="I160"/>
      <c r="J160"/>
      <c r="K160"/>
      <c r="L160"/>
      <c r="M160"/>
      <c r="N160"/>
      <c r="O160"/>
      <c r="P160"/>
      <c r="Q160"/>
    </row>
    <row r="161" spans="1:17" ht="15.75" x14ac:dyDescent="0.25">
      <c r="A161"/>
      <c r="B161"/>
      <c r="C161"/>
      <c r="D161"/>
      <c r="E161"/>
      <c r="F161"/>
      <c r="G161"/>
      <c r="H161"/>
      <c r="I161"/>
      <c r="J161"/>
      <c r="K161"/>
      <c r="L161"/>
      <c r="M161"/>
      <c r="N161"/>
      <c r="O161"/>
      <c r="P161"/>
      <c r="Q161"/>
    </row>
    <row r="162" spans="1:17" ht="15.75" x14ac:dyDescent="0.25">
      <c r="A162"/>
      <c r="B162"/>
      <c r="C162"/>
      <c r="D162"/>
      <c r="E162"/>
      <c r="F162"/>
      <c r="G162"/>
      <c r="H162"/>
      <c r="I162"/>
      <c r="J162"/>
      <c r="K162"/>
      <c r="L162"/>
      <c r="M162"/>
      <c r="N162"/>
      <c r="O162"/>
      <c r="P162"/>
      <c r="Q162"/>
    </row>
    <row r="163" spans="1:17" ht="15.75" x14ac:dyDescent="0.25">
      <c r="A163"/>
      <c r="B163"/>
      <c r="C163"/>
      <c r="D163"/>
      <c r="E163"/>
      <c r="F163"/>
      <c r="G163"/>
      <c r="H163"/>
      <c r="I163"/>
      <c r="J163"/>
      <c r="K163"/>
      <c r="L163"/>
      <c r="M163"/>
      <c r="N163"/>
      <c r="O163"/>
      <c r="P163"/>
      <c r="Q163"/>
    </row>
    <row r="164" spans="1:17" ht="15.75" x14ac:dyDescent="0.25">
      <c r="A164"/>
      <c r="B164"/>
      <c r="C164"/>
      <c r="D164"/>
      <c r="E164"/>
      <c r="F164"/>
      <c r="G164"/>
      <c r="H164"/>
      <c r="I164"/>
      <c r="J164"/>
      <c r="K164"/>
      <c r="L164"/>
      <c r="M164"/>
      <c r="N164"/>
      <c r="O164"/>
      <c r="P164"/>
      <c r="Q164"/>
    </row>
    <row r="165" spans="1:17" ht="15.75" x14ac:dyDescent="0.25">
      <c r="A165"/>
      <c r="B165"/>
      <c r="C165"/>
      <c r="D165"/>
      <c r="E165"/>
      <c r="F165"/>
      <c r="G165"/>
      <c r="H165"/>
      <c r="I165"/>
      <c r="J165"/>
      <c r="K165"/>
      <c r="L165"/>
      <c r="M165"/>
      <c r="N165"/>
      <c r="O165"/>
      <c r="P165"/>
      <c r="Q165"/>
    </row>
    <row r="166" spans="1:17" ht="15.75" x14ac:dyDescent="0.25">
      <c r="A166"/>
      <c r="B166"/>
      <c r="C166"/>
      <c r="D166"/>
      <c r="E166"/>
      <c r="F166"/>
      <c r="G166"/>
      <c r="H166"/>
      <c r="I166"/>
      <c r="J166"/>
      <c r="K166"/>
      <c r="L166"/>
      <c r="M166"/>
      <c r="N166"/>
      <c r="O166"/>
      <c r="P166"/>
      <c r="Q166"/>
    </row>
    <row r="167" spans="1:17" ht="15.75" x14ac:dyDescent="0.25">
      <c r="A167"/>
      <c r="B167"/>
      <c r="C167"/>
      <c r="D167"/>
      <c r="E167"/>
      <c r="F167"/>
      <c r="G167"/>
      <c r="H167"/>
      <c r="I167"/>
      <c r="J167"/>
      <c r="K167"/>
      <c r="L167"/>
      <c r="M167"/>
      <c r="N167"/>
      <c r="O167"/>
      <c r="P167"/>
      <c r="Q167"/>
    </row>
    <row r="168" spans="1:17" ht="15.75" x14ac:dyDescent="0.25">
      <c r="A168"/>
      <c r="B168"/>
      <c r="C168"/>
      <c r="D168"/>
      <c r="E168"/>
      <c r="F168"/>
      <c r="G168"/>
      <c r="H168"/>
      <c r="I168"/>
      <c r="J168"/>
      <c r="K168"/>
      <c r="L168"/>
      <c r="M168"/>
      <c r="N168"/>
      <c r="O168"/>
      <c r="P168"/>
      <c r="Q168"/>
    </row>
    <row r="169" spans="1:17" ht="15.75" x14ac:dyDescent="0.25">
      <c r="A169"/>
      <c r="B169"/>
      <c r="C169"/>
      <c r="D169"/>
      <c r="E169"/>
      <c r="F169"/>
      <c r="G169"/>
      <c r="H169"/>
      <c r="I169"/>
      <c r="J169"/>
      <c r="K169"/>
      <c r="L169"/>
      <c r="M169"/>
      <c r="N169"/>
      <c r="O169"/>
      <c r="P169"/>
      <c r="Q169"/>
    </row>
    <row r="170" spans="1:17" ht="15.75" x14ac:dyDescent="0.25">
      <c r="A170"/>
      <c r="B170"/>
      <c r="C170"/>
      <c r="D170"/>
      <c r="E170"/>
      <c r="F170"/>
      <c r="G170"/>
      <c r="H170"/>
      <c r="I170"/>
      <c r="J170"/>
      <c r="K170"/>
      <c r="L170"/>
      <c r="M170"/>
      <c r="N170"/>
      <c r="O170"/>
      <c r="P170"/>
      <c r="Q170"/>
    </row>
    <row r="171" spans="1:17" ht="15.75" x14ac:dyDescent="0.25">
      <c r="A171"/>
      <c r="B171"/>
      <c r="C171"/>
      <c r="D171"/>
      <c r="E171"/>
      <c r="F171"/>
      <c r="G171"/>
      <c r="H171"/>
      <c r="I171"/>
      <c r="J171"/>
      <c r="K171"/>
      <c r="L171"/>
      <c r="M171"/>
      <c r="N171"/>
      <c r="O171"/>
      <c r="P171"/>
      <c r="Q171"/>
    </row>
    <row r="172" spans="1:17" ht="15.75" x14ac:dyDescent="0.25">
      <c r="A172"/>
      <c r="B172"/>
      <c r="C172"/>
      <c r="D172"/>
      <c r="E172"/>
      <c r="F172"/>
      <c r="G172"/>
      <c r="H172"/>
      <c r="I172"/>
      <c r="J172"/>
      <c r="K172"/>
      <c r="L172"/>
      <c r="M172"/>
      <c r="N172"/>
      <c r="O172"/>
      <c r="P172"/>
      <c r="Q172"/>
    </row>
    <row r="173" spans="1:17" ht="15.75" x14ac:dyDescent="0.25">
      <c r="A173"/>
      <c r="B173"/>
      <c r="C173"/>
      <c r="D173"/>
      <c r="E173"/>
      <c r="F173"/>
      <c r="G173"/>
      <c r="H173"/>
      <c r="I173"/>
      <c r="J173"/>
      <c r="K173"/>
      <c r="L173"/>
      <c r="M173"/>
      <c r="N173"/>
      <c r="O173"/>
      <c r="P173"/>
      <c r="Q173"/>
    </row>
    <row r="174" spans="1:17" ht="15.75" x14ac:dyDescent="0.25">
      <c r="A174"/>
      <c r="B174"/>
      <c r="C174"/>
      <c r="D174"/>
      <c r="E174"/>
      <c r="F174"/>
      <c r="G174"/>
      <c r="H174"/>
      <c r="I174"/>
      <c r="J174"/>
      <c r="K174"/>
      <c r="L174"/>
      <c r="M174"/>
      <c r="N174"/>
      <c r="O174"/>
      <c r="P174"/>
      <c r="Q174"/>
    </row>
    <row r="175" spans="1:17" ht="15.75" x14ac:dyDescent="0.25">
      <c r="A175"/>
      <c r="B175"/>
      <c r="C175"/>
      <c r="D175"/>
      <c r="E175"/>
      <c r="F175"/>
      <c r="G175"/>
      <c r="H175"/>
      <c r="I175"/>
      <c r="J175"/>
      <c r="K175"/>
      <c r="L175"/>
      <c r="M175"/>
      <c r="N175"/>
      <c r="O175"/>
      <c r="P175"/>
      <c r="Q175"/>
    </row>
    <row r="176" spans="1:17" ht="15.75" x14ac:dyDescent="0.25">
      <c r="A176"/>
      <c r="B176"/>
      <c r="C176"/>
      <c r="D176"/>
      <c r="E176"/>
      <c r="F176"/>
      <c r="G176"/>
      <c r="H176"/>
      <c r="I176"/>
      <c r="J176"/>
      <c r="K176"/>
      <c r="L176"/>
      <c r="M176"/>
      <c r="N176"/>
      <c r="O176"/>
      <c r="P176"/>
      <c r="Q176"/>
    </row>
    <row r="177" spans="1:17" ht="15.75" x14ac:dyDescent="0.25">
      <c r="A177"/>
      <c r="B177"/>
      <c r="C177"/>
      <c r="D177"/>
      <c r="E177"/>
      <c r="F177"/>
      <c r="G177"/>
      <c r="H177"/>
      <c r="I177"/>
      <c r="J177"/>
      <c r="K177"/>
      <c r="L177"/>
      <c r="M177"/>
      <c r="N177"/>
      <c r="O177"/>
      <c r="P177"/>
      <c r="Q177"/>
    </row>
    <row r="178" spans="1:17" ht="15.75" x14ac:dyDescent="0.25">
      <c r="A178"/>
      <c r="B178"/>
      <c r="C178"/>
      <c r="D178"/>
      <c r="E178"/>
      <c r="F178"/>
      <c r="G178"/>
      <c r="H178"/>
      <c r="I178"/>
      <c r="J178"/>
      <c r="K178"/>
      <c r="L178"/>
      <c r="M178"/>
      <c r="N178"/>
      <c r="O178"/>
      <c r="P178"/>
      <c r="Q178"/>
    </row>
    <row r="179" spans="1:17" ht="15.75" x14ac:dyDescent="0.25">
      <c r="A179"/>
      <c r="B179"/>
      <c r="C179"/>
      <c r="D179"/>
      <c r="E179"/>
      <c r="F179"/>
      <c r="G179"/>
      <c r="H179"/>
      <c r="I179"/>
      <c r="J179"/>
      <c r="K179"/>
      <c r="L179"/>
      <c r="M179"/>
      <c r="N179"/>
      <c r="O179"/>
      <c r="P179"/>
      <c r="Q179"/>
    </row>
    <row r="180" spans="1:17" ht="15.75" x14ac:dyDescent="0.25">
      <c r="A180"/>
      <c r="B180"/>
      <c r="C180"/>
      <c r="D180"/>
      <c r="E180"/>
      <c r="F180"/>
      <c r="G180"/>
      <c r="H180"/>
      <c r="I180"/>
      <c r="J180"/>
      <c r="K180"/>
      <c r="L180"/>
      <c r="M180"/>
      <c r="N180"/>
      <c r="O180"/>
      <c r="P180"/>
      <c r="Q180"/>
    </row>
    <row r="181" spans="1:17" ht="15.75" x14ac:dyDescent="0.25">
      <c r="A181"/>
      <c r="B181"/>
      <c r="C181"/>
      <c r="D181"/>
      <c r="E181"/>
      <c r="F181"/>
      <c r="G181"/>
      <c r="H181"/>
      <c r="I181"/>
      <c r="J181"/>
      <c r="K181"/>
      <c r="L181"/>
      <c r="M181"/>
      <c r="N181"/>
      <c r="O181"/>
      <c r="P181"/>
      <c r="Q181"/>
    </row>
    <row r="182" spans="1:17" ht="15.75" x14ac:dyDescent="0.25">
      <c r="A182"/>
      <c r="B182"/>
      <c r="C182"/>
      <c r="D182"/>
      <c r="E182"/>
      <c r="F182"/>
      <c r="G182"/>
      <c r="H182"/>
      <c r="I182"/>
      <c r="J182"/>
      <c r="K182"/>
      <c r="L182"/>
      <c r="M182"/>
      <c r="N182"/>
      <c r="O182"/>
      <c r="P182"/>
      <c r="Q182"/>
    </row>
    <row r="183" spans="1:17" ht="15.75" x14ac:dyDescent="0.25">
      <c r="A183"/>
      <c r="B183"/>
      <c r="C183"/>
      <c r="D183"/>
      <c r="E183"/>
      <c r="F183"/>
      <c r="G183"/>
      <c r="H183"/>
      <c r="I183"/>
      <c r="J183"/>
      <c r="K183"/>
      <c r="L183"/>
      <c r="M183"/>
      <c r="N183"/>
      <c r="O183"/>
      <c r="P183"/>
      <c r="Q183"/>
    </row>
    <row r="184" spans="1:17" ht="15.75" x14ac:dyDescent="0.25">
      <c r="A184"/>
      <c r="B184"/>
      <c r="C184"/>
      <c r="D184"/>
      <c r="E184"/>
      <c r="F184"/>
      <c r="G184"/>
      <c r="H184"/>
      <c r="I184"/>
      <c r="J184"/>
      <c r="K184"/>
      <c r="L184"/>
      <c r="M184"/>
      <c r="N184"/>
      <c r="O184"/>
      <c r="P184"/>
      <c r="Q184"/>
    </row>
    <row r="185" spans="1:17" ht="15.75" x14ac:dyDescent="0.25">
      <c r="A185"/>
      <c r="B185"/>
      <c r="C185"/>
      <c r="D185"/>
      <c r="E185"/>
      <c r="F185"/>
      <c r="G185"/>
      <c r="H185"/>
      <c r="I185"/>
      <c r="J185"/>
      <c r="K185"/>
      <c r="L185"/>
      <c r="M185"/>
      <c r="N185"/>
      <c r="O185"/>
      <c r="P185"/>
      <c r="Q185"/>
    </row>
    <row r="186" spans="1:17" ht="15.75" x14ac:dyDescent="0.25">
      <c r="A186"/>
      <c r="B186"/>
      <c r="C186"/>
      <c r="D186"/>
      <c r="E186"/>
      <c r="F186"/>
      <c r="G186"/>
      <c r="H186"/>
      <c r="I186"/>
      <c r="J186"/>
      <c r="K186"/>
      <c r="L186"/>
      <c r="M186"/>
      <c r="N186"/>
      <c r="O186"/>
      <c r="P186"/>
      <c r="Q186"/>
    </row>
    <row r="187" spans="1:17" ht="15.75" x14ac:dyDescent="0.25">
      <c r="A187"/>
      <c r="B187"/>
      <c r="C187"/>
      <c r="D187"/>
      <c r="E187"/>
      <c r="F187"/>
      <c r="G187"/>
      <c r="H187"/>
      <c r="I187"/>
      <c r="J187"/>
      <c r="K187"/>
      <c r="L187"/>
      <c r="M187"/>
      <c r="N187"/>
      <c r="O187"/>
      <c r="P187"/>
      <c r="Q187"/>
    </row>
    <row r="188" spans="1:17" ht="15.75" x14ac:dyDescent="0.25">
      <c r="A188"/>
      <c r="B188"/>
      <c r="C188"/>
      <c r="D188"/>
      <c r="E188"/>
      <c r="F188"/>
      <c r="G188"/>
      <c r="H188"/>
      <c r="I188"/>
      <c r="J188"/>
      <c r="K188"/>
      <c r="L188"/>
      <c r="M188"/>
      <c r="N188"/>
      <c r="O188"/>
      <c r="P188"/>
      <c r="Q188"/>
    </row>
    <row r="189" spans="1:17" ht="15.75" x14ac:dyDescent="0.25">
      <c r="A189"/>
      <c r="B189"/>
      <c r="C189"/>
      <c r="D189"/>
      <c r="E189"/>
      <c r="F189"/>
      <c r="G189"/>
      <c r="H189"/>
      <c r="I189"/>
      <c r="J189"/>
      <c r="K189"/>
      <c r="L189"/>
      <c r="M189"/>
      <c r="N189"/>
      <c r="O189"/>
      <c r="P189"/>
      <c r="Q189"/>
    </row>
    <row r="190" spans="1:17" ht="15.75" x14ac:dyDescent="0.25">
      <c r="A190"/>
      <c r="B190"/>
      <c r="C190"/>
      <c r="D190"/>
      <c r="E190"/>
      <c r="F190"/>
      <c r="G190"/>
      <c r="H190"/>
      <c r="I190"/>
      <c r="J190"/>
      <c r="K190"/>
      <c r="L190"/>
      <c r="M190"/>
      <c r="N190"/>
      <c r="O190"/>
      <c r="P190"/>
      <c r="Q190"/>
    </row>
    <row r="191" spans="1:17" ht="15.75" x14ac:dyDescent="0.25">
      <c r="A191"/>
      <c r="B191"/>
      <c r="C191"/>
      <c r="D191"/>
      <c r="E191"/>
      <c r="F191"/>
      <c r="G191"/>
      <c r="H191"/>
      <c r="I191"/>
      <c r="J191"/>
      <c r="K191"/>
      <c r="L191"/>
      <c r="M191"/>
      <c r="N191"/>
      <c r="O191"/>
      <c r="P191"/>
      <c r="Q191"/>
    </row>
    <row r="192" spans="1:17" ht="15.75" x14ac:dyDescent="0.25">
      <c r="A192"/>
      <c r="B192"/>
      <c r="C192"/>
      <c r="D192"/>
      <c r="E192"/>
      <c r="F192"/>
      <c r="G192"/>
      <c r="H192"/>
      <c r="I192"/>
      <c r="J192"/>
      <c r="K192"/>
      <c r="L192"/>
      <c r="M192"/>
      <c r="N192"/>
      <c r="O192"/>
      <c r="P192"/>
      <c r="Q192"/>
    </row>
    <row r="193" spans="1:17" ht="15.75" x14ac:dyDescent="0.25">
      <c r="A193"/>
      <c r="B193"/>
      <c r="C193"/>
      <c r="D193"/>
      <c r="E193"/>
      <c r="F193"/>
      <c r="G193"/>
      <c r="H193"/>
      <c r="I193"/>
      <c r="J193"/>
      <c r="K193"/>
      <c r="L193"/>
      <c r="M193"/>
      <c r="N193"/>
      <c r="O193"/>
      <c r="P193"/>
      <c r="Q193"/>
    </row>
    <row r="194" spans="1:17" ht="15.75" x14ac:dyDescent="0.25">
      <c r="A194"/>
      <c r="B194"/>
      <c r="C194"/>
      <c r="D194"/>
      <c r="E194"/>
      <c r="F194"/>
      <c r="G194"/>
      <c r="H194"/>
      <c r="I194"/>
      <c r="J194"/>
      <c r="K194"/>
      <c r="L194"/>
      <c r="M194"/>
      <c r="N194"/>
      <c r="O194"/>
      <c r="P194"/>
      <c r="Q194"/>
    </row>
    <row r="195" spans="1:17" ht="15.75" x14ac:dyDescent="0.25">
      <c r="A195"/>
      <c r="B195"/>
      <c r="C195"/>
      <c r="D195"/>
      <c r="E195"/>
      <c r="F195"/>
      <c r="G195"/>
      <c r="H195"/>
      <c r="I195"/>
      <c r="J195"/>
      <c r="K195"/>
      <c r="L195"/>
      <c r="M195"/>
      <c r="N195"/>
      <c r="O195"/>
      <c r="P195"/>
      <c r="Q195"/>
    </row>
    <row r="196" spans="1:17" ht="15.75" x14ac:dyDescent="0.25">
      <c r="A196"/>
      <c r="B196"/>
      <c r="C196"/>
      <c r="D196"/>
      <c r="E196"/>
      <c r="F196"/>
      <c r="G196"/>
      <c r="H196"/>
      <c r="I196"/>
      <c r="J196"/>
      <c r="K196"/>
      <c r="L196"/>
      <c r="M196"/>
      <c r="N196"/>
      <c r="O196"/>
      <c r="P196"/>
      <c r="Q196"/>
    </row>
    <row r="197" spans="1:17" ht="15.75" x14ac:dyDescent="0.25">
      <c r="A197"/>
      <c r="B197"/>
      <c r="C197"/>
      <c r="D197"/>
      <c r="E197"/>
      <c r="F197"/>
      <c r="G197"/>
      <c r="H197"/>
      <c r="I197"/>
      <c r="J197"/>
      <c r="K197"/>
      <c r="L197"/>
      <c r="M197"/>
      <c r="N197"/>
      <c r="O197"/>
      <c r="P197"/>
      <c r="Q197"/>
    </row>
    <row r="198" spans="1:17" ht="15.75" x14ac:dyDescent="0.25">
      <c r="A198"/>
      <c r="B198"/>
      <c r="C198"/>
      <c r="D198"/>
      <c r="E198"/>
      <c r="F198"/>
      <c r="G198"/>
      <c r="H198"/>
      <c r="I198"/>
      <c r="J198"/>
      <c r="K198"/>
      <c r="L198"/>
      <c r="M198"/>
      <c r="N198"/>
      <c r="O198"/>
      <c r="P198"/>
      <c r="Q198"/>
    </row>
    <row r="199" spans="1:17" ht="15.75" x14ac:dyDescent="0.25">
      <c r="A199"/>
      <c r="B199"/>
      <c r="C199"/>
      <c r="D199"/>
      <c r="E199"/>
      <c r="F199"/>
      <c r="G199"/>
      <c r="H199"/>
      <c r="I199"/>
      <c r="J199"/>
      <c r="K199"/>
      <c r="L199"/>
      <c r="M199"/>
      <c r="N199"/>
      <c r="O199"/>
      <c r="P199"/>
      <c r="Q199"/>
    </row>
    <row r="200" spans="1:17" ht="15.75" x14ac:dyDescent="0.25">
      <c r="A200"/>
      <c r="B200"/>
      <c r="C200"/>
      <c r="D200"/>
      <c r="E200"/>
      <c r="F200"/>
      <c r="G200"/>
      <c r="H200"/>
      <c r="I200"/>
      <c r="J200"/>
      <c r="K200"/>
      <c r="L200"/>
      <c r="M200"/>
      <c r="N200"/>
      <c r="O200"/>
      <c r="P200"/>
      <c r="Q200"/>
    </row>
    <row r="201" spans="1:17" ht="15.75" x14ac:dyDescent="0.25">
      <c r="A201"/>
      <c r="B201"/>
      <c r="C201"/>
      <c r="D201"/>
      <c r="E201"/>
      <c r="F201"/>
      <c r="G201"/>
      <c r="H201"/>
      <c r="I201"/>
      <c r="J201"/>
      <c r="K201"/>
      <c r="L201"/>
      <c r="M201"/>
      <c r="N201"/>
      <c r="O201"/>
      <c r="P201"/>
      <c r="Q201"/>
    </row>
    <row r="202" spans="1:17" ht="15.75" x14ac:dyDescent="0.25">
      <c r="A202"/>
      <c r="B202"/>
      <c r="C202"/>
      <c r="D202"/>
      <c r="E202"/>
      <c r="F202"/>
      <c r="G202"/>
      <c r="H202"/>
      <c r="I202"/>
      <c r="J202"/>
      <c r="K202"/>
      <c r="L202"/>
      <c r="M202"/>
      <c r="N202"/>
      <c r="O202"/>
      <c r="P202"/>
      <c r="Q202"/>
    </row>
    <row r="203" spans="1:17" ht="15.75" x14ac:dyDescent="0.25">
      <c r="A203"/>
      <c r="B203"/>
      <c r="C203"/>
      <c r="D203"/>
      <c r="E203"/>
      <c r="F203"/>
      <c r="G203"/>
      <c r="H203"/>
      <c r="I203"/>
      <c r="J203"/>
      <c r="K203"/>
      <c r="L203"/>
      <c r="M203"/>
      <c r="N203"/>
      <c r="O203"/>
      <c r="P203"/>
      <c r="Q203"/>
    </row>
    <row r="204" spans="1:17" ht="15.75" x14ac:dyDescent="0.25">
      <c r="A204"/>
      <c r="B204"/>
      <c r="C204"/>
      <c r="D204"/>
      <c r="E204"/>
      <c r="F204"/>
      <c r="G204"/>
      <c r="H204"/>
      <c r="I204"/>
      <c r="J204"/>
      <c r="K204"/>
      <c r="L204"/>
      <c r="M204"/>
      <c r="N204"/>
      <c r="O204"/>
      <c r="P204"/>
      <c r="Q204"/>
    </row>
    <row r="205" spans="1:17" ht="15.75" x14ac:dyDescent="0.25">
      <c r="A205"/>
      <c r="B205"/>
      <c r="C205"/>
      <c r="D205"/>
      <c r="E205"/>
      <c r="F205"/>
      <c r="G205"/>
      <c r="H205"/>
      <c r="I205"/>
      <c r="J205"/>
      <c r="K205"/>
      <c r="L205"/>
      <c r="M205"/>
      <c r="N205"/>
      <c r="O205"/>
      <c r="P205"/>
      <c r="Q205"/>
    </row>
    <row r="206" spans="1:17" ht="15.75" x14ac:dyDescent="0.25">
      <c r="A206"/>
      <c r="B206"/>
      <c r="C206"/>
      <c r="D206"/>
      <c r="E206"/>
      <c r="F206"/>
      <c r="G206"/>
      <c r="H206"/>
      <c r="I206"/>
      <c r="J206"/>
      <c r="K206"/>
      <c r="L206"/>
      <c r="M206"/>
      <c r="N206"/>
      <c r="O206"/>
      <c r="P206"/>
      <c r="Q206"/>
    </row>
    <row r="207" spans="1:17" ht="15.75" x14ac:dyDescent="0.25">
      <c r="A207"/>
      <c r="B207"/>
      <c r="C207"/>
      <c r="D207"/>
      <c r="E207"/>
      <c r="F207"/>
      <c r="G207"/>
      <c r="H207"/>
      <c r="I207"/>
      <c r="J207"/>
      <c r="K207"/>
      <c r="L207"/>
      <c r="M207"/>
      <c r="N207"/>
      <c r="O207"/>
      <c r="P207"/>
      <c r="Q207"/>
    </row>
    <row r="208" spans="1:17" ht="15.75" x14ac:dyDescent="0.25">
      <c r="A208"/>
      <c r="B208"/>
      <c r="C208"/>
      <c r="D208"/>
      <c r="E208"/>
      <c r="F208"/>
      <c r="G208"/>
      <c r="H208"/>
      <c r="I208"/>
      <c r="J208"/>
      <c r="K208"/>
      <c r="L208"/>
      <c r="M208"/>
      <c r="N208"/>
      <c r="O208"/>
      <c r="P208"/>
      <c r="Q208"/>
    </row>
    <row r="209" spans="1:17" ht="15.75" x14ac:dyDescent="0.25">
      <c r="A209"/>
      <c r="B209"/>
      <c r="C209"/>
      <c r="D209"/>
      <c r="E209"/>
      <c r="F209"/>
      <c r="G209"/>
      <c r="H209"/>
      <c r="I209"/>
      <c r="J209"/>
      <c r="K209"/>
      <c r="L209"/>
      <c r="M209"/>
      <c r="N209"/>
      <c r="O209"/>
      <c r="P209"/>
      <c r="Q209"/>
    </row>
    <row r="210" spans="1:17" ht="15.75" x14ac:dyDescent="0.25">
      <c r="A210"/>
      <c r="B210"/>
      <c r="C210"/>
      <c r="D210"/>
      <c r="E210"/>
      <c r="F210"/>
      <c r="G210"/>
      <c r="H210"/>
      <c r="I210"/>
      <c r="J210"/>
      <c r="K210"/>
      <c r="L210"/>
      <c r="M210"/>
      <c r="N210"/>
      <c r="O210"/>
      <c r="P210"/>
      <c r="Q210"/>
    </row>
    <row r="211" spans="1:17" ht="15.75" x14ac:dyDescent="0.25">
      <c r="A211"/>
      <c r="B211"/>
      <c r="C211"/>
      <c r="D211"/>
      <c r="E211"/>
      <c r="F211"/>
      <c r="G211"/>
      <c r="H211"/>
      <c r="I211"/>
      <c r="J211"/>
      <c r="K211"/>
      <c r="L211"/>
      <c r="M211"/>
      <c r="N211"/>
      <c r="O211"/>
      <c r="P211"/>
      <c r="Q211"/>
    </row>
    <row r="212" spans="1:17" ht="15.75" x14ac:dyDescent="0.25">
      <c r="A212"/>
      <c r="B212"/>
      <c r="C212"/>
      <c r="D212"/>
      <c r="E212"/>
      <c r="F212"/>
      <c r="G212"/>
      <c r="H212"/>
      <c r="I212"/>
      <c r="J212"/>
      <c r="K212"/>
      <c r="L212"/>
      <c r="M212"/>
      <c r="N212"/>
      <c r="O212"/>
      <c r="P212"/>
      <c r="Q212"/>
    </row>
    <row r="213" spans="1:17" ht="15.75" x14ac:dyDescent="0.25">
      <c r="A213"/>
      <c r="B213"/>
      <c r="C213"/>
      <c r="D213"/>
      <c r="E213"/>
      <c r="F213"/>
      <c r="G213"/>
      <c r="H213"/>
      <c r="I213"/>
      <c r="J213"/>
      <c r="K213"/>
      <c r="L213"/>
      <c r="M213"/>
      <c r="N213"/>
      <c r="O213"/>
      <c r="P213"/>
      <c r="Q213"/>
    </row>
    <row r="214" spans="1:17" ht="15.75" x14ac:dyDescent="0.25">
      <c r="A214"/>
      <c r="B214"/>
      <c r="C214"/>
      <c r="D214"/>
      <c r="E214"/>
      <c r="F214"/>
      <c r="G214"/>
      <c r="H214"/>
      <c r="I214"/>
      <c r="J214"/>
      <c r="K214"/>
      <c r="L214"/>
      <c r="M214"/>
      <c r="N214"/>
      <c r="O214"/>
      <c r="P214"/>
      <c r="Q214"/>
    </row>
    <row r="215" spans="1:17" ht="15.75" x14ac:dyDescent="0.25">
      <c r="A215"/>
      <c r="B215"/>
      <c r="C215"/>
      <c r="D215"/>
      <c r="E215"/>
      <c r="F215"/>
      <c r="G215"/>
      <c r="H215"/>
      <c r="I215"/>
      <c r="J215"/>
      <c r="K215"/>
      <c r="L215"/>
      <c r="M215"/>
      <c r="N215"/>
      <c r="O215"/>
      <c r="P215"/>
      <c r="Q215"/>
    </row>
    <row r="216" spans="1:17" ht="15.75" x14ac:dyDescent="0.25">
      <c r="A216"/>
      <c r="B216"/>
      <c r="C216"/>
      <c r="D216"/>
      <c r="E216"/>
      <c r="F216"/>
      <c r="G216"/>
      <c r="H216"/>
      <c r="I216"/>
      <c r="J216"/>
      <c r="K216"/>
      <c r="L216"/>
      <c r="M216"/>
      <c r="N216"/>
      <c r="O216"/>
      <c r="P216"/>
      <c r="Q216"/>
    </row>
    <row r="217" spans="1:17" ht="15.75" x14ac:dyDescent="0.25">
      <c r="A217"/>
      <c r="B217"/>
      <c r="C217"/>
      <c r="D217"/>
      <c r="E217"/>
      <c r="F217"/>
      <c r="G217"/>
      <c r="H217"/>
      <c r="I217"/>
      <c r="J217"/>
      <c r="K217"/>
      <c r="L217"/>
      <c r="M217"/>
      <c r="N217"/>
      <c r="O217"/>
      <c r="P217"/>
      <c r="Q217"/>
    </row>
    <row r="218" spans="1:17" ht="15.75" x14ac:dyDescent="0.25">
      <c r="A218"/>
      <c r="B218"/>
      <c r="C218"/>
      <c r="D218"/>
      <c r="E218"/>
      <c r="F218"/>
      <c r="G218"/>
      <c r="H218"/>
      <c r="I218"/>
      <c r="J218"/>
      <c r="K218"/>
      <c r="L218"/>
      <c r="M218"/>
      <c r="N218"/>
      <c r="O218"/>
      <c r="P218"/>
      <c r="Q218"/>
    </row>
    <row r="219" spans="1:17" ht="15.75" x14ac:dyDescent="0.25">
      <c r="A219"/>
      <c r="B219"/>
      <c r="C219"/>
      <c r="D219"/>
      <c r="E219"/>
      <c r="F219"/>
      <c r="G219"/>
      <c r="H219"/>
      <c r="I219"/>
      <c r="J219"/>
      <c r="K219"/>
      <c r="L219"/>
      <c r="M219"/>
      <c r="N219"/>
      <c r="O219"/>
      <c r="P219"/>
      <c r="Q219"/>
    </row>
    <row r="220" spans="1:17" ht="15.75" x14ac:dyDescent="0.25">
      <c r="A220"/>
      <c r="B220"/>
      <c r="C220"/>
      <c r="D220"/>
      <c r="E220"/>
      <c r="F220"/>
      <c r="G220"/>
      <c r="H220"/>
      <c r="I220"/>
      <c r="J220"/>
      <c r="K220"/>
      <c r="L220"/>
      <c r="M220"/>
      <c r="N220"/>
      <c r="O220"/>
      <c r="P220"/>
      <c r="Q220"/>
    </row>
    <row r="221" spans="1:17" ht="15.75" x14ac:dyDescent="0.25">
      <c r="A221"/>
      <c r="B221"/>
      <c r="C221"/>
      <c r="D221"/>
      <c r="E221"/>
      <c r="F221"/>
      <c r="G221"/>
      <c r="H221"/>
      <c r="I221"/>
      <c r="J221"/>
      <c r="K221"/>
      <c r="L221"/>
      <c r="M221"/>
      <c r="N221"/>
      <c r="O221"/>
      <c r="P221"/>
      <c r="Q221"/>
    </row>
    <row r="222" spans="1:17" ht="15.75" x14ac:dyDescent="0.25">
      <c r="A222"/>
      <c r="B222"/>
      <c r="C222"/>
      <c r="D222"/>
      <c r="E222"/>
      <c r="F222"/>
      <c r="G222"/>
      <c r="H222"/>
      <c r="I222"/>
      <c r="J222"/>
      <c r="K222"/>
      <c r="L222"/>
      <c r="M222"/>
      <c r="N222"/>
      <c r="O222"/>
      <c r="P222"/>
      <c r="Q222"/>
    </row>
    <row r="223" spans="1:17" ht="15.75" x14ac:dyDescent="0.25">
      <c r="A223"/>
      <c r="B223"/>
      <c r="C223"/>
      <c r="D223"/>
      <c r="E223"/>
      <c r="F223"/>
      <c r="G223"/>
      <c r="H223"/>
      <c r="I223"/>
      <c r="J223"/>
      <c r="K223"/>
      <c r="L223"/>
      <c r="M223"/>
      <c r="N223"/>
      <c r="O223"/>
      <c r="P223"/>
      <c r="Q223"/>
    </row>
    <row r="224" spans="1:17" ht="15.75" x14ac:dyDescent="0.25">
      <c r="A224"/>
      <c r="B224"/>
      <c r="C224"/>
      <c r="D224"/>
      <c r="E224"/>
      <c r="F224"/>
      <c r="G224"/>
      <c r="H224"/>
      <c r="I224"/>
      <c r="J224"/>
      <c r="K224"/>
      <c r="L224"/>
      <c r="M224"/>
      <c r="N224"/>
      <c r="O224"/>
      <c r="P224"/>
      <c r="Q224"/>
    </row>
    <row r="225" spans="1:17" ht="15.75" x14ac:dyDescent="0.25">
      <c r="A225"/>
      <c r="B225"/>
      <c r="C225"/>
      <c r="D225"/>
      <c r="E225"/>
      <c r="F225"/>
      <c r="G225"/>
      <c r="H225"/>
      <c r="I225"/>
      <c r="J225"/>
      <c r="K225"/>
      <c r="L225"/>
      <c r="M225"/>
      <c r="N225"/>
      <c r="O225"/>
      <c r="P225"/>
      <c r="Q225"/>
    </row>
    <row r="226" spans="1:17" ht="15.75" x14ac:dyDescent="0.25">
      <c r="A226"/>
      <c r="B226"/>
      <c r="C226"/>
      <c r="D226"/>
      <c r="E226"/>
      <c r="F226"/>
      <c r="G226"/>
      <c r="H226"/>
      <c r="I226"/>
      <c r="J226"/>
      <c r="K226"/>
      <c r="L226"/>
      <c r="M226"/>
      <c r="N226"/>
      <c r="O226"/>
      <c r="P226"/>
      <c r="Q226"/>
    </row>
    <row r="227" spans="1:17" ht="15.75" x14ac:dyDescent="0.25">
      <c r="A227"/>
      <c r="B227"/>
      <c r="C227"/>
      <c r="D227"/>
      <c r="E227"/>
      <c r="F227"/>
      <c r="G227"/>
      <c r="H227"/>
      <c r="I227"/>
      <c r="J227"/>
      <c r="K227"/>
      <c r="L227"/>
      <c r="M227"/>
      <c r="N227"/>
      <c r="O227"/>
      <c r="P227"/>
      <c r="Q227"/>
    </row>
    <row r="228" spans="1:17" ht="15.75" x14ac:dyDescent="0.25">
      <c r="A228"/>
      <c r="B228"/>
      <c r="C228"/>
      <c r="D228"/>
      <c r="E228"/>
      <c r="F228"/>
      <c r="G228"/>
      <c r="H228"/>
      <c r="I228"/>
      <c r="J228"/>
      <c r="K228"/>
      <c r="L228"/>
      <c r="M228"/>
      <c r="N228"/>
      <c r="O228"/>
      <c r="P228"/>
      <c r="Q228"/>
    </row>
    <row r="229" spans="1:17" ht="15.75" x14ac:dyDescent="0.25">
      <c r="A229"/>
      <c r="B229"/>
      <c r="C229"/>
      <c r="D229"/>
      <c r="E229"/>
      <c r="F229"/>
      <c r="G229"/>
      <c r="H229"/>
      <c r="I229"/>
      <c r="J229"/>
      <c r="K229"/>
      <c r="L229"/>
      <c r="M229"/>
      <c r="N229"/>
      <c r="O229"/>
      <c r="P229"/>
      <c r="Q229"/>
    </row>
    <row r="230" spans="1:17" ht="15.75" x14ac:dyDescent="0.25">
      <c r="A230"/>
      <c r="B230"/>
      <c r="C230"/>
      <c r="D230"/>
      <c r="E230"/>
      <c r="F230"/>
      <c r="G230"/>
      <c r="H230"/>
      <c r="I230"/>
      <c r="J230"/>
      <c r="K230"/>
      <c r="L230"/>
      <c r="M230"/>
      <c r="N230"/>
      <c r="O230"/>
      <c r="P230"/>
      <c r="Q230"/>
    </row>
    <row r="231" spans="1:17" ht="15.75" x14ac:dyDescent="0.25">
      <c r="A231"/>
      <c r="B231"/>
      <c r="C231"/>
      <c r="D231"/>
      <c r="E231"/>
      <c r="F231"/>
      <c r="G231"/>
      <c r="H231"/>
      <c r="I231"/>
      <c r="J231"/>
      <c r="K231"/>
      <c r="L231"/>
      <c r="M231"/>
      <c r="N231"/>
      <c r="O231"/>
      <c r="P231"/>
      <c r="Q231"/>
    </row>
    <row r="232" spans="1:17" ht="15.75" x14ac:dyDescent="0.25">
      <c r="A232"/>
      <c r="B232"/>
      <c r="C232"/>
      <c r="D232"/>
      <c r="E232"/>
      <c r="F232"/>
      <c r="G232"/>
      <c r="H232"/>
      <c r="I232"/>
      <c r="J232"/>
      <c r="K232"/>
      <c r="L232"/>
      <c r="M232"/>
      <c r="N232"/>
      <c r="O232"/>
      <c r="P232"/>
      <c r="Q232"/>
    </row>
    <row r="233" spans="1:17" ht="15.75" x14ac:dyDescent="0.25">
      <c r="A233"/>
      <c r="B233"/>
      <c r="C233"/>
      <c r="D233"/>
      <c r="E233"/>
      <c r="F233"/>
      <c r="G233"/>
      <c r="H233"/>
      <c r="I233"/>
      <c r="J233"/>
      <c r="K233"/>
      <c r="L233"/>
      <c r="M233"/>
      <c r="N233"/>
      <c r="O233"/>
      <c r="P233"/>
      <c r="Q233"/>
    </row>
    <row r="234" spans="1:17" ht="15.75" x14ac:dyDescent="0.25">
      <c r="A234"/>
      <c r="B234"/>
      <c r="C234"/>
      <c r="D234"/>
      <c r="E234"/>
      <c r="F234"/>
      <c r="G234"/>
      <c r="H234"/>
      <c r="I234"/>
      <c r="J234"/>
      <c r="K234"/>
      <c r="L234"/>
      <c r="M234"/>
      <c r="N234"/>
      <c r="O234"/>
      <c r="P234"/>
      <c r="Q234"/>
    </row>
    <row r="235" spans="1:17" ht="15.75" x14ac:dyDescent="0.25">
      <c r="A235"/>
      <c r="B235"/>
      <c r="C235"/>
      <c r="D235"/>
      <c r="E235"/>
      <c r="F235"/>
      <c r="G235"/>
      <c r="H235"/>
      <c r="I235"/>
      <c r="J235"/>
      <c r="K235"/>
      <c r="L235"/>
      <c r="M235"/>
      <c r="N235"/>
      <c r="O235"/>
      <c r="P235"/>
      <c r="Q235"/>
    </row>
    <row r="236" spans="1:17" ht="15.75" x14ac:dyDescent="0.25">
      <c r="A236"/>
      <c r="B236"/>
      <c r="C236"/>
      <c r="D236"/>
      <c r="E236"/>
      <c r="F236"/>
      <c r="G236"/>
      <c r="H236"/>
      <c r="I236"/>
      <c r="J236"/>
      <c r="K236"/>
      <c r="L236"/>
      <c r="M236"/>
      <c r="N236"/>
      <c r="O236"/>
      <c r="P236"/>
      <c r="Q236"/>
    </row>
    <row r="237" spans="1:17" ht="15.75" x14ac:dyDescent="0.25">
      <c r="A237"/>
      <c r="B237"/>
      <c r="C237"/>
      <c r="D237"/>
      <c r="E237"/>
      <c r="F237"/>
      <c r="G237"/>
      <c r="H237"/>
      <c r="I237"/>
      <c r="J237"/>
      <c r="K237"/>
      <c r="L237"/>
      <c r="M237"/>
      <c r="N237"/>
      <c r="O237"/>
      <c r="P237"/>
      <c r="Q237"/>
    </row>
    <row r="238" spans="1:17" ht="15.75" x14ac:dyDescent="0.25">
      <c r="A238"/>
      <c r="B238"/>
      <c r="C238"/>
      <c r="D238"/>
      <c r="E238"/>
      <c r="F238"/>
      <c r="G238"/>
      <c r="H238"/>
      <c r="I238"/>
      <c r="J238"/>
      <c r="K238"/>
      <c r="L238"/>
      <c r="M238"/>
      <c r="N238"/>
      <c r="O238"/>
      <c r="P238"/>
      <c r="Q238"/>
    </row>
    <row r="239" spans="1:17" ht="15.75" x14ac:dyDescent="0.25">
      <c r="A239"/>
      <c r="B239"/>
      <c r="C239"/>
      <c r="D239"/>
      <c r="E239"/>
      <c r="F239"/>
      <c r="G239"/>
      <c r="H239"/>
      <c r="I239"/>
      <c r="J239"/>
      <c r="K239"/>
      <c r="L239"/>
      <c r="M239"/>
      <c r="N239"/>
      <c r="O239"/>
      <c r="P239"/>
      <c r="Q239"/>
    </row>
    <row r="240" spans="1:17" ht="15.75" x14ac:dyDescent="0.25">
      <c r="A240"/>
      <c r="B240"/>
      <c r="C240"/>
      <c r="D240"/>
      <c r="E240"/>
      <c r="F240"/>
      <c r="G240"/>
      <c r="H240"/>
      <c r="I240"/>
      <c r="J240"/>
      <c r="K240"/>
      <c r="L240"/>
      <c r="M240"/>
      <c r="N240"/>
      <c r="O240"/>
      <c r="P240"/>
      <c r="Q240"/>
    </row>
    <row r="241" spans="1:17" ht="15.75" x14ac:dyDescent="0.25">
      <c r="A241"/>
      <c r="B241"/>
      <c r="C241"/>
      <c r="D241"/>
      <c r="E241"/>
      <c r="F241"/>
      <c r="G241"/>
      <c r="H241"/>
      <c r="I241"/>
      <c r="J241"/>
      <c r="K241"/>
      <c r="L241"/>
      <c r="M241"/>
      <c r="N241"/>
      <c r="O241"/>
      <c r="P241"/>
      <c r="Q241"/>
    </row>
    <row r="242" spans="1:17" ht="15.75" x14ac:dyDescent="0.25">
      <c r="A242"/>
      <c r="B242"/>
      <c r="C242"/>
      <c r="D242"/>
      <c r="E242"/>
      <c r="F242"/>
      <c r="G242"/>
      <c r="H242"/>
      <c r="I242"/>
      <c r="J242"/>
      <c r="K242"/>
      <c r="L242"/>
      <c r="M242"/>
      <c r="N242"/>
      <c r="O242"/>
      <c r="P242"/>
      <c r="Q242"/>
    </row>
    <row r="243" spans="1:17" ht="15.75" x14ac:dyDescent="0.25">
      <c r="A243"/>
      <c r="B243"/>
      <c r="C243"/>
      <c r="D243"/>
      <c r="E243"/>
      <c r="F243"/>
      <c r="G243"/>
      <c r="H243"/>
      <c r="I243"/>
      <c r="J243"/>
      <c r="K243"/>
      <c r="L243"/>
      <c r="M243"/>
      <c r="N243"/>
      <c r="O243"/>
      <c r="P243"/>
      <c r="Q243"/>
    </row>
    <row r="244" spans="1:17" ht="15.75" x14ac:dyDescent="0.25">
      <c r="A244"/>
      <c r="B244"/>
      <c r="C244"/>
      <c r="D244"/>
      <c r="E244"/>
      <c r="F244"/>
      <c r="G244"/>
      <c r="H244"/>
      <c r="I244"/>
      <c r="J244"/>
      <c r="K244"/>
      <c r="L244"/>
      <c r="M244"/>
      <c r="N244"/>
      <c r="O244"/>
      <c r="P244"/>
      <c r="Q244"/>
    </row>
    <row r="245" spans="1:17" ht="15.75" x14ac:dyDescent="0.25">
      <c r="A245"/>
      <c r="B245"/>
      <c r="C245"/>
      <c r="D245"/>
      <c r="E245"/>
      <c r="F245"/>
      <c r="G245"/>
      <c r="H245"/>
      <c r="I245"/>
      <c r="J245"/>
      <c r="K245"/>
      <c r="L245"/>
      <c r="M245"/>
      <c r="N245"/>
      <c r="O245"/>
      <c r="P245"/>
      <c r="Q245"/>
    </row>
    <row r="246" spans="1:17" ht="15.75" x14ac:dyDescent="0.25">
      <c r="A246"/>
      <c r="B246"/>
      <c r="C246"/>
      <c r="D246"/>
      <c r="E246"/>
      <c r="F246"/>
      <c r="G246"/>
      <c r="H246"/>
      <c r="I246"/>
      <c r="J246"/>
      <c r="K246"/>
      <c r="L246"/>
      <c r="M246"/>
      <c r="N246"/>
      <c r="O246"/>
      <c r="P246"/>
      <c r="Q246"/>
    </row>
    <row r="247" spans="1:17" ht="15.75" x14ac:dyDescent="0.25">
      <c r="A247"/>
      <c r="B247"/>
      <c r="C247"/>
      <c r="D247"/>
      <c r="E247"/>
      <c r="F247"/>
      <c r="G247"/>
      <c r="H247"/>
      <c r="I247"/>
      <c r="J247"/>
      <c r="K247"/>
      <c r="L247"/>
      <c r="M247"/>
      <c r="N247"/>
      <c r="O247"/>
      <c r="P247"/>
      <c r="Q247"/>
    </row>
    <row r="248" spans="1:17" ht="15.75" x14ac:dyDescent="0.25">
      <c r="A248"/>
      <c r="B248"/>
      <c r="C248"/>
      <c r="D248"/>
      <c r="E248"/>
      <c r="F248"/>
      <c r="G248"/>
      <c r="H248"/>
      <c r="I248"/>
      <c r="J248"/>
      <c r="K248"/>
      <c r="L248"/>
      <c r="M248"/>
      <c r="N248"/>
      <c r="O248"/>
      <c r="P248"/>
      <c r="Q248"/>
    </row>
    <row r="249" spans="1:17" ht="15.75" x14ac:dyDescent="0.25">
      <c r="A249"/>
      <c r="B249"/>
      <c r="C249"/>
      <c r="D249"/>
      <c r="E249"/>
      <c r="F249"/>
      <c r="G249"/>
      <c r="H249"/>
      <c r="I249"/>
      <c r="J249"/>
      <c r="K249"/>
      <c r="L249"/>
      <c r="M249"/>
      <c r="N249"/>
      <c r="O249"/>
      <c r="P249"/>
      <c r="Q249"/>
    </row>
    <row r="250" spans="1:17" ht="15.75" x14ac:dyDescent="0.25">
      <c r="A250"/>
      <c r="B250"/>
      <c r="C250"/>
      <c r="D250"/>
      <c r="E250"/>
      <c r="F250"/>
      <c r="G250"/>
      <c r="H250"/>
      <c r="I250"/>
      <c r="J250"/>
      <c r="K250"/>
      <c r="L250"/>
      <c r="M250"/>
      <c r="N250"/>
      <c r="O250"/>
      <c r="P250"/>
      <c r="Q250"/>
    </row>
    <row r="251" spans="1:17" ht="15.75" x14ac:dyDescent="0.25">
      <c r="A251"/>
      <c r="B251"/>
      <c r="C251"/>
      <c r="D251"/>
      <c r="E251"/>
      <c r="F251"/>
      <c r="G251"/>
      <c r="H251"/>
      <c r="I251"/>
      <c r="J251"/>
      <c r="K251"/>
      <c r="L251"/>
      <c r="M251"/>
      <c r="N251"/>
      <c r="O251"/>
      <c r="P251"/>
      <c r="Q251"/>
    </row>
    <row r="252" spans="1:17" ht="15.75" x14ac:dyDescent="0.25">
      <c r="A252"/>
      <c r="B252"/>
      <c r="C252"/>
      <c r="D252"/>
      <c r="E252"/>
      <c r="F252"/>
      <c r="G252"/>
      <c r="H252"/>
      <c r="I252"/>
      <c r="J252"/>
      <c r="K252"/>
      <c r="L252"/>
      <c r="M252"/>
      <c r="N252"/>
      <c r="O252"/>
      <c r="P252"/>
      <c r="Q252"/>
    </row>
    <row r="253" spans="1:17" ht="15.75" x14ac:dyDescent="0.25">
      <c r="A253"/>
      <c r="B253"/>
      <c r="C253"/>
      <c r="D253"/>
      <c r="E253"/>
      <c r="F253"/>
      <c r="G253"/>
      <c r="H253"/>
      <c r="I253"/>
      <c r="J253"/>
      <c r="K253"/>
      <c r="L253"/>
      <c r="M253"/>
      <c r="N253"/>
      <c r="O253"/>
      <c r="P253"/>
      <c r="Q253"/>
    </row>
    <row r="254" spans="1:17" ht="15.75" x14ac:dyDescent="0.25">
      <c r="A254"/>
      <c r="B254"/>
      <c r="C254"/>
      <c r="D254"/>
      <c r="E254"/>
      <c r="F254"/>
      <c r="G254"/>
      <c r="H254"/>
      <c r="I254"/>
      <c r="J254"/>
      <c r="K254"/>
      <c r="L254"/>
      <c r="M254"/>
      <c r="N254"/>
      <c r="O254"/>
      <c r="P254"/>
      <c r="Q254"/>
    </row>
    <row r="255" spans="1:17" ht="15.75" x14ac:dyDescent="0.25">
      <c r="A255"/>
      <c r="B255"/>
      <c r="C255"/>
      <c r="D255"/>
      <c r="E255"/>
      <c r="F255"/>
      <c r="G255"/>
      <c r="H255"/>
      <c r="I255"/>
      <c r="J255"/>
      <c r="K255"/>
      <c r="L255"/>
      <c r="M255"/>
      <c r="N255"/>
      <c r="O255"/>
      <c r="P255"/>
      <c r="Q255"/>
    </row>
    <row r="256" spans="1:17" ht="15.75" x14ac:dyDescent="0.25">
      <c r="A256"/>
      <c r="B256"/>
      <c r="C256"/>
      <c r="D256"/>
      <c r="E256"/>
      <c r="F256"/>
      <c r="G256"/>
      <c r="H256"/>
      <c r="I256"/>
      <c r="J256"/>
      <c r="K256"/>
      <c r="L256"/>
      <c r="M256"/>
      <c r="N256"/>
      <c r="O256"/>
      <c r="P256"/>
      <c r="Q256"/>
    </row>
    <row r="257" spans="1:17" ht="15.75" x14ac:dyDescent="0.25">
      <c r="A257"/>
      <c r="B257"/>
      <c r="C257"/>
      <c r="D257"/>
      <c r="E257"/>
      <c r="F257"/>
      <c r="G257"/>
      <c r="H257"/>
      <c r="I257"/>
      <c r="J257"/>
      <c r="K257"/>
      <c r="L257"/>
      <c r="M257"/>
      <c r="N257"/>
      <c r="O257"/>
      <c r="P257"/>
      <c r="Q257"/>
    </row>
    <row r="258" spans="1:17" ht="15.75" x14ac:dyDescent="0.25">
      <c r="A258"/>
      <c r="B258"/>
      <c r="C258"/>
      <c r="D258"/>
      <c r="E258"/>
      <c r="F258"/>
      <c r="G258"/>
      <c r="H258"/>
      <c r="I258"/>
      <c r="J258"/>
      <c r="K258"/>
      <c r="L258"/>
      <c r="M258"/>
      <c r="N258"/>
      <c r="O258"/>
      <c r="P258"/>
      <c r="Q258"/>
    </row>
    <row r="259" spans="1:17" ht="15.75" x14ac:dyDescent="0.25">
      <c r="A259"/>
      <c r="B259"/>
      <c r="C259"/>
      <c r="D259"/>
      <c r="E259"/>
      <c r="F259"/>
      <c r="G259"/>
      <c r="H259"/>
      <c r="I259"/>
      <c r="J259"/>
      <c r="K259"/>
      <c r="L259"/>
      <c r="M259"/>
      <c r="N259"/>
      <c r="O259"/>
      <c r="P259"/>
      <c r="Q259"/>
    </row>
    <row r="260" spans="1:17" ht="15.75" x14ac:dyDescent="0.25">
      <c r="A260"/>
      <c r="B260"/>
      <c r="C260"/>
      <c r="D260"/>
      <c r="E260"/>
      <c r="F260"/>
      <c r="G260"/>
      <c r="H260"/>
      <c r="I260"/>
      <c r="J260"/>
      <c r="K260"/>
      <c r="L260"/>
      <c r="M260"/>
      <c r="N260"/>
      <c r="O260"/>
      <c r="P260"/>
      <c r="Q260"/>
    </row>
    <row r="261" spans="1:17" ht="15.75" x14ac:dyDescent="0.25">
      <c r="A261"/>
      <c r="B261"/>
      <c r="C261"/>
      <c r="D261"/>
      <c r="E261"/>
      <c r="F261"/>
      <c r="G261"/>
      <c r="H261"/>
      <c r="I261"/>
      <c r="J261"/>
      <c r="K261"/>
      <c r="L261"/>
      <c r="M261"/>
      <c r="N261"/>
      <c r="O261"/>
      <c r="P261"/>
      <c r="Q261"/>
    </row>
    <row r="262" spans="1:17" ht="15.75" x14ac:dyDescent="0.25">
      <c r="A262"/>
      <c r="B262"/>
      <c r="C262"/>
      <c r="D262"/>
      <c r="E262"/>
      <c r="F262"/>
      <c r="G262"/>
      <c r="H262"/>
      <c r="I262"/>
      <c r="J262"/>
      <c r="K262"/>
      <c r="L262"/>
      <c r="M262"/>
      <c r="N262"/>
      <c r="O262"/>
      <c r="P262"/>
      <c r="Q262"/>
    </row>
    <row r="263" spans="1:17" ht="15.75" x14ac:dyDescent="0.25">
      <c r="A263"/>
      <c r="B263"/>
      <c r="C263"/>
      <c r="D263"/>
      <c r="E263"/>
      <c r="F263"/>
      <c r="G263"/>
      <c r="H263"/>
      <c r="I263"/>
      <c r="J263"/>
      <c r="K263"/>
      <c r="L263"/>
      <c r="M263"/>
      <c r="N263"/>
      <c r="O263"/>
      <c r="P263"/>
      <c r="Q263"/>
    </row>
    <row r="264" spans="1:17" ht="15.75" x14ac:dyDescent="0.25">
      <c r="A264"/>
      <c r="B264"/>
      <c r="C264"/>
      <c r="D264"/>
      <c r="E264"/>
      <c r="F264"/>
      <c r="G264"/>
      <c r="H264"/>
      <c r="I264"/>
      <c r="J264"/>
      <c r="K264"/>
      <c r="L264"/>
      <c r="M264"/>
      <c r="N264"/>
      <c r="O264"/>
      <c r="P264"/>
      <c r="Q264"/>
    </row>
    <row r="265" spans="1:17" ht="15.75" x14ac:dyDescent="0.25">
      <c r="A265"/>
      <c r="B265"/>
      <c r="C265"/>
      <c r="D265"/>
      <c r="E265"/>
      <c r="F265"/>
      <c r="G265"/>
      <c r="H265"/>
      <c r="I265"/>
      <c r="J265"/>
      <c r="K265"/>
      <c r="L265"/>
      <c r="M265"/>
      <c r="N265"/>
      <c r="O265"/>
      <c r="P265"/>
      <c r="Q265"/>
    </row>
    <row r="266" spans="1:17" ht="15.75" x14ac:dyDescent="0.25">
      <c r="A266"/>
      <c r="B266"/>
      <c r="C266"/>
      <c r="D266"/>
      <c r="E266"/>
      <c r="F266"/>
      <c r="G266"/>
      <c r="H266"/>
      <c r="I266"/>
      <c r="J266"/>
      <c r="K266"/>
      <c r="L266"/>
      <c r="M266"/>
      <c r="N266"/>
      <c r="O266"/>
      <c r="P266"/>
      <c r="Q266"/>
    </row>
    <row r="267" spans="1:17" ht="15.75" x14ac:dyDescent="0.25">
      <c r="A267"/>
      <c r="B267"/>
      <c r="C267"/>
      <c r="D267"/>
      <c r="E267"/>
      <c r="F267"/>
      <c r="G267"/>
      <c r="H267"/>
      <c r="I267"/>
      <c r="J267"/>
      <c r="K267"/>
      <c r="L267"/>
      <c r="M267"/>
      <c r="N267"/>
      <c r="O267"/>
      <c r="P267"/>
      <c r="Q267"/>
    </row>
    <row r="268" spans="1:17" ht="15.75" x14ac:dyDescent="0.25">
      <c r="A268"/>
      <c r="B268"/>
      <c r="C268"/>
      <c r="D268"/>
      <c r="E268"/>
      <c r="F268"/>
      <c r="G268"/>
      <c r="H268"/>
      <c r="I268"/>
      <c r="J268"/>
      <c r="K268"/>
      <c r="L268"/>
      <c r="M268"/>
      <c r="N268"/>
      <c r="O268"/>
      <c r="P268"/>
      <c r="Q268"/>
    </row>
    <row r="269" spans="1:17" ht="15.75" x14ac:dyDescent="0.25">
      <c r="A269"/>
      <c r="B269"/>
      <c r="C269"/>
      <c r="D269"/>
      <c r="E269"/>
      <c r="F269"/>
      <c r="G269"/>
      <c r="H269"/>
      <c r="I269"/>
      <c r="J269"/>
      <c r="K269"/>
      <c r="L269"/>
      <c r="M269"/>
      <c r="N269"/>
      <c r="O269"/>
      <c r="P269"/>
      <c r="Q269"/>
    </row>
    <row r="270" spans="1:17" ht="15.75" x14ac:dyDescent="0.25">
      <c r="A270"/>
      <c r="B270"/>
      <c r="C270"/>
      <c r="D270"/>
      <c r="E270"/>
      <c r="F270"/>
      <c r="G270"/>
      <c r="H270"/>
      <c r="I270"/>
      <c r="J270"/>
      <c r="K270"/>
      <c r="L270"/>
      <c r="M270"/>
      <c r="N270"/>
      <c r="O270"/>
      <c r="P270"/>
      <c r="Q270"/>
    </row>
    <row r="271" spans="1:17" ht="15.75" x14ac:dyDescent="0.25">
      <c r="A271"/>
      <c r="B271"/>
      <c r="C271"/>
      <c r="D271"/>
      <c r="E271"/>
      <c r="F271"/>
      <c r="G271"/>
      <c r="H271"/>
      <c r="I271"/>
      <c r="J271"/>
      <c r="K271"/>
      <c r="L271"/>
      <c r="M271"/>
      <c r="N271"/>
      <c r="O271"/>
      <c r="P271"/>
      <c r="Q271"/>
    </row>
    <row r="272" spans="1:17" ht="15.75" x14ac:dyDescent="0.25">
      <c r="A272"/>
      <c r="B272"/>
      <c r="C272"/>
      <c r="D272"/>
      <c r="E272"/>
      <c r="F272"/>
      <c r="G272"/>
      <c r="H272"/>
      <c r="I272"/>
      <c r="J272"/>
      <c r="K272"/>
      <c r="L272"/>
      <c r="M272"/>
      <c r="N272"/>
      <c r="O272"/>
      <c r="P272"/>
      <c r="Q272"/>
    </row>
    <row r="273" spans="1:17" ht="15.75" x14ac:dyDescent="0.25">
      <c r="A273"/>
      <c r="B273"/>
      <c r="C273"/>
      <c r="D273"/>
      <c r="E273"/>
      <c r="F273"/>
      <c r="G273"/>
      <c r="H273"/>
      <c r="I273"/>
      <c r="J273"/>
      <c r="K273"/>
      <c r="L273"/>
      <c r="M273"/>
      <c r="N273"/>
      <c r="O273"/>
      <c r="P273"/>
      <c r="Q273"/>
    </row>
    <row r="274" spans="1:17" ht="15.75" x14ac:dyDescent="0.25">
      <c r="A274"/>
      <c r="B274"/>
      <c r="C274"/>
      <c r="D274"/>
      <c r="E274"/>
      <c r="F274"/>
      <c r="G274"/>
      <c r="H274"/>
      <c r="I274"/>
      <c r="J274"/>
      <c r="K274"/>
      <c r="L274"/>
      <c r="M274"/>
      <c r="N274"/>
      <c r="O274"/>
      <c r="P274"/>
      <c r="Q274"/>
    </row>
    <row r="275" spans="1:17" ht="15.75" x14ac:dyDescent="0.25">
      <c r="A275"/>
      <c r="B275"/>
      <c r="C275"/>
      <c r="D275"/>
      <c r="E275"/>
      <c r="F275"/>
      <c r="G275"/>
      <c r="H275"/>
      <c r="I275"/>
      <c r="J275"/>
      <c r="K275"/>
      <c r="L275"/>
      <c r="M275"/>
      <c r="N275"/>
      <c r="O275"/>
      <c r="P275"/>
      <c r="Q275"/>
    </row>
    <row r="276" spans="1:17" ht="15.75" x14ac:dyDescent="0.25">
      <c r="A276"/>
      <c r="B276"/>
      <c r="C276"/>
      <c r="D276"/>
      <c r="E276"/>
      <c r="F276"/>
      <c r="G276"/>
      <c r="H276"/>
      <c r="I276"/>
      <c r="J276"/>
      <c r="K276"/>
      <c r="L276"/>
      <c r="M276"/>
      <c r="N276"/>
      <c r="O276"/>
      <c r="P276"/>
      <c r="Q276"/>
    </row>
    <row r="277" spans="1:17" ht="15.75" x14ac:dyDescent="0.25">
      <c r="A277"/>
      <c r="B277"/>
      <c r="C277"/>
      <c r="D277"/>
      <c r="E277"/>
      <c r="F277"/>
      <c r="G277"/>
      <c r="H277"/>
      <c r="I277"/>
      <c r="J277"/>
      <c r="K277"/>
      <c r="L277"/>
      <c r="M277"/>
      <c r="N277"/>
      <c r="O277"/>
      <c r="P277"/>
      <c r="Q277"/>
    </row>
    <row r="278" spans="1:17" ht="15.75" x14ac:dyDescent="0.25">
      <c r="A278"/>
      <c r="B278"/>
      <c r="C278"/>
      <c r="D278"/>
      <c r="E278"/>
      <c r="F278"/>
      <c r="G278"/>
      <c r="H278"/>
      <c r="I278"/>
      <c r="J278"/>
      <c r="K278"/>
      <c r="L278"/>
      <c r="M278"/>
      <c r="N278"/>
      <c r="O278"/>
      <c r="P278"/>
      <c r="Q278"/>
    </row>
    <row r="279" spans="1:17" ht="15.75" x14ac:dyDescent="0.25">
      <c r="A279"/>
      <c r="B279"/>
      <c r="C279"/>
      <c r="D279"/>
      <c r="E279"/>
      <c r="F279"/>
      <c r="G279"/>
      <c r="H279"/>
      <c r="I279"/>
      <c r="J279"/>
      <c r="K279"/>
      <c r="L279"/>
      <c r="M279"/>
      <c r="N279"/>
      <c r="O279"/>
      <c r="P279"/>
      <c r="Q279"/>
    </row>
    <row r="280" spans="1:17" ht="15.75" x14ac:dyDescent="0.25">
      <c r="A280"/>
      <c r="B280"/>
      <c r="C280"/>
      <c r="D280"/>
      <c r="E280"/>
      <c r="F280"/>
      <c r="G280"/>
      <c r="H280"/>
      <c r="I280"/>
      <c r="J280"/>
      <c r="K280"/>
      <c r="L280"/>
      <c r="M280"/>
      <c r="N280"/>
      <c r="O280"/>
      <c r="P280"/>
      <c r="Q280"/>
    </row>
    <row r="281" spans="1:17" ht="15.75" x14ac:dyDescent="0.25">
      <c r="A281"/>
      <c r="B281"/>
      <c r="C281"/>
      <c r="D281"/>
      <c r="E281"/>
      <c r="F281"/>
      <c r="G281"/>
      <c r="H281"/>
      <c r="I281"/>
      <c r="J281"/>
      <c r="K281"/>
      <c r="L281"/>
      <c r="M281"/>
      <c r="N281"/>
      <c r="O281"/>
      <c r="P281"/>
      <c r="Q281"/>
    </row>
    <row r="282" spans="1:17" ht="15.75" x14ac:dyDescent="0.25">
      <c r="A282"/>
      <c r="B282"/>
      <c r="C282"/>
      <c r="D282"/>
      <c r="E282"/>
      <c r="F282"/>
      <c r="G282"/>
      <c r="H282"/>
      <c r="I282"/>
      <c r="J282"/>
      <c r="K282"/>
      <c r="L282"/>
      <c r="M282"/>
      <c r="N282"/>
      <c r="O282"/>
      <c r="P282"/>
      <c r="Q282"/>
    </row>
    <row r="283" spans="1:17" ht="15.75" x14ac:dyDescent="0.25">
      <c r="A283"/>
      <c r="B283"/>
      <c r="C283"/>
      <c r="D283"/>
      <c r="E283"/>
      <c r="F283"/>
      <c r="G283"/>
      <c r="H283"/>
      <c r="I283"/>
      <c r="J283"/>
      <c r="K283"/>
      <c r="L283"/>
      <c r="M283"/>
      <c r="N283"/>
      <c r="O283"/>
      <c r="P283"/>
      <c r="Q283"/>
    </row>
    <row r="284" spans="1:17" ht="15.75" x14ac:dyDescent="0.25">
      <c r="A284"/>
      <c r="B284"/>
      <c r="C284"/>
      <c r="D284"/>
      <c r="E284"/>
      <c r="F284"/>
      <c r="G284"/>
      <c r="H284"/>
      <c r="I284"/>
      <c r="J284"/>
      <c r="K284"/>
      <c r="L284"/>
      <c r="M284"/>
      <c r="N284"/>
      <c r="O284"/>
      <c r="P284"/>
      <c r="Q284"/>
    </row>
    <row r="285" spans="1:17" ht="15.75" x14ac:dyDescent="0.25">
      <c r="A285"/>
      <c r="B285"/>
      <c r="C285"/>
      <c r="D285"/>
      <c r="E285"/>
      <c r="F285"/>
      <c r="G285"/>
      <c r="H285"/>
      <c r="I285"/>
      <c r="J285"/>
      <c r="K285"/>
      <c r="L285"/>
      <c r="M285"/>
      <c r="N285"/>
      <c r="O285"/>
      <c r="P285"/>
      <c r="Q285"/>
    </row>
    <row r="286" spans="1:17" ht="15.75" x14ac:dyDescent="0.25">
      <c r="A286"/>
      <c r="B286"/>
      <c r="C286"/>
      <c r="D286"/>
      <c r="E286"/>
      <c r="F286"/>
      <c r="G286"/>
      <c r="H286"/>
      <c r="I286"/>
      <c r="J286"/>
      <c r="K286"/>
      <c r="L286"/>
      <c r="M286"/>
      <c r="N286"/>
      <c r="O286"/>
      <c r="P286"/>
      <c r="Q286"/>
    </row>
    <row r="287" spans="1:17" ht="15.75" x14ac:dyDescent="0.25">
      <c r="A287"/>
      <c r="B287"/>
      <c r="C287"/>
      <c r="D287"/>
      <c r="E287"/>
      <c r="F287"/>
      <c r="G287"/>
      <c r="H287"/>
      <c r="I287"/>
      <c r="J287"/>
      <c r="K287"/>
      <c r="L287"/>
      <c r="M287"/>
      <c r="N287"/>
      <c r="O287"/>
      <c r="P287"/>
      <c r="Q287"/>
    </row>
    <row r="288" spans="1:17" ht="15.75" x14ac:dyDescent="0.25">
      <c r="A288"/>
      <c r="B288"/>
      <c r="C288"/>
      <c r="D288"/>
      <c r="E288"/>
      <c r="F288"/>
      <c r="G288"/>
      <c r="H288"/>
      <c r="I288"/>
      <c r="J288"/>
      <c r="K288"/>
      <c r="L288"/>
      <c r="M288"/>
      <c r="N288"/>
      <c r="O288"/>
      <c r="P288"/>
      <c r="Q288"/>
    </row>
    <row r="289" spans="1:17" ht="15.75" x14ac:dyDescent="0.25">
      <c r="A289"/>
      <c r="B289"/>
      <c r="C289"/>
      <c r="D289"/>
      <c r="E289"/>
      <c r="F289"/>
      <c r="G289"/>
      <c r="H289"/>
      <c r="I289"/>
      <c r="J289"/>
      <c r="K289"/>
      <c r="L289"/>
      <c r="M289"/>
      <c r="N289"/>
      <c r="O289"/>
      <c r="P289"/>
      <c r="Q289"/>
    </row>
    <row r="290" spans="1:17" ht="15.75" x14ac:dyDescent="0.25">
      <c r="A290"/>
      <c r="B290"/>
      <c r="C290"/>
      <c r="D290"/>
      <c r="E290"/>
      <c r="F290"/>
      <c r="G290"/>
      <c r="H290"/>
      <c r="I290"/>
      <c r="J290"/>
      <c r="K290"/>
      <c r="L290"/>
      <c r="M290"/>
      <c r="N290"/>
      <c r="O290"/>
      <c r="P290"/>
      <c r="Q290"/>
    </row>
    <row r="291" spans="1:17" ht="15.75" x14ac:dyDescent="0.25">
      <c r="A291"/>
      <c r="B291"/>
      <c r="C291"/>
      <c r="D291"/>
      <c r="E291"/>
      <c r="F291"/>
      <c r="G291"/>
      <c r="H291"/>
      <c r="I291"/>
      <c r="J291"/>
      <c r="K291"/>
      <c r="L291"/>
      <c r="M291"/>
      <c r="N291"/>
      <c r="O291"/>
      <c r="P291"/>
      <c r="Q291"/>
    </row>
    <row r="292" spans="1:17" ht="15.75" x14ac:dyDescent="0.25">
      <c r="A292"/>
      <c r="B292"/>
      <c r="C292"/>
      <c r="D292"/>
      <c r="E292"/>
      <c r="F292"/>
      <c r="G292"/>
      <c r="H292"/>
      <c r="I292"/>
      <c r="J292"/>
      <c r="K292"/>
      <c r="L292"/>
      <c r="M292"/>
      <c r="N292"/>
      <c r="O292"/>
      <c r="P292"/>
      <c r="Q292"/>
    </row>
    <row r="293" spans="1:17" ht="15.75" x14ac:dyDescent="0.25">
      <c r="A293"/>
      <c r="B293"/>
      <c r="C293"/>
      <c r="D293"/>
      <c r="E293"/>
      <c r="F293"/>
      <c r="G293"/>
      <c r="H293"/>
      <c r="I293"/>
      <c r="J293"/>
      <c r="K293"/>
      <c r="L293"/>
      <c r="M293"/>
      <c r="N293"/>
      <c r="O293"/>
      <c r="P293"/>
      <c r="Q293"/>
    </row>
    <row r="294" spans="1:17" ht="15.75" x14ac:dyDescent="0.25">
      <c r="A294"/>
      <c r="B294"/>
      <c r="C294"/>
      <c r="D294"/>
      <c r="E294"/>
      <c r="F294"/>
      <c r="G294"/>
      <c r="H294"/>
      <c r="I294"/>
      <c r="J294"/>
      <c r="K294"/>
      <c r="L294"/>
      <c r="M294"/>
      <c r="N294"/>
      <c r="O294"/>
      <c r="P294"/>
      <c r="Q294"/>
    </row>
    <row r="295" spans="1:17" ht="15.75" x14ac:dyDescent="0.25">
      <c r="A295"/>
      <c r="B295"/>
      <c r="C295"/>
      <c r="D295"/>
      <c r="E295"/>
      <c r="F295"/>
      <c r="G295"/>
      <c r="H295"/>
      <c r="I295"/>
      <c r="J295"/>
      <c r="K295"/>
      <c r="L295"/>
      <c r="M295"/>
      <c r="N295"/>
      <c r="O295"/>
      <c r="P295"/>
      <c r="Q295"/>
    </row>
    <row r="296" spans="1:17" ht="15.75" x14ac:dyDescent="0.25">
      <c r="A296"/>
      <c r="B296"/>
      <c r="C296"/>
      <c r="D296"/>
      <c r="E296"/>
      <c r="F296"/>
      <c r="G296"/>
      <c r="H296"/>
      <c r="I296"/>
      <c r="J296"/>
      <c r="K296"/>
      <c r="L296"/>
      <c r="M296"/>
      <c r="N296"/>
      <c r="O296"/>
      <c r="P296"/>
      <c r="Q296"/>
    </row>
    <row r="297" spans="1:17" ht="15.75" x14ac:dyDescent="0.25">
      <c r="A297"/>
      <c r="B297"/>
      <c r="C297"/>
      <c r="D297"/>
      <c r="E297"/>
      <c r="F297"/>
      <c r="G297"/>
      <c r="H297"/>
      <c r="I297"/>
      <c r="J297"/>
      <c r="K297"/>
      <c r="L297"/>
      <c r="M297"/>
      <c r="N297"/>
      <c r="O297"/>
      <c r="P297"/>
      <c r="Q297"/>
    </row>
    <row r="298" spans="1:17" ht="15.75" x14ac:dyDescent="0.25">
      <c r="A298"/>
      <c r="B298"/>
      <c r="C298"/>
      <c r="D298"/>
      <c r="E298"/>
      <c r="F298"/>
      <c r="G298"/>
      <c r="H298"/>
      <c r="I298"/>
      <c r="J298"/>
      <c r="K298"/>
      <c r="L298"/>
      <c r="M298"/>
      <c r="N298"/>
      <c r="O298"/>
      <c r="P298"/>
      <c r="Q298"/>
    </row>
    <row r="299" spans="1:17" ht="15.75" x14ac:dyDescent="0.25">
      <c r="A299"/>
      <c r="B299"/>
      <c r="C299"/>
      <c r="D299"/>
      <c r="E299"/>
      <c r="F299"/>
      <c r="G299"/>
      <c r="H299"/>
      <c r="I299"/>
      <c r="J299"/>
      <c r="K299"/>
      <c r="L299"/>
      <c r="M299"/>
      <c r="N299"/>
      <c r="O299"/>
      <c r="P299"/>
      <c r="Q299"/>
    </row>
    <row r="300" spans="1:17" ht="15.75" x14ac:dyDescent="0.25">
      <c r="A300"/>
      <c r="B300"/>
      <c r="C300"/>
      <c r="D300"/>
      <c r="E300"/>
      <c r="F300"/>
      <c r="G300"/>
      <c r="H300"/>
      <c r="I300"/>
      <c r="J300"/>
      <c r="K300"/>
      <c r="L300"/>
      <c r="M300"/>
      <c r="N300"/>
      <c r="O300"/>
      <c r="P300"/>
      <c r="Q300"/>
    </row>
    <row r="301" spans="1:17" ht="15.75" x14ac:dyDescent="0.25">
      <c r="A301"/>
      <c r="B301"/>
      <c r="C301"/>
      <c r="D301"/>
      <c r="E301"/>
      <c r="F301"/>
      <c r="G301"/>
      <c r="H301"/>
      <c r="I301"/>
      <c r="J301"/>
      <c r="K301"/>
      <c r="L301"/>
      <c r="M301"/>
      <c r="N301"/>
      <c r="O301"/>
      <c r="P301"/>
      <c r="Q301"/>
    </row>
    <row r="302" spans="1:17" ht="15.75" x14ac:dyDescent="0.25">
      <c r="A302"/>
      <c r="B302"/>
      <c r="C302"/>
      <c r="D302"/>
      <c r="E302"/>
      <c r="F302"/>
      <c r="G302"/>
      <c r="H302"/>
      <c r="I302"/>
      <c r="J302"/>
      <c r="K302"/>
      <c r="L302"/>
      <c r="M302"/>
      <c r="N302"/>
      <c r="O302"/>
      <c r="P302"/>
      <c r="Q302"/>
    </row>
    <row r="303" spans="1:17" ht="15.75" x14ac:dyDescent="0.25">
      <c r="A303"/>
      <c r="B303"/>
      <c r="C303"/>
      <c r="D303"/>
      <c r="E303"/>
      <c r="F303"/>
      <c r="G303"/>
      <c r="H303"/>
      <c r="I303"/>
      <c r="J303"/>
      <c r="K303"/>
      <c r="L303"/>
      <c r="M303"/>
      <c r="N303"/>
      <c r="O303"/>
      <c r="P303"/>
      <c r="Q303"/>
    </row>
    <row r="304" spans="1:17" ht="15.75" x14ac:dyDescent="0.25">
      <c r="A304"/>
      <c r="B304"/>
      <c r="C304"/>
      <c r="D304"/>
      <c r="E304"/>
      <c r="F304"/>
      <c r="G304"/>
      <c r="H304"/>
      <c r="I304"/>
      <c r="J304"/>
      <c r="K304"/>
      <c r="L304"/>
      <c r="M304"/>
      <c r="N304"/>
      <c r="O304"/>
      <c r="P304"/>
      <c r="Q304"/>
    </row>
    <row r="305" spans="1:17" ht="15.75" x14ac:dyDescent="0.25">
      <c r="A305"/>
      <c r="B305"/>
      <c r="C305"/>
      <c r="D305"/>
      <c r="E305"/>
      <c r="F305"/>
      <c r="G305"/>
      <c r="H305"/>
      <c r="I305"/>
      <c r="J305"/>
      <c r="K305"/>
      <c r="L305"/>
      <c r="M305"/>
      <c r="N305"/>
      <c r="O305"/>
      <c r="P305"/>
      <c r="Q305"/>
    </row>
    <row r="306" spans="1:17" ht="15.75" x14ac:dyDescent="0.25">
      <c r="A306"/>
      <c r="B306"/>
      <c r="C306"/>
      <c r="D306"/>
      <c r="E306"/>
      <c r="F306"/>
      <c r="G306"/>
      <c r="H306"/>
      <c r="I306"/>
      <c r="J306"/>
      <c r="K306"/>
      <c r="L306"/>
      <c r="M306"/>
      <c r="N306"/>
      <c r="O306"/>
      <c r="P306"/>
      <c r="Q306"/>
    </row>
    <row r="307" spans="1:17" ht="15.75" x14ac:dyDescent="0.25">
      <c r="A307"/>
      <c r="B307"/>
      <c r="C307"/>
      <c r="D307"/>
      <c r="E307"/>
      <c r="F307"/>
      <c r="G307"/>
      <c r="H307"/>
      <c r="I307"/>
      <c r="J307"/>
      <c r="K307"/>
      <c r="L307"/>
      <c r="M307"/>
      <c r="N307"/>
      <c r="O307"/>
      <c r="P307"/>
      <c r="Q307"/>
    </row>
    <row r="308" spans="1:17" ht="15.75" x14ac:dyDescent="0.25">
      <c r="A308"/>
      <c r="B308"/>
      <c r="C308"/>
      <c r="D308"/>
      <c r="E308"/>
      <c r="F308"/>
      <c r="G308"/>
      <c r="H308"/>
      <c r="I308"/>
      <c r="J308"/>
      <c r="K308"/>
      <c r="L308"/>
      <c r="M308"/>
      <c r="N308"/>
      <c r="O308"/>
      <c r="P308"/>
      <c r="Q308"/>
    </row>
    <row r="309" spans="1:17" ht="15.75" x14ac:dyDescent="0.25">
      <c r="A309"/>
      <c r="B309"/>
      <c r="C309"/>
      <c r="D309"/>
      <c r="E309"/>
      <c r="F309"/>
      <c r="G309"/>
      <c r="H309"/>
      <c r="I309"/>
      <c r="J309"/>
      <c r="K309"/>
      <c r="L309"/>
      <c r="M309"/>
      <c r="N309"/>
      <c r="O309"/>
      <c r="P309"/>
      <c r="Q309"/>
    </row>
    <row r="310" spans="1:17" ht="15.75" x14ac:dyDescent="0.25">
      <c r="A310"/>
      <c r="B310"/>
      <c r="C310"/>
      <c r="D310"/>
      <c r="E310"/>
      <c r="F310"/>
      <c r="G310"/>
      <c r="H310"/>
      <c r="I310"/>
      <c r="J310"/>
      <c r="K310"/>
      <c r="L310"/>
      <c r="M310"/>
      <c r="N310"/>
      <c r="O310"/>
      <c r="P310"/>
      <c r="Q310"/>
    </row>
    <row r="311" spans="1:17" ht="15.75" x14ac:dyDescent="0.25">
      <c r="A311"/>
      <c r="B311"/>
      <c r="C311"/>
      <c r="D311"/>
      <c r="E311"/>
      <c r="F311"/>
      <c r="G311"/>
      <c r="H311"/>
      <c r="I311"/>
      <c r="J311"/>
      <c r="K311"/>
      <c r="L311"/>
      <c r="M311"/>
      <c r="N311"/>
      <c r="O311"/>
      <c r="P311"/>
      <c r="Q311"/>
    </row>
    <row r="312" spans="1:17" ht="15.75" x14ac:dyDescent="0.25">
      <c r="A312"/>
      <c r="B312"/>
      <c r="C312"/>
      <c r="D312"/>
      <c r="E312"/>
      <c r="F312"/>
      <c r="G312"/>
      <c r="H312"/>
      <c r="I312"/>
      <c r="J312"/>
      <c r="K312"/>
      <c r="L312"/>
      <c r="M312"/>
      <c r="N312"/>
      <c r="O312"/>
      <c r="P312"/>
      <c r="Q312"/>
    </row>
    <row r="313" spans="1:17" ht="15.75" x14ac:dyDescent="0.25">
      <c r="A313"/>
      <c r="B313"/>
      <c r="C313"/>
      <c r="D313"/>
      <c r="E313"/>
      <c r="F313"/>
      <c r="G313"/>
      <c r="H313"/>
      <c r="I313"/>
      <c r="J313"/>
      <c r="K313"/>
      <c r="L313"/>
      <c r="M313"/>
      <c r="N313"/>
      <c r="O313"/>
      <c r="P313"/>
      <c r="Q313"/>
    </row>
    <row r="314" spans="1:17" ht="15.75" x14ac:dyDescent="0.25">
      <c r="A314"/>
      <c r="B314"/>
      <c r="C314"/>
      <c r="D314"/>
      <c r="E314"/>
      <c r="F314"/>
      <c r="G314"/>
      <c r="H314"/>
      <c r="I314"/>
      <c r="J314"/>
      <c r="K314"/>
      <c r="L314"/>
      <c r="M314"/>
      <c r="N314"/>
      <c r="O314"/>
      <c r="P314"/>
      <c r="Q314"/>
    </row>
    <row r="315" spans="1:17" ht="15.75" x14ac:dyDescent="0.25">
      <c r="A315"/>
      <c r="B315"/>
      <c r="C315"/>
      <c r="D315"/>
      <c r="E315"/>
      <c r="F315"/>
      <c r="G315"/>
      <c r="H315"/>
      <c r="I315"/>
      <c r="J315"/>
      <c r="K315"/>
      <c r="L315"/>
      <c r="M315"/>
      <c r="N315"/>
      <c r="O315"/>
      <c r="P315"/>
      <c r="Q315"/>
    </row>
    <row r="316" spans="1:17" ht="15.75" x14ac:dyDescent="0.25">
      <c r="A316"/>
      <c r="B316"/>
      <c r="C316"/>
      <c r="D316"/>
      <c r="E316"/>
      <c r="F316"/>
      <c r="G316"/>
      <c r="H316"/>
      <c r="I316"/>
      <c r="J316"/>
      <c r="K316"/>
      <c r="L316"/>
      <c r="M316"/>
      <c r="N316"/>
      <c r="O316"/>
      <c r="P316"/>
      <c r="Q316"/>
    </row>
    <row r="317" spans="1:17" ht="15.75" x14ac:dyDescent="0.25">
      <c r="A317"/>
      <c r="B317"/>
      <c r="C317"/>
      <c r="D317"/>
      <c r="E317"/>
      <c r="F317"/>
      <c r="G317"/>
      <c r="H317"/>
      <c r="I317"/>
      <c r="J317"/>
      <c r="K317"/>
      <c r="L317"/>
      <c r="M317"/>
      <c r="N317"/>
      <c r="O317"/>
      <c r="P317"/>
      <c r="Q317"/>
    </row>
    <row r="318" spans="1:17" ht="15.75" x14ac:dyDescent="0.25">
      <c r="A318"/>
      <c r="B318"/>
      <c r="C318"/>
      <c r="D318"/>
      <c r="E318"/>
      <c r="F318"/>
      <c r="G318"/>
      <c r="H318"/>
      <c r="I318"/>
      <c r="J318"/>
      <c r="K318"/>
      <c r="L318"/>
      <c r="M318"/>
      <c r="N318"/>
      <c r="O318"/>
      <c r="P318"/>
      <c r="Q318"/>
    </row>
    <row r="319" spans="1:17" ht="15.75" x14ac:dyDescent="0.25">
      <c r="A319"/>
      <c r="B319"/>
      <c r="C319"/>
      <c r="D319"/>
      <c r="E319"/>
      <c r="F319"/>
      <c r="G319"/>
      <c r="H319"/>
      <c r="I319"/>
      <c r="J319"/>
      <c r="K319"/>
      <c r="L319"/>
      <c r="M319"/>
      <c r="N319"/>
      <c r="O319"/>
      <c r="P319"/>
      <c r="Q319"/>
    </row>
    <row r="320" spans="1:17" ht="15.75" x14ac:dyDescent="0.25">
      <c r="A320"/>
      <c r="B320"/>
      <c r="C320"/>
      <c r="D320"/>
      <c r="E320"/>
      <c r="F320"/>
      <c r="G320"/>
      <c r="H320"/>
      <c r="I320"/>
      <c r="J320"/>
      <c r="K320"/>
      <c r="L320"/>
      <c r="M320"/>
      <c r="N320"/>
      <c r="O320"/>
      <c r="P320"/>
      <c r="Q320"/>
    </row>
    <row r="321" spans="1:17" ht="15.75" x14ac:dyDescent="0.25">
      <c r="A321"/>
      <c r="B321"/>
      <c r="C321"/>
      <c r="D321"/>
      <c r="E321"/>
      <c r="F321"/>
      <c r="G321"/>
      <c r="H321"/>
      <c r="I321"/>
      <c r="J321"/>
      <c r="K321"/>
      <c r="L321"/>
      <c r="M321"/>
      <c r="N321"/>
      <c r="O321"/>
      <c r="P321"/>
      <c r="Q321"/>
    </row>
    <row r="322" spans="1:17" ht="15.75" x14ac:dyDescent="0.25">
      <c r="A322"/>
      <c r="B322"/>
      <c r="C322"/>
      <c r="D322"/>
      <c r="E322"/>
      <c r="F322"/>
      <c r="G322"/>
      <c r="H322"/>
      <c r="I322"/>
      <c r="J322"/>
      <c r="K322"/>
      <c r="L322"/>
      <c r="M322"/>
      <c r="N322"/>
      <c r="O322"/>
      <c r="P322"/>
      <c r="Q322"/>
    </row>
    <row r="323" spans="1:17" ht="15.75" x14ac:dyDescent="0.25">
      <c r="A323"/>
      <c r="B323"/>
      <c r="C323"/>
      <c r="D323"/>
      <c r="E323"/>
      <c r="F323"/>
      <c r="G323"/>
      <c r="H323"/>
      <c r="I323"/>
      <c r="J323"/>
      <c r="K323"/>
      <c r="L323"/>
      <c r="M323"/>
      <c r="N323"/>
      <c r="O323"/>
      <c r="P323"/>
      <c r="Q323"/>
    </row>
    <row r="324" spans="1:17" ht="15.75" x14ac:dyDescent="0.25">
      <c r="A324"/>
      <c r="B324"/>
      <c r="C324"/>
      <c r="D324"/>
      <c r="E324"/>
      <c r="F324"/>
      <c r="G324"/>
      <c r="H324"/>
      <c r="I324"/>
      <c r="J324"/>
      <c r="K324"/>
      <c r="L324"/>
      <c r="M324"/>
      <c r="N324"/>
      <c r="O324"/>
      <c r="P324"/>
      <c r="Q324"/>
    </row>
    <row r="325" spans="1:17" ht="15.75" x14ac:dyDescent="0.25">
      <c r="A325"/>
      <c r="B325"/>
      <c r="C325"/>
      <c r="D325"/>
      <c r="E325"/>
      <c r="F325"/>
      <c r="G325"/>
      <c r="H325"/>
      <c r="I325"/>
      <c r="J325"/>
      <c r="K325"/>
      <c r="L325"/>
      <c r="M325"/>
      <c r="N325"/>
      <c r="O325"/>
      <c r="P325"/>
      <c r="Q325"/>
    </row>
    <row r="326" spans="1:17" ht="15.75" x14ac:dyDescent="0.25">
      <c r="A326"/>
      <c r="B326"/>
      <c r="C326"/>
      <c r="D326"/>
      <c r="E326"/>
      <c r="F326"/>
      <c r="G326"/>
      <c r="H326"/>
      <c r="I326"/>
      <c r="J326"/>
      <c r="K326"/>
      <c r="L326"/>
      <c r="M326"/>
      <c r="N326"/>
      <c r="O326"/>
      <c r="P326"/>
      <c r="Q326"/>
    </row>
    <row r="327" spans="1:17" ht="15.75" x14ac:dyDescent="0.25">
      <c r="A327"/>
      <c r="B327"/>
      <c r="C327"/>
      <c r="D327"/>
      <c r="E327"/>
      <c r="F327"/>
      <c r="G327"/>
      <c r="H327"/>
      <c r="I327"/>
      <c r="J327"/>
      <c r="K327"/>
      <c r="L327"/>
      <c r="M327"/>
      <c r="N327"/>
      <c r="O327"/>
      <c r="P327"/>
      <c r="Q327"/>
    </row>
    <row r="328" spans="1:17" ht="15.75" x14ac:dyDescent="0.25">
      <c r="A328"/>
      <c r="B328"/>
      <c r="C328"/>
      <c r="D328"/>
      <c r="E328"/>
      <c r="F328"/>
      <c r="G328"/>
      <c r="H328"/>
      <c r="I328"/>
      <c r="J328"/>
      <c r="K328"/>
      <c r="L328"/>
      <c r="M328"/>
      <c r="N328"/>
      <c r="O328"/>
      <c r="P328"/>
      <c r="Q328"/>
    </row>
    <row r="329" spans="1:17" ht="15.75" x14ac:dyDescent="0.25">
      <c r="A329"/>
      <c r="B329"/>
      <c r="C329"/>
      <c r="D329"/>
      <c r="E329"/>
      <c r="F329"/>
      <c r="G329"/>
      <c r="H329"/>
      <c r="I329"/>
      <c r="J329"/>
      <c r="K329"/>
      <c r="L329"/>
      <c r="M329"/>
      <c r="N329"/>
      <c r="O329"/>
      <c r="P329"/>
      <c r="Q329"/>
    </row>
    <row r="330" spans="1:17" ht="15.75" x14ac:dyDescent="0.25">
      <c r="A330"/>
      <c r="B330"/>
      <c r="C330"/>
      <c r="D330"/>
      <c r="E330"/>
      <c r="F330"/>
      <c r="G330"/>
      <c r="H330"/>
      <c r="I330"/>
      <c r="J330"/>
      <c r="K330"/>
      <c r="L330"/>
      <c r="M330"/>
      <c r="N330"/>
      <c r="O330"/>
      <c r="P330"/>
      <c r="Q330"/>
    </row>
    <row r="331" spans="1:17" ht="15.75" x14ac:dyDescent="0.25">
      <c r="A331"/>
      <c r="B331"/>
      <c r="C331"/>
      <c r="D331"/>
      <c r="E331"/>
      <c r="F331"/>
      <c r="G331"/>
      <c r="H331"/>
      <c r="I331"/>
      <c r="J331"/>
      <c r="K331"/>
      <c r="L331"/>
      <c r="M331"/>
      <c r="N331"/>
      <c r="O331"/>
      <c r="P331"/>
      <c r="Q331"/>
    </row>
    <row r="332" spans="1:17" ht="15.75" x14ac:dyDescent="0.25">
      <c r="A332"/>
      <c r="B332"/>
      <c r="C332"/>
      <c r="D332"/>
      <c r="E332"/>
      <c r="F332"/>
      <c r="G332"/>
      <c r="H332"/>
      <c r="I332"/>
      <c r="J332"/>
      <c r="K332"/>
      <c r="L332"/>
      <c r="M332"/>
      <c r="N332"/>
      <c r="O332"/>
      <c r="P332"/>
      <c r="Q332"/>
    </row>
    <row r="333" spans="1:17" ht="15.75" x14ac:dyDescent="0.25">
      <c r="A333"/>
      <c r="B333"/>
      <c r="C333"/>
      <c r="D333"/>
      <c r="E333"/>
      <c r="F333"/>
      <c r="G333"/>
      <c r="H333"/>
      <c r="I333"/>
      <c r="J333"/>
      <c r="K333"/>
      <c r="L333"/>
      <c r="M333"/>
      <c r="N333"/>
      <c r="O333"/>
      <c r="P333"/>
      <c r="Q333"/>
    </row>
    <row r="334" spans="1:17" ht="15.75" x14ac:dyDescent="0.25">
      <c r="A334"/>
      <c r="B334"/>
      <c r="C334"/>
      <c r="D334"/>
      <c r="E334"/>
      <c r="F334"/>
      <c r="G334"/>
      <c r="H334"/>
      <c r="I334"/>
      <c r="J334"/>
      <c r="K334"/>
      <c r="L334"/>
      <c r="M334"/>
      <c r="N334"/>
      <c r="O334"/>
      <c r="P334"/>
      <c r="Q334"/>
    </row>
    <row r="335" spans="1:17" ht="15.75" x14ac:dyDescent="0.25">
      <c r="A335"/>
      <c r="B335"/>
      <c r="C335"/>
      <c r="D335"/>
      <c r="E335"/>
      <c r="F335"/>
      <c r="G335"/>
      <c r="H335"/>
      <c r="I335"/>
      <c r="J335"/>
      <c r="K335"/>
      <c r="L335"/>
      <c r="M335"/>
      <c r="N335"/>
      <c r="O335"/>
      <c r="P335"/>
      <c r="Q335"/>
    </row>
    <row r="336" spans="1:17" ht="15.75" x14ac:dyDescent="0.25">
      <c r="A336"/>
      <c r="B336"/>
      <c r="C336"/>
      <c r="D336"/>
      <c r="E336"/>
      <c r="F336"/>
      <c r="G336"/>
      <c r="H336"/>
      <c r="I336"/>
      <c r="J336"/>
      <c r="K336"/>
      <c r="L336"/>
      <c r="M336"/>
      <c r="N336"/>
      <c r="O336"/>
      <c r="P336"/>
      <c r="Q336"/>
    </row>
    <row r="337" spans="1:17" ht="15.75" x14ac:dyDescent="0.25">
      <c r="A337"/>
      <c r="B337"/>
      <c r="C337"/>
      <c r="D337"/>
      <c r="E337"/>
      <c r="F337"/>
      <c r="G337"/>
      <c r="H337"/>
      <c r="I337"/>
      <c r="J337"/>
      <c r="K337"/>
      <c r="L337"/>
      <c r="M337"/>
      <c r="N337"/>
      <c r="O337"/>
      <c r="P337"/>
      <c r="Q337"/>
    </row>
    <row r="338" spans="1:17" ht="15.75" x14ac:dyDescent="0.25">
      <c r="A338"/>
      <c r="B338"/>
      <c r="C338"/>
      <c r="D338"/>
      <c r="E338"/>
      <c r="F338"/>
      <c r="G338"/>
      <c r="H338"/>
      <c r="I338"/>
      <c r="J338"/>
      <c r="K338"/>
      <c r="L338"/>
      <c r="M338"/>
      <c r="N338"/>
      <c r="O338"/>
      <c r="P338"/>
      <c r="Q338"/>
    </row>
    <row r="339" spans="1:17" ht="15.75" x14ac:dyDescent="0.25">
      <c r="A339"/>
      <c r="B339"/>
      <c r="C339"/>
      <c r="D339"/>
      <c r="E339"/>
      <c r="F339"/>
      <c r="G339"/>
      <c r="H339"/>
      <c r="I339"/>
      <c r="J339"/>
      <c r="K339"/>
      <c r="L339"/>
      <c r="M339"/>
      <c r="N339"/>
      <c r="O339"/>
      <c r="P339"/>
      <c r="Q339"/>
    </row>
    <row r="340" spans="1:17" ht="15.75" x14ac:dyDescent="0.25">
      <c r="A340"/>
      <c r="B340"/>
      <c r="C340"/>
      <c r="D340"/>
      <c r="E340"/>
      <c r="F340"/>
      <c r="G340"/>
      <c r="H340"/>
      <c r="I340"/>
      <c r="J340"/>
      <c r="K340"/>
      <c r="L340"/>
      <c r="M340"/>
      <c r="N340"/>
      <c r="O340"/>
      <c r="P340"/>
      <c r="Q340"/>
    </row>
    <row r="341" spans="1:17" ht="15.75" x14ac:dyDescent="0.25">
      <c r="A341"/>
      <c r="B341"/>
      <c r="C341"/>
      <c r="D341"/>
      <c r="E341"/>
      <c r="F341"/>
      <c r="G341"/>
      <c r="H341"/>
      <c r="I341"/>
      <c r="J341"/>
      <c r="K341"/>
      <c r="L341"/>
      <c r="M341"/>
      <c r="N341"/>
      <c r="O341"/>
      <c r="P341"/>
      <c r="Q341"/>
    </row>
    <row r="342" spans="1:17" ht="15.75" x14ac:dyDescent="0.25">
      <c r="A342"/>
      <c r="B342"/>
      <c r="C342"/>
      <c r="D342"/>
      <c r="E342"/>
      <c r="F342"/>
      <c r="G342"/>
      <c r="H342"/>
      <c r="I342"/>
      <c r="J342"/>
      <c r="K342"/>
      <c r="L342"/>
      <c r="M342"/>
      <c r="N342"/>
      <c r="O342"/>
      <c r="P342"/>
      <c r="Q342"/>
    </row>
    <row r="343" spans="1:17" ht="15.75" x14ac:dyDescent="0.25">
      <c r="A343"/>
      <c r="B343"/>
      <c r="C343"/>
      <c r="D343"/>
      <c r="E343"/>
      <c r="F343"/>
      <c r="G343"/>
      <c r="H343"/>
      <c r="I343"/>
      <c r="J343"/>
      <c r="K343"/>
      <c r="L343"/>
      <c r="M343"/>
      <c r="N343"/>
      <c r="O343"/>
      <c r="P343"/>
      <c r="Q343"/>
    </row>
    <row r="344" spans="1:17" ht="15.75" x14ac:dyDescent="0.25">
      <c r="A344"/>
      <c r="B344"/>
      <c r="C344"/>
      <c r="D344"/>
      <c r="E344"/>
      <c r="F344"/>
      <c r="G344"/>
      <c r="H344"/>
      <c r="I344"/>
      <c r="J344"/>
      <c r="K344"/>
      <c r="L344"/>
      <c r="M344"/>
      <c r="N344"/>
      <c r="O344"/>
      <c r="P344"/>
      <c r="Q344"/>
    </row>
    <row r="345" spans="1:17" ht="15.75" x14ac:dyDescent="0.25">
      <c r="A345"/>
      <c r="B345"/>
      <c r="C345"/>
      <c r="D345"/>
      <c r="E345"/>
      <c r="F345"/>
      <c r="G345"/>
      <c r="H345"/>
      <c r="I345"/>
      <c r="J345"/>
      <c r="K345"/>
      <c r="L345"/>
      <c r="M345"/>
      <c r="N345"/>
      <c r="O345"/>
      <c r="P345"/>
      <c r="Q345"/>
    </row>
    <row r="346" spans="1:17" ht="15.75" x14ac:dyDescent="0.25">
      <c r="A346"/>
      <c r="B346"/>
      <c r="C346"/>
      <c r="D346"/>
      <c r="E346"/>
      <c r="F346"/>
      <c r="G346"/>
      <c r="H346"/>
      <c r="I346"/>
      <c r="J346"/>
      <c r="K346"/>
      <c r="L346"/>
      <c r="M346"/>
      <c r="N346"/>
      <c r="O346"/>
      <c r="P346"/>
      <c r="Q346"/>
    </row>
    <row r="347" spans="1:17" ht="15.75" x14ac:dyDescent="0.25">
      <c r="A347"/>
      <c r="B347"/>
      <c r="C347"/>
      <c r="D347"/>
      <c r="E347"/>
      <c r="F347"/>
      <c r="G347"/>
      <c r="H347"/>
      <c r="I347"/>
      <c r="J347"/>
      <c r="K347"/>
      <c r="L347"/>
      <c r="M347"/>
      <c r="N347"/>
      <c r="O347"/>
      <c r="P347"/>
      <c r="Q347"/>
    </row>
    <row r="348" spans="1:17" ht="15.75" x14ac:dyDescent="0.25">
      <c r="A348"/>
      <c r="B348"/>
      <c r="C348"/>
      <c r="D348"/>
      <c r="E348"/>
      <c r="F348"/>
      <c r="G348"/>
      <c r="H348"/>
      <c r="I348"/>
      <c r="J348"/>
      <c r="K348"/>
      <c r="L348"/>
      <c r="M348"/>
      <c r="N348"/>
      <c r="O348"/>
      <c r="P348"/>
      <c r="Q348"/>
    </row>
    <row r="349" spans="1:17" ht="15.75" x14ac:dyDescent="0.25">
      <c r="A349"/>
      <c r="B349"/>
      <c r="C349"/>
      <c r="D349"/>
      <c r="E349"/>
      <c r="F349"/>
      <c r="G349"/>
      <c r="H349"/>
      <c r="I349"/>
      <c r="J349"/>
      <c r="K349"/>
      <c r="L349"/>
      <c r="M349"/>
      <c r="N349"/>
      <c r="O349"/>
      <c r="P349"/>
      <c r="Q349"/>
    </row>
    <row r="350" spans="1:17" ht="15.75" x14ac:dyDescent="0.25">
      <c r="A350"/>
      <c r="B350"/>
      <c r="C350"/>
      <c r="D350"/>
      <c r="E350"/>
      <c r="F350"/>
      <c r="G350"/>
      <c r="H350"/>
      <c r="I350"/>
      <c r="J350"/>
      <c r="K350"/>
      <c r="L350"/>
      <c r="M350"/>
      <c r="N350"/>
      <c r="O350"/>
      <c r="P350"/>
      <c r="Q350"/>
    </row>
    <row r="351" spans="1:17" ht="15.75" x14ac:dyDescent="0.25">
      <c r="A351"/>
      <c r="B351"/>
      <c r="C351"/>
      <c r="D351"/>
      <c r="E351"/>
      <c r="F351"/>
      <c r="G351"/>
      <c r="H351"/>
      <c r="I351"/>
      <c r="J351"/>
      <c r="K351"/>
      <c r="L351"/>
      <c r="M351"/>
      <c r="N351"/>
      <c r="O351"/>
      <c r="P351"/>
      <c r="Q351"/>
    </row>
    <row r="352" spans="1:17" ht="15.75" x14ac:dyDescent="0.25">
      <c r="A352"/>
      <c r="B352"/>
      <c r="C352"/>
      <c r="D352"/>
      <c r="E352"/>
      <c r="F352"/>
      <c r="G352"/>
      <c r="H352"/>
      <c r="I352"/>
      <c r="J352"/>
      <c r="K352"/>
      <c r="L352"/>
      <c r="M352"/>
      <c r="N352"/>
      <c r="O352"/>
      <c r="P352"/>
      <c r="Q352"/>
    </row>
    <row r="353" spans="1:17" ht="15.75" x14ac:dyDescent="0.25">
      <c r="A353"/>
      <c r="B353"/>
      <c r="C353"/>
      <c r="D353"/>
      <c r="E353"/>
      <c r="F353"/>
      <c r="G353"/>
      <c r="H353"/>
      <c r="I353"/>
      <c r="J353"/>
      <c r="K353"/>
      <c r="L353"/>
      <c r="M353"/>
      <c r="N353"/>
      <c r="O353"/>
      <c r="P353"/>
      <c r="Q353"/>
    </row>
    <row r="354" spans="1:17" ht="15.75" x14ac:dyDescent="0.25">
      <c r="A354"/>
      <c r="B354"/>
      <c r="C354"/>
      <c r="D354"/>
      <c r="E354"/>
      <c r="F354"/>
      <c r="G354"/>
      <c r="H354"/>
      <c r="I354"/>
      <c r="J354"/>
      <c r="K354"/>
      <c r="L354"/>
      <c r="M354"/>
      <c r="N354"/>
      <c r="O354"/>
      <c r="P354"/>
      <c r="Q354"/>
    </row>
    <row r="355" spans="1:17" ht="15.75" x14ac:dyDescent="0.25">
      <c r="A355"/>
      <c r="B355"/>
      <c r="C355"/>
      <c r="D355"/>
      <c r="E355"/>
      <c r="F355"/>
      <c r="G355"/>
      <c r="H355"/>
      <c r="I355"/>
      <c r="J355"/>
      <c r="K355"/>
      <c r="L355"/>
      <c r="M355"/>
      <c r="N355"/>
      <c r="O355"/>
      <c r="P355"/>
      <c r="Q355"/>
    </row>
    <row r="356" spans="1:17" ht="15.75" x14ac:dyDescent="0.25">
      <c r="A356"/>
      <c r="B356"/>
      <c r="C356"/>
      <c r="D356"/>
      <c r="E356"/>
      <c r="F356"/>
      <c r="G356"/>
      <c r="H356"/>
      <c r="I356"/>
      <c r="J356"/>
      <c r="K356"/>
      <c r="L356"/>
      <c r="M356"/>
      <c r="N356"/>
      <c r="O356"/>
      <c r="P356"/>
      <c r="Q356"/>
    </row>
    <row r="357" spans="1:17" ht="15.75" x14ac:dyDescent="0.25">
      <c r="A357"/>
      <c r="B357"/>
      <c r="C357"/>
      <c r="D357"/>
      <c r="E357"/>
      <c r="F357"/>
      <c r="G357"/>
      <c r="H357"/>
      <c r="I357"/>
      <c r="J357"/>
      <c r="K357"/>
      <c r="L357"/>
      <c r="M357"/>
      <c r="N357"/>
      <c r="O357"/>
      <c r="P357"/>
      <c r="Q357"/>
    </row>
    <row r="358" spans="1:17" ht="15.75" x14ac:dyDescent="0.25">
      <c r="A358"/>
      <c r="B358"/>
      <c r="C358"/>
      <c r="D358"/>
      <c r="E358"/>
      <c r="F358"/>
      <c r="G358"/>
      <c r="H358"/>
      <c r="I358"/>
      <c r="J358"/>
      <c r="K358"/>
      <c r="L358"/>
      <c r="M358"/>
      <c r="N358"/>
      <c r="O358"/>
      <c r="P358"/>
      <c r="Q358"/>
    </row>
    <row r="359" spans="1:17" ht="15.75" x14ac:dyDescent="0.25">
      <c r="A359"/>
      <c r="B359"/>
      <c r="C359"/>
      <c r="D359"/>
      <c r="E359"/>
      <c r="F359"/>
      <c r="G359"/>
      <c r="H359"/>
      <c r="I359"/>
      <c r="J359"/>
      <c r="K359"/>
      <c r="L359"/>
      <c r="M359"/>
      <c r="N359"/>
      <c r="O359"/>
      <c r="P359"/>
      <c r="Q359"/>
    </row>
    <row r="360" spans="1:17" ht="15.75" x14ac:dyDescent="0.25">
      <c r="A360"/>
      <c r="B360"/>
      <c r="C360"/>
      <c r="D360"/>
      <c r="E360"/>
      <c r="F360"/>
      <c r="G360"/>
      <c r="H360"/>
      <c r="I360"/>
      <c r="J360"/>
      <c r="K360"/>
      <c r="L360"/>
      <c r="M360"/>
      <c r="N360"/>
      <c r="O360"/>
      <c r="P360"/>
      <c r="Q360"/>
    </row>
    <row r="361" spans="1:17" ht="15.75" x14ac:dyDescent="0.25">
      <c r="A361"/>
      <c r="B361"/>
      <c r="C361"/>
      <c r="D361"/>
      <c r="E361"/>
      <c r="F361"/>
      <c r="G361"/>
      <c r="H361"/>
      <c r="I361"/>
      <c r="J361"/>
      <c r="K361"/>
      <c r="L361"/>
      <c r="M361"/>
      <c r="N361"/>
      <c r="O361"/>
      <c r="P361"/>
      <c r="Q361"/>
    </row>
    <row r="362" spans="1:17" ht="15.75" x14ac:dyDescent="0.25">
      <c r="A362"/>
      <c r="B362"/>
      <c r="C362"/>
      <c r="D362"/>
      <c r="E362"/>
      <c r="F362"/>
      <c r="G362"/>
      <c r="H362"/>
      <c r="I362"/>
      <c r="J362"/>
      <c r="K362"/>
      <c r="L362"/>
      <c r="M362"/>
      <c r="N362"/>
      <c r="O362"/>
      <c r="P362"/>
      <c r="Q362"/>
    </row>
    <row r="363" spans="1:17" ht="15.75" x14ac:dyDescent="0.25">
      <c r="A363"/>
      <c r="B363"/>
      <c r="C363"/>
      <c r="D363"/>
      <c r="E363"/>
      <c r="F363"/>
      <c r="G363"/>
      <c r="H363"/>
      <c r="I363"/>
      <c r="J363"/>
      <c r="K363"/>
      <c r="L363"/>
      <c r="M363"/>
      <c r="N363"/>
      <c r="O363"/>
      <c r="P363"/>
      <c r="Q363"/>
    </row>
    <row r="364" spans="1:17" ht="15.75" x14ac:dyDescent="0.25">
      <c r="A364"/>
      <c r="B364"/>
      <c r="C364"/>
      <c r="D364"/>
      <c r="E364"/>
      <c r="F364"/>
      <c r="G364"/>
      <c r="H364"/>
      <c r="I364"/>
      <c r="J364"/>
      <c r="K364"/>
      <c r="L364"/>
      <c r="M364"/>
      <c r="N364"/>
      <c r="O364"/>
      <c r="P364"/>
      <c r="Q364"/>
    </row>
    <row r="365" spans="1:17" ht="15.75" x14ac:dyDescent="0.25">
      <c r="A365"/>
      <c r="B365"/>
      <c r="C365"/>
      <c r="D365"/>
      <c r="E365"/>
      <c r="F365"/>
      <c r="G365"/>
      <c r="H365"/>
      <c r="I365"/>
      <c r="J365"/>
      <c r="K365"/>
      <c r="L365"/>
      <c r="M365"/>
      <c r="N365"/>
      <c r="O365"/>
      <c r="P365"/>
      <c r="Q365"/>
    </row>
    <row r="366" spans="1:17" ht="15.75" x14ac:dyDescent="0.25">
      <c r="A366"/>
      <c r="B366"/>
      <c r="C366"/>
      <c r="D366"/>
      <c r="E366"/>
      <c r="F366"/>
      <c r="G366"/>
      <c r="H366"/>
      <c r="I366"/>
      <c r="J366"/>
      <c r="K366"/>
      <c r="L366"/>
      <c r="M366"/>
      <c r="N366"/>
      <c r="O366"/>
      <c r="P366"/>
      <c r="Q366"/>
    </row>
    <row r="367" spans="1:17" ht="15.75" x14ac:dyDescent="0.25">
      <c r="A367"/>
      <c r="B367"/>
      <c r="C367"/>
      <c r="D367"/>
      <c r="E367"/>
      <c r="F367"/>
      <c r="G367"/>
      <c r="H367"/>
      <c r="I367"/>
      <c r="J367"/>
      <c r="K367"/>
      <c r="L367"/>
      <c r="M367"/>
      <c r="N367"/>
      <c r="O367"/>
      <c r="P367"/>
      <c r="Q367"/>
    </row>
    <row r="368" spans="1:17" ht="15.75" x14ac:dyDescent="0.25">
      <c r="A368"/>
      <c r="B368"/>
      <c r="C368"/>
      <c r="D368"/>
      <c r="E368"/>
      <c r="F368"/>
      <c r="G368"/>
      <c r="H368"/>
      <c r="I368"/>
      <c r="J368"/>
      <c r="K368"/>
      <c r="L368"/>
      <c r="M368"/>
      <c r="N368"/>
      <c r="O368"/>
      <c r="P368"/>
      <c r="Q368"/>
    </row>
    <row r="369" spans="1:17" ht="15.75" x14ac:dyDescent="0.25">
      <c r="A369"/>
      <c r="B369"/>
      <c r="C369"/>
      <c r="D369"/>
      <c r="E369"/>
      <c r="F369"/>
      <c r="G369"/>
      <c r="H369"/>
      <c r="I369"/>
      <c r="J369"/>
      <c r="K369"/>
      <c r="L369"/>
      <c r="M369"/>
      <c r="N369"/>
      <c r="O369"/>
      <c r="P369"/>
      <c r="Q369"/>
    </row>
    <row r="370" spans="1:17" ht="15.75" x14ac:dyDescent="0.25">
      <c r="A370"/>
      <c r="B370"/>
      <c r="C370"/>
      <c r="D370"/>
      <c r="E370"/>
      <c r="F370"/>
      <c r="G370"/>
      <c r="H370"/>
      <c r="I370"/>
      <c r="J370"/>
      <c r="K370"/>
      <c r="L370"/>
      <c r="M370"/>
      <c r="N370"/>
      <c r="O370"/>
      <c r="P370"/>
      <c r="Q370"/>
    </row>
    <row r="371" spans="1:17" ht="15.75" x14ac:dyDescent="0.25">
      <c r="A371"/>
      <c r="B371"/>
      <c r="C371"/>
      <c r="D371"/>
      <c r="E371"/>
      <c r="F371"/>
      <c r="G371"/>
      <c r="H371"/>
      <c r="I371"/>
      <c r="J371"/>
      <c r="K371"/>
      <c r="L371"/>
      <c r="M371"/>
      <c r="N371"/>
      <c r="O371"/>
      <c r="P371"/>
      <c r="Q371"/>
    </row>
    <row r="372" spans="1:17" ht="15.75" x14ac:dyDescent="0.25">
      <c r="A372"/>
      <c r="B372"/>
      <c r="C372"/>
      <c r="D372"/>
      <c r="E372"/>
      <c r="F372"/>
      <c r="G372"/>
      <c r="H372"/>
      <c r="I372"/>
      <c r="J372"/>
      <c r="K372"/>
      <c r="L372"/>
      <c r="M372"/>
      <c r="N372"/>
      <c r="O372"/>
      <c r="P372"/>
      <c r="Q372"/>
    </row>
    <row r="373" spans="1:17" ht="15.75" x14ac:dyDescent="0.25">
      <c r="A373"/>
      <c r="B373"/>
      <c r="C373"/>
      <c r="D373"/>
      <c r="E373"/>
      <c r="F373"/>
      <c r="G373"/>
      <c r="H373"/>
      <c r="I373"/>
      <c r="J373"/>
      <c r="K373"/>
      <c r="L373"/>
      <c r="M373"/>
      <c r="N373"/>
      <c r="O373"/>
      <c r="P373"/>
      <c r="Q373"/>
    </row>
    <row r="374" spans="1:17" ht="15.75" x14ac:dyDescent="0.25">
      <c r="A374"/>
      <c r="B374"/>
      <c r="C374"/>
      <c r="D374"/>
      <c r="E374"/>
      <c r="F374"/>
      <c r="G374"/>
      <c r="H374"/>
      <c r="I374"/>
      <c r="J374"/>
      <c r="K374"/>
      <c r="L374"/>
      <c r="M374"/>
      <c r="N374"/>
      <c r="O374"/>
      <c r="P374"/>
      <c r="Q374"/>
    </row>
    <row r="375" spans="1:17" ht="15.75" x14ac:dyDescent="0.25">
      <c r="A375"/>
      <c r="B375"/>
      <c r="C375"/>
      <c r="D375"/>
      <c r="E375"/>
      <c r="F375"/>
      <c r="G375"/>
      <c r="H375"/>
      <c r="I375"/>
      <c r="J375"/>
      <c r="K375"/>
      <c r="L375"/>
      <c r="M375"/>
      <c r="N375"/>
      <c r="O375"/>
      <c r="P375"/>
      <c r="Q375"/>
    </row>
    <row r="376" spans="1:17" ht="15.75" x14ac:dyDescent="0.25">
      <c r="A376"/>
      <c r="B376"/>
      <c r="C376"/>
      <c r="D376"/>
      <c r="E376"/>
      <c r="F376"/>
      <c r="G376"/>
      <c r="H376"/>
      <c r="I376"/>
      <c r="J376"/>
      <c r="K376"/>
      <c r="L376"/>
      <c r="M376"/>
      <c r="N376"/>
      <c r="O376"/>
      <c r="P376"/>
      <c r="Q376"/>
    </row>
    <row r="377" spans="1:17" ht="15.75" x14ac:dyDescent="0.25">
      <c r="A377"/>
      <c r="B377"/>
      <c r="C377"/>
      <c r="D377"/>
      <c r="E377"/>
      <c r="F377"/>
      <c r="G377"/>
      <c r="H377"/>
      <c r="I377"/>
      <c r="J377"/>
      <c r="K377"/>
      <c r="L377"/>
      <c r="M377"/>
      <c r="N377"/>
      <c r="O377"/>
      <c r="P377"/>
      <c r="Q377"/>
    </row>
    <row r="378" spans="1:17" ht="15.75" x14ac:dyDescent="0.25">
      <c r="A378"/>
      <c r="B378"/>
      <c r="C378"/>
      <c r="D378"/>
      <c r="E378"/>
      <c r="F378"/>
      <c r="G378"/>
      <c r="H378"/>
      <c r="I378"/>
      <c r="J378"/>
      <c r="K378"/>
      <c r="L378"/>
      <c r="M378"/>
      <c r="N378"/>
      <c r="O378"/>
      <c r="P378"/>
      <c r="Q378"/>
    </row>
    <row r="379" spans="1:17" ht="15.75" x14ac:dyDescent="0.25">
      <c r="A379"/>
      <c r="B379"/>
      <c r="C379"/>
      <c r="D379"/>
      <c r="E379"/>
      <c r="F379"/>
      <c r="G379"/>
      <c r="H379"/>
      <c r="I379"/>
      <c r="J379"/>
      <c r="K379"/>
      <c r="L379"/>
      <c r="M379"/>
      <c r="N379"/>
      <c r="O379"/>
      <c r="P379"/>
      <c r="Q379"/>
    </row>
    <row r="380" spans="1:17" ht="15.75" x14ac:dyDescent="0.25">
      <c r="A380"/>
      <c r="B380"/>
      <c r="C380"/>
      <c r="D380"/>
      <c r="E380"/>
      <c r="F380"/>
      <c r="G380"/>
      <c r="H380"/>
      <c r="I380"/>
      <c r="J380"/>
      <c r="K380"/>
      <c r="L380"/>
      <c r="M380"/>
      <c r="N380"/>
      <c r="O380"/>
      <c r="P380"/>
      <c r="Q380"/>
    </row>
    <row r="381" spans="1:17" ht="15.75" x14ac:dyDescent="0.25">
      <c r="A381"/>
      <c r="B381"/>
      <c r="C381"/>
      <c r="D381"/>
      <c r="E381"/>
      <c r="F381"/>
      <c r="G381"/>
      <c r="H381"/>
      <c r="I381"/>
      <c r="J381"/>
      <c r="K381"/>
      <c r="L381"/>
      <c r="M381"/>
      <c r="N381"/>
      <c r="O381"/>
      <c r="P381"/>
      <c r="Q381"/>
    </row>
    <row r="382" spans="1:17" ht="15.75" x14ac:dyDescent="0.25">
      <c r="A382"/>
      <c r="B382"/>
      <c r="C382"/>
      <c r="D382"/>
      <c r="E382"/>
      <c r="F382"/>
      <c r="G382"/>
      <c r="H382"/>
      <c r="I382"/>
      <c r="J382"/>
      <c r="K382"/>
      <c r="L382"/>
      <c r="M382"/>
      <c r="N382"/>
      <c r="O382"/>
      <c r="P382"/>
      <c r="Q382"/>
    </row>
    <row r="383" spans="1:17" ht="15.75" x14ac:dyDescent="0.25">
      <c r="A383"/>
      <c r="B383"/>
      <c r="C383"/>
      <c r="D383"/>
      <c r="E383"/>
      <c r="F383"/>
      <c r="G383"/>
      <c r="H383"/>
      <c r="I383"/>
      <c r="J383"/>
      <c r="K383"/>
      <c r="L383"/>
      <c r="M383"/>
      <c r="N383"/>
      <c r="O383"/>
      <c r="P383"/>
      <c r="Q383"/>
    </row>
    <row r="384" spans="1:17" ht="15.75" x14ac:dyDescent="0.25">
      <c r="A384"/>
      <c r="B384"/>
      <c r="C384"/>
      <c r="D384"/>
      <c r="E384"/>
      <c r="F384"/>
      <c r="G384"/>
      <c r="H384"/>
      <c r="I384"/>
      <c r="J384"/>
      <c r="K384"/>
      <c r="L384"/>
      <c r="M384"/>
      <c r="N384"/>
      <c r="O384"/>
      <c r="P384"/>
      <c r="Q384"/>
    </row>
    <row r="385" spans="1:17" ht="15.75" x14ac:dyDescent="0.25">
      <c r="A385"/>
      <c r="B385"/>
      <c r="C385"/>
      <c r="D385"/>
      <c r="E385"/>
      <c r="F385"/>
      <c r="G385"/>
      <c r="H385"/>
      <c r="I385"/>
      <c r="J385"/>
      <c r="K385"/>
      <c r="L385"/>
      <c r="M385"/>
      <c r="N385"/>
      <c r="O385"/>
      <c r="P385"/>
      <c r="Q385"/>
    </row>
    <row r="386" spans="1:17" ht="15.75" x14ac:dyDescent="0.25">
      <c r="A386"/>
      <c r="B386"/>
      <c r="C386"/>
      <c r="D386"/>
      <c r="E386"/>
      <c r="F386"/>
      <c r="G386"/>
      <c r="H386"/>
      <c r="I386"/>
      <c r="J386"/>
      <c r="K386"/>
      <c r="L386"/>
      <c r="M386"/>
      <c r="N386"/>
      <c r="O386"/>
      <c r="P386"/>
      <c r="Q386"/>
    </row>
    <row r="387" spans="1:17" ht="15.75" x14ac:dyDescent="0.25">
      <c r="A387"/>
      <c r="B387"/>
      <c r="C387"/>
      <c r="D387"/>
      <c r="E387"/>
      <c r="F387"/>
      <c r="G387"/>
      <c r="H387"/>
      <c r="I387"/>
      <c r="J387"/>
      <c r="K387"/>
      <c r="L387"/>
      <c r="M387"/>
      <c r="N387"/>
      <c r="O387"/>
      <c r="P387"/>
      <c r="Q387"/>
    </row>
    <row r="388" spans="1:17" ht="15.75" x14ac:dyDescent="0.25">
      <c r="A388"/>
      <c r="B388"/>
      <c r="C388"/>
      <c r="D388"/>
      <c r="E388"/>
      <c r="F388"/>
      <c r="G388"/>
      <c r="H388"/>
      <c r="I388"/>
      <c r="J388"/>
      <c r="K388"/>
      <c r="L388"/>
      <c r="M388"/>
      <c r="N388"/>
      <c r="O388"/>
      <c r="P388"/>
      <c r="Q388"/>
    </row>
    <row r="389" spans="1:17" ht="15.75" x14ac:dyDescent="0.25">
      <c r="A389"/>
      <c r="B389"/>
      <c r="C389"/>
      <c r="D389"/>
      <c r="E389"/>
      <c r="F389"/>
      <c r="G389"/>
      <c r="H389"/>
      <c r="I389"/>
      <c r="J389"/>
      <c r="K389"/>
      <c r="L389"/>
      <c r="M389"/>
      <c r="N389"/>
      <c r="O389"/>
      <c r="P389"/>
      <c r="Q389"/>
    </row>
    <row r="390" spans="1:17" ht="15.75" x14ac:dyDescent="0.25">
      <c r="A390"/>
      <c r="B390"/>
      <c r="C390"/>
      <c r="D390"/>
      <c r="E390"/>
      <c r="F390"/>
      <c r="G390"/>
      <c r="H390"/>
      <c r="I390"/>
      <c r="J390"/>
      <c r="K390"/>
      <c r="L390"/>
      <c r="M390"/>
      <c r="N390"/>
      <c r="O390"/>
      <c r="P390"/>
      <c r="Q390"/>
    </row>
    <row r="391" spans="1:17" ht="15.75" x14ac:dyDescent="0.25">
      <c r="A391"/>
      <c r="B391"/>
      <c r="C391"/>
      <c r="D391"/>
      <c r="E391"/>
      <c r="F391"/>
      <c r="G391"/>
      <c r="H391"/>
      <c r="I391"/>
      <c r="J391"/>
      <c r="K391"/>
      <c r="L391"/>
      <c r="M391"/>
      <c r="N391"/>
      <c r="O391"/>
      <c r="P391"/>
      <c r="Q391"/>
    </row>
    <row r="392" spans="1:17" ht="15.75" x14ac:dyDescent="0.25">
      <c r="A392"/>
      <c r="B392"/>
      <c r="C392"/>
      <c r="D392"/>
      <c r="E392"/>
      <c r="F392"/>
      <c r="G392"/>
      <c r="H392"/>
      <c r="I392"/>
      <c r="J392"/>
      <c r="K392"/>
      <c r="L392"/>
      <c r="M392"/>
      <c r="N392"/>
      <c r="O392"/>
      <c r="P392"/>
      <c r="Q392"/>
    </row>
    <row r="393" spans="1:17" ht="15.75" x14ac:dyDescent="0.25">
      <c r="A393"/>
      <c r="B393"/>
      <c r="C393"/>
      <c r="D393"/>
      <c r="E393"/>
      <c r="F393"/>
      <c r="G393"/>
      <c r="H393"/>
      <c r="I393"/>
      <c r="J393"/>
      <c r="K393"/>
      <c r="L393"/>
      <c r="M393"/>
      <c r="N393"/>
      <c r="O393"/>
      <c r="P393"/>
      <c r="Q393"/>
    </row>
    <row r="394" spans="1:17" ht="15.75" x14ac:dyDescent="0.25">
      <c r="A394"/>
      <c r="B394"/>
      <c r="C394"/>
      <c r="D394"/>
      <c r="E394"/>
      <c r="F394"/>
      <c r="G394"/>
      <c r="H394"/>
      <c r="I394"/>
      <c r="J394"/>
      <c r="K394"/>
      <c r="L394"/>
      <c r="M394"/>
      <c r="N394"/>
      <c r="O394"/>
      <c r="P394"/>
      <c r="Q394"/>
    </row>
    <row r="395" spans="1:17" ht="15.75" x14ac:dyDescent="0.25">
      <c r="A395"/>
      <c r="B395"/>
      <c r="C395"/>
      <c r="D395"/>
      <c r="E395"/>
      <c r="F395"/>
      <c r="G395"/>
      <c r="H395"/>
      <c r="I395"/>
      <c r="J395"/>
      <c r="K395"/>
      <c r="L395"/>
      <c r="M395"/>
      <c r="N395"/>
      <c r="O395"/>
      <c r="P395"/>
      <c r="Q395"/>
    </row>
    <row r="396" spans="1:17" ht="15.75" x14ac:dyDescent="0.25">
      <c r="A396"/>
      <c r="B396"/>
      <c r="C396"/>
      <c r="D396"/>
      <c r="E396"/>
      <c r="F396"/>
      <c r="G396"/>
      <c r="H396"/>
      <c r="I396"/>
      <c r="J396"/>
      <c r="K396"/>
      <c r="L396"/>
      <c r="M396"/>
      <c r="N396"/>
      <c r="O396"/>
      <c r="P396"/>
      <c r="Q396"/>
    </row>
    <row r="397" spans="1:17" ht="15.75" x14ac:dyDescent="0.25">
      <c r="A397"/>
      <c r="B397"/>
      <c r="C397"/>
      <c r="D397"/>
      <c r="E397"/>
      <c r="F397"/>
      <c r="G397"/>
      <c r="H397"/>
      <c r="I397"/>
      <c r="J397"/>
      <c r="K397"/>
      <c r="L397"/>
      <c r="M397"/>
      <c r="N397"/>
      <c r="O397"/>
      <c r="P397"/>
      <c r="Q397"/>
    </row>
    <row r="398" spans="1:17" ht="15.75" x14ac:dyDescent="0.25">
      <c r="A398"/>
      <c r="B398"/>
      <c r="C398"/>
      <c r="D398"/>
      <c r="E398"/>
      <c r="F398"/>
      <c r="G398"/>
      <c r="H398"/>
      <c r="I398"/>
      <c r="J398"/>
      <c r="K398"/>
      <c r="L398"/>
      <c r="M398"/>
      <c r="N398"/>
      <c r="O398"/>
      <c r="P398"/>
      <c r="Q398"/>
    </row>
    <row r="399" spans="1:17" ht="15.75" x14ac:dyDescent="0.25">
      <c r="A399"/>
      <c r="B399"/>
      <c r="C399"/>
      <c r="D399"/>
      <c r="E399"/>
      <c r="F399"/>
      <c r="G399"/>
      <c r="H399"/>
      <c r="I399"/>
      <c r="J399"/>
      <c r="K399"/>
      <c r="L399"/>
      <c r="M399"/>
      <c r="N399"/>
      <c r="O399"/>
      <c r="P399"/>
      <c r="Q399"/>
    </row>
    <row r="400" spans="1:17" ht="15.75" x14ac:dyDescent="0.25">
      <c r="A400"/>
      <c r="B400"/>
      <c r="C400"/>
      <c r="D400"/>
      <c r="E400"/>
      <c r="F400"/>
      <c r="G400"/>
      <c r="H400"/>
      <c r="I400"/>
      <c r="J400"/>
      <c r="K400"/>
      <c r="L400"/>
      <c r="M400"/>
      <c r="N400"/>
      <c r="O400"/>
      <c r="P400"/>
      <c r="Q400"/>
    </row>
    <row r="401" spans="1:17" ht="15.75" x14ac:dyDescent="0.25">
      <c r="A401"/>
      <c r="B401"/>
      <c r="C401"/>
      <c r="D401"/>
      <c r="E401"/>
      <c r="F401"/>
      <c r="G401"/>
      <c r="H401"/>
      <c r="I401"/>
      <c r="J401"/>
      <c r="K401"/>
      <c r="L401"/>
      <c r="M401"/>
      <c r="N401"/>
      <c r="O401"/>
      <c r="P401"/>
      <c r="Q401"/>
    </row>
    <row r="402" spans="1:17" ht="15.75" x14ac:dyDescent="0.25">
      <c r="A402"/>
      <c r="B402"/>
      <c r="C402"/>
      <c r="D402"/>
      <c r="E402"/>
      <c r="F402"/>
      <c r="G402"/>
      <c r="H402"/>
      <c r="I402"/>
      <c r="J402"/>
      <c r="K402"/>
      <c r="L402"/>
      <c r="M402"/>
      <c r="N402"/>
      <c r="O402"/>
      <c r="P402"/>
      <c r="Q402"/>
    </row>
    <row r="403" spans="1:17" ht="15.75" x14ac:dyDescent="0.25">
      <c r="A403"/>
      <c r="B403"/>
      <c r="C403"/>
      <c r="D403"/>
      <c r="E403"/>
      <c r="F403"/>
      <c r="G403"/>
      <c r="H403"/>
      <c r="I403"/>
      <c r="J403"/>
      <c r="K403"/>
      <c r="L403"/>
      <c r="M403"/>
      <c r="N403"/>
      <c r="O403"/>
      <c r="P403"/>
      <c r="Q403"/>
    </row>
    <row r="404" spans="1:17" ht="15.75" x14ac:dyDescent="0.25">
      <c r="A404"/>
      <c r="B404"/>
      <c r="C404"/>
      <c r="D404"/>
      <c r="E404"/>
      <c r="F404"/>
      <c r="G404"/>
      <c r="H404"/>
      <c r="I404"/>
      <c r="J404"/>
      <c r="K404"/>
      <c r="L404"/>
      <c r="M404"/>
      <c r="N404"/>
      <c r="O404"/>
      <c r="P404"/>
      <c r="Q404"/>
    </row>
    <row r="405" spans="1:17" ht="15.75" x14ac:dyDescent="0.25">
      <c r="A405"/>
      <c r="B405"/>
      <c r="C405"/>
      <c r="D405"/>
      <c r="E405"/>
      <c r="F405"/>
      <c r="G405"/>
      <c r="H405"/>
      <c r="I405"/>
      <c r="J405"/>
      <c r="K405"/>
      <c r="L405"/>
      <c r="M405"/>
      <c r="N405"/>
      <c r="O405"/>
      <c r="P405"/>
      <c r="Q405"/>
    </row>
    <row r="406" spans="1:17" ht="15.75" x14ac:dyDescent="0.25">
      <c r="A406"/>
      <c r="B406"/>
      <c r="C406"/>
      <c r="D406"/>
      <c r="E406"/>
      <c r="F406"/>
      <c r="G406"/>
      <c r="H406"/>
      <c r="I406"/>
      <c r="J406"/>
      <c r="K406"/>
      <c r="L406"/>
      <c r="M406"/>
      <c r="N406"/>
      <c r="O406"/>
      <c r="P406"/>
      <c r="Q406"/>
    </row>
    <row r="407" spans="1:17" ht="15.75" x14ac:dyDescent="0.25">
      <c r="A407"/>
      <c r="B407"/>
      <c r="C407"/>
      <c r="D407"/>
      <c r="E407"/>
      <c r="F407"/>
      <c r="G407"/>
      <c r="H407"/>
      <c r="I407"/>
      <c r="J407"/>
      <c r="K407"/>
      <c r="L407"/>
      <c r="M407"/>
      <c r="N407"/>
      <c r="O407"/>
      <c r="P407"/>
      <c r="Q407"/>
    </row>
    <row r="408" spans="1:17" ht="15.75" x14ac:dyDescent="0.25">
      <c r="A408"/>
      <c r="B408"/>
      <c r="C408"/>
      <c r="D408"/>
      <c r="E408"/>
      <c r="F408"/>
      <c r="G408"/>
      <c r="H408"/>
      <c r="I408"/>
      <c r="J408"/>
      <c r="K408"/>
      <c r="L408"/>
      <c r="M408"/>
      <c r="N408"/>
      <c r="O408"/>
      <c r="P408"/>
      <c r="Q408"/>
    </row>
    <row r="409" spans="1:17" ht="15.75" x14ac:dyDescent="0.25">
      <c r="A409"/>
      <c r="B409"/>
      <c r="C409"/>
      <c r="D409"/>
      <c r="E409"/>
      <c r="F409"/>
      <c r="G409"/>
      <c r="H409"/>
      <c r="I409"/>
      <c r="J409"/>
      <c r="K409"/>
      <c r="L409"/>
      <c r="M409"/>
      <c r="N409"/>
      <c r="O409"/>
      <c r="P409"/>
      <c r="Q409"/>
    </row>
    <row r="410" spans="1:17" ht="15.75" x14ac:dyDescent="0.25">
      <c r="A410"/>
      <c r="B410"/>
      <c r="C410"/>
      <c r="D410"/>
      <c r="E410"/>
      <c r="F410"/>
      <c r="G410"/>
      <c r="H410"/>
      <c r="I410"/>
      <c r="J410"/>
      <c r="K410"/>
      <c r="L410"/>
      <c r="M410"/>
      <c r="N410"/>
      <c r="O410"/>
      <c r="P410"/>
      <c r="Q410"/>
    </row>
    <row r="411" spans="1:17" ht="15.75" x14ac:dyDescent="0.25">
      <c r="A411"/>
      <c r="B411"/>
      <c r="C411"/>
      <c r="D411"/>
      <c r="E411"/>
      <c r="F411"/>
      <c r="G411"/>
      <c r="H411"/>
      <c r="I411"/>
      <c r="J411"/>
      <c r="K411"/>
      <c r="L411"/>
      <c r="M411"/>
      <c r="N411"/>
      <c r="O411"/>
      <c r="P411"/>
      <c r="Q411"/>
    </row>
    <row r="412" spans="1:17" ht="15.75" x14ac:dyDescent="0.25">
      <c r="A412"/>
      <c r="B412"/>
      <c r="C412"/>
      <c r="D412"/>
      <c r="E412"/>
      <c r="F412"/>
      <c r="G412"/>
      <c r="H412"/>
      <c r="I412"/>
      <c r="J412"/>
      <c r="K412"/>
      <c r="L412"/>
      <c r="M412"/>
      <c r="N412"/>
      <c r="O412"/>
      <c r="P412"/>
      <c r="Q412"/>
    </row>
    <row r="413" spans="1:17" ht="15.75" x14ac:dyDescent="0.25">
      <c r="A413"/>
      <c r="B413"/>
      <c r="C413"/>
      <c r="D413"/>
      <c r="E413"/>
      <c r="F413"/>
      <c r="G413"/>
      <c r="H413"/>
      <c r="I413"/>
      <c r="J413"/>
      <c r="K413"/>
      <c r="L413"/>
      <c r="M413"/>
      <c r="N413"/>
      <c r="O413"/>
      <c r="P413"/>
      <c r="Q413"/>
    </row>
    <row r="414" spans="1:17" ht="15.75" x14ac:dyDescent="0.25">
      <c r="A414"/>
      <c r="B414"/>
      <c r="C414"/>
      <c r="D414"/>
      <c r="E414"/>
      <c r="F414"/>
      <c r="G414"/>
      <c r="H414"/>
      <c r="I414"/>
      <c r="J414"/>
      <c r="K414"/>
      <c r="L414"/>
      <c r="M414"/>
      <c r="N414"/>
      <c r="O414"/>
      <c r="P414"/>
      <c r="Q414"/>
    </row>
    <row r="415" spans="1:17" ht="15.75" x14ac:dyDescent="0.25">
      <c r="A415"/>
      <c r="B415"/>
      <c r="C415"/>
      <c r="D415"/>
      <c r="E415"/>
      <c r="F415"/>
      <c r="G415"/>
      <c r="H415"/>
      <c r="I415"/>
      <c r="J415"/>
      <c r="K415"/>
      <c r="L415"/>
      <c r="M415"/>
      <c r="N415"/>
      <c r="O415"/>
      <c r="P415"/>
      <c r="Q415"/>
    </row>
    <row r="416" spans="1:17" ht="15.75" x14ac:dyDescent="0.25">
      <c r="A416"/>
      <c r="B416"/>
      <c r="C416"/>
      <c r="D416"/>
      <c r="E416"/>
      <c r="F416"/>
      <c r="G416"/>
      <c r="H416"/>
      <c r="I416"/>
      <c r="J416"/>
      <c r="K416"/>
      <c r="L416"/>
      <c r="M416"/>
      <c r="N416"/>
      <c r="O416"/>
      <c r="P416"/>
      <c r="Q416"/>
    </row>
    <row r="417" spans="1:17" ht="15.75" x14ac:dyDescent="0.25">
      <c r="A417"/>
      <c r="B417"/>
      <c r="C417"/>
      <c r="D417"/>
      <c r="E417"/>
      <c r="F417"/>
      <c r="G417"/>
      <c r="H417"/>
      <c r="I417"/>
      <c r="J417"/>
      <c r="K417"/>
      <c r="L417"/>
      <c r="M417"/>
      <c r="N417"/>
      <c r="O417"/>
      <c r="P417"/>
      <c r="Q417"/>
    </row>
    <row r="418" spans="1:17" ht="15.75" x14ac:dyDescent="0.25">
      <c r="A418"/>
      <c r="B418"/>
      <c r="C418"/>
      <c r="D418"/>
      <c r="E418"/>
      <c r="F418"/>
      <c r="G418"/>
      <c r="H418"/>
      <c r="I418"/>
      <c r="J418"/>
      <c r="K418"/>
      <c r="L418"/>
      <c r="M418"/>
      <c r="N418"/>
      <c r="O418"/>
      <c r="P418"/>
      <c r="Q418"/>
    </row>
    <row r="419" spans="1:17" ht="15.75" x14ac:dyDescent="0.25">
      <c r="A419"/>
      <c r="B419"/>
      <c r="C419"/>
      <c r="D419"/>
      <c r="E419"/>
      <c r="F419"/>
      <c r="G419"/>
      <c r="H419"/>
      <c r="I419"/>
      <c r="J419"/>
      <c r="K419"/>
      <c r="L419"/>
      <c r="M419"/>
      <c r="N419"/>
      <c r="O419"/>
      <c r="P419"/>
      <c r="Q419"/>
    </row>
    <row r="420" spans="1:17" ht="15.75" x14ac:dyDescent="0.25">
      <c r="A420"/>
      <c r="B420"/>
      <c r="C420"/>
      <c r="D420"/>
      <c r="E420"/>
      <c r="F420"/>
      <c r="G420"/>
      <c r="H420"/>
      <c r="I420"/>
      <c r="J420"/>
      <c r="K420"/>
      <c r="L420"/>
      <c r="M420"/>
      <c r="N420"/>
      <c r="O420"/>
      <c r="P420"/>
      <c r="Q420"/>
    </row>
    <row r="421" spans="1:17" ht="15.75" x14ac:dyDescent="0.25">
      <c r="A421"/>
      <c r="B421"/>
      <c r="C421"/>
      <c r="D421"/>
      <c r="E421"/>
      <c r="F421"/>
      <c r="G421"/>
      <c r="H421"/>
      <c r="I421"/>
      <c r="J421"/>
      <c r="K421"/>
      <c r="L421"/>
      <c r="M421"/>
      <c r="N421"/>
      <c r="O421"/>
      <c r="P421"/>
      <c r="Q421"/>
    </row>
    <row r="422" spans="1:17" ht="15.75" x14ac:dyDescent="0.25">
      <c r="A422"/>
      <c r="B422"/>
      <c r="C422"/>
      <c r="D422"/>
      <c r="E422"/>
      <c r="F422"/>
      <c r="G422"/>
      <c r="H422"/>
      <c r="I422"/>
      <c r="J422"/>
      <c r="K422"/>
      <c r="L422"/>
      <c r="M422"/>
      <c r="N422"/>
      <c r="O422"/>
      <c r="P422"/>
      <c r="Q422"/>
    </row>
    <row r="423" spans="1:17" ht="15.75" x14ac:dyDescent="0.25">
      <c r="A423"/>
      <c r="B423"/>
      <c r="C423"/>
      <c r="D423"/>
      <c r="E423"/>
      <c r="F423"/>
      <c r="G423"/>
      <c r="H423"/>
      <c r="I423"/>
      <c r="J423"/>
      <c r="K423"/>
      <c r="L423"/>
      <c r="M423"/>
      <c r="N423"/>
      <c r="O423"/>
      <c r="P423"/>
      <c r="Q423"/>
    </row>
    <row r="424" spans="1:17" ht="15.75" x14ac:dyDescent="0.25">
      <c r="A424"/>
      <c r="B424"/>
      <c r="C424"/>
      <c r="D424"/>
      <c r="E424"/>
      <c r="F424"/>
      <c r="G424"/>
      <c r="H424"/>
      <c r="I424"/>
      <c r="J424"/>
      <c r="K424"/>
      <c r="L424"/>
      <c r="M424"/>
      <c r="N424"/>
      <c r="O424"/>
      <c r="P424"/>
      <c r="Q424"/>
    </row>
    <row r="425" spans="1:17" ht="15.75" x14ac:dyDescent="0.25">
      <c r="A425"/>
      <c r="B425"/>
      <c r="C425"/>
      <c r="D425"/>
      <c r="E425"/>
      <c r="F425"/>
      <c r="G425"/>
      <c r="H425"/>
      <c r="I425"/>
      <c r="J425"/>
      <c r="K425"/>
      <c r="L425"/>
      <c r="M425"/>
      <c r="N425"/>
      <c r="O425"/>
      <c r="P425"/>
      <c r="Q425"/>
    </row>
    <row r="426" spans="1:17" ht="15.75" x14ac:dyDescent="0.25">
      <c r="A426"/>
      <c r="B426"/>
      <c r="C426"/>
      <c r="D426"/>
      <c r="E426"/>
      <c r="F426"/>
      <c r="G426"/>
      <c r="H426"/>
      <c r="I426"/>
      <c r="J426"/>
      <c r="K426"/>
      <c r="L426"/>
      <c r="M426"/>
      <c r="N426"/>
      <c r="O426"/>
      <c r="P426"/>
      <c r="Q426"/>
    </row>
    <row r="427" spans="1:17" ht="15.75" x14ac:dyDescent="0.25">
      <c r="A427"/>
      <c r="B427"/>
      <c r="C427"/>
      <c r="D427"/>
      <c r="E427"/>
      <c r="F427"/>
      <c r="G427"/>
      <c r="H427"/>
      <c r="I427"/>
      <c r="J427"/>
      <c r="K427"/>
      <c r="L427"/>
      <c r="M427"/>
      <c r="N427"/>
      <c r="O427"/>
      <c r="P427"/>
      <c r="Q427"/>
    </row>
    <row r="428" spans="1:17" ht="15.75" x14ac:dyDescent="0.25">
      <c r="A428"/>
      <c r="B428"/>
      <c r="C428"/>
      <c r="D428"/>
      <c r="E428"/>
      <c r="F428"/>
      <c r="G428"/>
      <c r="H428"/>
      <c r="I428"/>
      <c r="J428"/>
      <c r="K428"/>
      <c r="L428"/>
      <c r="M428"/>
      <c r="N428"/>
      <c r="O428"/>
      <c r="P428"/>
      <c r="Q428"/>
    </row>
    <row r="429" spans="1:17" ht="15.75" x14ac:dyDescent="0.25">
      <c r="A429"/>
      <c r="B429"/>
      <c r="C429"/>
      <c r="D429"/>
      <c r="E429"/>
      <c r="F429"/>
      <c r="G429"/>
      <c r="H429"/>
      <c r="I429"/>
      <c r="J429"/>
      <c r="K429"/>
      <c r="L429"/>
      <c r="M429"/>
      <c r="N429"/>
      <c r="O429"/>
      <c r="P429"/>
      <c r="Q429"/>
    </row>
    <row r="430" spans="1:17" ht="15.75" x14ac:dyDescent="0.25">
      <c r="A430"/>
      <c r="B430"/>
      <c r="C430"/>
      <c r="D430"/>
      <c r="E430"/>
      <c r="F430"/>
      <c r="G430"/>
      <c r="H430"/>
      <c r="I430"/>
      <c r="J430"/>
      <c r="K430"/>
      <c r="L430"/>
      <c r="M430"/>
      <c r="N430"/>
      <c r="O430"/>
      <c r="P430"/>
      <c r="Q430"/>
    </row>
    <row r="431" spans="1:17" ht="15.75" x14ac:dyDescent="0.25">
      <c r="A431"/>
      <c r="B431"/>
      <c r="C431"/>
      <c r="D431"/>
      <c r="E431"/>
      <c r="F431"/>
      <c r="G431"/>
      <c r="H431"/>
      <c r="I431"/>
      <c r="J431"/>
      <c r="K431"/>
      <c r="L431"/>
      <c r="M431"/>
      <c r="N431"/>
      <c r="O431"/>
      <c r="P431"/>
      <c r="Q431"/>
    </row>
    <row r="432" spans="1:17" ht="15.75" x14ac:dyDescent="0.25">
      <c r="A432"/>
      <c r="B432"/>
      <c r="C432"/>
      <c r="D432"/>
      <c r="E432"/>
      <c r="F432"/>
      <c r="G432"/>
      <c r="H432"/>
      <c r="I432"/>
      <c r="J432"/>
      <c r="K432"/>
      <c r="L432"/>
      <c r="M432"/>
      <c r="N432"/>
      <c r="O432"/>
      <c r="P432"/>
      <c r="Q432"/>
    </row>
    <row r="433" spans="1:17" ht="15.75" x14ac:dyDescent="0.25">
      <c r="A433"/>
      <c r="B433"/>
      <c r="C433"/>
      <c r="D433"/>
      <c r="E433"/>
      <c r="F433"/>
      <c r="G433"/>
      <c r="H433"/>
      <c r="I433"/>
      <c r="J433"/>
      <c r="K433"/>
      <c r="L433"/>
      <c r="M433"/>
      <c r="N433"/>
      <c r="O433"/>
      <c r="P433"/>
      <c r="Q433"/>
    </row>
    <row r="434" spans="1:17" ht="15.75" x14ac:dyDescent="0.25">
      <c r="A434"/>
      <c r="B434"/>
      <c r="C434"/>
      <c r="D434"/>
      <c r="E434"/>
      <c r="F434"/>
      <c r="G434"/>
      <c r="H434"/>
      <c r="I434"/>
      <c r="J434"/>
      <c r="K434"/>
      <c r="L434"/>
      <c r="M434"/>
      <c r="N434"/>
      <c r="O434"/>
      <c r="P434"/>
      <c r="Q434"/>
    </row>
    <row r="435" spans="1:17" ht="15.75" x14ac:dyDescent="0.25">
      <c r="A435"/>
      <c r="B435"/>
      <c r="C435"/>
      <c r="D435"/>
      <c r="E435"/>
      <c r="F435"/>
      <c r="G435"/>
      <c r="H435"/>
      <c r="I435"/>
      <c r="J435"/>
      <c r="K435"/>
      <c r="L435"/>
      <c r="M435"/>
      <c r="N435"/>
      <c r="O435"/>
      <c r="P435"/>
      <c r="Q435"/>
    </row>
    <row r="436" spans="1:17" ht="15.75" x14ac:dyDescent="0.25">
      <c r="A436"/>
      <c r="B436"/>
      <c r="C436"/>
      <c r="D436"/>
      <c r="E436"/>
      <c r="F436"/>
      <c r="G436"/>
      <c r="H436"/>
      <c r="I436"/>
      <c r="J436"/>
      <c r="K436"/>
      <c r="L436"/>
      <c r="M436"/>
      <c r="N436"/>
      <c r="O436"/>
      <c r="P436"/>
      <c r="Q436"/>
    </row>
    <row r="437" spans="1:17" ht="15.75" x14ac:dyDescent="0.25">
      <c r="A437"/>
      <c r="B437"/>
      <c r="C437"/>
      <c r="D437"/>
      <c r="E437"/>
      <c r="F437"/>
      <c r="G437"/>
      <c r="H437"/>
      <c r="I437"/>
      <c r="J437"/>
      <c r="K437"/>
      <c r="L437"/>
      <c r="M437"/>
      <c r="N437"/>
      <c r="O437"/>
      <c r="P437"/>
      <c r="Q437"/>
    </row>
    <row r="438" spans="1:17" ht="15.75" x14ac:dyDescent="0.25">
      <c r="A438"/>
      <c r="B438"/>
      <c r="C438"/>
      <c r="D438"/>
      <c r="E438"/>
      <c r="F438"/>
      <c r="G438"/>
      <c r="H438"/>
      <c r="I438"/>
      <c r="J438"/>
      <c r="K438"/>
      <c r="L438"/>
      <c r="M438"/>
      <c r="N438"/>
      <c r="O438"/>
      <c r="P438"/>
      <c r="Q438"/>
    </row>
    <row r="439" spans="1:17" ht="15.75" x14ac:dyDescent="0.25">
      <c r="A439"/>
      <c r="B439"/>
      <c r="C439"/>
      <c r="D439"/>
      <c r="E439"/>
      <c r="F439"/>
      <c r="G439"/>
      <c r="H439"/>
      <c r="I439"/>
      <c r="J439"/>
      <c r="K439"/>
      <c r="L439"/>
      <c r="M439"/>
      <c r="N439"/>
      <c r="O439"/>
      <c r="P439"/>
      <c r="Q439"/>
    </row>
    <row r="440" spans="1:17" ht="15.75" x14ac:dyDescent="0.25">
      <c r="A440"/>
      <c r="B440"/>
      <c r="C440"/>
      <c r="D440"/>
      <c r="E440"/>
      <c r="F440"/>
      <c r="G440"/>
      <c r="H440"/>
      <c r="I440"/>
      <c r="J440"/>
      <c r="K440"/>
      <c r="L440"/>
      <c r="M440"/>
      <c r="N440"/>
      <c r="O440"/>
      <c r="P440"/>
      <c r="Q440"/>
    </row>
    <row r="441" spans="1:17" ht="15.75" x14ac:dyDescent="0.25">
      <c r="A441"/>
      <c r="B441"/>
      <c r="C441"/>
      <c r="D441"/>
      <c r="E441"/>
      <c r="F441"/>
      <c r="G441"/>
      <c r="H441"/>
      <c r="I441"/>
      <c r="J441"/>
      <c r="K441"/>
      <c r="L441"/>
      <c r="M441"/>
      <c r="N441"/>
      <c r="O441"/>
      <c r="P441"/>
      <c r="Q441"/>
    </row>
    <row r="442" spans="1:17" ht="15.75" x14ac:dyDescent="0.25">
      <c r="A442"/>
      <c r="B442"/>
      <c r="C442"/>
      <c r="D442"/>
      <c r="E442"/>
      <c r="F442"/>
      <c r="G442"/>
      <c r="H442"/>
      <c r="I442"/>
      <c r="J442"/>
      <c r="K442"/>
      <c r="L442"/>
      <c r="M442"/>
      <c r="N442"/>
      <c r="O442"/>
      <c r="P442"/>
      <c r="Q442"/>
    </row>
    <row r="443" spans="1:17" ht="15.75" x14ac:dyDescent="0.25">
      <c r="A443"/>
      <c r="B443"/>
      <c r="C443"/>
      <c r="D443"/>
      <c r="E443"/>
      <c r="F443"/>
      <c r="G443"/>
      <c r="H443"/>
      <c r="I443"/>
      <c r="J443"/>
      <c r="K443"/>
      <c r="L443"/>
      <c r="M443"/>
      <c r="N443"/>
      <c r="O443"/>
      <c r="P443"/>
      <c r="Q443"/>
    </row>
    <row r="444" spans="1:17" ht="15.75" x14ac:dyDescent="0.25">
      <c r="A444"/>
      <c r="B444"/>
      <c r="C444"/>
      <c r="D444"/>
      <c r="E444"/>
      <c r="F444"/>
      <c r="G444"/>
      <c r="H444"/>
      <c r="I444"/>
      <c r="J444"/>
      <c r="K444"/>
      <c r="L444"/>
      <c r="M444"/>
      <c r="N444"/>
      <c r="O444"/>
      <c r="P444"/>
      <c r="Q444"/>
    </row>
    <row r="445" spans="1:17" ht="15.75" x14ac:dyDescent="0.25">
      <c r="A445"/>
      <c r="B445"/>
      <c r="C445"/>
      <c r="D445"/>
      <c r="E445"/>
      <c r="F445"/>
      <c r="G445"/>
      <c r="H445"/>
      <c r="I445"/>
      <c r="J445"/>
      <c r="K445"/>
      <c r="L445"/>
      <c r="M445"/>
      <c r="N445"/>
      <c r="O445"/>
      <c r="P445"/>
      <c r="Q445"/>
    </row>
    <row r="446" spans="1:17" ht="15.75" x14ac:dyDescent="0.25">
      <c r="A446"/>
      <c r="B446"/>
      <c r="C446"/>
      <c r="D446"/>
      <c r="E446"/>
      <c r="F446"/>
      <c r="G446"/>
      <c r="H446"/>
      <c r="I446"/>
      <c r="J446"/>
      <c r="K446"/>
      <c r="L446"/>
      <c r="M446"/>
      <c r="N446"/>
      <c r="O446"/>
      <c r="P446"/>
      <c r="Q446"/>
    </row>
    <row r="447" spans="1:17" ht="15.75" x14ac:dyDescent="0.25">
      <c r="A447"/>
      <c r="B447"/>
      <c r="C447"/>
      <c r="D447"/>
      <c r="E447"/>
      <c r="F447"/>
      <c r="G447"/>
      <c r="H447"/>
      <c r="I447"/>
      <c r="J447"/>
      <c r="K447"/>
      <c r="L447"/>
      <c r="M447"/>
      <c r="N447"/>
      <c r="O447"/>
      <c r="P447"/>
      <c r="Q447"/>
    </row>
    <row r="448" spans="1:17" ht="15.75" x14ac:dyDescent="0.25">
      <c r="A448"/>
      <c r="B448"/>
      <c r="C448"/>
      <c r="D448"/>
      <c r="E448"/>
      <c r="F448"/>
      <c r="G448"/>
      <c r="H448"/>
      <c r="I448"/>
      <c r="J448"/>
      <c r="K448"/>
      <c r="L448"/>
      <c r="M448"/>
      <c r="N448"/>
      <c r="O448"/>
      <c r="P448"/>
      <c r="Q448"/>
    </row>
    <row r="449" spans="1:17" ht="15.75" x14ac:dyDescent="0.25">
      <c r="A449"/>
      <c r="B449"/>
      <c r="C449"/>
      <c r="D449"/>
      <c r="E449"/>
      <c r="F449"/>
      <c r="G449"/>
      <c r="H449"/>
      <c r="I449"/>
      <c r="J449"/>
      <c r="K449"/>
      <c r="L449"/>
      <c r="M449"/>
      <c r="N449"/>
      <c r="O449"/>
      <c r="P449"/>
      <c r="Q449"/>
    </row>
    <row r="450" spans="1:17" ht="15.75" x14ac:dyDescent="0.25">
      <c r="A450"/>
      <c r="B450"/>
      <c r="C450"/>
      <c r="D450"/>
      <c r="E450"/>
      <c r="F450"/>
      <c r="G450"/>
      <c r="H450"/>
      <c r="I450"/>
      <c r="J450"/>
      <c r="K450"/>
      <c r="L450"/>
      <c r="M450"/>
      <c r="N450"/>
      <c r="O450"/>
      <c r="P450"/>
      <c r="Q450"/>
    </row>
    <row r="451" spans="1:17" ht="15.75" x14ac:dyDescent="0.25">
      <c r="A451"/>
      <c r="B451"/>
      <c r="C451"/>
      <c r="D451"/>
      <c r="E451"/>
      <c r="F451"/>
      <c r="G451"/>
      <c r="H451"/>
      <c r="I451"/>
      <c r="J451"/>
      <c r="K451"/>
      <c r="L451"/>
      <c r="M451"/>
      <c r="N451"/>
      <c r="O451"/>
      <c r="P451"/>
      <c r="Q451"/>
    </row>
    <row r="452" spans="1:17" ht="15.75" x14ac:dyDescent="0.25">
      <c r="A452"/>
      <c r="B452"/>
      <c r="C452"/>
      <c r="D452"/>
      <c r="E452"/>
      <c r="F452"/>
      <c r="G452"/>
      <c r="H452"/>
      <c r="I452"/>
      <c r="J452"/>
      <c r="K452"/>
      <c r="L452"/>
      <c r="M452"/>
      <c r="N452"/>
      <c r="O452"/>
      <c r="P452"/>
      <c r="Q452"/>
    </row>
    <row r="453" spans="1:17" ht="15.75" x14ac:dyDescent="0.25">
      <c r="A453"/>
      <c r="B453"/>
      <c r="C453"/>
      <c r="D453"/>
      <c r="E453"/>
      <c r="F453"/>
      <c r="G453"/>
      <c r="H453"/>
      <c r="I453"/>
      <c r="J453"/>
      <c r="K453"/>
      <c r="L453"/>
      <c r="M453"/>
      <c r="N453"/>
      <c r="O453"/>
      <c r="P453"/>
      <c r="Q453"/>
    </row>
    <row r="454" spans="1:17" ht="15.75" x14ac:dyDescent="0.25">
      <c r="A454"/>
      <c r="B454"/>
      <c r="C454"/>
      <c r="D454"/>
      <c r="E454"/>
      <c r="F454"/>
      <c r="G454"/>
      <c r="H454"/>
      <c r="I454"/>
      <c r="J454"/>
      <c r="K454"/>
      <c r="L454"/>
      <c r="M454"/>
      <c r="N454"/>
      <c r="O454"/>
      <c r="P454"/>
      <c r="Q454"/>
    </row>
    <row r="455" spans="1:17" ht="15.75" x14ac:dyDescent="0.25">
      <c r="A455"/>
      <c r="B455"/>
      <c r="C455"/>
      <c r="D455"/>
      <c r="E455"/>
      <c r="F455"/>
      <c r="G455"/>
      <c r="H455"/>
      <c r="I455"/>
      <c r="J455"/>
      <c r="K455"/>
      <c r="L455"/>
      <c r="M455"/>
      <c r="N455"/>
      <c r="O455"/>
      <c r="P455"/>
      <c r="Q455"/>
    </row>
    <row r="456" spans="1:17" ht="15.75" x14ac:dyDescent="0.25">
      <c r="A456"/>
      <c r="B456"/>
      <c r="C456"/>
      <c r="D456"/>
      <c r="E456"/>
      <c r="F456"/>
      <c r="G456"/>
      <c r="H456"/>
      <c r="I456"/>
      <c r="J456"/>
      <c r="K456"/>
      <c r="L456"/>
      <c r="M456"/>
      <c r="N456"/>
      <c r="O456"/>
      <c r="P456"/>
      <c r="Q456"/>
    </row>
    <row r="457" spans="1:17" ht="15.75" x14ac:dyDescent="0.25">
      <c r="A457"/>
      <c r="B457"/>
      <c r="C457"/>
      <c r="D457"/>
      <c r="E457"/>
      <c r="F457"/>
      <c r="G457"/>
      <c r="H457"/>
      <c r="I457"/>
      <c r="J457"/>
      <c r="K457"/>
      <c r="L457"/>
      <c r="M457"/>
      <c r="N457"/>
      <c r="O457"/>
      <c r="P457"/>
      <c r="Q457"/>
    </row>
    <row r="458" spans="1:17" ht="15.75" x14ac:dyDescent="0.25">
      <c r="A458"/>
      <c r="B458"/>
      <c r="C458"/>
      <c r="D458"/>
      <c r="E458"/>
      <c r="F458"/>
      <c r="G458"/>
      <c r="H458"/>
      <c r="I458"/>
      <c r="J458"/>
      <c r="K458"/>
      <c r="L458"/>
      <c r="M458"/>
      <c r="N458"/>
      <c r="O458"/>
      <c r="P458"/>
      <c r="Q458"/>
    </row>
    <row r="459" spans="1:17" ht="15.75" x14ac:dyDescent="0.25">
      <c r="A459"/>
      <c r="B459"/>
      <c r="C459"/>
      <c r="D459"/>
      <c r="E459"/>
      <c r="F459"/>
      <c r="G459"/>
      <c r="H459"/>
      <c r="I459"/>
      <c r="J459"/>
      <c r="K459"/>
      <c r="L459"/>
      <c r="M459"/>
      <c r="N459"/>
      <c r="O459"/>
      <c r="P459"/>
      <c r="Q459"/>
    </row>
    <row r="460" spans="1:17" ht="15.75" x14ac:dyDescent="0.25">
      <c r="A460"/>
      <c r="B460"/>
      <c r="C460"/>
      <c r="D460"/>
      <c r="E460"/>
      <c r="F460"/>
      <c r="G460"/>
      <c r="H460"/>
      <c r="I460"/>
      <c r="J460"/>
      <c r="K460"/>
      <c r="L460"/>
      <c r="M460"/>
      <c r="N460"/>
      <c r="O460"/>
      <c r="P460"/>
      <c r="Q460"/>
    </row>
    <row r="461" spans="1:17" ht="15.75" x14ac:dyDescent="0.25">
      <c r="A461"/>
      <c r="B461"/>
      <c r="C461"/>
      <c r="D461"/>
      <c r="E461"/>
      <c r="F461"/>
      <c r="G461"/>
      <c r="H461"/>
      <c r="I461"/>
      <c r="J461"/>
      <c r="K461"/>
      <c r="L461"/>
      <c r="M461"/>
      <c r="N461"/>
      <c r="O461"/>
      <c r="P461"/>
      <c r="Q461"/>
    </row>
    <row r="462" spans="1:17" ht="15.75" x14ac:dyDescent="0.25">
      <c r="A462"/>
      <c r="B462"/>
      <c r="C462"/>
      <c r="D462"/>
      <c r="E462"/>
      <c r="F462"/>
      <c r="G462"/>
      <c r="H462"/>
      <c r="I462"/>
      <c r="J462"/>
      <c r="K462"/>
      <c r="L462"/>
      <c r="M462"/>
      <c r="N462"/>
      <c r="O462"/>
      <c r="P462"/>
      <c r="Q462"/>
    </row>
    <row r="463" spans="1:17" ht="15.75" x14ac:dyDescent="0.25">
      <c r="A463"/>
      <c r="B463"/>
      <c r="C463"/>
      <c r="D463"/>
      <c r="E463"/>
      <c r="F463"/>
      <c r="G463"/>
      <c r="H463"/>
      <c r="I463"/>
      <c r="J463"/>
      <c r="K463"/>
      <c r="L463"/>
      <c r="M463"/>
      <c r="N463"/>
      <c r="O463"/>
      <c r="P463"/>
      <c r="Q463"/>
    </row>
    <row r="464" spans="1:17" ht="15.75" x14ac:dyDescent="0.25">
      <c r="A464"/>
      <c r="B464"/>
      <c r="C464"/>
      <c r="D464"/>
      <c r="E464"/>
      <c r="F464"/>
      <c r="G464"/>
      <c r="H464"/>
      <c r="I464"/>
      <c r="J464"/>
      <c r="K464"/>
      <c r="L464"/>
      <c r="M464"/>
      <c r="N464"/>
      <c r="O464"/>
      <c r="P464"/>
      <c r="Q464"/>
    </row>
    <row r="465" spans="1:17" ht="15.75" x14ac:dyDescent="0.25">
      <c r="A465"/>
      <c r="B465"/>
      <c r="C465"/>
      <c r="D465"/>
      <c r="E465"/>
      <c r="F465"/>
      <c r="G465"/>
      <c r="H465"/>
      <c r="I465"/>
      <c r="J465"/>
      <c r="K465"/>
      <c r="L465"/>
      <c r="M465"/>
      <c r="N465"/>
      <c r="O465"/>
      <c r="P465"/>
      <c r="Q465"/>
    </row>
    <row r="466" spans="1:17" ht="15.75" x14ac:dyDescent="0.25">
      <c r="A466"/>
      <c r="B466"/>
      <c r="C466"/>
      <c r="D466"/>
      <c r="E466"/>
      <c r="F466"/>
      <c r="G466"/>
      <c r="H466"/>
      <c r="I466"/>
      <c r="J466"/>
      <c r="K466"/>
      <c r="L466"/>
      <c r="M466"/>
      <c r="N466"/>
      <c r="O466"/>
      <c r="P466"/>
      <c r="Q466"/>
    </row>
    <row r="467" spans="1:17" ht="15.75" x14ac:dyDescent="0.25">
      <c r="A467"/>
      <c r="B467"/>
      <c r="C467"/>
      <c r="D467"/>
      <c r="E467"/>
      <c r="F467"/>
      <c r="G467"/>
      <c r="H467"/>
      <c r="I467"/>
      <c r="J467"/>
      <c r="K467"/>
      <c r="L467"/>
      <c r="M467"/>
      <c r="N467"/>
      <c r="O467"/>
      <c r="P467"/>
      <c r="Q467"/>
    </row>
    <row r="468" spans="1:17" ht="15.75" x14ac:dyDescent="0.25">
      <c r="A468"/>
      <c r="B468"/>
      <c r="C468"/>
      <c r="D468"/>
      <c r="E468"/>
      <c r="F468"/>
      <c r="G468"/>
      <c r="H468"/>
      <c r="I468"/>
      <c r="J468"/>
      <c r="K468"/>
      <c r="L468"/>
      <c r="M468"/>
      <c r="N468"/>
      <c r="O468"/>
      <c r="P468"/>
      <c r="Q468"/>
    </row>
    <row r="469" spans="1:17" ht="15.75" x14ac:dyDescent="0.25">
      <c r="A469"/>
      <c r="B469"/>
      <c r="C469"/>
      <c r="D469"/>
      <c r="E469"/>
      <c r="F469"/>
      <c r="G469"/>
      <c r="H469"/>
      <c r="I469"/>
      <c r="J469"/>
      <c r="K469"/>
      <c r="L469"/>
      <c r="M469"/>
      <c r="N469"/>
      <c r="O469"/>
      <c r="P469"/>
      <c r="Q469"/>
    </row>
    <row r="470" spans="1:17" ht="15.75" x14ac:dyDescent="0.25">
      <c r="A470"/>
      <c r="B470"/>
      <c r="C470"/>
      <c r="D470"/>
      <c r="E470"/>
      <c r="F470"/>
      <c r="G470"/>
      <c r="H470"/>
      <c r="I470"/>
      <c r="J470"/>
      <c r="K470"/>
      <c r="L470"/>
      <c r="M470"/>
      <c r="N470"/>
      <c r="O470"/>
      <c r="P470"/>
      <c r="Q470"/>
    </row>
    <row r="471" spans="1:17" ht="15.75" x14ac:dyDescent="0.25">
      <c r="A471"/>
      <c r="B471"/>
      <c r="C471"/>
      <c r="D471"/>
      <c r="E471"/>
      <c r="F471"/>
      <c r="G471"/>
      <c r="H471"/>
      <c r="I471"/>
      <c r="J471"/>
      <c r="K471"/>
      <c r="L471"/>
      <c r="M471"/>
      <c r="N471"/>
      <c r="O471"/>
      <c r="P471"/>
      <c r="Q471"/>
    </row>
    <row r="472" spans="1:17" ht="15.75" x14ac:dyDescent="0.25">
      <c r="A472"/>
      <c r="B472"/>
      <c r="C472"/>
      <c r="D472"/>
      <c r="E472"/>
      <c r="F472"/>
      <c r="G472"/>
      <c r="H472"/>
      <c r="I472"/>
      <c r="J472"/>
      <c r="K472"/>
      <c r="L472"/>
      <c r="M472"/>
      <c r="N472"/>
      <c r="O472"/>
      <c r="P472"/>
      <c r="Q472"/>
    </row>
    <row r="473" spans="1:17" ht="15.75" x14ac:dyDescent="0.25">
      <c r="A473"/>
      <c r="B473"/>
      <c r="C473"/>
      <c r="D473"/>
      <c r="E473"/>
      <c r="F473"/>
      <c r="G473"/>
      <c r="H473"/>
      <c r="I473"/>
      <c r="J473"/>
      <c r="K473"/>
      <c r="L473"/>
      <c r="M473"/>
      <c r="N473"/>
      <c r="O473"/>
      <c r="P473"/>
      <c r="Q473"/>
    </row>
    <row r="474" spans="1:17" ht="15.75" x14ac:dyDescent="0.25">
      <c r="A474"/>
      <c r="B474"/>
      <c r="C474"/>
      <c r="D474"/>
      <c r="E474"/>
      <c r="F474"/>
      <c r="G474"/>
      <c r="H474"/>
      <c r="I474"/>
      <c r="J474"/>
      <c r="K474"/>
      <c r="L474"/>
      <c r="M474"/>
      <c r="N474"/>
      <c r="O474"/>
      <c r="P474"/>
      <c r="Q474"/>
    </row>
    <row r="475" spans="1:17" ht="15.75" x14ac:dyDescent="0.25">
      <c r="A475"/>
      <c r="B475"/>
      <c r="C475"/>
      <c r="D475"/>
      <c r="E475"/>
      <c r="F475"/>
      <c r="G475"/>
      <c r="H475"/>
      <c r="I475"/>
      <c r="J475"/>
      <c r="K475"/>
      <c r="L475"/>
      <c r="M475"/>
      <c r="N475"/>
      <c r="O475"/>
      <c r="P475"/>
      <c r="Q475"/>
    </row>
    <row r="476" spans="1:17" ht="15.75" x14ac:dyDescent="0.25">
      <c r="A476"/>
      <c r="B476"/>
      <c r="C476"/>
      <c r="D476"/>
      <c r="E476"/>
      <c r="F476"/>
      <c r="G476"/>
      <c r="H476"/>
      <c r="I476"/>
      <c r="J476"/>
      <c r="K476"/>
      <c r="L476"/>
      <c r="M476"/>
      <c r="N476"/>
      <c r="O476"/>
      <c r="P476"/>
      <c r="Q476"/>
    </row>
    <row r="477" spans="1:17" ht="15.75" x14ac:dyDescent="0.25">
      <c r="A477"/>
      <c r="B477"/>
      <c r="C477"/>
      <c r="D477"/>
      <c r="E477"/>
      <c r="F477"/>
      <c r="G477"/>
      <c r="H477"/>
      <c r="I477"/>
      <c r="J477"/>
      <c r="K477"/>
      <c r="L477"/>
      <c r="M477"/>
      <c r="N477"/>
      <c r="O477"/>
      <c r="P477"/>
      <c r="Q477"/>
    </row>
    <row r="478" spans="1:17" ht="15.75" x14ac:dyDescent="0.25">
      <c r="A478"/>
      <c r="B478"/>
      <c r="C478"/>
      <c r="D478"/>
      <c r="E478"/>
      <c r="F478"/>
      <c r="G478"/>
      <c r="H478"/>
      <c r="I478"/>
      <c r="J478"/>
      <c r="K478"/>
      <c r="L478"/>
      <c r="M478"/>
      <c r="N478"/>
      <c r="O478"/>
      <c r="P478"/>
      <c r="Q478"/>
    </row>
    <row r="479" spans="1:17" ht="15.75" x14ac:dyDescent="0.25">
      <c r="A479"/>
      <c r="B479"/>
      <c r="C479"/>
      <c r="D479"/>
      <c r="E479"/>
      <c r="F479"/>
      <c r="G479"/>
      <c r="H479"/>
      <c r="I479"/>
      <c r="J479"/>
      <c r="K479"/>
      <c r="L479"/>
      <c r="M479"/>
      <c r="N479"/>
      <c r="O479"/>
      <c r="P479"/>
      <c r="Q479"/>
    </row>
    <row r="480" spans="1:17" ht="15.75" x14ac:dyDescent="0.25">
      <c r="A480"/>
      <c r="B480"/>
      <c r="C480"/>
      <c r="D480"/>
      <c r="E480"/>
      <c r="F480"/>
      <c r="G480"/>
      <c r="H480"/>
      <c r="I480"/>
      <c r="J480"/>
      <c r="K480"/>
      <c r="L480"/>
      <c r="M480"/>
      <c r="N480"/>
      <c r="O480"/>
      <c r="P480"/>
      <c r="Q480"/>
    </row>
    <row r="481" spans="1:17" ht="15.75" x14ac:dyDescent="0.25">
      <c r="A481"/>
      <c r="B481"/>
      <c r="C481"/>
      <c r="D481"/>
      <c r="E481"/>
      <c r="F481"/>
      <c r="G481"/>
      <c r="H481"/>
      <c r="I481"/>
      <c r="J481"/>
      <c r="K481"/>
      <c r="L481"/>
      <c r="M481"/>
      <c r="N481"/>
      <c r="O481"/>
      <c r="P481"/>
      <c r="Q481"/>
    </row>
    <row r="482" spans="1:17" ht="15.75" x14ac:dyDescent="0.25">
      <c r="A482"/>
      <c r="B482"/>
      <c r="C482"/>
      <c r="D482"/>
      <c r="E482"/>
      <c r="F482"/>
      <c r="G482"/>
      <c r="H482"/>
      <c r="I482"/>
      <c r="J482"/>
      <c r="K482"/>
      <c r="L482"/>
      <c r="M482"/>
      <c r="N482"/>
      <c r="O482"/>
      <c r="P482"/>
      <c r="Q482"/>
    </row>
    <row r="483" spans="1:17" ht="15.75" x14ac:dyDescent="0.25">
      <c r="A483"/>
      <c r="B483"/>
      <c r="C483"/>
      <c r="D483"/>
      <c r="E483"/>
      <c r="F483"/>
      <c r="G483"/>
      <c r="H483"/>
      <c r="I483"/>
      <c r="J483"/>
      <c r="K483"/>
      <c r="L483"/>
      <c r="M483"/>
      <c r="N483"/>
      <c r="O483"/>
      <c r="P483"/>
      <c r="Q483"/>
    </row>
    <row r="484" spans="1:17" ht="15.75" x14ac:dyDescent="0.25">
      <c r="A484"/>
      <c r="B484"/>
      <c r="C484"/>
      <c r="D484"/>
      <c r="E484"/>
      <c r="F484"/>
      <c r="G484"/>
      <c r="H484"/>
      <c r="I484"/>
      <c r="J484"/>
      <c r="K484"/>
      <c r="L484"/>
      <c r="M484"/>
      <c r="N484"/>
      <c r="O484"/>
      <c r="P484"/>
      <c r="Q484"/>
    </row>
    <row r="485" spans="1:17" ht="15.75" x14ac:dyDescent="0.25">
      <c r="A485"/>
      <c r="B485"/>
      <c r="C485"/>
      <c r="D485"/>
      <c r="E485"/>
      <c r="F485"/>
      <c r="G485"/>
      <c r="H485"/>
      <c r="I485"/>
      <c r="J485"/>
      <c r="K485"/>
      <c r="L485"/>
      <c r="M485"/>
      <c r="N485"/>
      <c r="O485"/>
      <c r="P485"/>
      <c r="Q485"/>
    </row>
    <row r="486" spans="1:17" ht="15.75" x14ac:dyDescent="0.25">
      <c r="A486"/>
      <c r="B486"/>
      <c r="C486"/>
      <c r="D486"/>
      <c r="E486"/>
      <c r="F486"/>
      <c r="G486"/>
      <c r="H486"/>
      <c r="I486"/>
      <c r="J486"/>
      <c r="K486"/>
      <c r="L486"/>
      <c r="M486"/>
      <c r="N486"/>
      <c r="O486"/>
      <c r="P486"/>
      <c r="Q486"/>
    </row>
    <row r="487" spans="1:17" ht="15.75" x14ac:dyDescent="0.25">
      <c r="A487"/>
      <c r="B487"/>
      <c r="C487"/>
      <c r="D487"/>
      <c r="E487"/>
      <c r="F487"/>
      <c r="G487"/>
      <c r="H487"/>
      <c r="I487"/>
      <c r="J487"/>
      <c r="K487"/>
      <c r="L487"/>
      <c r="M487"/>
      <c r="N487"/>
      <c r="O487"/>
      <c r="P487"/>
      <c r="Q487"/>
    </row>
    <row r="488" spans="1:17" ht="15.75" x14ac:dyDescent="0.25">
      <c r="A488"/>
      <c r="B488"/>
      <c r="C488"/>
      <c r="D488"/>
      <c r="E488"/>
      <c r="F488"/>
      <c r="G488"/>
      <c r="H488"/>
      <c r="I488"/>
      <c r="J488"/>
      <c r="K488"/>
      <c r="L488"/>
      <c r="M488"/>
      <c r="N488"/>
      <c r="O488"/>
      <c r="P488"/>
      <c r="Q488"/>
    </row>
    <row r="489" spans="1:17" ht="15.75" x14ac:dyDescent="0.25">
      <c r="A489"/>
      <c r="B489"/>
      <c r="C489"/>
      <c r="D489"/>
      <c r="E489"/>
      <c r="F489"/>
      <c r="G489"/>
      <c r="H489"/>
      <c r="I489"/>
      <c r="J489"/>
      <c r="K489"/>
      <c r="L489"/>
      <c r="M489"/>
      <c r="N489"/>
      <c r="O489"/>
      <c r="P489"/>
      <c r="Q489"/>
    </row>
    <row r="490" spans="1:17" ht="15.75" x14ac:dyDescent="0.25">
      <c r="A490"/>
      <c r="B490"/>
      <c r="C490"/>
      <c r="D490"/>
      <c r="E490"/>
      <c r="F490"/>
      <c r="G490"/>
      <c r="H490"/>
      <c r="I490"/>
      <c r="J490"/>
      <c r="K490"/>
      <c r="L490"/>
      <c r="M490"/>
      <c r="N490"/>
      <c r="O490"/>
      <c r="P490"/>
      <c r="Q490"/>
    </row>
    <row r="491" spans="1:17" ht="15.75" x14ac:dyDescent="0.25">
      <c r="A491"/>
      <c r="B491"/>
      <c r="C491"/>
      <c r="D491"/>
      <c r="E491"/>
      <c r="F491"/>
      <c r="G491"/>
      <c r="H491"/>
      <c r="I491"/>
      <c r="J491"/>
      <c r="K491"/>
      <c r="L491"/>
      <c r="M491"/>
      <c r="N491"/>
      <c r="O491"/>
      <c r="P491"/>
      <c r="Q491"/>
    </row>
    <row r="492" spans="1:17" ht="15.75" x14ac:dyDescent="0.25">
      <c r="A492"/>
      <c r="B492"/>
      <c r="C492"/>
      <c r="D492"/>
      <c r="E492"/>
      <c r="F492"/>
      <c r="G492"/>
      <c r="H492"/>
      <c r="I492"/>
      <c r="J492"/>
      <c r="K492"/>
      <c r="L492"/>
      <c r="M492"/>
      <c r="N492"/>
      <c r="O492"/>
      <c r="P492"/>
      <c r="Q492"/>
    </row>
    <row r="493" spans="1:17" ht="15.75" x14ac:dyDescent="0.25">
      <c r="A493"/>
      <c r="B493"/>
      <c r="C493"/>
      <c r="D493"/>
      <c r="E493"/>
      <c r="F493"/>
      <c r="G493"/>
      <c r="H493"/>
      <c r="I493"/>
      <c r="J493"/>
      <c r="K493"/>
      <c r="L493"/>
      <c r="M493"/>
      <c r="N493"/>
      <c r="O493"/>
      <c r="P493"/>
      <c r="Q493"/>
    </row>
    <row r="494" spans="1:17" ht="15.75" x14ac:dyDescent="0.25">
      <c r="A494"/>
      <c r="B494"/>
      <c r="C494"/>
      <c r="D494"/>
      <c r="E494"/>
      <c r="F494"/>
      <c r="G494"/>
      <c r="H494"/>
      <c r="I494"/>
      <c r="J494"/>
      <c r="K494"/>
      <c r="L494"/>
      <c r="M494"/>
      <c r="N494"/>
      <c r="O494"/>
      <c r="P494"/>
      <c r="Q494"/>
    </row>
    <row r="495" spans="1:17" ht="15.75" x14ac:dyDescent="0.25">
      <c r="A495"/>
      <c r="B495"/>
      <c r="C495"/>
      <c r="D495"/>
      <c r="E495"/>
      <c r="F495"/>
      <c r="G495"/>
      <c r="H495"/>
      <c r="I495"/>
      <c r="J495"/>
      <c r="K495"/>
      <c r="L495"/>
      <c r="M495"/>
      <c r="N495"/>
      <c r="O495"/>
      <c r="P495"/>
      <c r="Q495"/>
    </row>
    <row r="496" spans="1:17" x14ac:dyDescent="0.2">
      <c r="A496" s="294"/>
      <c r="B496" s="295"/>
      <c r="C496" s="295"/>
      <c r="D496" s="295"/>
      <c r="E496" s="295"/>
      <c r="F496" s="295"/>
      <c r="G496" s="295"/>
      <c r="H496" s="295"/>
      <c r="I496" s="295"/>
      <c r="J496" s="295"/>
      <c r="K496" s="295"/>
      <c r="L496" s="295"/>
      <c r="M496" s="295"/>
      <c r="N496" s="295"/>
      <c r="O496" s="295"/>
      <c r="P496" s="295"/>
      <c r="Q496" s="295"/>
    </row>
    <row r="497" spans="1:17" x14ac:dyDescent="0.2">
      <c r="A497" s="298"/>
      <c r="B497" s="295"/>
      <c r="C497" s="295"/>
      <c r="D497" s="295"/>
      <c r="E497" s="295"/>
      <c r="F497" s="295"/>
      <c r="G497" s="295"/>
      <c r="H497" s="295"/>
      <c r="I497" s="295"/>
      <c r="J497" s="295"/>
      <c r="K497" s="295"/>
      <c r="L497" s="295"/>
      <c r="M497" s="295"/>
      <c r="N497" s="295"/>
      <c r="O497" s="295"/>
      <c r="P497" s="295"/>
      <c r="Q497" s="295"/>
    </row>
    <row r="498" spans="1:17" x14ac:dyDescent="0.2">
      <c r="A498" s="298"/>
      <c r="B498" s="295"/>
      <c r="C498" s="295"/>
      <c r="D498" s="295"/>
      <c r="E498" s="295"/>
      <c r="F498" s="295"/>
      <c r="G498" s="295"/>
      <c r="H498" s="295"/>
      <c r="I498" s="295"/>
      <c r="J498" s="295"/>
      <c r="K498" s="295"/>
      <c r="L498" s="295"/>
      <c r="M498" s="295"/>
      <c r="N498" s="295"/>
      <c r="O498" s="295"/>
      <c r="P498" s="295"/>
      <c r="Q498" s="295"/>
    </row>
    <row r="499" spans="1:17" x14ac:dyDescent="0.2">
      <c r="A499" s="298"/>
      <c r="B499" s="295"/>
      <c r="C499" s="295"/>
      <c r="D499" s="295"/>
      <c r="E499" s="295"/>
      <c r="F499" s="295"/>
      <c r="G499" s="295"/>
      <c r="H499" s="295"/>
      <c r="I499" s="295"/>
      <c r="J499" s="295"/>
      <c r="K499" s="295"/>
      <c r="L499" s="295"/>
      <c r="M499" s="295"/>
      <c r="N499" s="295"/>
      <c r="O499" s="295"/>
      <c r="P499" s="295"/>
      <c r="Q499" s="29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Q499"/>
  <sheetViews>
    <sheetView workbookViewId="0">
      <pane xSplit="1" ySplit="3" topLeftCell="B4" activePane="bottomRight" state="frozen"/>
      <selection pane="topRight" activeCell="B1" sqref="B1"/>
      <selection pane="bottomLeft" activeCell="A4" sqref="A4"/>
      <selection pane="bottomRight" activeCell="D14" sqref="D14"/>
    </sheetView>
  </sheetViews>
  <sheetFormatPr defaultColWidth="9" defaultRowHeight="12.75" x14ac:dyDescent="0.2"/>
  <cols>
    <col min="1" max="1" width="20.125" style="292" customWidth="1"/>
    <col min="2" max="2" width="13.125" style="293" customWidth="1"/>
    <col min="3" max="4" width="5.125" style="293" customWidth="1"/>
    <col min="5" max="7" width="4.375" style="293" customWidth="1"/>
    <col min="8" max="8" width="11.625" style="293" customWidth="1"/>
    <col min="9" max="9" width="9" style="293" customWidth="1"/>
    <col min="10" max="11" width="5.125" style="293" customWidth="1"/>
    <col min="12" max="13" width="4.375" style="293" customWidth="1"/>
    <col min="14" max="14" width="11.5" style="293" customWidth="1"/>
    <col min="15" max="15" width="9.25" style="293" customWidth="1"/>
    <col min="16" max="16" width="4.375" style="293" customWidth="1"/>
    <col min="17" max="17" width="11.625" style="293" customWidth="1"/>
    <col min="18" max="18" width="19.375" style="298" customWidth="1"/>
    <col min="19" max="19" width="18.625" style="298" customWidth="1"/>
    <col min="20" max="21" width="19.25" style="298" customWidth="1"/>
    <col min="22" max="22" width="19.875" style="298" customWidth="1"/>
    <col min="23" max="23" width="19.25" style="298" customWidth="1"/>
    <col min="24" max="24" width="19.875" style="298" customWidth="1"/>
    <col min="25" max="25" width="18.25" style="298" customWidth="1"/>
    <col min="26" max="26" width="18.875" style="298" customWidth="1"/>
    <col min="27" max="27" width="18.5" style="298" customWidth="1"/>
    <col min="28" max="28" width="19.125" style="298" customWidth="1"/>
    <col min="29" max="29" width="19.5" style="298" customWidth="1"/>
    <col min="30" max="30" width="26.875" style="298" customWidth="1"/>
    <col min="31" max="31" width="27.5" style="298" customWidth="1"/>
    <col min="32" max="32" width="26.125" style="298" customWidth="1"/>
    <col min="33" max="33" width="26.75" style="298" customWidth="1"/>
    <col min="34" max="34" width="26" style="298" customWidth="1"/>
    <col min="35" max="36" width="26.625" style="298" customWidth="1"/>
    <col min="37" max="37" width="27.25" style="298" customWidth="1"/>
    <col min="38" max="38" width="26.625" style="298" customWidth="1"/>
    <col min="39" max="39" width="27.25" style="298" customWidth="1"/>
    <col min="40" max="40" width="25.625" style="298" customWidth="1"/>
    <col min="41" max="41" width="26.25" style="298" customWidth="1"/>
    <col min="42" max="42" width="25.875" style="298" customWidth="1"/>
    <col min="43" max="43" width="26.5" style="298" customWidth="1"/>
    <col min="44" max="44" width="20.125" style="298" customWidth="1"/>
    <col min="45" max="45" width="18.75" style="298" customWidth="1"/>
    <col min="46" max="46" width="19.375" style="298" customWidth="1"/>
    <col min="47" max="47" width="18.625" style="298" customWidth="1"/>
    <col min="48" max="49" width="19.25" style="298" customWidth="1"/>
    <col min="50" max="50" width="19.875" style="298" customWidth="1"/>
    <col min="51" max="51" width="19.25" style="298" customWidth="1"/>
    <col min="52" max="52" width="19.875" style="298" customWidth="1"/>
    <col min="53" max="53" width="18.25" style="298" customWidth="1"/>
    <col min="54" max="54" width="18.875" style="298" customWidth="1"/>
    <col min="55" max="55" width="18.5" style="298" customWidth="1"/>
    <col min="56" max="56" width="19.125" style="298" customWidth="1"/>
    <col min="57" max="57" width="19.5" style="298" customWidth="1"/>
    <col min="58" max="58" width="26.875" style="298" customWidth="1"/>
    <col min="59" max="59" width="27.5" style="298" customWidth="1"/>
    <col min="60" max="60" width="26.125" style="298" customWidth="1"/>
    <col min="61" max="61" width="26.75" style="298" customWidth="1"/>
    <col min="62" max="62" width="26" style="298" customWidth="1"/>
    <col min="63" max="64" width="26.625" style="298" customWidth="1"/>
    <col min="65" max="65" width="27.25" style="298" customWidth="1"/>
    <col min="66" max="66" width="26.625" style="298" customWidth="1"/>
    <col min="67" max="67" width="27.25" style="298" customWidth="1"/>
    <col min="68" max="68" width="25.625" style="298" customWidth="1"/>
    <col min="69" max="69" width="26.25" style="298" customWidth="1"/>
    <col min="70" max="70" width="25.875" style="298" customWidth="1"/>
    <col min="71" max="71" width="26.5" style="298" customWidth="1"/>
    <col min="72" max="72" width="20.125" style="298" customWidth="1"/>
    <col min="73" max="73" width="18.75" style="298" customWidth="1"/>
    <col min="74" max="74" width="19.375" style="298" customWidth="1"/>
    <col min="75" max="75" width="18.625" style="298" customWidth="1"/>
    <col min="76" max="77" width="19.25" style="298" customWidth="1"/>
    <col min="78" max="78" width="19.875" style="298" customWidth="1"/>
    <col min="79" max="79" width="19.25" style="298" customWidth="1"/>
    <col min="80" max="80" width="19.875" style="298" customWidth="1"/>
    <col min="81" max="81" width="18.25" style="298" customWidth="1"/>
    <col min="82" max="82" width="18.875" style="298" customWidth="1"/>
    <col min="83" max="83" width="18.5" style="298" customWidth="1"/>
    <col min="84" max="84" width="19.125" style="298" customWidth="1"/>
    <col min="85" max="85" width="19.5" style="298" customWidth="1"/>
    <col min="86" max="86" width="26.875" style="298" customWidth="1"/>
    <col min="87" max="87" width="27.5" style="298" customWidth="1"/>
    <col min="88" max="88" width="26.125" style="298" customWidth="1"/>
    <col min="89" max="89" width="26.75" style="298" customWidth="1"/>
    <col min="90" max="90" width="26" style="298" customWidth="1"/>
    <col min="91" max="92" width="26.625" style="298" customWidth="1"/>
    <col min="93" max="93" width="27.25" style="298" customWidth="1"/>
    <col min="94" max="94" width="26.625" style="298" customWidth="1"/>
    <col min="95" max="95" width="27.25" style="298" customWidth="1"/>
    <col min="96" max="96" width="25.625" style="298" customWidth="1"/>
    <col min="97" max="97" width="26.25" style="298" customWidth="1"/>
    <col min="98" max="98" width="25.875" style="298" customWidth="1"/>
    <col min="99" max="99" width="26.5" style="298" customWidth="1"/>
    <col min="100" max="100" width="20.125" style="298" customWidth="1"/>
    <col min="101" max="101" width="18.75" style="298" customWidth="1"/>
    <col min="102" max="102" width="19.375" style="298" customWidth="1"/>
    <col min="103" max="103" width="18.625" style="298" customWidth="1"/>
    <col min="104" max="105" width="19.25" style="298" customWidth="1"/>
    <col min="106" max="106" width="19.875" style="298" customWidth="1"/>
    <col min="107" max="107" width="19.25" style="298" customWidth="1"/>
    <col min="108" max="108" width="19.875" style="298" customWidth="1"/>
    <col min="109" max="109" width="18.25" style="298" customWidth="1"/>
    <col min="110" max="110" width="18.875" style="298" customWidth="1"/>
    <col min="111" max="111" width="18.5" style="298" customWidth="1"/>
    <col min="112" max="112" width="19.125" style="298" customWidth="1"/>
    <col min="113" max="113" width="19.5" style="298" customWidth="1"/>
    <col min="114" max="114" width="26.875" style="298" customWidth="1"/>
    <col min="115" max="115" width="27.5" style="298" customWidth="1"/>
    <col min="116" max="116" width="26.125" style="298" customWidth="1"/>
    <col min="117" max="117" width="26.75" style="298" customWidth="1"/>
    <col min="118" max="118" width="26" style="298" customWidth="1"/>
    <col min="119" max="120" width="26.625" style="298" customWidth="1"/>
    <col min="121" max="121" width="27.25" style="298" customWidth="1"/>
    <col min="122" max="122" width="26.625" style="298" customWidth="1"/>
    <col min="123" max="123" width="27.25" style="298" customWidth="1"/>
    <col min="124" max="124" width="25.625" style="298" customWidth="1"/>
    <col min="125" max="125" width="26.25" style="298" customWidth="1"/>
    <col min="126" max="126" width="25.875" style="298" customWidth="1"/>
    <col min="127" max="127" width="26.5" style="298" customWidth="1"/>
    <col min="128" max="128" width="20.125" style="298" customWidth="1"/>
    <col min="129" max="129" width="18.75" style="298" customWidth="1"/>
    <col min="130" max="130" width="19.375" style="298" customWidth="1"/>
    <col min="131" max="131" width="18.625" style="298" customWidth="1"/>
    <col min="132" max="133" width="19.25" style="298" customWidth="1"/>
    <col min="134" max="134" width="19.875" style="298" customWidth="1"/>
    <col min="135" max="135" width="19.25" style="298" customWidth="1"/>
    <col min="136" max="136" width="19.875" style="298" customWidth="1"/>
    <col min="137" max="137" width="18.25" style="298" customWidth="1"/>
    <col min="138" max="138" width="18.875" style="298" customWidth="1"/>
    <col min="139" max="139" width="18.5" style="298" customWidth="1"/>
    <col min="140" max="140" width="19.125" style="298" customWidth="1"/>
    <col min="141" max="141" width="19.5" style="298" customWidth="1"/>
    <col min="142" max="142" width="26.875" style="298" customWidth="1"/>
    <col min="143" max="143" width="27.5" style="298" customWidth="1"/>
    <col min="144" max="144" width="26.125" style="298" customWidth="1"/>
    <col min="145" max="145" width="26.75" style="298" customWidth="1"/>
    <col min="146" max="146" width="26" style="298" customWidth="1"/>
    <col min="147" max="148" width="26.625" style="298" customWidth="1"/>
    <col min="149" max="149" width="27.25" style="298" customWidth="1"/>
    <col min="150" max="150" width="26.625" style="298" customWidth="1"/>
    <col min="151" max="151" width="27.25" style="298" customWidth="1"/>
    <col min="152" max="152" width="25.625" style="298" customWidth="1"/>
    <col min="153" max="153" width="26.25" style="298" customWidth="1"/>
    <col min="154" max="154" width="25.875" style="298" customWidth="1"/>
    <col min="155" max="155" width="26.5" style="298" customWidth="1"/>
    <col min="156" max="156" width="20.125" style="298" customWidth="1"/>
    <col min="157" max="157" width="18.75" style="298" customWidth="1"/>
    <col min="158" max="158" width="19.375" style="298" customWidth="1"/>
    <col min="159" max="159" width="18.625" style="298" customWidth="1"/>
    <col min="160" max="161" width="19.25" style="298" customWidth="1"/>
    <col min="162" max="162" width="19.875" style="298" customWidth="1"/>
    <col min="163" max="163" width="19.25" style="298" customWidth="1"/>
    <col min="164" max="164" width="19.875" style="298" customWidth="1"/>
    <col min="165" max="165" width="18.25" style="298" customWidth="1"/>
    <col min="166" max="166" width="18.875" style="298" customWidth="1"/>
    <col min="167" max="167" width="18.5" style="298" customWidth="1"/>
    <col min="168" max="168" width="19.125" style="298" customWidth="1"/>
    <col min="169" max="169" width="19.5" style="298" customWidth="1"/>
    <col min="170" max="170" width="26.875" style="298" customWidth="1"/>
    <col min="171" max="171" width="27.5" style="298" customWidth="1"/>
    <col min="172" max="172" width="26.125" style="298" customWidth="1"/>
    <col min="173" max="173" width="26.75" style="298" customWidth="1"/>
    <col min="174" max="174" width="26" style="298" customWidth="1"/>
    <col min="175" max="176" width="26.625" style="298" customWidth="1"/>
    <col min="177" max="177" width="27.25" style="298" customWidth="1"/>
    <col min="178" max="178" width="26.625" style="298" customWidth="1"/>
    <col min="179" max="179" width="27.25" style="298" customWidth="1"/>
    <col min="180" max="180" width="25.625" style="298" customWidth="1"/>
    <col min="181" max="181" width="26.25" style="298" customWidth="1"/>
    <col min="182" max="182" width="25.875" style="298" customWidth="1"/>
    <col min="183" max="183" width="26.5" style="298" customWidth="1"/>
    <col min="184" max="184" width="20.125" style="298" customWidth="1"/>
    <col min="185" max="185" width="18.75" style="298" customWidth="1"/>
    <col min="186" max="186" width="19.375" style="298" customWidth="1"/>
    <col min="187" max="187" width="18.625" style="298" customWidth="1"/>
    <col min="188" max="189" width="19.25" style="298" customWidth="1"/>
    <col min="190" max="190" width="19.875" style="298" customWidth="1"/>
    <col min="191" max="191" width="19.25" style="298" customWidth="1"/>
    <col min="192" max="192" width="19.875" style="298" customWidth="1"/>
    <col min="193" max="193" width="18.25" style="298" customWidth="1"/>
    <col min="194" max="194" width="18.875" style="298" customWidth="1"/>
    <col min="195" max="195" width="18.5" style="298" customWidth="1"/>
    <col min="196" max="196" width="19.125" style="298" customWidth="1"/>
    <col min="197" max="197" width="19.5" style="298" customWidth="1"/>
    <col min="198" max="198" width="26.875" style="298" customWidth="1"/>
    <col min="199" max="199" width="27.5" style="298" customWidth="1"/>
    <col min="200" max="200" width="26.125" style="298" customWidth="1"/>
    <col min="201" max="201" width="26.75" style="298" customWidth="1"/>
    <col min="202" max="202" width="26" style="298" customWidth="1"/>
    <col min="203" max="204" width="26.625" style="298" customWidth="1"/>
    <col min="205" max="205" width="27.25" style="298" customWidth="1"/>
    <col min="206" max="206" width="26.625" style="298" customWidth="1"/>
    <col min="207" max="207" width="27.25" style="298" customWidth="1"/>
    <col min="208" max="208" width="25.625" style="298" customWidth="1"/>
    <col min="209" max="209" width="26.25" style="298" customWidth="1"/>
    <col min="210" max="210" width="25.875" style="298" customWidth="1"/>
    <col min="211" max="211" width="26.5" style="298" customWidth="1"/>
    <col min="212" max="212" width="20.125" style="298" customWidth="1"/>
    <col min="213" max="213" width="18.75" style="298" customWidth="1"/>
    <col min="214" max="214" width="19.375" style="298" customWidth="1"/>
    <col min="215" max="215" width="18.625" style="298" customWidth="1"/>
    <col min="216" max="217" width="19.25" style="298" customWidth="1"/>
    <col min="218" max="218" width="19.875" style="298" customWidth="1"/>
    <col min="219" max="219" width="19.25" style="298" customWidth="1"/>
    <col min="220" max="220" width="19.875" style="298" customWidth="1"/>
    <col min="221" max="221" width="18.25" style="298" customWidth="1"/>
    <col min="222" max="222" width="18.875" style="298" customWidth="1"/>
    <col min="223" max="223" width="18.5" style="298" customWidth="1"/>
    <col min="224" max="224" width="19.125" style="298" customWidth="1"/>
    <col min="225" max="225" width="19.5" style="298" customWidth="1"/>
    <col min="226" max="226" width="26.875" style="298" customWidth="1"/>
    <col min="227" max="227" width="27.5" style="298" customWidth="1"/>
    <col min="228" max="228" width="26.125" style="298" customWidth="1"/>
    <col min="229" max="229" width="26.75" style="298" customWidth="1"/>
    <col min="230" max="230" width="26" style="298" customWidth="1"/>
    <col min="231" max="232" width="26.625" style="298" customWidth="1"/>
    <col min="233" max="233" width="27.25" style="298" customWidth="1"/>
    <col min="234" max="234" width="26.625" style="298" customWidth="1"/>
    <col min="235" max="235" width="27.25" style="298" customWidth="1"/>
    <col min="236" max="236" width="25.625" style="298" customWidth="1"/>
    <col min="237" max="237" width="26.25" style="298" customWidth="1"/>
    <col min="238" max="238" width="25.875" style="298" customWidth="1"/>
    <col min="239" max="239" width="26.5" style="298" customWidth="1"/>
    <col min="240" max="240" width="20.125" style="298" customWidth="1"/>
    <col min="241" max="241" width="18.75" style="298" customWidth="1"/>
    <col min="242" max="242" width="19.375" style="298" customWidth="1"/>
    <col min="243" max="243" width="18.625" style="298" customWidth="1"/>
    <col min="244" max="245" width="19.25" style="298" customWidth="1"/>
    <col min="246" max="246" width="19.875" style="298" customWidth="1"/>
    <col min="247" max="247" width="19.25" style="298" customWidth="1"/>
    <col min="248" max="248" width="19.875" style="298" customWidth="1"/>
    <col min="249" max="249" width="18.25" style="298" customWidth="1"/>
    <col min="250" max="250" width="18.875" style="298" customWidth="1"/>
    <col min="251" max="251" width="18.5" style="298" customWidth="1"/>
    <col min="252" max="252" width="19.125" style="298" customWidth="1"/>
    <col min="253" max="253" width="19.5" style="298" customWidth="1"/>
    <col min="254" max="254" width="26.875" style="298" customWidth="1"/>
    <col min="255" max="255" width="27.5" style="298" customWidth="1"/>
    <col min="256" max="256" width="26.125" style="298" customWidth="1"/>
    <col min="257" max="257" width="26.75" style="298" customWidth="1"/>
    <col min="258" max="258" width="26" style="298" customWidth="1"/>
    <col min="259" max="260" width="26.625" style="298" customWidth="1"/>
    <col min="261" max="261" width="27.25" style="298" customWidth="1"/>
    <col min="262" max="262" width="26.625" style="298" customWidth="1"/>
    <col min="263" max="263" width="27.25" style="298" customWidth="1"/>
    <col min="264" max="264" width="25.625" style="298" customWidth="1"/>
    <col min="265" max="265" width="26.25" style="298" customWidth="1"/>
    <col min="266" max="266" width="25.875" style="298" customWidth="1"/>
    <col min="267" max="267" width="26.5" style="298" customWidth="1"/>
    <col min="268" max="268" width="20.125" style="298" customWidth="1"/>
    <col min="269" max="269" width="18.75" style="298" customWidth="1"/>
    <col min="270" max="270" width="19.375" style="298" customWidth="1"/>
    <col min="271" max="271" width="18.625" style="298" customWidth="1"/>
    <col min="272" max="273" width="19.25" style="298" customWidth="1"/>
    <col min="274" max="274" width="19.875" style="298" customWidth="1"/>
    <col min="275" max="275" width="19.25" style="298" customWidth="1"/>
    <col min="276" max="276" width="19.875" style="298" customWidth="1"/>
    <col min="277" max="277" width="18.25" style="298" customWidth="1"/>
    <col min="278" max="278" width="18.875" style="298" customWidth="1"/>
    <col min="279" max="279" width="18.5" style="298" customWidth="1"/>
    <col min="280" max="280" width="19.125" style="298" customWidth="1"/>
    <col min="281" max="281" width="19.5" style="298" customWidth="1"/>
    <col min="282" max="282" width="26.875" style="298" customWidth="1"/>
    <col min="283" max="283" width="27.5" style="298" customWidth="1"/>
    <col min="284" max="284" width="26.125" style="298" customWidth="1"/>
    <col min="285" max="285" width="26.75" style="298" customWidth="1"/>
    <col min="286" max="286" width="26" style="298" customWidth="1"/>
    <col min="287" max="288" width="26.625" style="298" customWidth="1"/>
    <col min="289" max="289" width="27.25" style="298" customWidth="1"/>
    <col min="290" max="290" width="26.625" style="298" customWidth="1"/>
    <col min="291" max="291" width="27.25" style="298" customWidth="1"/>
    <col min="292" max="292" width="25.625" style="298" customWidth="1"/>
    <col min="293" max="293" width="26.25" style="298" customWidth="1"/>
    <col min="294" max="294" width="25.875" style="298" customWidth="1"/>
    <col min="295" max="295" width="26.5" style="298" customWidth="1"/>
    <col min="296" max="296" width="20.125" style="298" customWidth="1"/>
    <col min="297" max="297" width="18.75" style="298" customWidth="1"/>
    <col min="298" max="298" width="19.375" style="298" customWidth="1"/>
    <col min="299" max="299" width="18.625" style="298" customWidth="1"/>
    <col min="300" max="301" width="19.25" style="298" customWidth="1"/>
    <col min="302" max="302" width="19.875" style="298" customWidth="1"/>
    <col min="303" max="303" width="19.25" style="298" customWidth="1"/>
    <col min="304" max="304" width="19.875" style="298" customWidth="1"/>
    <col min="305" max="305" width="18.25" style="298" customWidth="1"/>
    <col min="306" max="306" width="18.875" style="298" customWidth="1"/>
    <col min="307" max="307" width="18.5" style="298" customWidth="1"/>
    <col min="308" max="308" width="19.125" style="298" customWidth="1"/>
    <col min="309" max="309" width="19.5" style="298" customWidth="1"/>
    <col min="310" max="310" width="26.875" style="298" customWidth="1"/>
    <col min="311" max="311" width="27.5" style="298" customWidth="1"/>
    <col min="312" max="312" width="26.125" style="298" customWidth="1"/>
    <col min="313" max="313" width="26.75" style="298" customWidth="1"/>
    <col min="314" max="314" width="26" style="298" customWidth="1"/>
    <col min="315" max="316" width="26.625" style="298" customWidth="1"/>
    <col min="317" max="317" width="27.25" style="298" customWidth="1"/>
    <col min="318" max="318" width="26.625" style="298" customWidth="1"/>
    <col min="319" max="319" width="27.25" style="298" customWidth="1"/>
    <col min="320" max="320" width="25.625" style="298" customWidth="1"/>
    <col min="321" max="321" width="26.25" style="298" customWidth="1"/>
    <col min="322" max="322" width="25.875" style="298" customWidth="1"/>
    <col min="323" max="323" width="26.5" style="298" customWidth="1"/>
    <col min="324" max="324" width="20.125" style="298" customWidth="1"/>
    <col min="325" max="325" width="18.75" style="298" customWidth="1"/>
    <col min="326" max="326" width="19.375" style="298" customWidth="1"/>
    <col min="327" max="327" width="18.625" style="298" customWidth="1"/>
    <col min="328" max="329" width="19.25" style="298" customWidth="1"/>
    <col min="330" max="330" width="19.875" style="298" customWidth="1"/>
    <col min="331" max="331" width="19.25" style="298" customWidth="1"/>
    <col min="332" max="332" width="19.875" style="298" customWidth="1"/>
    <col min="333" max="333" width="18.25" style="298" customWidth="1"/>
    <col min="334" max="334" width="18.875" style="298" customWidth="1"/>
    <col min="335" max="335" width="18.5" style="298" customWidth="1"/>
    <col min="336" max="336" width="19.125" style="298" customWidth="1"/>
    <col min="337" max="337" width="19.5" style="298" customWidth="1"/>
    <col min="338" max="338" width="26.875" style="298" customWidth="1"/>
    <col min="339" max="339" width="27.5" style="298" customWidth="1"/>
    <col min="340" max="340" width="26.125" style="298" customWidth="1"/>
    <col min="341" max="341" width="26.75" style="298" customWidth="1"/>
    <col min="342" max="342" width="26" style="298" customWidth="1"/>
    <col min="343" max="344" width="26.625" style="298" customWidth="1"/>
    <col min="345" max="345" width="27.25" style="298" customWidth="1"/>
    <col min="346" max="346" width="26.625" style="298" customWidth="1"/>
    <col min="347" max="347" width="27.25" style="298" customWidth="1"/>
    <col min="348" max="348" width="25.625" style="298" customWidth="1"/>
    <col min="349" max="349" width="26.25" style="298" customWidth="1"/>
    <col min="350" max="350" width="25.875" style="298" customWidth="1"/>
    <col min="351" max="351" width="26.5" style="298" customWidth="1"/>
    <col min="352" max="352" width="20.125" style="298" customWidth="1"/>
    <col min="353" max="353" width="18.75" style="298" customWidth="1"/>
    <col min="354" max="354" width="19.375" style="298" customWidth="1"/>
    <col min="355" max="355" width="18.625" style="298" customWidth="1"/>
    <col min="356" max="357" width="19.25" style="298" customWidth="1"/>
    <col min="358" max="358" width="19.875" style="298" customWidth="1"/>
    <col min="359" max="359" width="19.25" style="298" customWidth="1"/>
    <col min="360" max="360" width="19.875" style="298" customWidth="1"/>
    <col min="361" max="361" width="18.25" style="298" customWidth="1"/>
    <col min="362" max="362" width="18.875" style="298" customWidth="1"/>
    <col min="363" max="363" width="18.5" style="298" customWidth="1"/>
    <col min="364" max="364" width="19.125" style="298" customWidth="1"/>
    <col min="365" max="365" width="24.5" style="298" customWidth="1"/>
    <col min="366" max="366" width="31.875" style="298" bestFit="1" customWidth="1"/>
    <col min="367" max="367" width="32.5" style="298" bestFit="1" customWidth="1"/>
    <col min="368" max="368" width="31.125" style="298" bestFit="1" customWidth="1"/>
    <col min="369" max="369" width="31.75" style="298" bestFit="1" customWidth="1"/>
    <col min="370" max="370" width="31" style="298" bestFit="1" customWidth="1"/>
    <col min="371" max="372" width="31.625" style="298" bestFit="1" customWidth="1"/>
    <col min="373" max="373" width="32.25" style="298" bestFit="1" customWidth="1"/>
    <col min="374" max="374" width="31.625" style="298" bestFit="1" customWidth="1"/>
    <col min="375" max="375" width="32.25" style="298" bestFit="1" customWidth="1"/>
    <col min="376" max="376" width="30.625" style="298" bestFit="1" customWidth="1"/>
    <col min="377" max="377" width="31.25" style="298" bestFit="1" customWidth="1"/>
    <col min="378" max="378" width="30.875" style="298" bestFit="1" customWidth="1"/>
    <col min="379" max="379" width="31.5" style="298" bestFit="1" customWidth="1"/>
    <col min="380" max="380" width="25.125" style="298" bestFit="1" customWidth="1"/>
    <col min="381" max="381" width="23.75" style="298" bestFit="1" customWidth="1"/>
    <col min="382" max="382" width="24.375" style="298" bestFit="1" customWidth="1"/>
    <col min="383" max="383" width="23.625" style="298" bestFit="1" customWidth="1"/>
    <col min="384" max="385" width="24.25" style="298" bestFit="1" customWidth="1"/>
    <col min="386" max="386" width="24.875" style="298" bestFit="1" customWidth="1"/>
    <col min="387" max="387" width="24.25" style="298" bestFit="1" customWidth="1"/>
    <col min="388" max="388" width="24.875" style="298" bestFit="1" customWidth="1"/>
    <col min="389" max="389" width="23.25" style="298" bestFit="1" customWidth="1"/>
    <col min="390" max="390" width="23.875" style="298" bestFit="1" customWidth="1"/>
    <col min="391" max="391" width="23.5" style="298" bestFit="1" customWidth="1"/>
    <col min="392" max="392" width="24.125" style="298" bestFit="1" customWidth="1"/>
    <col min="393" max="16384" width="9" style="298"/>
  </cols>
  <sheetData>
    <row r="1" spans="1:17" x14ac:dyDescent="0.2">
      <c r="A1" s="693"/>
      <c r="B1" s="700" t="s">
        <v>292</v>
      </c>
      <c r="C1" s="697"/>
      <c r="D1" s="697"/>
      <c r="E1" s="697"/>
      <c r="F1" s="697"/>
      <c r="G1" s="697"/>
      <c r="H1" s="697"/>
      <c r="I1" s="697"/>
      <c r="J1" s="697"/>
      <c r="K1" s="697"/>
      <c r="L1" s="697"/>
      <c r="M1" s="697"/>
      <c r="N1" s="697"/>
      <c r="O1" s="697"/>
      <c r="P1" s="697"/>
      <c r="Q1" s="697"/>
    </row>
    <row r="2" spans="1:17" s="300" customFormat="1" x14ac:dyDescent="0.2">
      <c r="A2" s="693"/>
      <c r="B2" s="697" t="s">
        <v>261</v>
      </c>
      <c r="C2" s="697"/>
      <c r="D2" s="697"/>
      <c r="E2" s="697"/>
      <c r="F2" s="697"/>
      <c r="G2" s="697"/>
      <c r="H2" s="697" t="s">
        <v>337</v>
      </c>
      <c r="I2" s="697" t="s">
        <v>262</v>
      </c>
      <c r="J2" s="697"/>
      <c r="K2" s="697"/>
      <c r="L2" s="697"/>
      <c r="M2" s="697"/>
      <c r="N2" s="697" t="s">
        <v>338</v>
      </c>
      <c r="O2" s="697" t="s">
        <v>336</v>
      </c>
      <c r="P2" s="697"/>
      <c r="Q2" s="697" t="s">
        <v>339</v>
      </c>
    </row>
    <row r="3" spans="1:17" x14ac:dyDescent="0.2">
      <c r="A3" s="694" t="s">
        <v>291</v>
      </c>
      <c r="B3" s="697">
        <v>1</v>
      </c>
      <c r="C3" s="697">
        <v>2</v>
      </c>
      <c r="D3" s="697">
        <v>3</v>
      </c>
      <c r="E3" s="697">
        <v>4</v>
      </c>
      <c r="F3" s="697">
        <v>5</v>
      </c>
      <c r="G3" s="697">
        <v>6</v>
      </c>
      <c r="H3" s="697"/>
      <c r="I3" s="697">
        <v>7</v>
      </c>
      <c r="J3" s="697">
        <v>8</v>
      </c>
      <c r="K3" s="697">
        <v>9</v>
      </c>
      <c r="L3" s="697">
        <v>10</v>
      </c>
      <c r="M3" s="697">
        <v>11</v>
      </c>
      <c r="N3" s="697"/>
      <c r="O3" s="697">
        <v>12</v>
      </c>
      <c r="P3" s="697">
        <v>13</v>
      </c>
      <c r="Q3" s="697"/>
    </row>
    <row r="4" spans="1:17" x14ac:dyDescent="0.2">
      <c r="A4" s="695" t="s">
        <v>31</v>
      </c>
      <c r="B4" s="697"/>
      <c r="C4" s="697"/>
      <c r="D4" s="697"/>
      <c r="E4" s="697"/>
      <c r="F4" s="697"/>
      <c r="G4" s="697"/>
      <c r="H4" s="697"/>
      <c r="I4" s="697"/>
      <c r="J4" s="697"/>
      <c r="K4" s="697"/>
      <c r="L4" s="697"/>
      <c r="M4" s="697"/>
      <c r="N4" s="697"/>
      <c r="O4" s="697"/>
      <c r="P4" s="697"/>
      <c r="Q4" s="697"/>
    </row>
    <row r="5" spans="1:17" x14ac:dyDescent="0.2">
      <c r="A5" s="696" t="s">
        <v>293</v>
      </c>
      <c r="B5" s="697">
        <v>780</v>
      </c>
      <c r="C5" s="697">
        <v>296</v>
      </c>
      <c r="D5" s="697">
        <v>314</v>
      </c>
      <c r="E5" s="697">
        <v>198</v>
      </c>
      <c r="F5" s="697">
        <v>45</v>
      </c>
      <c r="G5" s="697">
        <v>20</v>
      </c>
      <c r="H5" s="697">
        <v>1653</v>
      </c>
      <c r="I5" s="697"/>
      <c r="J5" s="697">
        <v>0</v>
      </c>
      <c r="K5" s="697">
        <v>0</v>
      </c>
      <c r="L5" s="697">
        <v>0</v>
      </c>
      <c r="M5" s="697"/>
      <c r="N5" s="697">
        <v>0</v>
      </c>
      <c r="O5" s="697">
        <v>0</v>
      </c>
      <c r="P5" s="697">
        <v>0</v>
      </c>
      <c r="Q5" s="697">
        <v>0</v>
      </c>
    </row>
    <row r="6" spans="1:17" x14ac:dyDescent="0.2">
      <c r="A6" s="696" t="s">
        <v>298</v>
      </c>
      <c r="B6" s="697">
        <v>664</v>
      </c>
      <c r="C6" s="697">
        <v>336</v>
      </c>
      <c r="D6" s="697">
        <v>366</v>
      </c>
      <c r="E6" s="697">
        <v>170</v>
      </c>
      <c r="F6" s="697">
        <v>64</v>
      </c>
      <c r="G6" s="697">
        <v>23</v>
      </c>
      <c r="H6" s="697">
        <v>1623</v>
      </c>
      <c r="I6" s="697"/>
      <c r="J6" s="697">
        <v>0</v>
      </c>
      <c r="K6" s="697">
        <v>0</v>
      </c>
      <c r="L6" s="697">
        <v>0</v>
      </c>
      <c r="M6" s="697"/>
      <c r="N6" s="697">
        <v>0</v>
      </c>
      <c r="O6" s="697">
        <v>0</v>
      </c>
      <c r="P6" s="697">
        <v>0</v>
      </c>
      <c r="Q6" s="697">
        <v>0</v>
      </c>
    </row>
    <row r="7" spans="1:17" x14ac:dyDescent="0.2">
      <c r="A7" s="696" t="s">
        <v>302</v>
      </c>
      <c r="B7" s="697">
        <v>599</v>
      </c>
      <c r="C7" s="697">
        <v>375</v>
      </c>
      <c r="D7" s="697">
        <v>495</v>
      </c>
      <c r="E7" s="697">
        <v>220</v>
      </c>
      <c r="F7" s="697">
        <v>104</v>
      </c>
      <c r="G7" s="697">
        <v>39</v>
      </c>
      <c r="H7" s="697">
        <v>1832</v>
      </c>
      <c r="I7" s="697"/>
      <c r="J7" s="697">
        <v>0</v>
      </c>
      <c r="K7" s="697">
        <v>0</v>
      </c>
      <c r="L7" s="697">
        <v>0</v>
      </c>
      <c r="M7" s="697"/>
      <c r="N7" s="697">
        <v>0</v>
      </c>
      <c r="O7" s="697">
        <v>0</v>
      </c>
      <c r="P7" s="697">
        <v>0</v>
      </c>
      <c r="Q7" s="697">
        <v>0</v>
      </c>
    </row>
    <row r="8" spans="1:17" x14ac:dyDescent="0.2">
      <c r="A8" s="696" t="s">
        <v>306</v>
      </c>
      <c r="B8" s="697">
        <v>326</v>
      </c>
      <c r="C8" s="697">
        <v>111</v>
      </c>
      <c r="D8" s="697">
        <v>273</v>
      </c>
      <c r="E8" s="697">
        <v>97</v>
      </c>
      <c r="F8" s="697">
        <v>15</v>
      </c>
      <c r="G8" s="697">
        <v>3</v>
      </c>
      <c r="H8" s="697">
        <v>825</v>
      </c>
      <c r="I8" s="697"/>
      <c r="J8" s="697">
        <v>0</v>
      </c>
      <c r="K8" s="697">
        <v>0</v>
      </c>
      <c r="L8" s="697">
        <v>0</v>
      </c>
      <c r="M8" s="697"/>
      <c r="N8" s="697">
        <v>0</v>
      </c>
      <c r="O8" s="697">
        <v>0</v>
      </c>
      <c r="P8" s="697">
        <v>0</v>
      </c>
      <c r="Q8" s="697">
        <v>0</v>
      </c>
    </row>
    <row r="9" spans="1:17" x14ac:dyDescent="0.2">
      <c r="A9" s="696" t="s">
        <v>310</v>
      </c>
      <c r="B9" s="697">
        <v>25</v>
      </c>
      <c r="C9" s="697">
        <v>40</v>
      </c>
      <c r="D9" s="697">
        <v>71</v>
      </c>
      <c r="E9" s="697">
        <v>1</v>
      </c>
      <c r="F9" s="697">
        <v>9</v>
      </c>
      <c r="G9" s="697">
        <v>0</v>
      </c>
      <c r="H9" s="697">
        <v>146</v>
      </c>
      <c r="I9" s="697"/>
      <c r="J9" s="697">
        <v>0</v>
      </c>
      <c r="K9" s="697">
        <v>0</v>
      </c>
      <c r="L9" s="697">
        <v>0</v>
      </c>
      <c r="M9" s="697"/>
      <c r="N9" s="697">
        <v>0</v>
      </c>
      <c r="O9" s="697">
        <v>0</v>
      </c>
      <c r="P9" s="697">
        <v>0</v>
      </c>
      <c r="Q9" s="697">
        <v>0</v>
      </c>
    </row>
    <row r="10" spans="1:17" x14ac:dyDescent="0.2">
      <c r="A10" s="696" t="s">
        <v>314</v>
      </c>
      <c r="B10" s="697">
        <v>0</v>
      </c>
      <c r="C10" s="697">
        <v>0</v>
      </c>
      <c r="D10" s="697">
        <v>0</v>
      </c>
      <c r="E10" s="697">
        <v>0</v>
      </c>
      <c r="F10" s="697">
        <v>0</v>
      </c>
      <c r="G10" s="697">
        <v>0</v>
      </c>
      <c r="H10" s="697">
        <v>0</v>
      </c>
      <c r="I10" s="697"/>
      <c r="J10" s="697">
        <v>560</v>
      </c>
      <c r="K10" s="697">
        <v>942</v>
      </c>
      <c r="L10" s="697">
        <v>271</v>
      </c>
      <c r="M10" s="697"/>
      <c r="N10" s="697">
        <v>1773</v>
      </c>
      <c r="O10" s="697">
        <v>60</v>
      </c>
      <c r="P10" s="697">
        <v>89</v>
      </c>
      <c r="Q10" s="697">
        <v>149</v>
      </c>
    </row>
    <row r="11" spans="1:17" x14ac:dyDescent="0.2">
      <c r="A11" s="696" t="s">
        <v>318</v>
      </c>
      <c r="B11" s="697">
        <v>2394</v>
      </c>
      <c r="C11" s="697">
        <v>1158</v>
      </c>
      <c r="D11" s="697">
        <v>1519</v>
      </c>
      <c r="E11" s="697">
        <v>686</v>
      </c>
      <c r="F11" s="697">
        <v>237</v>
      </c>
      <c r="G11" s="697">
        <v>85</v>
      </c>
      <c r="H11" s="697">
        <v>6079</v>
      </c>
      <c r="I11" s="697"/>
      <c r="J11" s="697">
        <v>560</v>
      </c>
      <c r="K11" s="697">
        <v>942</v>
      </c>
      <c r="L11" s="697">
        <v>271</v>
      </c>
      <c r="M11" s="697"/>
      <c r="N11" s="697">
        <v>1773</v>
      </c>
      <c r="O11" s="697">
        <v>60</v>
      </c>
      <c r="P11" s="697">
        <v>89</v>
      </c>
      <c r="Q11" s="697">
        <v>149</v>
      </c>
    </row>
    <row r="12" spans="1:17" x14ac:dyDescent="0.2">
      <c r="A12" s="695" t="s">
        <v>32</v>
      </c>
      <c r="B12" s="697"/>
      <c r="C12" s="697"/>
      <c r="D12" s="697"/>
      <c r="E12" s="697"/>
      <c r="F12" s="697"/>
      <c r="G12" s="697"/>
      <c r="H12" s="697"/>
      <c r="I12" s="697"/>
      <c r="J12" s="697"/>
      <c r="K12" s="697"/>
      <c r="L12" s="697"/>
      <c r="M12" s="697"/>
      <c r="N12" s="697"/>
      <c r="O12" s="697"/>
      <c r="P12" s="697"/>
      <c r="Q12" s="697"/>
    </row>
    <row r="13" spans="1:17" x14ac:dyDescent="0.2">
      <c r="A13" s="696" t="s">
        <v>293</v>
      </c>
      <c r="B13" s="697">
        <v>363</v>
      </c>
      <c r="C13" s="697"/>
      <c r="D13" s="697">
        <v>390</v>
      </c>
      <c r="E13" s="697">
        <v>87</v>
      </c>
      <c r="F13" s="697">
        <v>20</v>
      </c>
      <c r="G13" s="697">
        <v>41</v>
      </c>
      <c r="H13" s="697">
        <v>901</v>
      </c>
      <c r="I13" s="697"/>
      <c r="J13" s="697">
        <v>0</v>
      </c>
      <c r="K13" s="697">
        <v>5</v>
      </c>
      <c r="L13" s="697">
        <v>15</v>
      </c>
      <c r="M13" s="697"/>
      <c r="N13" s="697">
        <v>20</v>
      </c>
      <c r="O13" s="697"/>
      <c r="P13" s="697"/>
      <c r="Q13" s="697"/>
    </row>
    <row r="14" spans="1:17" x14ac:dyDescent="0.2">
      <c r="A14" s="696" t="s">
        <v>298</v>
      </c>
      <c r="B14" s="697">
        <v>214</v>
      </c>
      <c r="C14" s="697"/>
      <c r="D14" s="697">
        <v>453</v>
      </c>
      <c r="E14" s="697">
        <v>62</v>
      </c>
      <c r="F14" s="697">
        <v>45</v>
      </c>
      <c r="G14" s="697">
        <v>91</v>
      </c>
      <c r="H14" s="697">
        <v>865</v>
      </c>
      <c r="I14" s="697"/>
      <c r="J14" s="697">
        <v>0</v>
      </c>
      <c r="K14" s="697">
        <v>10</v>
      </c>
      <c r="L14" s="697">
        <v>4</v>
      </c>
      <c r="M14" s="697"/>
      <c r="N14" s="697">
        <v>14</v>
      </c>
      <c r="O14" s="697"/>
      <c r="P14" s="697"/>
      <c r="Q14" s="697"/>
    </row>
    <row r="15" spans="1:17" x14ac:dyDescent="0.2">
      <c r="A15" s="696" t="s">
        <v>302</v>
      </c>
      <c r="B15" s="697">
        <v>167</v>
      </c>
      <c r="C15" s="697"/>
      <c r="D15" s="697">
        <v>522</v>
      </c>
      <c r="E15" s="697">
        <v>111</v>
      </c>
      <c r="F15" s="697">
        <v>23</v>
      </c>
      <c r="G15" s="697">
        <v>153</v>
      </c>
      <c r="H15" s="697">
        <v>976</v>
      </c>
      <c r="I15" s="697"/>
      <c r="J15" s="697">
        <v>0</v>
      </c>
      <c r="K15" s="697">
        <v>32</v>
      </c>
      <c r="L15" s="697">
        <v>44</v>
      </c>
      <c r="M15" s="697"/>
      <c r="N15" s="697">
        <v>76</v>
      </c>
      <c r="O15" s="697"/>
      <c r="P15" s="697"/>
      <c r="Q15" s="697"/>
    </row>
    <row r="16" spans="1:17" x14ac:dyDescent="0.2">
      <c r="A16" s="696" t="s">
        <v>306</v>
      </c>
      <c r="B16" s="697">
        <v>178</v>
      </c>
      <c r="C16" s="697"/>
      <c r="D16" s="697">
        <v>327</v>
      </c>
      <c r="E16" s="697">
        <v>70</v>
      </c>
      <c r="F16" s="697">
        <v>29</v>
      </c>
      <c r="G16" s="697">
        <v>127</v>
      </c>
      <c r="H16" s="697">
        <v>731</v>
      </c>
      <c r="I16" s="697"/>
      <c r="J16" s="697">
        <v>0</v>
      </c>
      <c r="K16" s="697">
        <v>74</v>
      </c>
      <c r="L16" s="697">
        <v>111</v>
      </c>
      <c r="M16" s="697"/>
      <c r="N16" s="697">
        <v>185</v>
      </c>
      <c r="O16" s="697"/>
      <c r="P16" s="697"/>
      <c r="Q16" s="697"/>
    </row>
    <row r="17" spans="1:17" x14ac:dyDescent="0.2">
      <c r="A17" s="696" t="s">
        <v>310</v>
      </c>
      <c r="B17" s="697">
        <v>73</v>
      </c>
      <c r="C17" s="697"/>
      <c r="D17" s="697">
        <v>128</v>
      </c>
      <c r="E17" s="697">
        <v>2</v>
      </c>
      <c r="F17" s="697">
        <v>37</v>
      </c>
      <c r="G17" s="697">
        <v>9</v>
      </c>
      <c r="H17" s="697">
        <v>249</v>
      </c>
      <c r="I17" s="697"/>
      <c r="J17" s="697">
        <v>0</v>
      </c>
      <c r="K17" s="697">
        <v>0</v>
      </c>
      <c r="L17" s="697">
        <v>0</v>
      </c>
      <c r="M17" s="697"/>
      <c r="N17" s="697">
        <v>0</v>
      </c>
      <c r="O17" s="697"/>
      <c r="P17" s="697"/>
      <c r="Q17" s="697"/>
    </row>
    <row r="18" spans="1:17" x14ac:dyDescent="0.2">
      <c r="A18" s="696" t="s">
        <v>314</v>
      </c>
      <c r="B18" s="697">
        <v>0</v>
      </c>
      <c r="C18" s="697"/>
      <c r="D18" s="697">
        <v>0</v>
      </c>
      <c r="E18" s="697">
        <v>0</v>
      </c>
      <c r="F18" s="697">
        <v>0</v>
      </c>
      <c r="G18" s="697">
        <v>0</v>
      </c>
      <c r="H18" s="697">
        <v>0</v>
      </c>
      <c r="I18" s="697"/>
      <c r="J18" s="697">
        <v>327</v>
      </c>
      <c r="K18" s="697">
        <v>97</v>
      </c>
      <c r="L18" s="697">
        <v>732</v>
      </c>
      <c r="M18" s="697"/>
      <c r="N18" s="697">
        <v>1156</v>
      </c>
      <c r="O18" s="697"/>
      <c r="P18" s="697"/>
      <c r="Q18" s="697"/>
    </row>
    <row r="19" spans="1:17" x14ac:dyDescent="0.2">
      <c r="A19" s="696" t="s">
        <v>318</v>
      </c>
      <c r="B19" s="697">
        <v>995</v>
      </c>
      <c r="C19" s="697"/>
      <c r="D19" s="697">
        <v>1820</v>
      </c>
      <c r="E19" s="697">
        <v>332</v>
      </c>
      <c r="F19" s="697">
        <v>154</v>
      </c>
      <c r="G19" s="697">
        <v>421</v>
      </c>
      <c r="H19" s="697">
        <v>3722</v>
      </c>
      <c r="I19" s="697"/>
      <c r="J19" s="697">
        <v>327</v>
      </c>
      <c r="K19" s="697">
        <v>218</v>
      </c>
      <c r="L19" s="697">
        <v>906</v>
      </c>
      <c r="M19" s="697"/>
      <c r="N19" s="697">
        <v>1451</v>
      </c>
      <c r="O19" s="697"/>
      <c r="P19" s="697"/>
      <c r="Q19" s="697"/>
    </row>
    <row r="20" spans="1:17" x14ac:dyDescent="0.2">
      <c r="A20" s="695" t="s">
        <v>33</v>
      </c>
      <c r="B20" s="697"/>
      <c r="C20" s="697"/>
      <c r="D20" s="697"/>
      <c r="E20" s="697"/>
      <c r="F20" s="697"/>
      <c r="G20" s="697"/>
      <c r="H20" s="697"/>
      <c r="I20" s="697"/>
      <c r="J20" s="697"/>
      <c r="K20" s="697"/>
      <c r="L20" s="697"/>
      <c r="M20" s="697"/>
      <c r="N20" s="697"/>
      <c r="O20" s="697"/>
      <c r="P20" s="697"/>
      <c r="Q20" s="697"/>
    </row>
    <row r="21" spans="1:17" x14ac:dyDescent="0.2">
      <c r="A21" s="696" t="s">
        <v>293</v>
      </c>
      <c r="B21" s="697">
        <v>395</v>
      </c>
      <c r="C21" s="697"/>
      <c r="D21" s="697">
        <v>39</v>
      </c>
      <c r="E21" s="697"/>
      <c r="F21" s="697"/>
      <c r="G21" s="697"/>
      <c r="H21" s="697">
        <v>434</v>
      </c>
      <c r="I21" s="697"/>
      <c r="J21" s="697">
        <v>0</v>
      </c>
      <c r="K21" s="697">
        <v>0</v>
      </c>
      <c r="L21" s="697"/>
      <c r="M21" s="697"/>
      <c r="N21" s="697">
        <v>0</v>
      </c>
      <c r="O21" s="697"/>
      <c r="P21" s="697"/>
      <c r="Q21" s="697"/>
    </row>
    <row r="22" spans="1:17" x14ac:dyDescent="0.2">
      <c r="A22" s="696" t="s">
        <v>298</v>
      </c>
      <c r="B22" s="697">
        <v>334</v>
      </c>
      <c r="C22" s="697"/>
      <c r="D22" s="697">
        <v>91</v>
      </c>
      <c r="E22" s="697"/>
      <c r="F22" s="697"/>
      <c r="G22" s="697"/>
      <c r="H22" s="697">
        <v>425</v>
      </c>
      <c r="I22" s="697"/>
      <c r="J22" s="697">
        <v>0</v>
      </c>
      <c r="K22" s="697">
        <v>0</v>
      </c>
      <c r="L22" s="697"/>
      <c r="M22" s="697"/>
      <c r="N22" s="697">
        <v>0</v>
      </c>
      <c r="O22" s="697"/>
      <c r="P22" s="697"/>
      <c r="Q22" s="697"/>
    </row>
    <row r="23" spans="1:17" x14ac:dyDescent="0.2">
      <c r="A23" s="696" t="s">
        <v>302</v>
      </c>
      <c r="B23" s="697">
        <v>300</v>
      </c>
      <c r="C23" s="697"/>
      <c r="D23" s="697">
        <v>63</v>
      </c>
      <c r="E23" s="697"/>
      <c r="F23" s="697"/>
      <c r="G23" s="697"/>
      <c r="H23" s="697">
        <v>363</v>
      </c>
      <c r="I23" s="697"/>
      <c r="J23" s="697">
        <v>0</v>
      </c>
      <c r="K23" s="697">
        <v>0</v>
      </c>
      <c r="L23" s="697"/>
      <c r="M23" s="697"/>
      <c r="N23" s="697">
        <v>0</v>
      </c>
      <c r="O23" s="697"/>
      <c r="P23" s="697"/>
      <c r="Q23" s="697"/>
    </row>
    <row r="24" spans="1:17" x14ac:dyDescent="0.2">
      <c r="A24" s="696" t="s">
        <v>306</v>
      </c>
      <c r="B24" s="697">
        <v>102</v>
      </c>
      <c r="C24" s="697"/>
      <c r="D24" s="697">
        <v>12</v>
      </c>
      <c r="E24" s="697"/>
      <c r="F24" s="697"/>
      <c r="G24" s="697"/>
      <c r="H24" s="697">
        <v>114</v>
      </c>
      <c r="I24" s="697"/>
      <c r="J24" s="697">
        <v>0</v>
      </c>
      <c r="K24" s="697">
        <v>0</v>
      </c>
      <c r="L24" s="697"/>
      <c r="M24" s="697"/>
      <c r="N24" s="697">
        <v>0</v>
      </c>
      <c r="O24" s="697"/>
      <c r="P24" s="697"/>
      <c r="Q24" s="697"/>
    </row>
    <row r="25" spans="1:17" x14ac:dyDescent="0.2">
      <c r="A25" s="696" t="s">
        <v>310</v>
      </c>
      <c r="B25" s="697">
        <v>0</v>
      </c>
      <c r="C25" s="697"/>
      <c r="D25" s="697">
        <v>2</v>
      </c>
      <c r="E25" s="697"/>
      <c r="F25" s="697"/>
      <c r="G25" s="697"/>
      <c r="H25" s="697">
        <v>2</v>
      </c>
      <c r="I25" s="697"/>
      <c r="J25" s="697">
        <v>0</v>
      </c>
      <c r="K25" s="697">
        <v>0</v>
      </c>
      <c r="L25" s="697"/>
      <c r="M25" s="697"/>
      <c r="N25" s="697">
        <v>0</v>
      </c>
      <c r="O25" s="697"/>
      <c r="P25" s="697"/>
      <c r="Q25" s="697"/>
    </row>
    <row r="26" spans="1:17" x14ac:dyDescent="0.2">
      <c r="A26" s="696" t="s">
        <v>314</v>
      </c>
      <c r="B26" s="697">
        <v>0</v>
      </c>
      <c r="C26" s="697"/>
      <c r="D26" s="697">
        <v>0</v>
      </c>
      <c r="E26" s="697"/>
      <c r="F26" s="697"/>
      <c r="G26" s="697"/>
      <c r="H26" s="697">
        <v>0</v>
      </c>
      <c r="I26" s="697"/>
      <c r="J26" s="697">
        <v>176</v>
      </c>
      <c r="K26" s="697">
        <v>207</v>
      </c>
      <c r="L26" s="697"/>
      <c r="M26" s="697"/>
      <c r="N26" s="697">
        <v>383</v>
      </c>
      <c r="O26" s="697"/>
      <c r="P26" s="697"/>
      <c r="Q26" s="697"/>
    </row>
    <row r="27" spans="1:17" x14ac:dyDescent="0.2">
      <c r="A27" s="696" t="s">
        <v>318</v>
      </c>
      <c r="B27" s="697">
        <v>1131</v>
      </c>
      <c r="C27" s="697"/>
      <c r="D27" s="697">
        <v>207</v>
      </c>
      <c r="E27" s="697"/>
      <c r="F27" s="697"/>
      <c r="G27" s="697"/>
      <c r="H27" s="697">
        <v>1338</v>
      </c>
      <c r="I27" s="697"/>
      <c r="J27" s="697">
        <v>176</v>
      </c>
      <c r="K27" s="697">
        <v>207</v>
      </c>
      <c r="L27" s="697"/>
      <c r="M27" s="697"/>
      <c r="N27" s="697">
        <v>383</v>
      </c>
      <c r="O27" s="697"/>
      <c r="P27" s="697"/>
      <c r="Q27" s="697"/>
    </row>
    <row r="28" spans="1:17" x14ac:dyDescent="0.2">
      <c r="A28" s="695" t="s">
        <v>34</v>
      </c>
      <c r="B28" s="697"/>
      <c r="C28" s="697"/>
      <c r="D28" s="697"/>
      <c r="E28" s="697"/>
      <c r="F28" s="697"/>
      <c r="G28" s="697"/>
      <c r="H28" s="697"/>
      <c r="I28" s="697"/>
      <c r="J28" s="697"/>
      <c r="K28" s="697"/>
      <c r="L28" s="697"/>
      <c r="M28" s="697"/>
      <c r="N28" s="697"/>
      <c r="O28" s="697"/>
      <c r="P28" s="697"/>
      <c r="Q28" s="697"/>
    </row>
    <row r="29" spans="1:17" x14ac:dyDescent="0.2">
      <c r="A29" s="696" t="s">
        <v>293</v>
      </c>
      <c r="B29" s="697">
        <v>1943</v>
      </c>
      <c r="C29" s="697">
        <v>196</v>
      </c>
      <c r="D29" s="697">
        <v>298</v>
      </c>
      <c r="E29" s="697">
        <v>64</v>
      </c>
      <c r="F29" s="697"/>
      <c r="G29" s="697">
        <v>26</v>
      </c>
      <c r="H29" s="697">
        <v>2527</v>
      </c>
      <c r="I29" s="697">
        <v>0</v>
      </c>
      <c r="J29" s="697">
        <v>0</v>
      </c>
      <c r="K29" s="697">
        <v>0</v>
      </c>
      <c r="L29" s="697">
        <v>0</v>
      </c>
      <c r="M29" s="697"/>
      <c r="N29" s="697">
        <v>0</v>
      </c>
      <c r="O29" s="697"/>
      <c r="P29" s="697"/>
      <c r="Q29" s="697"/>
    </row>
    <row r="30" spans="1:17" x14ac:dyDescent="0.2">
      <c r="A30" s="696" t="s">
        <v>298</v>
      </c>
      <c r="B30" s="697">
        <v>1866</v>
      </c>
      <c r="C30" s="697">
        <v>229</v>
      </c>
      <c r="D30" s="697">
        <v>405</v>
      </c>
      <c r="E30" s="697">
        <v>99</v>
      </c>
      <c r="F30" s="697"/>
      <c r="G30" s="697">
        <v>19</v>
      </c>
      <c r="H30" s="697">
        <v>2618</v>
      </c>
      <c r="I30" s="697">
        <v>0</v>
      </c>
      <c r="J30" s="697">
        <v>0</v>
      </c>
      <c r="K30" s="697">
        <v>0</v>
      </c>
      <c r="L30" s="697">
        <v>0</v>
      </c>
      <c r="M30" s="697"/>
      <c r="N30" s="697">
        <v>0</v>
      </c>
      <c r="O30" s="697"/>
      <c r="P30" s="697"/>
      <c r="Q30" s="697"/>
    </row>
    <row r="31" spans="1:17" x14ac:dyDescent="0.2">
      <c r="A31" s="696" t="s">
        <v>302</v>
      </c>
      <c r="B31" s="697">
        <v>1522</v>
      </c>
      <c r="C31" s="697">
        <v>148</v>
      </c>
      <c r="D31" s="697">
        <v>378</v>
      </c>
      <c r="E31" s="697">
        <v>132</v>
      </c>
      <c r="F31" s="697"/>
      <c r="G31" s="697">
        <v>23</v>
      </c>
      <c r="H31" s="697">
        <v>2203</v>
      </c>
      <c r="I31" s="697">
        <v>0</v>
      </c>
      <c r="J31" s="697">
        <v>0</v>
      </c>
      <c r="K31" s="697">
        <v>0</v>
      </c>
      <c r="L31" s="697">
        <v>0</v>
      </c>
      <c r="M31" s="697"/>
      <c r="N31" s="697">
        <v>0</v>
      </c>
      <c r="O31" s="697"/>
      <c r="P31" s="697"/>
      <c r="Q31" s="697"/>
    </row>
    <row r="32" spans="1:17" x14ac:dyDescent="0.2">
      <c r="A32" s="696" t="s">
        <v>306</v>
      </c>
      <c r="B32" s="697">
        <v>690</v>
      </c>
      <c r="C32" s="697">
        <v>188</v>
      </c>
      <c r="D32" s="697">
        <v>180</v>
      </c>
      <c r="E32" s="697">
        <v>99</v>
      </c>
      <c r="F32" s="697"/>
      <c r="G32" s="697">
        <v>1</v>
      </c>
      <c r="H32" s="697">
        <v>1158</v>
      </c>
      <c r="I32" s="697">
        <v>0</v>
      </c>
      <c r="J32" s="697">
        <v>0</v>
      </c>
      <c r="K32" s="697">
        <v>0</v>
      </c>
      <c r="L32" s="697">
        <v>0</v>
      </c>
      <c r="M32" s="697"/>
      <c r="N32" s="697">
        <v>0</v>
      </c>
      <c r="O32" s="697"/>
      <c r="P32" s="697"/>
      <c r="Q32" s="697"/>
    </row>
    <row r="33" spans="1:17" x14ac:dyDescent="0.2">
      <c r="A33" s="696" t="s">
        <v>310</v>
      </c>
      <c r="B33" s="697">
        <v>572</v>
      </c>
      <c r="C33" s="697">
        <v>2</v>
      </c>
      <c r="D33" s="697">
        <v>38</v>
      </c>
      <c r="E33" s="697">
        <v>0</v>
      </c>
      <c r="F33" s="697"/>
      <c r="G33" s="697">
        <v>0</v>
      </c>
      <c r="H33" s="697">
        <v>612</v>
      </c>
      <c r="I33" s="697">
        <v>0</v>
      </c>
      <c r="J33" s="697">
        <v>0</v>
      </c>
      <c r="K33" s="697">
        <v>0</v>
      </c>
      <c r="L33" s="697">
        <v>0</v>
      </c>
      <c r="M33" s="697"/>
      <c r="N33" s="697">
        <v>0</v>
      </c>
      <c r="O33" s="697"/>
      <c r="P33" s="697"/>
      <c r="Q33" s="697"/>
    </row>
    <row r="34" spans="1:17" x14ac:dyDescent="0.2">
      <c r="A34" s="696" t="s">
        <v>314</v>
      </c>
      <c r="B34" s="697">
        <v>0</v>
      </c>
      <c r="C34" s="697">
        <v>0</v>
      </c>
      <c r="D34" s="697">
        <v>0</v>
      </c>
      <c r="E34" s="697">
        <v>0</v>
      </c>
      <c r="F34" s="697"/>
      <c r="G34" s="697">
        <v>0</v>
      </c>
      <c r="H34" s="697">
        <v>0</v>
      </c>
      <c r="I34" s="697">
        <v>2230</v>
      </c>
      <c r="J34" s="697">
        <v>2963</v>
      </c>
      <c r="K34" s="697">
        <v>441</v>
      </c>
      <c r="L34" s="697">
        <v>57</v>
      </c>
      <c r="M34" s="697"/>
      <c r="N34" s="697">
        <v>5691</v>
      </c>
      <c r="O34" s="697"/>
      <c r="P34" s="697"/>
      <c r="Q34" s="697"/>
    </row>
    <row r="35" spans="1:17" x14ac:dyDescent="0.2">
      <c r="A35" s="696" t="s">
        <v>318</v>
      </c>
      <c r="B35" s="697">
        <v>6593</v>
      </c>
      <c r="C35" s="697">
        <v>763</v>
      </c>
      <c r="D35" s="697">
        <v>1299</v>
      </c>
      <c r="E35" s="697">
        <v>394</v>
      </c>
      <c r="F35" s="697"/>
      <c r="G35" s="697">
        <v>69</v>
      </c>
      <c r="H35" s="697">
        <v>9118</v>
      </c>
      <c r="I35" s="697">
        <v>2230</v>
      </c>
      <c r="J35" s="697">
        <v>2963</v>
      </c>
      <c r="K35" s="697">
        <v>441</v>
      </c>
      <c r="L35" s="697">
        <v>57</v>
      </c>
      <c r="M35" s="697"/>
      <c r="N35" s="697">
        <v>5691</v>
      </c>
      <c r="O35" s="697"/>
      <c r="P35" s="697"/>
      <c r="Q35" s="697"/>
    </row>
    <row r="36" spans="1:17" x14ac:dyDescent="0.2">
      <c r="A36" s="695" t="s">
        <v>35</v>
      </c>
      <c r="B36" s="697"/>
      <c r="C36" s="697"/>
      <c r="D36" s="697"/>
      <c r="E36" s="697"/>
      <c r="F36" s="697"/>
      <c r="G36" s="697"/>
      <c r="H36" s="697"/>
      <c r="I36" s="697"/>
      <c r="J36" s="697"/>
      <c r="K36" s="697"/>
      <c r="L36" s="697"/>
      <c r="M36" s="697"/>
      <c r="N36" s="697"/>
      <c r="O36" s="697"/>
      <c r="P36" s="697"/>
      <c r="Q36" s="697"/>
    </row>
    <row r="37" spans="1:17" x14ac:dyDescent="0.2">
      <c r="A37" s="696" t="s">
        <v>293</v>
      </c>
      <c r="B37" s="697">
        <v>913</v>
      </c>
      <c r="C37" s="697">
        <v>417</v>
      </c>
      <c r="D37" s="697">
        <v>383</v>
      </c>
      <c r="E37" s="697">
        <v>426</v>
      </c>
      <c r="F37" s="697">
        <v>120</v>
      </c>
      <c r="G37" s="697">
        <v>31</v>
      </c>
      <c r="H37" s="697">
        <v>2290</v>
      </c>
      <c r="I37" s="697">
        <v>82</v>
      </c>
      <c r="J37" s="697">
        <v>31</v>
      </c>
      <c r="K37" s="697">
        <v>57</v>
      </c>
      <c r="L37" s="697">
        <v>4</v>
      </c>
      <c r="M37" s="697"/>
      <c r="N37" s="697">
        <v>174</v>
      </c>
      <c r="O37" s="697">
        <v>0</v>
      </c>
      <c r="P37" s="697"/>
      <c r="Q37" s="697">
        <v>0</v>
      </c>
    </row>
    <row r="38" spans="1:17" x14ac:dyDescent="0.2">
      <c r="A38" s="696" t="s">
        <v>298</v>
      </c>
      <c r="B38" s="697">
        <v>836</v>
      </c>
      <c r="C38" s="697">
        <v>254</v>
      </c>
      <c r="D38" s="697">
        <v>402</v>
      </c>
      <c r="E38" s="697">
        <v>542</v>
      </c>
      <c r="F38" s="697">
        <v>164</v>
      </c>
      <c r="G38" s="697">
        <v>107</v>
      </c>
      <c r="H38" s="697">
        <v>2305</v>
      </c>
      <c r="I38" s="697">
        <v>133</v>
      </c>
      <c r="J38" s="697">
        <v>134</v>
      </c>
      <c r="K38" s="697">
        <v>149</v>
      </c>
      <c r="L38" s="697">
        <v>12</v>
      </c>
      <c r="M38" s="697"/>
      <c r="N38" s="697">
        <v>428</v>
      </c>
      <c r="O38" s="697">
        <v>0</v>
      </c>
      <c r="P38" s="697"/>
      <c r="Q38" s="697">
        <v>0</v>
      </c>
    </row>
    <row r="39" spans="1:17" x14ac:dyDescent="0.2">
      <c r="A39" s="696" t="s">
        <v>302</v>
      </c>
      <c r="B39" s="697">
        <v>732</v>
      </c>
      <c r="C39" s="697">
        <v>225</v>
      </c>
      <c r="D39" s="697">
        <v>567</v>
      </c>
      <c r="E39" s="697">
        <v>837</v>
      </c>
      <c r="F39" s="697">
        <v>238</v>
      </c>
      <c r="G39" s="697">
        <v>299</v>
      </c>
      <c r="H39" s="697">
        <v>2898</v>
      </c>
      <c r="I39" s="697">
        <v>184</v>
      </c>
      <c r="J39" s="697">
        <v>116</v>
      </c>
      <c r="K39" s="697">
        <v>311</v>
      </c>
      <c r="L39" s="697">
        <v>21</v>
      </c>
      <c r="M39" s="697"/>
      <c r="N39" s="697">
        <v>632</v>
      </c>
      <c r="O39" s="697">
        <v>0</v>
      </c>
      <c r="P39" s="697"/>
      <c r="Q39" s="697">
        <v>0</v>
      </c>
    </row>
    <row r="40" spans="1:17" x14ac:dyDescent="0.2">
      <c r="A40" s="696" t="s">
        <v>306</v>
      </c>
      <c r="B40" s="697">
        <v>105</v>
      </c>
      <c r="C40" s="697">
        <v>45</v>
      </c>
      <c r="D40" s="697">
        <v>238</v>
      </c>
      <c r="E40" s="697">
        <v>210</v>
      </c>
      <c r="F40" s="697">
        <v>48</v>
      </c>
      <c r="G40" s="697">
        <v>18</v>
      </c>
      <c r="H40" s="697">
        <v>664</v>
      </c>
      <c r="I40" s="697">
        <v>34</v>
      </c>
      <c r="J40" s="697">
        <v>272</v>
      </c>
      <c r="K40" s="697">
        <v>179</v>
      </c>
      <c r="L40" s="697">
        <v>19</v>
      </c>
      <c r="M40" s="697"/>
      <c r="N40" s="697">
        <v>504</v>
      </c>
      <c r="O40" s="697">
        <v>0</v>
      </c>
      <c r="P40" s="697"/>
      <c r="Q40" s="697">
        <v>0</v>
      </c>
    </row>
    <row r="41" spans="1:17" x14ac:dyDescent="0.2">
      <c r="A41" s="696" t="s">
        <v>310</v>
      </c>
      <c r="B41" s="697">
        <v>298</v>
      </c>
      <c r="C41" s="697">
        <v>87</v>
      </c>
      <c r="D41" s="697">
        <v>112</v>
      </c>
      <c r="E41" s="697">
        <v>195</v>
      </c>
      <c r="F41" s="697">
        <v>65</v>
      </c>
      <c r="G41" s="697">
        <v>16</v>
      </c>
      <c r="H41" s="697">
        <v>773</v>
      </c>
      <c r="I41" s="697">
        <v>34</v>
      </c>
      <c r="J41" s="697">
        <v>20</v>
      </c>
      <c r="K41" s="697">
        <v>34</v>
      </c>
      <c r="L41" s="697">
        <v>8</v>
      </c>
      <c r="M41" s="697"/>
      <c r="N41" s="697">
        <v>96</v>
      </c>
      <c r="O41" s="697">
        <v>0</v>
      </c>
      <c r="P41" s="697"/>
      <c r="Q41" s="697">
        <v>0</v>
      </c>
    </row>
    <row r="42" spans="1:17" x14ac:dyDescent="0.2">
      <c r="A42" s="696" t="s">
        <v>314</v>
      </c>
      <c r="B42" s="697">
        <v>0</v>
      </c>
      <c r="C42" s="697">
        <v>0</v>
      </c>
      <c r="D42" s="697">
        <v>0</v>
      </c>
      <c r="E42" s="697">
        <v>0</v>
      </c>
      <c r="F42" s="697">
        <v>0</v>
      </c>
      <c r="G42" s="697">
        <v>0</v>
      </c>
      <c r="H42" s="697">
        <v>0</v>
      </c>
      <c r="I42" s="697">
        <v>0</v>
      </c>
      <c r="J42" s="697">
        <v>0</v>
      </c>
      <c r="K42" s="697">
        <v>0</v>
      </c>
      <c r="L42" s="697">
        <v>0</v>
      </c>
      <c r="M42" s="697"/>
      <c r="N42" s="697">
        <v>0</v>
      </c>
      <c r="O42" s="697">
        <v>2288</v>
      </c>
      <c r="P42" s="697"/>
      <c r="Q42" s="697">
        <v>2288</v>
      </c>
    </row>
    <row r="43" spans="1:17" x14ac:dyDescent="0.2">
      <c r="A43" s="696" t="s">
        <v>318</v>
      </c>
      <c r="B43" s="697">
        <v>2884</v>
      </c>
      <c r="C43" s="697">
        <v>1028</v>
      </c>
      <c r="D43" s="697">
        <v>1702</v>
      </c>
      <c r="E43" s="697">
        <v>2210</v>
      </c>
      <c r="F43" s="697">
        <v>635</v>
      </c>
      <c r="G43" s="697">
        <v>471</v>
      </c>
      <c r="H43" s="697">
        <v>8930</v>
      </c>
      <c r="I43" s="697">
        <v>467</v>
      </c>
      <c r="J43" s="697">
        <v>573</v>
      </c>
      <c r="K43" s="697">
        <v>730</v>
      </c>
      <c r="L43" s="697">
        <v>64</v>
      </c>
      <c r="M43" s="697"/>
      <c r="N43" s="697">
        <v>1834</v>
      </c>
      <c r="O43" s="697">
        <v>2288</v>
      </c>
      <c r="P43" s="697"/>
      <c r="Q43" s="697">
        <v>2288</v>
      </c>
    </row>
    <row r="44" spans="1:17" x14ac:dyDescent="0.2">
      <c r="A44" s="695" t="s">
        <v>36</v>
      </c>
      <c r="B44" s="697"/>
      <c r="C44" s="697"/>
      <c r="D44" s="697"/>
      <c r="E44" s="697"/>
      <c r="F44" s="697"/>
      <c r="G44" s="697"/>
      <c r="H44" s="697"/>
      <c r="I44" s="697"/>
      <c r="J44" s="697"/>
      <c r="K44" s="697"/>
      <c r="L44" s="697"/>
      <c r="M44" s="697"/>
      <c r="N44" s="697"/>
      <c r="O44" s="697"/>
      <c r="P44" s="697"/>
      <c r="Q44" s="697"/>
    </row>
    <row r="45" spans="1:17" x14ac:dyDescent="0.2">
      <c r="A45" s="696" t="s">
        <v>293</v>
      </c>
      <c r="B45" s="697">
        <v>774</v>
      </c>
      <c r="C45" s="697"/>
      <c r="D45" s="697">
        <v>455</v>
      </c>
      <c r="E45" s="697">
        <v>111</v>
      </c>
      <c r="F45" s="697"/>
      <c r="G45" s="697"/>
      <c r="H45" s="697">
        <v>1340</v>
      </c>
      <c r="I45" s="697"/>
      <c r="J45" s="697">
        <v>158</v>
      </c>
      <c r="K45" s="697">
        <v>420</v>
      </c>
      <c r="L45" s="697">
        <v>25</v>
      </c>
      <c r="M45" s="697"/>
      <c r="N45" s="697">
        <v>603</v>
      </c>
      <c r="O45" s="697">
        <v>12</v>
      </c>
      <c r="P45" s="697"/>
      <c r="Q45" s="697">
        <v>12</v>
      </c>
    </row>
    <row r="46" spans="1:17" x14ac:dyDescent="0.2">
      <c r="A46" s="696" t="s">
        <v>298</v>
      </c>
      <c r="B46" s="697">
        <v>609</v>
      </c>
      <c r="C46" s="697"/>
      <c r="D46" s="697">
        <v>608</v>
      </c>
      <c r="E46" s="697">
        <v>205</v>
      </c>
      <c r="F46" s="697"/>
      <c r="G46" s="697"/>
      <c r="H46" s="697">
        <v>1422</v>
      </c>
      <c r="I46" s="697"/>
      <c r="J46" s="697">
        <v>220</v>
      </c>
      <c r="K46" s="697">
        <v>354</v>
      </c>
      <c r="L46" s="697">
        <v>10</v>
      </c>
      <c r="M46" s="697"/>
      <c r="N46" s="697">
        <v>584</v>
      </c>
      <c r="O46" s="697">
        <v>42</v>
      </c>
      <c r="P46" s="697"/>
      <c r="Q46" s="697">
        <v>42</v>
      </c>
    </row>
    <row r="47" spans="1:17" x14ac:dyDescent="0.2">
      <c r="A47" s="696" t="s">
        <v>302</v>
      </c>
      <c r="B47" s="697">
        <v>595</v>
      </c>
      <c r="C47" s="697"/>
      <c r="D47" s="697">
        <v>703</v>
      </c>
      <c r="E47" s="697">
        <v>178</v>
      </c>
      <c r="F47" s="697"/>
      <c r="G47" s="697"/>
      <c r="H47" s="697">
        <v>1476</v>
      </c>
      <c r="I47" s="697"/>
      <c r="J47" s="697">
        <v>56</v>
      </c>
      <c r="K47" s="697">
        <v>165</v>
      </c>
      <c r="L47" s="697">
        <v>7</v>
      </c>
      <c r="M47" s="697"/>
      <c r="N47" s="697">
        <v>228</v>
      </c>
      <c r="O47" s="697">
        <v>40</v>
      </c>
      <c r="P47" s="697"/>
      <c r="Q47" s="697">
        <v>40</v>
      </c>
    </row>
    <row r="48" spans="1:17" x14ac:dyDescent="0.2">
      <c r="A48" s="696" t="s">
        <v>306</v>
      </c>
      <c r="B48" s="697">
        <v>102</v>
      </c>
      <c r="C48" s="697"/>
      <c r="D48" s="697">
        <v>298</v>
      </c>
      <c r="E48" s="697">
        <v>17</v>
      </c>
      <c r="F48" s="697"/>
      <c r="G48" s="697"/>
      <c r="H48" s="697">
        <v>417</v>
      </c>
      <c r="I48" s="697"/>
      <c r="J48" s="697">
        <v>90</v>
      </c>
      <c r="K48" s="697">
        <v>294</v>
      </c>
      <c r="L48" s="697">
        <v>6</v>
      </c>
      <c r="M48" s="697"/>
      <c r="N48" s="697">
        <v>390</v>
      </c>
      <c r="O48" s="697">
        <v>72</v>
      </c>
      <c r="P48" s="697"/>
      <c r="Q48" s="697">
        <v>72</v>
      </c>
    </row>
    <row r="49" spans="1:17" x14ac:dyDescent="0.2">
      <c r="A49" s="696" t="s">
        <v>310</v>
      </c>
      <c r="B49" s="697">
        <v>181</v>
      </c>
      <c r="C49" s="697"/>
      <c r="D49" s="697">
        <v>158</v>
      </c>
      <c r="E49" s="697">
        <v>163</v>
      </c>
      <c r="F49" s="697"/>
      <c r="G49" s="697"/>
      <c r="H49" s="697">
        <v>502</v>
      </c>
      <c r="I49" s="697"/>
      <c r="J49" s="697">
        <v>0</v>
      </c>
      <c r="K49" s="697">
        <v>0</v>
      </c>
      <c r="L49" s="697">
        <v>0</v>
      </c>
      <c r="M49" s="697"/>
      <c r="N49" s="697">
        <v>0</v>
      </c>
      <c r="O49" s="697">
        <v>0</v>
      </c>
      <c r="P49" s="697"/>
      <c r="Q49" s="697">
        <v>0</v>
      </c>
    </row>
    <row r="50" spans="1:17" x14ac:dyDescent="0.2">
      <c r="A50" s="696" t="s">
        <v>314</v>
      </c>
      <c r="B50" s="697">
        <v>0</v>
      </c>
      <c r="C50" s="697"/>
      <c r="D50" s="697">
        <v>0</v>
      </c>
      <c r="E50" s="697">
        <v>0</v>
      </c>
      <c r="F50" s="697"/>
      <c r="G50" s="697"/>
      <c r="H50" s="697">
        <v>0</v>
      </c>
      <c r="I50" s="697"/>
      <c r="J50" s="697">
        <v>0</v>
      </c>
      <c r="K50" s="697">
        <v>0</v>
      </c>
      <c r="L50" s="697">
        <v>0</v>
      </c>
      <c r="M50" s="697"/>
      <c r="N50" s="697">
        <v>0</v>
      </c>
      <c r="O50" s="697">
        <v>0</v>
      </c>
      <c r="P50" s="697"/>
      <c r="Q50" s="697">
        <v>0</v>
      </c>
    </row>
    <row r="51" spans="1:17" x14ac:dyDescent="0.2">
      <c r="A51" s="696" t="s">
        <v>318</v>
      </c>
      <c r="B51" s="697">
        <v>2261</v>
      </c>
      <c r="C51" s="697"/>
      <c r="D51" s="697">
        <v>2222</v>
      </c>
      <c r="E51" s="697">
        <v>674</v>
      </c>
      <c r="F51" s="697"/>
      <c r="G51" s="697"/>
      <c r="H51" s="697">
        <v>5157</v>
      </c>
      <c r="I51" s="697"/>
      <c r="J51" s="697">
        <v>524</v>
      </c>
      <c r="K51" s="697">
        <v>1233</v>
      </c>
      <c r="L51" s="697">
        <v>48</v>
      </c>
      <c r="M51" s="697"/>
      <c r="N51" s="697">
        <v>1805</v>
      </c>
      <c r="O51" s="697">
        <v>166</v>
      </c>
      <c r="P51" s="697"/>
      <c r="Q51" s="697">
        <v>166</v>
      </c>
    </row>
    <row r="52" spans="1:17" x14ac:dyDescent="0.2">
      <c r="A52" s="695" t="s">
        <v>37</v>
      </c>
      <c r="B52" s="697"/>
      <c r="C52" s="697"/>
      <c r="D52" s="697"/>
      <c r="E52" s="697"/>
      <c r="F52" s="697"/>
      <c r="G52" s="697"/>
      <c r="H52" s="697"/>
      <c r="I52" s="697"/>
      <c r="J52" s="697"/>
      <c r="K52" s="697"/>
      <c r="L52" s="697"/>
      <c r="M52" s="697"/>
      <c r="N52" s="697"/>
      <c r="O52" s="697"/>
      <c r="P52" s="697"/>
      <c r="Q52" s="697"/>
    </row>
    <row r="53" spans="1:17" x14ac:dyDescent="0.2">
      <c r="A53" s="696" t="s">
        <v>293</v>
      </c>
      <c r="B53" s="697">
        <v>408</v>
      </c>
      <c r="C53" s="697">
        <v>344</v>
      </c>
      <c r="D53" s="697">
        <v>292</v>
      </c>
      <c r="E53" s="697">
        <v>229</v>
      </c>
      <c r="F53" s="697"/>
      <c r="G53" s="697">
        <v>17</v>
      </c>
      <c r="H53" s="697">
        <v>1290</v>
      </c>
      <c r="I53" s="697"/>
      <c r="J53" s="697">
        <v>94</v>
      </c>
      <c r="K53" s="697">
        <v>16</v>
      </c>
      <c r="L53" s="697">
        <v>14</v>
      </c>
      <c r="M53" s="697"/>
      <c r="N53" s="697">
        <v>124</v>
      </c>
      <c r="O53" s="697">
        <v>85</v>
      </c>
      <c r="P53" s="697"/>
      <c r="Q53" s="697">
        <v>85</v>
      </c>
    </row>
    <row r="54" spans="1:17" x14ac:dyDescent="0.2">
      <c r="A54" s="696" t="s">
        <v>298</v>
      </c>
      <c r="B54" s="697">
        <v>298</v>
      </c>
      <c r="C54" s="697">
        <v>326</v>
      </c>
      <c r="D54" s="697">
        <v>284</v>
      </c>
      <c r="E54" s="697">
        <v>285</v>
      </c>
      <c r="F54" s="697"/>
      <c r="G54" s="697">
        <v>33</v>
      </c>
      <c r="H54" s="697">
        <v>1226</v>
      </c>
      <c r="I54" s="697"/>
      <c r="J54" s="697">
        <v>121</v>
      </c>
      <c r="K54" s="697">
        <v>17</v>
      </c>
      <c r="L54" s="697">
        <v>46</v>
      </c>
      <c r="M54" s="697"/>
      <c r="N54" s="697">
        <v>184</v>
      </c>
      <c r="O54" s="697">
        <v>18</v>
      </c>
      <c r="P54" s="697"/>
      <c r="Q54" s="697">
        <v>18</v>
      </c>
    </row>
    <row r="55" spans="1:17" x14ac:dyDescent="0.2">
      <c r="A55" s="696" t="s">
        <v>302</v>
      </c>
      <c r="B55" s="697">
        <v>252</v>
      </c>
      <c r="C55" s="697">
        <v>345</v>
      </c>
      <c r="D55" s="697">
        <v>304</v>
      </c>
      <c r="E55" s="697">
        <v>485</v>
      </c>
      <c r="F55" s="697"/>
      <c r="G55" s="697">
        <v>35</v>
      </c>
      <c r="H55" s="697">
        <v>1421</v>
      </c>
      <c r="I55" s="697"/>
      <c r="J55" s="697">
        <v>166</v>
      </c>
      <c r="K55" s="697">
        <v>10</v>
      </c>
      <c r="L55" s="697">
        <v>70</v>
      </c>
      <c r="M55" s="697"/>
      <c r="N55" s="697">
        <v>246</v>
      </c>
      <c r="O55" s="697">
        <v>36</v>
      </c>
      <c r="P55" s="697"/>
      <c r="Q55" s="697">
        <v>36</v>
      </c>
    </row>
    <row r="56" spans="1:17" x14ac:dyDescent="0.2">
      <c r="A56" s="696" t="s">
        <v>306</v>
      </c>
      <c r="B56" s="697">
        <v>189</v>
      </c>
      <c r="C56" s="697">
        <v>282</v>
      </c>
      <c r="D56" s="697">
        <v>326</v>
      </c>
      <c r="E56" s="697">
        <v>243</v>
      </c>
      <c r="F56" s="697"/>
      <c r="G56" s="697">
        <v>10</v>
      </c>
      <c r="H56" s="697">
        <v>1050</v>
      </c>
      <c r="I56" s="697"/>
      <c r="J56" s="697">
        <v>295</v>
      </c>
      <c r="K56" s="697">
        <v>81</v>
      </c>
      <c r="L56" s="697">
        <v>107</v>
      </c>
      <c r="M56" s="697"/>
      <c r="N56" s="697">
        <v>483</v>
      </c>
      <c r="O56" s="697">
        <v>464</v>
      </c>
      <c r="P56" s="697"/>
      <c r="Q56" s="697">
        <v>464</v>
      </c>
    </row>
    <row r="57" spans="1:17" x14ac:dyDescent="0.2">
      <c r="A57" s="696" t="s">
        <v>310</v>
      </c>
      <c r="B57" s="697">
        <v>19</v>
      </c>
      <c r="C57" s="697">
        <v>16</v>
      </c>
      <c r="D57" s="697">
        <v>4</v>
      </c>
      <c r="E57" s="697">
        <v>24</v>
      </c>
      <c r="F57" s="697"/>
      <c r="G57" s="697">
        <v>0</v>
      </c>
      <c r="H57" s="697">
        <v>63</v>
      </c>
      <c r="I57" s="697"/>
      <c r="J57" s="697">
        <v>121</v>
      </c>
      <c r="K57" s="697">
        <v>0</v>
      </c>
      <c r="L57" s="697">
        <v>0</v>
      </c>
      <c r="M57" s="697"/>
      <c r="N57" s="697">
        <v>121</v>
      </c>
      <c r="O57" s="697">
        <v>80</v>
      </c>
      <c r="P57" s="697"/>
      <c r="Q57" s="697">
        <v>80</v>
      </c>
    </row>
    <row r="58" spans="1:17" x14ac:dyDescent="0.2">
      <c r="A58" s="696" t="s">
        <v>314</v>
      </c>
      <c r="B58" s="697">
        <v>0</v>
      </c>
      <c r="C58" s="697">
        <v>0</v>
      </c>
      <c r="D58" s="697">
        <v>0</v>
      </c>
      <c r="E58" s="697">
        <v>0</v>
      </c>
      <c r="F58" s="697"/>
      <c r="G58" s="697">
        <v>0</v>
      </c>
      <c r="H58" s="697">
        <v>0</v>
      </c>
      <c r="I58" s="697"/>
      <c r="J58" s="697">
        <v>0</v>
      </c>
      <c r="K58" s="697">
        <v>0</v>
      </c>
      <c r="L58" s="697">
        <v>0</v>
      </c>
      <c r="M58" s="697"/>
      <c r="N58" s="697">
        <v>0</v>
      </c>
      <c r="O58" s="697">
        <v>0</v>
      </c>
      <c r="P58" s="697"/>
      <c r="Q58" s="697">
        <v>0</v>
      </c>
    </row>
    <row r="59" spans="1:17" x14ac:dyDescent="0.2">
      <c r="A59" s="696" t="s">
        <v>318</v>
      </c>
      <c r="B59" s="697">
        <v>1166</v>
      </c>
      <c r="C59" s="697">
        <v>1313</v>
      </c>
      <c r="D59" s="697">
        <v>1210</v>
      </c>
      <c r="E59" s="697">
        <v>1266</v>
      </c>
      <c r="F59" s="697"/>
      <c r="G59" s="697">
        <v>95</v>
      </c>
      <c r="H59" s="697">
        <v>5050</v>
      </c>
      <c r="I59" s="697"/>
      <c r="J59" s="697">
        <v>797</v>
      </c>
      <c r="K59" s="697">
        <v>124</v>
      </c>
      <c r="L59" s="697">
        <v>237</v>
      </c>
      <c r="M59" s="697"/>
      <c r="N59" s="697">
        <v>1158</v>
      </c>
      <c r="O59" s="697">
        <v>683</v>
      </c>
      <c r="P59" s="697"/>
      <c r="Q59" s="697">
        <v>683</v>
      </c>
    </row>
    <row r="60" spans="1:17" x14ac:dyDescent="0.2">
      <c r="A60" s="695" t="s">
        <v>38</v>
      </c>
      <c r="B60" s="697"/>
      <c r="C60" s="697"/>
      <c r="D60" s="697"/>
      <c r="E60" s="697"/>
      <c r="F60" s="697"/>
      <c r="G60" s="697"/>
      <c r="H60" s="697"/>
      <c r="I60" s="697"/>
      <c r="J60" s="697"/>
      <c r="K60" s="697"/>
      <c r="L60" s="697"/>
      <c r="M60" s="697"/>
      <c r="N60" s="697"/>
      <c r="O60" s="697"/>
      <c r="P60" s="697"/>
      <c r="Q60" s="697"/>
    </row>
    <row r="61" spans="1:17" x14ac:dyDescent="0.2">
      <c r="A61" s="696" t="s">
        <v>293</v>
      </c>
      <c r="B61" s="697">
        <v>657</v>
      </c>
      <c r="C61" s="697">
        <v>195</v>
      </c>
      <c r="D61" s="697">
        <v>187</v>
      </c>
      <c r="E61" s="697">
        <v>293</v>
      </c>
      <c r="F61" s="697">
        <v>25</v>
      </c>
      <c r="G61" s="697">
        <v>45</v>
      </c>
      <c r="H61" s="697">
        <v>1402</v>
      </c>
      <c r="I61" s="697"/>
      <c r="J61" s="697">
        <v>658</v>
      </c>
      <c r="K61" s="697">
        <v>127</v>
      </c>
      <c r="L61" s="697">
        <v>38</v>
      </c>
      <c r="M61" s="697"/>
      <c r="N61" s="697">
        <v>823</v>
      </c>
      <c r="O61" s="697"/>
      <c r="P61" s="697"/>
      <c r="Q61" s="697"/>
    </row>
    <row r="62" spans="1:17" x14ac:dyDescent="0.2">
      <c r="A62" s="696" t="s">
        <v>298</v>
      </c>
      <c r="B62" s="697">
        <v>423</v>
      </c>
      <c r="C62" s="697">
        <v>292</v>
      </c>
      <c r="D62" s="697">
        <v>174</v>
      </c>
      <c r="E62" s="697">
        <v>315</v>
      </c>
      <c r="F62" s="697">
        <v>25</v>
      </c>
      <c r="G62" s="697">
        <v>51</v>
      </c>
      <c r="H62" s="697">
        <v>1280</v>
      </c>
      <c r="I62" s="697"/>
      <c r="J62" s="697">
        <v>502</v>
      </c>
      <c r="K62" s="697">
        <v>149</v>
      </c>
      <c r="L62" s="697">
        <v>39</v>
      </c>
      <c r="M62" s="697"/>
      <c r="N62" s="697">
        <v>690</v>
      </c>
      <c r="O62" s="697"/>
      <c r="P62" s="697"/>
      <c r="Q62" s="697"/>
    </row>
    <row r="63" spans="1:17" x14ac:dyDescent="0.2">
      <c r="A63" s="696" t="s">
        <v>302</v>
      </c>
      <c r="B63" s="697">
        <v>316</v>
      </c>
      <c r="C63" s="697">
        <v>178</v>
      </c>
      <c r="D63" s="697">
        <v>288</v>
      </c>
      <c r="E63" s="697">
        <v>368</v>
      </c>
      <c r="F63" s="697">
        <v>81</v>
      </c>
      <c r="G63" s="697">
        <v>42</v>
      </c>
      <c r="H63" s="697">
        <v>1273</v>
      </c>
      <c r="I63" s="697"/>
      <c r="J63" s="697">
        <v>484</v>
      </c>
      <c r="K63" s="697">
        <v>263</v>
      </c>
      <c r="L63" s="697">
        <v>36</v>
      </c>
      <c r="M63" s="697"/>
      <c r="N63" s="697">
        <v>783</v>
      </c>
      <c r="O63" s="697"/>
      <c r="P63" s="697"/>
      <c r="Q63" s="697"/>
    </row>
    <row r="64" spans="1:17" x14ac:dyDescent="0.2">
      <c r="A64" s="696" t="s">
        <v>306</v>
      </c>
      <c r="B64" s="697">
        <v>12</v>
      </c>
      <c r="C64" s="697">
        <v>16</v>
      </c>
      <c r="D64" s="697">
        <v>22</v>
      </c>
      <c r="E64" s="697">
        <v>33</v>
      </c>
      <c r="F64" s="697">
        <v>3</v>
      </c>
      <c r="G64" s="697">
        <v>3</v>
      </c>
      <c r="H64" s="697">
        <v>89</v>
      </c>
      <c r="I64" s="697"/>
      <c r="J64" s="697">
        <v>106</v>
      </c>
      <c r="K64" s="697">
        <v>66</v>
      </c>
      <c r="L64" s="697">
        <v>15</v>
      </c>
      <c r="M64" s="697"/>
      <c r="N64" s="697">
        <v>187</v>
      </c>
      <c r="O64" s="697"/>
      <c r="P64" s="697"/>
      <c r="Q64" s="697"/>
    </row>
    <row r="65" spans="1:17" x14ac:dyDescent="0.2">
      <c r="A65" s="696" t="s">
        <v>310</v>
      </c>
      <c r="B65" s="697">
        <v>260</v>
      </c>
      <c r="C65" s="697">
        <v>256</v>
      </c>
      <c r="D65" s="697">
        <v>170</v>
      </c>
      <c r="E65" s="697">
        <v>219</v>
      </c>
      <c r="F65" s="697">
        <v>18</v>
      </c>
      <c r="G65" s="697">
        <v>0</v>
      </c>
      <c r="H65" s="697">
        <v>923</v>
      </c>
      <c r="I65" s="697"/>
      <c r="J65" s="697">
        <v>2</v>
      </c>
      <c r="K65" s="697">
        <v>2</v>
      </c>
      <c r="L65" s="697">
        <v>1</v>
      </c>
      <c r="M65" s="697"/>
      <c r="N65" s="697">
        <v>5</v>
      </c>
      <c r="O65" s="697"/>
      <c r="P65" s="697"/>
      <c r="Q65" s="697"/>
    </row>
    <row r="66" spans="1:17" x14ac:dyDescent="0.2">
      <c r="A66" s="696" t="s">
        <v>314</v>
      </c>
      <c r="B66" s="697">
        <v>0</v>
      </c>
      <c r="C66" s="697">
        <v>0</v>
      </c>
      <c r="D66" s="697">
        <v>0</v>
      </c>
      <c r="E66" s="697">
        <v>0</v>
      </c>
      <c r="F66" s="697">
        <v>0</v>
      </c>
      <c r="G66" s="697">
        <v>0</v>
      </c>
      <c r="H66" s="697">
        <v>0</v>
      </c>
      <c r="I66" s="697"/>
      <c r="J66" s="697">
        <v>0</v>
      </c>
      <c r="K66" s="697">
        <v>0</v>
      </c>
      <c r="L66" s="697">
        <v>0</v>
      </c>
      <c r="M66" s="697"/>
      <c r="N66" s="697">
        <v>0</v>
      </c>
      <c r="O66" s="697"/>
      <c r="P66" s="697"/>
      <c r="Q66" s="697"/>
    </row>
    <row r="67" spans="1:17" x14ac:dyDescent="0.2">
      <c r="A67" s="696" t="s">
        <v>318</v>
      </c>
      <c r="B67" s="697">
        <v>1668</v>
      </c>
      <c r="C67" s="697">
        <v>937</v>
      </c>
      <c r="D67" s="697">
        <v>841</v>
      </c>
      <c r="E67" s="697">
        <v>1228</v>
      </c>
      <c r="F67" s="697">
        <v>152</v>
      </c>
      <c r="G67" s="697">
        <v>141</v>
      </c>
      <c r="H67" s="697">
        <v>4967</v>
      </c>
      <c r="I67" s="697"/>
      <c r="J67" s="697">
        <v>1752</v>
      </c>
      <c r="K67" s="697">
        <v>607</v>
      </c>
      <c r="L67" s="697">
        <v>129</v>
      </c>
      <c r="M67" s="697"/>
      <c r="N67" s="697">
        <v>2488</v>
      </c>
      <c r="O67" s="697"/>
      <c r="P67" s="697"/>
      <c r="Q67" s="697"/>
    </row>
    <row r="68" spans="1:17" x14ac:dyDescent="0.2">
      <c r="A68" s="695" t="s">
        <v>39</v>
      </c>
      <c r="B68" s="697"/>
      <c r="C68" s="697"/>
      <c r="D68" s="697"/>
      <c r="E68" s="697"/>
      <c r="F68" s="697"/>
      <c r="G68" s="697"/>
      <c r="H68" s="697"/>
      <c r="I68" s="697"/>
      <c r="J68" s="697"/>
      <c r="K68" s="697"/>
      <c r="L68" s="697"/>
      <c r="M68" s="697"/>
      <c r="N68" s="697"/>
      <c r="O68" s="697"/>
      <c r="P68" s="697"/>
      <c r="Q68" s="697"/>
    </row>
    <row r="69" spans="1:17" x14ac:dyDescent="0.2">
      <c r="A69" s="696" t="s">
        <v>293</v>
      </c>
      <c r="B69" s="697">
        <v>358</v>
      </c>
      <c r="C69" s="697">
        <v>247</v>
      </c>
      <c r="D69" s="697"/>
      <c r="E69" s="697">
        <v>86</v>
      </c>
      <c r="F69" s="697">
        <v>30</v>
      </c>
      <c r="G69" s="697"/>
      <c r="H69" s="697">
        <v>721</v>
      </c>
      <c r="I69" s="697"/>
      <c r="J69" s="697">
        <v>0</v>
      </c>
      <c r="K69" s="697">
        <v>0</v>
      </c>
      <c r="L69" s="697">
        <v>0</v>
      </c>
      <c r="M69" s="697"/>
      <c r="N69" s="697">
        <v>0</v>
      </c>
      <c r="O69" s="697"/>
      <c r="P69" s="697"/>
      <c r="Q69" s="697"/>
    </row>
    <row r="70" spans="1:17" x14ac:dyDescent="0.2">
      <c r="A70" s="696" t="s">
        <v>298</v>
      </c>
      <c r="B70" s="697">
        <v>404</v>
      </c>
      <c r="C70" s="697">
        <v>329</v>
      </c>
      <c r="D70" s="697"/>
      <c r="E70" s="697">
        <v>112</v>
      </c>
      <c r="F70" s="697">
        <v>23</v>
      </c>
      <c r="G70" s="697"/>
      <c r="H70" s="697">
        <v>868</v>
      </c>
      <c r="I70" s="697"/>
      <c r="J70" s="697">
        <v>0</v>
      </c>
      <c r="K70" s="697">
        <v>0</v>
      </c>
      <c r="L70" s="697">
        <v>0</v>
      </c>
      <c r="M70" s="697"/>
      <c r="N70" s="697">
        <v>0</v>
      </c>
      <c r="O70" s="697"/>
      <c r="P70" s="697"/>
      <c r="Q70" s="697"/>
    </row>
    <row r="71" spans="1:17" x14ac:dyDescent="0.2">
      <c r="A71" s="696" t="s">
        <v>302</v>
      </c>
      <c r="B71" s="697">
        <v>474</v>
      </c>
      <c r="C71" s="697">
        <v>335</v>
      </c>
      <c r="D71" s="697"/>
      <c r="E71" s="697">
        <v>159</v>
      </c>
      <c r="F71" s="697">
        <v>31</v>
      </c>
      <c r="G71" s="697"/>
      <c r="H71" s="697">
        <v>999</v>
      </c>
      <c r="I71" s="697"/>
      <c r="J71" s="697">
        <v>0</v>
      </c>
      <c r="K71" s="697">
        <v>0</v>
      </c>
      <c r="L71" s="697">
        <v>0</v>
      </c>
      <c r="M71" s="697"/>
      <c r="N71" s="697">
        <v>0</v>
      </c>
      <c r="O71" s="697"/>
      <c r="P71" s="697"/>
      <c r="Q71" s="697"/>
    </row>
    <row r="72" spans="1:17" x14ac:dyDescent="0.2">
      <c r="A72" s="696" t="s">
        <v>306</v>
      </c>
      <c r="B72" s="697">
        <v>281</v>
      </c>
      <c r="C72" s="697">
        <v>215</v>
      </c>
      <c r="D72" s="697"/>
      <c r="E72" s="697">
        <v>120</v>
      </c>
      <c r="F72" s="697">
        <v>53</v>
      </c>
      <c r="G72" s="697"/>
      <c r="H72" s="697">
        <v>669</v>
      </c>
      <c r="I72" s="697"/>
      <c r="J72" s="697">
        <v>0</v>
      </c>
      <c r="K72" s="697">
        <v>0</v>
      </c>
      <c r="L72" s="697">
        <v>0</v>
      </c>
      <c r="M72" s="697"/>
      <c r="N72" s="697">
        <v>0</v>
      </c>
      <c r="O72" s="697"/>
      <c r="P72" s="697"/>
      <c r="Q72" s="697"/>
    </row>
    <row r="73" spans="1:17" x14ac:dyDescent="0.2">
      <c r="A73" s="696" t="s">
        <v>310</v>
      </c>
      <c r="B73" s="697">
        <v>62</v>
      </c>
      <c r="C73" s="697">
        <v>16</v>
      </c>
      <c r="D73" s="697"/>
      <c r="E73" s="697">
        <v>0</v>
      </c>
      <c r="F73" s="697">
        <v>0</v>
      </c>
      <c r="G73" s="697"/>
      <c r="H73" s="697">
        <v>78</v>
      </c>
      <c r="I73" s="697"/>
      <c r="J73" s="697">
        <v>0</v>
      </c>
      <c r="K73" s="697">
        <v>0</v>
      </c>
      <c r="L73" s="697">
        <v>0</v>
      </c>
      <c r="M73" s="697"/>
      <c r="N73" s="697">
        <v>0</v>
      </c>
      <c r="O73" s="697"/>
      <c r="P73" s="697"/>
      <c r="Q73" s="697"/>
    </row>
    <row r="74" spans="1:17" x14ac:dyDescent="0.2">
      <c r="A74" s="696" t="s">
        <v>314</v>
      </c>
      <c r="B74" s="697">
        <v>0</v>
      </c>
      <c r="C74" s="697">
        <v>0</v>
      </c>
      <c r="D74" s="697"/>
      <c r="E74" s="697">
        <v>0</v>
      </c>
      <c r="F74" s="697">
        <v>0</v>
      </c>
      <c r="G74" s="697"/>
      <c r="H74" s="697">
        <v>0</v>
      </c>
      <c r="I74" s="697"/>
      <c r="J74" s="697">
        <v>1173.9000000000001</v>
      </c>
      <c r="K74" s="697">
        <v>1199</v>
      </c>
      <c r="L74" s="697">
        <v>149</v>
      </c>
      <c r="M74" s="697"/>
      <c r="N74" s="697">
        <v>2521.9</v>
      </c>
      <c r="O74" s="697"/>
      <c r="P74" s="697"/>
      <c r="Q74" s="697"/>
    </row>
    <row r="75" spans="1:17" x14ac:dyDescent="0.2">
      <c r="A75" s="696" t="s">
        <v>318</v>
      </c>
      <c r="B75" s="697">
        <v>1579</v>
      </c>
      <c r="C75" s="697">
        <v>1142</v>
      </c>
      <c r="D75" s="697"/>
      <c r="E75" s="697">
        <v>477</v>
      </c>
      <c r="F75" s="697">
        <v>137</v>
      </c>
      <c r="G75" s="697"/>
      <c r="H75" s="697">
        <v>3335</v>
      </c>
      <c r="I75" s="697"/>
      <c r="J75" s="697">
        <v>1173.9000000000001</v>
      </c>
      <c r="K75" s="697">
        <v>1199</v>
      </c>
      <c r="L75" s="697">
        <v>149</v>
      </c>
      <c r="M75" s="697"/>
      <c r="N75" s="697">
        <v>2521.9</v>
      </c>
      <c r="O75" s="697"/>
      <c r="P75" s="697"/>
      <c r="Q75" s="697"/>
    </row>
    <row r="76" spans="1:17" x14ac:dyDescent="0.2">
      <c r="A76" s="695" t="s">
        <v>40</v>
      </c>
      <c r="B76" s="697"/>
      <c r="C76" s="697"/>
      <c r="D76" s="697"/>
      <c r="E76" s="697"/>
      <c r="F76" s="697"/>
      <c r="G76" s="697"/>
      <c r="H76" s="697"/>
      <c r="I76" s="697"/>
      <c r="J76" s="697"/>
      <c r="K76" s="697"/>
      <c r="L76" s="697"/>
      <c r="M76" s="697"/>
      <c r="N76" s="697"/>
      <c r="O76" s="697"/>
      <c r="P76" s="697"/>
      <c r="Q76" s="697"/>
    </row>
    <row r="77" spans="1:17" x14ac:dyDescent="0.2">
      <c r="A77" s="696" t="s">
        <v>293</v>
      </c>
      <c r="B77" s="697">
        <v>1468</v>
      </c>
      <c r="C77" s="697">
        <v>440</v>
      </c>
      <c r="D77" s="697">
        <v>686</v>
      </c>
      <c r="E77" s="697">
        <v>50</v>
      </c>
      <c r="F77" s="697">
        <v>99</v>
      </c>
      <c r="G77" s="697">
        <v>112</v>
      </c>
      <c r="H77" s="697">
        <v>2855</v>
      </c>
      <c r="I77" s="697"/>
      <c r="J77" s="697">
        <v>0</v>
      </c>
      <c r="K77" s="697">
        <v>0</v>
      </c>
      <c r="L77" s="697">
        <v>0</v>
      </c>
      <c r="M77" s="697"/>
      <c r="N77" s="697">
        <v>0</v>
      </c>
      <c r="O77" s="697"/>
      <c r="P77" s="697"/>
      <c r="Q77" s="697"/>
    </row>
    <row r="78" spans="1:17" x14ac:dyDescent="0.2">
      <c r="A78" s="696" t="s">
        <v>298</v>
      </c>
      <c r="B78" s="697">
        <v>1060</v>
      </c>
      <c r="C78" s="697">
        <v>703</v>
      </c>
      <c r="D78" s="697">
        <v>842</v>
      </c>
      <c r="E78" s="697">
        <v>89</v>
      </c>
      <c r="F78" s="697">
        <v>188</v>
      </c>
      <c r="G78" s="697">
        <v>100</v>
      </c>
      <c r="H78" s="697">
        <v>2982</v>
      </c>
      <c r="I78" s="697"/>
      <c r="J78" s="697">
        <v>0</v>
      </c>
      <c r="K78" s="697">
        <v>0</v>
      </c>
      <c r="L78" s="697">
        <v>0</v>
      </c>
      <c r="M78" s="697"/>
      <c r="N78" s="697">
        <v>0</v>
      </c>
      <c r="O78" s="697"/>
      <c r="P78" s="697"/>
      <c r="Q78" s="697"/>
    </row>
    <row r="79" spans="1:17" x14ac:dyDescent="0.2">
      <c r="A79" s="696" t="s">
        <v>302</v>
      </c>
      <c r="B79" s="697">
        <v>829</v>
      </c>
      <c r="C79" s="697">
        <v>488</v>
      </c>
      <c r="D79" s="697">
        <v>721</v>
      </c>
      <c r="E79" s="697">
        <v>101</v>
      </c>
      <c r="F79" s="697">
        <v>222</v>
      </c>
      <c r="G79" s="697">
        <v>84</v>
      </c>
      <c r="H79" s="697">
        <v>2445</v>
      </c>
      <c r="I79" s="697"/>
      <c r="J79" s="697">
        <v>0</v>
      </c>
      <c r="K79" s="697">
        <v>0</v>
      </c>
      <c r="L79" s="697">
        <v>0</v>
      </c>
      <c r="M79" s="697"/>
      <c r="N79" s="697">
        <v>0</v>
      </c>
      <c r="O79" s="697"/>
      <c r="P79" s="697"/>
      <c r="Q79" s="697"/>
    </row>
    <row r="80" spans="1:17" x14ac:dyDescent="0.2">
      <c r="A80" s="696" t="s">
        <v>306</v>
      </c>
      <c r="B80" s="697">
        <v>66</v>
      </c>
      <c r="C80" s="697">
        <v>8</v>
      </c>
      <c r="D80" s="697">
        <v>35</v>
      </c>
      <c r="E80" s="697">
        <v>7</v>
      </c>
      <c r="F80" s="697">
        <v>53</v>
      </c>
      <c r="G80" s="697">
        <v>5</v>
      </c>
      <c r="H80" s="697">
        <v>174</v>
      </c>
      <c r="I80" s="697"/>
      <c r="J80" s="697">
        <v>0</v>
      </c>
      <c r="K80" s="697">
        <v>0</v>
      </c>
      <c r="L80" s="697">
        <v>0</v>
      </c>
      <c r="M80" s="697"/>
      <c r="N80" s="697">
        <v>0</v>
      </c>
      <c r="O80" s="697"/>
      <c r="P80" s="697"/>
      <c r="Q80" s="697"/>
    </row>
    <row r="81" spans="1:17" x14ac:dyDescent="0.2">
      <c r="A81" s="696" t="s">
        <v>310</v>
      </c>
      <c r="B81" s="697">
        <v>805</v>
      </c>
      <c r="C81" s="697">
        <v>529</v>
      </c>
      <c r="D81" s="697">
        <v>583</v>
      </c>
      <c r="E81" s="697">
        <v>33</v>
      </c>
      <c r="F81" s="697">
        <v>110</v>
      </c>
      <c r="G81" s="697">
        <v>71</v>
      </c>
      <c r="H81" s="697">
        <v>2131</v>
      </c>
      <c r="I81" s="697"/>
      <c r="J81" s="697">
        <v>0</v>
      </c>
      <c r="K81" s="697">
        <v>0</v>
      </c>
      <c r="L81" s="697">
        <v>0</v>
      </c>
      <c r="M81" s="697"/>
      <c r="N81" s="697">
        <v>0</v>
      </c>
      <c r="O81" s="697"/>
      <c r="P81" s="697"/>
      <c r="Q81" s="697"/>
    </row>
    <row r="82" spans="1:17" x14ac:dyDescent="0.2">
      <c r="A82" s="696" t="s">
        <v>314</v>
      </c>
      <c r="B82" s="697">
        <v>0</v>
      </c>
      <c r="C82" s="697">
        <v>0</v>
      </c>
      <c r="D82" s="697">
        <v>0</v>
      </c>
      <c r="E82" s="697">
        <v>0</v>
      </c>
      <c r="F82" s="697">
        <v>0</v>
      </c>
      <c r="G82" s="697">
        <v>0</v>
      </c>
      <c r="H82" s="697">
        <v>0</v>
      </c>
      <c r="I82" s="697"/>
      <c r="J82" s="697">
        <v>2573</v>
      </c>
      <c r="K82" s="697">
        <v>2485</v>
      </c>
      <c r="L82" s="697">
        <v>1158</v>
      </c>
      <c r="M82" s="697"/>
      <c r="N82" s="697">
        <v>6216</v>
      </c>
      <c r="O82" s="697"/>
      <c r="P82" s="697"/>
      <c r="Q82" s="697"/>
    </row>
    <row r="83" spans="1:17" x14ac:dyDescent="0.2">
      <c r="A83" s="696" t="s">
        <v>318</v>
      </c>
      <c r="B83" s="697">
        <v>4228</v>
      </c>
      <c r="C83" s="697">
        <v>2168</v>
      </c>
      <c r="D83" s="697">
        <v>2867</v>
      </c>
      <c r="E83" s="697">
        <v>280</v>
      </c>
      <c r="F83" s="697">
        <v>672</v>
      </c>
      <c r="G83" s="697">
        <v>372</v>
      </c>
      <c r="H83" s="697">
        <v>10587</v>
      </c>
      <c r="I83" s="697"/>
      <c r="J83" s="697">
        <v>2573</v>
      </c>
      <c r="K83" s="697">
        <v>2485</v>
      </c>
      <c r="L83" s="697">
        <v>1158</v>
      </c>
      <c r="M83" s="697"/>
      <c r="N83" s="697">
        <v>6216</v>
      </c>
      <c r="O83" s="697"/>
      <c r="P83" s="697"/>
      <c r="Q83" s="697"/>
    </row>
    <row r="84" spans="1:17" x14ac:dyDescent="0.2">
      <c r="A84" s="695" t="s">
        <v>41</v>
      </c>
      <c r="B84" s="697"/>
      <c r="C84" s="697"/>
      <c r="D84" s="697"/>
      <c r="E84" s="697"/>
      <c r="F84" s="697"/>
      <c r="G84" s="697"/>
      <c r="H84" s="697"/>
      <c r="I84" s="697"/>
      <c r="J84" s="697"/>
      <c r="K84" s="697"/>
      <c r="L84" s="697"/>
      <c r="M84" s="697"/>
      <c r="N84" s="697"/>
      <c r="O84" s="697"/>
      <c r="P84" s="697"/>
      <c r="Q84" s="697"/>
    </row>
    <row r="85" spans="1:17" x14ac:dyDescent="0.2">
      <c r="A85" s="696" t="s">
        <v>293</v>
      </c>
      <c r="B85" s="697">
        <v>711</v>
      </c>
      <c r="C85" s="697"/>
      <c r="D85" s="697">
        <v>223</v>
      </c>
      <c r="E85" s="697">
        <v>47</v>
      </c>
      <c r="F85" s="697">
        <v>150</v>
      </c>
      <c r="G85" s="697">
        <v>38</v>
      </c>
      <c r="H85" s="697">
        <v>1169</v>
      </c>
      <c r="I85" s="697">
        <v>0</v>
      </c>
      <c r="J85" s="697">
        <v>0</v>
      </c>
      <c r="K85" s="697">
        <v>0</v>
      </c>
      <c r="L85" s="697">
        <v>0</v>
      </c>
      <c r="M85" s="697"/>
      <c r="N85" s="697">
        <v>0</v>
      </c>
      <c r="O85" s="697">
        <v>0</v>
      </c>
      <c r="P85" s="697">
        <v>0</v>
      </c>
      <c r="Q85" s="697">
        <v>0</v>
      </c>
    </row>
    <row r="86" spans="1:17" x14ac:dyDescent="0.2">
      <c r="A86" s="696" t="s">
        <v>298</v>
      </c>
      <c r="B86" s="697">
        <v>575</v>
      </c>
      <c r="C86" s="697"/>
      <c r="D86" s="697">
        <v>153</v>
      </c>
      <c r="E86" s="697">
        <v>35</v>
      </c>
      <c r="F86" s="697">
        <v>154</v>
      </c>
      <c r="G86" s="697">
        <v>58</v>
      </c>
      <c r="H86" s="697">
        <v>975</v>
      </c>
      <c r="I86" s="697">
        <v>0</v>
      </c>
      <c r="J86" s="697">
        <v>0</v>
      </c>
      <c r="K86" s="697">
        <v>0</v>
      </c>
      <c r="L86" s="697">
        <v>0</v>
      </c>
      <c r="M86" s="697"/>
      <c r="N86" s="697">
        <v>0</v>
      </c>
      <c r="O86" s="697">
        <v>0</v>
      </c>
      <c r="P86" s="697">
        <v>0</v>
      </c>
      <c r="Q86" s="697">
        <v>0</v>
      </c>
    </row>
    <row r="87" spans="1:17" x14ac:dyDescent="0.2">
      <c r="A87" s="696" t="s">
        <v>302</v>
      </c>
      <c r="B87" s="697">
        <v>486</v>
      </c>
      <c r="C87" s="697"/>
      <c r="D87" s="697">
        <v>220</v>
      </c>
      <c r="E87" s="697">
        <v>29</v>
      </c>
      <c r="F87" s="697">
        <v>231</v>
      </c>
      <c r="G87" s="697">
        <v>61</v>
      </c>
      <c r="H87" s="697">
        <v>1027</v>
      </c>
      <c r="I87" s="697">
        <v>0</v>
      </c>
      <c r="J87" s="697">
        <v>0</v>
      </c>
      <c r="K87" s="697">
        <v>0</v>
      </c>
      <c r="L87" s="697">
        <v>0</v>
      </c>
      <c r="M87" s="697"/>
      <c r="N87" s="697">
        <v>0</v>
      </c>
      <c r="O87" s="697">
        <v>0</v>
      </c>
      <c r="P87" s="697">
        <v>0</v>
      </c>
      <c r="Q87" s="697">
        <v>0</v>
      </c>
    </row>
    <row r="88" spans="1:17" x14ac:dyDescent="0.2">
      <c r="A88" s="696" t="s">
        <v>306</v>
      </c>
      <c r="B88" s="697">
        <v>288</v>
      </c>
      <c r="C88" s="697"/>
      <c r="D88" s="697">
        <v>179</v>
      </c>
      <c r="E88" s="697">
        <v>17</v>
      </c>
      <c r="F88" s="697">
        <v>250</v>
      </c>
      <c r="G88" s="697">
        <v>50</v>
      </c>
      <c r="H88" s="697">
        <v>784</v>
      </c>
      <c r="I88" s="697">
        <v>0</v>
      </c>
      <c r="J88" s="697">
        <v>0</v>
      </c>
      <c r="K88" s="697">
        <v>0</v>
      </c>
      <c r="L88" s="697">
        <v>0</v>
      </c>
      <c r="M88" s="697"/>
      <c r="N88" s="697">
        <v>0</v>
      </c>
      <c r="O88" s="697">
        <v>0</v>
      </c>
      <c r="P88" s="697">
        <v>0</v>
      </c>
      <c r="Q88" s="697">
        <v>0</v>
      </c>
    </row>
    <row r="89" spans="1:17" x14ac:dyDescent="0.2">
      <c r="A89" s="696" t="s">
        <v>310</v>
      </c>
      <c r="B89" s="697">
        <v>0</v>
      </c>
      <c r="C89" s="697"/>
      <c r="D89" s="697">
        <v>0</v>
      </c>
      <c r="E89" s="697">
        <v>0</v>
      </c>
      <c r="F89" s="697">
        <v>0</v>
      </c>
      <c r="G89" s="697">
        <v>0</v>
      </c>
      <c r="H89" s="697">
        <v>0</v>
      </c>
      <c r="I89" s="697">
        <v>0</v>
      </c>
      <c r="J89" s="697">
        <v>0</v>
      </c>
      <c r="K89" s="697">
        <v>0</v>
      </c>
      <c r="L89" s="697">
        <v>0</v>
      </c>
      <c r="M89" s="697"/>
      <c r="N89" s="697">
        <v>0</v>
      </c>
      <c r="O89" s="697">
        <v>0</v>
      </c>
      <c r="P89" s="697">
        <v>0</v>
      </c>
      <c r="Q89" s="697">
        <v>0</v>
      </c>
    </row>
    <row r="90" spans="1:17" x14ac:dyDescent="0.2">
      <c r="A90" s="696" t="s">
        <v>314</v>
      </c>
      <c r="B90" s="697">
        <v>0</v>
      </c>
      <c r="C90" s="697"/>
      <c r="D90" s="697">
        <v>0</v>
      </c>
      <c r="E90" s="697">
        <v>0</v>
      </c>
      <c r="F90" s="697">
        <v>0</v>
      </c>
      <c r="G90" s="697">
        <v>0</v>
      </c>
      <c r="H90" s="697">
        <v>0</v>
      </c>
      <c r="I90" s="697">
        <v>212</v>
      </c>
      <c r="J90" s="697">
        <v>570</v>
      </c>
      <c r="K90" s="697">
        <v>151</v>
      </c>
      <c r="L90" s="697">
        <v>328</v>
      </c>
      <c r="M90" s="697"/>
      <c r="N90" s="697">
        <v>1261</v>
      </c>
      <c r="O90" s="697">
        <v>215</v>
      </c>
      <c r="P90" s="697">
        <v>916</v>
      </c>
      <c r="Q90" s="697">
        <v>1131</v>
      </c>
    </row>
    <row r="91" spans="1:17" x14ac:dyDescent="0.2">
      <c r="A91" s="696" t="s">
        <v>318</v>
      </c>
      <c r="B91" s="697">
        <v>2060</v>
      </c>
      <c r="C91" s="697"/>
      <c r="D91" s="697">
        <v>775</v>
      </c>
      <c r="E91" s="697">
        <v>128</v>
      </c>
      <c r="F91" s="697">
        <v>785</v>
      </c>
      <c r="G91" s="697">
        <v>207</v>
      </c>
      <c r="H91" s="697">
        <v>3955</v>
      </c>
      <c r="I91" s="697">
        <v>212</v>
      </c>
      <c r="J91" s="697">
        <v>570</v>
      </c>
      <c r="K91" s="697">
        <v>151</v>
      </c>
      <c r="L91" s="697">
        <v>328</v>
      </c>
      <c r="M91" s="697"/>
      <c r="N91" s="697">
        <v>1261</v>
      </c>
      <c r="O91" s="697">
        <v>215</v>
      </c>
      <c r="P91" s="697">
        <v>916</v>
      </c>
      <c r="Q91" s="697">
        <v>1131</v>
      </c>
    </row>
    <row r="92" spans="1:17" x14ac:dyDescent="0.2">
      <c r="A92" s="695" t="s">
        <v>21</v>
      </c>
      <c r="B92" s="697"/>
      <c r="C92" s="697"/>
      <c r="D92" s="697"/>
      <c r="E92" s="697"/>
      <c r="F92" s="697"/>
      <c r="G92" s="697"/>
      <c r="H92" s="697"/>
      <c r="I92" s="697"/>
      <c r="J92" s="697"/>
      <c r="K92" s="697"/>
      <c r="L92" s="697"/>
      <c r="M92" s="697"/>
      <c r="N92" s="697"/>
      <c r="O92" s="697"/>
      <c r="P92" s="697"/>
      <c r="Q92" s="697"/>
    </row>
    <row r="93" spans="1:17" x14ac:dyDescent="0.2">
      <c r="A93" s="696" t="s">
        <v>293</v>
      </c>
      <c r="B93" s="697">
        <v>678</v>
      </c>
      <c r="C93" s="697"/>
      <c r="D93" s="697">
        <v>217</v>
      </c>
      <c r="E93" s="697">
        <v>58</v>
      </c>
      <c r="F93" s="697">
        <v>166</v>
      </c>
      <c r="G93" s="697">
        <v>85</v>
      </c>
      <c r="H93" s="697">
        <v>1204</v>
      </c>
      <c r="I93" s="697"/>
      <c r="J93" s="697">
        <v>0</v>
      </c>
      <c r="K93" s="697">
        <v>0</v>
      </c>
      <c r="L93" s="697">
        <v>17</v>
      </c>
      <c r="M93" s="697"/>
      <c r="N93" s="697">
        <v>17</v>
      </c>
      <c r="O93" s="697"/>
      <c r="P93" s="697"/>
      <c r="Q93" s="697"/>
    </row>
    <row r="94" spans="1:17" x14ac:dyDescent="0.2">
      <c r="A94" s="696" t="s">
        <v>298</v>
      </c>
      <c r="B94" s="697">
        <v>606</v>
      </c>
      <c r="C94" s="697"/>
      <c r="D94" s="697">
        <v>255</v>
      </c>
      <c r="E94" s="697">
        <v>53</v>
      </c>
      <c r="F94" s="697">
        <v>203</v>
      </c>
      <c r="G94" s="697">
        <v>134</v>
      </c>
      <c r="H94" s="697">
        <v>1251</v>
      </c>
      <c r="I94" s="697"/>
      <c r="J94" s="697">
        <v>0</v>
      </c>
      <c r="K94" s="697">
        <v>0</v>
      </c>
      <c r="L94" s="697">
        <v>24</v>
      </c>
      <c r="M94" s="697"/>
      <c r="N94" s="697">
        <v>24</v>
      </c>
      <c r="O94" s="697"/>
      <c r="P94" s="697"/>
      <c r="Q94" s="697"/>
    </row>
    <row r="95" spans="1:17" x14ac:dyDescent="0.2">
      <c r="A95" s="696" t="s">
        <v>302</v>
      </c>
      <c r="B95" s="697">
        <v>574</v>
      </c>
      <c r="C95" s="697"/>
      <c r="D95" s="697">
        <v>244</v>
      </c>
      <c r="E95" s="697">
        <v>64</v>
      </c>
      <c r="F95" s="697">
        <v>252</v>
      </c>
      <c r="G95" s="697">
        <v>175</v>
      </c>
      <c r="H95" s="697">
        <v>1309</v>
      </c>
      <c r="I95" s="697"/>
      <c r="J95" s="697">
        <v>0</v>
      </c>
      <c r="K95" s="697">
        <v>0</v>
      </c>
      <c r="L95" s="697">
        <v>36</v>
      </c>
      <c r="M95" s="697"/>
      <c r="N95" s="697">
        <v>36</v>
      </c>
      <c r="O95" s="697"/>
      <c r="P95" s="697"/>
      <c r="Q95" s="697"/>
    </row>
    <row r="96" spans="1:17" x14ac:dyDescent="0.2">
      <c r="A96" s="696" t="s">
        <v>306</v>
      </c>
      <c r="B96" s="697">
        <v>157</v>
      </c>
      <c r="C96" s="697"/>
      <c r="D96" s="697">
        <v>90</v>
      </c>
      <c r="E96" s="697">
        <v>3</v>
      </c>
      <c r="F96" s="697">
        <v>61</v>
      </c>
      <c r="G96" s="697">
        <v>156</v>
      </c>
      <c r="H96" s="697">
        <v>467</v>
      </c>
      <c r="I96" s="697"/>
      <c r="J96" s="697">
        <v>0</v>
      </c>
      <c r="K96" s="697">
        <v>0</v>
      </c>
      <c r="L96" s="697">
        <v>50</v>
      </c>
      <c r="M96" s="697"/>
      <c r="N96" s="697">
        <v>50</v>
      </c>
      <c r="O96" s="697"/>
      <c r="P96" s="697"/>
      <c r="Q96" s="697"/>
    </row>
    <row r="97" spans="1:17" x14ac:dyDescent="0.2">
      <c r="A97" s="696" t="s">
        <v>310</v>
      </c>
      <c r="B97" s="697">
        <v>228</v>
      </c>
      <c r="C97" s="697"/>
      <c r="D97" s="697">
        <v>1</v>
      </c>
      <c r="E97" s="697">
        <v>0</v>
      </c>
      <c r="F97" s="697">
        <v>85</v>
      </c>
      <c r="G97" s="697">
        <v>5</v>
      </c>
      <c r="H97" s="697">
        <v>319</v>
      </c>
      <c r="I97" s="697"/>
      <c r="J97" s="697">
        <v>1360</v>
      </c>
      <c r="K97" s="697">
        <v>477</v>
      </c>
      <c r="L97" s="697">
        <v>128</v>
      </c>
      <c r="M97" s="697"/>
      <c r="N97" s="697">
        <v>1965</v>
      </c>
      <c r="O97" s="697"/>
      <c r="P97" s="697"/>
      <c r="Q97" s="697"/>
    </row>
    <row r="98" spans="1:17" x14ac:dyDescent="0.2">
      <c r="A98" s="696" t="s">
        <v>314</v>
      </c>
      <c r="B98" s="697">
        <v>0</v>
      </c>
      <c r="C98" s="697"/>
      <c r="D98" s="697">
        <v>0</v>
      </c>
      <c r="E98" s="697">
        <v>0</v>
      </c>
      <c r="F98" s="697">
        <v>0</v>
      </c>
      <c r="G98" s="697">
        <v>0</v>
      </c>
      <c r="H98" s="697">
        <v>0</v>
      </c>
      <c r="I98" s="697"/>
      <c r="J98" s="697">
        <v>0</v>
      </c>
      <c r="K98" s="697">
        <v>0</v>
      </c>
      <c r="L98" s="697">
        <v>0</v>
      </c>
      <c r="M98" s="697"/>
      <c r="N98" s="697">
        <v>0</v>
      </c>
      <c r="O98" s="697"/>
      <c r="P98" s="697"/>
      <c r="Q98" s="697"/>
    </row>
    <row r="99" spans="1:17" x14ac:dyDescent="0.2">
      <c r="A99" s="696" t="s">
        <v>318</v>
      </c>
      <c r="B99" s="697">
        <v>2243</v>
      </c>
      <c r="C99" s="697"/>
      <c r="D99" s="697">
        <v>807</v>
      </c>
      <c r="E99" s="697">
        <v>178</v>
      </c>
      <c r="F99" s="697">
        <v>767</v>
      </c>
      <c r="G99" s="697">
        <v>555</v>
      </c>
      <c r="H99" s="697">
        <v>4550</v>
      </c>
      <c r="I99" s="697"/>
      <c r="J99" s="697">
        <v>1360</v>
      </c>
      <c r="K99" s="697">
        <v>477</v>
      </c>
      <c r="L99" s="697">
        <v>255</v>
      </c>
      <c r="M99" s="697"/>
      <c r="N99" s="697">
        <v>2092</v>
      </c>
      <c r="O99" s="697"/>
      <c r="P99" s="697"/>
      <c r="Q99" s="697"/>
    </row>
    <row r="100" spans="1:17" x14ac:dyDescent="0.2">
      <c r="A100" s="695" t="s">
        <v>42</v>
      </c>
      <c r="B100" s="697"/>
      <c r="C100" s="697"/>
      <c r="D100" s="697"/>
      <c r="E100" s="697"/>
      <c r="F100" s="697"/>
      <c r="G100" s="697"/>
      <c r="H100" s="697"/>
      <c r="I100" s="697"/>
      <c r="J100" s="697"/>
      <c r="K100" s="697"/>
      <c r="L100" s="697"/>
      <c r="M100" s="697"/>
      <c r="N100" s="697"/>
      <c r="O100" s="697"/>
      <c r="P100" s="697"/>
      <c r="Q100" s="697"/>
    </row>
    <row r="101" spans="1:17" x14ac:dyDescent="0.2">
      <c r="A101" s="696" t="s">
        <v>293</v>
      </c>
      <c r="B101" s="697">
        <v>792</v>
      </c>
      <c r="C101" s="697">
        <v>102</v>
      </c>
      <c r="D101" s="697">
        <v>857</v>
      </c>
      <c r="E101" s="697"/>
      <c r="F101" s="697">
        <v>76</v>
      </c>
      <c r="G101" s="697"/>
      <c r="H101" s="697">
        <v>1827</v>
      </c>
      <c r="I101" s="697"/>
      <c r="J101" s="697">
        <v>112</v>
      </c>
      <c r="K101" s="697">
        <v>99</v>
      </c>
      <c r="L101" s="697"/>
      <c r="M101" s="697"/>
      <c r="N101" s="697">
        <v>211</v>
      </c>
      <c r="O101" s="697">
        <v>0</v>
      </c>
      <c r="P101" s="697">
        <v>0</v>
      </c>
      <c r="Q101" s="697">
        <v>0</v>
      </c>
    </row>
    <row r="102" spans="1:17" x14ac:dyDescent="0.2">
      <c r="A102" s="696" t="s">
        <v>298</v>
      </c>
      <c r="B102" s="697">
        <v>672</v>
      </c>
      <c r="C102" s="697">
        <v>116</v>
      </c>
      <c r="D102" s="697">
        <v>553</v>
      </c>
      <c r="E102" s="697"/>
      <c r="F102" s="697">
        <v>64</v>
      </c>
      <c r="G102" s="697"/>
      <c r="H102" s="697">
        <v>1405</v>
      </c>
      <c r="I102" s="697"/>
      <c r="J102" s="697">
        <v>403</v>
      </c>
      <c r="K102" s="697">
        <v>356</v>
      </c>
      <c r="L102" s="697"/>
      <c r="M102" s="697"/>
      <c r="N102" s="697">
        <v>759</v>
      </c>
      <c r="O102" s="697">
        <v>0</v>
      </c>
      <c r="P102" s="697">
        <v>0</v>
      </c>
      <c r="Q102" s="697">
        <v>0</v>
      </c>
    </row>
    <row r="103" spans="1:17" x14ac:dyDescent="0.2">
      <c r="A103" s="696" t="s">
        <v>302</v>
      </c>
      <c r="B103" s="697">
        <v>583</v>
      </c>
      <c r="C103" s="697">
        <v>126</v>
      </c>
      <c r="D103" s="697">
        <v>694</v>
      </c>
      <c r="E103" s="697"/>
      <c r="F103" s="697">
        <v>79</v>
      </c>
      <c r="G103" s="697"/>
      <c r="H103" s="697">
        <v>1482</v>
      </c>
      <c r="I103" s="697"/>
      <c r="J103" s="697">
        <v>178</v>
      </c>
      <c r="K103" s="697">
        <v>181</v>
      </c>
      <c r="L103" s="697"/>
      <c r="M103" s="697"/>
      <c r="N103" s="697">
        <v>359</v>
      </c>
      <c r="O103" s="697">
        <v>0</v>
      </c>
      <c r="P103" s="697">
        <v>0</v>
      </c>
      <c r="Q103" s="697">
        <v>0</v>
      </c>
    </row>
    <row r="104" spans="1:17" x14ac:dyDescent="0.2">
      <c r="A104" s="696" t="s">
        <v>306</v>
      </c>
      <c r="B104" s="697">
        <v>171</v>
      </c>
      <c r="C104" s="697">
        <v>12</v>
      </c>
      <c r="D104" s="697">
        <v>268</v>
      </c>
      <c r="E104" s="697"/>
      <c r="F104" s="697">
        <v>19</v>
      </c>
      <c r="G104" s="697"/>
      <c r="H104" s="697">
        <v>470</v>
      </c>
      <c r="I104" s="697"/>
      <c r="J104" s="697">
        <v>295</v>
      </c>
      <c r="K104" s="697">
        <v>165</v>
      </c>
      <c r="L104" s="697"/>
      <c r="M104" s="697"/>
      <c r="N104" s="697">
        <v>460</v>
      </c>
      <c r="O104" s="697">
        <v>0</v>
      </c>
      <c r="P104" s="697">
        <v>0</v>
      </c>
      <c r="Q104" s="697">
        <v>0</v>
      </c>
    </row>
    <row r="105" spans="1:17" x14ac:dyDescent="0.2">
      <c r="A105" s="696" t="s">
        <v>310</v>
      </c>
      <c r="B105" s="697">
        <v>293</v>
      </c>
      <c r="C105" s="697">
        <v>61</v>
      </c>
      <c r="D105" s="697">
        <v>151</v>
      </c>
      <c r="E105" s="697"/>
      <c r="F105" s="697">
        <v>34</v>
      </c>
      <c r="G105" s="697"/>
      <c r="H105" s="697">
        <v>539</v>
      </c>
      <c r="I105" s="697"/>
      <c r="J105" s="697">
        <v>0</v>
      </c>
      <c r="K105" s="697">
        <v>0</v>
      </c>
      <c r="L105" s="697"/>
      <c r="M105" s="697"/>
      <c r="N105" s="697">
        <v>0</v>
      </c>
      <c r="O105" s="697">
        <v>0</v>
      </c>
      <c r="P105" s="697">
        <v>0</v>
      </c>
      <c r="Q105" s="697">
        <v>0</v>
      </c>
    </row>
    <row r="106" spans="1:17" x14ac:dyDescent="0.2">
      <c r="A106" s="696" t="s">
        <v>314</v>
      </c>
      <c r="B106" s="697">
        <v>0</v>
      </c>
      <c r="C106" s="697">
        <v>0</v>
      </c>
      <c r="D106" s="697">
        <v>0</v>
      </c>
      <c r="E106" s="697"/>
      <c r="F106" s="697">
        <v>0</v>
      </c>
      <c r="G106" s="697"/>
      <c r="H106" s="697">
        <v>0</v>
      </c>
      <c r="I106" s="697"/>
      <c r="J106" s="697">
        <v>0</v>
      </c>
      <c r="K106" s="697">
        <v>0</v>
      </c>
      <c r="L106" s="697"/>
      <c r="M106" s="697"/>
      <c r="N106" s="697">
        <v>0</v>
      </c>
      <c r="O106" s="697">
        <v>37</v>
      </c>
      <c r="P106" s="697">
        <v>421</v>
      </c>
      <c r="Q106" s="697">
        <v>458</v>
      </c>
    </row>
    <row r="107" spans="1:17" x14ac:dyDescent="0.2">
      <c r="A107" s="696" t="s">
        <v>318</v>
      </c>
      <c r="B107" s="697">
        <v>2511</v>
      </c>
      <c r="C107" s="697">
        <v>417</v>
      </c>
      <c r="D107" s="697">
        <v>2523</v>
      </c>
      <c r="E107" s="697"/>
      <c r="F107" s="697">
        <v>272</v>
      </c>
      <c r="G107" s="697"/>
      <c r="H107" s="697">
        <v>5723</v>
      </c>
      <c r="I107" s="697"/>
      <c r="J107" s="697">
        <v>988</v>
      </c>
      <c r="K107" s="697">
        <v>801</v>
      </c>
      <c r="L107" s="697"/>
      <c r="M107" s="697"/>
      <c r="N107" s="697">
        <v>1789</v>
      </c>
      <c r="O107" s="697">
        <v>37</v>
      </c>
      <c r="P107" s="697">
        <v>421</v>
      </c>
      <c r="Q107" s="697">
        <v>458</v>
      </c>
    </row>
    <row r="108" spans="1:17" x14ac:dyDescent="0.2">
      <c r="A108" s="695" t="s">
        <v>43</v>
      </c>
      <c r="B108" s="697"/>
      <c r="C108" s="697"/>
      <c r="D108" s="697"/>
      <c r="E108" s="697"/>
      <c r="F108" s="697"/>
      <c r="G108" s="697"/>
      <c r="H108" s="697"/>
      <c r="I108" s="697"/>
      <c r="J108" s="697"/>
      <c r="K108" s="697"/>
      <c r="L108" s="697"/>
      <c r="M108" s="697"/>
      <c r="N108" s="697"/>
      <c r="O108" s="697"/>
      <c r="P108" s="697"/>
      <c r="Q108" s="697"/>
    </row>
    <row r="109" spans="1:17" x14ac:dyDescent="0.2">
      <c r="A109" s="696" t="s">
        <v>293</v>
      </c>
      <c r="B109" s="697">
        <v>3200</v>
      </c>
      <c r="C109" s="697">
        <v>388</v>
      </c>
      <c r="D109" s="697">
        <v>1602</v>
      </c>
      <c r="E109" s="697">
        <v>48</v>
      </c>
      <c r="F109" s="697">
        <v>56</v>
      </c>
      <c r="G109" s="697">
        <v>27</v>
      </c>
      <c r="H109" s="697">
        <v>5321</v>
      </c>
      <c r="I109" s="697">
        <v>62</v>
      </c>
      <c r="J109" s="697">
        <v>1680</v>
      </c>
      <c r="K109" s="697">
        <v>403</v>
      </c>
      <c r="L109" s="697">
        <v>55</v>
      </c>
      <c r="M109" s="697"/>
      <c r="N109" s="697">
        <v>2200</v>
      </c>
      <c r="O109" s="697"/>
      <c r="P109" s="697"/>
      <c r="Q109" s="697"/>
    </row>
    <row r="110" spans="1:17" x14ac:dyDescent="0.2">
      <c r="A110" s="696" t="s">
        <v>298</v>
      </c>
      <c r="B110" s="697">
        <v>2392</v>
      </c>
      <c r="C110" s="697">
        <v>483</v>
      </c>
      <c r="D110" s="697">
        <v>1814</v>
      </c>
      <c r="E110" s="697">
        <v>51</v>
      </c>
      <c r="F110" s="697">
        <v>104</v>
      </c>
      <c r="G110" s="697">
        <v>14</v>
      </c>
      <c r="H110" s="697">
        <v>4858</v>
      </c>
      <c r="I110" s="697">
        <v>74</v>
      </c>
      <c r="J110" s="697">
        <v>930</v>
      </c>
      <c r="K110" s="697">
        <v>148</v>
      </c>
      <c r="L110" s="697">
        <v>23</v>
      </c>
      <c r="M110" s="697"/>
      <c r="N110" s="697">
        <v>1175</v>
      </c>
      <c r="O110" s="697"/>
      <c r="P110" s="697"/>
      <c r="Q110" s="697"/>
    </row>
    <row r="111" spans="1:17" x14ac:dyDescent="0.2">
      <c r="A111" s="696" t="s">
        <v>302</v>
      </c>
      <c r="B111" s="697">
        <v>1947</v>
      </c>
      <c r="C111" s="697">
        <v>390</v>
      </c>
      <c r="D111" s="697">
        <v>2060</v>
      </c>
      <c r="E111" s="697">
        <v>70</v>
      </c>
      <c r="F111" s="697">
        <v>86</v>
      </c>
      <c r="G111" s="697">
        <v>15</v>
      </c>
      <c r="H111" s="697">
        <v>4568</v>
      </c>
      <c r="I111" s="697">
        <v>80</v>
      </c>
      <c r="J111" s="697">
        <v>768</v>
      </c>
      <c r="K111" s="697">
        <v>155</v>
      </c>
      <c r="L111" s="697">
        <v>34</v>
      </c>
      <c r="M111" s="697"/>
      <c r="N111" s="697">
        <v>1037</v>
      </c>
      <c r="O111" s="697"/>
      <c r="P111" s="697"/>
      <c r="Q111" s="697"/>
    </row>
    <row r="112" spans="1:17" x14ac:dyDescent="0.2">
      <c r="A112" s="696" t="s">
        <v>306</v>
      </c>
      <c r="B112" s="697">
        <v>306</v>
      </c>
      <c r="C112" s="697">
        <v>11</v>
      </c>
      <c r="D112" s="697">
        <v>434</v>
      </c>
      <c r="E112" s="697">
        <v>9</v>
      </c>
      <c r="F112" s="697">
        <v>3</v>
      </c>
      <c r="G112" s="697">
        <v>0</v>
      </c>
      <c r="H112" s="697">
        <v>763</v>
      </c>
      <c r="I112" s="697">
        <v>498</v>
      </c>
      <c r="J112" s="697">
        <v>2421</v>
      </c>
      <c r="K112" s="697">
        <v>1147</v>
      </c>
      <c r="L112" s="697">
        <v>300</v>
      </c>
      <c r="M112" s="697"/>
      <c r="N112" s="697">
        <v>4366</v>
      </c>
      <c r="O112" s="697"/>
      <c r="P112" s="697"/>
      <c r="Q112" s="697"/>
    </row>
    <row r="113" spans="1:17" x14ac:dyDescent="0.2">
      <c r="A113" s="696" t="s">
        <v>310</v>
      </c>
      <c r="B113" s="697">
        <v>1804</v>
      </c>
      <c r="C113" s="697">
        <v>683</v>
      </c>
      <c r="D113" s="697">
        <v>1241</v>
      </c>
      <c r="E113" s="697">
        <v>15</v>
      </c>
      <c r="F113" s="697">
        <v>60</v>
      </c>
      <c r="G113" s="697">
        <v>45</v>
      </c>
      <c r="H113" s="697">
        <v>3848</v>
      </c>
      <c r="I113" s="697">
        <v>0</v>
      </c>
      <c r="J113" s="697">
        <v>75</v>
      </c>
      <c r="K113" s="697">
        <v>0</v>
      </c>
      <c r="L113" s="697">
        <v>0</v>
      </c>
      <c r="M113" s="697"/>
      <c r="N113" s="697">
        <v>75</v>
      </c>
      <c r="O113" s="697"/>
      <c r="P113" s="697"/>
      <c r="Q113" s="697"/>
    </row>
    <row r="114" spans="1:17" x14ac:dyDescent="0.2">
      <c r="A114" s="696" t="s">
        <v>314</v>
      </c>
      <c r="B114" s="697">
        <v>0</v>
      </c>
      <c r="C114" s="697">
        <v>0</v>
      </c>
      <c r="D114" s="697">
        <v>0</v>
      </c>
      <c r="E114" s="697">
        <v>0</v>
      </c>
      <c r="F114" s="697">
        <v>0</v>
      </c>
      <c r="G114" s="697">
        <v>0</v>
      </c>
      <c r="H114" s="697">
        <v>0</v>
      </c>
      <c r="I114" s="697">
        <v>10</v>
      </c>
      <c r="J114" s="697">
        <v>2466</v>
      </c>
      <c r="K114" s="697">
        <v>677</v>
      </c>
      <c r="L114" s="697">
        <v>15</v>
      </c>
      <c r="M114" s="697"/>
      <c r="N114" s="697">
        <v>3168</v>
      </c>
      <c r="O114" s="697"/>
      <c r="P114" s="697"/>
      <c r="Q114" s="697"/>
    </row>
    <row r="115" spans="1:17" x14ac:dyDescent="0.2">
      <c r="A115" s="696" t="s">
        <v>318</v>
      </c>
      <c r="B115" s="697">
        <v>9649</v>
      </c>
      <c r="C115" s="697">
        <v>1955</v>
      </c>
      <c r="D115" s="697">
        <v>7151</v>
      </c>
      <c r="E115" s="697">
        <v>193</v>
      </c>
      <c r="F115" s="697">
        <v>309</v>
      </c>
      <c r="G115" s="697">
        <v>101</v>
      </c>
      <c r="H115" s="697">
        <v>19358</v>
      </c>
      <c r="I115" s="697">
        <v>724</v>
      </c>
      <c r="J115" s="697">
        <v>8340</v>
      </c>
      <c r="K115" s="697">
        <v>2530</v>
      </c>
      <c r="L115" s="697">
        <v>427</v>
      </c>
      <c r="M115" s="697"/>
      <c r="N115" s="697">
        <v>12021</v>
      </c>
      <c r="O115" s="697"/>
      <c r="P115" s="697"/>
      <c r="Q115" s="697"/>
    </row>
    <row r="116" spans="1:17" x14ac:dyDescent="0.2">
      <c r="A116" s="695" t="s">
        <v>44</v>
      </c>
      <c r="B116" s="697"/>
      <c r="C116" s="697"/>
      <c r="D116" s="697"/>
      <c r="E116" s="697"/>
      <c r="F116" s="697"/>
      <c r="G116" s="697"/>
      <c r="H116" s="697"/>
      <c r="I116" s="697"/>
      <c r="J116" s="697"/>
      <c r="K116" s="697"/>
      <c r="L116" s="697"/>
      <c r="M116" s="697"/>
      <c r="N116" s="697"/>
      <c r="O116" s="697"/>
      <c r="P116" s="697"/>
      <c r="Q116" s="697"/>
    </row>
    <row r="117" spans="1:17" x14ac:dyDescent="0.2">
      <c r="A117" s="696" t="s">
        <v>293</v>
      </c>
      <c r="B117" s="697">
        <v>1539</v>
      </c>
      <c r="C117" s="697">
        <v>432</v>
      </c>
      <c r="D117" s="697">
        <v>350</v>
      </c>
      <c r="E117" s="697">
        <v>215</v>
      </c>
      <c r="F117" s="697">
        <v>117</v>
      </c>
      <c r="G117" s="697">
        <v>15</v>
      </c>
      <c r="H117" s="697">
        <v>2668</v>
      </c>
      <c r="I117" s="697"/>
      <c r="J117" s="697">
        <v>0</v>
      </c>
      <c r="K117" s="697">
        <v>0</v>
      </c>
      <c r="L117" s="697">
        <v>11</v>
      </c>
      <c r="M117" s="697">
        <v>443</v>
      </c>
      <c r="N117" s="697">
        <v>454</v>
      </c>
      <c r="O117" s="697"/>
      <c r="P117" s="697"/>
      <c r="Q117" s="697"/>
    </row>
    <row r="118" spans="1:17" x14ac:dyDescent="0.2">
      <c r="A118" s="696" t="s">
        <v>298</v>
      </c>
      <c r="B118" s="697">
        <v>1334</v>
      </c>
      <c r="C118" s="697">
        <v>510</v>
      </c>
      <c r="D118" s="697">
        <v>295</v>
      </c>
      <c r="E118" s="697">
        <v>283</v>
      </c>
      <c r="F118" s="697">
        <v>167</v>
      </c>
      <c r="G118" s="697">
        <v>31</v>
      </c>
      <c r="H118" s="697">
        <v>2620</v>
      </c>
      <c r="I118" s="697"/>
      <c r="J118" s="697">
        <v>0</v>
      </c>
      <c r="K118" s="697">
        <v>0</v>
      </c>
      <c r="L118" s="697">
        <v>13</v>
      </c>
      <c r="M118" s="697">
        <v>699</v>
      </c>
      <c r="N118" s="697">
        <v>712</v>
      </c>
      <c r="O118" s="697"/>
      <c r="P118" s="697"/>
      <c r="Q118" s="697"/>
    </row>
    <row r="119" spans="1:17" x14ac:dyDescent="0.2">
      <c r="A119" s="696" t="s">
        <v>302</v>
      </c>
      <c r="B119" s="697">
        <v>1019</v>
      </c>
      <c r="C119" s="697">
        <v>540</v>
      </c>
      <c r="D119" s="697">
        <v>360</v>
      </c>
      <c r="E119" s="697">
        <v>275</v>
      </c>
      <c r="F119" s="697">
        <v>117</v>
      </c>
      <c r="G119" s="697">
        <v>15</v>
      </c>
      <c r="H119" s="697">
        <v>2326</v>
      </c>
      <c r="I119" s="697"/>
      <c r="J119" s="697">
        <v>0</v>
      </c>
      <c r="K119" s="697">
        <v>0</v>
      </c>
      <c r="L119" s="697">
        <v>10</v>
      </c>
      <c r="M119" s="697">
        <v>678</v>
      </c>
      <c r="N119" s="697">
        <v>688</v>
      </c>
      <c r="O119" s="697"/>
      <c r="P119" s="697"/>
      <c r="Q119" s="697"/>
    </row>
    <row r="120" spans="1:17" x14ac:dyDescent="0.2">
      <c r="A120" s="696" t="s">
        <v>306</v>
      </c>
      <c r="B120" s="697">
        <v>302</v>
      </c>
      <c r="C120" s="697">
        <v>245</v>
      </c>
      <c r="D120" s="697">
        <v>181</v>
      </c>
      <c r="E120" s="697">
        <v>85</v>
      </c>
      <c r="F120" s="697">
        <v>37</v>
      </c>
      <c r="G120" s="697">
        <v>25</v>
      </c>
      <c r="H120" s="697">
        <v>875</v>
      </c>
      <c r="I120" s="697"/>
      <c r="J120" s="697">
        <v>0</v>
      </c>
      <c r="K120" s="697">
        <v>0</v>
      </c>
      <c r="L120" s="697">
        <v>0</v>
      </c>
      <c r="M120" s="697">
        <v>520</v>
      </c>
      <c r="N120" s="697">
        <v>520</v>
      </c>
      <c r="O120" s="697"/>
      <c r="P120" s="697"/>
      <c r="Q120" s="697"/>
    </row>
    <row r="121" spans="1:17" x14ac:dyDescent="0.2">
      <c r="A121" s="696" t="s">
        <v>310</v>
      </c>
      <c r="B121" s="697">
        <v>238</v>
      </c>
      <c r="C121" s="697">
        <v>10</v>
      </c>
      <c r="D121" s="697">
        <v>0</v>
      </c>
      <c r="E121" s="697">
        <v>4</v>
      </c>
      <c r="F121" s="697">
        <v>54</v>
      </c>
      <c r="G121" s="697">
        <v>1</v>
      </c>
      <c r="H121" s="697">
        <v>307</v>
      </c>
      <c r="I121" s="697"/>
      <c r="J121" s="697">
        <v>0</v>
      </c>
      <c r="K121" s="697">
        <v>0</v>
      </c>
      <c r="L121" s="697">
        <v>0</v>
      </c>
      <c r="M121" s="697">
        <v>2</v>
      </c>
      <c r="N121" s="697">
        <v>2</v>
      </c>
      <c r="O121" s="697"/>
      <c r="P121" s="697"/>
      <c r="Q121" s="697"/>
    </row>
    <row r="122" spans="1:17" x14ac:dyDescent="0.2">
      <c r="A122" s="696" t="s">
        <v>314</v>
      </c>
      <c r="B122" s="697">
        <v>0</v>
      </c>
      <c r="C122" s="697">
        <v>0</v>
      </c>
      <c r="D122" s="697">
        <v>0</v>
      </c>
      <c r="E122" s="697">
        <v>0</v>
      </c>
      <c r="F122" s="697">
        <v>0</v>
      </c>
      <c r="G122" s="697">
        <v>0</v>
      </c>
      <c r="H122" s="697">
        <v>0</v>
      </c>
      <c r="I122" s="697"/>
      <c r="J122" s="697">
        <v>0</v>
      </c>
      <c r="K122" s="697">
        <v>0</v>
      </c>
      <c r="L122" s="697">
        <v>0</v>
      </c>
      <c r="M122" s="697">
        <v>0</v>
      </c>
      <c r="N122" s="697">
        <v>0</v>
      </c>
      <c r="O122" s="697"/>
      <c r="P122" s="697"/>
      <c r="Q122" s="697"/>
    </row>
    <row r="123" spans="1:17" x14ac:dyDescent="0.2">
      <c r="A123" s="696" t="s">
        <v>318</v>
      </c>
      <c r="B123" s="697">
        <v>4432</v>
      </c>
      <c r="C123" s="697">
        <v>1737</v>
      </c>
      <c r="D123" s="697">
        <v>1186</v>
      </c>
      <c r="E123" s="697">
        <v>862</v>
      </c>
      <c r="F123" s="697">
        <v>492</v>
      </c>
      <c r="G123" s="697">
        <v>87</v>
      </c>
      <c r="H123" s="697">
        <v>8796</v>
      </c>
      <c r="I123" s="697"/>
      <c r="J123" s="697">
        <v>0</v>
      </c>
      <c r="K123" s="697">
        <v>0</v>
      </c>
      <c r="L123" s="697">
        <v>34</v>
      </c>
      <c r="M123" s="697">
        <v>2342</v>
      </c>
      <c r="N123" s="697">
        <v>2376</v>
      </c>
      <c r="O123" s="697"/>
      <c r="P123" s="697"/>
      <c r="Q123" s="697"/>
    </row>
    <row r="124" spans="1:17" x14ac:dyDescent="0.2">
      <c r="A124" s="695" t="s">
        <v>45</v>
      </c>
      <c r="B124" s="697"/>
      <c r="C124" s="697"/>
      <c r="D124" s="697"/>
      <c r="E124" s="697"/>
      <c r="F124" s="697"/>
      <c r="G124" s="697"/>
      <c r="H124" s="697"/>
      <c r="I124" s="697"/>
      <c r="J124" s="697"/>
      <c r="K124" s="697"/>
      <c r="L124" s="697"/>
      <c r="M124" s="697"/>
      <c r="N124" s="697"/>
      <c r="O124" s="697"/>
      <c r="P124" s="697"/>
      <c r="Q124" s="697"/>
    </row>
    <row r="125" spans="1:17" x14ac:dyDescent="0.2">
      <c r="A125" s="696" t="s">
        <v>293</v>
      </c>
      <c r="B125" s="697">
        <v>292</v>
      </c>
      <c r="C125" s="697"/>
      <c r="D125" s="697">
        <v>203</v>
      </c>
      <c r="E125" s="697"/>
      <c r="F125" s="697">
        <v>86</v>
      </c>
      <c r="G125" s="697">
        <v>133</v>
      </c>
      <c r="H125" s="697">
        <v>714</v>
      </c>
      <c r="I125" s="697">
        <v>41</v>
      </c>
      <c r="J125" s="697"/>
      <c r="K125" s="697">
        <v>36</v>
      </c>
      <c r="L125" s="697">
        <v>40</v>
      </c>
      <c r="M125" s="697"/>
      <c r="N125" s="697">
        <v>117</v>
      </c>
      <c r="O125" s="697"/>
      <c r="P125" s="697"/>
      <c r="Q125" s="697"/>
    </row>
    <row r="126" spans="1:17" x14ac:dyDescent="0.2">
      <c r="A126" s="696" t="s">
        <v>298</v>
      </c>
      <c r="B126" s="697">
        <v>262</v>
      </c>
      <c r="C126" s="697"/>
      <c r="D126" s="697">
        <v>118</v>
      </c>
      <c r="E126" s="697"/>
      <c r="F126" s="697">
        <v>77</v>
      </c>
      <c r="G126" s="697">
        <v>149</v>
      </c>
      <c r="H126" s="697">
        <v>606</v>
      </c>
      <c r="I126" s="697">
        <v>11</v>
      </c>
      <c r="J126" s="697"/>
      <c r="K126" s="697">
        <v>20</v>
      </c>
      <c r="L126" s="697">
        <v>37</v>
      </c>
      <c r="M126" s="697"/>
      <c r="N126" s="697">
        <v>68</v>
      </c>
      <c r="O126" s="697"/>
      <c r="P126" s="697"/>
      <c r="Q126" s="697"/>
    </row>
    <row r="127" spans="1:17" x14ac:dyDescent="0.2">
      <c r="A127" s="696" t="s">
        <v>302</v>
      </c>
      <c r="B127" s="697">
        <v>360</v>
      </c>
      <c r="C127" s="697"/>
      <c r="D127" s="697">
        <v>117</v>
      </c>
      <c r="E127" s="697"/>
      <c r="F127" s="697">
        <v>109</v>
      </c>
      <c r="G127" s="697">
        <v>213</v>
      </c>
      <c r="H127" s="697">
        <v>799</v>
      </c>
      <c r="I127" s="697">
        <v>31</v>
      </c>
      <c r="J127" s="697"/>
      <c r="K127" s="697">
        <v>45</v>
      </c>
      <c r="L127" s="697">
        <v>79</v>
      </c>
      <c r="M127" s="697"/>
      <c r="N127" s="697">
        <v>155</v>
      </c>
      <c r="O127" s="697"/>
      <c r="P127" s="697"/>
      <c r="Q127" s="697"/>
    </row>
    <row r="128" spans="1:17" x14ac:dyDescent="0.2">
      <c r="A128" s="696" t="s">
        <v>306</v>
      </c>
      <c r="B128" s="697">
        <v>51</v>
      </c>
      <c r="C128" s="697"/>
      <c r="D128" s="697">
        <v>62</v>
      </c>
      <c r="E128" s="697"/>
      <c r="F128" s="697">
        <v>15</v>
      </c>
      <c r="G128" s="697">
        <v>79</v>
      </c>
      <c r="H128" s="697">
        <v>207</v>
      </c>
      <c r="I128" s="697">
        <v>37</v>
      </c>
      <c r="J128" s="697"/>
      <c r="K128" s="697">
        <v>72</v>
      </c>
      <c r="L128" s="697">
        <v>77</v>
      </c>
      <c r="M128" s="697"/>
      <c r="N128" s="697">
        <v>186</v>
      </c>
      <c r="O128" s="697"/>
      <c r="P128" s="697"/>
      <c r="Q128" s="697"/>
    </row>
    <row r="129" spans="1:17" x14ac:dyDescent="0.2">
      <c r="A129" s="696" t="s">
        <v>310</v>
      </c>
      <c r="B129" s="697">
        <v>25</v>
      </c>
      <c r="C129" s="697"/>
      <c r="D129" s="697">
        <v>0</v>
      </c>
      <c r="E129" s="697"/>
      <c r="F129" s="697">
        <v>16</v>
      </c>
      <c r="G129" s="697">
        <v>20</v>
      </c>
      <c r="H129" s="697">
        <v>61</v>
      </c>
      <c r="I129" s="697">
        <v>12</v>
      </c>
      <c r="J129" s="697"/>
      <c r="K129" s="697">
        <v>2</v>
      </c>
      <c r="L129" s="697">
        <v>33</v>
      </c>
      <c r="M129" s="697"/>
      <c r="N129" s="697">
        <v>47</v>
      </c>
      <c r="O129" s="697"/>
      <c r="P129" s="697"/>
      <c r="Q129" s="697"/>
    </row>
    <row r="130" spans="1:17" x14ac:dyDescent="0.2">
      <c r="A130" s="696" t="s">
        <v>314</v>
      </c>
      <c r="B130" s="697">
        <v>0</v>
      </c>
      <c r="C130" s="697"/>
      <c r="D130" s="697">
        <v>0</v>
      </c>
      <c r="E130" s="697"/>
      <c r="F130" s="697">
        <v>0</v>
      </c>
      <c r="G130" s="697">
        <v>0</v>
      </c>
      <c r="H130" s="697">
        <v>0</v>
      </c>
      <c r="I130" s="697">
        <v>0</v>
      </c>
      <c r="J130" s="697"/>
      <c r="K130" s="697">
        <v>0</v>
      </c>
      <c r="L130" s="697">
        <v>0</v>
      </c>
      <c r="M130" s="697"/>
      <c r="N130" s="697">
        <v>0</v>
      </c>
      <c r="O130" s="697"/>
      <c r="P130" s="697"/>
      <c r="Q130" s="697"/>
    </row>
    <row r="131" spans="1:17" x14ac:dyDescent="0.2">
      <c r="A131" s="696" t="s">
        <v>318</v>
      </c>
      <c r="B131" s="697">
        <v>990</v>
      </c>
      <c r="C131" s="697"/>
      <c r="D131" s="697">
        <v>500</v>
      </c>
      <c r="E131" s="697"/>
      <c r="F131" s="697">
        <v>303</v>
      </c>
      <c r="G131" s="697">
        <v>594</v>
      </c>
      <c r="H131" s="697">
        <v>2387</v>
      </c>
      <c r="I131" s="697">
        <v>132</v>
      </c>
      <c r="J131" s="697"/>
      <c r="K131" s="697">
        <v>175</v>
      </c>
      <c r="L131" s="697">
        <v>266</v>
      </c>
      <c r="M131" s="697"/>
      <c r="N131" s="697">
        <v>573</v>
      </c>
      <c r="O131" s="697"/>
      <c r="P131" s="697"/>
      <c r="Q131" s="697"/>
    </row>
    <row r="132" spans="1:17" x14ac:dyDescent="0.2">
      <c r="A132" s="695" t="s">
        <v>294</v>
      </c>
      <c r="B132" s="697">
        <v>15271</v>
      </c>
      <c r="C132" s="697">
        <v>3057</v>
      </c>
      <c r="D132" s="697">
        <v>6496</v>
      </c>
      <c r="E132" s="697">
        <v>1912</v>
      </c>
      <c r="F132" s="697">
        <v>990</v>
      </c>
      <c r="G132" s="697">
        <v>590</v>
      </c>
      <c r="H132" s="697">
        <v>28316</v>
      </c>
      <c r="I132" s="697">
        <v>185</v>
      </c>
      <c r="J132" s="697">
        <v>2733</v>
      </c>
      <c r="K132" s="697">
        <v>1163</v>
      </c>
      <c r="L132" s="697">
        <v>219</v>
      </c>
      <c r="M132" s="697">
        <v>443</v>
      </c>
      <c r="N132" s="697">
        <v>4743</v>
      </c>
      <c r="O132" s="697">
        <v>97</v>
      </c>
      <c r="P132" s="697">
        <v>0</v>
      </c>
      <c r="Q132" s="697">
        <v>97</v>
      </c>
    </row>
    <row r="133" spans="1:17" x14ac:dyDescent="0.2">
      <c r="A133" s="695" t="s">
        <v>297</v>
      </c>
      <c r="B133" s="697">
        <v>12549</v>
      </c>
      <c r="C133" s="697">
        <v>3578</v>
      </c>
      <c r="D133" s="697">
        <v>6813</v>
      </c>
      <c r="E133" s="697">
        <v>2301</v>
      </c>
      <c r="F133" s="697">
        <v>1278</v>
      </c>
      <c r="G133" s="697">
        <v>810</v>
      </c>
      <c r="H133" s="697">
        <v>27329</v>
      </c>
      <c r="I133" s="697">
        <v>218</v>
      </c>
      <c r="J133" s="697">
        <v>2310</v>
      </c>
      <c r="K133" s="697">
        <v>1203</v>
      </c>
      <c r="L133" s="697">
        <v>208</v>
      </c>
      <c r="M133" s="697">
        <v>699</v>
      </c>
      <c r="N133" s="697">
        <v>4638</v>
      </c>
      <c r="O133" s="697">
        <v>60</v>
      </c>
      <c r="P133" s="697">
        <v>0</v>
      </c>
      <c r="Q133" s="697">
        <v>60</v>
      </c>
    </row>
    <row r="134" spans="1:17" x14ac:dyDescent="0.2">
      <c r="A134" s="695" t="s">
        <v>301</v>
      </c>
      <c r="B134" s="697">
        <v>10755</v>
      </c>
      <c r="C134" s="697">
        <v>3150</v>
      </c>
      <c r="D134" s="697">
        <v>7736</v>
      </c>
      <c r="E134" s="697">
        <v>3029</v>
      </c>
      <c r="F134" s="697">
        <v>1573</v>
      </c>
      <c r="G134" s="697">
        <v>1154</v>
      </c>
      <c r="H134" s="697">
        <v>27397</v>
      </c>
      <c r="I134" s="697">
        <v>295</v>
      </c>
      <c r="J134" s="697">
        <v>1768</v>
      </c>
      <c r="K134" s="697">
        <v>1162</v>
      </c>
      <c r="L134" s="697">
        <v>337</v>
      </c>
      <c r="M134" s="697">
        <v>678</v>
      </c>
      <c r="N134" s="697">
        <v>4240</v>
      </c>
      <c r="O134" s="697">
        <v>76</v>
      </c>
      <c r="P134" s="697">
        <v>0</v>
      </c>
      <c r="Q134" s="697">
        <v>76</v>
      </c>
    </row>
    <row r="135" spans="1:17" x14ac:dyDescent="0.2">
      <c r="A135" s="695" t="s">
        <v>305</v>
      </c>
      <c r="B135" s="697">
        <v>3326</v>
      </c>
      <c r="C135" s="697">
        <v>1133</v>
      </c>
      <c r="D135" s="697">
        <v>2925</v>
      </c>
      <c r="E135" s="697">
        <v>1010</v>
      </c>
      <c r="F135" s="697">
        <v>586</v>
      </c>
      <c r="G135" s="697">
        <v>477</v>
      </c>
      <c r="H135" s="697">
        <v>9457</v>
      </c>
      <c r="I135" s="697">
        <v>569</v>
      </c>
      <c r="J135" s="697">
        <v>3479</v>
      </c>
      <c r="K135" s="697">
        <v>2078</v>
      </c>
      <c r="L135" s="697">
        <v>685</v>
      </c>
      <c r="M135" s="697">
        <v>520</v>
      </c>
      <c r="N135" s="697">
        <v>7331</v>
      </c>
      <c r="O135" s="697">
        <v>536</v>
      </c>
      <c r="P135" s="697">
        <v>0</v>
      </c>
      <c r="Q135" s="697">
        <v>536</v>
      </c>
    </row>
    <row r="136" spans="1:17" x14ac:dyDescent="0.2">
      <c r="A136" s="695" t="s">
        <v>309</v>
      </c>
      <c r="B136" s="697">
        <v>4883</v>
      </c>
      <c r="C136" s="697">
        <v>1700</v>
      </c>
      <c r="D136" s="697">
        <v>2659</v>
      </c>
      <c r="E136" s="697">
        <v>656</v>
      </c>
      <c r="F136" s="697">
        <v>488</v>
      </c>
      <c r="G136" s="697">
        <v>167</v>
      </c>
      <c r="H136" s="697">
        <v>10553</v>
      </c>
      <c r="I136" s="697">
        <v>46</v>
      </c>
      <c r="J136" s="697">
        <v>1578</v>
      </c>
      <c r="K136" s="697">
        <v>515</v>
      </c>
      <c r="L136" s="697">
        <v>170</v>
      </c>
      <c r="M136" s="697">
        <v>2</v>
      </c>
      <c r="N136" s="697">
        <v>2311</v>
      </c>
      <c r="O136" s="697">
        <v>80</v>
      </c>
      <c r="P136" s="697">
        <v>0</v>
      </c>
      <c r="Q136" s="697">
        <v>80</v>
      </c>
    </row>
    <row r="137" spans="1:17" x14ac:dyDescent="0.2">
      <c r="A137" s="695" t="s">
        <v>313</v>
      </c>
      <c r="B137" s="697">
        <v>0</v>
      </c>
      <c r="C137" s="697">
        <v>0</v>
      </c>
      <c r="D137" s="697">
        <v>0</v>
      </c>
      <c r="E137" s="697">
        <v>0</v>
      </c>
      <c r="F137" s="697">
        <v>0</v>
      </c>
      <c r="G137" s="697">
        <v>0</v>
      </c>
      <c r="H137" s="697">
        <v>0</v>
      </c>
      <c r="I137" s="697">
        <v>2452</v>
      </c>
      <c r="J137" s="697">
        <v>10808.9</v>
      </c>
      <c r="K137" s="697">
        <v>6199</v>
      </c>
      <c r="L137" s="697">
        <v>2710</v>
      </c>
      <c r="M137" s="697">
        <v>0</v>
      </c>
      <c r="N137" s="697">
        <v>22169.9</v>
      </c>
      <c r="O137" s="697">
        <v>2600</v>
      </c>
      <c r="P137" s="697">
        <v>1426</v>
      </c>
      <c r="Q137" s="697">
        <v>4026</v>
      </c>
    </row>
    <row r="138" spans="1:17" x14ac:dyDescent="0.2">
      <c r="A138" s="695" t="s">
        <v>317</v>
      </c>
      <c r="B138" s="697">
        <v>46784</v>
      </c>
      <c r="C138" s="697">
        <v>12618</v>
      </c>
      <c r="D138" s="697">
        <v>26629</v>
      </c>
      <c r="E138" s="697">
        <v>8908</v>
      </c>
      <c r="F138" s="697">
        <v>4915</v>
      </c>
      <c r="G138" s="697">
        <v>3198</v>
      </c>
      <c r="H138" s="697">
        <v>103052</v>
      </c>
      <c r="I138" s="697">
        <v>3765</v>
      </c>
      <c r="J138" s="697">
        <v>22676.9</v>
      </c>
      <c r="K138" s="697">
        <v>12320</v>
      </c>
      <c r="L138" s="697">
        <v>4329</v>
      </c>
      <c r="M138" s="697">
        <v>2342</v>
      </c>
      <c r="N138" s="697">
        <v>45432.9</v>
      </c>
      <c r="O138" s="697">
        <v>3449</v>
      </c>
      <c r="P138" s="697">
        <v>1426</v>
      </c>
      <c r="Q138" s="697">
        <v>4875</v>
      </c>
    </row>
    <row r="139" spans="1:17" ht="15.75" x14ac:dyDescent="0.25">
      <c r="A139"/>
      <c r="B139"/>
      <c r="C139"/>
      <c r="D139"/>
      <c r="E139"/>
      <c r="F139"/>
      <c r="G139"/>
      <c r="H139"/>
      <c r="I139"/>
      <c r="J139"/>
      <c r="K139"/>
      <c r="L139"/>
      <c r="M139"/>
      <c r="N139"/>
      <c r="O139"/>
      <c r="P139"/>
      <c r="Q139"/>
    </row>
    <row r="140" spans="1:17" ht="15.75" x14ac:dyDescent="0.25">
      <c r="A140"/>
      <c r="B140"/>
      <c r="C140"/>
      <c r="D140"/>
      <c r="E140"/>
      <c r="F140"/>
      <c r="G140"/>
      <c r="H140"/>
      <c r="I140"/>
      <c r="J140"/>
      <c r="K140"/>
      <c r="L140"/>
      <c r="M140"/>
      <c r="N140"/>
      <c r="O140"/>
      <c r="P140"/>
      <c r="Q140"/>
    </row>
    <row r="141" spans="1:17" ht="15.75" x14ac:dyDescent="0.25">
      <c r="A141"/>
      <c r="B141"/>
      <c r="C141"/>
      <c r="D141"/>
      <c r="E141"/>
      <c r="F141"/>
      <c r="G141"/>
      <c r="H141"/>
      <c r="I141"/>
      <c r="J141"/>
      <c r="K141"/>
      <c r="L141"/>
      <c r="M141"/>
      <c r="N141"/>
      <c r="O141"/>
      <c r="P141"/>
      <c r="Q141"/>
    </row>
    <row r="142" spans="1:17" ht="15.75" x14ac:dyDescent="0.25">
      <c r="A142"/>
      <c r="B142"/>
      <c r="C142"/>
      <c r="D142"/>
      <c r="E142"/>
      <c r="F142"/>
      <c r="G142"/>
      <c r="H142"/>
      <c r="I142"/>
      <c r="J142"/>
      <c r="K142"/>
      <c r="L142"/>
      <c r="M142"/>
      <c r="N142"/>
      <c r="O142"/>
      <c r="P142"/>
      <c r="Q142"/>
    </row>
    <row r="143" spans="1:17" ht="15.75" x14ac:dyDescent="0.25">
      <c r="A143"/>
      <c r="B143"/>
      <c r="C143"/>
      <c r="D143"/>
      <c r="E143"/>
      <c r="F143"/>
      <c r="G143"/>
      <c r="H143"/>
      <c r="I143"/>
      <c r="J143"/>
      <c r="K143"/>
      <c r="L143"/>
      <c r="M143"/>
      <c r="N143"/>
      <c r="O143"/>
      <c r="P143"/>
      <c r="Q143"/>
    </row>
    <row r="144" spans="1:17" ht="15.75" x14ac:dyDescent="0.25">
      <c r="A144"/>
      <c r="B144"/>
      <c r="C144"/>
      <c r="D144"/>
      <c r="E144"/>
      <c r="F144"/>
      <c r="G144"/>
      <c r="H144"/>
      <c r="I144"/>
      <c r="J144"/>
      <c r="K144"/>
      <c r="L144"/>
      <c r="M144"/>
      <c r="N144"/>
      <c r="O144"/>
      <c r="P144"/>
      <c r="Q144"/>
    </row>
    <row r="145" spans="1:17" ht="15.75" x14ac:dyDescent="0.25">
      <c r="A145"/>
      <c r="B145"/>
      <c r="C145"/>
      <c r="D145"/>
      <c r="E145"/>
      <c r="F145"/>
      <c r="G145"/>
      <c r="H145"/>
      <c r="I145"/>
      <c r="J145"/>
      <c r="K145"/>
      <c r="L145"/>
      <c r="M145"/>
      <c r="N145"/>
      <c r="O145"/>
      <c r="P145"/>
      <c r="Q145"/>
    </row>
    <row r="146" spans="1:17" ht="15.75" x14ac:dyDescent="0.25">
      <c r="A146"/>
      <c r="B146"/>
      <c r="C146"/>
      <c r="D146"/>
      <c r="E146"/>
      <c r="F146"/>
      <c r="G146"/>
      <c r="H146"/>
      <c r="I146"/>
      <c r="J146"/>
      <c r="K146"/>
      <c r="L146"/>
      <c r="M146"/>
      <c r="N146"/>
      <c r="O146"/>
      <c r="P146"/>
      <c r="Q146"/>
    </row>
    <row r="147" spans="1:17" ht="15.75" x14ac:dyDescent="0.25">
      <c r="A147"/>
      <c r="B147"/>
      <c r="C147"/>
      <c r="D147"/>
      <c r="E147"/>
      <c r="F147"/>
      <c r="G147"/>
      <c r="H147"/>
      <c r="I147"/>
      <c r="J147"/>
      <c r="K147"/>
      <c r="L147"/>
      <c r="M147"/>
      <c r="N147"/>
      <c r="O147"/>
      <c r="P147"/>
      <c r="Q147"/>
    </row>
    <row r="148" spans="1:17" ht="15.75" x14ac:dyDescent="0.25">
      <c r="A148"/>
      <c r="B148"/>
      <c r="C148"/>
      <c r="D148"/>
      <c r="E148"/>
      <c r="F148"/>
      <c r="G148"/>
      <c r="H148"/>
      <c r="I148"/>
      <c r="J148"/>
      <c r="K148"/>
      <c r="L148"/>
      <c r="M148"/>
      <c r="N148"/>
      <c r="O148"/>
      <c r="P148"/>
      <c r="Q148"/>
    </row>
    <row r="149" spans="1:17" ht="15.75" x14ac:dyDescent="0.25">
      <c r="A149"/>
      <c r="B149"/>
      <c r="C149"/>
      <c r="D149"/>
      <c r="E149"/>
      <c r="F149"/>
      <c r="G149"/>
      <c r="H149"/>
      <c r="I149"/>
      <c r="J149"/>
      <c r="K149"/>
      <c r="L149"/>
      <c r="M149"/>
      <c r="N149"/>
      <c r="O149"/>
      <c r="P149"/>
      <c r="Q149"/>
    </row>
    <row r="150" spans="1:17" ht="15.75" x14ac:dyDescent="0.25">
      <c r="A150"/>
      <c r="B150"/>
      <c r="C150"/>
      <c r="D150"/>
      <c r="E150"/>
      <c r="F150"/>
      <c r="G150"/>
      <c r="H150"/>
      <c r="I150"/>
      <c r="J150"/>
      <c r="K150"/>
      <c r="L150"/>
      <c r="M150"/>
      <c r="N150"/>
      <c r="O150"/>
      <c r="P150"/>
      <c r="Q150"/>
    </row>
    <row r="151" spans="1:17" ht="15.75" x14ac:dyDescent="0.25">
      <c r="A151"/>
      <c r="B151"/>
      <c r="C151"/>
      <c r="D151"/>
      <c r="E151"/>
      <c r="F151"/>
      <c r="G151"/>
      <c r="H151"/>
      <c r="I151"/>
      <c r="J151"/>
      <c r="K151"/>
      <c r="L151"/>
      <c r="M151"/>
      <c r="N151"/>
      <c r="O151"/>
      <c r="P151"/>
      <c r="Q151"/>
    </row>
    <row r="152" spans="1:17" ht="15.75" x14ac:dyDescent="0.25">
      <c r="A152"/>
      <c r="B152"/>
      <c r="C152"/>
      <c r="D152"/>
      <c r="E152"/>
      <c r="F152"/>
      <c r="G152"/>
      <c r="H152"/>
      <c r="I152"/>
      <c r="J152"/>
      <c r="K152"/>
      <c r="L152"/>
      <c r="M152"/>
      <c r="N152"/>
      <c r="O152"/>
      <c r="P152"/>
      <c r="Q152"/>
    </row>
    <row r="153" spans="1:17" ht="15.75" x14ac:dyDescent="0.25">
      <c r="A153"/>
      <c r="B153"/>
      <c r="C153"/>
      <c r="D153"/>
      <c r="E153"/>
      <c r="F153"/>
      <c r="G153"/>
      <c r="H153"/>
      <c r="I153"/>
      <c r="J153"/>
      <c r="K153"/>
      <c r="L153"/>
      <c r="M153"/>
      <c r="N153"/>
      <c r="O153"/>
      <c r="P153"/>
      <c r="Q153"/>
    </row>
    <row r="154" spans="1:17" ht="15.75" x14ac:dyDescent="0.25">
      <c r="A154"/>
      <c r="B154"/>
      <c r="C154"/>
      <c r="D154"/>
      <c r="E154"/>
      <c r="F154"/>
      <c r="G154"/>
      <c r="H154"/>
      <c r="I154"/>
      <c r="J154"/>
      <c r="K154"/>
      <c r="L154"/>
      <c r="M154"/>
      <c r="N154"/>
      <c r="O154"/>
      <c r="P154"/>
      <c r="Q154"/>
    </row>
    <row r="155" spans="1:17" ht="15.75" x14ac:dyDescent="0.25">
      <c r="A155"/>
      <c r="B155"/>
      <c r="C155"/>
      <c r="D155"/>
      <c r="E155"/>
      <c r="F155"/>
      <c r="G155"/>
      <c r="H155"/>
      <c r="I155"/>
      <c r="J155"/>
      <c r="K155"/>
      <c r="L155"/>
      <c r="M155"/>
      <c r="N155"/>
      <c r="O155"/>
      <c r="P155"/>
      <c r="Q155"/>
    </row>
    <row r="156" spans="1:17" ht="15.75" x14ac:dyDescent="0.25">
      <c r="A156"/>
      <c r="B156"/>
      <c r="C156"/>
      <c r="D156"/>
      <c r="E156"/>
      <c r="F156"/>
      <c r="G156"/>
      <c r="H156"/>
      <c r="I156"/>
      <c r="J156"/>
      <c r="K156"/>
      <c r="L156"/>
      <c r="M156"/>
      <c r="N156"/>
      <c r="O156"/>
      <c r="P156"/>
      <c r="Q156"/>
    </row>
    <row r="157" spans="1:17" ht="15.75" x14ac:dyDescent="0.25">
      <c r="A157"/>
      <c r="B157"/>
      <c r="C157"/>
      <c r="D157"/>
      <c r="E157"/>
      <c r="F157"/>
      <c r="G157"/>
      <c r="H157"/>
      <c r="I157"/>
      <c r="J157"/>
      <c r="K157"/>
      <c r="L157"/>
      <c r="M157"/>
      <c r="N157"/>
      <c r="O157"/>
      <c r="P157"/>
      <c r="Q157"/>
    </row>
    <row r="158" spans="1:17" ht="15.75" x14ac:dyDescent="0.25">
      <c r="A158"/>
      <c r="B158"/>
      <c r="C158"/>
      <c r="D158"/>
      <c r="E158"/>
      <c r="F158"/>
      <c r="G158"/>
      <c r="H158"/>
      <c r="I158"/>
      <c r="J158"/>
      <c r="K158"/>
      <c r="L158"/>
      <c r="M158"/>
      <c r="N158"/>
      <c r="O158"/>
      <c r="P158"/>
      <c r="Q158"/>
    </row>
    <row r="159" spans="1:17" ht="15.75" x14ac:dyDescent="0.25">
      <c r="A159"/>
      <c r="B159"/>
      <c r="C159"/>
      <c r="D159"/>
      <c r="E159"/>
      <c r="F159"/>
      <c r="G159"/>
      <c r="H159"/>
      <c r="I159"/>
      <c r="J159"/>
      <c r="K159"/>
      <c r="L159"/>
      <c r="M159"/>
      <c r="N159"/>
      <c r="O159"/>
      <c r="P159"/>
      <c r="Q159"/>
    </row>
    <row r="160" spans="1:17" ht="15.75" x14ac:dyDescent="0.25">
      <c r="A160"/>
      <c r="B160"/>
      <c r="C160"/>
      <c r="D160"/>
      <c r="E160"/>
      <c r="F160"/>
      <c r="G160"/>
      <c r="H160"/>
      <c r="I160"/>
      <c r="J160"/>
      <c r="K160"/>
      <c r="L160"/>
      <c r="M160"/>
      <c r="N160"/>
      <c r="O160"/>
      <c r="P160"/>
      <c r="Q160"/>
    </row>
    <row r="161" spans="1:17" ht="15.75" x14ac:dyDescent="0.25">
      <c r="A161"/>
      <c r="B161"/>
      <c r="C161"/>
      <c r="D161"/>
      <c r="E161"/>
      <c r="F161"/>
      <c r="G161"/>
      <c r="H161"/>
      <c r="I161"/>
      <c r="J161"/>
      <c r="K161"/>
      <c r="L161"/>
      <c r="M161"/>
      <c r="N161"/>
      <c r="O161"/>
      <c r="P161"/>
      <c r="Q161"/>
    </row>
    <row r="162" spans="1:17" ht="15.75" x14ac:dyDescent="0.25">
      <c r="A162"/>
      <c r="B162"/>
      <c r="C162"/>
      <c r="D162"/>
      <c r="E162"/>
      <c r="F162"/>
      <c r="G162"/>
      <c r="H162"/>
      <c r="I162"/>
      <c r="J162"/>
      <c r="K162"/>
      <c r="L162"/>
      <c r="M162"/>
      <c r="N162"/>
      <c r="O162"/>
      <c r="P162"/>
      <c r="Q162"/>
    </row>
    <row r="163" spans="1:17" ht="15.75" x14ac:dyDescent="0.25">
      <c r="A163"/>
      <c r="B163"/>
      <c r="C163"/>
      <c r="D163"/>
      <c r="E163"/>
      <c r="F163"/>
      <c r="G163"/>
      <c r="H163"/>
      <c r="I163"/>
      <c r="J163"/>
      <c r="K163"/>
      <c r="L163"/>
      <c r="M163"/>
      <c r="N163"/>
      <c r="O163"/>
      <c r="P163"/>
      <c r="Q163"/>
    </row>
    <row r="164" spans="1:17" ht="15.75" x14ac:dyDescent="0.25">
      <c r="A164"/>
      <c r="B164"/>
      <c r="C164"/>
      <c r="D164"/>
      <c r="E164"/>
      <c r="F164"/>
      <c r="G164"/>
      <c r="H164"/>
      <c r="I164"/>
      <c r="J164"/>
      <c r="K164"/>
      <c r="L164"/>
      <c r="M164"/>
      <c r="N164"/>
      <c r="O164"/>
      <c r="P164"/>
      <c r="Q164"/>
    </row>
    <row r="165" spans="1:17" ht="15.75" x14ac:dyDescent="0.25">
      <c r="A165"/>
      <c r="B165"/>
      <c r="C165"/>
      <c r="D165"/>
      <c r="E165"/>
      <c r="F165"/>
      <c r="G165"/>
      <c r="H165"/>
      <c r="I165"/>
      <c r="J165"/>
      <c r="K165"/>
      <c r="L165"/>
      <c r="M165"/>
      <c r="N165"/>
      <c r="O165"/>
      <c r="P165"/>
      <c r="Q165"/>
    </row>
    <row r="166" spans="1:17" ht="15.75" x14ac:dyDescent="0.25">
      <c r="A166"/>
      <c r="B166"/>
      <c r="C166"/>
      <c r="D166"/>
      <c r="E166"/>
      <c r="F166"/>
      <c r="G166"/>
      <c r="H166"/>
      <c r="I166"/>
      <c r="J166"/>
      <c r="K166"/>
      <c r="L166"/>
      <c r="M166"/>
      <c r="N166"/>
      <c r="O166"/>
      <c r="P166"/>
      <c r="Q166"/>
    </row>
    <row r="167" spans="1:17" ht="15.75" x14ac:dyDescent="0.25">
      <c r="A167"/>
      <c r="B167"/>
      <c r="C167"/>
      <c r="D167"/>
      <c r="E167"/>
      <c r="F167"/>
      <c r="G167"/>
      <c r="H167"/>
      <c r="I167"/>
      <c r="J167"/>
      <c r="K167"/>
      <c r="L167"/>
      <c r="M167"/>
      <c r="N167"/>
      <c r="O167"/>
      <c r="P167"/>
      <c r="Q167"/>
    </row>
    <row r="168" spans="1:17" ht="15.75" x14ac:dyDescent="0.25">
      <c r="A168"/>
      <c r="B168"/>
      <c r="C168"/>
      <c r="D168"/>
      <c r="E168"/>
      <c r="F168"/>
      <c r="G168"/>
      <c r="H168"/>
      <c r="I168"/>
      <c r="J168"/>
      <c r="K168"/>
      <c r="L168"/>
      <c r="M168"/>
      <c r="N168"/>
      <c r="O168"/>
      <c r="P168"/>
      <c r="Q168"/>
    </row>
    <row r="169" spans="1:17" ht="15.75" x14ac:dyDescent="0.25">
      <c r="A169"/>
      <c r="B169"/>
      <c r="C169"/>
      <c r="D169"/>
      <c r="E169"/>
      <c r="F169"/>
      <c r="G169"/>
      <c r="H169"/>
      <c r="I169"/>
      <c r="J169"/>
      <c r="K169"/>
      <c r="L169"/>
      <c r="M169"/>
      <c r="N169"/>
      <c r="O169"/>
      <c r="P169"/>
      <c r="Q169"/>
    </row>
    <row r="170" spans="1:17" ht="15.75" x14ac:dyDescent="0.25">
      <c r="A170"/>
      <c r="B170"/>
      <c r="C170"/>
      <c r="D170"/>
      <c r="E170"/>
      <c r="F170"/>
      <c r="G170"/>
      <c r="H170"/>
      <c r="I170"/>
      <c r="J170"/>
      <c r="K170"/>
      <c r="L170"/>
      <c r="M170"/>
      <c r="N170"/>
      <c r="O170"/>
      <c r="P170"/>
      <c r="Q170"/>
    </row>
    <row r="171" spans="1:17" ht="15.75" x14ac:dyDescent="0.25">
      <c r="A171"/>
      <c r="B171"/>
      <c r="C171"/>
      <c r="D171"/>
      <c r="E171"/>
      <c r="F171"/>
      <c r="G171"/>
      <c r="H171"/>
      <c r="I171"/>
      <c r="J171"/>
      <c r="K171"/>
      <c r="L171"/>
      <c r="M171"/>
      <c r="N171"/>
      <c r="O171"/>
      <c r="P171"/>
      <c r="Q171"/>
    </row>
    <row r="172" spans="1:17" ht="15.75" x14ac:dyDescent="0.25">
      <c r="A172"/>
      <c r="B172"/>
      <c r="C172"/>
      <c r="D172"/>
      <c r="E172"/>
      <c r="F172"/>
      <c r="G172"/>
      <c r="H172"/>
      <c r="I172"/>
      <c r="J172"/>
      <c r="K172"/>
      <c r="L172"/>
      <c r="M172"/>
      <c r="N172"/>
      <c r="O172"/>
      <c r="P172"/>
      <c r="Q172"/>
    </row>
    <row r="173" spans="1:17" ht="15.75" x14ac:dyDescent="0.25">
      <c r="A173"/>
      <c r="B173"/>
      <c r="C173"/>
      <c r="D173"/>
      <c r="E173"/>
      <c r="F173"/>
      <c r="G173"/>
      <c r="H173"/>
      <c r="I173"/>
      <c r="J173"/>
      <c r="K173"/>
      <c r="L173"/>
      <c r="M173"/>
      <c r="N173"/>
      <c r="O173"/>
      <c r="P173"/>
      <c r="Q173"/>
    </row>
    <row r="174" spans="1:17" ht="15.75" x14ac:dyDescent="0.25">
      <c r="A174"/>
      <c r="B174"/>
      <c r="C174"/>
      <c r="D174"/>
      <c r="E174"/>
      <c r="F174"/>
      <c r="G174"/>
      <c r="H174"/>
      <c r="I174"/>
      <c r="J174"/>
      <c r="K174"/>
      <c r="L174"/>
      <c r="M174"/>
      <c r="N174"/>
      <c r="O174"/>
      <c r="P174"/>
      <c r="Q174"/>
    </row>
    <row r="175" spans="1:17" ht="15.75" x14ac:dyDescent="0.25">
      <c r="A175"/>
      <c r="B175"/>
      <c r="C175"/>
      <c r="D175"/>
      <c r="E175"/>
      <c r="F175"/>
      <c r="G175"/>
      <c r="H175"/>
      <c r="I175"/>
      <c r="J175"/>
      <c r="K175"/>
      <c r="L175"/>
      <c r="M175"/>
      <c r="N175"/>
      <c r="O175"/>
      <c r="P175"/>
      <c r="Q175"/>
    </row>
    <row r="176" spans="1:17" ht="15.75" x14ac:dyDescent="0.25">
      <c r="A176"/>
      <c r="B176"/>
      <c r="C176"/>
      <c r="D176"/>
      <c r="E176"/>
      <c r="F176"/>
      <c r="G176"/>
      <c r="H176"/>
      <c r="I176"/>
      <c r="J176"/>
      <c r="K176"/>
      <c r="L176"/>
      <c r="M176"/>
      <c r="N176"/>
      <c r="O176"/>
      <c r="P176"/>
      <c r="Q176"/>
    </row>
    <row r="177" spans="1:17" ht="15.75" x14ac:dyDescent="0.25">
      <c r="A177"/>
      <c r="B177"/>
      <c r="C177"/>
      <c r="D177"/>
      <c r="E177"/>
      <c r="F177"/>
      <c r="G177"/>
      <c r="H177"/>
      <c r="I177"/>
      <c r="J177"/>
      <c r="K177"/>
      <c r="L177"/>
      <c r="M177"/>
      <c r="N177"/>
      <c r="O177"/>
      <c r="P177"/>
      <c r="Q177"/>
    </row>
    <row r="178" spans="1:17" ht="15.75" x14ac:dyDescent="0.25">
      <c r="A178"/>
      <c r="B178"/>
      <c r="C178"/>
      <c r="D178"/>
      <c r="E178"/>
      <c r="F178"/>
      <c r="G178"/>
      <c r="H178"/>
      <c r="I178"/>
      <c r="J178"/>
      <c r="K178"/>
      <c r="L178"/>
      <c r="M178"/>
      <c r="N178"/>
      <c r="O178"/>
      <c r="P178"/>
      <c r="Q178"/>
    </row>
    <row r="179" spans="1:17" ht="15.75" x14ac:dyDescent="0.25">
      <c r="A179"/>
      <c r="B179"/>
      <c r="C179"/>
      <c r="D179"/>
      <c r="E179"/>
      <c r="F179"/>
      <c r="G179"/>
      <c r="H179"/>
      <c r="I179"/>
      <c r="J179"/>
      <c r="K179"/>
      <c r="L179"/>
      <c r="M179"/>
      <c r="N179"/>
      <c r="O179"/>
      <c r="P179"/>
      <c r="Q179"/>
    </row>
    <row r="180" spans="1:17" ht="15.75" x14ac:dyDescent="0.25">
      <c r="A180"/>
      <c r="B180"/>
      <c r="C180"/>
      <c r="D180"/>
      <c r="E180"/>
      <c r="F180"/>
      <c r="G180"/>
      <c r="H180"/>
      <c r="I180"/>
      <c r="J180"/>
      <c r="K180"/>
      <c r="L180"/>
      <c r="M180"/>
      <c r="N180"/>
      <c r="O180"/>
      <c r="P180"/>
      <c r="Q180"/>
    </row>
    <row r="181" spans="1:17" ht="15.75" x14ac:dyDescent="0.25">
      <c r="A181"/>
      <c r="B181"/>
      <c r="C181"/>
      <c r="D181"/>
      <c r="E181"/>
      <c r="F181"/>
      <c r="G181"/>
      <c r="H181"/>
      <c r="I181"/>
      <c r="J181"/>
      <c r="K181"/>
      <c r="L181"/>
      <c r="M181"/>
      <c r="N181"/>
      <c r="O181"/>
      <c r="P181"/>
      <c r="Q181"/>
    </row>
    <row r="182" spans="1:17" ht="15.75" x14ac:dyDescent="0.25">
      <c r="A182"/>
      <c r="B182"/>
      <c r="C182"/>
      <c r="D182"/>
      <c r="E182"/>
      <c r="F182"/>
      <c r="G182"/>
      <c r="H182"/>
      <c r="I182"/>
      <c r="J182"/>
      <c r="K182"/>
      <c r="L182"/>
      <c r="M182"/>
      <c r="N182"/>
      <c r="O182"/>
      <c r="P182"/>
      <c r="Q182"/>
    </row>
    <row r="183" spans="1:17" ht="15.75" x14ac:dyDescent="0.25">
      <c r="A183"/>
      <c r="B183"/>
      <c r="C183"/>
      <c r="D183"/>
      <c r="E183"/>
      <c r="F183"/>
      <c r="G183"/>
      <c r="H183"/>
      <c r="I183"/>
      <c r="J183"/>
      <c r="K183"/>
      <c r="L183"/>
      <c r="M183"/>
      <c r="N183"/>
      <c r="O183"/>
      <c r="P183"/>
      <c r="Q183"/>
    </row>
    <row r="184" spans="1:17" ht="15.75" x14ac:dyDescent="0.25">
      <c r="A184"/>
      <c r="B184"/>
      <c r="C184"/>
      <c r="D184"/>
      <c r="E184"/>
      <c r="F184"/>
      <c r="G184"/>
      <c r="H184"/>
      <c r="I184"/>
      <c r="J184"/>
      <c r="K184"/>
      <c r="L184"/>
      <c r="M184"/>
      <c r="N184"/>
      <c r="O184"/>
      <c r="P184"/>
      <c r="Q184"/>
    </row>
    <row r="185" spans="1:17" ht="15.75" x14ac:dyDescent="0.25">
      <c r="A185"/>
      <c r="B185"/>
      <c r="C185"/>
      <c r="D185"/>
      <c r="E185"/>
      <c r="F185"/>
      <c r="G185"/>
      <c r="H185"/>
      <c r="I185"/>
      <c r="J185"/>
      <c r="K185"/>
      <c r="L185"/>
      <c r="M185"/>
      <c r="N185"/>
      <c r="O185"/>
      <c r="P185"/>
      <c r="Q185"/>
    </row>
    <row r="186" spans="1:17" ht="15.75" x14ac:dyDescent="0.25">
      <c r="A186"/>
      <c r="B186"/>
      <c r="C186"/>
      <c r="D186"/>
      <c r="E186"/>
      <c r="F186"/>
      <c r="G186"/>
      <c r="H186"/>
      <c r="I186"/>
      <c r="J186"/>
      <c r="K186"/>
      <c r="L186"/>
      <c r="M186"/>
      <c r="N186"/>
      <c r="O186"/>
      <c r="P186"/>
      <c r="Q186"/>
    </row>
    <row r="187" spans="1:17" ht="15.75" x14ac:dyDescent="0.25">
      <c r="A187"/>
      <c r="B187"/>
      <c r="C187"/>
      <c r="D187"/>
      <c r="E187"/>
      <c r="F187"/>
      <c r="G187"/>
      <c r="H187"/>
      <c r="I187"/>
      <c r="J187"/>
      <c r="K187"/>
      <c r="L187"/>
      <c r="M187"/>
      <c r="N187"/>
      <c r="O187"/>
      <c r="P187"/>
      <c r="Q187"/>
    </row>
    <row r="188" spans="1:17" ht="15.75" x14ac:dyDescent="0.25">
      <c r="A188"/>
      <c r="B188"/>
      <c r="C188"/>
      <c r="D188"/>
      <c r="E188"/>
      <c r="F188"/>
      <c r="G188"/>
      <c r="H188"/>
      <c r="I188"/>
      <c r="J188"/>
      <c r="K188"/>
      <c r="L188"/>
      <c r="M188"/>
      <c r="N188"/>
      <c r="O188"/>
      <c r="P188"/>
      <c r="Q188"/>
    </row>
    <row r="189" spans="1:17" ht="15.75" x14ac:dyDescent="0.25">
      <c r="A189"/>
      <c r="B189"/>
      <c r="C189"/>
      <c r="D189"/>
      <c r="E189"/>
      <c r="F189"/>
      <c r="G189"/>
      <c r="H189"/>
      <c r="I189"/>
      <c r="J189"/>
      <c r="K189"/>
      <c r="L189"/>
      <c r="M189"/>
      <c r="N189"/>
      <c r="O189"/>
      <c r="P189"/>
      <c r="Q189"/>
    </row>
    <row r="190" spans="1:17" ht="15.75" x14ac:dyDescent="0.25">
      <c r="A190"/>
      <c r="B190"/>
      <c r="C190"/>
      <c r="D190"/>
      <c r="E190"/>
      <c r="F190"/>
      <c r="G190"/>
      <c r="H190"/>
      <c r="I190"/>
      <c r="J190"/>
      <c r="K190"/>
      <c r="L190"/>
      <c r="M190"/>
      <c r="N190"/>
      <c r="O190"/>
      <c r="P190"/>
      <c r="Q190"/>
    </row>
    <row r="191" spans="1:17" ht="15.75" x14ac:dyDescent="0.25">
      <c r="A191"/>
      <c r="B191"/>
      <c r="C191"/>
      <c r="D191"/>
      <c r="E191"/>
      <c r="F191"/>
      <c r="G191"/>
      <c r="H191"/>
      <c r="I191"/>
      <c r="J191"/>
      <c r="K191"/>
      <c r="L191"/>
      <c r="M191"/>
      <c r="N191"/>
      <c r="O191"/>
      <c r="P191"/>
      <c r="Q191"/>
    </row>
    <row r="192" spans="1:17" ht="15.75" x14ac:dyDescent="0.25">
      <c r="A192"/>
      <c r="B192"/>
      <c r="C192"/>
      <c r="D192"/>
      <c r="E192"/>
      <c r="F192"/>
      <c r="G192"/>
      <c r="H192"/>
      <c r="I192"/>
      <c r="J192"/>
      <c r="K192"/>
      <c r="L192"/>
      <c r="M192"/>
      <c r="N192"/>
      <c r="O192"/>
      <c r="P192"/>
      <c r="Q192"/>
    </row>
    <row r="193" spans="1:17" ht="15.75" x14ac:dyDescent="0.25">
      <c r="A193"/>
      <c r="B193"/>
      <c r="C193"/>
      <c r="D193"/>
      <c r="E193"/>
      <c r="F193"/>
      <c r="G193"/>
      <c r="H193"/>
      <c r="I193"/>
      <c r="J193"/>
      <c r="K193"/>
      <c r="L193"/>
      <c r="M193"/>
      <c r="N193"/>
      <c r="O193"/>
      <c r="P193"/>
      <c r="Q193"/>
    </row>
    <row r="194" spans="1:17" ht="15.75" x14ac:dyDescent="0.25">
      <c r="A194"/>
      <c r="B194"/>
      <c r="C194"/>
      <c r="D194"/>
      <c r="E194"/>
      <c r="F194"/>
      <c r="G194"/>
      <c r="H194"/>
      <c r="I194"/>
      <c r="J194"/>
      <c r="K194"/>
      <c r="L194"/>
      <c r="M194"/>
      <c r="N194"/>
      <c r="O194"/>
      <c r="P194"/>
      <c r="Q194"/>
    </row>
    <row r="195" spans="1:17" ht="15.75" x14ac:dyDescent="0.25">
      <c r="A195"/>
      <c r="B195"/>
      <c r="C195"/>
      <c r="D195"/>
      <c r="E195"/>
      <c r="F195"/>
      <c r="G195"/>
      <c r="H195"/>
      <c r="I195"/>
      <c r="J195"/>
      <c r="K195"/>
      <c r="L195"/>
      <c r="M195"/>
      <c r="N195"/>
      <c r="O195"/>
      <c r="P195"/>
      <c r="Q195"/>
    </row>
    <row r="196" spans="1:17" ht="15.75" x14ac:dyDescent="0.25">
      <c r="A196"/>
      <c r="B196"/>
      <c r="C196"/>
      <c r="D196"/>
      <c r="E196"/>
      <c r="F196"/>
      <c r="G196"/>
      <c r="H196"/>
      <c r="I196"/>
      <c r="J196"/>
      <c r="K196"/>
      <c r="L196"/>
      <c r="M196"/>
      <c r="N196"/>
      <c r="O196"/>
      <c r="P196"/>
      <c r="Q196"/>
    </row>
    <row r="197" spans="1:17" ht="15.75" x14ac:dyDescent="0.25">
      <c r="A197"/>
      <c r="B197"/>
      <c r="C197"/>
      <c r="D197"/>
      <c r="E197"/>
      <c r="F197"/>
      <c r="G197"/>
      <c r="H197"/>
      <c r="I197"/>
      <c r="J197"/>
      <c r="K197"/>
      <c r="L197"/>
      <c r="M197"/>
      <c r="N197"/>
      <c r="O197"/>
      <c r="P197"/>
      <c r="Q197"/>
    </row>
    <row r="198" spans="1:17" ht="15.75" x14ac:dyDescent="0.25">
      <c r="A198"/>
      <c r="B198"/>
      <c r="C198"/>
      <c r="D198"/>
      <c r="E198"/>
      <c r="F198"/>
      <c r="G198"/>
      <c r="H198"/>
      <c r="I198"/>
      <c r="J198"/>
      <c r="K198"/>
      <c r="L198"/>
      <c r="M198"/>
      <c r="N198"/>
      <c r="O198"/>
      <c r="P198"/>
      <c r="Q198"/>
    </row>
    <row r="199" spans="1:17" ht="15.75" x14ac:dyDescent="0.25">
      <c r="A199"/>
      <c r="B199"/>
      <c r="C199"/>
      <c r="D199"/>
      <c r="E199"/>
      <c r="F199"/>
      <c r="G199"/>
      <c r="H199"/>
      <c r="I199"/>
      <c r="J199"/>
      <c r="K199"/>
      <c r="L199"/>
      <c r="M199"/>
      <c r="N199"/>
      <c r="O199"/>
      <c r="P199"/>
      <c r="Q199"/>
    </row>
    <row r="200" spans="1:17" ht="15.75" x14ac:dyDescent="0.25">
      <c r="A200"/>
      <c r="B200"/>
      <c r="C200"/>
      <c r="D200"/>
      <c r="E200"/>
      <c r="F200"/>
      <c r="G200"/>
      <c r="H200"/>
      <c r="I200"/>
      <c r="J200"/>
      <c r="K200"/>
      <c r="L200"/>
      <c r="M200"/>
      <c r="N200"/>
      <c r="O200"/>
      <c r="P200"/>
      <c r="Q200"/>
    </row>
    <row r="201" spans="1:17" ht="15.75" x14ac:dyDescent="0.25">
      <c r="A201"/>
      <c r="B201"/>
      <c r="C201"/>
      <c r="D201"/>
      <c r="E201"/>
      <c r="F201"/>
      <c r="G201"/>
      <c r="H201"/>
      <c r="I201"/>
      <c r="J201"/>
      <c r="K201"/>
      <c r="L201"/>
      <c r="M201"/>
      <c r="N201"/>
      <c r="O201"/>
      <c r="P201"/>
      <c r="Q201"/>
    </row>
    <row r="202" spans="1:17" ht="15.75" x14ac:dyDescent="0.25">
      <c r="A202"/>
      <c r="B202"/>
      <c r="C202"/>
      <c r="D202"/>
      <c r="E202"/>
      <c r="F202"/>
      <c r="G202"/>
      <c r="H202"/>
      <c r="I202"/>
      <c r="J202"/>
      <c r="K202"/>
      <c r="L202"/>
      <c r="M202"/>
      <c r="N202"/>
      <c r="O202"/>
      <c r="P202"/>
      <c r="Q202"/>
    </row>
    <row r="203" spans="1:17" ht="15.75" x14ac:dyDescent="0.25">
      <c r="A203"/>
      <c r="B203"/>
      <c r="C203"/>
      <c r="D203"/>
      <c r="E203"/>
      <c r="F203"/>
      <c r="G203"/>
      <c r="H203"/>
      <c r="I203"/>
      <c r="J203"/>
      <c r="K203"/>
      <c r="L203"/>
      <c r="M203"/>
      <c r="N203"/>
      <c r="O203"/>
      <c r="P203"/>
      <c r="Q203"/>
    </row>
    <row r="204" spans="1:17" ht="15.75" x14ac:dyDescent="0.25">
      <c r="A204"/>
      <c r="B204"/>
      <c r="C204"/>
      <c r="D204"/>
      <c r="E204"/>
      <c r="F204"/>
      <c r="G204"/>
      <c r="H204"/>
      <c r="I204"/>
      <c r="J204"/>
      <c r="K204"/>
      <c r="L204"/>
      <c r="M204"/>
      <c r="N204"/>
      <c r="O204"/>
      <c r="P204"/>
      <c r="Q204"/>
    </row>
    <row r="205" spans="1:17" ht="15.75" x14ac:dyDescent="0.25">
      <c r="A205"/>
      <c r="B205"/>
      <c r="C205"/>
      <c r="D205"/>
      <c r="E205"/>
      <c r="F205"/>
      <c r="G205"/>
      <c r="H205"/>
      <c r="I205"/>
      <c r="J205"/>
      <c r="K205"/>
      <c r="L205"/>
      <c r="M205"/>
      <c r="N205"/>
      <c r="O205"/>
      <c r="P205"/>
      <c r="Q205"/>
    </row>
    <row r="206" spans="1:17" ht="15.75" x14ac:dyDescent="0.25">
      <c r="A206"/>
      <c r="B206"/>
      <c r="C206"/>
      <c r="D206"/>
      <c r="E206"/>
      <c r="F206"/>
      <c r="G206"/>
      <c r="H206"/>
      <c r="I206"/>
      <c r="J206"/>
      <c r="K206"/>
      <c r="L206"/>
      <c r="M206"/>
      <c r="N206"/>
      <c r="O206"/>
      <c r="P206"/>
      <c r="Q206"/>
    </row>
    <row r="207" spans="1:17" ht="15.75" x14ac:dyDescent="0.25">
      <c r="A207"/>
      <c r="B207"/>
      <c r="C207"/>
      <c r="D207"/>
      <c r="E207"/>
      <c r="F207"/>
      <c r="G207"/>
      <c r="H207"/>
      <c r="I207"/>
      <c r="J207"/>
      <c r="K207"/>
      <c r="L207"/>
      <c r="M207"/>
      <c r="N207"/>
      <c r="O207"/>
      <c r="P207"/>
      <c r="Q207"/>
    </row>
    <row r="208" spans="1:17" ht="15.75" x14ac:dyDescent="0.25">
      <c r="A208"/>
      <c r="B208"/>
      <c r="C208"/>
      <c r="D208"/>
      <c r="E208"/>
      <c r="F208"/>
      <c r="G208"/>
      <c r="H208"/>
      <c r="I208"/>
      <c r="J208"/>
      <c r="K208"/>
      <c r="L208"/>
      <c r="M208"/>
      <c r="N208"/>
      <c r="O208"/>
      <c r="P208"/>
      <c r="Q208"/>
    </row>
    <row r="209" spans="1:17" ht="15.75" x14ac:dyDescent="0.25">
      <c r="A209"/>
      <c r="B209"/>
      <c r="C209"/>
      <c r="D209"/>
      <c r="E209"/>
      <c r="F209"/>
      <c r="G209"/>
      <c r="H209"/>
      <c r="I209"/>
      <c r="J209"/>
      <c r="K209"/>
      <c r="L209"/>
      <c r="M209"/>
      <c r="N209"/>
      <c r="O209"/>
      <c r="P209"/>
      <c r="Q209"/>
    </row>
    <row r="210" spans="1:17" ht="15.75" x14ac:dyDescent="0.25">
      <c r="A210"/>
      <c r="B210"/>
      <c r="C210"/>
      <c r="D210"/>
      <c r="E210"/>
      <c r="F210"/>
      <c r="G210"/>
      <c r="H210"/>
      <c r="I210"/>
      <c r="J210"/>
      <c r="K210"/>
      <c r="L210"/>
      <c r="M210"/>
      <c r="N210"/>
      <c r="O210"/>
      <c r="P210"/>
      <c r="Q210"/>
    </row>
    <row r="211" spans="1:17" ht="15.75" x14ac:dyDescent="0.25">
      <c r="A211"/>
      <c r="B211"/>
      <c r="C211"/>
      <c r="D211"/>
      <c r="E211"/>
      <c r="F211"/>
      <c r="G211"/>
      <c r="H211"/>
      <c r="I211"/>
      <c r="J211"/>
      <c r="K211"/>
      <c r="L211"/>
      <c r="M211"/>
      <c r="N211"/>
      <c r="O211"/>
      <c r="P211"/>
      <c r="Q211"/>
    </row>
    <row r="212" spans="1:17" ht="15.75" x14ac:dyDescent="0.25">
      <c r="A212"/>
      <c r="B212"/>
      <c r="C212"/>
      <c r="D212"/>
      <c r="E212"/>
      <c r="F212"/>
      <c r="G212"/>
      <c r="H212"/>
      <c r="I212"/>
      <c r="J212"/>
      <c r="K212"/>
      <c r="L212"/>
      <c r="M212"/>
      <c r="N212"/>
      <c r="O212"/>
      <c r="P212"/>
      <c r="Q212"/>
    </row>
    <row r="213" spans="1:17" ht="15.75" x14ac:dyDescent="0.25">
      <c r="A213"/>
      <c r="B213"/>
      <c r="C213"/>
      <c r="D213"/>
      <c r="E213"/>
      <c r="F213"/>
      <c r="G213"/>
      <c r="H213"/>
      <c r="I213"/>
      <c r="J213"/>
      <c r="K213"/>
      <c r="L213"/>
      <c r="M213"/>
      <c r="N213"/>
      <c r="O213"/>
      <c r="P213"/>
      <c r="Q213"/>
    </row>
    <row r="214" spans="1:17" ht="15.75" x14ac:dyDescent="0.25">
      <c r="A214"/>
      <c r="B214"/>
      <c r="C214"/>
      <c r="D214"/>
      <c r="E214"/>
      <c r="F214"/>
      <c r="G214"/>
      <c r="H214"/>
      <c r="I214"/>
      <c r="J214"/>
      <c r="K214"/>
      <c r="L214"/>
      <c r="M214"/>
      <c r="N214"/>
      <c r="O214"/>
      <c r="P214"/>
      <c r="Q214"/>
    </row>
    <row r="215" spans="1:17" ht="15.75" x14ac:dyDescent="0.25">
      <c r="A215"/>
      <c r="B215"/>
      <c r="C215"/>
      <c r="D215"/>
      <c r="E215"/>
      <c r="F215"/>
      <c r="G215"/>
      <c r="H215"/>
      <c r="I215"/>
      <c r="J215"/>
      <c r="K215"/>
      <c r="L215"/>
      <c r="M215"/>
      <c r="N215"/>
      <c r="O215"/>
      <c r="P215"/>
      <c r="Q215"/>
    </row>
    <row r="216" spans="1:17" ht="15.75" x14ac:dyDescent="0.25">
      <c r="A216"/>
      <c r="B216"/>
      <c r="C216"/>
      <c r="D216"/>
      <c r="E216"/>
      <c r="F216"/>
      <c r="G216"/>
      <c r="H216"/>
      <c r="I216"/>
      <c r="J216"/>
      <c r="K216"/>
      <c r="L216"/>
      <c r="M216"/>
      <c r="N216"/>
      <c r="O216"/>
      <c r="P216"/>
      <c r="Q216"/>
    </row>
    <row r="217" spans="1:17" ht="15.75" x14ac:dyDescent="0.25">
      <c r="A217"/>
      <c r="B217"/>
      <c r="C217"/>
      <c r="D217"/>
      <c r="E217"/>
      <c r="F217"/>
      <c r="G217"/>
      <c r="H217"/>
      <c r="I217"/>
      <c r="J217"/>
      <c r="K217"/>
      <c r="L217"/>
      <c r="M217"/>
      <c r="N217"/>
      <c r="O217"/>
      <c r="P217"/>
      <c r="Q217"/>
    </row>
    <row r="218" spans="1:17" ht="15.75" x14ac:dyDescent="0.25">
      <c r="A218"/>
      <c r="B218"/>
      <c r="C218"/>
      <c r="D218"/>
      <c r="E218"/>
      <c r="F218"/>
      <c r="G218"/>
      <c r="H218"/>
      <c r="I218"/>
      <c r="J218"/>
      <c r="K218"/>
      <c r="L218"/>
      <c r="M218"/>
      <c r="N218"/>
      <c r="O218"/>
      <c r="P218"/>
      <c r="Q218"/>
    </row>
    <row r="219" spans="1:17" ht="15.75" x14ac:dyDescent="0.25">
      <c r="A219"/>
      <c r="B219"/>
      <c r="C219"/>
      <c r="D219"/>
      <c r="E219"/>
      <c r="F219"/>
      <c r="G219"/>
      <c r="H219"/>
      <c r="I219"/>
      <c r="J219"/>
      <c r="K219"/>
      <c r="L219"/>
      <c r="M219"/>
      <c r="N219"/>
      <c r="O219"/>
      <c r="P219"/>
      <c r="Q219"/>
    </row>
    <row r="220" spans="1:17" ht="15.75" x14ac:dyDescent="0.25">
      <c r="A220"/>
      <c r="B220"/>
      <c r="C220"/>
      <c r="D220"/>
      <c r="E220"/>
      <c r="F220"/>
      <c r="G220"/>
      <c r="H220"/>
      <c r="I220"/>
      <c r="J220"/>
      <c r="K220"/>
      <c r="L220"/>
      <c r="M220"/>
      <c r="N220"/>
      <c r="O220"/>
      <c r="P220"/>
      <c r="Q220"/>
    </row>
    <row r="221" spans="1:17" ht="15.75" x14ac:dyDescent="0.25">
      <c r="A221"/>
      <c r="B221"/>
      <c r="C221"/>
      <c r="D221"/>
      <c r="E221"/>
      <c r="F221"/>
      <c r="G221"/>
      <c r="H221"/>
      <c r="I221"/>
      <c r="J221"/>
      <c r="K221"/>
      <c r="L221"/>
      <c r="M221"/>
      <c r="N221"/>
      <c r="O221"/>
      <c r="P221"/>
      <c r="Q221"/>
    </row>
    <row r="222" spans="1:17" ht="15.75" x14ac:dyDescent="0.25">
      <c r="A222"/>
      <c r="B222"/>
      <c r="C222"/>
      <c r="D222"/>
      <c r="E222"/>
      <c r="F222"/>
      <c r="G222"/>
      <c r="H222"/>
      <c r="I222"/>
      <c r="J222"/>
      <c r="K222"/>
      <c r="L222"/>
      <c r="M222"/>
      <c r="N222"/>
      <c r="O222"/>
      <c r="P222"/>
      <c r="Q222"/>
    </row>
    <row r="223" spans="1:17" ht="15.75" x14ac:dyDescent="0.25">
      <c r="A223"/>
      <c r="B223"/>
      <c r="C223"/>
      <c r="D223"/>
      <c r="E223"/>
      <c r="F223"/>
      <c r="G223"/>
      <c r="H223"/>
      <c r="I223"/>
      <c r="J223"/>
      <c r="K223"/>
      <c r="L223"/>
      <c r="M223"/>
      <c r="N223"/>
      <c r="O223"/>
      <c r="P223"/>
      <c r="Q223"/>
    </row>
    <row r="224" spans="1:17" ht="15.75" x14ac:dyDescent="0.25">
      <c r="A224"/>
      <c r="B224"/>
      <c r="C224"/>
      <c r="D224"/>
      <c r="E224"/>
      <c r="F224"/>
      <c r="G224"/>
      <c r="H224"/>
      <c r="I224"/>
      <c r="J224"/>
      <c r="K224"/>
      <c r="L224"/>
      <c r="M224"/>
      <c r="N224"/>
      <c r="O224"/>
      <c r="P224"/>
      <c r="Q224"/>
    </row>
    <row r="225" spans="1:17" ht="15.75" x14ac:dyDescent="0.25">
      <c r="A225"/>
      <c r="B225"/>
      <c r="C225"/>
      <c r="D225"/>
      <c r="E225"/>
      <c r="F225"/>
      <c r="G225"/>
      <c r="H225"/>
      <c r="I225"/>
      <c r="J225"/>
      <c r="K225"/>
      <c r="L225"/>
      <c r="M225"/>
      <c r="N225"/>
      <c r="O225"/>
      <c r="P225"/>
      <c r="Q225"/>
    </row>
    <row r="226" spans="1:17" ht="15.75" x14ac:dyDescent="0.25">
      <c r="A226"/>
      <c r="B226"/>
      <c r="C226"/>
      <c r="D226"/>
      <c r="E226"/>
      <c r="F226"/>
      <c r="G226"/>
      <c r="H226"/>
      <c r="I226"/>
      <c r="J226"/>
      <c r="K226"/>
      <c r="L226"/>
      <c r="M226"/>
      <c r="N226"/>
      <c r="O226"/>
      <c r="P226"/>
      <c r="Q226"/>
    </row>
    <row r="227" spans="1:17" ht="15.75" x14ac:dyDescent="0.25">
      <c r="A227"/>
      <c r="B227"/>
      <c r="C227"/>
      <c r="D227"/>
      <c r="E227"/>
      <c r="F227"/>
      <c r="G227"/>
      <c r="H227"/>
      <c r="I227"/>
      <c r="J227"/>
      <c r="K227"/>
      <c r="L227"/>
      <c r="M227"/>
      <c r="N227"/>
      <c r="O227"/>
      <c r="P227"/>
      <c r="Q227"/>
    </row>
    <row r="228" spans="1:17" ht="15.75" x14ac:dyDescent="0.25">
      <c r="A228"/>
      <c r="B228"/>
      <c r="C228"/>
      <c r="D228"/>
      <c r="E228"/>
      <c r="F228"/>
      <c r="G228"/>
      <c r="H228"/>
      <c r="I228"/>
      <c r="J228"/>
      <c r="K228"/>
      <c r="L228"/>
      <c r="M228"/>
      <c r="N228"/>
      <c r="O228"/>
      <c r="P228"/>
      <c r="Q228"/>
    </row>
    <row r="229" spans="1:17" ht="15.75" x14ac:dyDescent="0.25">
      <c r="A229"/>
      <c r="B229"/>
      <c r="C229"/>
      <c r="D229"/>
      <c r="E229"/>
      <c r="F229"/>
      <c r="G229"/>
      <c r="H229"/>
      <c r="I229"/>
      <c r="J229"/>
      <c r="K229"/>
      <c r="L229"/>
      <c r="M229"/>
      <c r="N229"/>
      <c r="O229"/>
      <c r="P229"/>
      <c r="Q229"/>
    </row>
    <row r="230" spans="1:17" ht="15.75" x14ac:dyDescent="0.25">
      <c r="A230"/>
      <c r="B230"/>
      <c r="C230"/>
      <c r="D230"/>
      <c r="E230"/>
      <c r="F230"/>
      <c r="G230"/>
      <c r="H230"/>
      <c r="I230"/>
      <c r="J230"/>
      <c r="K230"/>
      <c r="L230"/>
      <c r="M230"/>
      <c r="N230"/>
      <c r="O230"/>
      <c r="P230"/>
      <c r="Q230"/>
    </row>
    <row r="231" spans="1:17" ht="15.75" x14ac:dyDescent="0.25">
      <c r="A231"/>
      <c r="B231"/>
      <c r="C231"/>
      <c r="D231"/>
      <c r="E231"/>
      <c r="F231"/>
      <c r="G231"/>
      <c r="H231"/>
      <c r="I231"/>
      <c r="J231"/>
      <c r="K231"/>
      <c r="L231"/>
      <c r="M231"/>
      <c r="N231"/>
      <c r="O231"/>
      <c r="P231"/>
      <c r="Q231"/>
    </row>
    <row r="232" spans="1:17" ht="15.75" x14ac:dyDescent="0.25">
      <c r="A232"/>
      <c r="B232"/>
      <c r="C232"/>
      <c r="D232"/>
      <c r="E232"/>
      <c r="F232"/>
      <c r="G232"/>
      <c r="H232"/>
      <c r="I232"/>
      <c r="J232"/>
      <c r="K232"/>
      <c r="L232"/>
      <c r="M232"/>
      <c r="N232"/>
      <c r="O232"/>
      <c r="P232"/>
      <c r="Q232"/>
    </row>
    <row r="233" spans="1:17" ht="15.75" x14ac:dyDescent="0.25">
      <c r="A233"/>
      <c r="B233"/>
      <c r="C233"/>
      <c r="D233"/>
      <c r="E233"/>
      <c r="F233"/>
      <c r="G233"/>
      <c r="H233"/>
      <c r="I233"/>
      <c r="J233"/>
      <c r="K233"/>
      <c r="L233"/>
      <c r="M233"/>
      <c r="N233"/>
      <c r="O233"/>
      <c r="P233"/>
      <c r="Q233"/>
    </row>
    <row r="234" spans="1:17" ht="15.75" x14ac:dyDescent="0.25">
      <c r="A234"/>
      <c r="B234"/>
      <c r="C234"/>
      <c r="D234"/>
      <c r="E234"/>
      <c r="F234"/>
      <c r="G234"/>
      <c r="H234"/>
      <c r="I234"/>
      <c r="J234"/>
      <c r="K234"/>
      <c r="L234"/>
      <c r="M234"/>
      <c r="N234"/>
      <c r="O234"/>
      <c r="P234"/>
      <c r="Q234"/>
    </row>
    <row r="235" spans="1:17" ht="15.75" x14ac:dyDescent="0.25">
      <c r="A235"/>
      <c r="B235"/>
      <c r="C235"/>
      <c r="D235"/>
      <c r="E235"/>
      <c r="F235"/>
      <c r="G235"/>
      <c r="H235"/>
      <c r="I235"/>
      <c r="J235"/>
      <c r="K235"/>
      <c r="L235"/>
      <c r="M235"/>
      <c r="N235"/>
      <c r="O235"/>
      <c r="P235"/>
      <c r="Q235"/>
    </row>
    <row r="236" spans="1:17" ht="15.75" x14ac:dyDescent="0.25">
      <c r="A236"/>
      <c r="B236"/>
      <c r="C236"/>
      <c r="D236"/>
      <c r="E236"/>
      <c r="F236"/>
      <c r="G236"/>
      <c r="H236"/>
      <c r="I236"/>
      <c r="J236"/>
      <c r="K236"/>
      <c r="L236"/>
      <c r="M236"/>
      <c r="N236"/>
      <c r="O236"/>
      <c r="P236"/>
      <c r="Q236"/>
    </row>
    <row r="237" spans="1:17" ht="15.75" x14ac:dyDescent="0.25">
      <c r="A237"/>
      <c r="B237"/>
      <c r="C237"/>
      <c r="D237"/>
      <c r="E237"/>
      <c r="F237"/>
      <c r="G237"/>
      <c r="H237"/>
      <c r="I237"/>
      <c r="J237"/>
      <c r="K237"/>
      <c r="L237"/>
      <c r="M237"/>
      <c r="N237"/>
      <c r="O237"/>
      <c r="P237"/>
      <c r="Q237"/>
    </row>
    <row r="238" spans="1:17" ht="15.75" x14ac:dyDescent="0.25">
      <c r="A238"/>
      <c r="B238"/>
      <c r="C238"/>
      <c r="D238"/>
      <c r="E238"/>
      <c r="F238"/>
      <c r="G238"/>
      <c r="H238"/>
      <c r="I238"/>
      <c r="J238"/>
      <c r="K238"/>
      <c r="L238"/>
      <c r="M238"/>
      <c r="N238"/>
      <c r="O238"/>
      <c r="P238"/>
      <c r="Q238"/>
    </row>
    <row r="239" spans="1:17" ht="15.75" x14ac:dyDescent="0.25">
      <c r="A239"/>
      <c r="B239"/>
      <c r="C239"/>
      <c r="D239"/>
      <c r="E239"/>
      <c r="F239"/>
      <c r="G239"/>
      <c r="H239"/>
      <c r="I239"/>
      <c r="J239"/>
      <c r="K239"/>
      <c r="L239"/>
      <c r="M239"/>
      <c r="N239"/>
      <c r="O239"/>
      <c r="P239"/>
      <c r="Q239"/>
    </row>
    <row r="240" spans="1:17" ht="15.75" x14ac:dyDescent="0.25">
      <c r="A240"/>
      <c r="B240"/>
      <c r="C240"/>
      <c r="D240"/>
      <c r="E240"/>
      <c r="F240"/>
      <c r="G240"/>
      <c r="H240"/>
      <c r="I240"/>
      <c r="J240"/>
      <c r="K240"/>
      <c r="L240"/>
      <c r="M240"/>
      <c r="N240"/>
      <c r="O240"/>
      <c r="P240"/>
      <c r="Q240"/>
    </row>
    <row r="241" spans="1:17" ht="15.75" x14ac:dyDescent="0.25">
      <c r="A241"/>
      <c r="B241"/>
      <c r="C241"/>
      <c r="D241"/>
      <c r="E241"/>
      <c r="F241"/>
      <c r="G241"/>
      <c r="H241"/>
      <c r="I241"/>
      <c r="J241"/>
      <c r="K241"/>
      <c r="L241"/>
      <c r="M241"/>
      <c r="N241"/>
      <c r="O241"/>
      <c r="P241"/>
      <c r="Q241"/>
    </row>
    <row r="242" spans="1:17" ht="15.75" x14ac:dyDescent="0.25">
      <c r="A242"/>
      <c r="B242"/>
      <c r="C242"/>
      <c r="D242"/>
      <c r="E242"/>
      <c r="F242"/>
      <c r="G242"/>
      <c r="H242"/>
      <c r="I242"/>
      <c r="J242"/>
      <c r="K242"/>
      <c r="L242"/>
      <c r="M242"/>
      <c r="N242"/>
      <c r="O242"/>
      <c r="P242"/>
      <c r="Q242"/>
    </row>
    <row r="243" spans="1:17" ht="15.75" x14ac:dyDescent="0.25">
      <c r="A243"/>
      <c r="B243"/>
      <c r="C243"/>
      <c r="D243"/>
      <c r="E243"/>
      <c r="F243"/>
      <c r="G243"/>
      <c r="H243"/>
      <c r="I243"/>
      <c r="J243"/>
      <c r="K243"/>
      <c r="L243"/>
      <c r="M243"/>
      <c r="N243"/>
      <c r="O243"/>
      <c r="P243"/>
      <c r="Q243"/>
    </row>
    <row r="244" spans="1:17" ht="15.75" x14ac:dyDescent="0.25">
      <c r="A244"/>
      <c r="B244"/>
      <c r="C244"/>
      <c r="D244"/>
      <c r="E244"/>
      <c r="F244"/>
      <c r="G244"/>
      <c r="H244"/>
      <c r="I244"/>
      <c r="J244"/>
      <c r="K244"/>
      <c r="L244"/>
      <c r="M244"/>
      <c r="N244"/>
      <c r="O244"/>
      <c r="P244"/>
      <c r="Q244"/>
    </row>
    <row r="245" spans="1:17" ht="15.75" x14ac:dyDescent="0.25">
      <c r="A245"/>
      <c r="B245"/>
      <c r="C245"/>
      <c r="D245"/>
      <c r="E245"/>
      <c r="F245"/>
      <c r="G245"/>
      <c r="H245"/>
      <c r="I245"/>
      <c r="J245"/>
      <c r="K245"/>
      <c r="L245"/>
      <c r="M245"/>
      <c r="N245"/>
      <c r="O245"/>
      <c r="P245"/>
      <c r="Q245"/>
    </row>
    <row r="246" spans="1:17" ht="15.75" x14ac:dyDescent="0.25">
      <c r="A246"/>
      <c r="B246"/>
      <c r="C246"/>
      <c r="D246"/>
      <c r="E246"/>
      <c r="F246"/>
      <c r="G246"/>
      <c r="H246"/>
      <c r="I246"/>
      <c r="J246"/>
      <c r="K246"/>
      <c r="L246"/>
      <c r="M246"/>
      <c r="N246"/>
      <c r="O246"/>
      <c r="P246"/>
      <c r="Q246"/>
    </row>
    <row r="247" spans="1:17" ht="15.75" x14ac:dyDescent="0.25">
      <c r="A247"/>
      <c r="B247"/>
      <c r="C247"/>
      <c r="D247"/>
      <c r="E247"/>
      <c r="F247"/>
      <c r="G247"/>
      <c r="H247"/>
      <c r="I247"/>
      <c r="J247"/>
      <c r="K247"/>
      <c r="L247"/>
      <c r="M247"/>
      <c r="N247"/>
      <c r="O247"/>
      <c r="P247"/>
      <c r="Q247"/>
    </row>
    <row r="248" spans="1:17" ht="15.75" x14ac:dyDescent="0.25">
      <c r="A248"/>
      <c r="B248"/>
      <c r="C248"/>
      <c r="D248"/>
      <c r="E248"/>
      <c r="F248"/>
      <c r="G248"/>
      <c r="H248"/>
      <c r="I248"/>
      <c r="J248"/>
      <c r="K248"/>
      <c r="L248"/>
      <c r="M248"/>
      <c r="N248"/>
      <c r="O248"/>
      <c r="P248"/>
      <c r="Q248"/>
    </row>
    <row r="249" spans="1:17" ht="15.75" x14ac:dyDescent="0.25">
      <c r="A249"/>
      <c r="B249"/>
      <c r="C249"/>
      <c r="D249"/>
      <c r="E249"/>
      <c r="F249"/>
      <c r="G249"/>
      <c r="H249"/>
      <c r="I249"/>
      <c r="J249"/>
      <c r="K249"/>
      <c r="L249"/>
      <c r="M249"/>
      <c r="N249"/>
      <c r="O249"/>
      <c r="P249"/>
      <c r="Q249"/>
    </row>
    <row r="250" spans="1:17" ht="15.75" x14ac:dyDescent="0.25">
      <c r="A250"/>
      <c r="B250"/>
      <c r="C250"/>
      <c r="D250"/>
      <c r="E250"/>
      <c r="F250"/>
      <c r="G250"/>
      <c r="H250"/>
      <c r="I250"/>
      <c r="J250"/>
      <c r="K250"/>
      <c r="L250"/>
      <c r="M250"/>
      <c r="N250"/>
      <c r="O250"/>
      <c r="P250"/>
      <c r="Q250"/>
    </row>
    <row r="251" spans="1:17" ht="15.75" x14ac:dyDescent="0.25">
      <c r="A251"/>
      <c r="B251"/>
      <c r="C251"/>
      <c r="D251"/>
      <c r="E251"/>
      <c r="F251"/>
      <c r="G251"/>
      <c r="H251"/>
      <c r="I251"/>
      <c r="J251"/>
      <c r="K251"/>
      <c r="L251"/>
      <c r="M251"/>
      <c r="N251"/>
      <c r="O251"/>
      <c r="P251"/>
      <c r="Q251"/>
    </row>
    <row r="252" spans="1:17" ht="15.75" x14ac:dyDescent="0.25">
      <c r="A252"/>
      <c r="B252"/>
      <c r="C252"/>
      <c r="D252"/>
      <c r="E252"/>
      <c r="F252"/>
      <c r="G252"/>
      <c r="H252"/>
      <c r="I252"/>
      <c r="J252"/>
      <c r="K252"/>
      <c r="L252"/>
      <c r="M252"/>
      <c r="N252"/>
      <c r="O252"/>
      <c r="P252"/>
      <c r="Q252"/>
    </row>
    <row r="253" spans="1:17" ht="15.75" x14ac:dyDescent="0.25">
      <c r="A253"/>
      <c r="B253"/>
      <c r="C253"/>
      <c r="D253"/>
      <c r="E253"/>
      <c r="F253"/>
      <c r="G253"/>
      <c r="H253"/>
      <c r="I253"/>
      <c r="J253"/>
      <c r="K253"/>
      <c r="L253"/>
      <c r="M253"/>
      <c r="N253"/>
      <c r="O253"/>
      <c r="P253"/>
      <c r="Q253"/>
    </row>
    <row r="254" spans="1:17" ht="15.75" x14ac:dyDescent="0.25">
      <c r="A254"/>
      <c r="B254"/>
      <c r="C254"/>
      <c r="D254"/>
      <c r="E254"/>
      <c r="F254"/>
      <c r="G254"/>
      <c r="H254"/>
      <c r="I254"/>
      <c r="J254"/>
      <c r="K254"/>
      <c r="L254"/>
      <c r="M254"/>
      <c r="N254"/>
      <c r="O254"/>
      <c r="P254"/>
      <c r="Q254"/>
    </row>
    <row r="255" spans="1:17" ht="15.75" x14ac:dyDescent="0.25">
      <c r="A255"/>
      <c r="B255"/>
      <c r="C255"/>
      <c r="D255"/>
      <c r="E255"/>
      <c r="F255"/>
      <c r="G255"/>
      <c r="H255"/>
      <c r="I255"/>
      <c r="J255"/>
      <c r="K255"/>
      <c r="L255"/>
      <c r="M255"/>
      <c r="N255"/>
      <c r="O255"/>
      <c r="P255"/>
      <c r="Q255"/>
    </row>
    <row r="256" spans="1:17" ht="15.75" x14ac:dyDescent="0.25">
      <c r="A256"/>
      <c r="B256"/>
      <c r="C256"/>
      <c r="D256"/>
      <c r="E256"/>
      <c r="F256"/>
      <c r="G256"/>
      <c r="H256"/>
      <c r="I256"/>
      <c r="J256"/>
      <c r="K256"/>
      <c r="L256"/>
      <c r="M256"/>
      <c r="N256"/>
      <c r="O256"/>
      <c r="P256"/>
      <c r="Q256"/>
    </row>
    <row r="257" spans="1:17" ht="15.75" x14ac:dyDescent="0.25">
      <c r="A257"/>
      <c r="B257"/>
      <c r="C257"/>
      <c r="D257"/>
      <c r="E257"/>
      <c r="F257"/>
      <c r="G257"/>
      <c r="H257"/>
      <c r="I257"/>
      <c r="J257"/>
      <c r="K257"/>
      <c r="L257"/>
      <c r="M257"/>
      <c r="N257"/>
      <c r="O257"/>
      <c r="P257"/>
      <c r="Q257"/>
    </row>
    <row r="258" spans="1:17" ht="15.75" x14ac:dyDescent="0.25">
      <c r="A258"/>
      <c r="B258"/>
      <c r="C258"/>
      <c r="D258"/>
      <c r="E258"/>
      <c r="F258"/>
      <c r="G258"/>
      <c r="H258"/>
      <c r="I258"/>
      <c r="J258"/>
      <c r="K258"/>
      <c r="L258"/>
      <c r="M258"/>
      <c r="N258"/>
      <c r="O258"/>
      <c r="P258"/>
      <c r="Q258"/>
    </row>
    <row r="259" spans="1:17" ht="15.75" x14ac:dyDescent="0.25">
      <c r="A259"/>
      <c r="B259"/>
      <c r="C259"/>
      <c r="D259"/>
      <c r="E259"/>
      <c r="F259"/>
      <c r="G259"/>
      <c r="H259"/>
      <c r="I259"/>
      <c r="J259"/>
      <c r="K259"/>
      <c r="L259"/>
      <c r="M259"/>
      <c r="N259"/>
      <c r="O259"/>
      <c r="P259"/>
      <c r="Q259"/>
    </row>
    <row r="260" spans="1:17" ht="15.75" x14ac:dyDescent="0.25">
      <c r="A260"/>
      <c r="B260"/>
      <c r="C260"/>
      <c r="D260"/>
      <c r="E260"/>
      <c r="F260"/>
      <c r="G260"/>
      <c r="H260"/>
      <c r="I260"/>
      <c r="J260"/>
      <c r="K260"/>
      <c r="L260"/>
      <c r="M260"/>
      <c r="N260"/>
      <c r="O260"/>
      <c r="P260"/>
      <c r="Q260"/>
    </row>
    <row r="261" spans="1:17" ht="15.75" x14ac:dyDescent="0.25">
      <c r="A261"/>
      <c r="B261"/>
      <c r="C261"/>
      <c r="D261"/>
      <c r="E261"/>
      <c r="F261"/>
      <c r="G261"/>
      <c r="H261"/>
      <c r="I261"/>
      <c r="J261"/>
      <c r="K261"/>
      <c r="L261"/>
      <c r="M261"/>
      <c r="N261"/>
      <c r="O261"/>
      <c r="P261"/>
      <c r="Q261"/>
    </row>
    <row r="262" spans="1:17" ht="15.75" x14ac:dyDescent="0.25">
      <c r="A262"/>
      <c r="B262"/>
      <c r="C262"/>
      <c r="D262"/>
      <c r="E262"/>
      <c r="F262"/>
      <c r="G262"/>
      <c r="H262"/>
      <c r="I262"/>
      <c r="J262"/>
      <c r="K262"/>
      <c r="L262"/>
      <c r="M262"/>
      <c r="N262"/>
      <c r="O262"/>
      <c r="P262"/>
      <c r="Q262"/>
    </row>
    <row r="263" spans="1:17" ht="15.75" x14ac:dyDescent="0.25">
      <c r="A263"/>
      <c r="B263"/>
      <c r="C263"/>
      <c r="D263"/>
      <c r="E263"/>
      <c r="F263"/>
      <c r="G263"/>
      <c r="H263"/>
      <c r="I263"/>
      <c r="J263"/>
      <c r="K263"/>
      <c r="L263"/>
      <c r="M263"/>
      <c r="N263"/>
      <c r="O263"/>
      <c r="P263"/>
      <c r="Q263"/>
    </row>
    <row r="264" spans="1:17" ht="15.75" x14ac:dyDescent="0.25">
      <c r="A264"/>
      <c r="B264"/>
      <c r="C264"/>
      <c r="D264"/>
      <c r="E264"/>
      <c r="F264"/>
      <c r="G264"/>
      <c r="H264"/>
      <c r="I264"/>
      <c r="J264"/>
      <c r="K264"/>
      <c r="L264"/>
      <c r="M264"/>
      <c r="N264"/>
      <c r="O264"/>
      <c r="P264"/>
      <c r="Q264"/>
    </row>
    <row r="265" spans="1:17" ht="15.75" x14ac:dyDescent="0.25">
      <c r="A265"/>
      <c r="B265"/>
      <c r="C265"/>
      <c r="D265"/>
      <c r="E265"/>
      <c r="F265"/>
      <c r="G265"/>
      <c r="H265"/>
      <c r="I265"/>
      <c r="J265"/>
      <c r="K265"/>
      <c r="L265"/>
      <c r="M265"/>
      <c r="N265"/>
      <c r="O265"/>
      <c r="P265"/>
      <c r="Q265"/>
    </row>
    <row r="266" spans="1:17" ht="15.75" x14ac:dyDescent="0.25">
      <c r="A266"/>
      <c r="B266"/>
      <c r="C266"/>
      <c r="D266"/>
      <c r="E266"/>
      <c r="F266"/>
      <c r="G266"/>
      <c r="H266"/>
      <c r="I266"/>
      <c r="J266"/>
      <c r="K266"/>
      <c r="L266"/>
      <c r="M266"/>
      <c r="N266"/>
      <c r="O266"/>
      <c r="P266"/>
      <c r="Q266"/>
    </row>
    <row r="267" spans="1:17" ht="15.75" x14ac:dyDescent="0.25">
      <c r="A267"/>
      <c r="B267"/>
      <c r="C267"/>
      <c r="D267"/>
      <c r="E267"/>
      <c r="F267"/>
      <c r="G267"/>
      <c r="H267"/>
      <c r="I267"/>
      <c r="J267"/>
      <c r="K267"/>
      <c r="L267"/>
      <c r="M267"/>
      <c r="N267"/>
      <c r="O267"/>
      <c r="P267"/>
      <c r="Q267"/>
    </row>
    <row r="268" spans="1:17" ht="15.75" x14ac:dyDescent="0.25">
      <c r="A268"/>
      <c r="B268"/>
      <c r="C268"/>
      <c r="D268"/>
      <c r="E268"/>
      <c r="F268"/>
      <c r="G268"/>
      <c r="H268"/>
      <c r="I268"/>
      <c r="J268"/>
      <c r="K268"/>
      <c r="L268"/>
      <c r="M268"/>
      <c r="N268"/>
      <c r="O268"/>
      <c r="P268"/>
      <c r="Q268"/>
    </row>
    <row r="269" spans="1:17" ht="15.75" x14ac:dyDescent="0.25">
      <c r="A269"/>
      <c r="B269"/>
      <c r="C269"/>
      <c r="D269"/>
      <c r="E269"/>
      <c r="F269"/>
      <c r="G269"/>
      <c r="H269"/>
      <c r="I269"/>
      <c r="J269"/>
      <c r="K269"/>
      <c r="L269"/>
      <c r="M269"/>
      <c r="N269"/>
      <c r="O269"/>
      <c r="P269"/>
      <c r="Q269"/>
    </row>
    <row r="270" spans="1:17" ht="15.75" x14ac:dyDescent="0.25">
      <c r="A270"/>
      <c r="B270"/>
      <c r="C270"/>
      <c r="D270"/>
      <c r="E270"/>
      <c r="F270"/>
      <c r="G270"/>
      <c r="H270"/>
      <c r="I270"/>
      <c r="J270"/>
      <c r="K270"/>
      <c r="L270"/>
      <c r="M270"/>
      <c r="N270"/>
      <c r="O270"/>
      <c r="P270"/>
      <c r="Q270"/>
    </row>
    <row r="271" spans="1:17" ht="15.75" x14ac:dyDescent="0.25">
      <c r="A271"/>
      <c r="B271"/>
      <c r="C271"/>
      <c r="D271"/>
      <c r="E271"/>
      <c r="F271"/>
      <c r="G271"/>
      <c r="H271"/>
      <c r="I271"/>
      <c r="J271"/>
      <c r="K271"/>
      <c r="L271"/>
      <c r="M271"/>
      <c r="N271"/>
      <c r="O271"/>
      <c r="P271"/>
      <c r="Q271"/>
    </row>
    <row r="272" spans="1:17" ht="15.75" x14ac:dyDescent="0.25">
      <c r="A272"/>
      <c r="B272"/>
      <c r="C272"/>
      <c r="D272"/>
      <c r="E272"/>
      <c r="F272"/>
      <c r="G272"/>
      <c r="H272"/>
      <c r="I272"/>
      <c r="J272"/>
      <c r="K272"/>
      <c r="L272"/>
      <c r="M272"/>
      <c r="N272"/>
      <c r="O272"/>
      <c r="P272"/>
      <c r="Q272"/>
    </row>
    <row r="273" spans="1:17" ht="15.75" x14ac:dyDescent="0.25">
      <c r="A273"/>
      <c r="B273"/>
      <c r="C273"/>
      <c r="D273"/>
      <c r="E273"/>
      <c r="F273"/>
      <c r="G273"/>
      <c r="H273"/>
      <c r="I273"/>
      <c r="J273"/>
      <c r="K273"/>
      <c r="L273"/>
      <c r="M273"/>
      <c r="N273"/>
      <c r="O273"/>
      <c r="P273"/>
      <c r="Q273"/>
    </row>
    <row r="274" spans="1:17" ht="15.75" x14ac:dyDescent="0.25">
      <c r="A274"/>
      <c r="B274"/>
      <c r="C274"/>
      <c r="D274"/>
      <c r="E274"/>
      <c r="F274"/>
      <c r="G274"/>
      <c r="H274"/>
      <c r="I274"/>
      <c r="J274"/>
      <c r="K274"/>
      <c r="L274"/>
      <c r="M274"/>
      <c r="N274"/>
      <c r="O274"/>
      <c r="P274"/>
      <c r="Q274"/>
    </row>
    <row r="275" spans="1:17" ht="15.75" x14ac:dyDescent="0.25">
      <c r="A275"/>
      <c r="B275"/>
      <c r="C275"/>
      <c r="D275"/>
      <c r="E275"/>
      <c r="F275"/>
      <c r="G275"/>
      <c r="H275"/>
      <c r="I275"/>
      <c r="J275"/>
      <c r="K275"/>
      <c r="L275"/>
      <c r="M275"/>
      <c r="N275"/>
      <c r="O275"/>
      <c r="P275"/>
      <c r="Q275"/>
    </row>
    <row r="276" spans="1:17" ht="15.75" x14ac:dyDescent="0.25">
      <c r="A276"/>
      <c r="B276"/>
      <c r="C276"/>
      <c r="D276"/>
      <c r="E276"/>
      <c r="F276"/>
      <c r="G276"/>
      <c r="H276"/>
      <c r="I276"/>
      <c r="J276"/>
      <c r="K276"/>
      <c r="L276"/>
      <c r="M276"/>
      <c r="N276"/>
      <c r="O276"/>
      <c r="P276"/>
      <c r="Q276"/>
    </row>
    <row r="277" spans="1:17" ht="15.75" x14ac:dyDescent="0.25">
      <c r="A277"/>
      <c r="B277"/>
      <c r="C277"/>
      <c r="D277"/>
      <c r="E277"/>
      <c r="F277"/>
      <c r="G277"/>
      <c r="H277"/>
      <c r="I277"/>
      <c r="J277"/>
      <c r="K277"/>
      <c r="L277"/>
      <c r="M277"/>
      <c r="N277"/>
      <c r="O277"/>
      <c r="P277"/>
      <c r="Q277"/>
    </row>
    <row r="278" spans="1:17" ht="15.75" x14ac:dyDescent="0.25">
      <c r="A278"/>
      <c r="B278"/>
      <c r="C278"/>
      <c r="D278"/>
      <c r="E278"/>
      <c r="F278"/>
      <c r="G278"/>
      <c r="H278"/>
      <c r="I278"/>
      <c r="J278"/>
      <c r="K278"/>
      <c r="L278"/>
      <c r="M278"/>
      <c r="N278"/>
      <c r="O278"/>
      <c r="P278"/>
      <c r="Q278"/>
    </row>
    <row r="279" spans="1:17" ht="15.75" x14ac:dyDescent="0.25">
      <c r="A279"/>
      <c r="B279"/>
      <c r="C279"/>
      <c r="D279"/>
      <c r="E279"/>
      <c r="F279"/>
      <c r="G279"/>
      <c r="H279"/>
      <c r="I279"/>
      <c r="J279"/>
      <c r="K279"/>
      <c r="L279"/>
      <c r="M279"/>
      <c r="N279"/>
      <c r="O279"/>
      <c r="P279"/>
      <c r="Q279"/>
    </row>
    <row r="280" spans="1:17" ht="15.75" x14ac:dyDescent="0.25">
      <c r="A280"/>
      <c r="B280"/>
      <c r="C280"/>
      <c r="D280"/>
      <c r="E280"/>
      <c r="F280"/>
      <c r="G280"/>
      <c r="H280"/>
      <c r="I280"/>
      <c r="J280"/>
      <c r="K280"/>
      <c r="L280"/>
      <c r="M280"/>
      <c r="N280"/>
      <c r="O280"/>
      <c r="P280"/>
      <c r="Q280"/>
    </row>
    <row r="281" spans="1:17" ht="15.75" x14ac:dyDescent="0.25">
      <c r="A281"/>
      <c r="B281"/>
      <c r="C281"/>
      <c r="D281"/>
      <c r="E281"/>
      <c r="F281"/>
      <c r="G281"/>
      <c r="H281"/>
      <c r="I281"/>
      <c r="J281"/>
      <c r="K281"/>
      <c r="L281"/>
      <c r="M281"/>
      <c r="N281"/>
      <c r="O281"/>
      <c r="P281"/>
      <c r="Q281"/>
    </row>
    <row r="282" spans="1:17" ht="15.75" x14ac:dyDescent="0.25">
      <c r="A282"/>
      <c r="B282"/>
      <c r="C282"/>
      <c r="D282"/>
      <c r="E282"/>
      <c r="F282"/>
      <c r="G282"/>
      <c r="H282"/>
      <c r="I282"/>
      <c r="J282"/>
      <c r="K282"/>
      <c r="L282"/>
      <c r="M282"/>
      <c r="N282"/>
      <c r="O282"/>
      <c r="P282"/>
      <c r="Q282"/>
    </row>
    <row r="283" spans="1:17" ht="15.75" x14ac:dyDescent="0.25">
      <c r="A283"/>
      <c r="B283"/>
      <c r="C283"/>
      <c r="D283"/>
      <c r="E283"/>
      <c r="F283"/>
      <c r="G283"/>
      <c r="H283"/>
      <c r="I283"/>
      <c r="J283"/>
      <c r="K283"/>
      <c r="L283"/>
      <c r="M283"/>
      <c r="N283"/>
      <c r="O283"/>
      <c r="P283"/>
      <c r="Q283"/>
    </row>
    <row r="284" spans="1:17" ht="15.75" x14ac:dyDescent="0.25">
      <c r="A284"/>
      <c r="B284"/>
      <c r="C284"/>
      <c r="D284"/>
      <c r="E284"/>
      <c r="F284"/>
      <c r="G284"/>
      <c r="H284"/>
      <c r="I284"/>
      <c r="J284"/>
      <c r="K284"/>
      <c r="L284"/>
      <c r="M284"/>
      <c r="N284"/>
      <c r="O284"/>
      <c r="P284"/>
      <c r="Q284"/>
    </row>
    <row r="285" spans="1:17" ht="15.75" x14ac:dyDescent="0.25">
      <c r="A285"/>
      <c r="B285"/>
      <c r="C285"/>
      <c r="D285"/>
      <c r="E285"/>
      <c r="F285"/>
      <c r="G285"/>
      <c r="H285"/>
      <c r="I285"/>
      <c r="J285"/>
      <c r="K285"/>
      <c r="L285"/>
      <c r="M285"/>
      <c r="N285"/>
      <c r="O285"/>
      <c r="P285"/>
      <c r="Q285"/>
    </row>
    <row r="286" spans="1:17" ht="15.75" x14ac:dyDescent="0.25">
      <c r="A286"/>
      <c r="B286"/>
      <c r="C286"/>
      <c r="D286"/>
      <c r="E286"/>
      <c r="F286"/>
      <c r="G286"/>
      <c r="H286"/>
      <c r="I286"/>
      <c r="J286"/>
      <c r="K286"/>
      <c r="L286"/>
      <c r="M286"/>
      <c r="N286"/>
      <c r="O286"/>
      <c r="P286"/>
      <c r="Q286"/>
    </row>
    <row r="287" spans="1:17" ht="15.75" x14ac:dyDescent="0.25">
      <c r="A287"/>
      <c r="B287"/>
      <c r="C287"/>
      <c r="D287"/>
      <c r="E287"/>
      <c r="F287"/>
      <c r="G287"/>
      <c r="H287"/>
      <c r="I287"/>
      <c r="J287"/>
      <c r="K287"/>
      <c r="L287"/>
      <c r="M287"/>
      <c r="N287"/>
      <c r="O287"/>
      <c r="P287"/>
      <c r="Q287"/>
    </row>
    <row r="288" spans="1:17" ht="15.75" x14ac:dyDescent="0.25">
      <c r="A288"/>
      <c r="B288"/>
      <c r="C288"/>
      <c r="D288"/>
      <c r="E288"/>
      <c r="F288"/>
      <c r="G288"/>
      <c r="H288"/>
      <c r="I288"/>
      <c r="J288"/>
      <c r="K288"/>
      <c r="L288"/>
      <c r="M288"/>
      <c r="N288"/>
      <c r="O288"/>
      <c r="P288"/>
      <c r="Q288"/>
    </row>
    <row r="289" spans="1:17" ht="15.75" x14ac:dyDescent="0.25">
      <c r="A289"/>
      <c r="B289"/>
      <c r="C289"/>
      <c r="D289"/>
      <c r="E289"/>
      <c r="F289"/>
      <c r="G289"/>
      <c r="H289"/>
      <c r="I289"/>
      <c r="J289"/>
      <c r="K289"/>
      <c r="L289"/>
      <c r="M289"/>
      <c r="N289"/>
      <c r="O289"/>
      <c r="P289"/>
      <c r="Q289"/>
    </row>
    <row r="290" spans="1:17" ht="15.75" x14ac:dyDescent="0.25">
      <c r="A290"/>
      <c r="B290"/>
      <c r="C290"/>
      <c r="D290"/>
      <c r="E290"/>
      <c r="F290"/>
      <c r="G290"/>
      <c r="H290"/>
      <c r="I290"/>
      <c r="J290"/>
      <c r="K290"/>
      <c r="L290"/>
      <c r="M290"/>
      <c r="N290"/>
      <c r="O290"/>
      <c r="P290"/>
      <c r="Q290"/>
    </row>
    <row r="291" spans="1:17" ht="15.75" x14ac:dyDescent="0.25">
      <c r="A291"/>
      <c r="B291"/>
      <c r="C291"/>
      <c r="D291"/>
      <c r="E291"/>
      <c r="F291"/>
      <c r="G291"/>
      <c r="H291"/>
      <c r="I291"/>
      <c r="J291"/>
      <c r="K291"/>
      <c r="L291"/>
      <c r="M291"/>
      <c r="N291"/>
      <c r="O291"/>
      <c r="P291"/>
      <c r="Q291"/>
    </row>
    <row r="292" spans="1:17" ht="15.75" x14ac:dyDescent="0.25">
      <c r="A292"/>
      <c r="B292"/>
      <c r="C292"/>
      <c r="D292"/>
      <c r="E292"/>
      <c r="F292"/>
      <c r="G292"/>
      <c r="H292"/>
      <c r="I292"/>
      <c r="J292"/>
      <c r="K292"/>
      <c r="L292"/>
      <c r="M292"/>
      <c r="N292"/>
      <c r="O292"/>
      <c r="P292"/>
      <c r="Q292"/>
    </row>
    <row r="293" spans="1:17" ht="15.75" x14ac:dyDescent="0.25">
      <c r="A293"/>
      <c r="B293"/>
      <c r="C293"/>
      <c r="D293"/>
      <c r="E293"/>
      <c r="F293"/>
      <c r="G293"/>
      <c r="H293"/>
      <c r="I293"/>
      <c r="J293"/>
      <c r="K293"/>
      <c r="L293"/>
      <c r="M293"/>
      <c r="N293"/>
      <c r="O293"/>
      <c r="P293"/>
      <c r="Q293"/>
    </row>
    <row r="294" spans="1:17" ht="15.75" x14ac:dyDescent="0.25">
      <c r="A294"/>
      <c r="B294"/>
      <c r="C294"/>
      <c r="D294"/>
      <c r="E294"/>
      <c r="F294"/>
      <c r="G294"/>
      <c r="H294"/>
      <c r="I294"/>
      <c r="J294"/>
      <c r="K294"/>
      <c r="L294"/>
      <c r="M294"/>
      <c r="N294"/>
      <c r="O294"/>
      <c r="P294"/>
      <c r="Q294"/>
    </row>
    <row r="295" spans="1:17" ht="15.75" x14ac:dyDescent="0.25">
      <c r="A295"/>
      <c r="B295"/>
      <c r="C295"/>
      <c r="D295"/>
      <c r="E295"/>
      <c r="F295"/>
      <c r="G295"/>
      <c r="H295"/>
      <c r="I295"/>
      <c r="J295"/>
      <c r="K295"/>
      <c r="L295"/>
      <c r="M295"/>
      <c r="N295"/>
      <c r="O295"/>
      <c r="P295"/>
      <c r="Q295"/>
    </row>
    <row r="296" spans="1:17" ht="15.75" x14ac:dyDescent="0.25">
      <c r="A296"/>
      <c r="B296"/>
      <c r="C296"/>
      <c r="D296"/>
      <c r="E296"/>
      <c r="F296"/>
      <c r="G296"/>
      <c r="H296"/>
      <c r="I296"/>
      <c r="J296"/>
      <c r="K296"/>
      <c r="L296"/>
      <c r="M296"/>
      <c r="N296"/>
      <c r="O296"/>
      <c r="P296"/>
      <c r="Q296"/>
    </row>
    <row r="297" spans="1:17" ht="15.75" x14ac:dyDescent="0.25">
      <c r="A297"/>
      <c r="B297"/>
      <c r="C297"/>
      <c r="D297"/>
      <c r="E297"/>
      <c r="F297"/>
      <c r="G297"/>
      <c r="H297"/>
      <c r="I297"/>
      <c r="J297"/>
      <c r="K297"/>
      <c r="L297"/>
      <c r="M297"/>
      <c r="N297"/>
      <c r="O297"/>
      <c r="P297"/>
      <c r="Q297"/>
    </row>
    <row r="298" spans="1:17" ht="15.75" x14ac:dyDescent="0.25">
      <c r="A298"/>
      <c r="B298"/>
      <c r="C298"/>
      <c r="D298"/>
      <c r="E298"/>
      <c r="F298"/>
      <c r="G298"/>
      <c r="H298"/>
      <c r="I298"/>
      <c r="J298"/>
      <c r="K298"/>
      <c r="L298"/>
      <c r="M298"/>
      <c r="N298"/>
      <c r="O298"/>
      <c r="P298"/>
      <c r="Q298"/>
    </row>
    <row r="299" spans="1:17" ht="15.75" x14ac:dyDescent="0.25">
      <c r="A299"/>
      <c r="B299"/>
      <c r="C299"/>
      <c r="D299"/>
      <c r="E299"/>
      <c r="F299"/>
      <c r="G299"/>
      <c r="H299"/>
      <c r="I299"/>
      <c r="J299"/>
      <c r="K299"/>
      <c r="L299"/>
      <c r="M299"/>
      <c r="N299"/>
      <c r="O299"/>
      <c r="P299"/>
      <c r="Q299"/>
    </row>
    <row r="300" spans="1:17" ht="15.75" x14ac:dyDescent="0.25">
      <c r="A300"/>
      <c r="B300"/>
      <c r="C300"/>
      <c r="D300"/>
      <c r="E300"/>
      <c r="F300"/>
      <c r="G300"/>
      <c r="H300"/>
      <c r="I300"/>
      <c r="J300"/>
      <c r="K300"/>
      <c r="L300"/>
      <c r="M300"/>
      <c r="N300"/>
      <c r="O300"/>
      <c r="P300"/>
      <c r="Q300"/>
    </row>
    <row r="301" spans="1:17" ht="15.75" x14ac:dyDescent="0.25">
      <c r="A301"/>
      <c r="B301"/>
      <c r="C301"/>
      <c r="D301"/>
      <c r="E301"/>
      <c r="F301"/>
      <c r="G301"/>
      <c r="H301"/>
      <c r="I301"/>
      <c r="J301"/>
      <c r="K301"/>
      <c r="L301"/>
      <c r="M301"/>
      <c r="N301"/>
      <c r="O301"/>
      <c r="P301"/>
      <c r="Q301"/>
    </row>
    <row r="302" spans="1:17" ht="15.75" x14ac:dyDescent="0.25">
      <c r="A302"/>
      <c r="B302"/>
      <c r="C302"/>
      <c r="D302"/>
      <c r="E302"/>
      <c r="F302"/>
      <c r="G302"/>
      <c r="H302"/>
      <c r="I302"/>
      <c r="J302"/>
      <c r="K302"/>
      <c r="L302"/>
      <c r="M302"/>
      <c r="N302"/>
      <c r="O302"/>
      <c r="P302"/>
      <c r="Q302"/>
    </row>
    <row r="303" spans="1:17" ht="15.75" x14ac:dyDescent="0.25">
      <c r="A303"/>
      <c r="B303"/>
      <c r="C303"/>
      <c r="D303"/>
      <c r="E303"/>
      <c r="F303"/>
      <c r="G303"/>
      <c r="H303"/>
      <c r="I303"/>
      <c r="J303"/>
      <c r="K303"/>
      <c r="L303"/>
      <c r="M303"/>
      <c r="N303"/>
      <c r="O303"/>
      <c r="P303"/>
      <c r="Q303"/>
    </row>
    <row r="304" spans="1:17" ht="15.75" x14ac:dyDescent="0.25">
      <c r="A304"/>
      <c r="B304"/>
      <c r="C304"/>
      <c r="D304"/>
      <c r="E304"/>
      <c r="F304"/>
      <c r="G304"/>
      <c r="H304"/>
      <c r="I304"/>
      <c r="J304"/>
      <c r="K304"/>
      <c r="L304"/>
      <c r="M304"/>
      <c r="N304"/>
      <c r="O304"/>
      <c r="P304"/>
      <c r="Q304"/>
    </row>
    <row r="305" spans="1:17" ht="15.75" x14ac:dyDescent="0.25">
      <c r="A305"/>
      <c r="B305"/>
      <c r="C305"/>
      <c r="D305"/>
      <c r="E305"/>
      <c r="F305"/>
      <c r="G305"/>
      <c r="H305"/>
      <c r="I305"/>
      <c r="J305"/>
      <c r="K305"/>
      <c r="L305"/>
      <c r="M305"/>
      <c r="N305"/>
      <c r="O305"/>
      <c r="P305"/>
      <c r="Q305"/>
    </row>
    <row r="306" spans="1:17" ht="15.75" x14ac:dyDescent="0.25">
      <c r="A306"/>
      <c r="B306"/>
      <c r="C306"/>
      <c r="D306"/>
      <c r="E306"/>
      <c r="F306"/>
      <c r="G306"/>
      <c r="H306"/>
      <c r="I306"/>
      <c r="J306"/>
      <c r="K306"/>
      <c r="L306"/>
      <c r="M306"/>
      <c r="N306"/>
      <c r="O306"/>
      <c r="P306"/>
      <c r="Q306"/>
    </row>
    <row r="307" spans="1:17" ht="15.75" x14ac:dyDescent="0.25">
      <c r="A307"/>
      <c r="B307"/>
      <c r="C307"/>
      <c r="D307"/>
      <c r="E307"/>
      <c r="F307"/>
      <c r="G307"/>
      <c r="H307"/>
      <c r="I307"/>
      <c r="J307"/>
      <c r="K307"/>
      <c r="L307"/>
      <c r="M307"/>
      <c r="N307"/>
      <c r="O307"/>
      <c r="P307"/>
      <c r="Q307"/>
    </row>
    <row r="308" spans="1:17" ht="15.75" x14ac:dyDescent="0.25">
      <c r="A308"/>
      <c r="B308"/>
      <c r="C308"/>
      <c r="D308"/>
      <c r="E308"/>
      <c r="F308"/>
      <c r="G308"/>
      <c r="H308"/>
      <c r="I308"/>
      <c r="J308"/>
      <c r="K308"/>
      <c r="L308"/>
      <c r="M308"/>
      <c r="N308"/>
      <c r="O308"/>
      <c r="P308"/>
      <c r="Q308"/>
    </row>
    <row r="309" spans="1:17" ht="15.75" x14ac:dyDescent="0.25">
      <c r="A309"/>
      <c r="B309"/>
      <c r="C309"/>
      <c r="D309"/>
      <c r="E309"/>
      <c r="F309"/>
      <c r="G309"/>
      <c r="H309"/>
      <c r="I309"/>
      <c r="J309"/>
      <c r="K309"/>
      <c r="L309"/>
      <c r="M309"/>
      <c r="N309"/>
      <c r="O309"/>
      <c r="P309"/>
      <c r="Q309"/>
    </row>
    <row r="310" spans="1:17" ht="15.75" x14ac:dyDescent="0.25">
      <c r="A310"/>
      <c r="B310"/>
      <c r="C310"/>
      <c r="D310"/>
      <c r="E310"/>
      <c r="F310"/>
      <c r="G310"/>
      <c r="H310"/>
      <c r="I310"/>
      <c r="J310"/>
      <c r="K310"/>
      <c r="L310"/>
      <c r="M310"/>
      <c r="N310"/>
      <c r="O310"/>
      <c r="P310"/>
      <c r="Q310"/>
    </row>
    <row r="311" spans="1:17" ht="15.75" x14ac:dyDescent="0.25">
      <c r="A311"/>
      <c r="B311"/>
      <c r="C311"/>
      <c r="D311"/>
      <c r="E311"/>
      <c r="F311"/>
      <c r="G311"/>
      <c r="H311"/>
      <c r="I311"/>
      <c r="J311"/>
      <c r="K311"/>
      <c r="L311"/>
      <c r="M311"/>
      <c r="N311"/>
      <c r="O311"/>
      <c r="P311"/>
      <c r="Q311"/>
    </row>
    <row r="312" spans="1:17" ht="15.75" x14ac:dyDescent="0.25">
      <c r="A312"/>
      <c r="B312"/>
      <c r="C312"/>
      <c r="D312"/>
      <c r="E312"/>
      <c r="F312"/>
      <c r="G312"/>
      <c r="H312"/>
      <c r="I312"/>
      <c r="J312"/>
      <c r="K312"/>
      <c r="L312"/>
      <c r="M312"/>
      <c r="N312"/>
      <c r="O312"/>
      <c r="P312"/>
      <c r="Q312"/>
    </row>
    <row r="313" spans="1:17" ht="15.75" x14ac:dyDescent="0.25">
      <c r="A313"/>
      <c r="B313"/>
      <c r="C313"/>
      <c r="D313"/>
      <c r="E313"/>
      <c r="F313"/>
      <c r="G313"/>
      <c r="H313"/>
      <c r="I313"/>
      <c r="J313"/>
      <c r="K313"/>
      <c r="L313"/>
      <c r="M313"/>
      <c r="N313"/>
      <c r="O313"/>
      <c r="P313"/>
      <c r="Q313"/>
    </row>
    <row r="314" spans="1:17" ht="15.75" x14ac:dyDescent="0.25">
      <c r="A314"/>
      <c r="B314"/>
      <c r="C314"/>
      <c r="D314"/>
      <c r="E314"/>
      <c r="F314"/>
      <c r="G314"/>
      <c r="H314"/>
      <c r="I314"/>
      <c r="J314"/>
      <c r="K314"/>
      <c r="L314"/>
      <c r="M314"/>
      <c r="N314"/>
      <c r="O314"/>
      <c r="P314"/>
      <c r="Q314"/>
    </row>
    <row r="315" spans="1:17" ht="15.75" x14ac:dyDescent="0.25">
      <c r="A315"/>
      <c r="B315"/>
      <c r="C315"/>
      <c r="D315"/>
      <c r="E315"/>
      <c r="F315"/>
      <c r="G315"/>
      <c r="H315"/>
      <c r="I315"/>
      <c r="J315"/>
      <c r="K315"/>
      <c r="L315"/>
      <c r="M315"/>
      <c r="N315"/>
      <c r="O315"/>
      <c r="P315"/>
      <c r="Q315"/>
    </row>
    <row r="316" spans="1:17" ht="15.75" x14ac:dyDescent="0.25">
      <c r="A316"/>
      <c r="B316"/>
      <c r="C316"/>
      <c r="D316"/>
      <c r="E316"/>
      <c r="F316"/>
      <c r="G316"/>
      <c r="H316"/>
      <c r="I316"/>
      <c r="J316"/>
      <c r="K316"/>
      <c r="L316"/>
      <c r="M316"/>
      <c r="N316"/>
      <c r="O316"/>
      <c r="P316"/>
      <c r="Q316"/>
    </row>
    <row r="317" spans="1:17" ht="15.75" x14ac:dyDescent="0.25">
      <c r="A317"/>
      <c r="B317"/>
      <c r="C317"/>
      <c r="D317"/>
      <c r="E317"/>
      <c r="F317"/>
      <c r="G317"/>
      <c r="H317"/>
      <c r="I317"/>
      <c r="J317"/>
      <c r="K317"/>
      <c r="L317"/>
      <c r="M317"/>
      <c r="N317"/>
      <c r="O317"/>
      <c r="P317"/>
      <c r="Q317"/>
    </row>
    <row r="318" spans="1:17" ht="15.75" x14ac:dyDescent="0.25">
      <c r="A318"/>
      <c r="B318"/>
      <c r="C318"/>
      <c r="D318"/>
      <c r="E318"/>
      <c r="F318"/>
      <c r="G318"/>
      <c r="H318"/>
      <c r="I318"/>
      <c r="J318"/>
      <c r="K318"/>
      <c r="L318"/>
      <c r="M318"/>
      <c r="N318"/>
      <c r="O318"/>
      <c r="P318"/>
      <c r="Q318"/>
    </row>
    <row r="319" spans="1:17" ht="15.75" x14ac:dyDescent="0.25">
      <c r="A319"/>
      <c r="B319"/>
      <c r="C319"/>
      <c r="D319"/>
      <c r="E319"/>
      <c r="F319"/>
      <c r="G319"/>
      <c r="H319"/>
      <c r="I319"/>
      <c r="J319"/>
      <c r="K319"/>
      <c r="L319"/>
      <c r="M319"/>
      <c r="N319"/>
      <c r="O319"/>
      <c r="P319"/>
      <c r="Q319"/>
    </row>
    <row r="320" spans="1:17" ht="15.75" x14ac:dyDescent="0.25">
      <c r="A320"/>
      <c r="B320"/>
      <c r="C320"/>
      <c r="D320"/>
      <c r="E320"/>
      <c r="F320"/>
      <c r="G320"/>
      <c r="H320"/>
      <c r="I320"/>
      <c r="J320"/>
      <c r="K320"/>
      <c r="L320"/>
      <c r="M320"/>
      <c r="N320"/>
      <c r="O320"/>
      <c r="P320"/>
      <c r="Q320"/>
    </row>
    <row r="321" spans="1:17" ht="15.75" x14ac:dyDescent="0.25">
      <c r="A321"/>
      <c r="B321"/>
      <c r="C321"/>
      <c r="D321"/>
      <c r="E321"/>
      <c r="F321"/>
      <c r="G321"/>
      <c r="H321"/>
      <c r="I321"/>
      <c r="J321"/>
      <c r="K321"/>
      <c r="L321"/>
      <c r="M321"/>
      <c r="N321"/>
      <c r="O321"/>
      <c r="P321"/>
      <c r="Q321"/>
    </row>
    <row r="322" spans="1:17" ht="15.75" x14ac:dyDescent="0.25">
      <c r="A322"/>
      <c r="B322"/>
      <c r="C322"/>
      <c r="D322"/>
      <c r="E322"/>
      <c r="F322"/>
      <c r="G322"/>
      <c r="H322"/>
      <c r="I322"/>
      <c r="J322"/>
      <c r="K322"/>
      <c r="L322"/>
      <c r="M322"/>
      <c r="N322"/>
      <c r="O322"/>
      <c r="P322"/>
      <c r="Q322"/>
    </row>
    <row r="323" spans="1:17" ht="15.75" x14ac:dyDescent="0.25">
      <c r="A323"/>
      <c r="B323"/>
      <c r="C323"/>
      <c r="D323"/>
      <c r="E323"/>
      <c r="F323"/>
      <c r="G323"/>
      <c r="H323"/>
      <c r="I323"/>
      <c r="J323"/>
      <c r="K323"/>
      <c r="L323"/>
      <c r="M323"/>
      <c r="N323"/>
      <c r="O323"/>
      <c r="P323"/>
      <c r="Q323"/>
    </row>
    <row r="324" spans="1:17" ht="15.75" x14ac:dyDescent="0.25">
      <c r="A324"/>
      <c r="B324"/>
      <c r="C324"/>
      <c r="D324"/>
      <c r="E324"/>
      <c r="F324"/>
      <c r="G324"/>
      <c r="H324"/>
      <c r="I324"/>
      <c r="J324"/>
      <c r="K324"/>
      <c r="L324"/>
      <c r="M324"/>
      <c r="N324"/>
      <c r="O324"/>
      <c r="P324"/>
      <c r="Q324"/>
    </row>
    <row r="325" spans="1:17" ht="15.75" x14ac:dyDescent="0.25">
      <c r="A325"/>
      <c r="B325"/>
      <c r="C325"/>
      <c r="D325"/>
      <c r="E325"/>
      <c r="F325"/>
      <c r="G325"/>
      <c r="H325"/>
      <c r="I325"/>
      <c r="J325"/>
      <c r="K325"/>
      <c r="L325"/>
      <c r="M325"/>
      <c r="N325"/>
      <c r="O325"/>
      <c r="P325"/>
      <c r="Q325"/>
    </row>
    <row r="326" spans="1:17" ht="15.75" x14ac:dyDescent="0.25">
      <c r="A326"/>
      <c r="B326"/>
      <c r="C326"/>
      <c r="D326"/>
      <c r="E326"/>
      <c r="F326"/>
      <c r="G326"/>
      <c r="H326"/>
      <c r="I326"/>
      <c r="J326"/>
      <c r="K326"/>
      <c r="L326"/>
      <c r="M326"/>
      <c r="N326"/>
      <c r="O326"/>
      <c r="P326"/>
      <c r="Q326"/>
    </row>
    <row r="327" spans="1:17" ht="15.75" x14ac:dyDescent="0.25">
      <c r="A327"/>
      <c r="B327"/>
      <c r="C327"/>
      <c r="D327"/>
      <c r="E327"/>
      <c r="F327"/>
      <c r="G327"/>
      <c r="H327"/>
      <c r="I327"/>
      <c r="J327"/>
      <c r="K327"/>
      <c r="L327"/>
      <c r="M327"/>
      <c r="N327"/>
      <c r="O327"/>
      <c r="P327"/>
      <c r="Q327"/>
    </row>
    <row r="328" spans="1:17" ht="15.75" x14ac:dyDescent="0.25">
      <c r="A328"/>
      <c r="B328"/>
      <c r="C328"/>
      <c r="D328"/>
      <c r="E328"/>
      <c r="F328"/>
      <c r="G328"/>
      <c r="H328"/>
      <c r="I328"/>
      <c r="J328"/>
      <c r="K328"/>
      <c r="L328"/>
      <c r="M328"/>
      <c r="N328"/>
      <c r="O328"/>
      <c r="P328"/>
      <c r="Q328"/>
    </row>
    <row r="329" spans="1:17" ht="15.75" x14ac:dyDescent="0.25">
      <c r="A329"/>
      <c r="B329"/>
      <c r="C329"/>
      <c r="D329"/>
      <c r="E329"/>
      <c r="F329"/>
      <c r="G329"/>
      <c r="H329"/>
      <c r="I329"/>
      <c r="J329"/>
      <c r="K329"/>
      <c r="L329"/>
      <c r="M329"/>
      <c r="N329"/>
      <c r="O329"/>
      <c r="P329"/>
      <c r="Q329"/>
    </row>
    <row r="330" spans="1:17" ht="15.75" x14ac:dyDescent="0.25">
      <c r="A330"/>
      <c r="B330"/>
      <c r="C330"/>
      <c r="D330"/>
      <c r="E330"/>
      <c r="F330"/>
      <c r="G330"/>
      <c r="H330"/>
      <c r="I330"/>
      <c r="J330"/>
      <c r="K330"/>
      <c r="L330"/>
      <c r="M330"/>
      <c r="N330"/>
      <c r="O330"/>
      <c r="P330"/>
      <c r="Q330"/>
    </row>
    <row r="331" spans="1:17" ht="15.75" x14ac:dyDescent="0.25">
      <c r="A331"/>
      <c r="B331"/>
      <c r="C331"/>
      <c r="D331"/>
      <c r="E331"/>
      <c r="F331"/>
      <c r="G331"/>
      <c r="H331"/>
      <c r="I331"/>
      <c r="J331"/>
      <c r="K331"/>
      <c r="L331"/>
      <c r="M331"/>
      <c r="N331"/>
      <c r="O331"/>
      <c r="P331"/>
      <c r="Q331"/>
    </row>
    <row r="332" spans="1:17" ht="15.75" x14ac:dyDescent="0.25">
      <c r="A332"/>
      <c r="B332"/>
      <c r="C332"/>
      <c r="D332"/>
      <c r="E332"/>
      <c r="F332"/>
      <c r="G332"/>
      <c r="H332"/>
      <c r="I332"/>
      <c r="J332"/>
      <c r="K332"/>
      <c r="L332"/>
      <c r="M332"/>
      <c r="N332"/>
      <c r="O332"/>
      <c r="P332"/>
      <c r="Q332"/>
    </row>
    <row r="333" spans="1:17" ht="15.75" x14ac:dyDescent="0.25">
      <c r="A333"/>
      <c r="B333"/>
      <c r="C333"/>
      <c r="D333"/>
      <c r="E333"/>
      <c r="F333"/>
      <c r="G333"/>
      <c r="H333"/>
      <c r="I333"/>
      <c r="J333"/>
      <c r="K333"/>
      <c r="L333"/>
      <c r="M333"/>
      <c r="N333"/>
      <c r="O333"/>
      <c r="P333"/>
      <c r="Q333"/>
    </row>
    <row r="334" spans="1:17" ht="15.75" x14ac:dyDescent="0.25">
      <c r="A334"/>
      <c r="B334"/>
      <c r="C334"/>
      <c r="D334"/>
      <c r="E334"/>
      <c r="F334"/>
      <c r="G334"/>
      <c r="H334"/>
      <c r="I334"/>
      <c r="J334"/>
      <c r="K334"/>
      <c r="L334"/>
      <c r="M334"/>
      <c r="N334"/>
      <c r="O334"/>
      <c r="P334"/>
      <c r="Q334"/>
    </row>
    <row r="335" spans="1:17" ht="15.75" x14ac:dyDescent="0.25">
      <c r="A335"/>
      <c r="B335"/>
      <c r="C335"/>
      <c r="D335"/>
      <c r="E335"/>
      <c r="F335"/>
      <c r="G335"/>
      <c r="H335"/>
      <c r="I335"/>
      <c r="J335"/>
      <c r="K335"/>
      <c r="L335"/>
      <c r="M335"/>
      <c r="N335"/>
      <c r="O335"/>
      <c r="P335"/>
      <c r="Q335"/>
    </row>
    <row r="336" spans="1:17" ht="15.75" x14ac:dyDescent="0.25">
      <c r="A336"/>
      <c r="B336"/>
      <c r="C336"/>
      <c r="D336"/>
      <c r="E336"/>
      <c r="F336"/>
      <c r="G336"/>
      <c r="H336"/>
      <c r="I336"/>
      <c r="J336"/>
      <c r="K336"/>
      <c r="L336"/>
      <c r="M336"/>
      <c r="N336"/>
      <c r="O336"/>
      <c r="P336"/>
      <c r="Q336"/>
    </row>
    <row r="337" spans="1:17" ht="15.75" x14ac:dyDescent="0.25">
      <c r="A337"/>
      <c r="B337"/>
      <c r="C337"/>
      <c r="D337"/>
      <c r="E337"/>
      <c r="F337"/>
      <c r="G337"/>
      <c r="H337"/>
      <c r="I337"/>
      <c r="J337"/>
      <c r="K337"/>
      <c r="L337"/>
      <c r="M337"/>
      <c r="N337"/>
      <c r="O337"/>
      <c r="P337"/>
      <c r="Q337"/>
    </row>
    <row r="338" spans="1:17" ht="15.75" x14ac:dyDescent="0.25">
      <c r="A338"/>
      <c r="B338"/>
      <c r="C338"/>
      <c r="D338"/>
      <c r="E338"/>
      <c r="F338"/>
      <c r="G338"/>
      <c r="H338"/>
      <c r="I338"/>
      <c r="J338"/>
      <c r="K338"/>
      <c r="L338"/>
      <c r="M338"/>
      <c r="N338"/>
      <c r="O338"/>
      <c r="P338"/>
      <c r="Q338"/>
    </row>
    <row r="339" spans="1:17" ht="15.75" x14ac:dyDescent="0.25">
      <c r="A339"/>
      <c r="B339"/>
      <c r="C339"/>
      <c r="D339"/>
      <c r="E339"/>
      <c r="F339"/>
      <c r="G339"/>
      <c r="H339"/>
      <c r="I339"/>
      <c r="J339"/>
      <c r="K339"/>
      <c r="L339"/>
      <c r="M339"/>
      <c r="N339"/>
      <c r="O339"/>
      <c r="P339"/>
      <c r="Q339"/>
    </row>
    <row r="340" spans="1:17" ht="15.75" x14ac:dyDescent="0.25">
      <c r="A340"/>
      <c r="B340"/>
      <c r="C340"/>
      <c r="D340"/>
      <c r="E340"/>
      <c r="F340"/>
      <c r="G340"/>
      <c r="H340"/>
      <c r="I340"/>
      <c r="J340"/>
      <c r="K340"/>
      <c r="L340"/>
      <c r="M340"/>
      <c r="N340"/>
      <c r="O340"/>
      <c r="P340"/>
      <c r="Q340"/>
    </row>
    <row r="341" spans="1:17" ht="15.75" x14ac:dyDescent="0.25">
      <c r="A341"/>
      <c r="B341"/>
      <c r="C341"/>
      <c r="D341"/>
      <c r="E341"/>
      <c r="F341"/>
      <c r="G341"/>
      <c r="H341"/>
      <c r="I341"/>
      <c r="J341"/>
      <c r="K341"/>
      <c r="L341"/>
      <c r="M341"/>
      <c r="N341"/>
      <c r="O341"/>
      <c r="P341"/>
      <c r="Q341"/>
    </row>
    <row r="342" spans="1:17" ht="15.75" x14ac:dyDescent="0.25">
      <c r="A342"/>
      <c r="B342"/>
      <c r="C342"/>
      <c r="D342"/>
      <c r="E342"/>
      <c r="F342"/>
      <c r="G342"/>
      <c r="H342"/>
      <c r="I342"/>
      <c r="J342"/>
      <c r="K342"/>
      <c r="L342"/>
      <c r="M342"/>
      <c r="N342"/>
      <c r="O342"/>
      <c r="P342"/>
      <c r="Q342"/>
    </row>
    <row r="343" spans="1:17" ht="15.75" x14ac:dyDescent="0.25">
      <c r="A343"/>
      <c r="B343"/>
      <c r="C343"/>
      <c r="D343"/>
      <c r="E343"/>
      <c r="F343"/>
      <c r="G343"/>
      <c r="H343"/>
      <c r="I343"/>
      <c r="J343"/>
      <c r="K343"/>
      <c r="L343"/>
      <c r="M343"/>
      <c r="N343"/>
      <c r="O343"/>
      <c r="P343"/>
      <c r="Q343"/>
    </row>
    <row r="344" spans="1:17" ht="15.75" x14ac:dyDescent="0.25">
      <c r="A344"/>
      <c r="B344"/>
      <c r="C344"/>
      <c r="D344"/>
      <c r="E344"/>
      <c r="F344"/>
      <c r="G344"/>
      <c r="H344"/>
      <c r="I344"/>
      <c r="J344"/>
      <c r="K344"/>
      <c r="L344"/>
      <c r="M344"/>
      <c r="N344"/>
      <c r="O344"/>
      <c r="P344"/>
      <c r="Q344"/>
    </row>
    <row r="345" spans="1:17" ht="15.75" x14ac:dyDescent="0.25">
      <c r="A345"/>
      <c r="B345"/>
      <c r="C345"/>
      <c r="D345"/>
      <c r="E345"/>
      <c r="F345"/>
      <c r="G345"/>
      <c r="H345"/>
      <c r="I345"/>
      <c r="J345"/>
      <c r="K345"/>
      <c r="L345"/>
      <c r="M345"/>
      <c r="N345"/>
      <c r="O345"/>
      <c r="P345"/>
      <c r="Q345"/>
    </row>
    <row r="346" spans="1:17" ht="15.75" x14ac:dyDescent="0.25">
      <c r="A346"/>
      <c r="B346"/>
      <c r="C346"/>
      <c r="D346"/>
      <c r="E346"/>
      <c r="F346"/>
      <c r="G346"/>
      <c r="H346"/>
      <c r="I346"/>
      <c r="J346"/>
      <c r="K346"/>
      <c r="L346"/>
      <c r="M346"/>
      <c r="N346"/>
      <c r="O346"/>
      <c r="P346"/>
      <c r="Q346"/>
    </row>
    <row r="347" spans="1:17" ht="15.75" x14ac:dyDescent="0.25">
      <c r="A347"/>
      <c r="B347"/>
      <c r="C347"/>
      <c r="D347"/>
      <c r="E347"/>
      <c r="F347"/>
      <c r="G347"/>
      <c r="H347"/>
      <c r="I347"/>
      <c r="J347"/>
      <c r="K347"/>
      <c r="L347"/>
      <c r="M347"/>
      <c r="N347"/>
      <c r="O347"/>
      <c r="P347"/>
      <c r="Q347"/>
    </row>
    <row r="348" spans="1:17" ht="15.75" x14ac:dyDescent="0.25">
      <c r="A348"/>
      <c r="B348"/>
      <c r="C348"/>
      <c r="D348"/>
      <c r="E348"/>
      <c r="F348"/>
      <c r="G348"/>
      <c r="H348"/>
      <c r="I348"/>
      <c r="J348"/>
      <c r="K348"/>
      <c r="L348"/>
      <c r="M348"/>
      <c r="N348"/>
      <c r="O348"/>
      <c r="P348"/>
      <c r="Q348"/>
    </row>
    <row r="349" spans="1:17" ht="15.75" x14ac:dyDescent="0.25">
      <c r="A349"/>
      <c r="B349"/>
      <c r="C349"/>
      <c r="D349"/>
      <c r="E349"/>
      <c r="F349"/>
      <c r="G349"/>
      <c r="H349"/>
      <c r="I349"/>
      <c r="J349"/>
      <c r="K349"/>
      <c r="L349"/>
      <c r="M349"/>
      <c r="N349"/>
      <c r="O349"/>
      <c r="P349"/>
      <c r="Q349"/>
    </row>
    <row r="350" spans="1:17" ht="15.75" x14ac:dyDescent="0.25">
      <c r="A350"/>
      <c r="B350"/>
      <c r="C350"/>
      <c r="D350"/>
      <c r="E350"/>
      <c r="F350"/>
      <c r="G350"/>
      <c r="H350"/>
      <c r="I350"/>
      <c r="J350"/>
      <c r="K350"/>
      <c r="L350"/>
      <c r="M350"/>
      <c r="N350"/>
      <c r="O350"/>
      <c r="P350"/>
      <c r="Q350"/>
    </row>
    <row r="351" spans="1:17" ht="15.75" x14ac:dyDescent="0.25">
      <c r="A351"/>
      <c r="B351"/>
      <c r="C351"/>
      <c r="D351"/>
      <c r="E351"/>
      <c r="F351"/>
      <c r="G351"/>
      <c r="H351"/>
      <c r="I351"/>
      <c r="J351"/>
      <c r="K351"/>
      <c r="L351"/>
      <c r="M351"/>
      <c r="N351"/>
      <c r="O351"/>
      <c r="P351"/>
      <c r="Q351"/>
    </row>
    <row r="352" spans="1:17" ht="15.75" x14ac:dyDescent="0.25">
      <c r="A352"/>
      <c r="B352"/>
      <c r="C352"/>
      <c r="D352"/>
      <c r="E352"/>
      <c r="F352"/>
      <c r="G352"/>
      <c r="H352"/>
      <c r="I352"/>
      <c r="J352"/>
      <c r="K352"/>
      <c r="L352"/>
      <c r="M352"/>
      <c r="N352"/>
      <c r="O352"/>
      <c r="P352"/>
      <c r="Q352"/>
    </row>
    <row r="353" spans="1:17" ht="15.75" x14ac:dyDescent="0.25">
      <c r="A353"/>
      <c r="B353"/>
      <c r="C353"/>
      <c r="D353"/>
      <c r="E353"/>
      <c r="F353"/>
      <c r="G353"/>
      <c r="H353"/>
      <c r="I353"/>
      <c r="J353"/>
      <c r="K353"/>
      <c r="L353"/>
      <c r="M353"/>
      <c r="N353"/>
      <c r="O353"/>
      <c r="P353"/>
      <c r="Q353"/>
    </row>
    <row r="354" spans="1:17" ht="15.75" x14ac:dyDescent="0.25">
      <c r="A354"/>
      <c r="B354"/>
      <c r="C354"/>
      <c r="D354"/>
      <c r="E354"/>
      <c r="F354"/>
      <c r="G354"/>
      <c r="H354"/>
      <c r="I354"/>
      <c r="J354"/>
      <c r="K354"/>
      <c r="L354"/>
      <c r="M354"/>
      <c r="N354"/>
      <c r="O354"/>
      <c r="P354"/>
      <c r="Q354"/>
    </row>
    <row r="355" spans="1:17" ht="15.75" x14ac:dyDescent="0.25">
      <c r="A355"/>
      <c r="B355"/>
      <c r="C355"/>
      <c r="D355"/>
      <c r="E355"/>
      <c r="F355"/>
      <c r="G355"/>
      <c r="H355"/>
      <c r="I355"/>
      <c r="J355"/>
      <c r="K355"/>
      <c r="L355"/>
      <c r="M355"/>
      <c r="N355"/>
      <c r="O355"/>
      <c r="P355"/>
      <c r="Q355"/>
    </row>
    <row r="356" spans="1:17" ht="15.75" x14ac:dyDescent="0.25">
      <c r="A356"/>
      <c r="B356"/>
      <c r="C356"/>
      <c r="D356"/>
      <c r="E356"/>
      <c r="F356"/>
      <c r="G356"/>
      <c r="H356"/>
      <c r="I356"/>
      <c r="J356"/>
      <c r="K356"/>
      <c r="L356"/>
      <c r="M356"/>
      <c r="N356"/>
      <c r="O356"/>
      <c r="P356"/>
      <c r="Q356"/>
    </row>
    <row r="357" spans="1:17" ht="15.75" x14ac:dyDescent="0.25">
      <c r="A357"/>
      <c r="B357"/>
      <c r="C357"/>
      <c r="D357"/>
      <c r="E357"/>
      <c r="F357"/>
      <c r="G357"/>
      <c r="H357"/>
      <c r="I357"/>
      <c r="J357"/>
      <c r="K357"/>
      <c r="L357"/>
      <c r="M357"/>
      <c r="N357"/>
      <c r="O357"/>
      <c r="P357"/>
      <c r="Q357"/>
    </row>
    <row r="358" spans="1:17" ht="15.75" x14ac:dyDescent="0.25">
      <c r="A358"/>
      <c r="B358"/>
      <c r="C358"/>
      <c r="D358"/>
      <c r="E358"/>
      <c r="F358"/>
      <c r="G358"/>
      <c r="H358"/>
      <c r="I358"/>
      <c r="J358"/>
      <c r="K358"/>
      <c r="L358"/>
      <c r="M358"/>
      <c r="N358"/>
      <c r="O358"/>
      <c r="P358"/>
      <c r="Q358"/>
    </row>
    <row r="359" spans="1:17" ht="15.75" x14ac:dyDescent="0.25">
      <c r="A359"/>
      <c r="B359"/>
      <c r="C359"/>
      <c r="D359"/>
      <c r="E359"/>
      <c r="F359"/>
      <c r="G359"/>
      <c r="H359"/>
      <c r="I359"/>
      <c r="J359"/>
      <c r="K359"/>
      <c r="L359"/>
      <c r="M359"/>
      <c r="N359"/>
      <c r="O359"/>
      <c r="P359"/>
      <c r="Q359"/>
    </row>
    <row r="360" spans="1:17" ht="15.75" x14ac:dyDescent="0.25">
      <c r="A360"/>
      <c r="B360"/>
      <c r="C360"/>
      <c r="D360"/>
      <c r="E360"/>
      <c r="F360"/>
      <c r="G360"/>
      <c r="H360"/>
      <c r="I360"/>
      <c r="J360"/>
      <c r="K360"/>
      <c r="L360"/>
      <c r="M360"/>
      <c r="N360"/>
      <c r="O360"/>
      <c r="P360"/>
      <c r="Q360"/>
    </row>
    <row r="361" spans="1:17" ht="15.75" x14ac:dyDescent="0.25">
      <c r="A361"/>
      <c r="B361"/>
      <c r="C361"/>
      <c r="D361"/>
      <c r="E361"/>
      <c r="F361"/>
      <c r="G361"/>
      <c r="H361"/>
      <c r="I361"/>
      <c r="J361"/>
      <c r="K361"/>
      <c r="L361"/>
      <c r="M361"/>
      <c r="N361"/>
      <c r="O361"/>
      <c r="P361"/>
      <c r="Q361"/>
    </row>
    <row r="362" spans="1:17" ht="15.75" x14ac:dyDescent="0.25">
      <c r="A362"/>
      <c r="B362"/>
      <c r="C362"/>
      <c r="D362"/>
      <c r="E362"/>
      <c r="F362"/>
      <c r="G362"/>
      <c r="H362"/>
      <c r="I362"/>
      <c r="J362"/>
      <c r="K362"/>
      <c r="L362"/>
      <c r="M362"/>
      <c r="N362"/>
      <c r="O362"/>
      <c r="P362"/>
      <c r="Q362"/>
    </row>
    <row r="363" spans="1:17" ht="15.75" x14ac:dyDescent="0.25">
      <c r="A363"/>
      <c r="B363"/>
      <c r="C363"/>
      <c r="D363"/>
      <c r="E363"/>
      <c r="F363"/>
      <c r="G363"/>
      <c r="H363"/>
      <c r="I363"/>
      <c r="J363"/>
      <c r="K363"/>
      <c r="L363"/>
      <c r="M363"/>
      <c r="N363"/>
      <c r="O363"/>
      <c r="P363"/>
      <c r="Q363"/>
    </row>
    <row r="364" spans="1:17" ht="15.75" x14ac:dyDescent="0.25">
      <c r="A364"/>
      <c r="B364"/>
      <c r="C364"/>
      <c r="D364"/>
      <c r="E364"/>
      <c r="F364"/>
      <c r="G364"/>
      <c r="H364"/>
      <c r="I364"/>
      <c r="J364"/>
      <c r="K364"/>
      <c r="L364"/>
      <c r="M364"/>
      <c r="N364"/>
      <c r="O364"/>
      <c r="P364"/>
      <c r="Q364"/>
    </row>
    <row r="365" spans="1:17" ht="15.75" x14ac:dyDescent="0.25">
      <c r="A365"/>
      <c r="B365"/>
      <c r="C365"/>
      <c r="D365"/>
      <c r="E365"/>
      <c r="F365"/>
      <c r="G365"/>
      <c r="H365"/>
      <c r="I365"/>
      <c r="J365"/>
      <c r="K365"/>
      <c r="L365"/>
      <c r="M365"/>
      <c r="N365"/>
      <c r="O365"/>
      <c r="P365"/>
      <c r="Q365"/>
    </row>
    <row r="366" spans="1:17" ht="15.75" x14ac:dyDescent="0.25">
      <c r="A366"/>
      <c r="B366"/>
      <c r="C366"/>
      <c r="D366"/>
      <c r="E366"/>
      <c r="F366"/>
      <c r="G366"/>
      <c r="H366"/>
      <c r="I366"/>
      <c r="J366"/>
      <c r="K366"/>
      <c r="L366"/>
      <c r="M366"/>
      <c r="N366"/>
      <c r="O366"/>
      <c r="P366"/>
      <c r="Q366"/>
    </row>
    <row r="367" spans="1:17" ht="15.75" x14ac:dyDescent="0.25">
      <c r="A367"/>
      <c r="B367"/>
      <c r="C367"/>
      <c r="D367"/>
      <c r="E367"/>
      <c r="F367"/>
      <c r="G367"/>
      <c r="H367"/>
      <c r="I367"/>
      <c r="J367"/>
      <c r="K367"/>
      <c r="L367"/>
      <c r="M367"/>
      <c r="N367"/>
      <c r="O367"/>
      <c r="P367"/>
      <c r="Q367"/>
    </row>
    <row r="368" spans="1:17" ht="15.75" x14ac:dyDescent="0.25">
      <c r="A368"/>
      <c r="B368"/>
      <c r="C368"/>
      <c r="D368"/>
      <c r="E368"/>
      <c r="F368"/>
      <c r="G368"/>
      <c r="H368"/>
      <c r="I368"/>
      <c r="J368"/>
      <c r="K368"/>
      <c r="L368"/>
      <c r="M368"/>
      <c r="N368"/>
      <c r="O368"/>
      <c r="P368"/>
      <c r="Q368"/>
    </row>
    <row r="369" spans="1:17" ht="15.75" x14ac:dyDescent="0.25">
      <c r="A369"/>
      <c r="B369"/>
      <c r="C369"/>
      <c r="D369"/>
      <c r="E369"/>
      <c r="F369"/>
      <c r="G369"/>
      <c r="H369"/>
      <c r="I369"/>
      <c r="J369"/>
      <c r="K369"/>
      <c r="L369"/>
      <c r="M369"/>
      <c r="N369"/>
      <c r="O369"/>
      <c r="P369"/>
      <c r="Q369"/>
    </row>
    <row r="370" spans="1:17" ht="15.75" x14ac:dyDescent="0.25">
      <c r="A370"/>
      <c r="B370"/>
      <c r="C370"/>
      <c r="D370"/>
      <c r="E370"/>
      <c r="F370"/>
      <c r="G370"/>
      <c r="H370"/>
      <c r="I370"/>
      <c r="J370"/>
      <c r="K370"/>
      <c r="L370"/>
      <c r="M370"/>
      <c r="N370"/>
      <c r="O370"/>
      <c r="P370"/>
      <c r="Q370"/>
    </row>
    <row r="371" spans="1:17" ht="15.75" x14ac:dyDescent="0.25">
      <c r="A371"/>
      <c r="B371"/>
      <c r="C371"/>
      <c r="D371"/>
      <c r="E371"/>
      <c r="F371"/>
      <c r="G371"/>
      <c r="H371"/>
      <c r="I371"/>
      <c r="J371"/>
      <c r="K371"/>
      <c r="L371"/>
      <c r="M371"/>
      <c r="N371"/>
      <c r="O371"/>
      <c r="P371"/>
      <c r="Q371"/>
    </row>
    <row r="372" spans="1:17" ht="15.75" x14ac:dyDescent="0.25">
      <c r="A372"/>
      <c r="B372"/>
      <c r="C372"/>
      <c r="D372"/>
      <c r="E372"/>
      <c r="F372"/>
      <c r="G372"/>
      <c r="H372"/>
      <c r="I372"/>
      <c r="J372"/>
      <c r="K372"/>
      <c r="L372"/>
      <c r="M372"/>
      <c r="N372"/>
      <c r="O372"/>
      <c r="P372"/>
      <c r="Q372"/>
    </row>
    <row r="373" spans="1:17" ht="15.75" x14ac:dyDescent="0.25">
      <c r="A373"/>
      <c r="B373"/>
      <c r="C373"/>
      <c r="D373"/>
      <c r="E373"/>
      <c r="F373"/>
      <c r="G373"/>
      <c r="H373"/>
      <c r="I373"/>
      <c r="J373"/>
      <c r="K373"/>
      <c r="L373"/>
      <c r="M373"/>
      <c r="N373"/>
      <c r="O373"/>
      <c r="P373"/>
      <c r="Q373"/>
    </row>
    <row r="374" spans="1:17" ht="15.75" x14ac:dyDescent="0.25">
      <c r="A374"/>
      <c r="B374"/>
      <c r="C374"/>
      <c r="D374"/>
      <c r="E374"/>
      <c r="F374"/>
      <c r="G374"/>
      <c r="H374"/>
      <c r="I374"/>
      <c r="J374"/>
      <c r="K374"/>
      <c r="L374"/>
      <c r="M374"/>
      <c r="N374"/>
      <c r="O374"/>
      <c r="P374"/>
      <c r="Q374"/>
    </row>
    <row r="375" spans="1:17" ht="15.75" x14ac:dyDescent="0.25">
      <c r="A375"/>
      <c r="B375"/>
      <c r="C375"/>
      <c r="D375"/>
      <c r="E375"/>
      <c r="F375"/>
      <c r="G375"/>
      <c r="H375"/>
      <c r="I375"/>
      <c r="J375"/>
      <c r="K375"/>
      <c r="L375"/>
      <c r="M375"/>
      <c r="N375"/>
      <c r="O375"/>
      <c r="P375"/>
      <c r="Q375"/>
    </row>
    <row r="376" spans="1:17" ht="15.75" x14ac:dyDescent="0.25">
      <c r="A376"/>
      <c r="B376"/>
      <c r="C376"/>
      <c r="D376"/>
      <c r="E376"/>
      <c r="F376"/>
      <c r="G376"/>
      <c r="H376"/>
      <c r="I376"/>
      <c r="J376"/>
      <c r="K376"/>
      <c r="L376"/>
      <c r="M376"/>
      <c r="N376"/>
      <c r="O376"/>
      <c r="P376"/>
      <c r="Q376"/>
    </row>
    <row r="377" spans="1:17" ht="15.75" x14ac:dyDescent="0.25">
      <c r="A377"/>
      <c r="B377"/>
      <c r="C377"/>
      <c r="D377"/>
      <c r="E377"/>
      <c r="F377"/>
      <c r="G377"/>
      <c r="H377"/>
      <c r="I377"/>
      <c r="J377"/>
      <c r="K377"/>
      <c r="L377"/>
      <c r="M377"/>
      <c r="N377"/>
      <c r="O377"/>
      <c r="P377"/>
      <c r="Q377"/>
    </row>
    <row r="378" spans="1:17" ht="15.75" x14ac:dyDescent="0.25">
      <c r="A378"/>
      <c r="B378"/>
      <c r="C378"/>
      <c r="D378"/>
      <c r="E378"/>
      <c r="F378"/>
      <c r="G378"/>
      <c r="H378"/>
      <c r="I378"/>
      <c r="J378"/>
      <c r="K378"/>
      <c r="L378"/>
      <c r="M378"/>
      <c r="N378"/>
      <c r="O378"/>
      <c r="P378"/>
      <c r="Q378"/>
    </row>
    <row r="379" spans="1:17" ht="15.75" x14ac:dyDescent="0.25">
      <c r="A379"/>
      <c r="B379"/>
      <c r="C379"/>
      <c r="D379"/>
      <c r="E379"/>
      <c r="F379"/>
      <c r="G379"/>
      <c r="H379"/>
      <c r="I379"/>
      <c r="J379"/>
      <c r="K379"/>
      <c r="L379"/>
      <c r="M379"/>
      <c r="N379"/>
      <c r="O379"/>
      <c r="P379"/>
      <c r="Q379"/>
    </row>
    <row r="380" spans="1:17" ht="15.75" x14ac:dyDescent="0.25">
      <c r="A380"/>
      <c r="B380"/>
      <c r="C380"/>
      <c r="D380"/>
      <c r="E380"/>
      <c r="F380"/>
      <c r="G380"/>
      <c r="H380"/>
      <c r="I380"/>
      <c r="J380"/>
      <c r="K380"/>
      <c r="L380"/>
      <c r="M380"/>
      <c r="N380"/>
      <c r="O380"/>
      <c r="P380"/>
      <c r="Q380"/>
    </row>
    <row r="381" spans="1:17" ht="15.75" x14ac:dyDescent="0.25">
      <c r="A381"/>
      <c r="B381"/>
      <c r="C381"/>
      <c r="D381"/>
      <c r="E381"/>
      <c r="F381"/>
      <c r="G381"/>
      <c r="H381"/>
      <c r="I381"/>
      <c r="J381"/>
      <c r="K381"/>
      <c r="L381"/>
      <c r="M381"/>
      <c r="N381"/>
      <c r="O381"/>
      <c r="P381"/>
      <c r="Q381"/>
    </row>
    <row r="382" spans="1:17" ht="15.75" x14ac:dyDescent="0.25">
      <c r="A382"/>
      <c r="B382"/>
      <c r="C382"/>
      <c r="D382"/>
      <c r="E382"/>
      <c r="F382"/>
      <c r="G382"/>
      <c r="H382"/>
      <c r="I382"/>
      <c r="J382"/>
      <c r="K382"/>
      <c r="L382"/>
      <c r="M382"/>
      <c r="N382"/>
      <c r="O382"/>
      <c r="P382"/>
      <c r="Q382"/>
    </row>
    <row r="383" spans="1:17" ht="15.75" x14ac:dyDescent="0.25">
      <c r="A383"/>
      <c r="B383"/>
      <c r="C383"/>
      <c r="D383"/>
      <c r="E383"/>
      <c r="F383"/>
      <c r="G383"/>
      <c r="H383"/>
      <c r="I383"/>
      <c r="J383"/>
      <c r="K383"/>
      <c r="L383"/>
      <c r="M383"/>
      <c r="N383"/>
      <c r="O383"/>
      <c r="P383"/>
      <c r="Q383"/>
    </row>
    <row r="384" spans="1:17" ht="15.75" x14ac:dyDescent="0.25">
      <c r="A384"/>
      <c r="B384"/>
      <c r="C384"/>
      <c r="D384"/>
      <c r="E384"/>
      <c r="F384"/>
      <c r="G384"/>
      <c r="H384"/>
      <c r="I384"/>
      <c r="J384"/>
      <c r="K384"/>
      <c r="L384"/>
      <c r="M384"/>
      <c r="N384"/>
      <c r="O384"/>
      <c r="P384"/>
      <c r="Q384"/>
    </row>
    <row r="385" spans="1:17" ht="15.75" x14ac:dyDescent="0.25">
      <c r="A385"/>
      <c r="B385"/>
      <c r="C385"/>
      <c r="D385"/>
      <c r="E385"/>
      <c r="F385"/>
      <c r="G385"/>
      <c r="H385"/>
      <c r="I385"/>
      <c r="J385"/>
      <c r="K385"/>
      <c r="L385"/>
      <c r="M385"/>
      <c r="N385"/>
      <c r="O385"/>
      <c r="P385"/>
      <c r="Q385"/>
    </row>
    <row r="386" spans="1:17" ht="15.75" x14ac:dyDescent="0.25">
      <c r="A386"/>
      <c r="B386"/>
      <c r="C386"/>
      <c r="D386"/>
      <c r="E386"/>
      <c r="F386"/>
      <c r="G386"/>
      <c r="H386"/>
      <c r="I386"/>
      <c r="J386"/>
      <c r="K386"/>
      <c r="L386"/>
      <c r="M386"/>
      <c r="N386"/>
      <c r="O386"/>
      <c r="P386"/>
      <c r="Q386"/>
    </row>
    <row r="387" spans="1:17" ht="15.75" x14ac:dyDescent="0.25">
      <c r="A387"/>
      <c r="B387"/>
      <c r="C387"/>
      <c r="D387"/>
      <c r="E387"/>
      <c r="F387"/>
      <c r="G387"/>
      <c r="H387"/>
      <c r="I387"/>
      <c r="J387"/>
      <c r="K387"/>
      <c r="L387"/>
      <c r="M387"/>
      <c r="N387"/>
      <c r="O387"/>
      <c r="P387"/>
      <c r="Q387"/>
    </row>
    <row r="388" spans="1:17" ht="15.75" x14ac:dyDescent="0.25">
      <c r="A388"/>
      <c r="B388"/>
      <c r="C388"/>
      <c r="D388"/>
      <c r="E388"/>
      <c r="F388"/>
      <c r="G388"/>
      <c r="H388"/>
      <c r="I388"/>
      <c r="J388"/>
      <c r="K388"/>
      <c r="L388"/>
      <c r="M388"/>
      <c r="N388"/>
      <c r="O388"/>
      <c r="P388"/>
      <c r="Q388"/>
    </row>
    <row r="389" spans="1:17" ht="15.75" x14ac:dyDescent="0.25">
      <c r="A389"/>
      <c r="B389"/>
      <c r="C389"/>
      <c r="D389"/>
      <c r="E389"/>
      <c r="F389"/>
      <c r="G389"/>
      <c r="H389"/>
      <c r="I389"/>
      <c r="J389"/>
      <c r="K389"/>
      <c r="L389"/>
      <c r="M389"/>
      <c r="N389"/>
      <c r="O389"/>
      <c r="P389"/>
      <c r="Q389"/>
    </row>
    <row r="390" spans="1:17" ht="15.75" x14ac:dyDescent="0.25">
      <c r="A390"/>
      <c r="B390"/>
      <c r="C390"/>
      <c r="D390"/>
      <c r="E390"/>
      <c r="F390"/>
      <c r="G390"/>
      <c r="H390"/>
      <c r="I390"/>
      <c r="J390"/>
      <c r="K390"/>
      <c r="L390"/>
      <c r="M390"/>
      <c r="N390"/>
      <c r="O390"/>
      <c r="P390"/>
      <c r="Q390"/>
    </row>
    <row r="391" spans="1:17" ht="15.75" x14ac:dyDescent="0.25">
      <c r="A391"/>
      <c r="B391"/>
      <c r="C391"/>
      <c r="D391"/>
      <c r="E391"/>
      <c r="F391"/>
      <c r="G391"/>
      <c r="H391"/>
      <c r="I391"/>
      <c r="J391"/>
      <c r="K391"/>
      <c r="L391"/>
      <c r="M391"/>
      <c r="N391"/>
      <c r="O391"/>
      <c r="P391"/>
      <c r="Q391"/>
    </row>
    <row r="392" spans="1:17" ht="15.75" x14ac:dyDescent="0.25">
      <c r="A392"/>
      <c r="B392"/>
      <c r="C392"/>
      <c r="D392"/>
      <c r="E392"/>
      <c r="F392"/>
      <c r="G392"/>
      <c r="H392"/>
      <c r="I392"/>
      <c r="J392"/>
      <c r="K392"/>
      <c r="L392"/>
      <c r="M392"/>
      <c r="N392"/>
      <c r="O392"/>
      <c r="P392"/>
      <c r="Q392"/>
    </row>
    <row r="393" spans="1:17" ht="15.75" x14ac:dyDescent="0.25">
      <c r="A393"/>
      <c r="B393"/>
      <c r="C393"/>
      <c r="D393"/>
      <c r="E393"/>
      <c r="F393"/>
      <c r="G393"/>
      <c r="H393"/>
      <c r="I393"/>
      <c r="J393"/>
      <c r="K393"/>
      <c r="L393"/>
      <c r="M393"/>
      <c r="N393"/>
      <c r="O393"/>
      <c r="P393"/>
      <c r="Q393"/>
    </row>
    <row r="394" spans="1:17" ht="15.75" x14ac:dyDescent="0.25">
      <c r="A394"/>
      <c r="B394"/>
      <c r="C394"/>
      <c r="D394"/>
      <c r="E394"/>
      <c r="F394"/>
      <c r="G394"/>
      <c r="H394"/>
      <c r="I394"/>
      <c r="J394"/>
      <c r="K394"/>
      <c r="L394"/>
      <c r="M394"/>
      <c r="N394"/>
      <c r="O394"/>
      <c r="P394"/>
      <c r="Q394"/>
    </row>
    <row r="395" spans="1:17" ht="15.75" x14ac:dyDescent="0.25">
      <c r="A395"/>
      <c r="B395"/>
      <c r="C395"/>
      <c r="D395"/>
      <c r="E395"/>
      <c r="F395"/>
      <c r="G395"/>
      <c r="H395"/>
      <c r="I395"/>
      <c r="J395"/>
      <c r="K395"/>
      <c r="L395"/>
      <c r="M395"/>
      <c r="N395"/>
      <c r="O395"/>
      <c r="P395"/>
      <c r="Q395"/>
    </row>
    <row r="396" spans="1:17" ht="15.75" x14ac:dyDescent="0.25">
      <c r="A396"/>
      <c r="B396"/>
      <c r="C396"/>
      <c r="D396"/>
      <c r="E396"/>
      <c r="F396"/>
      <c r="G396"/>
      <c r="H396"/>
      <c r="I396"/>
      <c r="J396"/>
      <c r="K396"/>
      <c r="L396"/>
      <c r="M396"/>
      <c r="N396"/>
      <c r="O396"/>
      <c r="P396"/>
      <c r="Q396"/>
    </row>
    <row r="397" spans="1:17" ht="15.75" x14ac:dyDescent="0.25">
      <c r="A397"/>
      <c r="B397"/>
      <c r="C397"/>
      <c r="D397"/>
      <c r="E397"/>
      <c r="F397"/>
      <c r="G397"/>
      <c r="H397"/>
      <c r="I397"/>
      <c r="J397"/>
      <c r="K397"/>
      <c r="L397"/>
      <c r="M397"/>
      <c r="N397"/>
      <c r="O397"/>
      <c r="P397"/>
      <c r="Q397"/>
    </row>
    <row r="398" spans="1:17" ht="15.75" x14ac:dyDescent="0.25">
      <c r="A398"/>
      <c r="B398"/>
      <c r="C398"/>
      <c r="D398"/>
      <c r="E398"/>
      <c r="F398"/>
      <c r="G398"/>
      <c r="H398"/>
      <c r="I398"/>
      <c r="J398"/>
      <c r="K398"/>
      <c r="L398"/>
      <c r="M398"/>
      <c r="N398"/>
      <c r="O398"/>
      <c r="P398"/>
      <c r="Q398"/>
    </row>
    <row r="399" spans="1:17" ht="15.75" x14ac:dyDescent="0.25">
      <c r="A399"/>
      <c r="B399"/>
      <c r="C399"/>
      <c r="D399"/>
      <c r="E399"/>
      <c r="F399"/>
      <c r="G399"/>
      <c r="H399"/>
      <c r="I399"/>
      <c r="J399"/>
      <c r="K399"/>
      <c r="L399"/>
      <c r="M399"/>
      <c r="N399"/>
      <c r="O399"/>
      <c r="P399"/>
      <c r="Q399"/>
    </row>
    <row r="400" spans="1:17" ht="15.75" x14ac:dyDescent="0.25">
      <c r="A400"/>
      <c r="B400"/>
      <c r="C400"/>
      <c r="D400"/>
      <c r="E400"/>
      <c r="F400"/>
      <c r="G400"/>
      <c r="H400"/>
      <c r="I400"/>
      <c r="J400"/>
      <c r="K400"/>
      <c r="L400"/>
      <c r="M400"/>
      <c r="N400"/>
      <c r="O400"/>
      <c r="P400"/>
      <c r="Q400"/>
    </row>
    <row r="401" spans="1:17" ht="15.75" x14ac:dyDescent="0.25">
      <c r="A401"/>
      <c r="B401"/>
      <c r="C401"/>
      <c r="D401"/>
      <c r="E401"/>
      <c r="F401"/>
      <c r="G401"/>
      <c r="H401"/>
      <c r="I401"/>
      <c r="J401"/>
      <c r="K401"/>
      <c r="L401"/>
      <c r="M401"/>
      <c r="N401"/>
      <c r="O401"/>
      <c r="P401"/>
      <c r="Q401"/>
    </row>
    <row r="402" spans="1:17" ht="15.75" x14ac:dyDescent="0.25">
      <c r="A402"/>
      <c r="B402"/>
      <c r="C402"/>
      <c r="D402"/>
      <c r="E402"/>
      <c r="F402"/>
      <c r="G402"/>
      <c r="H402"/>
      <c r="I402"/>
      <c r="J402"/>
      <c r="K402"/>
      <c r="L402"/>
      <c r="M402"/>
      <c r="N402"/>
      <c r="O402"/>
      <c r="P402"/>
      <c r="Q402"/>
    </row>
    <row r="403" spans="1:17" ht="15.75" x14ac:dyDescent="0.25">
      <c r="A403"/>
      <c r="B403"/>
      <c r="C403"/>
      <c r="D403"/>
      <c r="E403"/>
      <c r="F403"/>
      <c r="G403"/>
      <c r="H403"/>
      <c r="I403"/>
      <c r="J403"/>
      <c r="K403"/>
      <c r="L403"/>
      <c r="M403"/>
      <c r="N403"/>
      <c r="O403"/>
      <c r="P403"/>
      <c r="Q403"/>
    </row>
    <row r="404" spans="1:17" ht="15.75" x14ac:dyDescent="0.25">
      <c r="A404"/>
      <c r="B404"/>
      <c r="C404"/>
      <c r="D404"/>
      <c r="E404"/>
      <c r="F404"/>
      <c r="G404"/>
      <c r="H404"/>
      <c r="I404"/>
      <c r="J404"/>
      <c r="K404"/>
      <c r="L404"/>
      <c r="M404"/>
      <c r="N404"/>
      <c r="O404"/>
      <c r="P404"/>
      <c r="Q404"/>
    </row>
    <row r="405" spans="1:17" ht="15.75" x14ac:dyDescent="0.25">
      <c r="A405"/>
      <c r="B405"/>
      <c r="C405"/>
      <c r="D405"/>
      <c r="E405"/>
      <c r="F405"/>
      <c r="G405"/>
      <c r="H405"/>
      <c r="I405"/>
      <c r="J405"/>
      <c r="K405"/>
      <c r="L405"/>
      <c r="M405"/>
      <c r="N405"/>
      <c r="O405"/>
      <c r="P405"/>
      <c r="Q405"/>
    </row>
    <row r="406" spans="1:17" ht="15.75" x14ac:dyDescent="0.25">
      <c r="A406"/>
      <c r="B406"/>
      <c r="C406"/>
      <c r="D406"/>
      <c r="E406"/>
      <c r="F406"/>
      <c r="G406"/>
      <c r="H406"/>
      <c r="I406"/>
      <c r="J406"/>
      <c r="K406"/>
      <c r="L406"/>
      <c r="M406"/>
      <c r="N406"/>
      <c r="O406"/>
      <c r="P406"/>
      <c r="Q406"/>
    </row>
    <row r="407" spans="1:17" ht="15.75" x14ac:dyDescent="0.25">
      <c r="A407"/>
      <c r="B407"/>
      <c r="C407"/>
      <c r="D407"/>
      <c r="E407"/>
      <c r="F407"/>
      <c r="G407"/>
      <c r="H407"/>
      <c r="I407"/>
      <c r="J407"/>
      <c r="K407"/>
      <c r="L407"/>
      <c r="M407"/>
      <c r="N407"/>
      <c r="O407"/>
      <c r="P407"/>
      <c r="Q407"/>
    </row>
    <row r="408" spans="1:17" ht="15.75" x14ac:dyDescent="0.25">
      <c r="A408"/>
      <c r="B408"/>
      <c r="C408"/>
      <c r="D408"/>
      <c r="E408"/>
      <c r="F408"/>
      <c r="G408"/>
      <c r="H408"/>
      <c r="I408"/>
      <c r="J408"/>
      <c r="K408"/>
      <c r="L408"/>
      <c r="M408"/>
      <c r="N408"/>
      <c r="O408"/>
      <c r="P408"/>
      <c r="Q408"/>
    </row>
    <row r="409" spans="1:17" ht="15.75" x14ac:dyDescent="0.25">
      <c r="A409"/>
      <c r="B409"/>
      <c r="C409"/>
      <c r="D409"/>
      <c r="E409"/>
      <c r="F409"/>
      <c r="G409"/>
      <c r="H409"/>
      <c r="I409"/>
      <c r="J409"/>
      <c r="K409"/>
      <c r="L409"/>
      <c r="M409"/>
      <c r="N409"/>
      <c r="O409"/>
      <c r="P409"/>
      <c r="Q409"/>
    </row>
    <row r="410" spans="1:17" ht="15.75" x14ac:dyDescent="0.25">
      <c r="A410"/>
      <c r="B410"/>
      <c r="C410"/>
      <c r="D410"/>
      <c r="E410"/>
      <c r="F410"/>
      <c r="G410"/>
      <c r="H410"/>
      <c r="I410"/>
      <c r="J410"/>
      <c r="K410"/>
      <c r="L410"/>
      <c r="M410"/>
      <c r="N410"/>
      <c r="O410"/>
      <c r="P410"/>
      <c r="Q410"/>
    </row>
    <row r="411" spans="1:17" ht="15.75" x14ac:dyDescent="0.25">
      <c r="A411"/>
      <c r="B411"/>
      <c r="C411"/>
      <c r="D411"/>
      <c r="E411"/>
      <c r="F411"/>
      <c r="G411"/>
      <c r="H411"/>
      <c r="I411"/>
      <c r="J411"/>
      <c r="K411"/>
      <c r="L411"/>
      <c r="M411"/>
      <c r="N411"/>
      <c r="O411"/>
      <c r="P411"/>
      <c r="Q411"/>
    </row>
    <row r="412" spans="1:17" ht="15.75" x14ac:dyDescent="0.25">
      <c r="A412"/>
      <c r="B412"/>
      <c r="C412"/>
      <c r="D412"/>
      <c r="E412"/>
      <c r="F412"/>
      <c r="G412"/>
      <c r="H412"/>
      <c r="I412"/>
      <c r="J412"/>
      <c r="K412"/>
      <c r="L412"/>
      <c r="M412"/>
      <c r="N412"/>
      <c r="O412"/>
      <c r="P412"/>
      <c r="Q412"/>
    </row>
    <row r="413" spans="1:17" ht="15.75" x14ac:dyDescent="0.25">
      <c r="A413"/>
      <c r="B413"/>
      <c r="C413"/>
      <c r="D413"/>
      <c r="E413"/>
      <c r="F413"/>
      <c r="G413"/>
      <c r="H413"/>
      <c r="I413"/>
      <c r="J413"/>
      <c r="K413"/>
      <c r="L413"/>
      <c r="M413"/>
      <c r="N413"/>
      <c r="O413"/>
      <c r="P413"/>
      <c r="Q413"/>
    </row>
    <row r="414" spans="1:17" ht="15.75" x14ac:dyDescent="0.25">
      <c r="A414"/>
      <c r="B414"/>
      <c r="C414"/>
      <c r="D414"/>
      <c r="E414"/>
      <c r="F414"/>
      <c r="G414"/>
      <c r="H414"/>
      <c r="I414"/>
      <c r="J414"/>
      <c r="K414"/>
      <c r="L414"/>
      <c r="M414"/>
      <c r="N414"/>
      <c r="O414"/>
      <c r="P414"/>
      <c r="Q414"/>
    </row>
    <row r="415" spans="1:17" ht="15.75" x14ac:dyDescent="0.25">
      <c r="A415"/>
      <c r="B415"/>
      <c r="C415"/>
      <c r="D415"/>
      <c r="E415"/>
      <c r="F415"/>
      <c r="G415"/>
      <c r="H415"/>
      <c r="I415"/>
      <c r="J415"/>
      <c r="K415"/>
      <c r="L415"/>
      <c r="M415"/>
      <c r="N415"/>
      <c r="O415"/>
      <c r="P415"/>
      <c r="Q415"/>
    </row>
    <row r="416" spans="1:17" ht="15.75" x14ac:dyDescent="0.25">
      <c r="A416"/>
      <c r="B416"/>
      <c r="C416"/>
      <c r="D416"/>
      <c r="E416"/>
      <c r="F416"/>
      <c r="G416"/>
      <c r="H416"/>
      <c r="I416"/>
      <c r="J416"/>
      <c r="K416"/>
      <c r="L416"/>
      <c r="M416"/>
      <c r="N416"/>
      <c r="O416"/>
      <c r="P416"/>
      <c r="Q416"/>
    </row>
    <row r="417" spans="1:17" ht="15.75" x14ac:dyDescent="0.25">
      <c r="A417"/>
      <c r="B417"/>
      <c r="C417"/>
      <c r="D417"/>
      <c r="E417"/>
      <c r="F417"/>
      <c r="G417"/>
      <c r="H417"/>
      <c r="I417"/>
      <c r="J417"/>
      <c r="K417"/>
      <c r="L417"/>
      <c r="M417"/>
      <c r="N417"/>
      <c r="O417"/>
      <c r="P417"/>
      <c r="Q417"/>
    </row>
    <row r="418" spans="1:17" ht="15.75" x14ac:dyDescent="0.25">
      <c r="A418"/>
      <c r="B418"/>
      <c r="C418"/>
      <c r="D418"/>
      <c r="E418"/>
      <c r="F418"/>
      <c r="G418"/>
      <c r="H418"/>
      <c r="I418"/>
      <c r="J418"/>
      <c r="K418"/>
      <c r="L418"/>
      <c r="M418"/>
      <c r="N418"/>
      <c r="O418"/>
      <c r="P418"/>
      <c r="Q418"/>
    </row>
    <row r="419" spans="1:17" ht="15.75" x14ac:dyDescent="0.25">
      <c r="A419"/>
      <c r="B419"/>
      <c r="C419"/>
      <c r="D419"/>
      <c r="E419"/>
      <c r="F419"/>
      <c r="G419"/>
      <c r="H419"/>
      <c r="I419"/>
      <c r="J419"/>
      <c r="K419"/>
      <c r="L419"/>
      <c r="M419"/>
      <c r="N419"/>
      <c r="O419"/>
      <c r="P419"/>
      <c r="Q419"/>
    </row>
    <row r="420" spans="1:17" ht="15.75" x14ac:dyDescent="0.25">
      <c r="A420"/>
      <c r="B420"/>
      <c r="C420"/>
      <c r="D420"/>
      <c r="E420"/>
      <c r="F420"/>
      <c r="G420"/>
      <c r="H420"/>
      <c r="I420"/>
      <c r="J420"/>
      <c r="K420"/>
      <c r="L420"/>
      <c r="M420"/>
      <c r="N420"/>
      <c r="O420"/>
      <c r="P420"/>
      <c r="Q420"/>
    </row>
    <row r="421" spans="1:17" ht="15.75" x14ac:dyDescent="0.25">
      <c r="A421"/>
      <c r="B421"/>
      <c r="C421"/>
      <c r="D421"/>
      <c r="E421"/>
      <c r="F421"/>
      <c r="G421"/>
      <c r="H421"/>
      <c r="I421"/>
      <c r="J421"/>
      <c r="K421"/>
      <c r="L421"/>
      <c r="M421"/>
      <c r="N421"/>
      <c r="O421"/>
      <c r="P421"/>
      <c r="Q421"/>
    </row>
    <row r="422" spans="1:17" ht="15.75" x14ac:dyDescent="0.25">
      <c r="A422"/>
      <c r="B422"/>
      <c r="C422"/>
      <c r="D422"/>
      <c r="E422"/>
      <c r="F422"/>
      <c r="G422"/>
      <c r="H422"/>
      <c r="I422"/>
      <c r="J422"/>
      <c r="K422"/>
      <c r="L422"/>
      <c r="M422"/>
      <c r="N422"/>
      <c r="O422"/>
      <c r="P422"/>
      <c r="Q422"/>
    </row>
    <row r="423" spans="1:17" ht="15.75" x14ac:dyDescent="0.25">
      <c r="A423"/>
      <c r="B423"/>
      <c r="C423"/>
      <c r="D423"/>
      <c r="E423"/>
      <c r="F423"/>
      <c r="G423"/>
      <c r="H423"/>
      <c r="I423"/>
      <c r="J423"/>
      <c r="K423"/>
      <c r="L423"/>
      <c r="M423"/>
      <c r="N423"/>
      <c r="O423"/>
      <c r="P423"/>
      <c r="Q423"/>
    </row>
    <row r="424" spans="1:17" ht="15.75" x14ac:dyDescent="0.25">
      <c r="A424"/>
      <c r="B424"/>
      <c r="C424"/>
      <c r="D424"/>
      <c r="E424"/>
      <c r="F424"/>
      <c r="G424"/>
      <c r="H424"/>
      <c r="I424"/>
      <c r="J424"/>
      <c r="K424"/>
      <c r="L424"/>
      <c r="M424"/>
      <c r="N424"/>
      <c r="O424"/>
      <c r="P424"/>
      <c r="Q424"/>
    </row>
    <row r="425" spans="1:17" ht="15.75" x14ac:dyDescent="0.25">
      <c r="A425"/>
      <c r="B425"/>
      <c r="C425"/>
      <c r="D425"/>
      <c r="E425"/>
      <c r="F425"/>
      <c r="G425"/>
      <c r="H425"/>
      <c r="I425"/>
      <c r="J425"/>
      <c r="K425"/>
      <c r="L425"/>
      <c r="M425"/>
      <c r="N425"/>
      <c r="O425"/>
      <c r="P425"/>
      <c r="Q425"/>
    </row>
    <row r="426" spans="1:17" ht="15.75" x14ac:dyDescent="0.25">
      <c r="A426"/>
      <c r="B426"/>
      <c r="C426"/>
      <c r="D426"/>
      <c r="E426"/>
      <c r="F426"/>
      <c r="G426"/>
      <c r="H426"/>
      <c r="I426"/>
      <c r="J426"/>
      <c r="K426"/>
      <c r="L426"/>
      <c r="M426"/>
      <c r="N426"/>
      <c r="O426"/>
      <c r="P426"/>
      <c r="Q426"/>
    </row>
    <row r="427" spans="1:17" ht="15.75" x14ac:dyDescent="0.25">
      <c r="A427"/>
      <c r="B427"/>
      <c r="C427"/>
      <c r="D427"/>
      <c r="E427"/>
      <c r="F427"/>
      <c r="G427"/>
      <c r="H427"/>
      <c r="I427"/>
      <c r="J427"/>
      <c r="K427"/>
      <c r="L427"/>
      <c r="M427"/>
      <c r="N427"/>
      <c r="O427"/>
      <c r="P427"/>
      <c r="Q427"/>
    </row>
    <row r="428" spans="1:17" ht="15.75" x14ac:dyDescent="0.25">
      <c r="A428"/>
      <c r="B428"/>
      <c r="C428"/>
      <c r="D428"/>
      <c r="E428"/>
      <c r="F428"/>
      <c r="G428"/>
      <c r="H428"/>
      <c r="I428"/>
      <c r="J428"/>
      <c r="K428"/>
      <c r="L428"/>
      <c r="M428"/>
      <c r="N428"/>
      <c r="O428"/>
      <c r="P428"/>
      <c r="Q428"/>
    </row>
    <row r="429" spans="1:17" ht="15.75" x14ac:dyDescent="0.25">
      <c r="A429"/>
      <c r="B429"/>
      <c r="C429"/>
      <c r="D429"/>
      <c r="E429"/>
      <c r="F429"/>
      <c r="G429"/>
      <c r="H429"/>
      <c r="I429"/>
      <c r="J429"/>
      <c r="K429"/>
      <c r="L429"/>
      <c r="M429"/>
      <c r="N429"/>
      <c r="O429"/>
      <c r="P429"/>
      <c r="Q429"/>
    </row>
    <row r="430" spans="1:17" ht="15.75" x14ac:dyDescent="0.25">
      <c r="A430"/>
      <c r="B430"/>
      <c r="C430"/>
      <c r="D430"/>
      <c r="E430"/>
      <c r="F430"/>
      <c r="G430"/>
      <c r="H430"/>
      <c r="I430"/>
      <c r="J430"/>
      <c r="K430"/>
      <c r="L430"/>
      <c r="M430"/>
      <c r="N430"/>
      <c r="O430"/>
      <c r="P430"/>
      <c r="Q430"/>
    </row>
    <row r="431" spans="1:17" ht="15.75" x14ac:dyDescent="0.25">
      <c r="A431"/>
      <c r="B431"/>
      <c r="C431"/>
      <c r="D431"/>
      <c r="E431"/>
      <c r="F431"/>
      <c r="G431"/>
      <c r="H431"/>
      <c r="I431"/>
      <c r="J431"/>
      <c r="K431"/>
      <c r="L431"/>
      <c r="M431"/>
      <c r="N431"/>
      <c r="O431"/>
      <c r="P431"/>
      <c r="Q431"/>
    </row>
    <row r="432" spans="1:17" ht="15.75" x14ac:dyDescent="0.25">
      <c r="A432"/>
      <c r="B432"/>
      <c r="C432"/>
      <c r="D432"/>
      <c r="E432"/>
      <c r="F432"/>
      <c r="G432"/>
      <c r="H432"/>
      <c r="I432"/>
      <c r="J432"/>
      <c r="K432"/>
      <c r="L432"/>
      <c r="M432"/>
      <c r="N432"/>
      <c r="O432"/>
      <c r="P432"/>
      <c r="Q432"/>
    </row>
    <row r="433" spans="1:17" ht="15.75" x14ac:dyDescent="0.25">
      <c r="A433"/>
      <c r="B433"/>
      <c r="C433"/>
      <c r="D433"/>
      <c r="E433"/>
      <c r="F433"/>
      <c r="G433"/>
      <c r="H433"/>
      <c r="I433"/>
      <c r="J433"/>
      <c r="K433"/>
      <c r="L433"/>
      <c r="M433"/>
      <c r="N433"/>
      <c r="O433"/>
      <c r="P433"/>
      <c r="Q433"/>
    </row>
    <row r="434" spans="1:17" ht="15.75" x14ac:dyDescent="0.25">
      <c r="A434"/>
      <c r="B434"/>
      <c r="C434"/>
      <c r="D434"/>
      <c r="E434"/>
      <c r="F434"/>
      <c r="G434"/>
      <c r="H434"/>
      <c r="I434"/>
      <c r="J434"/>
      <c r="K434"/>
      <c r="L434"/>
      <c r="M434"/>
      <c r="N434"/>
      <c r="O434"/>
      <c r="P434"/>
      <c r="Q434"/>
    </row>
    <row r="435" spans="1:17" ht="15.75" x14ac:dyDescent="0.25">
      <c r="A435"/>
      <c r="B435"/>
      <c r="C435"/>
      <c r="D435"/>
      <c r="E435"/>
      <c r="F435"/>
      <c r="G435"/>
      <c r="H435"/>
      <c r="I435"/>
      <c r="J435"/>
      <c r="K435"/>
      <c r="L435"/>
      <c r="M435"/>
      <c r="N435"/>
      <c r="O435"/>
      <c r="P435"/>
      <c r="Q435"/>
    </row>
    <row r="436" spans="1:17" ht="15.75" x14ac:dyDescent="0.25">
      <c r="A436"/>
      <c r="B436"/>
      <c r="C436"/>
      <c r="D436"/>
      <c r="E436"/>
      <c r="F436"/>
      <c r="G436"/>
      <c r="H436"/>
      <c r="I436"/>
      <c r="J436"/>
      <c r="K436"/>
      <c r="L436"/>
      <c r="M436"/>
      <c r="N436"/>
      <c r="O436"/>
      <c r="P436"/>
      <c r="Q436"/>
    </row>
    <row r="437" spans="1:17" ht="15.75" x14ac:dyDescent="0.25">
      <c r="A437"/>
      <c r="B437"/>
      <c r="C437"/>
      <c r="D437"/>
      <c r="E437"/>
      <c r="F437"/>
      <c r="G437"/>
      <c r="H437"/>
      <c r="I437"/>
      <c r="J437"/>
      <c r="K437"/>
      <c r="L437"/>
      <c r="M437"/>
      <c r="N437"/>
      <c r="O437"/>
      <c r="P437"/>
      <c r="Q437"/>
    </row>
    <row r="438" spans="1:17" ht="15.75" x14ac:dyDescent="0.25">
      <c r="A438"/>
      <c r="B438"/>
      <c r="C438"/>
      <c r="D438"/>
      <c r="E438"/>
      <c r="F438"/>
      <c r="G438"/>
      <c r="H438"/>
      <c r="I438"/>
      <c r="J438"/>
      <c r="K438"/>
      <c r="L438"/>
      <c r="M438"/>
      <c r="N438"/>
      <c r="O438"/>
      <c r="P438"/>
      <c r="Q438"/>
    </row>
    <row r="439" spans="1:17" ht="15.75" x14ac:dyDescent="0.25">
      <c r="A439"/>
      <c r="B439"/>
      <c r="C439"/>
      <c r="D439"/>
      <c r="E439"/>
      <c r="F439"/>
      <c r="G439"/>
      <c r="H439"/>
      <c r="I439"/>
      <c r="J439"/>
      <c r="K439"/>
      <c r="L439"/>
      <c r="M439"/>
      <c r="N439"/>
      <c r="O439"/>
      <c r="P439"/>
      <c r="Q439"/>
    </row>
    <row r="440" spans="1:17" ht="15.75" x14ac:dyDescent="0.25">
      <c r="A440"/>
      <c r="B440"/>
      <c r="C440"/>
      <c r="D440"/>
      <c r="E440"/>
      <c r="F440"/>
      <c r="G440"/>
      <c r="H440"/>
      <c r="I440"/>
      <c r="J440"/>
      <c r="K440"/>
      <c r="L440"/>
      <c r="M440"/>
      <c r="N440"/>
      <c r="O440"/>
      <c r="P440"/>
      <c r="Q440"/>
    </row>
    <row r="441" spans="1:17" ht="15.75" x14ac:dyDescent="0.25">
      <c r="A441"/>
      <c r="B441"/>
      <c r="C441"/>
      <c r="D441"/>
      <c r="E441"/>
      <c r="F441"/>
      <c r="G441"/>
      <c r="H441"/>
      <c r="I441"/>
      <c r="J441"/>
      <c r="K441"/>
      <c r="L441"/>
      <c r="M441"/>
      <c r="N441"/>
      <c r="O441"/>
      <c r="P441"/>
      <c r="Q441"/>
    </row>
    <row r="442" spans="1:17" ht="15.75" x14ac:dyDescent="0.25">
      <c r="A442"/>
      <c r="B442"/>
      <c r="C442"/>
      <c r="D442"/>
      <c r="E442"/>
      <c r="F442"/>
      <c r="G442"/>
      <c r="H442"/>
      <c r="I442"/>
      <c r="J442"/>
      <c r="K442"/>
      <c r="L442"/>
      <c r="M442"/>
      <c r="N442"/>
      <c r="O442"/>
      <c r="P442"/>
      <c r="Q442"/>
    </row>
    <row r="443" spans="1:17" ht="15.75" x14ac:dyDescent="0.25">
      <c r="A443"/>
      <c r="B443"/>
      <c r="C443"/>
      <c r="D443"/>
      <c r="E443"/>
      <c r="F443"/>
      <c r="G443"/>
      <c r="H443"/>
      <c r="I443"/>
      <c r="J443"/>
      <c r="K443"/>
      <c r="L443"/>
      <c r="M443"/>
      <c r="N443"/>
      <c r="O443"/>
      <c r="P443"/>
      <c r="Q443"/>
    </row>
    <row r="444" spans="1:17" ht="15.75" x14ac:dyDescent="0.25">
      <c r="A444"/>
      <c r="B444"/>
      <c r="C444"/>
      <c r="D444"/>
      <c r="E444"/>
      <c r="F444"/>
      <c r="G444"/>
      <c r="H444"/>
      <c r="I444"/>
      <c r="J444"/>
      <c r="K444"/>
      <c r="L444"/>
      <c r="M444"/>
      <c r="N444"/>
      <c r="O444"/>
      <c r="P444"/>
      <c r="Q444"/>
    </row>
    <row r="445" spans="1:17" ht="15.75" x14ac:dyDescent="0.25">
      <c r="A445"/>
      <c r="B445"/>
      <c r="C445"/>
      <c r="D445"/>
      <c r="E445"/>
      <c r="F445"/>
      <c r="G445"/>
      <c r="H445"/>
      <c r="I445"/>
      <c r="J445"/>
      <c r="K445"/>
      <c r="L445"/>
      <c r="M445"/>
      <c r="N445"/>
      <c r="O445"/>
      <c r="P445"/>
      <c r="Q445"/>
    </row>
    <row r="446" spans="1:17" ht="15.75" x14ac:dyDescent="0.25">
      <c r="A446"/>
      <c r="B446"/>
      <c r="C446"/>
      <c r="D446"/>
      <c r="E446"/>
      <c r="F446"/>
      <c r="G446"/>
      <c r="H446"/>
      <c r="I446"/>
      <c r="J446"/>
      <c r="K446"/>
      <c r="L446"/>
      <c r="M446"/>
      <c r="N446"/>
      <c r="O446"/>
      <c r="P446"/>
      <c r="Q446"/>
    </row>
    <row r="447" spans="1:17" ht="15.75" x14ac:dyDescent="0.25">
      <c r="A447"/>
      <c r="B447"/>
      <c r="C447"/>
      <c r="D447"/>
      <c r="E447"/>
      <c r="F447"/>
      <c r="G447"/>
      <c r="H447"/>
      <c r="I447"/>
      <c r="J447"/>
      <c r="K447"/>
      <c r="L447"/>
      <c r="M447"/>
      <c r="N447"/>
      <c r="O447"/>
      <c r="P447"/>
      <c r="Q447"/>
    </row>
    <row r="448" spans="1:17" ht="15.75" x14ac:dyDescent="0.25">
      <c r="A448"/>
      <c r="B448"/>
      <c r="C448"/>
      <c r="D448"/>
      <c r="E448"/>
      <c r="F448"/>
      <c r="G448"/>
      <c r="H448"/>
      <c r="I448"/>
      <c r="J448"/>
      <c r="K448"/>
      <c r="L448"/>
      <c r="M448"/>
      <c r="N448"/>
      <c r="O448"/>
      <c r="P448"/>
      <c r="Q448"/>
    </row>
    <row r="449" spans="1:17" ht="15.75" x14ac:dyDescent="0.25">
      <c r="A449"/>
      <c r="B449"/>
      <c r="C449"/>
      <c r="D449"/>
      <c r="E449"/>
      <c r="F449"/>
      <c r="G449"/>
      <c r="H449"/>
      <c r="I449"/>
      <c r="J449"/>
      <c r="K449"/>
      <c r="L449"/>
      <c r="M449"/>
      <c r="N449"/>
      <c r="O449"/>
      <c r="P449"/>
      <c r="Q449"/>
    </row>
    <row r="450" spans="1:17" ht="15.75" x14ac:dyDescent="0.25">
      <c r="A450"/>
      <c r="B450"/>
      <c r="C450"/>
      <c r="D450"/>
      <c r="E450"/>
      <c r="F450"/>
      <c r="G450"/>
      <c r="H450"/>
      <c r="I450"/>
      <c r="J450"/>
      <c r="K450"/>
      <c r="L450"/>
      <c r="M450"/>
      <c r="N450"/>
      <c r="O450"/>
      <c r="P450"/>
      <c r="Q450"/>
    </row>
    <row r="451" spans="1:17" ht="15.75" x14ac:dyDescent="0.25">
      <c r="A451"/>
      <c r="B451"/>
      <c r="C451"/>
      <c r="D451"/>
      <c r="E451"/>
      <c r="F451"/>
      <c r="G451"/>
      <c r="H451"/>
      <c r="I451"/>
      <c r="J451"/>
      <c r="K451"/>
      <c r="L451"/>
      <c r="M451"/>
      <c r="N451"/>
      <c r="O451"/>
      <c r="P451"/>
      <c r="Q451"/>
    </row>
    <row r="452" spans="1:17" ht="15.75" x14ac:dyDescent="0.25">
      <c r="A452"/>
      <c r="B452"/>
      <c r="C452"/>
      <c r="D452"/>
      <c r="E452"/>
      <c r="F452"/>
      <c r="G452"/>
      <c r="H452"/>
      <c r="I452"/>
      <c r="J452"/>
      <c r="K452"/>
      <c r="L452"/>
      <c r="M452"/>
      <c r="N452"/>
      <c r="O452"/>
      <c r="P452"/>
      <c r="Q452"/>
    </row>
    <row r="453" spans="1:17" ht="15.75" x14ac:dyDescent="0.25">
      <c r="A453"/>
      <c r="B453"/>
      <c r="C453"/>
      <c r="D453"/>
      <c r="E453"/>
      <c r="F453"/>
      <c r="G453"/>
      <c r="H453"/>
      <c r="I453"/>
      <c r="J453"/>
      <c r="K453"/>
      <c r="L453"/>
      <c r="M453"/>
      <c r="N453"/>
      <c r="O453"/>
      <c r="P453"/>
      <c r="Q453"/>
    </row>
    <row r="454" spans="1:17" ht="15.75" x14ac:dyDescent="0.25">
      <c r="A454"/>
      <c r="B454"/>
      <c r="C454"/>
      <c r="D454"/>
      <c r="E454"/>
      <c r="F454"/>
      <c r="G454"/>
      <c r="H454"/>
      <c r="I454"/>
      <c r="J454"/>
      <c r="K454"/>
      <c r="L454"/>
      <c r="M454"/>
      <c r="N454"/>
      <c r="O454"/>
      <c r="P454"/>
      <c r="Q454"/>
    </row>
    <row r="455" spans="1:17" ht="15.75" x14ac:dyDescent="0.25">
      <c r="A455"/>
      <c r="B455"/>
      <c r="C455"/>
      <c r="D455"/>
      <c r="E455"/>
      <c r="F455"/>
      <c r="G455"/>
      <c r="H455"/>
      <c r="I455"/>
      <c r="J455"/>
      <c r="K455"/>
      <c r="L455"/>
      <c r="M455"/>
      <c r="N455"/>
      <c r="O455"/>
      <c r="P455"/>
      <c r="Q455"/>
    </row>
    <row r="456" spans="1:17" ht="15.75" x14ac:dyDescent="0.25">
      <c r="A456"/>
      <c r="B456"/>
      <c r="C456"/>
      <c r="D456"/>
      <c r="E456"/>
      <c r="F456"/>
      <c r="G456"/>
      <c r="H456"/>
      <c r="I456"/>
      <c r="J456"/>
      <c r="K456"/>
      <c r="L456"/>
      <c r="M456"/>
      <c r="N456"/>
      <c r="O456"/>
      <c r="P456"/>
      <c r="Q456"/>
    </row>
    <row r="457" spans="1:17" ht="15.75" x14ac:dyDescent="0.25">
      <c r="A457"/>
      <c r="B457"/>
      <c r="C457"/>
      <c r="D457"/>
      <c r="E457"/>
      <c r="F457"/>
      <c r="G457"/>
      <c r="H457"/>
      <c r="I457"/>
      <c r="J457"/>
      <c r="K457"/>
      <c r="L457"/>
      <c r="M457"/>
      <c r="N457"/>
      <c r="O457"/>
      <c r="P457"/>
      <c r="Q457"/>
    </row>
    <row r="458" spans="1:17" ht="15.75" x14ac:dyDescent="0.25">
      <c r="A458"/>
      <c r="B458"/>
      <c r="C458"/>
      <c r="D458"/>
      <c r="E458"/>
      <c r="F458"/>
      <c r="G458"/>
      <c r="H458"/>
      <c r="I458"/>
      <c r="J458"/>
      <c r="K458"/>
      <c r="L458"/>
      <c r="M458"/>
      <c r="N458"/>
      <c r="O458"/>
      <c r="P458"/>
      <c r="Q458"/>
    </row>
    <row r="459" spans="1:17" ht="15.75" x14ac:dyDescent="0.25">
      <c r="A459"/>
      <c r="B459"/>
      <c r="C459"/>
      <c r="D459"/>
      <c r="E459"/>
      <c r="F459"/>
      <c r="G459"/>
      <c r="H459"/>
      <c r="I459"/>
      <c r="J459"/>
      <c r="K459"/>
      <c r="L459"/>
      <c r="M459"/>
      <c r="N459"/>
      <c r="O459"/>
      <c r="P459"/>
      <c r="Q459"/>
    </row>
    <row r="460" spans="1:17" ht="15.75" x14ac:dyDescent="0.25">
      <c r="A460"/>
      <c r="B460"/>
      <c r="C460"/>
      <c r="D460"/>
      <c r="E460"/>
      <c r="F460"/>
      <c r="G460"/>
      <c r="H460"/>
      <c r="I460"/>
      <c r="J460"/>
      <c r="K460"/>
      <c r="L460"/>
      <c r="M460"/>
      <c r="N460"/>
      <c r="O460"/>
      <c r="P460"/>
      <c r="Q460"/>
    </row>
    <row r="461" spans="1:17" ht="15.75" x14ac:dyDescent="0.25">
      <c r="A461"/>
      <c r="B461"/>
      <c r="C461"/>
      <c r="D461"/>
      <c r="E461"/>
      <c r="F461"/>
      <c r="G461"/>
      <c r="H461"/>
      <c r="I461"/>
      <c r="J461"/>
      <c r="K461"/>
      <c r="L461"/>
      <c r="M461"/>
      <c r="N461"/>
      <c r="O461"/>
      <c r="P461"/>
      <c r="Q461"/>
    </row>
    <row r="462" spans="1:17" ht="15.75" x14ac:dyDescent="0.25">
      <c r="A462"/>
      <c r="B462"/>
      <c r="C462"/>
      <c r="D462"/>
      <c r="E462"/>
      <c r="F462"/>
      <c r="G462"/>
      <c r="H462"/>
      <c r="I462"/>
      <c r="J462"/>
      <c r="K462"/>
      <c r="L462"/>
      <c r="M462"/>
      <c r="N462"/>
      <c r="O462"/>
      <c r="P462"/>
      <c r="Q462"/>
    </row>
    <row r="463" spans="1:17" ht="15.75" x14ac:dyDescent="0.25">
      <c r="A463"/>
      <c r="B463"/>
      <c r="C463"/>
      <c r="D463"/>
      <c r="E463"/>
      <c r="F463"/>
      <c r="G463"/>
      <c r="H463"/>
      <c r="I463"/>
      <c r="J463"/>
      <c r="K463"/>
      <c r="L463"/>
      <c r="M463"/>
      <c r="N463"/>
      <c r="O463"/>
      <c r="P463"/>
      <c r="Q463"/>
    </row>
    <row r="464" spans="1:17" ht="15.75" x14ac:dyDescent="0.25">
      <c r="A464"/>
      <c r="B464"/>
      <c r="C464"/>
      <c r="D464"/>
      <c r="E464"/>
      <c r="F464"/>
      <c r="G464"/>
      <c r="H464"/>
      <c r="I464"/>
      <c r="J464"/>
      <c r="K464"/>
      <c r="L464"/>
      <c r="M464"/>
      <c r="N464"/>
      <c r="O464"/>
      <c r="P464"/>
      <c r="Q464"/>
    </row>
    <row r="465" spans="1:17" ht="15.75" x14ac:dyDescent="0.25">
      <c r="A465"/>
      <c r="B465"/>
      <c r="C465"/>
      <c r="D465"/>
      <c r="E465"/>
      <c r="F465"/>
      <c r="G465"/>
      <c r="H465"/>
      <c r="I465"/>
      <c r="J465"/>
      <c r="K465"/>
      <c r="L465"/>
      <c r="M465"/>
      <c r="N465"/>
      <c r="O465"/>
      <c r="P465"/>
      <c r="Q465"/>
    </row>
    <row r="466" spans="1:17" ht="15.75" x14ac:dyDescent="0.25">
      <c r="A466"/>
      <c r="B466"/>
      <c r="C466"/>
      <c r="D466"/>
      <c r="E466"/>
      <c r="F466"/>
      <c r="G466"/>
      <c r="H466"/>
      <c r="I466"/>
      <c r="J466"/>
      <c r="K466"/>
      <c r="L466"/>
      <c r="M466"/>
      <c r="N466"/>
      <c r="O466"/>
      <c r="P466"/>
      <c r="Q466"/>
    </row>
    <row r="467" spans="1:17" ht="15.75" x14ac:dyDescent="0.25">
      <c r="A467"/>
      <c r="B467"/>
      <c r="C467"/>
      <c r="D467"/>
      <c r="E467"/>
      <c r="F467"/>
      <c r="G467"/>
      <c r="H467"/>
      <c r="I467"/>
      <c r="J467"/>
      <c r="K467"/>
      <c r="L467"/>
      <c r="M467"/>
      <c r="N467"/>
      <c r="O467"/>
      <c r="P467"/>
      <c r="Q467"/>
    </row>
    <row r="468" spans="1:17" ht="15.75" x14ac:dyDescent="0.25">
      <c r="A468"/>
      <c r="B468"/>
      <c r="C468"/>
      <c r="D468"/>
      <c r="E468"/>
      <c r="F468"/>
      <c r="G468"/>
      <c r="H468"/>
      <c r="I468"/>
      <c r="J468"/>
      <c r="K468"/>
      <c r="L468"/>
      <c r="M468"/>
      <c r="N468"/>
      <c r="O468"/>
      <c r="P468"/>
      <c r="Q468"/>
    </row>
    <row r="469" spans="1:17" ht="15.75" x14ac:dyDescent="0.25">
      <c r="A469"/>
      <c r="B469"/>
      <c r="C469"/>
      <c r="D469"/>
      <c r="E469"/>
      <c r="F469"/>
      <c r="G469"/>
      <c r="H469"/>
      <c r="I469"/>
      <c r="J469"/>
      <c r="K469"/>
      <c r="L469"/>
      <c r="M469"/>
      <c r="N469"/>
      <c r="O469"/>
      <c r="P469"/>
      <c r="Q469"/>
    </row>
    <row r="470" spans="1:17" ht="15.75" x14ac:dyDescent="0.25">
      <c r="A470"/>
      <c r="B470"/>
      <c r="C470"/>
      <c r="D470"/>
      <c r="E470"/>
      <c r="F470"/>
      <c r="G470"/>
      <c r="H470"/>
      <c r="I470"/>
      <c r="J470"/>
      <c r="K470"/>
      <c r="L470"/>
      <c r="M470"/>
      <c r="N470"/>
      <c r="O470"/>
      <c r="P470"/>
      <c r="Q470"/>
    </row>
    <row r="471" spans="1:17" ht="15.75" x14ac:dyDescent="0.25">
      <c r="A471"/>
      <c r="B471"/>
      <c r="C471"/>
      <c r="D471"/>
      <c r="E471"/>
      <c r="F471"/>
      <c r="G471"/>
      <c r="H471"/>
      <c r="I471"/>
      <c r="J471"/>
      <c r="K471"/>
      <c r="L471"/>
      <c r="M471"/>
      <c r="N471"/>
      <c r="O471"/>
      <c r="P471"/>
      <c r="Q471"/>
    </row>
    <row r="472" spans="1:17" ht="15.75" x14ac:dyDescent="0.25">
      <c r="A472"/>
      <c r="B472"/>
      <c r="C472"/>
      <c r="D472"/>
      <c r="E472"/>
      <c r="F472"/>
      <c r="G472"/>
      <c r="H472"/>
      <c r="I472"/>
      <c r="J472"/>
      <c r="K472"/>
      <c r="L472"/>
      <c r="M472"/>
      <c r="N472"/>
      <c r="O472"/>
      <c r="P472"/>
      <c r="Q472"/>
    </row>
    <row r="473" spans="1:17" ht="15.75" x14ac:dyDescent="0.25">
      <c r="A473"/>
      <c r="B473"/>
      <c r="C473"/>
      <c r="D473"/>
      <c r="E473"/>
      <c r="F473"/>
      <c r="G473"/>
      <c r="H473"/>
      <c r="I473"/>
      <c r="J473"/>
      <c r="K473"/>
      <c r="L473"/>
      <c r="M473"/>
      <c r="N473"/>
      <c r="O473"/>
      <c r="P473"/>
      <c r="Q473"/>
    </row>
    <row r="474" spans="1:17" ht="15.75" x14ac:dyDescent="0.25">
      <c r="A474"/>
      <c r="B474"/>
      <c r="C474"/>
      <c r="D474"/>
      <c r="E474"/>
      <c r="F474"/>
      <c r="G474"/>
      <c r="H474"/>
      <c r="I474"/>
      <c r="J474"/>
      <c r="K474"/>
      <c r="L474"/>
      <c r="M474"/>
      <c r="N474"/>
      <c r="O474"/>
      <c r="P474"/>
      <c r="Q474"/>
    </row>
    <row r="475" spans="1:17" ht="15.75" x14ac:dyDescent="0.25">
      <c r="A475"/>
      <c r="B475"/>
      <c r="C475"/>
      <c r="D475"/>
      <c r="E475"/>
      <c r="F475"/>
      <c r="G475"/>
      <c r="H475"/>
      <c r="I475"/>
      <c r="J475"/>
      <c r="K475"/>
      <c r="L475"/>
      <c r="M475"/>
      <c r="N475"/>
      <c r="O475"/>
      <c r="P475"/>
      <c r="Q475"/>
    </row>
    <row r="476" spans="1:17" ht="15.75" x14ac:dyDescent="0.25">
      <c r="A476"/>
      <c r="B476"/>
      <c r="C476"/>
      <c r="D476"/>
      <c r="E476"/>
      <c r="F476"/>
      <c r="G476"/>
      <c r="H476"/>
      <c r="I476"/>
      <c r="J476"/>
      <c r="K476"/>
      <c r="L476"/>
      <c r="M476"/>
      <c r="N476"/>
      <c r="O476"/>
      <c r="P476"/>
      <c r="Q476"/>
    </row>
    <row r="477" spans="1:17" ht="15.75" x14ac:dyDescent="0.25">
      <c r="A477"/>
      <c r="B477"/>
      <c r="C477"/>
      <c r="D477"/>
      <c r="E477"/>
      <c r="F477"/>
      <c r="G477"/>
      <c r="H477"/>
      <c r="I477"/>
      <c r="J477"/>
      <c r="K477"/>
      <c r="L477"/>
      <c r="M477"/>
      <c r="N477"/>
      <c r="O477"/>
      <c r="P477"/>
      <c r="Q477"/>
    </row>
    <row r="478" spans="1:17" ht="15.75" x14ac:dyDescent="0.25">
      <c r="A478"/>
      <c r="B478"/>
      <c r="C478"/>
      <c r="D478"/>
      <c r="E478"/>
      <c r="F478"/>
      <c r="G478"/>
      <c r="H478"/>
      <c r="I478"/>
      <c r="J478"/>
      <c r="K478"/>
      <c r="L478"/>
      <c r="M478"/>
      <c r="N478"/>
      <c r="O478"/>
      <c r="P478"/>
      <c r="Q478"/>
    </row>
    <row r="479" spans="1:17" ht="15.75" x14ac:dyDescent="0.25">
      <c r="A479"/>
      <c r="B479"/>
      <c r="C479"/>
      <c r="D479"/>
      <c r="E479"/>
      <c r="F479"/>
      <c r="G479"/>
      <c r="H479"/>
      <c r="I479"/>
      <c r="J479"/>
      <c r="K479"/>
      <c r="L479"/>
      <c r="M479"/>
      <c r="N479"/>
      <c r="O479"/>
      <c r="P479"/>
      <c r="Q479"/>
    </row>
    <row r="480" spans="1:17" ht="15.75" x14ac:dyDescent="0.25">
      <c r="A480"/>
      <c r="B480"/>
      <c r="C480"/>
      <c r="D480"/>
      <c r="E480"/>
      <c r="F480"/>
      <c r="G480"/>
      <c r="H480"/>
      <c r="I480"/>
      <c r="J480"/>
      <c r="K480"/>
      <c r="L480"/>
      <c r="M480"/>
      <c r="N480"/>
      <c r="O480"/>
      <c r="P480"/>
      <c r="Q480"/>
    </row>
    <row r="481" spans="1:17" ht="15.75" x14ac:dyDescent="0.25">
      <c r="A481"/>
      <c r="B481"/>
      <c r="C481"/>
      <c r="D481"/>
      <c r="E481"/>
      <c r="F481"/>
      <c r="G481"/>
      <c r="H481"/>
      <c r="I481"/>
      <c r="J481"/>
      <c r="K481"/>
      <c r="L481"/>
      <c r="M481"/>
      <c r="N481"/>
      <c r="O481"/>
      <c r="P481"/>
      <c r="Q481"/>
    </row>
    <row r="482" spans="1:17" ht="15.75" x14ac:dyDescent="0.25">
      <c r="A482"/>
      <c r="B482"/>
      <c r="C482"/>
      <c r="D482"/>
      <c r="E482"/>
      <c r="F482"/>
      <c r="G482"/>
      <c r="H482"/>
      <c r="I482"/>
      <c r="J482"/>
      <c r="K482"/>
      <c r="L482"/>
      <c r="M482"/>
      <c r="N482"/>
      <c r="O482"/>
      <c r="P482"/>
      <c r="Q482"/>
    </row>
    <row r="483" spans="1:17" ht="15.75" x14ac:dyDescent="0.25">
      <c r="A483"/>
      <c r="B483"/>
      <c r="C483"/>
      <c r="D483"/>
      <c r="E483"/>
      <c r="F483"/>
      <c r="G483"/>
      <c r="H483"/>
      <c r="I483"/>
      <c r="J483"/>
      <c r="K483"/>
      <c r="L483"/>
      <c r="M483"/>
      <c r="N483"/>
      <c r="O483"/>
      <c r="P483"/>
      <c r="Q483"/>
    </row>
    <row r="484" spans="1:17" ht="15.75" x14ac:dyDescent="0.25">
      <c r="A484"/>
      <c r="B484"/>
      <c r="C484"/>
      <c r="D484"/>
      <c r="E484"/>
      <c r="F484"/>
      <c r="G484"/>
      <c r="H484"/>
      <c r="I484"/>
      <c r="J484"/>
      <c r="K484"/>
      <c r="L484"/>
      <c r="M484"/>
      <c r="N484"/>
      <c r="O484"/>
      <c r="P484"/>
      <c r="Q484"/>
    </row>
    <row r="485" spans="1:17" ht="15.75" x14ac:dyDescent="0.25">
      <c r="A485"/>
      <c r="B485"/>
      <c r="C485"/>
      <c r="D485"/>
      <c r="E485"/>
      <c r="F485"/>
      <c r="G485"/>
      <c r="H485"/>
      <c r="I485"/>
      <c r="J485"/>
      <c r="K485"/>
      <c r="L485"/>
      <c r="M485"/>
      <c r="N485"/>
      <c r="O485"/>
      <c r="P485"/>
      <c r="Q485"/>
    </row>
    <row r="486" spans="1:17" ht="15.75" x14ac:dyDescent="0.25">
      <c r="A486"/>
      <c r="B486"/>
      <c r="C486"/>
      <c r="D486"/>
      <c r="E486"/>
      <c r="F486"/>
      <c r="G486"/>
      <c r="H486"/>
      <c r="I486"/>
      <c r="J486"/>
      <c r="K486"/>
      <c r="L486"/>
      <c r="M486"/>
      <c r="N486"/>
      <c r="O486"/>
      <c r="P486"/>
      <c r="Q486"/>
    </row>
    <row r="487" spans="1:17" ht="15.75" x14ac:dyDescent="0.25">
      <c r="A487"/>
      <c r="B487"/>
      <c r="C487"/>
      <c r="D487"/>
      <c r="E487"/>
      <c r="F487"/>
      <c r="G487"/>
      <c r="H487"/>
      <c r="I487"/>
      <c r="J487"/>
      <c r="K487"/>
      <c r="L487"/>
      <c r="M487"/>
      <c r="N487"/>
      <c r="O487"/>
      <c r="P487"/>
      <c r="Q487"/>
    </row>
    <row r="488" spans="1:17" ht="15.75" x14ac:dyDescent="0.25">
      <c r="A488"/>
      <c r="B488"/>
      <c r="C488"/>
      <c r="D488"/>
      <c r="E488"/>
      <c r="F488"/>
      <c r="G488"/>
      <c r="H488"/>
      <c r="I488"/>
      <c r="J488"/>
      <c r="K488"/>
      <c r="L488"/>
      <c r="M488"/>
      <c r="N488"/>
      <c r="O488"/>
      <c r="P488"/>
      <c r="Q488"/>
    </row>
    <row r="489" spans="1:17" ht="15.75" x14ac:dyDescent="0.25">
      <c r="A489"/>
      <c r="B489"/>
      <c r="C489"/>
      <c r="D489"/>
      <c r="E489"/>
      <c r="F489"/>
      <c r="G489"/>
      <c r="H489"/>
      <c r="I489"/>
      <c r="J489"/>
      <c r="K489"/>
      <c r="L489"/>
      <c r="M489"/>
      <c r="N489"/>
      <c r="O489"/>
      <c r="P489"/>
      <c r="Q489"/>
    </row>
    <row r="490" spans="1:17" ht="15.75" x14ac:dyDescent="0.25">
      <c r="A490"/>
      <c r="B490"/>
      <c r="C490"/>
      <c r="D490"/>
      <c r="E490"/>
      <c r="F490"/>
      <c r="G490"/>
      <c r="H490"/>
      <c r="I490"/>
      <c r="J490"/>
      <c r="K490"/>
      <c r="L490"/>
      <c r="M490"/>
      <c r="N490"/>
      <c r="O490"/>
      <c r="P490"/>
      <c r="Q490"/>
    </row>
    <row r="491" spans="1:17" ht="15.75" x14ac:dyDescent="0.25">
      <c r="A491"/>
      <c r="B491"/>
      <c r="C491"/>
      <c r="D491"/>
      <c r="E491"/>
      <c r="F491"/>
      <c r="G491"/>
      <c r="H491"/>
      <c r="I491"/>
      <c r="J491"/>
      <c r="K491"/>
      <c r="L491"/>
      <c r="M491"/>
      <c r="N491"/>
      <c r="O491"/>
      <c r="P491"/>
      <c r="Q491"/>
    </row>
    <row r="492" spans="1:17" ht="15.75" x14ac:dyDescent="0.25">
      <c r="A492"/>
      <c r="B492"/>
      <c r="C492"/>
      <c r="D492"/>
      <c r="E492"/>
      <c r="F492"/>
      <c r="G492"/>
      <c r="H492"/>
      <c r="I492"/>
      <c r="J492"/>
      <c r="K492"/>
      <c r="L492"/>
      <c r="M492"/>
      <c r="N492"/>
      <c r="O492"/>
      <c r="P492"/>
      <c r="Q492"/>
    </row>
    <row r="493" spans="1:17" ht="15.75" x14ac:dyDescent="0.25">
      <c r="A493"/>
      <c r="B493"/>
      <c r="C493"/>
      <c r="D493"/>
      <c r="E493"/>
      <c r="F493"/>
      <c r="G493"/>
      <c r="H493"/>
      <c r="I493"/>
      <c r="J493"/>
      <c r="K493"/>
      <c r="L493"/>
      <c r="M493"/>
      <c r="N493"/>
      <c r="O493"/>
      <c r="P493"/>
      <c r="Q493"/>
    </row>
    <row r="494" spans="1:17" ht="15.75" x14ac:dyDescent="0.25">
      <c r="A494"/>
      <c r="B494"/>
      <c r="C494"/>
      <c r="D494"/>
      <c r="E494"/>
      <c r="F494"/>
      <c r="G494"/>
      <c r="H494"/>
      <c r="I494"/>
      <c r="J494"/>
      <c r="K494"/>
      <c r="L494"/>
      <c r="M494"/>
      <c r="N494"/>
      <c r="O494"/>
      <c r="P494"/>
      <c r="Q494"/>
    </row>
    <row r="495" spans="1:17" ht="15.75" x14ac:dyDescent="0.25">
      <c r="A495"/>
      <c r="B495"/>
      <c r="C495"/>
      <c r="D495"/>
      <c r="E495"/>
      <c r="F495"/>
      <c r="G495"/>
      <c r="H495"/>
      <c r="I495"/>
      <c r="J495"/>
      <c r="K495"/>
      <c r="L495"/>
      <c r="M495"/>
      <c r="N495"/>
      <c r="O495"/>
      <c r="P495"/>
      <c r="Q495"/>
    </row>
    <row r="496" spans="1:17" x14ac:dyDescent="0.2">
      <c r="A496" s="294"/>
      <c r="B496" s="295"/>
      <c r="C496" s="295"/>
      <c r="D496" s="295"/>
      <c r="E496" s="295"/>
      <c r="F496" s="295"/>
      <c r="G496" s="295"/>
      <c r="H496" s="295"/>
      <c r="I496" s="295"/>
      <c r="J496" s="295"/>
      <c r="K496" s="295"/>
      <c r="L496" s="295"/>
      <c r="M496" s="295"/>
      <c r="N496" s="295"/>
      <c r="O496" s="295"/>
      <c r="P496" s="295"/>
      <c r="Q496" s="295"/>
    </row>
    <row r="497" spans="1:17" x14ac:dyDescent="0.2">
      <c r="A497" s="298"/>
      <c r="B497" s="295"/>
      <c r="C497" s="295"/>
      <c r="D497" s="295"/>
      <c r="E497" s="295"/>
      <c r="F497" s="295"/>
      <c r="G497" s="295"/>
      <c r="H497" s="295"/>
      <c r="I497" s="295"/>
      <c r="J497" s="295"/>
      <c r="K497" s="295"/>
      <c r="L497" s="295"/>
      <c r="M497" s="295"/>
      <c r="N497" s="295"/>
      <c r="O497" s="295"/>
      <c r="P497" s="295"/>
      <c r="Q497" s="295"/>
    </row>
    <row r="498" spans="1:17" x14ac:dyDescent="0.2">
      <c r="A498" s="298"/>
      <c r="B498" s="295"/>
      <c r="C498" s="295"/>
      <c r="D498" s="295"/>
      <c r="E498" s="295"/>
      <c r="F498" s="295"/>
      <c r="G498" s="295"/>
      <c r="H498" s="295"/>
      <c r="I498" s="295"/>
      <c r="J498" s="295"/>
      <c r="K498" s="295"/>
      <c r="L498" s="295"/>
      <c r="M498" s="295"/>
      <c r="N498" s="295"/>
      <c r="O498" s="295"/>
      <c r="P498" s="295"/>
      <c r="Q498" s="295"/>
    </row>
    <row r="499" spans="1:17" x14ac:dyDescent="0.2">
      <c r="A499" s="298"/>
      <c r="B499" s="295"/>
      <c r="C499" s="295"/>
      <c r="D499" s="295"/>
      <c r="E499" s="295"/>
      <c r="F499" s="295"/>
      <c r="G499" s="295"/>
      <c r="H499" s="295"/>
      <c r="I499" s="295"/>
      <c r="J499" s="295"/>
      <c r="K499" s="295"/>
      <c r="L499" s="295"/>
      <c r="M499" s="295"/>
      <c r="N499" s="295"/>
      <c r="O499" s="295"/>
      <c r="P499" s="295"/>
      <c r="Q499" s="29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New Table 142</vt:lpstr>
      <vt:lpstr>Old Table 142</vt:lpstr>
      <vt:lpstr>New Tables 143-161</vt:lpstr>
      <vt:lpstr>Old Tables 143-161</vt:lpstr>
      <vt:lpstr>New Table 162</vt:lpstr>
      <vt:lpstr>Old Table 162</vt:lpstr>
      <vt:lpstr>Averages Pivot Table</vt:lpstr>
      <vt:lpstr>New Counts Pivot Table</vt:lpstr>
      <vt:lpstr>Old Counts Pivot Table</vt:lpstr>
      <vt:lpstr>Faculty Salary Data</vt:lpstr>
      <vt:lpstr>Format for Avgs Pivot</vt:lpstr>
      <vt:lpstr>Format for New Counts</vt:lpstr>
      <vt:lpstr>Format for Old Counts</vt:lpstr>
      <vt:lpstr>'New Table 162'!Print_Area</vt:lpstr>
      <vt:lpstr>'New Tables 143-161'!Print_Area</vt:lpstr>
      <vt:lpstr>'Old Table 162'!Print_Area</vt:lpstr>
      <vt:lpstr>'Old Tables 143-161'!Print_Area</vt:lpstr>
      <vt:lpstr>'New Table 162'!Print_Titles</vt:lpstr>
      <vt:lpstr>'Old Table 162'!Print_Titles</vt:lpstr>
    </vt:vector>
  </TitlesOfParts>
  <Company>SREB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jmarks</dc:creator>
  <cp:lastModifiedBy>Susan Lounsbury</cp:lastModifiedBy>
  <cp:lastPrinted>2014-03-11T18:16:27Z</cp:lastPrinted>
  <dcterms:created xsi:type="dcterms:W3CDTF">1999-02-24T13:58:47Z</dcterms:created>
  <dcterms:modified xsi:type="dcterms:W3CDTF">2014-05-23T16:06:02Z</dcterms:modified>
</cp:coreProperties>
</file>